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Users\Finance\Desktop\"/>
    </mc:Choice>
  </mc:AlternateContent>
  <xr:revisionPtr revIDLastSave="0" documentId="8_{BB9AB163-D654-447C-9037-BABE751980BE}" xr6:coauthVersionLast="47" xr6:coauthVersionMax="47" xr10:uidLastSave="{00000000-0000-0000-0000-000000000000}"/>
  <bookViews>
    <workbookView xWindow="-108" yWindow="-108" windowWidth="23256" windowHeight="12456" activeTab="2" xr2:uid="{6C72EC03-7B7A-4464-B13C-0225713475C7}"/>
  </bookViews>
  <sheets>
    <sheet name="Data Angt" sheetId="1" r:id="rId1"/>
    <sheet name="Rekap" sheetId="2" state="hidden" r:id="rId2"/>
    <sheet name="ANALISA" sheetId="12" r:id="rId3"/>
    <sheet name="Pinjaman" sheetId="3" r:id="rId4"/>
    <sheet name="SJTA" sheetId="4" r:id="rId5"/>
    <sheet name="SSKA" sheetId="5" r:id="rId6"/>
    <sheet name="SMP" sheetId="6" r:id="rId7"/>
    <sheet name="SPJ" sheetId="8" r:id="rId8"/>
    <sheet name="Kredit" sheetId="11" r:id="rId9"/>
    <sheet name="2025" sheetId="14" r:id="rId10"/>
    <sheet name="2024" sheetId="15" r:id="rId11"/>
  </sheets>
  <definedNames>
    <definedName name="_xlnm._FilterDatabase" localSheetId="10" hidden="1">'2024'!$A$3:$L$908</definedName>
    <definedName name="_xlnm._FilterDatabase" localSheetId="9" hidden="1">'2025'!$A$2:$Y$649</definedName>
    <definedName name="_xlnm._FilterDatabase" localSheetId="0" hidden="1">'Data Angt'!$A$4:$J$5808</definedName>
    <definedName name="_xlnm._FilterDatabase" localSheetId="8" hidden="1">Kredit!$A$7:$P$1870</definedName>
    <definedName name="_xlnm._FilterDatabase" localSheetId="3" hidden="1">Pinjaman!$T$5:$X$1744</definedName>
    <definedName name="_xlnm._FilterDatabase" localSheetId="4" hidden="1">SJTA!$O$5:$S$474</definedName>
    <definedName name="_xlnm._FilterDatabase" localSheetId="7" hidden="1">SPJ!$M$4:$P$176</definedName>
    <definedName name="_xlnm._FilterDatabase" localSheetId="5" hidden="1">SSKA!$O$5:$S$474</definedName>
  </definedNames>
  <calcPr calcId="191029"/>
</workbook>
</file>

<file path=xl/calcChain.xml><?xml version="1.0" encoding="utf-8"?>
<calcChain xmlns="http://schemas.openxmlformats.org/spreadsheetml/2006/main">
  <c r="C6" i="15" l="1"/>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3" i="15"/>
  <c r="C654" i="15"/>
  <c r="C655" i="15"/>
  <c r="C656" i="15"/>
  <c r="C657" i="15"/>
  <c r="C658" i="15"/>
  <c r="C659" i="15"/>
  <c r="C660" i="15"/>
  <c r="C661" i="15"/>
  <c r="C662" i="15"/>
  <c r="C66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87" i="15"/>
  <c r="C688" i="15"/>
  <c r="C689" i="15"/>
  <c r="C690" i="15"/>
  <c r="C691" i="15"/>
  <c r="C692" i="15"/>
  <c r="C693" i="15"/>
  <c r="C694" i="15"/>
  <c r="C695" i="15"/>
  <c r="C696" i="15"/>
  <c r="C697" i="15"/>
  <c r="C698" i="15"/>
  <c r="C699" i="15"/>
  <c r="C700" i="15"/>
  <c r="C701" i="15"/>
  <c r="C702" i="15"/>
  <c r="C703" i="15"/>
  <c r="C704" i="15"/>
  <c r="C705" i="15"/>
  <c r="C706" i="15"/>
  <c r="C707" i="15"/>
  <c r="C708" i="15"/>
  <c r="C709" i="15"/>
  <c r="C710" i="15"/>
  <c r="C711" i="15"/>
  <c r="C712" i="15"/>
  <c r="C713" i="15"/>
  <c r="C714" i="15"/>
  <c r="C715" i="15"/>
  <c r="C716" i="15"/>
  <c r="C717" i="15"/>
  <c r="C718" i="15"/>
  <c r="C719" i="15"/>
  <c r="C720" i="15"/>
  <c r="C721" i="15"/>
  <c r="C722" i="15"/>
  <c r="C723" i="15"/>
  <c r="C724" i="15"/>
  <c r="C725" i="15"/>
  <c r="C726" i="15"/>
  <c r="C727" i="15"/>
  <c r="C728" i="15"/>
  <c r="C729" i="15"/>
  <c r="C730" i="15"/>
  <c r="C731" i="15"/>
  <c r="C732" i="15"/>
  <c r="C733" i="15"/>
  <c r="C734" i="15"/>
  <c r="C735" i="15"/>
  <c r="C736" i="15"/>
  <c r="C737" i="15"/>
  <c r="C738" i="15"/>
  <c r="C739" i="15"/>
  <c r="C740" i="15"/>
  <c r="C741" i="15"/>
  <c r="C742" i="15"/>
  <c r="C743" i="15"/>
  <c r="C744" i="15"/>
  <c r="C745" i="15"/>
  <c r="C746" i="15"/>
  <c r="C747" i="15"/>
  <c r="C748" i="15"/>
  <c r="C749" i="15"/>
  <c r="C750" i="15"/>
  <c r="C751" i="15"/>
  <c r="C752" i="15"/>
  <c r="C753" i="15"/>
  <c r="C754" i="15"/>
  <c r="C755" i="15"/>
  <c r="C756" i="15"/>
  <c r="C757" i="15"/>
  <c r="C758" i="15"/>
  <c r="C759" i="15"/>
  <c r="C760" i="15"/>
  <c r="C761" i="15"/>
  <c r="C762" i="15"/>
  <c r="C763" i="15"/>
  <c r="C764" i="15"/>
  <c r="C765" i="15"/>
  <c r="C766" i="15"/>
  <c r="C767" i="15"/>
  <c r="C768" i="15"/>
  <c r="C769" i="15"/>
  <c r="C770" i="15"/>
  <c r="C771" i="15"/>
  <c r="C772" i="15"/>
  <c r="C773" i="15"/>
  <c r="C774" i="15"/>
  <c r="C775" i="15"/>
  <c r="C776" i="15"/>
  <c r="C777" i="15"/>
  <c r="C778" i="15"/>
  <c r="C779" i="15"/>
  <c r="C780" i="15"/>
  <c r="C781" i="15"/>
  <c r="C782" i="15"/>
  <c r="C783" i="15"/>
  <c r="C784" i="15"/>
  <c r="C785" i="15"/>
  <c r="C786" i="15"/>
  <c r="C787" i="15"/>
  <c r="C788" i="15"/>
  <c r="C789" i="15"/>
  <c r="C790" i="15"/>
  <c r="C791" i="15"/>
  <c r="C792" i="15"/>
  <c r="C793" i="15"/>
  <c r="C794" i="15"/>
  <c r="C795" i="15"/>
  <c r="C796" i="15"/>
  <c r="C797" i="15"/>
  <c r="C798" i="15"/>
  <c r="C799" i="15"/>
  <c r="C800" i="15"/>
  <c r="C801" i="15"/>
  <c r="C802" i="15"/>
  <c r="C803" i="15"/>
  <c r="C804" i="15"/>
  <c r="C805" i="15"/>
  <c r="C806" i="15"/>
  <c r="C807" i="15"/>
  <c r="C808" i="15"/>
  <c r="C809" i="15"/>
  <c r="C810" i="15"/>
  <c r="C811" i="15"/>
  <c r="C812" i="15"/>
  <c r="C813" i="15"/>
  <c r="C814" i="15"/>
  <c r="C815" i="15"/>
  <c r="C816"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C900" i="15"/>
  <c r="C901" i="15"/>
  <c r="C902" i="15"/>
  <c r="C903" i="15"/>
  <c r="C904" i="15"/>
  <c r="C905" i="15"/>
  <c r="C906" i="15"/>
  <c r="C907" i="15"/>
  <c r="C908" i="15"/>
  <c r="C5" i="15"/>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323" i="14"/>
  <c r="C324" i="14"/>
  <c r="C325" i="14"/>
  <c r="C326" i="14"/>
  <c r="C327" i="14"/>
  <c r="C328" i="14"/>
  <c r="C329" i="14"/>
  <c r="C330" i="14"/>
  <c r="C331" i="14"/>
  <c r="C332" i="14"/>
  <c r="C333" i="14"/>
  <c r="C334" i="14"/>
  <c r="C335" i="14"/>
  <c r="C336" i="14"/>
  <c r="C337" i="14"/>
  <c r="C338" i="14"/>
  <c r="C339" i="14"/>
  <c r="C340" i="14"/>
  <c r="C341" i="14"/>
  <c r="C342" i="14"/>
  <c r="C343" i="14"/>
  <c r="C344" i="14"/>
  <c r="C345" i="14"/>
  <c r="C346" i="14"/>
  <c r="C347" i="14"/>
  <c r="C348" i="14"/>
  <c r="C349" i="14"/>
  <c r="C350" i="14"/>
  <c r="C351" i="14"/>
  <c r="C352" i="14"/>
  <c r="C353" i="14"/>
  <c r="C354" i="14"/>
  <c r="C355" i="14"/>
  <c r="C356" i="14"/>
  <c r="C357" i="14"/>
  <c r="C358" i="14"/>
  <c r="C359" i="14"/>
  <c r="C360" i="14"/>
  <c r="C361" i="14"/>
  <c r="C362" i="14"/>
  <c r="C363" i="14"/>
  <c r="C364" i="14"/>
  <c r="C365" i="14"/>
  <c r="C366" i="14"/>
  <c r="C367" i="14"/>
  <c r="C368" i="14"/>
  <c r="C369" i="14"/>
  <c r="C370" i="14"/>
  <c r="C371" i="14"/>
  <c r="C372" i="14"/>
  <c r="C373" i="14"/>
  <c r="C374" i="14"/>
  <c r="C375" i="14"/>
  <c r="C376" i="14"/>
  <c r="C377" i="14"/>
  <c r="C378" i="14"/>
  <c r="C379" i="14"/>
  <c r="C380" i="14"/>
  <c r="C381" i="14"/>
  <c r="C382" i="14"/>
  <c r="C383" i="14"/>
  <c r="C384" i="14"/>
  <c r="C385" i="14"/>
  <c r="C386" i="14"/>
  <c r="C387" i="14"/>
  <c r="C388" i="14"/>
  <c r="C389" i="14"/>
  <c r="C390" i="14"/>
  <c r="C391" i="14"/>
  <c r="C392" i="14"/>
  <c r="C393" i="14"/>
  <c r="C394" i="14"/>
  <c r="C395" i="14"/>
  <c r="C396" i="14"/>
  <c r="C397" i="14"/>
  <c r="C398" i="14"/>
  <c r="C399" i="14"/>
  <c r="C400" i="14"/>
  <c r="C401" i="14"/>
  <c r="C402" i="14"/>
  <c r="C403" i="14"/>
  <c r="C404" i="14"/>
  <c r="C405" i="14"/>
  <c r="C406" i="14"/>
  <c r="C407" i="14"/>
  <c r="C408" i="14"/>
  <c r="C409" i="14"/>
  <c r="C410" i="14"/>
  <c r="C411" i="14"/>
  <c r="C412" i="14"/>
  <c r="C413" i="14"/>
  <c r="C414" i="14"/>
  <c r="C415" i="14"/>
  <c r="C416" i="14"/>
  <c r="C417" i="14"/>
  <c r="C418" i="14"/>
  <c r="C419" i="14"/>
  <c r="C420" i="14"/>
  <c r="C421" i="14"/>
  <c r="C422" i="14"/>
  <c r="C423" i="14"/>
  <c r="C424" i="14"/>
  <c r="C425" i="14"/>
  <c r="C426" i="14"/>
  <c r="C427" i="14"/>
  <c r="C428" i="14"/>
  <c r="C429" i="14"/>
  <c r="C430" i="14"/>
  <c r="C431" i="14"/>
  <c r="C432" i="14"/>
  <c r="C433" i="14"/>
  <c r="C434" i="14"/>
  <c r="C435" i="14"/>
  <c r="C436" i="14"/>
  <c r="C437" i="14"/>
  <c r="C438" i="14"/>
  <c r="C439" i="14"/>
  <c r="C440" i="14"/>
  <c r="C441" i="14"/>
  <c r="C442" i="14"/>
  <c r="C443" i="14"/>
  <c r="C444" i="14"/>
  <c r="C445" i="14"/>
  <c r="C446" i="14"/>
  <c r="C447" i="14"/>
  <c r="C448" i="14"/>
  <c r="C449" i="14"/>
  <c r="C450" i="14"/>
  <c r="C451" i="14"/>
  <c r="C452" i="14"/>
  <c r="C453" i="14"/>
  <c r="C454" i="14"/>
  <c r="C455" i="14"/>
  <c r="C456" i="14"/>
  <c r="C457" i="14"/>
  <c r="C458" i="14"/>
  <c r="C459" i="14"/>
  <c r="C460" i="14"/>
  <c r="C461" i="14"/>
  <c r="C462" i="14"/>
  <c r="C463" i="14"/>
  <c r="C464" i="14"/>
  <c r="C465" i="14"/>
  <c r="C466" i="14"/>
  <c r="C467" i="14"/>
  <c r="C468" i="14"/>
  <c r="C469" i="14"/>
  <c r="C470" i="14"/>
  <c r="C471" i="14"/>
  <c r="C472" i="14"/>
  <c r="C473" i="14"/>
  <c r="C474" i="14"/>
  <c r="C475" i="14"/>
  <c r="C476" i="14"/>
  <c r="C477" i="14"/>
  <c r="C478" i="14"/>
  <c r="C479" i="14"/>
  <c r="C480" i="14"/>
  <c r="C481" i="14"/>
  <c r="C482" i="14"/>
  <c r="C483" i="14"/>
  <c r="C484" i="14"/>
  <c r="C485" i="14"/>
  <c r="C486" i="14"/>
  <c r="C487" i="14"/>
  <c r="C488" i="14"/>
  <c r="C489" i="14"/>
  <c r="C490" i="14"/>
  <c r="C491" i="14"/>
  <c r="C492" i="14"/>
  <c r="C493" i="14"/>
  <c r="C494" i="14"/>
  <c r="C495" i="14"/>
  <c r="C496" i="14"/>
  <c r="C497" i="14"/>
  <c r="C498" i="14"/>
  <c r="C499" i="14"/>
  <c r="C500" i="14"/>
  <c r="C501" i="14"/>
  <c r="C502" i="14"/>
  <c r="C503" i="14"/>
  <c r="C504" i="14"/>
  <c r="C505" i="14"/>
  <c r="C506" i="14"/>
  <c r="C507" i="14"/>
  <c r="C508" i="14"/>
  <c r="C509" i="14"/>
  <c r="C510" i="14"/>
  <c r="C511" i="14"/>
  <c r="C512" i="14"/>
  <c r="C513" i="14"/>
  <c r="C514" i="14"/>
  <c r="C515" i="14"/>
  <c r="C516" i="14"/>
  <c r="C517" i="14"/>
  <c r="C518" i="14"/>
  <c r="C519" i="14"/>
  <c r="C520" i="14"/>
  <c r="C521" i="14"/>
  <c r="C522" i="14"/>
  <c r="C523" i="14"/>
  <c r="C524" i="14"/>
  <c r="C525" i="14"/>
  <c r="C526" i="14"/>
  <c r="C527" i="14"/>
  <c r="C528" i="14"/>
  <c r="C529" i="14"/>
  <c r="C530" i="14"/>
  <c r="C531" i="14"/>
  <c r="C532" i="14"/>
  <c r="C533" i="14"/>
  <c r="C534" i="14"/>
  <c r="C535" i="14"/>
  <c r="C536" i="14"/>
  <c r="C537" i="14"/>
  <c r="C538" i="14"/>
  <c r="C539" i="14"/>
  <c r="C540" i="14"/>
  <c r="C541" i="14"/>
  <c r="C542" i="14"/>
  <c r="C543" i="14"/>
  <c r="C544" i="14"/>
  <c r="C545" i="14"/>
  <c r="C546" i="14"/>
  <c r="C547" i="14"/>
  <c r="C548" i="14"/>
  <c r="C549" i="14"/>
  <c r="C550" i="14"/>
  <c r="C551" i="14"/>
  <c r="C552" i="14"/>
  <c r="C553" i="14"/>
  <c r="C554" i="14"/>
  <c r="C555" i="14"/>
  <c r="C556" i="14"/>
  <c r="C557" i="14"/>
  <c r="C558" i="14"/>
  <c r="C559" i="14"/>
  <c r="C560" i="14"/>
  <c r="C561" i="14"/>
  <c r="C562" i="14"/>
  <c r="C563" i="14"/>
  <c r="C564" i="14"/>
  <c r="C565" i="14"/>
  <c r="C566" i="14"/>
  <c r="C567" i="14"/>
  <c r="C568" i="14"/>
  <c r="C569" i="14"/>
  <c r="C570" i="14"/>
  <c r="C571" i="14"/>
  <c r="C572" i="14"/>
  <c r="C573" i="14"/>
  <c r="C574" i="14"/>
  <c r="C575" i="14"/>
  <c r="C576" i="14"/>
  <c r="C577" i="14"/>
  <c r="C578" i="14"/>
  <c r="C579" i="14"/>
  <c r="C580" i="14"/>
  <c r="C581" i="14"/>
  <c r="C582" i="14"/>
  <c r="C583" i="14"/>
  <c r="C584" i="14"/>
  <c r="C585" i="14"/>
  <c r="C586" i="14"/>
  <c r="C587" i="14"/>
  <c r="C588" i="14"/>
  <c r="C589" i="14"/>
  <c r="C590" i="14"/>
  <c r="C591" i="14"/>
  <c r="C592" i="14"/>
  <c r="C593" i="14"/>
  <c r="C594" i="14"/>
  <c r="C595" i="14"/>
  <c r="C596" i="14"/>
  <c r="C597" i="14"/>
  <c r="C598" i="14"/>
  <c r="C599" i="14"/>
  <c r="C600" i="14"/>
  <c r="C601" i="14"/>
  <c r="C602" i="14"/>
  <c r="C603" i="14"/>
  <c r="C604" i="14"/>
  <c r="C605" i="14"/>
  <c r="C606" i="14"/>
  <c r="C607" i="14"/>
  <c r="C608" i="14"/>
  <c r="C609" i="14"/>
  <c r="C610" i="14"/>
  <c r="C611" i="14"/>
  <c r="C612" i="14"/>
  <c r="C613" i="14"/>
  <c r="C614" i="14"/>
  <c r="C615" i="14"/>
  <c r="C616" i="14"/>
  <c r="C617" i="14"/>
  <c r="C618" i="14"/>
  <c r="C619" i="14"/>
  <c r="C620" i="14"/>
  <c r="C621" i="14"/>
  <c r="C622" i="14"/>
  <c r="C623" i="14"/>
  <c r="C624" i="14"/>
  <c r="C625" i="14"/>
  <c r="C626" i="14"/>
  <c r="C627" i="14"/>
  <c r="C628" i="14"/>
  <c r="C629" i="14"/>
  <c r="C630" i="14"/>
  <c r="C631" i="14"/>
  <c r="C632" i="14"/>
  <c r="C633" i="14"/>
  <c r="C634" i="14"/>
  <c r="C635" i="14"/>
  <c r="C636" i="14"/>
  <c r="C637" i="14"/>
  <c r="C638" i="14"/>
  <c r="C639" i="14"/>
  <c r="C640" i="14"/>
  <c r="C641" i="14"/>
  <c r="C642" i="14"/>
  <c r="C643" i="14"/>
  <c r="C644" i="14"/>
  <c r="C645" i="14"/>
  <c r="C646" i="14"/>
  <c r="C647" i="14"/>
  <c r="C648" i="14"/>
  <c r="C649" i="14"/>
  <c r="C3" i="14"/>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8" i="11"/>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6" i="8"/>
  <c r="D7" i="6"/>
  <c r="D8" i="6"/>
  <c r="D9" i="6"/>
  <c r="D10" i="6"/>
  <c r="D11" i="6"/>
  <c r="D12" i="6"/>
  <c r="D13" i="6"/>
  <c r="D14" i="6"/>
  <c r="D15" i="6"/>
  <c r="D16" i="6"/>
  <c r="D17" i="6"/>
  <c r="D18" i="6"/>
  <c r="D19" i="6"/>
  <c r="D20" i="6"/>
  <c r="D21" i="6"/>
  <c r="D22" i="6"/>
  <c r="D23" i="6"/>
  <c r="D24" i="6"/>
  <c r="D25" i="6"/>
  <c r="D26" i="6"/>
  <c r="D27" i="6"/>
  <c r="D28" i="6"/>
  <c r="D6" i="6"/>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7" i="5"/>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7" i="4"/>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7" i="3"/>
  <c r="H434" i="12"/>
  <c r="H435" i="12"/>
  <c r="H436" i="12"/>
  <c r="H437" i="12"/>
  <c r="H438" i="12"/>
  <c r="H439" i="12"/>
  <c r="H433" i="12"/>
  <c r="Q6" i="8" l="1"/>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5" i="8"/>
  <c r="Q7" i="6"/>
  <c r="Q8" i="6"/>
  <c r="Q9" i="6"/>
  <c r="Q10" i="6"/>
  <c r="Q11" i="6"/>
  <c r="Q12" i="6"/>
  <c r="Q13" i="6"/>
  <c r="Q14" i="6"/>
  <c r="Q15" i="6"/>
  <c r="Q16" i="6"/>
  <c r="Q17" i="6"/>
  <c r="Q18" i="6"/>
  <c r="Q19" i="6"/>
  <c r="Q20" i="6"/>
  <c r="Q21" i="6"/>
  <c r="Q22" i="6"/>
  <c r="Q23" i="6"/>
  <c r="Q24" i="6"/>
  <c r="Q25" i="6"/>
  <c r="Q26" i="6"/>
  <c r="Q27" i="6"/>
  <c r="Q6" i="6"/>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6" i="4"/>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6" i="5"/>
  <c r="N14" i="12"/>
  <c r="P14" i="12"/>
  <c r="R14" i="12"/>
  <c r="T14" i="12"/>
  <c r="V14" i="12"/>
  <c r="X14" i="12"/>
  <c r="Z14" i="12"/>
  <c r="AB14" i="12"/>
  <c r="N15" i="12"/>
  <c r="P15" i="12"/>
  <c r="R15" i="12"/>
  <c r="T15" i="12"/>
  <c r="V15" i="12"/>
  <c r="X15" i="12"/>
  <c r="Z15" i="12"/>
  <c r="AB15" i="12"/>
  <c r="N16" i="12"/>
  <c r="P16" i="12"/>
  <c r="R16" i="12"/>
  <c r="T16" i="12"/>
  <c r="V16" i="12"/>
  <c r="X16" i="12"/>
  <c r="Z16" i="12"/>
  <c r="AB16" i="12"/>
  <c r="N17" i="12"/>
  <c r="P17" i="12"/>
  <c r="R17" i="12"/>
  <c r="T17" i="12"/>
  <c r="V17" i="12"/>
  <c r="X17" i="12"/>
  <c r="Z17" i="12"/>
  <c r="AB17" i="12"/>
  <c r="N18" i="12"/>
  <c r="P18" i="12"/>
  <c r="R18" i="12"/>
  <c r="T18" i="12"/>
  <c r="V18" i="12"/>
  <c r="X18" i="12"/>
  <c r="Z18" i="12"/>
  <c r="AB18" i="12"/>
  <c r="N19" i="12"/>
  <c r="P19" i="12"/>
  <c r="R19" i="12"/>
  <c r="T19" i="12"/>
  <c r="V19" i="12"/>
  <c r="X19" i="12"/>
  <c r="Z19" i="12"/>
  <c r="AB19" i="12"/>
  <c r="N20" i="12"/>
  <c r="N4" i="12"/>
  <c r="P4" i="12"/>
  <c r="R4" i="12"/>
  <c r="T4" i="12"/>
  <c r="V4" i="12"/>
  <c r="X4" i="12"/>
  <c r="Z4" i="12"/>
  <c r="N5" i="12"/>
  <c r="P5" i="12"/>
  <c r="R5" i="12"/>
  <c r="T5" i="12"/>
  <c r="V5" i="12"/>
  <c r="X5" i="12"/>
  <c r="Z5" i="12"/>
  <c r="N6" i="12"/>
  <c r="P6" i="12"/>
  <c r="R6" i="12"/>
  <c r="T6" i="12"/>
  <c r="V6" i="12"/>
  <c r="X6" i="12"/>
  <c r="Z6" i="12"/>
  <c r="N7" i="12"/>
  <c r="P7" i="12"/>
  <c r="R7" i="12"/>
  <c r="T7" i="12"/>
  <c r="V7" i="12"/>
  <c r="X7" i="12"/>
  <c r="Z7" i="12"/>
  <c r="N8" i="12"/>
  <c r="P8" i="12"/>
  <c r="R8" i="12"/>
  <c r="T8" i="12"/>
  <c r="V8" i="12"/>
  <c r="X8" i="12"/>
  <c r="Z8" i="12"/>
  <c r="L61" i="12"/>
  <c r="L62" i="12"/>
  <c r="L63" i="12"/>
  <c r="L64" i="12"/>
  <c r="L65" i="12"/>
  <c r="L66" i="12"/>
  <c r="L67" i="12"/>
  <c r="L68" i="12"/>
  <c r="L69" i="12"/>
  <c r="L70" i="12"/>
  <c r="L71" i="12"/>
  <c r="L72" i="12"/>
  <c r="L73" i="12"/>
  <c r="L74" i="12"/>
  <c r="L75" i="12"/>
  <c r="L76" i="12"/>
  <c r="L77" i="12"/>
  <c r="L78" i="12"/>
  <c r="L79" i="12"/>
  <c r="L80" i="12"/>
  <c r="L81" i="12"/>
  <c r="L82" i="12"/>
  <c r="L83" i="12"/>
  <c r="L84" i="12"/>
  <c r="L85" i="12"/>
  <c r="L86" i="12"/>
  <c r="L87" i="12"/>
  <c r="L88" i="12"/>
  <c r="L89" i="12"/>
  <c r="L90" i="12"/>
  <c r="L91" i="12"/>
  <c r="L92" i="12"/>
  <c r="L93" i="12"/>
  <c r="L94" i="12"/>
  <c r="L95" i="12"/>
  <c r="L96" i="12"/>
  <c r="L97" i="12"/>
  <c r="L98" i="12"/>
  <c r="L99" i="12"/>
  <c r="L100" i="12"/>
  <c r="L101" i="12"/>
  <c r="L102" i="12"/>
  <c r="L103" i="12"/>
  <c r="L104" i="12"/>
  <c r="L105" i="12"/>
  <c r="L106" i="12"/>
  <c r="L107" i="12"/>
  <c r="L108" i="12"/>
  <c r="L109" i="12"/>
  <c r="L110" i="12"/>
  <c r="L111" i="12"/>
  <c r="L112" i="12"/>
  <c r="L113" i="12"/>
  <c r="L114" i="12"/>
  <c r="L115" i="12"/>
  <c r="L116" i="12"/>
  <c r="L117" i="12"/>
  <c r="L118" i="12"/>
  <c r="L119" i="12"/>
  <c r="L120" i="12"/>
  <c r="L121" i="12"/>
  <c r="L122" i="12"/>
  <c r="L123" i="12"/>
  <c r="L124" i="12"/>
  <c r="L125" i="12"/>
  <c r="L126" i="12"/>
  <c r="L127" i="12"/>
  <c r="L128" i="12"/>
  <c r="L129" i="12"/>
  <c r="L130" i="12"/>
  <c r="K117" i="12"/>
  <c r="F113" i="12"/>
  <c r="F117" i="12"/>
  <c r="G117" i="12"/>
  <c r="H117" i="12"/>
  <c r="I117" i="12"/>
  <c r="J117" i="12"/>
  <c r="G118" i="12"/>
  <c r="H118" i="12"/>
  <c r="I118" i="12"/>
  <c r="J118" i="12"/>
  <c r="K118" i="12"/>
  <c r="G119" i="12"/>
  <c r="H119" i="12"/>
  <c r="I119" i="12"/>
  <c r="J119" i="12"/>
  <c r="K119" i="12"/>
  <c r="G120" i="12"/>
  <c r="H120" i="12"/>
  <c r="I120" i="12"/>
  <c r="J120" i="12"/>
  <c r="K120" i="12"/>
  <c r="G121" i="12"/>
  <c r="H121" i="12"/>
  <c r="I121" i="12"/>
  <c r="J121" i="12"/>
  <c r="K121" i="12"/>
  <c r="G122" i="12"/>
  <c r="H122" i="12"/>
  <c r="I122" i="12"/>
  <c r="J122" i="12"/>
  <c r="K122" i="12"/>
  <c r="G123" i="12"/>
  <c r="H123" i="12"/>
  <c r="I123" i="12"/>
  <c r="J123" i="12"/>
  <c r="K123" i="12"/>
  <c r="G124" i="12"/>
  <c r="H124" i="12"/>
  <c r="I124" i="12"/>
  <c r="J124" i="12"/>
  <c r="K124" i="12"/>
  <c r="G125" i="12"/>
  <c r="H125" i="12"/>
  <c r="I125" i="12"/>
  <c r="J125" i="12"/>
  <c r="K125" i="12"/>
  <c r="G126" i="12"/>
  <c r="H126" i="12"/>
  <c r="I126" i="12"/>
  <c r="J126" i="12"/>
  <c r="K126" i="12"/>
  <c r="G127" i="12"/>
  <c r="H127" i="12"/>
  <c r="I127" i="12"/>
  <c r="J127" i="12"/>
  <c r="K127" i="12"/>
  <c r="G128" i="12"/>
  <c r="H128" i="12"/>
  <c r="I128" i="12"/>
  <c r="J128" i="12"/>
  <c r="K128" i="12"/>
  <c r="G129" i="12"/>
  <c r="H129" i="12"/>
  <c r="I129" i="12"/>
  <c r="J129" i="12"/>
  <c r="K129" i="12"/>
  <c r="G130" i="12"/>
  <c r="H130" i="12"/>
  <c r="I130" i="12"/>
  <c r="J130" i="12"/>
  <c r="K130" i="12"/>
  <c r="F118" i="12"/>
  <c r="F119" i="12"/>
  <c r="F120" i="12"/>
  <c r="F121" i="12"/>
  <c r="F122" i="12"/>
  <c r="F123" i="12"/>
  <c r="F124" i="12"/>
  <c r="F125" i="12"/>
  <c r="F126" i="12"/>
  <c r="F127" i="12"/>
  <c r="F128" i="12"/>
  <c r="F129" i="12"/>
  <c r="F130" i="12"/>
  <c r="D117" i="12"/>
  <c r="G103" i="12"/>
  <c r="H103" i="12"/>
  <c r="I103" i="12"/>
  <c r="J103" i="12"/>
  <c r="K103" i="12"/>
  <c r="G104" i="12"/>
  <c r="H104" i="12"/>
  <c r="I104" i="12"/>
  <c r="J104" i="12"/>
  <c r="K104" i="12"/>
  <c r="G105" i="12"/>
  <c r="H105" i="12"/>
  <c r="I105" i="12"/>
  <c r="J105" i="12"/>
  <c r="K105" i="12"/>
  <c r="G106" i="12"/>
  <c r="H106" i="12"/>
  <c r="I106" i="12"/>
  <c r="J106" i="12"/>
  <c r="K106" i="12"/>
  <c r="G107" i="12"/>
  <c r="H107" i="12"/>
  <c r="I107" i="12"/>
  <c r="J107" i="12"/>
  <c r="K107" i="12"/>
  <c r="G108" i="12"/>
  <c r="H108" i="12"/>
  <c r="I108" i="12"/>
  <c r="J108" i="12"/>
  <c r="K108" i="12"/>
  <c r="G109" i="12"/>
  <c r="H109" i="12"/>
  <c r="I109" i="12"/>
  <c r="J109" i="12"/>
  <c r="K109" i="12"/>
  <c r="G110" i="12"/>
  <c r="H110" i="12"/>
  <c r="I110" i="12"/>
  <c r="J110" i="12"/>
  <c r="K110" i="12"/>
  <c r="G111" i="12"/>
  <c r="H111" i="12"/>
  <c r="I111" i="12"/>
  <c r="J111" i="12"/>
  <c r="K111" i="12"/>
  <c r="G112" i="12"/>
  <c r="H112" i="12"/>
  <c r="I112" i="12"/>
  <c r="J112" i="12"/>
  <c r="K112" i="12"/>
  <c r="G113" i="12"/>
  <c r="H113" i="12"/>
  <c r="I113" i="12"/>
  <c r="J113" i="12"/>
  <c r="K113" i="12"/>
  <c r="G114" i="12"/>
  <c r="H114" i="12"/>
  <c r="I114" i="12"/>
  <c r="J114" i="12"/>
  <c r="K114" i="12"/>
  <c r="G115" i="12"/>
  <c r="H115" i="12"/>
  <c r="I115" i="12"/>
  <c r="J115" i="12"/>
  <c r="K115" i="12"/>
  <c r="G116" i="12"/>
  <c r="H116" i="12"/>
  <c r="I116" i="12"/>
  <c r="J116" i="12"/>
  <c r="K116" i="12"/>
  <c r="F116" i="12"/>
  <c r="F104" i="12"/>
  <c r="F105" i="12"/>
  <c r="F106" i="12"/>
  <c r="F107" i="12"/>
  <c r="F108" i="12"/>
  <c r="F109" i="12"/>
  <c r="F110" i="12"/>
  <c r="F111" i="12"/>
  <c r="F112" i="12"/>
  <c r="F114" i="12"/>
  <c r="F115" i="12"/>
  <c r="F103" i="12"/>
  <c r="G89" i="12"/>
  <c r="H89" i="12"/>
  <c r="I89" i="12"/>
  <c r="J89" i="12"/>
  <c r="K89" i="12"/>
  <c r="G90" i="12"/>
  <c r="H90" i="12"/>
  <c r="I90" i="12"/>
  <c r="J90" i="12"/>
  <c r="K90" i="12"/>
  <c r="G91" i="12"/>
  <c r="H91" i="12"/>
  <c r="I91" i="12"/>
  <c r="J91" i="12"/>
  <c r="K91" i="12"/>
  <c r="G92" i="12"/>
  <c r="H92" i="12"/>
  <c r="I92" i="12"/>
  <c r="J92" i="12"/>
  <c r="K92" i="12"/>
  <c r="G93" i="12"/>
  <c r="H93" i="12"/>
  <c r="I93" i="12"/>
  <c r="J93" i="12"/>
  <c r="K93" i="12"/>
  <c r="G94" i="12"/>
  <c r="H94" i="12"/>
  <c r="I94" i="12"/>
  <c r="J94" i="12"/>
  <c r="K94" i="12"/>
  <c r="G95" i="12"/>
  <c r="H95" i="12"/>
  <c r="I95" i="12"/>
  <c r="J95" i="12"/>
  <c r="K95" i="12"/>
  <c r="G96" i="12"/>
  <c r="H96" i="12"/>
  <c r="I96" i="12"/>
  <c r="J96" i="12"/>
  <c r="K96" i="12"/>
  <c r="G97" i="12"/>
  <c r="H97" i="12"/>
  <c r="I97" i="12"/>
  <c r="J97" i="12"/>
  <c r="K97" i="12"/>
  <c r="G98" i="12"/>
  <c r="H98" i="12"/>
  <c r="I98" i="12"/>
  <c r="J98" i="12"/>
  <c r="K98" i="12"/>
  <c r="G99" i="12"/>
  <c r="H99" i="12"/>
  <c r="I99" i="12"/>
  <c r="J99" i="12"/>
  <c r="K99" i="12"/>
  <c r="G100" i="12"/>
  <c r="H100" i="12"/>
  <c r="I100" i="12"/>
  <c r="J100" i="12"/>
  <c r="K100" i="12"/>
  <c r="G101" i="12"/>
  <c r="H101" i="12"/>
  <c r="I101" i="12"/>
  <c r="J101" i="12"/>
  <c r="K101" i="12"/>
  <c r="G102" i="12"/>
  <c r="H102" i="12"/>
  <c r="I102" i="12"/>
  <c r="J102" i="12"/>
  <c r="K102" i="12"/>
  <c r="F102" i="12"/>
  <c r="F90" i="12"/>
  <c r="F91" i="12"/>
  <c r="F92" i="12"/>
  <c r="F93" i="12"/>
  <c r="F94" i="12"/>
  <c r="F95" i="12"/>
  <c r="F96" i="12"/>
  <c r="F97" i="12"/>
  <c r="F98" i="12"/>
  <c r="F99" i="12"/>
  <c r="F100" i="12"/>
  <c r="F101" i="12"/>
  <c r="F89" i="12"/>
  <c r="G61" i="12"/>
  <c r="H61" i="12"/>
  <c r="I61" i="12"/>
  <c r="J61" i="12"/>
  <c r="K61" i="12"/>
  <c r="G62" i="12"/>
  <c r="H62" i="12"/>
  <c r="I62" i="12"/>
  <c r="J62" i="12"/>
  <c r="K62" i="12"/>
  <c r="G63" i="12"/>
  <c r="H63" i="12"/>
  <c r="I63" i="12"/>
  <c r="J63" i="12"/>
  <c r="K63" i="12"/>
  <c r="G64" i="12"/>
  <c r="H64" i="12"/>
  <c r="I64" i="12"/>
  <c r="J64" i="12"/>
  <c r="K64" i="12"/>
  <c r="G65" i="12"/>
  <c r="H65" i="12"/>
  <c r="I65" i="12"/>
  <c r="J65" i="12"/>
  <c r="K65" i="12"/>
  <c r="G66" i="12"/>
  <c r="H66" i="12"/>
  <c r="I66" i="12"/>
  <c r="J66" i="12"/>
  <c r="K66" i="12"/>
  <c r="G67" i="12"/>
  <c r="H67" i="12"/>
  <c r="I67" i="12"/>
  <c r="J67" i="12"/>
  <c r="K67" i="12"/>
  <c r="G68" i="12"/>
  <c r="H68" i="12"/>
  <c r="I68" i="12"/>
  <c r="J68" i="12"/>
  <c r="K68" i="12"/>
  <c r="G69" i="12"/>
  <c r="H69" i="12"/>
  <c r="I69" i="12"/>
  <c r="J69" i="12"/>
  <c r="K69" i="12"/>
  <c r="G70" i="12"/>
  <c r="H70" i="12"/>
  <c r="I70" i="12"/>
  <c r="J70" i="12"/>
  <c r="K70" i="12"/>
  <c r="G71" i="12"/>
  <c r="H71" i="12"/>
  <c r="I71" i="12"/>
  <c r="J71" i="12"/>
  <c r="K71" i="12"/>
  <c r="G72" i="12"/>
  <c r="H72" i="12"/>
  <c r="I72" i="12"/>
  <c r="J72" i="12"/>
  <c r="K72" i="12"/>
  <c r="G73" i="12"/>
  <c r="H73" i="12"/>
  <c r="I73" i="12"/>
  <c r="J73" i="12"/>
  <c r="K73" i="12"/>
  <c r="G74" i="12"/>
  <c r="H74" i="12"/>
  <c r="I74" i="12"/>
  <c r="J74" i="12"/>
  <c r="K74" i="12"/>
  <c r="G75" i="12"/>
  <c r="H75" i="12"/>
  <c r="I75" i="12"/>
  <c r="J75" i="12"/>
  <c r="K75" i="12"/>
  <c r="G76" i="12"/>
  <c r="H76" i="12"/>
  <c r="I76" i="12"/>
  <c r="J76" i="12"/>
  <c r="K76" i="12"/>
  <c r="G77" i="12"/>
  <c r="H77" i="12"/>
  <c r="I77" i="12"/>
  <c r="J77" i="12"/>
  <c r="K77" i="12"/>
  <c r="G78" i="12"/>
  <c r="H78" i="12"/>
  <c r="I78" i="12"/>
  <c r="J78" i="12"/>
  <c r="K78" i="12"/>
  <c r="G79" i="12"/>
  <c r="H79" i="12"/>
  <c r="I79" i="12"/>
  <c r="J79" i="12"/>
  <c r="K79" i="12"/>
  <c r="G80" i="12"/>
  <c r="H80" i="12"/>
  <c r="I80" i="12"/>
  <c r="J80" i="12"/>
  <c r="K80" i="12"/>
  <c r="G81" i="12"/>
  <c r="H81" i="12"/>
  <c r="I81" i="12"/>
  <c r="J81" i="12"/>
  <c r="K81" i="12"/>
  <c r="G82" i="12"/>
  <c r="H82" i="12"/>
  <c r="I82" i="12"/>
  <c r="J82" i="12"/>
  <c r="K82" i="12"/>
  <c r="G83" i="12"/>
  <c r="H83" i="12"/>
  <c r="I83" i="12"/>
  <c r="J83" i="12"/>
  <c r="K83" i="12"/>
  <c r="G84" i="12"/>
  <c r="H84" i="12"/>
  <c r="I84" i="12"/>
  <c r="J84" i="12"/>
  <c r="K84" i="12"/>
  <c r="G85" i="12"/>
  <c r="H85" i="12"/>
  <c r="I85" i="12"/>
  <c r="J85" i="12"/>
  <c r="K85" i="12"/>
  <c r="G86" i="12"/>
  <c r="H86" i="12"/>
  <c r="I86" i="12"/>
  <c r="J86" i="12"/>
  <c r="K86" i="12"/>
  <c r="G87" i="12"/>
  <c r="H87" i="12"/>
  <c r="I87" i="12"/>
  <c r="J87" i="12"/>
  <c r="K87" i="12"/>
  <c r="G88" i="12"/>
  <c r="H88" i="12"/>
  <c r="I88" i="12"/>
  <c r="J88" i="12"/>
  <c r="K88" i="12"/>
  <c r="F88" i="12"/>
  <c r="F76" i="12"/>
  <c r="F77" i="12"/>
  <c r="F78" i="12"/>
  <c r="F79" i="12"/>
  <c r="F80" i="12"/>
  <c r="F81" i="12"/>
  <c r="F82" i="12"/>
  <c r="F83" i="12"/>
  <c r="F84" i="12"/>
  <c r="F85" i="12"/>
  <c r="F86" i="12"/>
  <c r="F87" i="12"/>
  <c r="F75" i="12"/>
  <c r="F74" i="12"/>
  <c r="F73" i="12"/>
  <c r="F62" i="12"/>
  <c r="F63" i="12"/>
  <c r="F64" i="12"/>
  <c r="F65" i="12"/>
  <c r="F66" i="12"/>
  <c r="F67" i="12"/>
  <c r="F68" i="12"/>
  <c r="F69" i="12"/>
  <c r="F70" i="12"/>
  <c r="F71" i="12"/>
  <c r="F72" i="12"/>
  <c r="F61" i="12"/>
  <c r="G49" i="12"/>
  <c r="F47" i="12"/>
  <c r="G47" i="12"/>
  <c r="H47" i="12"/>
  <c r="I47" i="12"/>
  <c r="J47" i="12"/>
  <c r="K47" i="12"/>
  <c r="L47" i="12"/>
  <c r="G48" i="12"/>
  <c r="H48" i="12"/>
  <c r="I48" i="12"/>
  <c r="J48" i="12"/>
  <c r="K48" i="12"/>
  <c r="L48" i="12"/>
  <c r="H49" i="12"/>
  <c r="I49" i="12"/>
  <c r="J49" i="12"/>
  <c r="K49" i="12"/>
  <c r="L49" i="12"/>
  <c r="G50" i="12"/>
  <c r="H50" i="12"/>
  <c r="I50" i="12"/>
  <c r="J50" i="12"/>
  <c r="K50" i="12"/>
  <c r="L50" i="12"/>
  <c r="G51" i="12"/>
  <c r="H51" i="12"/>
  <c r="I51" i="12"/>
  <c r="J51" i="12"/>
  <c r="K51" i="12"/>
  <c r="L51" i="12"/>
  <c r="G52" i="12"/>
  <c r="H52" i="12"/>
  <c r="I52" i="12"/>
  <c r="J52" i="12"/>
  <c r="K52" i="12"/>
  <c r="L52" i="12"/>
  <c r="G53" i="12"/>
  <c r="H53" i="12"/>
  <c r="I53" i="12"/>
  <c r="J53" i="12"/>
  <c r="K53" i="12"/>
  <c r="L53" i="12"/>
  <c r="G54" i="12"/>
  <c r="H54" i="12"/>
  <c r="I54" i="12"/>
  <c r="J54" i="12"/>
  <c r="K54" i="12"/>
  <c r="L54" i="12"/>
  <c r="G55" i="12"/>
  <c r="H55" i="12"/>
  <c r="I55" i="12"/>
  <c r="J55" i="12"/>
  <c r="K55" i="12"/>
  <c r="L55" i="12"/>
  <c r="G56" i="12"/>
  <c r="H56" i="12"/>
  <c r="I56" i="12"/>
  <c r="J56" i="12"/>
  <c r="K56" i="12"/>
  <c r="L56" i="12"/>
  <c r="G57" i="12"/>
  <c r="H57" i="12"/>
  <c r="I57" i="12"/>
  <c r="J57" i="12"/>
  <c r="K57" i="12"/>
  <c r="L57" i="12"/>
  <c r="G58" i="12"/>
  <c r="H58" i="12"/>
  <c r="I58" i="12"/>
  <c r="J58" i="12"/>
  <c r="K58" i="12"/>
  <c r="L58" i="12"/>
  <c r="G59" i="12"/>
  <c r="H59" i="12"/>
  <c r="I59" i="12"/>
  <c r="J59" i="12"/>
  <c r="K59" i="12"/>
  <c r="L59" i="12"/>
  <c r="G60" i="12"/>
  <c r="H60" i="12"/>
  <c r="I60" i="12"/>
  <c r="J60" i="12"/>
  <c r="K60" i="12"/>
  <c r="L60" i="12"/>
  <c r="F60" i="12"/>
  <c r="F48" i="12"/>
  <c r="F49" i="12"/>
  <c r="F50" i="12"/>
  <c r="F51" i="12"/>
  <c r="F52" i="12"/>
  <c r="F53" i="12"/>
  <c r="F54" i="12"/>
  <c r="F55" i="12"/>
  <c r="F56" i="12"/>
  <c r="F57" i="12"/>
  <c r="F58" i="12"/>
  <c r="F59" i="12"/>
  <c r="D47" i="12"/>
  <c r="E5" i="12"/>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343" i="11"/>
  <c r="P344" i="11"/>
  <c r="P345" i="11"/>
  <c r="P346" i="11"/>
  <c r="P347" i="11"/>
  <c r="P348" i="11"/>
  <c r="P349" i="11"/>
  <c r="P350" i="11"/>
  <c r="P351" i="11"/>
  <c r="P352" i="11"/>
  <c r="P353" i="11"/>
  <c r="P354" i="11"/>
  <c r="P355" i="11"/>
  <c r="P356" i="11"/>
  <c r="P357" i="11"/>
  <c r="P358" i="11"/>
  <c r="P359" i="11"/>
  <c r="P360" i="11"/>
  <c r="P361" i="11"/>
  <c r="P362" i="11"/>
  <c r="P363" i="11"/>
  <c r="P364" i="11"/>
  <c r="P365" i="11"/>
  <c r="P366" i="11"/>
  <c r="P367" i="11"/>
  <c r="P368" i="11"/>
  <c r="P369" i="11"/>
  <c r="P370" i="11"/>
  <c r="P371" i="11"/>
  <c r="P372" i="11"/>
  <c r="P373" i="11"/>
  <c r="P374" i="11"/>
  <c r="P375" i="11"/>
  <c r="P376" i="11"/>
  <c r="P377" i="11"/>
  <c r="P378" i="11"/>
  <c r="P379" i="11"/>
  <c r="P380" i="11"/>
  <c r="P381" i="11"/>
  <c r="P382" i="11"/>
  <c r="P383" i="11"/>
  <c r="P384" i="11"/>
  <c r="P385" i="11"/>
  <c r="P386" i="11"/>
  <c r="P387" i="11"/>
  <c r="P388" i="11"/>
  <c r="P389" i="11"/>
  <c r="P390" i="11"/>
  <c r="P391" i="11"/>
  <c r="P392" i="11"/>
  <c r="P393" i="11"/>
  <c r="P394" i="11"/>
  <c r="P395" i="11"/>
  <c r="P396" i="11"/>
  <c r="P397" i="11"/>
  <c r="P398" i="11"/>
  <c r="P399" i="11"/>
  <c r="P400" i="11"/>
  <c r="P401" i="11"/>
  <c r="P402" i="11"/>
  <c r="P403" i="11"/>
  <c r="P404" i="11"/>
  <c r="P405" i="11"/>
  <c r="P406" i="11"/>
  <c r="P407" i="11"/>
  <c r="P408" i="11"/>
  <c r="P409" i="11"/>
  <c r="P410" i="11"/>
  <c r="P411" i="11"/>
  <c r="P412" i="11"/>
  <c r="P413" i="11"/>
  <c r="P414" i="11"/>
  <c r="P415" i="11"/>
  <c r="P416" i="11"/>
  <c r="P417" i="11"/>
  <c r="P418" i="11"/>
  <c r="P419" i="11"/>
  <c r="P420" i="11"/>
  <c r="P421" i="11"/>
  <c r="P422" i="11"/>
  <c r="P423" i="11"/>
  <c r="P424" i="11"/>
  <c r="P425" i="11"/>
  <c r="P426" i="11"/>
  <c r="P427" i="11"/>
  <c r="P428" i="11"/>
  <c r="P429" i="11"/>
  <c r="P430" i="11"/>
  <c r="P431" i="11"/>
  <c r="P432" i="11"/>
  <c r="P433" i="11"/>
  <c r="P434" i="11"/>
  <c r="P435" i="11"/>
  <c r="P436" i="11"/>
  <c r="P437" i="11"/>
  <c r="P438" i="11"/>
  <c r="P439" i="11"/>
  <c r="P440" i="11"/>
  <c r="P441" i="11"/>
  <c r="P442" i="11"/>
  <c r="P443" i="11"/>
  <c r="P444" i="11"/>
  <c r="P445" i="11"/>
  <c r="P446" i="11"/>
  <c r="P447" i="11"/>
  <c r="P448" i="11"/>
  <c r="P449" i="11"/>
  <c r="P450" i="11"/>
  <c r="P451" i="11"/>
  <c r="P452" i="11"/>
  <c r="P453" i="11"/>
  <c r="P454" i="11"/>
  <c r="P455" i="11"/>
  <c r="P456" i="11"/>
  <c r="P457" i="11"/>
  <c r="P458" i="11"/>
  <c r="P459" i="11"/>
  <c r="P460" i="11"/>
  <c r="P461" i="11"/>
  <c r="P462" i="11"/>
  <c r="P463" i="11"/>
  <c r="P464" i="11"/>
  <c r="P465" i="11"/>
  <c r="P466" i="11"/>
  <c r="P467" i="11"/>
  <c r="P468" i="11"/>
  <c r="P469" i="11"/>
  <c r="P470" i="11"/>
  <c r="P471" i="11"/>
  <c r="P472" i="11"/>
  <c r="P473" i="11"/>
  <c r="P474" i="11"/>
  <c r="P475" i="11"/>
  <c r="P476" i="11"/>
  <c r="P477" i="11"/>
  <c r="P478" i="11"/>
  <c r="P479" i="11"/>
  <c r="P480" i="11"/>
  <c r="P481" i="11"/>
  <c r="P482" i="11"/>
  <c r="P483" i="11"/>
  <c r="P484" i="11"/>
  <c r="P485" i="11"/>
  <c r="P486" i="11"/>
  <c r="P487" i="11"/>
  <c r="P488" i="11"/>
  <c r="P489" i="11"/>
  <c r="P490" i="11"/>
  <c r="P491" i="11"/>
  <c r="P492" i="11"/>
  <c r="P493" i="11"/>
  <c r="P494" i="11"/>
  <c r="P495" i="11"/>
  <c r="P496" i="11"/>
  <c r="P497" i="11"/>
  <c r="P498" i="11"/>
  <c r="P499" i="11"/>
  <c r="P500" i="11"/>
  <c r="P501" i="11"/>
  <c r="P502" i="11"/>
  <c r="P503" i="11"/>
  <c r="P504" i="11"/>
  <c r="P505" i="11"/>
  <c r="P506" i="11"/>
  <c r="P507" i="11"/>
  <c r="P508" i="11"/>
  <c r="P509" i="11"/>
  <c r="P510" i="11"/>
  <c r="P511" i="11"/>
  <c r="P512" i="11"/>
  <c r="P513" i="11"/>
  <c r="P514" i="11"/>
  <c r="P515" i="11"/>
  <c r="P516" i="11"/>
  <c r="P517" i="11"/>
  <c r="P518" i="11"/>
  <c r="P519" i="11"/>
  <c r="P520" i="11"/>
  <c r="P521" i="11"/>
  <c r="P522" i="11"/>
  <c r="P523" i="11"/>
  <c r="P524" i="11"/>
  <c r="P525" i="11"/>
  <c r="P526" i="11"/>
  <c r="P527" i="11"/>
  <c r="P528" i="11"/>
  <c r="P529" i="11"/>
  <c r="P530" i="11"/>
  <c r="P531" i="11"/>
  <c r="P532" i="11"/>
  <c r="P533" i="11"/>
  <c r="P534" i="11"/>
  <c r="P535" i="11"/>
  <c r="P536" i="11"/>
  <c r="P537" i="11"/>
  <c r="P538" i="11"/>
  <c r="P539" i="11"/>
  <c r="P540" i="11"/>
  <c r="P541" i="11"/>
  <c r="P542" i="11"/>
  <c r="P543" i="11"/>
  <c r="P544" i="11"/>
  <c r="P545" i="11"/>
  <c r="P546" i="11"/>
  <c r="P547" i="11"/>
  <c r="P548" i="11"/>
  <c r="P549" i="11"/>
  <c r="P550" i="11"/>
  <c r="P551" i="11"/>
  <c r="P552" i="11"/>
  <c r="P553" i="11"/>
  <c r="P554" i="11"/>
  <c r="P555" i="11"/>
  <c r="P556" i="11"/>
  <c r="P557" i="11"/>
  <c r="P558" i="11"/>
  <c r="P559" i="11"/>
  <c r="P560" i="11"/>
  <c r="P561" i="11"/>
  <c r="P562" i="11"/>
  <c r="P563" i="11"/>
  <c r="P564" i="11"/>
  <c r="P565" i="11"/>
  <c r="P566" i="11"/>
  <c r="P567" i="11"/>
  <c r="P568" i="11"/>
  <c r="P569" i="11"/>
  <c r="P570" i="11"/>
  <c r="P571" i="11"/>
  <c r="P572" i="11"/>
  <c r="P573" i="11"/>
  <c r="P574" i="11"/>
  <c r="P575" i="11"/>
  <c r="P576" i="11"/>
  <c r="P577" i="11"/>
  <c r="P578" i="11"/>
  <c r="P579" i="11"/>
  <c r="P580" i="11"/>
  <c r="P581" i="11"/>
  <c r="P582" i="11"/>
  <c r="P583" i="11"/>
  <c r="P584" i="11"/>
  <c r="P585" i="11"/>
  <c r="P586" i="11"/>
  <c r="P587" i="11"/>
  <c r="P588" i="11"/>
  <c r="P589" i="11"/>
  <c r="P590" i="11"/>
  <c r="P591" i="11"/>
  <c r="P592" i="11"/>
  <c r="P593" i="11"/>
  <c r="P594" i="11"/>
  <c r="P595" i="11"/>
  <c r="P596" i="11"/>
  <c r="P597" i="11"/>
  <c r="P598" i="11"/>
  <c r="P599" i="11"/>
  <c r="P600" i="11"/>
  <c r="P601" i="11"/>
  <c r="P602" i="11"/>
  <c r="P603" i="11"/>
  <c r="P604" i="11"/>
  <c r="P605" i="11"/>
  <c r="P606" i="11"/>
  <c r="P607" i="11"/>
  <c r="P608" i="11"/>
  <c r="P609" i="11"/>
  <c r="P610" i="11"/>
  <c r="P611" i="11"/>
  <c r="P612" i="11"/>
  <c r="P613" i="11"/>
  <c r="P614" i="11"/>
  <c r="P615" i="11"/>
  <c r="P616" i="11"/>
  <c r="P617" i="11"/>
  <c r="P618" i="11"/>
  <c r="P619" i="11"/>
  <c r="P620" i="11"/>
  <c r="P621" i="11"/>
  <c r="P622" i="11"/>
  <c r="P623" i="11"/>
  <c r="P624" i="11"/>
  <c r="P625" i="11"/>
  <c r="P626" i="11"/>
  <c r="P627" i="11"/>
  <c r="P628" i="11"/>
  <c r="P629" i="11"/>
  <c r="P630" i="11"/>
  <c r="P631" i="11"/>
  <c r="P632" i="11"/>
  <c r="P633" i="11"/>
  <c r="P634" i="11"/>
  <c r="P635" i="11"/>
  <c r="P636" i="11"/>
  <c r="P637" i="11"/>
  <c r="P638" i="11"/>
  <c r="P639" i="11"/>
  <c r="P640" i="11"/>
  <c r="P641" i="11"/>
  <c r="P642" i="11"/>
  <c r="P643" i="11"/>
  <c r="P644" i="11"/>
  <c r="P645" i="11"/>
  <c r="P646" i="11"/>
  <c r="P647" i="11"/>
  <c r="P648" i="11"/>
  <c r="P649" i="11"/>
  <c r="P650" i="11"/>
  <c r="P651" i="11"/>
  <c r="P652" i="11"/>
  <c r="P653" i="11"/>
  <c r="P654" i="11"/>
  <c r="P655" i="11"/>
  <c r="P656" i="11"/>
  <c r="P657" i="11"/>
  <c r="P658" i="11"/>
  <c r="P659" i="11"/>
  <c r="P660" i="11"/>
  <c r="P661" i="11"/>
  <c r="P662" i="11"/>
  <c r="P663" i="11"/>
  <c r="P664" i="11"/>
  <c r="P665" i="11"/>
  <c r="P666" i="11"/>
  <c r="P667" i="11"/>
  <c r="P668" i="11"/>
  <c r="P669" i="11"/>
  <c r="P670" i="11"/>
  <c r="P671" i="11"/>
  <c r="P672" i="11"/>
  <c r="P673" i="11"/>
  <c r="P674" i="11"/>
  <c r="P675" i="11"/>
  <c r="P676" i="11"/>
  <c r="P677" i="11"/>
  <c r="P678" i="11"/>
  <c r="P679" i="11"/>
  <c r="P680" i="11"/>
  <c r="P681" i="11"/>
  <c r="P682" i="11"/>
  <c r="P683" i="11"/>
  <c r="P684" i="11"/>
  <c r="P685" i="11"/>
  <c r="P686" i="11"/>
  <c r="P687" i="11"/>
  <c r="P688" i="11"/>
  <c r="P689" i="11"/>
  <c r="P690" i="11"/>
  <c r="P691" i="11"/>
  <c r="P692" i="11"/>
  <c r="P693" i="11"/>
  <c r="P694" i="11"/>
  <c r="P695" i="11"/>
  <c r="P696" i="11"/>
  <c r="P697" i="11"/>
  <c r="P698" i="11"/>
  <c r="P699" i="11"/>
  <c r="P700" i="11"/>
  <c r="P701" i="11"/>
  <c r="P702" i="11"/>
  <c r="P703" i="11"/>
  <c r="P704" i="11"/>
  <c r="P705" i="11"/>
  <c r="P706" i="11"/>
  <c r="P707" i="11"/>
  <c r="P708" i="11"/>
  <c r="P709" i="11"/>
  <c r="P710" i="11"/>
  <c r="P711" i="11"/>
  <c r="P712" i="11"/>
  <c r="P713" i="11"/>
  <c r="P714" i="11"/>
  <c r="P715" i="11"/>
  <c r="P716" i="11"/>
  <c r="P717" i="11"/>
  <c r="P718" i="11"/>
  <c r="P719" i="11"/>
  <c r="P720" i="11"/>
  <c r="P721" i="11"/>
  <c r="P722" i="11"/>
  <c r="P723" i="11"/>
  <c r="P724" i="11"/>
  <c r="P725" i="11"/>
  <c r="P726" i="11"/>
  <c r="P727" i="11"/>
  <c r="P728" i="11"/>
  <c r="P729" i="11"/>
  <c r="P730" i="11"/>
  <c r="P731" i="11"/>
  <c r="P732" i="11"/>
  <c r="P733" i="11"/>
  <c r="P734" i="11"/>
  <c r="P735" i="11"/>
  <c r="P736" i="11"/>
  <c r="P737" i="11"/>
  <c r="P738" i="11"/>
  <c r="P739" i="11"/>
  <c r="P740" i="11"/>
  <c r="P741" i="11"/>
  <c r="P742" i="11"/>
  <c r="P743" i="11"/>
  <c r="P744" i="11"/>
  <c r="P745" i="11"/>
  <c r="P746" i="11"/>
  <c r="P747" i="11"/>
  <c r="P748" i="11"/>
  <c r="P749" i="11"/>
  <c r="P750" i="11"/>
  <c r="P751" i="11"/>
  <c r="P752" i="11"/>
  <c r="P753" i="11"/>
  <c r="P754" i="11"/>
  <c r="P755" i="11"/>
  <c r="P756" i="11"/>
  <c r="P757" i="11"/>
  <c r="P758" i="11"/>
  <c r="P759" i="11"/>
  <c r="P760" i="11"/>
  <c r="P761" i="11"/>
  <c r="P762" i="11"/>
  <c r="P763" i="11"/>
  <c r="P764" i="11"/>
  <c r="P765" i="11"/>
  <c r="P766" i="11"/>
  <c r="P767" i="11"/>
  <c r="P768" i="11"/>
  <c r="P769" i="11"/>
  <c r="P770" i="11"/>
  <c r="P771" i="11"/>
  <c r="P772" i="11"/>
  <c r="P773" i="11"/>
  <c r="P774" i="11"/>
  <c r="P775" i="11"/>
  <c r="P776" i="11"/>
  <c r="P777" i="11"/>
  <c r="P778" i="11"/>
  <c r="P779" i="11"/>
  <c r="P780" i="11"/>
  <c r="P781" i="11"/>
  <c r="P782" i="11"/>
  <c r="P783" i="11"/>
  <c r="P784" i="11"/>
  <c r="P785" i="11"/>
  <c r="P786" i="11"/>
  <c r="P787" i="11"/>
  <c r="P788" i="11"/>
  <c r="P789" i="11"/>
  <c r="P790" i="11"/>
  <c r="P791" i="11"/>
  <c r="P792" i="11"/>
  <c r="P793" i="11"/>
  <c r="P794" i="11"/>
  <c r="P795" i="11"/>
  <c r="P796" i="11"/>
  <c r="P797" i="11"/>
  <c r="P798" i="11"/>
  <c r="P799" i="11"/>
  <c r="P800" i="11"/>
  <c r="P801" i="11"/>
  <c r="P802" i="11"/>
  <c r="P803" i="11"/>
  <c r="P804" i="11"/>
  <c r="P805" i="11"/>
  <c r="P806" i="11"/>
  <c r="P807" i="11"/>
  <c r="P808" i="11"/>
  <c r="P809" i="11"/>
  <c r="P810" i="11"/>
  <c r="P811" i="11"/>
  <c r="P812" i="11"/>
  <c r="P813" i="11"/>
  <c r="P814" i="11"/>
  <c r="P815" i="11"/>
  <c r="P816" i="11"/>
  <c r="P817" i="11"/>
  <c r="P818" i="11"/>
  <c r="P819" i="11"/>
  <c r="P820" i="11"/>
  <c r="P821" i="11"/>
  <c r="P822" i="11"/>
  <c r="P823" i="11"/>
  <c r="P824" i="11"/>
  <c r="P825" i="11"/>
  <c r="P826" i="11"/>
  <c r="P827" i="11"/>
  <c r="P828" i="11"/>
  <c r="P829" i="11"/>
  <c r="P830" i="11"/>
  <c r="P831" i="11"/>
  <c r="P832" i="11"/>
  <c r="P833" i="11"/>
  <c r="P834" i="11"/>
  <c r="P835" i="11"/>
  <c r="P836" i="11"/>
  <c r="P837" i="11"/>
  <c r="P838" i="11"/>
  <c r="P839" i="11"/>
  <c r="P840" i="11"/>
  <c r="P841" i="11"/>
  <c r="P842" i="11"/>
  <c r="P843" i="11"/>
  <c r="P844" i="11"/>
  <c r="P845" i="11"/>
  <c r="P846" i="11"/>
  <c r="P847" i="11"/>
  <c r="P848" i="11"/>
  <c r="P849" i="11"/>
  <c r="P850" i="11"/>
  <c r="P851" i="11"/>
  <c r="P852" i="11"/>
  <c r="P853" i="11"/>
  <c r="P854" i="11"/>
  <c r="P855" i="11"/>
  <c r="P856" i="11"/>
  <c r="P857" i="11"/>
  <c r="P858" i="11"/>
  <c r="P859" i="11"/>
  <c r="P860" i="11"/>
  <c r="P861" i="11"/>
  <c r="P862" i="11"/>
  <c r="P863" i="11"/>
  <c r="P864" i="11"/>
  <c r="P865" i="11"/>
  <c r="P866" i="11"/>
  <c r="P867" i="11"/>
  <c r="P868" i="11"/>
  <c r="P869" i="11"/>
  <c r="P870" i="11"/>
  <c r="P871" i="11"/>
  <c r="P872" i="11"/>
  <c r="P873" i="11"/>
  <c r="P874" i="11"/>
  <c r="P875" i="11"/>
  <c r="P876" i="11"/>
  <c r="P877" i="11"/>
  <c r="P878" i="11"/>
  <c r="P879" i="11"/>
  <c r="P880" i="11"/>
  <c r="P881" i="11"/>
  <c r="P882" i="11"/>
  <c r="P883" i="11"/>
  <c r="P884" i="11"/>
  <c r="P885" i="11"/>
  <c r="P886" i="11"/>
  <c r="P887" i="11"/>
  <c r="P888" i="11"/>
  <c r="P889" i="11"/>
  <c r="P890" i="11"/>
  <c r="P891" i="11"/>
  <c r="P892" i="11"/>
  <c r="P893" i="11"/>
  <c r="P894" i="11"/>
  <c r="P895" i="11"/>
  <c r="P896" i="11"/>
  <c r="P897" i="11"/>
  <c r="P898" i="11"/>
  <c r="P899" i="11"/>
  <c r="P900" i="11"/>
  <c r="P901" i="11"/>
  <c r="P902" i="11"/>
  <c r="P903" i="11"/>
  <c r="P904" i="11"/>
  <c r="P905" i="11"/>
  <c r="P906" i="11"/>
  <c r="P907" i="11"/>
  <c r="P908" i="11"/>
  <c r="P909" i="11"/>
  <c r="P910" i="11"/>
  <c r="P911" i="11"/>
  <c r="P912" i="11"/>
  <c r="P913" i="11"/>
  <c r="P914" i="11"/>
  <c r="P915" i="11"/>
  <c r="P916" i="11"/>
  <c r="P917" i="11"/>
  <c r="P918" i="11"/>
  <c r="P919" i="11"/>
  <c r="P920" i="11"/>
  <c r="P921" i="11"/>
  <c r="P922" i="11"/>
  <c r="P923" i="11"/>
  <c r="P924" i="11"/>
  <c r="P925" i="11"/>
  <c r="P926" i="11"/>
  <c r="P927" i="11"/>
  <c r="P928" i="11"/>
  <c r="P929" i="11"/>
  <c r="P930" i="11"/>
  <c r="P931" i="11"/>
  <c r="P932" i="11"/>
  <c r="P933" i="11"/>
  <c r="P934" i="11"/>
  <c r="P935" i="11"/>
  <c r="P936" i="11"/>
  <c r="P937" i="11"/>
  <c r="P938" i="11"/>
  <c r="P939" i="11"/>
  <c r="P940" i="11"/>
  <c r="P941" i="11"/>
  <c r="P942" i="11"/>
  <c r="P943" i="11"/>
  <c r="P944" i="11"/>
  <c r="P945" i="11"/>
  <c r="P946" i="11"/>
  <c r="P947" i="11"/>
  <c r="P948" i="11"/>
  <c r="P949" i="11"/>
  <c r="P950" i="11"/>
  <c r="P951" i="11"/>
  <c r="P952" i="11"/>
  <c r="P953" i="11"/>
  <c r="P954" i="11"/>
  <c r="P955" i="11"/>
  <c r="P956" i="11"/>
  <c r="P957" i="11"/>
  <c r="P958" i="11"/>
  <c r="P959" i="11"/>
  <c r="P960" i="11"/>
  <c r="P961" i="11"/>
  <c r="P962" i="11"/>
  <c r="P963" i="11"/>
  <c r="P964" i="11"/>
  <c r="P965" i="11"/>
  <c r="P966" i="11"/>
  <c r="P967" i="11"/>
  <c r="P968" i="11"/>
  <c r="P969" i="11"/>
  <c r="P970" i="11"/>
  <c r="P971" i="11"/>
  <c r="P972" i="11"/>
  <c r="P973" i="11"/>
  <c r="P974" i="11"/>
  <c r="P975" i="11"/>
  <c r="P976" i="11"/>
  <c r="P977" i="11"/>
  <c r="P978" i="11"/>
  <c r="P979" i="11"/>
  <c r="P980" i="11"/>
  <c r="P981" i="11"/>
  <c r="P982" i="11"/>
  <c r="P983" i="11"/>
  <c r="P984" i="11"/>
  <c r="P985" i="11"/>
  <c r="P986" i="11"/>
  <c r="P987" i="11"/>
  <c r="P988" i="11"/>
  <c r="P989" i="11"/>
  <c r="P990" i="11"/>
  <c r="P991" i="11"/>
  <c r="P992" i="11"/>
  <c r="P993" i="11"/>
  <c r="P994" i="11"/>
  <c r="P995" i="11"/>
  <c r="P996" i="11"/>
  <c r="P997" i="11"/>
  <c r="P998" i="11"/>
  <c r="P999" i="11"/>
  <c r="P1000" i="11"/>
  <c r="P1001" i="11"/>
  <c r="P1002" i="11"/>
  <c r="P1003" i="11"/>
  <c r="P1004" i="11"/>
  <c r="P1005" i="11"/>
  <c r="P1006" i="11"/>
  <c r="P1007" i="11"/>
  <c r="P1008" i="11"/>
  <c r="P1009" i="11"/>
  <c r="P1010" i="11"/>
  <c r="P1011" i="11"/>
  <c r="P1012" i="11"/>
  <c r="P1013" i="11"/>
  <c r="P1014" i="11"/>
  <c r="P1015" i="11"/>
  <c r="P1016" i="11"/>
  <c r="P1017" i="11"/>
  <c r="P1018" i="11"/>
  <c r="P1019" i="11"/>
  <c r="P1020" i="11"/>
  <c r="P1021" i="11"/>
  <c r="P1022" i="11"/>
  <c r="P1023" i="11"/>
  <c r="P1024" i="11"/>
  <c r="P1025" i="11"/>
  <c r="P1026" i="11"/>
  <c r="P1027" i="11"/>
  <c r="P1028" i="11"/>
  <c r="P1029" i="11"/>
  <c r="P1030" i="11"/>
  <c r="P1031" i="11"/>
  <c r="P1032" i="11"/>
  <c r="P1033" i="11"/>
  <c r="P1034" i="11"/>
  <c r="P1035" i="11"/>
  <c r="P1036" i="11"/>
  <c r="P1037" i="11"/>
  <c r="P1038" i="11"/>
  <c r="P1039" i="11"/>
  <c r="P1040" i="11"/>
  <c r="P1041" i="11"/>
  <c r="P1042" i="11"/>
  <c r="P1043" i="11"/>
  <c r="P1044" i="11"/>
  <c r="P1045" i="11"/>
  <c r="P1046" i="11"/>
  <c r="P1047" i="11"/>
  <c r="P1048" i="11"/>
  <c r="P1049" i="11"/>
  <c r="P1050" i="11"/>
  <c r="P1051" i="11"/>
  <c r="P1052" i="11"/>
  <c r="P1053" i="11"/>
  <c r="P1054" i="11"/>
  <c r="P1055" i="11"/>
  <c r="P1056" i="11"/>
  <c r="P1057" i="11"/>
  <c r="P1058" i="11"/>
  <c r="P1059" i="11"/>
  <c r="P1060" i="11"/>
  <c r="P1061" i="11"/>
  <c r="P1062" i="11"/>
  <c r="P1063" i="11"/>
  <c r="P1064" i="11"/>
  <c r="P1065" i="11"/>
  <c r="P1066" i="11"/>
  <c r="P1067" i="11"/>
  <c r="P1068" i="11"/>
  <c r="P1069" i="11"/>
  <c r="P1070" i="11"/>
  <c r="P1071" i="11"/>
  <c r="P1072" i="11"/>
  <c r="P1073" i="11"/>
  <c r="P1074" i="11"/>
  <c r="P1075" i="11"/>
  <c r="P1076" i="11"/>
  <c r="P1077" i="11"/>
  <c r="P1078" i="11"/>
  <c r="P1079" i="11"/>
  <c r="P1080" i="11"/>
  <c r="P1081" i="11"/>
  <c r="P1082" i="11"/>
  <c r="P1083" i="11"/>
  <c r="P1084" i="11"/>
  <c r="P1085" i="11"/>
  <c r="P1086" i="11"/>
  <c r="P1087" i="11"/>
  <c r="P1088" i="11"/>
  <c r="P1089" i="11"/>
  <c r="P1090" i="11"/>
  <c r="P1091" i="11"/>
  <c r="P1092" i="11"/>
  <c r="P1093" i="11"/>
  <c r="P1094" i="11"/>
  <c r="P1095" i="11"/>
  <c r="P1096" i="11"/>
  <c r="P1097" i="11"/>
  <c r="P1098" i="11"/>
  <c r="P1099" i="11"/>
  <c r="P1100" i="11"/>
  <c r="P1101" i="11"/>
  <c r="P1102" i="11"/>
  <c r="P1103" i="11"/>
  <c r="P1104" i="11"/>
  <c r="P1105" i="11"/>
  <c r="P1106" i="11"/>
  <c r="P1107" i="11"/>
  <c r="P1108" i="11"/>
  <c r="P1109" i="11"/>
  <c r="P1110" i="11"/>
  <c r="P1111" i="11"/>
  <c r="P1112" i="11"/>
  <c r="P1113" i="11"/>
  <c r="P1114" i="11"/>
  <c r="P1115" i="11"/>
  <c r="P1116" i="11"/>
  <c r="P1117" i="11"/>
  <c r="P1118" i="11"/>
  <c r="P1119" i="11"/>
  <c r="P1120" i="11"/>
  <c r="P1121" i="11"/>
  <c r="P1122" i="11"/>
  <c r="P1123" i="11"/>
  <c r="P1124" i="11"/>
  <c r="P1125" i="11"/>
  <c r="P1126" i="11"/>
  <c r="P1127" i="11"/>
  <c r="P1128" i="11"/>
  <c r="P1129" i="11"/>
  <c r="P1130" i="11"/>
  <c r="P1131" i="11"/>
  <c r="P1132" i="11"/>
  <c r="P1133" i="11"/>
  <c r="P1134" i="11"/>
  <c r="P1135" i="11"/>
  <c r="P1136" i="11"/>
  <c r="P1137" i="11"/>
  <c r="P1138" i="11"/>
  <c r="P1139" i="11"/>
  <c r="P1140" i="11"/>
  <c r="P1141" i="11"/>
  <c r="P1142" i="11"/>
  <c r="P1143" i="11"/>
  <c r="P1144" i="11"/>
  <c r="P1145" i="11"/>
  <c r="P1146" i="11"/>
  <c r="P1147" i="11"/>
  <c r="P1148" i="11"/>
  <c r="P1149" i="11"/>
  <c r="P1150" i="11"/>
  <c r="P1151" i="11"/>
  <c r="P1152" i="11"/>
  <c r="P1153" i="11"/>
  <c r="P1154" i="11"/>
  <c r="P1155" i="11"/>
  <c r="P1156" i="11"/>
  <c r="P1157" i="11"/>
  <c r="P1158" i="11"/>
  <c r="P1159" i="11"/>
  <c r="P1160" i="11"/>
  <c r="P1161" i="11"/>
  <c r="P1162" i="11"/>
  <c r="P1163" i="11"/>
  <c r="P1164" i="11"/>
  <c r="P1165" i="11"/>
  <c r="P1166" i="11"/>
  <c r="P1167" i="11"/>
  <c r="P1168" i="11"/>
  <c r="P1169" i="11"/>
  <c r="P1170" i="11"/>
  <c r="P1171" i="11"/>
  <c r="P1172" i="11"/>
  <c r="P1173" i="11"/>
  <c r="P1174" i="11"/>
  <c r="P1175" i="11"/>
  <c r="P1176" i="11"/>
  <c r="P1177" i="11"/>
  <c r="P1178" i="11"/>
  <c r="P1179" i="11"/>
  <c r="P1180" i="11"/>
  <c r="P1181" i="11"/>
  <c r="P1182" i="11"/>
  <c r="P1183" i="11"/>
  <c r="P1184" i="11"/>
  <c r="P1185" i="11"/>
  <c r="P1186" i="11"/>
  <c r="P1187" i="11"/>
  <c r="P1188" i="11"/>
  <c r="P1189" i="11"/>
  <c r="P1190" i="11"/>
  <c r="P1191" i="11"/>
  <c r="P1192" i="11"/>
  <c r="P1193" i="11"/>
  <c r="P1194" i="11"/>
  <c r="P1195" i="11"/>
  <c r="P1196" i="11"/>
  <c r="P1197" i="11"/>
  <c r="P1198" i="11"/>
  <c r="P1199" i="11"/>
  <c r="P1200" i="11"/>
  <c r="P1201" i="11"/>
  <c r="P1202" i="11"/>
  <c r="P1203" i="11"/>
  <c r="P1204" i="11"/>
  <c r="P1205" i="11"/>
  <c r="P1206" i="11"/>
  <c r="P1207" i="11"/>
  <c r="P1208" i="11"/>
  <c r="P1209" i="11"/>
  <c r="P1210" i="11"/>
  <c r="P1211" i="11"/>
  <c r="P1212" i="11"/>
  <c r="P1213" i="11"/>
  <c r="P1214" i="11"/>
  <c r="P1215" i="11"/>
  <c r="P1216" i="11"/>
  <c r="P1217" i="11"/>
  <c r="P1218" i="11"/>
  <c r="P1219" i="11"/>
  <c r="P1220" i="11"/>
  <c r="P1221" i="11"/>
  <c r="P1222" i="11"/>
  <c r="P1223" i="11"/>
  <c r="P1224" i="11"/>
  <c r="P1225" i="11"/>
  <c r="P1226" i="11"/>
  <c r="P1227" i="11"/>
  <c r="P1228" i="11"/>
  <c r="P1229" i="11"/>
  <c r="P1230" i="11"/>
  <c r="P1231" i="11"/>
  <c r="P1232" i="11"/>
  <c r="P1233" i="11"/>
  <c r="P1234" i="11"/>
  <c r="P1235" i="11"/>
  <c r="P1236" i="11"/>
  <c r="P1237" i="11"/>
  <c r="P1238" i="11"/>
  <c r="P1239" i="11"/>
  <c r="P1240" i="11"/>
  <c r="P1241" i="11"/>
  <c r="P1242" i="11"/>
  <c r="P1243" i="11"/>
  <c r="P1244" i="11"/>
  <c r="P1245" i="11"/>
  <c r="P1246" i="11"/>
  <c r="P1247" i="11"/>
  <c r="P1248" i="11"/>
  <c r="P1249" i="11"/>
  <c r="P1250" i="11"/>
  <c r="P1251" i="11"/>
  <c r="P1252" i="11"/>
  <c r="P1253" i="11"/>
  <c r="P1254" i="11"/>
  <c r="P1255" i="11"/>
  <c r="P1256" i="11"/>
  <c r="P1257" i="11"/>
  <c r="P1258" i="11"/>
  <c r="P1259" i="11"/>
  <c r="P1260" i="11"/>
  <c r="P1261" i="11"/>
  <c r="P1262" i="11"/>
  <c r="P1263" i="11"/>
  <c r="P1264" i="11"/>
  <c r="P1265" i="11"/>
  <c r="P1266" i="11"/>
  <c r="P1267" i="11"/>
  <c r="P1268" i="11"/>
  <c r="P1269" i="11"/>
  <c r="P1270" i="11"/>
  <c r="P1271" i="11"/>
  <c r="P1272" i="11"/>
  <c r="P1273" i="11"/>
  <c r="P1274" i="11"/>
  <c r="P1275" i="11"/>
  <c r="P1276" i="11"/>
  <c r="P1277" i="11"/>
  <c r="P1278" i="11"/>
  <c r="P1279" i="11"/>
  <c r="P1280" i="11"/>
  <c r="P1281" i="11"/>
  <c r="P1282" i="11"/>
  <c r="P1283" i="11"/>
  <c r="P1284" i="11"/>
  <c r="P1285" i="11"/>
  <c r="P1286" i="11"/>
  <c r="P1287" i="11"/>
  <c r="P1288" i="11"/>
  <c r="P1289" i="11"/>
  <c r="P1290" i="11"/>
  <c r="P1291" i="11"/>
  <c r="P1292" i="11"/>
  <c r="P1293" i="11"/>
  <c r="P1294" i="11"/>
  <c r="P1295" i="11"/>
  <c r="P1296" i="11"/>
  <c r="P1297" i="11"/>
  <c r="P1298" i="11"/>
  <c r="P1299" i="11"/>
  <c r="P1300" i="11"/>
  <c r="P1301" i="11"/>
  <c r="P1302" i="11"/>
  <c r="P1303" i="11"/>
  <c r="P1304" i="11"/>
  <c r="P1305" i="11"/>
  <c r="P1306" i="11"/>
  <c r="P1307" i="11"/>
  <c r="P1308" i="11"/>
  <c r="P1309" i="11"/>
  <c r="P1310" i="11"/>
  <c r="P1311" i="11"/>
  <c r="P1312" i="11"/>
  <c r="P1313" i="11"/>
  <c r="P1314" i="11"/>
  <c r="P1315" i="11"/>
  <c r="P1316" i="11"/>
  <c r="P1317" i="11"/>
  <c r="P1318" i="11"/>
  <c r="P1319" i="11"/>
  <c r="P1320" i="11"/>
  <c r="P1321" i="11"/>
  <c r="P1322" i="11"/>
  <c r="P1323" i="11"/>
  <c r="P1324" i="11"/>
  <c r="P1325" i="11"/>
  <c r="P1326" i="11"/>
  <c r="P1327" i="11"/>
  <c r="P1328" i="11"/>
  <c r="P1329" i="11"/>
  <c r="P1330" i="11"/>
  <c r="P1331" i="11"/>
  <c r="P1332" i="11"/>
  <c r="P1333" i="11"/>
  <c r="P1334" i="11"/>
  <c r="P1335" i="11"/>
  <c r="P1336" i="11"/>
  <c r="P1337" i="11"/>
  <c r="P1338" i="11"/>
  <c r="P1339" i="11"/>
  <c r="P1340" i="11"/>
  <c r="P1341" i="11"/>
  <c r="P1342" i="11"/>
  <c r="P1343" i="11"/>
  <c r="P1344" i="11"/>
  <c r="P1345" i="11"/>
  <c r="P1346" i="11"/>
  <c r="P1347" i="11"/>
  <c r="P1348" i="11"/>
  <c r="P1349" i="11"/>
  <c r="P1350" i="11"/>
  <c r="P1351" i="11"/>
  <c r="P1352" i="11"/>
  <c r="P1353" i="11"/>
  <c r="P1354" i="11"/>
  <c r="P1355" i="11"/>
  <c r="P1356" i="11"/>
  <c r="P1357" i="11"/>
  <c r="P1358" i="11"/>
  <c r="P1359" i="11"/>
  <c r="P1360" i="11"/>
  <c r="P1361" i="11"/>
  <c r="P1362" i="11"/>
  <c r="P1363" i="11"/>
  <c r="P1364" i="11"/>
  <c r="P1365" i="11"/>
  <c r="P1366" i="11"/>
  <c r="P1367" i="11"/>
  <c r="P1368" i="11"/>
  <c r="P1369" i="11"/>
  <c r="P1370" i="11"/>
  <c r="P1371" i="11"/>
  <c r="P1372" i="11"/>
  <c r="P1373" i="11"/>
  <c r="P1374" i="11"/>
  <c r="P1375" i="11"/>
  <c r="P1376" i="11"/>
  <c r="P1377" i="11"/>
  <c r="P1378" i="11"/>
  <c r="P1379" i="11"/>
  <c r="P1380" i="11"/>
  <c r="P1381" i="11"/>
  <c r="P1382" i="11"/>
  <c r="P1383" i="11"/>
  <c r="P1384" i="11"/>
  <c r="P1385" i="11"/>
  <c r="P1386" i="11"/>
  <c r="P1387" i="11"/>
  <c r="P1388" i="11"/>
  <c r="P1389" i="11"/>
  <c r="P1390" i="11"/>
  <c r="P1391" i="11"/>
  <c r="P1392" i="11"/>
  <c r="P1393" i="11"/>
  <c r="P1394" i="11"/>
  <c r="P1395" i="11"/>
  <c r="P1396" i="11"/>
  <c r="P1397" i="11"/>
  <c r="P1398" i="11"/>
  <c r="P1399" i="11"/>
  <c r="P1400" i="11"/>
  <c r="P1401" i="11"/>
  <c r="P1402" i="11"/>
  <c r="P1403" i="11"/>
  <c r="P1404" i="11"/>
  <c r="P1405" i="11"/>
  <c r="P1406" i="11"/>
  <c r="P1407" i="11"/>
  <c r="P1408" i="11"/>
  <c r="P1409" i="11"/>
  <c r="P1410" i="11"/>
  <c r="P1411" i="11"/>
  <c r="P1412" i="11"/>
  <c r="P1413" i="11"/>
  <c r="P1414" i="11"/>
  <c r="P1415" i="11"/>
  <c r="P1416" i="11"/>
  <c r="P1417" i="11"/>
  <c r="P1418" i="11"/>
  <c r="P1419" i="11"/>
  <c r="P1420" i="11"/>
  <c r="P1421" i="11"/>
  <c r="P1422" i="11"/>
  <c r="P1423" i="11"/>
  <c r="P1424" i="11"/>
  <c r="P1425" i="11"/>
  <c r="P1426" i="11"/>
  <c r="P1427" i="11"/>
  <c r="P1428" i="11"/>
  <c r="P1429" i="11"/>
  <c r="P1430" i="11"/>
  <c r="P1431" i="11"/>
  <c r="P1432" i="11"/>
  <c r="P1433" i="11"/>
  <c r="P1434" i="11"/>
  <c r="P1435" i="11"/>
  <c r="P1436" i="11"/>
  <c r="P1437" i="11"/>
  <c r="P1438" i="11"/>
  <c r="P1439" i="11"/>
  <c r="P1440" i="11"/>
  <c r="P1441" i="11"/>
  <c r="P1442" i="11"/>
  <c r="P1443" i="11"/>
  <c r="P1444" i="11"/>
  <c r="P1445" i="11"/>
  <c r="P1446" i="11"/>
  <c r="P1447" i="11"/>
  <c r="P1448" i="11"/>
  <c r="P1449" i="11"/>
  <c r="P1450" i="11"/>
  <c r="P1451" i="11"/>
  <c r="P1452" i="11"/>
  <c r="P1453" i="11"/>
  <c r="P1454" i="11"/>
  <c r="P1455" i="11"/>
  <c r="P1456" i="11"/>
  <c r="P1457" i="11"/>
  <c r="P1458" i="11"/>
  <c r="P1459" i="11"/>
  <c r="P1460" i="11"/>
  <c r="P1461" i="11"/>
  <c r="P1462" i="11"/>
  <c r="P1463" i="11"/>
  <c r="P1464" i="11"/>
  <c r="P1465" i="11"/>
  <c r="P1466" i="11"/>
  <c r="P1467" i="11"/>
  <c r="P1468" i="11"/>
  <c r="P1469" i="11"/>
  <c r="P1470" i="11"/>
  <c r="P1471" i="11"/>
  <c r="P1472" i="11"/>
  <c r="P1473" i="11"/>
  <c r="P1474" i="11"/>
  <c r="P1475" i="11"/>
  <c r="P1476" i="11"/>
  <c r="P1477" i="11"/>
  <c r="P1478" i="11"/>
  <c r="P1479" i="11"/>
  <c r="P1480" i="11"/>
  <c r="P1481" i="11"/>
  <c r="P1482" i="11"/>
  <c r="P1483" i="11"/>
  <c r="P1484" i="11"/>
  <c r="P1485" i="11"/>
  <c r="P1486" i="11"/>
  <c r="P1487" i="11"/>
  <c r="P1488" i="11"/>
  <c r="P1489" i="11"/>
  <c r="P1490" i="11"/>
  <c r="P1491" i="11"/>
  <c r="P1492" i="11"/>
  <c r="P1493" i="11"/>
  <c r="P1494" i="11"/>
  <c r="P1495" i="11"/>
  <c r="P1496" i="11"/>
  <c r="P1497" i="11"/>
  <c r="P1498" i="11"/>
  <c r="P1499" i="11"/>
  <c r="P1500" i="11"/>
  <c r="P1501" i="11"/>
  <c r="P1502" i="11"/>
  <c r="P1503" i="11"/>
  <c r="P1504" i="11"/>
  <c r="P1505" i="11"/>
  <c r="P1506" i="11"/>
  <c r="P1507" i="11"/>
  <c r="P1508" i="11"/>
  <c r="P1509" i="11"/>
  <c r="P1510" i="11"/>
  <c r="P1511" i="11"/>
  <c r="P1512" i="11"/>
  <c r="P1513" i="11"/>
  <c r="P1514" i="11"/>
  <c r="P1515" i="11"/>
  <c r="P1516" i="11"/>
  <c r="P1517" i="11"/>
  <c r="P1518" i="11"/>
  <c r="P1519" i="11"/>
  <c r="P1520" i="11"/>
  <c r="P1521" i="11"/>
  <c r="P1522" i="11"/>
  <c r="P1523" i="11"/>
  <c r="P1524" i="11"/>
  <c r="P1525" i="11"/>
  <c r="P1526" i="11"/>
  <c r="P1527" i="11"/>
  <c r="P1528" i="11"/>
  <c r="P1529" i="11"/>
  <c r="P1530" i="11"/>
  <c r="P1531" i="11"/>
  <c r="P1532" i="11"/>
  <c r="P1533" i="11"/>
  <c r="P1534" i="11"/>
  <c r="P1535" i="11"/>
  <c r="P1536" i="11"/>
  <c r="P1537" i="11"/>
  <c r="P1538" i="11"/>
  <c r="P1539" i="11"/>
  <c r="P1540" i="11"/>
  <c r="P1541" i="11"/>
  <c r="P1542" i="11"/>
  <c r="P1543" i="11"/>
  <c r="P1544" i="11"/>
  <c r="P1545" i="11"/>
  <c r="P1546" i="11"/>
  <c r="P1547" i="11"/>
  <c r="P1548" i="11"/>
  <c r="P1549" i="11"/>
  <c r="P1550" i="11"/>
  <c r="P1551" i="11"/>
  <c r="P1552" i="11"/>
  <c r="P1553" i="11"/>
  <c r="P1554" i="11"/>
  <c r="P1555" i="11"/>
  <c r="P1556" i="11"/>
  <c r="P1557" i="11"/>
  <c r="P1558" i="11"/>
  <c r="P1559" i="11"/>
  <c r="P1560" i="11"/>
  <c r="P1561" i="11"/>
  <c r="P1562" i="11"/>
  <c r="P1563" i="11"/>
  <c r="P1564" i="11"/>
  <c r="P1565" i="11"/>
  <c r="P1566" i="11"/>
  <c r="P1567" i="11"/>
  <c r="P1568" i="11"/>
  <c r="P1569" i="11"/>
  <c r="P1570" i="11"/>
  <c r="P1571" i="11"/>
  <c r="P1572" i="11"/>
  <c r="P1573" i="11"/>
  <c r="P1574" i="11"/>
  <c r="P1575" i="11"/>
  <c r="P1576" i="11"/>
  <c r="P1577" i="11"/>
  <c r="P1578" i="11"/>
  <c r="P1579" i="11"/>
  <c r="P1580" i="11"/>
  <c r="P1581" i="11"/>
  <c r="P1582" i="11"/>
  <c r="P1583" i="11"/>
  <c r="P1584" i="11"/>
  <c r="P1585" i="11"/>
  <c r="P1586" i="11"/>
  <c r="P1587" i="11"/>
  <c r="P1588" i="11"/>
  <c r="P1589" i="11"/>
  <c r="P1590" i="11"/>
  <c r="P1591" i="11"/>
  <c r="P1592" i="11"/>
  <c r="P1593" i="11"/>
  <c r="P1594" i="11"/>
  <c r="P1595" i="11"/>
  <c r="P1596" i="11"/>
  <c r="P1597" i="11"/>
  <c r="P1598" i="11"/>
  <c r="P1599" i="11"/>
  <c r="P1600" i="11"/>
  <c r="P1601" i="11"/>
  <c r="P1602" i="11"/>
  <c r="P1603" i="11"/>
  <c r="P1604" i="11"/>
  <c r="P1605" i="11"/>
  <c r="P1606" i="11"/>
  <c r="P1607" i="11"/>
  <c r="P1608" i="11"/>
  <c r="P1609" i="11"/>
  <c r="P1610" i="11"/>
  <c r="P1611" i="11"/>
  <c r="P1612" i="11"/>
  <c r="P1613" i="11"/>
  <c r="P1614" i="11"/>
  <c r="P1615" i="11"/>
  <c r="P1616" i="11"/>
  <c r="P1617" i="11"/>
  <c r="P1618" i="11"/>
  <c r="P1619" i="11"/>
  <c r="P1620" i="11"/>
  <c r="P1621" i="11"/>
  <c r="P1622" i="11"/>
  <c r="P1623" i="11"/>
  <c r="P1624" i="11"/>
  <c r="P1625" i="11"/>
  <c r="P1626" i="11"/>
  <c r="P1627" i="11"/>
  <c r="P1628" i="11"/>
  <c r="P1629" i="11"/>
  <c r="P1630" i="11"/>
  <c r="P1631" i="11"/>
  <c r="P1632" i="11"/>
  <c r="P1633" i="11"/>
  <c r="P1634" i="11"/>
  <c r="P1635" i="11"/>
  <c r="P1636" i="11"/>
  <c r="P1637" i="11"/>
  <c r="P1638" i="11"/>
  <c r="P1639" i="11"/>
  <c r="P1640" i="11"/>
  <c r="P1641" i="11"/>
  <c r="P1642" i="11"/>
  <c r="P1643" i="11"/>
  <c r="P1644" i="11"/>
  <c r="P1645" i="11"/>
  <c r="P1646" i="11"/>
  <c r="P1647" i="11"/>
  <c r="P1648" i="11"/>
  <c r="P1649" i="11"/>
  <c r="P1650" i="11"/>
  <c r="P1651" i="11"/>
  <c r="P1652" i="11"/>
  <c r="P1653" i="11"/>
  <c r="P1654" i="11"/>
  <c r="P1655" i="11"/>
  <c r="P1656" i="11"/>
  <c r="P1657" i="11"/>
  <c r="P1658" i="11"/>
  <c r="P1659" i="11"/>
  <c r="P1660" i="11"/>
  <c r="P1661" i="11"/>
  <c r="P1662" i="11"/>
  <c r="P1663" i="11"/>
  <c r="P1664" i="11"/>
  <c r="P1665" i="11"/>
  <c r="P1666" i="11"/>
  <c r="P1667" i="11"/>
  <c r="P1668" i="11"/>
  <c r="P1669" i="11"/>
  <c r="P1670" i="11"/>
  <c r="P1671" i="11"/>
  <c r="P1672" i="11"/>
  <c r="P1673" i="11"/>
  <c r="P1674" i="11"/>
  <c r="P1675" i="11"/>
  <c r="P1676" i="11"/>
  <c r="P1677" i="11"/>
  <c r="P1678" i="11"/>
  <c r="P1679" i="11"/>
  <c r="P1680" i="11"/>
  <c r="P1681" i="11"/>
  <c r="P1682" i="11"/>
  <c r="P1683" i="11"/>
  <c r="P1684" i="11"/>
  <c r="P1685" i="11"/>
  <c r="P1686" i="11"/>
  <c r="P1687" i="11"/>
  <c r="P1688" i="11"/>
  <c r="P1689" i="11"/>
  <c r="P1690" i="11"/>
  <c r="P1691" i="11"/>
  <c r="P1692" i="11"/>
  <c r="P1693" i="11"/>
  <c r="P1694" i="11"/>
  <c r="P1695" i="11"/>
  <c r="P1696" i="11"/>
  <c r="P1697" i="11"/>
  <c r="P1698" i="11"/>
  <c r="P1699" i="11"/>
  <c r="P1700" i="11"/>
  <c r="P1701" i="11"/>
  <c r="P1702" i="11"/>
  <c r="P1703" i="11"/>
  <c r="P1704" i="11"/>
  <c r="P1705" i="11"/>
  <c r="P1706" i="11"/>
  <c r="P1707" i="11"/>
  <c r="P1708" i="11"/>
  <c r="P1709" i="11"/>
  <c r="P1710" i="11"/>
  <c r="P1711" i="11"/>
  <c r="P1712" i="11"/>
  <c r="P1713" i="11"/>
  <c r="P1714" i="11"/>
  <c r="P1715" i="11"/>
  <c r="P1716" i="11"/>
  <c r="P1717" i="11"/>
  <c r="P1718" i="11"/>
  <c r="P1719" i="11"/>
  <c r="P1720" i="11"/>
  <c r="P1721" i="11"/>
  <c r="P1722" i="11"/>
  <c r="P1723" i="11"/>
  <c r="P1724" i="11"/>
  <c r="P1725" i="11"/>
  <c r="P1726" i="11"/>
  <c r="P1727" i="11"/>
  <c r="P1728" i="11"/>
  <c r="P1729" i="11"/>
  <c r="P1730" i="11"/>
  <c r="P1731" i="11"/>
  <c r="P1732" i="11"/>
  <c r="P1733" i="11"/>
  <c r="P1734" i="11"/>
  <c r="P1735" i="11"/>
  <c r="P1736" i="11"/>
  <c r="P1737" i="11"/>
  <c r="P1738" i="11"/>
  <c r="P1739" i="11"/>
  <c r="P1740" i="11"/>
  <c r="P1741" i="11"/>
  <c r="P1742" i="11"/>
  <c r="P1743" i="11"/>
  <c r="P1744" i="11"/>
  <c r="P1745" i="11"/>
  <c r="P1746" i="11"/>
  <c r="P1747" i="11"/>
  <c r="P1748" i="11"/>
  <c r="P1749" i="11"/>
  <c r="P1750" i="11"/>
  <c r="P1751" i="11"/>
  <c r="P1752" i="11"/>
  <c r="P1753" i="11"/>
  <c r="P1754" i="11"/>
  <c r="P1755" i="11"/>
  <c r="P1756" i="11"/>
  <c r="P1757" i="11"/>
  <c r="P1758" i="11"/>
  <c r="P1759" i="11"/>
  <c r="P1760" i="11"/>
  <c r="P1761" i="11"/>
  <c r="P1762" i="11"/>
  <c r="P1763" i="11"/>
  <c r="P1764" i="11"/>
  <c r="P1765" i="11"/>
  <c r="P1766" i="11"/>
  <c r="P1767" i="11"/>
  <c r="P1768" i="11"/>
  <c r="P1769" i="11"/>
  <c r="P1770" i="11"/>
  <c r="P1771" i="11"/>
  <c r="P1772" i="11"/>
  <c r="P1773" i="11"/>
  <c r="P1774" i="11"/>
  <c r="P1775" i="11"/>
  <c r="P1776" i="11"/>
  <c r="P1777" i="11"/>
  <c r="P1778" i="11"/>
  <c r="P1779" i="11"/>
  <c r="P1780" i="11"/>
  <c r="P1781" i="11"/>
  <c r="P1782" i="11"/>
  <c r="P1783" i="11"/>
  <c r="P1784" i="11"/>
  <c r="P1785" i="11"/>
  <c r="P1786" i="11"/>
  <c r="P1787" i="11"/>
  <c r="P1788" i="11"/>
  <c r="P1789" i="11"/>
  <c r="P1790" i="11"/>
  <c r="P1791" i="11"/>
  <c r="P1792" i="11"/>
  <c r="P1793" i="11"/>
  <c r="P1794" i="11"/>
  <c r="P1795" i="11"/>
  <c r="P1796" i="11"/>
  <c r="P1797" i="11"/>
  <c r="P1798" i="11"/>
  <c r="P1799" i="11"/>
  <c r="P1800" i="11"/>
  <c r="P1801" i="11"/>
  <c r="P1802" i="11"/>
  <c r="P1803" i="11"/>
  <c r="P1804" i="11"/>
  <c r="P1805" i="11"/>
  <c r="P1806" i="11"/>
  <c r="P1807" i="11"/>
  <c r="P1808" i="11"/>
  <c r="P1809" i="11"/>
  <c r="P1810" i="11"/>
  <c r="P1811" i="11"/>
  <c r="P1812" i="11"/>
  <c r="P1813" i="11"/>
  <c r="P1814" i="11"/>
  <c r="P1815" i="11"/>
  <c r="P1816" i="11"/>
  <c r="P1817" i="11"/>
  <c r="P1818" i="11"/>
  <c r="P1819" i="11"/>
  <c r="P1820" i="11"/>
  <c r="P1821" i="11"/>
  <c r="P1822" i="11"/>
  <c r="P1823" i="11"/>
  <c r="P1824" i="11"/>
  <c r="P1825" i="11"/>
  <c r="P1826" i="11"/>
  <c r="P1827" i="11"/>
  <c r="P1828" i="11"/>
  <c r="P1829" i="11"/>
  <c r="P1830" i="11"/>
  <c r="P1831" i="11"/>
  <c r="P1832" i="11"/>
  <c r="P1833" i="11"/>
  <c r="P1834" i="11"/>
  <c r="P1835" i="11"/>
  <c r="P1836" i="11"/>
  <c r="P1837" i="11"/>
  <c r="P1838" i="11"/>
  <c r="P1839" i="11"/>
  <c r="P1840" i="11"/>
  <c r="P1841" i="11"/>
  <c r="P1842" i="11"/>
  <c r="P1843" i="11"/>
  <c r="P1844" i="11"/>
  <c r="P1845" i="11"/>
  <c r="P1846" i="11"/>
  <c r="P1847" i="11"/>
  <c r="P1848" i="11"/>
  <c r="P1849" i="11"/>
  <c r="P1850" i="11"/>
  <c r="P1851" i="11"/>
  <c r="P1852" i="11"/>
  <c r="P1853" i="11"/>
  <c r="P1854" i="11"/>
  <c r="P1855" i="11"/>
  <c r="P1856" i="11"/>
  <c r="P1857" i="11"/>
  <c r="P1858" i="11"/>
  <c r="P1859" i="11"/>
  <c r="P1860" i="11"/>
  <c r="P1861" i="11"/>
  <c r="P1862" i="11"/>
  <c r="P1863" i="11"/>
  <c r="P1864" i="11"/>
  <c r="P1865" i="11"/>
  <c r="P1866" i="11"/>
  <c r="P1867" i="11"/>
  <c r="P1868" i="11"/>
  <c r="P1869"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O1002" i="11"/>
  <c r="O1003" i="11"/>
  <c r="O1004" i="11"/>
  <c r="O1005" i="11"/>
  <c r="O1006" i="11"/>
  <c r="O1007" i="11"/>
  <c r="O1008" i="11"/>
  <c r="O1009" i="11"/>
  <c r="O1010" i="11"/>
  <c r="O1011" i="11"/>
  <c r="O1012" i="11"/>
  <c r="O1013" i="11"/>
  <c r="O1014" i="11"/>
  <c r="O1015" i="11"/>
  <c r="O1016" i="11"/>
  <c r="O1017" i="11"/>
  <c r="O1018" i="11"/>
  <c r="O1019" i="11"/>
  <c r="O1020" i="11"/>
  <c r="O1021" i="11"/>
  <c r="O1022" i="11"/>
  <c r="O1023" i="11"/>
  <c r="O1024" i="11"/>
  <c r="O1025" i="11"/>
  <c r="O1026" i="11"/>
  <c r="O1027" i="11"/>
  <c r="O1028" i="11"/>
  <c r="O1029" i="11"/>
  <c r="O1030" i="11"/>
  <c r="O1031" i="11"/>
  <c r="O1032" i="11"/>
  <c r="O1033" i="11"/>
  <c r="O1034" i="11"/>
  <c r="O1035" i="11"/>
  <c r="O1036" i="11"/>
  <c r="O1037" i="11"/>
  <c r="O1038" i="11"/>
  <c r="O1039" i="11"/>
  <c r="O1040" i="11"/>
  <c r="O1041" i="11"/>
  <c r="O1042" i="11"/>
  <c r="O1043" i="11"/>
  <c r="O1044" i="11"/>
  <c r="O1045" i="11"/>
  <c r="O1046" i="11"/>
  <c r="O1047" i="11"/>
  <c r="O1048" i="11"/>
  <c r="O1049" i="11"/>
  <c r="O1050" i="11"/>
  <c r="O1051" i="11"/>
  <c r="O1052" i="11"/>
  <c r="O1053" i="11"/>
  <c r="O1054" i="11"/>
  <c r="O1055" i="11"/>
  <c r="O1056" i="11"/>
  <c r="O1057" i="11"/>
  <c r="O1058" i="11"/>
  <c r="O1059" i="11"/>
  <c r="O1060" i="11"/>
  <c r="O1061" i="11"/>
  <c r="O1062" i="11"/>
  <c r="O1063" i="11"/>
  <c r="O1064" i="11"/>
  <c r="O1065" i="11"/>
  <c r="O1066" i="11"/>
  <c r="O1067" i="11"/>
  <c r="O1068" i="11"/>
  <c r="O1069" i="11"/>
  <c r="O1070" i="11"/>
  <c r="O1071" i="11"/>
  <c r="O1072" i="11"/>
  <c r="O1073" i="11"/>
  <c r="O1074" i="11"/>
  <c r="O1075" i="11"/>
  <c r="O1076" i="11"/>
  <c r="O1077" i="11"/>
  <c r="O1078" i="11"/>
  <c r="O1079" i="11"/>
  <c r="O1080" i="11"/>
  <c r="O1081" i="11"/>
  <c r="O1082" i="11"/>
  <c r="O1083" i="11"/>
  <c r="O1084" i="11"/>
  <c r="O1085" i="11"/>
  <c r="O1086" i="11"/>
  <c r="O1087" i="11"/>
  <c r="O1088" i="11"/>
  <c r="O1089" i="11"/>
  <c r="O1090" i="11"/>
  <c r="O1091" i="11"/>
  <c r="O1092" i="11"/>
  <c r="O1093" i="11"/>
  <c r="O1094" i="11"/>
  <c r="O1095" i="11"/>
  <c r="O1096" i="11"/>
  <c r="O1097" i="11"/>
  <c r="O1098" i="11"/>
  <c r="O1099" i="11"/>
  <c r="O1100" i="11"/>
  <c r="O1101" i="11"/>
  <c r="O1102" i="11"/>
  <c r="O1103" i="11"/>
  <c r="O1104" i="11"/>
  <c r="O1105" i="11"/>
  <c r="O1106" i="11"/>
  <c r="O1107" i="11"/>
  <c r="O1108" i="11"/>
  <c r="O1109" i="11"/>
  <c r="O1110" i="11"/>
  <c r="O1111" i="11"/>
  <c r="O1112" i="11"/>
  <c r="O1113" i="11"/>
  <c r="O1114" i="11"/>
  <c r="O1115" i="11"/>
  <c r="O1116" i="11"/>
  <c r="O1117" i="11"/>
  <c r="O1118" i="11"/>
  <c r="O1119" i="11"/>
  <c r="O1120" i="11"/>
  <c r="O1121" i="11"/>
  <c r="O1122" i="11"/>
  <c r="O1123" i="11"/>
  <c r="O1124" i="11"/>
  <c r="O1125" i="11"/>
  <c r="O1126" i="11"/>
  <c r="O1127" i="11"/>
  <c r="O1128" i="11"/>
  <c r="O1129" i="11"/>
  <c r="O1130" i="11"/>
  <c r="O1131" i="11"/>
  <c r="O1132" i="11"/>
  <c r="O1133" i="11"/>
  <c r="O1134" i="11"/>
  <c r="O1135" i="11"/>
  <c r="O1136" i="11"/>
  <c r="O1137" i="11"/>
  <c r="O1138" i="11"/>
  <c r="O1139" i="11"/>
  <c r="O1140" i="11"/>
  <c r="O1141" i="11"/>
  <c r="O1142" i="11"/>
  <c r="O1143" i="11"/>
  <c r="O1144" i="11"/>
  <c r="O1145" i="11"/>
  <c r="O1146" i="11"/>
  <c r="O1147" i="11"/>
  <c r="O1148" i="11"/>
  <c r="O1149" i="11"/>
  <c r="O1150" i="11"/>
  <c r="O1151" i="11"/>
  <c r="O1152" i="11"/>
  <c r="O1153" i="11"/>
  <c r="O1154" i="11"/>
  <c r="O1155" i="11"/>
  <c r="O1156" i="11"/>
  <c r="O1157" i="11"/>
  <c r="O1158" i="11"/>
  <c r="O1159" i="11"/>
  <c r="O1160" i="11"/>
  <c r="O1161" i="11"/>
  <c r="O1162" i="11"/>
  <c r="O1163" i="11"/>
  <c r="O1164" i="11"/>
  <c r="O1165" i="11"/>
  <c r="O1166" i="11"/>
  <c r="O1167" i="11"/>
  <c r="O1168" i="11"/>
  <c r="O1169" i="11"/>
  <c r="O1170" i="11"/>
  <c r="O1171" i="11"/>
  <c r="O1172" i="11"/>
  <c r="O1173" i="11"/>
  <c r="O1174" i="11"/>
  <c r="O1175" i="11"/>
  <c r="O1176" i="11"/>
  <c r="O1177" i="11"/>
  <c r="O1178" i="11"/>
  <c r="O1179" i="11"/>
  <c r="O1180" i="11"/>
  <c r="O1181" i="11"/>
  <c r="O1182" i="11"/>
  <c r="O1183" i="11"/>
  <c r="O1184" i="11"/>
  <c r="O1185" i="11"/>
  <c r="O1186" i="11"/>
  <c r="O1187" i="11"/>
  <c r="O1188" i="11"/>
  <c r="O1189" i="11"/>
  <c r="O1190" i="11"/>
  <c r="O1191" i="11"/>
  <c r="O1192" i="11"/>
  <c r="O1193" i="11"/>
  <c r="O1194" i="11"/>
  <c r="O1195" i="11"/>
  <c r="O1196" i="11"/>
  <c r="O1197" i="11"/>
  <c r="O1198" i="11"/>
  <c r="O1199" i="11"/>
  <c r="O1200" i="11"/>
  <c r="O1201" i="11"/>
  <c r="O1202" i="11"/>
  <c r="O1203" i="11"/>
  <c r="O1204" i="11"/>
  <c r="O1205" i="11"/>
  <c r="O1206" i="11"/>
  <c r="O1207" i="11"/>
  <c r="O1208" i="11"/>
  <c r="O1209" i="11"/>
  <c r="O1210" i="11"/>
  <c r="O1211" i="11"/>
  <c r="O1212" i="11"/>
  <c r="O1213" i="11"/>
  <c r="O1214" i="11"/>
  <c r="O1215" i="11"/>
  <c r="O1216" i="11"/>
  <c r="O1217" i="11"/>
  <c r="O1218" i="11"/>
  <c r="O1219" i="11"/>
  <c r="O1220" i="11"/>
  <c r="O1221" i="11"/>
  <c r="O1222" i="11"/>
  <c r="O1223" i="11"/>
  <c r="O1224" i="11"/>
  <c r="O1225" i="11"/>
  <c r="O1226" i="11"/>
  <c r="O1227" i="11"/>
  <c r="O1228" i="11"/>
  <c r="O1229" i="11"/>
  <c r="O1230" i="11"/>
  <c r="O1231" i="11"/>
  <c r="O1232" i="11"/>
  <c r="O1233" i="11"/>
  <c r="O1234" i="11"/>
  <c r="O1235" i="11"/>
  <c r="O1236" i="11"/>
  <c r="O1237" i="11"/>
  <c r="O1238" i="11"/>
  <c r="O1239" i="11"/>
  <c r="O1240" i="11"/>
  <c r="O1241" i="11"/>
  <c r="O1242" i="11"/>
  <c r="O1243" i="11"/>
  <c r="O1244" i="11"/>
  <c r="O1245" i="11"/>
  <c r="O1246" i="11"/>
  <c r="O1247" i="11"/>
  <c r="O1248" i="11"/>
  <c r="O1249" i="11"/>
  <c r="O1250" i="11"/>
  <c r="O1251" i="11"/>
  <c r="O1252" i="11"/>
  <c r="O1253" i="11"/>
  <c r="O1254" i="11"/>
  <c r="O1255" i="11"/>
  <c r="O1256" i="11"/>
  <c r="O1257" i="11"/>
  <c r="O1258" i="11"/>
  <c r="O1259" i="11"/>
  <c r="O1260" i="11"/>
  <c r="O1261" i="11"/>
  <c r="O1262" i="11"/>
  <c r="O1263" i="11"/>
  <c r="O1264" i="11"/>
  <c r="O1265" i="11"/>
  <c r="O1266" i="11"/>
  <c r="O1267" i="11"/>
  <c r="O1268" i="11"/>
  <c r="O1269" i="11"/>
  <c r="O1270" i="11"/>
  <c r="O1271" i="11"/>
  <c r="O1272" i="11"/>
  <c r="O1273" i="11"/>
  <c r="O1274" i="11"/>
  <c r="O1275" i="11"/>
  <c r="O1276" i="11"/>
  <c r="O1277" i="11"/>
  <c r="O1278" i="11"/>
  <c r="O1279" i="11"/>
  <c r="O1280" i="11"/>
  <c r="O1281" i="11"/>
  <c r="O1282" i="11"/>
  <c r="O1283" i="11"/>
  <c r="O1284" i="11"/>
  <c r="O1285" i="11"/>
  <c r="O1286" i="11"/>
  <c r="O1287" i="11"/>
  <c r="O1288" i="11"/>
  <c r="O1289" i="11"/>
  <c r="O1290" i="11"/>
  <c r="O1291" i="11"/>
  <c r="O1292" i="11"/>
  <c r="O1293" i="11"/>
  <c r="O1294" i="11"/>
  <c r="O1295" i="11"/>
  <c r="O1296" i="11"/>
  <c r="O1297" i="11"/>
  <c r="O1298" i="11"/>
  <c r="O1299" i="11"/>
  <c r="O1300" i="11"/>
  <c r="O1301" i="11"/>
  <c r="O1302" i="11"/>
  <c r="O1303" i="11"/>
  <c r="O1304" i="11"/>
  <c r="O1305" i="11"/>
  <c r="O1306" i="11"/>
  <c r="O1307" i="11"/>
  <c r="O1308" i="11"/>
  <c r="O1309" i="11"/>
  <c r="O1310" i="11"/>
  <c r="O1311" i="11"/>
  <c r="O1312" i="11"/>
  <c r="O1313" i="11"/>
  <c r="O1314" i="11"/>
  <c r="O1315" i="11"/>
  <c r="O1316" i="11"/>
  <c r="O1317" i="11"/>
  <c r="O1318" i="11"/>
  <c r="O1319" i="11"/>
  <c r="O1320" i="11"/>
  <c r="O1321" i="11"/>
  <c r="O1322" i="11"/>
  <c r="O1323" i="11"/>
  <c r="O1324" i="11"/>
  <c r="O1325" i="11"/>
  <c r="O1326" i="11"/>
  <c r="O1327" i="11"/>
  <c r="O1328" i="11"/>
  <c r="O1329" i="11"/>
  <c r="O1330" i="11"/>
  <c r="O1331" i="11"/>
  <c r="O1332" i="11"/>
  <c r="O1333" i="11"/>
  <c r="O1334" i="11"/>
  <c r="O1335" i="11"/>
  <c r="O1336" i="11"/>
  <c r="O1337" i="11"/>
  <c r="O1338" i="11"/>
  <c r="O1339" i="11"/>
  <c r="O1340" i="11"/>
  <c r="O1341" i="11"/>
  <c r="O1342" i="11"/>
  <c r="O1343" i="11"/>
  <c r="O1344" i="11"/>
  <c r="O1345" i="11"/>
  <c r="O1346" i="11"/>
  <c r="O1347" i="11"/>
  <c r="O1348" i="11"/>
  <c r="O1349" i="11"/>
  <c r="O1350" i="11"/>
  <c r="O1351" i="11"/>
  <c r="O1352" i="11"/>
  <c r="O1353" i="11"/>
  <c r="O1354" i="11"/>
  <c r="O1355" i="11"/>
  <c r="O1356" i="11"/>
  <c r="O1357" i="11"/>
  <c r="O1358" i="11"/>
  <c r="O1359" i="11"/>
  <c r="O1360" i="11"/>
  <c r="O1361" i="11"/>
  <c r="O1362" i="11"/>
  <c r="O1363" i="11"/>
  <c r="O1364" i="11"/>
  <c r="O1365" i="11"/>
  <c r="O1366" i="11"/>
  <c r="O1367" i="11"/>
  <c r="O1368" i="11"/>
  <c r="O1369" i="11"/>
  <c r="O1370" i="11"/>
  <c r="O1371" i="11"/>
  <c r="O1372" i="11"/>
  <c r="O1373" i="11"/>
  <c r="O1374" i="11"/>
  <c r="O1375" i="11"/>
  <c r="O1376" i="11"/>
  <c r="O1377" i="11"/>
  <c r="O1378" i="11"/>
  <c r="O1379" i="11"/>
  <c r="O1380" i="11"/>
  <c r="O1381" i="11"/>
  <c r="O1382" i="11"/>
  <c r="O1383" i="11"/>
  <c r="O1384" i="11"/>
  <c r="O1385" i="11"/>
  <c r="O1386" i="11"/>
  <c r="O1387" i="11"/>
  <c r="O1388" i="11"/>
  <c r="O1389" i="11"/>
  <c r="O1390" i="11"/>
  <c r="O1391" i="11"/>
  <c r="O1392" i="11"/>
  <c r="O1393" i="11"/>
  <c r="O1394" i="11"/>
  <c r="O1395" i="11"/>
  <c r="O1396" i="11"/>
  <c r="O1397" i="11"/>
  <c r="O1398" i="11"/>
  <c r="O1399" i="11"/>
  <c r="O1400" i="11"/>
  <c r="O1401" i="11"/>
  <c r="O1402" i="11"/>
  <c r="O1403" i="11"/>
  <c r="O1404" i="11"/>
  <c r="O1405" i="11"/>
  <c r="O1406" i="11"/>
  <c r="O1407" i="11"/>
  <c r="O1408" i="11"/>
  <c r="O1409" i="11"/>
  <c r="O1410" i="11"/>
  <c r="O1411" i="11"/>
  <c r="O1412" i="11"/>
  <c r="O1413" i="11"/>
  <c r="O1414" i="11"/>
  <c r="O1415" i="11"/>
  <c r="O1416" i="11"/>
  <c r="O1417" i="11"/>
  <c r="O1418" i="11"/>
  <c r="O1419" i="11"/>
  <c r="O1420" i="11"/>
  <c r="O1421" i="11"/>
  <c r="O1422" i="11"/>
  <c r="O1423" i="11"/>
  <c r="O1424" i="11"/>
  <c r="O1425" i="11"/>
  <c r="O1426" i="11"/>
  <c r="O1427" i="11"/>
  <c r="O1428" i="11"/>
  <c r="O1429" i="11"/>
  <c r="O1430" i="11"/>
  <c r="O1431" i="11"/>
  <c r="O1432" i="11"/>
  <c r="O1433" i="11"/>
  <c r="O1434" i="11"/>
  <c r="O1435" i="11"/>
  <c r="O1436" i="11"/>
  <c r="O1437" i="11"/>
  <c r="O1438" i="11"/>
  <c r="O1439" i="11"/>
  <c r="O1440" i="11"/>
  <c r="O1441" i="11"/>
  <c r="O1442" i="11"/>
  <c r="O1443" i="11"/>
  <c r="O1444" i="11"/>
  <c r="O1445" i="11"/>
  <c r="O1446" i="11"/>
  <c r="O1447" i="11"/>
  <c r="O1448" i="11"/>
  <c r="O1449" i="11"/>
  <c r="O1450" i="11"/>
  <c r="O1451" i="11"/>
  <c r="O1452" i="11"/>
  <c r="O1453" i="11"/>
  <c r="O1454" i="11"/>
  <c r="O1455" i="11"/>
  <c r="O1456" i="11"/>
  <c r="O1457" i="11"/>
  <c r="O1458" i="11"/>
  <c r="O1459" i="11"/>
  <c r="O1460" i="11"/>
  <c r="O1461" i="11"/>
  <c r="O1462" i="11"/>
  <c r="O1463" i="11"/>
  <c r="O1464" i="11"/>
  <c r="O1465" i="11"/>
  <c r="O1466" i="11"/>
  <c r="O1467" i="11"/>
  <c r="O1468" i="11"/>
  <c r="O1469" i="11"/>
  <c r="O1470" i="11"/>
  <c r="O1471" i="11"/>
  <c r="O1472" i="11"/>
  <c r="O1473" i="11"/>
  <c r="O1474" i="11"/>
  <c r="O1475" i="11"/>
  <c r="O1476" i="11"/>
  <c r="O1477" i="11"/>
  <c r="O1478" i="11"/>
  <c r="O1479" i="11"/>
  <c r="O1480" i="11"/>
  <c r="O1481" i="11"/>
  <c r="O1482" i="11"/>
  <c r="O1483" i="11"/>
  <c r="O1484" i="11"/>
  <c r="O1485" i="11"/>
  <c r="O1486" i="11"/>
  <c r="O1487" i="11"/>
  <c r="O1488" i="11"/>
  <c r="O1489" i="11"/>
  <c r="O1490" i="11"/>
  <c r="O1491" i="11"/>
  <c r="O1492" i="11"/>
  <c r="O1493" i="11"/>
  <c r="O1494" i="11"/>
  <c r="O1495" i="11"/>
  <c r="O1496" i="11"/>
  <c r="O1497" i="11"/>
  <c r="O1498" i="11"/>
  <c r="O1499" i="11"/>
  <c r="O1500" i="11"/>
  <c r="O1501" i="11"/>
  <c r="O1502" i="11"/>
  <c r="O1503" i="11"/>
  <c r="O1504" i="11"/>
  <c r="O1505" i="11"/>
  <c r="O1506" i="11"/>
  <c r="O1507" i="11"/>
  <c r="O1508" i="11"/>
  <c r="O1509" i="11"/>
  <c r="O1510" i="11"/>
  <c r="O1511" i="11"/>
  <c r="O1512" i="11"/>
  <c r="O1513" i="11"/>
  <c r="O1514" i="11"/>
  <c r="O1515" i="11"/>
  <c r="O1516" i="11"/>
  <c r="O1517" i="11"/>
  <c r="O1518" i="11"/>
  <c r="O1519" i="11"/>
  <c r="O1520" i="11"/>
  <c r="O1521" i="11"/>
  <c r="O1522" i="11"/>
  <c r="O1523" i="11"/>
  <c r="O1524" i="11"/>
  <c r="O1525" i="11"/>
  <c r="O1526" i="11"/>
  <c r="O1527" i="11"/>
  <c r="O1528" i="11"/>
  <c r="O1529" i="11"/>
  <c r="O1530" i="11"/>
  <c r="O1531" i="11"/>
  <c r="O1532" i="11"/>
  <c r="O1533" i="11"/>
  <c r="O1534" i="11"/>
  <c r="O1535" i="11"/>
  <c r="O1536" i="11"/>
  <c r="O1537" i="11"/>
  <c r="O1538" i="11"/>
  <c r="O1539" i="11"/>
  <c r="O1540" i="11"/>
  <c r="O1541" i="11"/>
  <c r="O1542" i="11"/>
  <c r="O1543" i="11"/>
  <c r="O1544" i="11"/>
  <c r="O1545" i="11"/>
  <c r="O1546" i="11"/>
  <c r="O1547" i="11"/>
  <c r="O1548" i="11"/>
  <c r="O1549" i="11"/>
  <c r="O1550" i="11"/>
  <c r="O1551" i="11"/>
  <c r="O1552" i="11"/>
  <c r="O1553" i="11"/>
  <c r="O1554" i="11"/>
  <c r="O1555" i="11"/>
  <c r="O1556" i="11"/>
  <c r="O1557" i="11"/>
  <c r="O1558" i="11"/>
  <c r="O1559" i="11"/>
  <c r="O1560" i="11"/>
  <c r="O1561" i="11"/>
  <c r="O1562" i="11"/>
  <c r="O1563" i="11"/>
  <c r="O1564" i="11"/>
  <c r="O1565" i="11"/>
  <c r="O1566" i="11"/>
  <c r="O1567" i="11"/>
  <c r="O1568" i="11"/>
  <c r="O1569" i="11"/>
  <c r="O1570" i="11"/>
  <c r="O1571" i="11"/>
  <c r="O1572" i="11"/>
  <c r="O1573" i="11"/>
  <c r="O1574" i="11"/>
  <c r="O1575" i="11"/>
  <c r="O1576" i="11"/>
  <c r="O1577" i="11"/>
  <c r="O1578" i="11"/>
  <c r="O1579" i="11"/>
  <c r="O1580" i="11"/>
  <c r="O1581" i="11"/>
  <c r="O1582" i="11"/>
  <c r="O1583" i="11"/>
  <c r="O1584" i="11"/>
  <c r="O1585" i="11"/>
  <c r="O1586" i="11"/>
  <c r="O1587" i="11"/>
  <c r="O1588" i="11"/>
  <c r="O1589" i="11"/>
  <c r="O1590" i="11"/>
  <c r="O1591" i="11"/>
  <c r="O1592" i="11"/>
  <c r="O1593" i="11"/>
  <c r="O1594" i="11"/>
  <c r="O1595" i="11"/>
  <c r="O1596" i="11"/>
  <c r="O1597" i="11"/>
  <c r="O1598" i="11"/>
  <c r="O1599" i="11"/>
  <c r="O1600" i="11"/>
  <c r="O1601" i="11"/>
  <c r="O1602" i="11"/>
  <c r="O1603" i="11"/>
  <c r="O1604" i="11"/>
  <c r="O1605" i="11"/>
  <c r="O1606" i="11"/>
  <c r="O1607" i="11"/>
  <c r="O1608" i="11"/>
  <c r="O1609" i="11"/>
  <c r="O1610" i="11"/>
  <c r="O1611" i="11"/>
  <c r="O1612" i="11"/>
  <c r="O1613" i="11"/>
  <c r="O1614" i="11"/>
  <c r="O1615" i="11"/>
  <c r="O1616" i="11"/>
  <c r="O1617" i="11"/>
  <c r="O1618" i="11"/>
  <c r="O1619" i="11"/>
  <c r="O1620" i="11"/>
  <c r="O1621" i="11"/>
  <c r="O1622" i="11"/>
  <c r="O1623" i="11"/>
  <c r="O1624" i="11"/>
  <c r="O1625" i="11"/>
  <c r="O1626" i="11"/>
  <c r="O1627" i="11"/>
  <c r="O1628" i="11"/>
  <c r="O1629" i="11"/>
  <c r="O1630" i="11"/>
  <c r="O1631" i="11"/>
  <c r="O1632" i="11"/>
  <c r="O1633" i="11"/>
  <c r="O1634" i="11"/>
  <c r="O1635" i="11"/>
  <c r="O1636" i="11"/>
  <c r="O1637" i="11"/>
  <c r="O1638" i="11"/>
  <c r="O1639" i="11"/>
  <c r="O1640" i="11"/>
  <c r="O1641" i="11"/>
  <c r="O1642" i="11"/>
  <c r="O1643" i="11"/>
  <c r="O1644" i="11"/>
  <c r="O1645" i="11"/>
  <c r="O1646" i="11"/>
  <c r="O1647" i="11"/>
  <c r="O1648" i="11"/>
  <c r="O1649" i="11"/>
  <c r="O1650" i="11"/>
  <c r="O1651" i="11"/>
  <c r="O1652" i="11"/>
  <c r="O1653" i="11"/>
  <c r="O1654" i="11"/>
  <c r="O1655" i="11"/>
  <c r="O1656" i="11"/>
  <c r="O1657" i="11"/>
  <c r="O1658" i="11"/>
  <c r="O1659" i="11"/>
  <c r="O1660" i="11"/>
  <c r="O1661" i="11"/>
  <c r="O1662" i="11"/>
  <c r="O1663" i="11"/>
  <c r="O1664" i="11"/>
  <c r="O1665" i="11"/>
  <c r="O1666" i="11"/>
  <c r="O1667" i="11"/>
  <c r="O1668" i="11"/>
  <c r="O1669" i="11"/>
  <c r="O1670" i="11"/>
  <c r="O1671" i="11"/>
  <c r="O1672" i="11"/>
  <c r="O1673" i="11"/>
  <c r="O1674" i="11"/>
  <c r="O1675" i="11"/>
  <c r="O1676" i="11"/>
  <c r="O1677" i="11"/>
  <c r="O1678" i="11"/>
  <c r="O1679" i="11"/>
  <c r="O1680" i="11"/>
  <c r="O1681" i="11"/>
  <c r="O1682" i="11"/>
  <c r="O1683" i="11"/>
  <c r="O1684" i="11"/>
  <c r="O1685" i="11"/>
  <c r="O1686" i="11"/>
  <c r="O1687" i="11"/>
  <c r="O1688" i="11"/>
  <c r="O1689" i="11"/>
  <c r="O1690" i="11"/>
  <c r="O1691" i="11"/>
  <c r="O1692" i="11"/>
  <c r="O1693" i="11"/>
  <c r="O1694" i="11"/>
  <c r="O1695" i="11"/>
  <c r="O1696" i="11"/>
  <c r="O1697" i="11"/>
  <c r="O1698" i="11"/>
  <c r="O1699" i="11"/>
  <c r="O1700" i="11"/>
  <c r="O1701" i="11"/>
  <c r="O1702" i="11"/>
  <c r="O1703" i="11"/>
  <c r="O1704" i="11"/>
  <c r="O1705" i="11"/>
  <c r="O1706" i="11"/>
  <c r="O1707" i="11"/>
  <c r="O1708" i="11"/>
  <c r="O1709" i="11"/>
  <c r="O1710" i="11"/>
  <c r="O1711" i="11"/>
  <c r="O1712" i="11"/>
  <c r="O1713" i="11"/>
  <c r="O1714" i="11"/>
  <c r="O1715" i="11"/>
  <c r="O1716" i="11"/>
  <c r="O1717" i="11"/>
  <c r="O1718" i="11"/>
  <c r="O1719" i="11"/>
  <c r="O1720" i="11"/>
  <c r="O1721" i="11"/>
  <c r="O1722" i="11"/>
  <c r="O1723" i="11"/>
  <c r="O1724" i="11"/>
  <c r="O1725" i="11"/>
  <c r="O1726" i="11"/>
  <c r="O1727" i="11"/>
  <c r="O1728" i="11"/>
  <c r="O1729" i="11"/>
  <c r="O1730" i="11"/>
  <c r="O1731" i="11"/>
  <c r="O1732" i="11"/>
  <c r="O1733" i="11"/>
  <c r="O1734" i="11"/>
  <c r="O1735" i="11"/>
  <c r="O1736" i="11"/>
  <c r="O1737" i="11"/>
  <c r="O1738" i="11"/>
  <c r="O1739" i="11"/>
  <c r="O1740" i="11"/>
  <c r="O1741" i="11"/>
  <c r="O1742" i="11"/>
  <c r="O1743" i="11"/>
  <c r="O1744" i="11"/>
  <c r="O1745" i="11"/>
  <c r="O1746" i="11"/>
  <c r="O1747" i="11"/>
  <c r="O1748" i="11"/>
  <c r="O1749" i="11"/>
  <c r="O1750" i="11"/>
  <c r="O1751" i="11"/>
  <c r="O1752" i="11"/>
  <c r="O1753" i="11"/>
  <c r="O1754" i="11"/>
  <c r="O1755" i="11"/>
  <c r="O1756" i="11"/>
  <c r="O1757" i="11"/>
  <c r="O1758" i="11"/>
  <c r="O1759" i="11"/>
  <c r="O1760" i="11"/>
  <c r="O1761" i="11"/>
  <c r="O1762" i="11"/>
  <c r="O1763" i="11"/>
  <c r="O1764" i="11"/>
  <c r="O1765" i="11"/>
  <c r="O1766" i="11"/>
  <c r="O1767" i="11"/>
  <c r="O1768" i="11"/>
  <c r="O1769" i="11"/>
  <c r="O1770" i="11"/>
  <c r="O1771" i="11"/>
  <c r="O1772" i="11"/>
  <c r="O1773" i="11"/>
  <c r="O1774" i="11"/>
  <c r="O1775" i="11"/>
  <c r="O1776" i="11"/>
  <c r="O1777" i="11"/>
  <c r="O1778" i="11"/>
  <c r="O1779" i="11"/>
  <c r="O1780" i="11"/>
  <c r="O1781" i="11"/>
  <c r="O1782" i="11"/>
  <c r="O1783" i="11"/>
  <c r="O1784" i="11"/>
  <c r="O1785" i="11"/>
  <c r="O1786" i="11"/>
  <c r="O1787" i="11"/>
  <c r="O1788" i="11"/>
  <c r="O1789" i="11"/>
  <c r="O1790" i="11"/>
  <c r="O1791" i="11"/>
  <c r="O1792" i="11"/>
  <c r="O1793" i="11"/>
  <c r="O1794" i="11"/>
  <c r="O1795" i="11"/>
  <c r="O1796" i="11"/>
  <c r="O1797" i="11"/>
  <c r="O1798" i="11"/>
  <c r="O1799" i="11"/>
  <c r="O1800" i="11"/>
  <c r="O1801" i="11"/>
  <c r="O1802" i="11"/>
  <c r="O1803" i="11"/>
  <c r="O1804" i="11"/>
  <c r="O1805" i="11"/>
  <c r="O1806" i="11"/>
  <c r="O1807" i="11"/>
  <c r="O1808" i="11"/>
  <c r="O1809" i="11"/>
  <c r="O1810" i="11"/>
  <c r="O1811" i="11"/>
  <c r="O1812" i="11"/>
  <c r="O1813" i="11"/>
  <c r="O1814" i="11"/>
  <c r="O1815" i="11"/>
  <c r="O1816" i="11"/>
  <c r="O1817" i="11"/>
  <c r="O1818" i="11"/>
  <c r="O1819" i="11"/>
  <c r="O1820" i="11"/>
  <c r="O1821" i="11"/>
  <c r="O1822" i="11"/>
  <c r="O1823" i="11"/>
  <c r="O1824" i="11"/>
  <c r="O1825" i="11"/>
  <c r="O1826" i="11"/>
  <c r="O1827" i="11"/>
  <c r="O1828" i="11"/>
  <c r="O1829" i="11"/>
  <c r="O1830" i="11"/>
  <c r="O1831" i="11"/>
  <c r="O1832" i="11"/>
  <c r="O1833" i="11"/>
  <c r="O1834" i="11"/>
  <c r="O1835" i="11"/>
  <c r="O1836" i="11"/>
  <c r="O1837" i="11"/>
  <c r="O1838" i="11"/>
  <c r="O1839" i="11"/>
  <c r="O1840" i="11"/>
  <c r="O1841" i="11"/>
  <c r="O1842" i="11"/>
  <c r="O1843" i="11"/>
  <c r="O1844" i="11"/>
  <c r="O1845" i="11"/>
  <c r="O1846" i="11"/>
  <c r="O1847" i="11"/>
  <c r="O1848" i="11"/>
  <c r="O1849" i="11"/>
  <c r="O1850" i="11"/>
  <c r="O1851" i="11"/>
  <c r="O1852" i="11"/>
  <c r="O1853" i="11"/>
  <c r="O1854" i="11"/>
  <c r="O1855" i="11"/>
  <c r="O1856" i="11"/>
  <c r="O1857" i="11"/>
  <c r="O1858" i="11"/>
  <c r="O1859" i="11"/>
  <c r="O1860" i="11"/>
  <c r="O1861" i="11"/>
  <c r="O1862" i="11"/>
  <c r="O1863" i="11"/>
  <c r="O1864" i="11"/>
  <c r="O1865" i="11"/>
  <c r="O1866" i="11"/>
  <c r="O1867" i="11"/>
  <c r="O1868" i="11"/>
  <c r="O1869" i="11"/>
  <c r="P8" i="11"/>
  <c r="O8" i="11"/>
  <c r="N1819" i="11"/>
  <c r="N1820" i="11"/>
  <c r="N1821" i="11"/>
  <c r="N1822" i="11"/>
  <c r="N1823" i="11"/>
  <c r="N1824" i="11"/>
  <c r="N1825" i="11"/>
  <c r="N1826" i="11"/>
  <c r="N1827" i="11"/>
  <c r="N1828" i="11"/>
  <c r="N1829" i="11"/>
  <c r="N1830" i="11"/>
  <c r="N1831" i="11"/>
  <c r="N1832" i="11"/>
  <c r="N1833" i="11"/>
  <c r="N1834" i="11"/>
  <c r="N1835" i="11"/>
  <c r="N1836" i="11"/>
  <c r="N1837" i="11"/>
  <c r="N1838" i="11"/>
  <c r="N1839" i="11"/>
  <c r="N1840" i="11"/>
  <c r="N1841" i="11"/>
  <c r="N1842" i="11"/>
  <c r="N1843" i="11"/>
  <c r="N1844" i="11"/>
  <c r="N1845" i="11"/>
  <c r="N1846" i="11"/>
  <c r="N1847" i="11"/>
  <c r="N1848" i="11"/>
  <c r="N1849" i="11"/>
  <c r="N1850" i="11"/>
  <c r="N1851" i="11"/>
  <c r="N1852" i="11"/>
  <c r="N1853" i="11"/>
  <c r="N1854" i="11"/>
  <c r="N1855" i="11"/>
  <c r="N1856" i="11"/>
  <c r="N1857" i="11"/>
  <c r="N1858" i="11"/>
  <c r="N1859" i="11"/>
  <c r="N1860" i="11"/>
  <c r="N1861" i="11"/>
  <c r="N1862" i="11"/>
  <c r="N1863" i="11"/>
  <c r="N1864" i="11"/>
  <c r="N1865" i="11"/>
  <c r="N1866" i="11"/>
  <c r="N1867" i="11"/>
  <c r="N1868" i="11"/>
  <c r="N1869"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0"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N320" i="11"/>
  <c r="N321" i="11"/>
  <c r="N322" i="11"/>
  <c r="N323" i="11"/>
  <c r="N324" i="11"/>
  <c r="N325" i="11"/>
  <c r="N326" i="11"/>
  <c r="N327" i="11"/>
  <c r="N328" i="11"/>
  <c r="N329" i="11"/>
  <c r="N330" i="11"/>
  <c r="N331" i="11"/>
  <c r="N332" i="11"/>
  <c r="N333" i="11"/>
  <c r="N334" i="11"/>
  <c r="N335" i="11"/>
  <c r="N336" i="11"/>
  <c r="N337" i="11"/>
  <c r="N338" i="11"/>
  <c r="N339" i="11"/>
  <c r="N340" i="11"/>
  <c r="N341" i="11"/>
  <c r="N342" i="11"/>
  <c r="N343" i="11"/>
  <c r="N344" i="11"/>
  <c r="N345" i="11"/>
  <c r="N346" i="11"/>
  <c r="N347" i="11"/>
  <c r="N348" i="11"/>
  <c r="N349" i="11"/>
  <c r="N350" i="11"/>
  <c r="N351" i="11"/>
  <c r="N352" i="11"/>
  <c r="N353" i="11"/>
  <c r="N354" i="11"/>
  <c r="N355" i="11"/>
  <c r="N356" i="11"/>
  <c r="N357" i="11"/>
  <c r="N358" i="11"/>
  <c r="N359" i="11"/>
  <c r="N360" i="11"/>
  <c r="N361" i="11"/>
  <c r="N362" i="11"/>
  <c r="N363" i="11"/>
  <c r="N364" i="11"/>
  <c r="N365" i="11"/>
  <c r="N366" i="11"/>
  <c r="N367" i="11"/>
  <c r="N368" i="11"/>
  <c r="N369" i="11"/>
  <c r="N370" i="11"/>
  <c r="N371" i="11"/>
  <c r="N372" i="11"/>
  <c r="N373" i="11"/>
  <c r="N374" i="11"/>
  <c r="N375" i="11"/>
  <c r="N376" i="11"/>
  <c r="N377" i="11"/>
  <c r="N378" i="11"/>
  <c r="N379" i="11"/>
  <c r="N380" i="11"/>
  <c r="N381" i="11"/>
  <c r="N382" i="11"/>
  <c r="N383" i="11"/>
  <c r="N384" i="11"/>
  <c r="N385" i="11"/>
  <c r="N386" i="11"/>
  <c r="N387" i="11"/>
  <c r="N388" i="11"/>
  <c r="N389" i="11"/>
  <c r="N390" i="11"/>
  <c r="N391" i="11"/>
  <c r="N392" i="11"/>
  <c r="N393" i="11"/>
  <c r="N394" i="11"/>
  <c r="N395" i="11"/>
  <c r="N396" i="11"/>
  <c r="N397" i="11"/>
  <c r="N398" i="11"/>
  <c r="N399" i="11"/>
  <c r="N400" i="11"/>
  <c r="N401" i="11"/>
  <c r="N402" i="11"/>
  <c r="N403" i="11"/>
  <c r="N404" i="11"/>
  <c r="N405" i="11"/>
  <c r="N406" i="11"/>
  <c r="N407" i="11"/>
  <c r="N408" i="11"/>
  <c r="N409" i="11"/>
  <c r="N410" i="11"/>
  <c r="N411" i="11"/>
  <c r="N412" i="11"/>
  <c r="N413" i="11"/>
  <c r="N414" i="11"/>
  <c r="N415" i="11"/>
  <c r="N416" i="11"/>
  <c r="N417" i="11"/>
  <c r="N418" i="11"/>
  <c r="N419" i="11"/>
  <c r="N420" i="11"/>
  <c r="N421" i="11"/>
  <c r="N422" i="11"/>
  <c r="N423" i="11"/>
  <c r="N424" i="11"/>
  <c r="N425" i="11"/>
  <c r="N426" i="11"/>
  <c r="N427" i="11"/>
  <c r="N428" i="11"/>
  <c r="N429" i="11"/>
  <c r="N430" i="11"/>
  <c r="N431" i="11"/>
  <c r="N432" i="11"/>
  <c r="N433" i="11"/>
  <c r="N434" i="11"/>
  <c r="N435" i="11"/>
  <c r="N436" i="11"/>
  <c r="N437" i="11"/>
  <c r="N438" i="11"/>
  <c r="N439" i="11"/>
  <c r="N440" i="11"/>
  <c r="N441" i="11"/>
  <c r="N442" i="11"/>
  <c r="N443" i="11"/>
  <c r="N444" i="11"/>
  <c r="N445" i="11"/>
  <c r="N446" i="11"/>
  <c r="N447" i="11"/>
  <c r="N448" i="11"/>
  <c r="N449" i="11"/>
  <c r="N450" i="11"/>
  <c r="N451" i="11"/>
  <c r="N452" i="11"/>
  <c r="N453" i="11"/>
  <c r="N454" i="11"/>
  <c r="N455" i="11"/>
  <c r="N456" i="11"/>
  <c r="N457" i="11"/>
  <c r="N458" i="11"/>
  <c r="N459" i="11"/>
  <c r="N460" i="11"/>
  <c r="N461" i="11"/>
  <c r="N462" i="11"/>
  <c r="N463" i="11"/>
  <c r="N464" i="11"/>
  <c r="N465" i="11"/>
  <c r="N466" i="11"/>
  <c r="N467" i="11"/>
  <c r="N468" i="11"/>
  <c r="N469" i="11"/>
  <c r="N470" i="11"/>
  <c r="N471" i="11"/>
  <c r="N472" i="11"/>
  <c r="N473" i="11"/>
  <c r="N474" i="11"/>
  <c r="N475" i="11"/>
  <c r="N476" i="11"/>
  <c r="N477" i="11"/>
  <c r="N478" i="11"/>
  <c r="N479" i="11"/>
  <c r="N480" i="11"/>
  <c r="N481" i="11"/>
  <c r="N482" i="11"/>
  <c r="N483" i="11"/>
  <c r="N484" i="11"/>
  <c r="N485" i="11"/>
  <c r="N486" i="11"/>
  <c r="N487" i="11"/>
  <c r="N488" i="11"/>
  <c r="N489" i="11"/>
  <c r="N490" i="11"/>
  <c r="N491" i="11"/>
  <c r="N492" i="11"/>
  <c r="N493" i="11"/>
  <c r="N494" i="11"/>
  <c r="N495" i="11"/>
  <c r="N496" i="11"/>
  <c r="N497" i="11"/>
  <c r="N498" i="11"/>
  <c r="N499" i="11"/>
  <c r="N500" i="11"/>
  <c r="N501" i="11"/>
  <c r="N502" i="11"/>
  <c r="N503" i="11"/>
  <c r="N504" i="11"/>
  <c r="N505" i="11"/>
  <c r="N506" i="11"/>
  <c r="N507" i="11"/>
  <c r="N508" i="11"/>
  <c r="N509" i="11"/>
  <c r="N510" i="11"/>
  <c r="N511" i="11"/>
  <c r="N512" i="11"/>
  <c r="N513" i="11"/>
  <c r="N514" i="11"/>
  <c r="N515" i="11"/>
  <c r="N516" i="11"/>
  <c r="N517" i="11"/>
  <c r="N518" i="11"/>
  <c r="N519" i="11"/>
  <c r="N520" i="11"/>
  <c r="N521" i="11"/>
  <c r="N522" i="11"/>
  <c r="N523" i="11"/>
  <c r="N524" i="11"/>
  <c r="N525" i="11"/>
  <c r="N526" i="11"/>
  <c r="N527" i="11"/>
  <c r="N528" i="11"/>
  <c r="N529" i="11"/>
  <c r="N530" i="11"/>
  <c r="N531" i="11"/>
  <c r="N532" i="11"/>
  <c r="N533" i="11"/>
  <c r="N534" i="11"/>
  <c r="N535" i="11"/>
  <c r="N536" i="11"/>
  <c r="N537" i="11"/>
  <c r="N538" i="11"/>
  <c r="N539" i="11"/>
  <c r="N540" i="11"/>
  <c r="N541" i="11"/>
  <c r="N542" i="11"/>
  <c r="N543" i="11"/>
  <c r="N544" i="11"/>
  <c r="N545" i="11"/>
  <c r="N546" i="11"/>
  <c r="N547" i="11"/>
  <c r="N548" i="11"/>
  <c r="N549" i="11"/>
  <c r="N550" i="11"/>
  <c r="N551" i="11"/>
  <c r="N552" i="11"/>
  <c r="N553" i="11"/>
  <c r="N554" i="11"/>
  <c r="N555" i="11"/>
  <c r="N556" i="11"/>
  <c r="N557" i="11"/>
  <c r="N558" i="11"/>
  <c r="N559" i="11"/>
  <c r="N560" i="11"/>
  <c r="N561" i="11"/>
  <c r="N562" i="11"/>
  <c r="N563" i="11"/>
  <c r="N564" i="11"/>
  <c r="N565" i="11"/>
  <c r="N566" i="11"/>
  <c r="N567" i="11"/>
  <c r="N568" i="11"/>
  <c r="N569" i="11"/>
  <c r="N570" i="11"/>
  <c r="N571" i="11"/>
  <c r="N572" i="11"/>
  <c r="N573" i="11"/>
  <c r="N574" i="11"/>
  <c r="N575" i="11"/>
  <c r="N576" i="11"/>
  <c r="N577" i="11"/>
  <c r="N578" i="11"/>
  <c r="N579" i="11"/>
  <c r="N580" i="11"/>
  <c r="N581" i="11"/>
  <c r="N582" i="11"/>
  <c r="N583" i="11"/>
  <c r="N584" i="11"/>
  <c r="N585" i="11"/>
  <c r="N586" i="11"/>
  <c r="N587" i="11"/>
  <c r="N588" i="11"/>
  <c r="N589" i="11"/>
  <c r="N590" i="11"/>
  <c r="N591" i="11"/>
  <c r="N592" i="11"/>
  <c r="N593" i="11"/>
  <c r="N594" i="11"/>
  <c r="N595" i="11"/>
  <c r="N596" i="11"/>
  <c r="N597" i="11"/>
  <c r="N598" i="11"/>
  <c r="N599" i="11"/>
  <c r="N600" i="11"/>
  <c r="N601" i="11"/>
  <c r="N602" i="11"/>
  <c r="N603" i="11"/>
  <c r="N604" i="11"/>
  <c r="N605" i="11"/>
  <c r="N606" i="11"/>
  <c r="N607" i="11"/>
  <c r="N608" i="11"/>
  <c r="N609" i="11"/>
  <c r="N610" i="11"/>
  <c r="N611" i="11"/>
  <c r="N612" i="11"/>
  <c r="N613" i="11"/>
  <c r="N614" i="11"/>
  <c r="N615" i="11"/>
  <c r="N616" i="11"/>
  <c r="N617" i="11"/>
  <c r="N618" i="11"/>
  <c r="N619" i="11"/>
  <c r="N620" i="11"/>
  <c r="N621" i="11"/>
  <c r="N622" i="11"/>
  <c r="N623" i="11"/>
  <c r="N624" i="11"/>
  <c r="N625" i="11"/>
  <c r="N626" i="11"/>
  <c r="N627" i="11"/>
  <c r="N628" i="11"/>
  <c r="N629" i="11"/>
  <c r="N630" i="11"/>
  <c r="N631" i="11"/>
  <c r="N632" i="11"/>
  <c r="N633" i="11"/>
  <c r="N634" i="11"/>
  <c r="N635" i="11"/>
  <c r="N636" i="11"/>
  <c r="N637" i="11"/>
  <c r="N638" i="11"/>
  <c r="N639" i="11"/>
  <c r="N640" i="11"/>
  <c r="N641" i="11"/>
  <c r="N642" i="11"/>
  <c r="N643" i="11"/>
  <c r="N644" i="11"/>
  <c r="N645" i="11"/>
  <c r="N646" i="11"/>
  <c r="N647" i="11"/>
  <c r="N648" i="11"/>
  <c r="N649" i="11"/>
  <c r="N650" i="11"/>
  <c r="N651" i="11"/>
  <c r="N652" i="11"/>
  <c r="N653" i="11"/>
  <c r="N654" i="11"/>
  <c r="N655" i="11"/>
  <c r="N656" i="11"/>
  <c r="N657" i="11"/>
  <c r="N658" i="11"/>
  <c r="N659" i="11"/>
  <c r="N660" i="11"/>
  <c r="N661" i="11"/>
  <c r="N662" i="11"/>
  <c r="N663" i="11"/>
  <c r="N664" i="11"/>
  <c r="N665" i="11"/>
  <c r="N666" i="11"/>
  <c r="N667" i="11"/>
  <c r="N668" i="11"/>
  <c r="N669" i="11"/>
  <c r="N670" i="11"/>
  <c r="N671" i="11"/>
  <c r="N672" i="11"/>
  <c r="N673" i="11"/>
  <c r="N674" i="11"/>
  <c r="N675" i="11"/>
  <c r="N676" i="11"/>
  <c r="N677" i="11"/>
  <c r="N678" i="11"/>
  <c r="N679" i="11"/>
  <c r="N680" i="11"/>
  <c r="N681" i="11"/>
  <c r="N682" i="11"/>
  <c r="N683" i="11"/>
  <c r="N684" i="11"/>
  <c r="N685" i="11"/>
  <c r="N686" i="11"/>
  <c r="N687" i="11"/>
  <c r="N688" i="11"/>
  <c r="N689" i="11"/>
  <c r="N690" i="11"/>
  <c r="N691" i="11"/>
  <c r="N692" i="11"/>
  <c r="N693" i="11"/>
  <c r="N694" i="11"/>
  <c r="N695" i="11"/>
  <c r="N696" i="11"/>
  <c r="N697" i="11"/>
  <c r="N698" i="11"/>
  <c r="N699" i="11"/>
  <c r="N700" i="11"/>
  <c r="N701" i="11"/>
  <c r="N702" i="11"/>
  <c r="N703" i="11"/>
  <c r="N704" i="11"/>
  <c r="N705" i="11"/>
  <c r="N706" i="11"/>
  <c r="N707" i="11"/>
  <c r="N708" i="11"/>
  <c r="N709" i="11"/>
  <c r="N710" i="11"/>
  <c r="N711" i="11"/>
  <c r="N712" i="11"/>
  <c r="N713" i="11"/>
  <c r="N714" i="11"/>
  <c r="N715" i="11"/>
  <c r="N716" i="11"/>
  <c r="N717" i="11"/>
  <c r="N718" i="11"/>
  <c r="N719" i="11"/>
  <c r="N720" i="11"/>
  <c r="N721" i="11"/>
  <c r="N722" i="11"/>
  <c r="N723" i="11"/>
  <c r="N724" i="11"/>
  <c r="N725" i="11"/>
  <c r="N726" i="11"/>
  <c r="N727" i="11"/>
  <c r="N728" i="11"/>
  <c r="N729" i="11"/>
  <c r="N730" i="11"/>
  <c r="N731" i="11"/>
  <c r="N732" i="11"/>
  <c r="N733" i="11"/>
  <c r="N734" i="11"/>
  <c r="N735" i="11"/>
  <c r="N736" i="11"/>
  <c r="N737" i="11"/>
  <c r="N738" i="11"/>
  <c r="N739" i="11"/>
  <c r="N740" i="11"/>
  <c r="N741" i="11"/>
  <c r="N742" i="11"/>
  <c r="N743" i="11"/>
  <c r="N744" i="11"/>
  <c r="N745" i="11"/>
  <c r="N746" i="11"/>
  <c r="N747" i="11"/>
  <c r="N748" i="11"/>
  <c r="N749" i="11"/>
  <c r="N750" i="11"/>
  <c r="N751" i="11"/>
  <c r="N752" i="11"/>
  <c r="N753" i="11"/>
  <c r="N754" i="11"/>
  <c r="N755" i="11"/>
  <c r="N756" i="11"/>
  <c r="N757" i="11"/>
  <c r="N758" i="11"/>
  <c r="N759" i="11"/>
  <c r="N760" i="11"/>
  <c r="N761" i="11"/>
  <c r="N762" i="11"/>
  <c r="N763" i="11"/>
  <c r="N764" i="11"/>
  <c r="N765" i="11"/>
  <c r="N766" i="11"/>
  <c r="N767" i="11"/>
  <c r="N768" i="11"/>
  <c r="N769" i="11"/>
  <c r="N770" i="11"/>
  <c r="N771" i="11"/>
  <c r="N772" i="11"/>
  <c r="N773" i="11"/>
  <c r="N774" i="11"/>
  <c r="N775" i="11"/>
  <c r="N776" i="11"/>
  <c r="N777" i="11"/>
  <c r="N778" i="11"/>
  <c r="N779" i="11"/>
  <c r="N780" i="11"/>
  <c r="N781" i="11"/>
  <c r="N782" i="11"/>
  <c r="N783" i="11"/>
  <c r="N784" i="11"/>
  <c r="N785" i="11"/>
  <c r="N786" i="11"/>
  <c r="N787" i="11"/>
  <c r="N788" i="11"/>
  <c r="N789" i="11"/>
  <c r="N790" i="11"/>
  <c r="N791" i="11"/>
  <c r="N792" i="11"/>
  <c r="N793" i="11"/>
  <c r="N794" i="11"/>
  <c r="N795" i="11"/>
  <c r="N796" i="11"/>
  <c r="N797" i="11"/>
  <c r="N798" i="11"/>
  <c r="N799" i="11"/>
  <c r="N800" i="11"/>
  <c r="N801" i="11"/>
  <c r="N802" i="11"/>
  <c r="N803" i="11"/>
  <c r="N804" i="11"/>
  <c r="N805" i="11"/>
  <c r="N806" i="11"/>
  <c r="N807" i="11"/>
  <c r="N808" i="11"/>
  <c r="N809" i="11"/>
  <c r="N810" i="11"/>
  <c r="N811" i="11"/>
  <c r="N812" i="11"/>
  <c r="N813" i="11"/>
  <c r="N814" i="11"/>
  <c r="N815" i="11"/>
  <c r="N816" i="11"/>
  <c r="N817" i="11"/>
  <c r="N818" i="11"/>
  <c r="N819" i="11"/>
  <c r="N820" i="11"/>
  <c r="N821" i="11"/>
  <c r="N822" i="11"/>
  <c r="N823" i="11"/>
  <c r="N824" i="11"/>
  <c r="N825" i="11"/>
  <c r="N826" i="11"/>
  <c r="N827" i="11"/>
  <c r="N828" i="11"/>
  <c r="N829" i="11"/>
  <c r="N830" i="11"/>
  <c r="N831" i="11"/>
  <c r="N832" i="11"/>
  <c r="N833" i="11"/>
  <c r="N834" i="11"/>
  <c r="N835" i="11"/>
  <c r="N836" i="11"/>
  <c r="N837" i="11"/>
  <c r="N838" i="11"/>
  <c r="N839" i="11"/>
  <c r="N840" i="11"/>
  <c r="N841" i="11"/>
  <c r="N842" i="11"/>
  <c r="N843" i="11"/>
  <c r="N844" i="11"/>
  <c r="N845" i="11"/>
  <c r="N846" i="11"/>
  <c r="N847" i="11"/>
  <c r="N848" i="11"/>
  <c r="N849" i="11"/>
  <c r="N850" i="11"/>
  <c r="N851" i="11"/>
  <c r="N852" i="11"/>
  <c r="N853" i="11"/>
  <c r="N854" i="11"/>
  <c r="N855" i="11"/>
  <c r="N856" i="11"/>
  <c r="N857" i="11"/>
  <c r="N858" i="11"/>
  <c r="N859" i="11"/>
  <c r="N860" i="11"/>
  <c r="N861" i="11"/>
  <c r="N862" i="11"/>
  <c r="N863" i="11"/>
  <c r="N864" i="11"/>
  <c r="N865" i="11"/>
  <c r="N866" i="11"/>
  <c r="N867" i="11"/>
  <c r="N868" i="11"/>
  <c r="N869" i="11"/>
  <c r="N870" i="11"/>
  <c r="N871" i="11"/>
  <c r="N872" i="11"/>
  <c r="N873" i="11"/>
  <c r="N874" i="11"/>
  <c r="N875" i="11"/>
  <c r="N876" i="11"/>
  <c r="N877" i="11"/>
  <c r="N878" i="11"/>
  <c r="N879" i="11"/>
  <c r="N880" i="11"/>
  <c r="N881" i="11"/>
  <c r="N882" i="11"/>
  <c r="N883" i="11"/>
  <c r="N884" i="11"/>
  <c r="N885" i="11"/>
  <c r="N886" i="11"/>
  <c r="N887" i="11"/>
  <c r="N888" i="11"/>
  <c r="N889" i="11"/>
  <c r="N890" i="11"/>
  <c r="N891" i="11"/>
  <c r="N892" i="11"/>
  <c r="N893" i="11"/>
  <c r="N894" i="11"/>
  <c r="N895" i="11"/>
  <c r="N896" i="11"/>
  <c r="N897" i="11"/>
  <c r="N898" i="11"/>
  <c r="N899" i="11"/>
  <c r="N900" i="11"/>
  <c r="N901" i="11"/>
  <c r="N902" i="11"/>
  <c r="N903" i="11"/>
  <c r="N904" i="11"/>
  <c r="N905" i="11"/>
  <c r="N906" i="11"/>
  <c r="N907" i="11"/>
  <c r="N908" i="11"/>
  <c r="N909" i="11"/>
  <c r="N910" i="11"/>
  <c r="N911" i="11"/>
  <c r="N912" i="11"/>
  <c r="N913" i="11"/>
  <c r="N914" i="11"/>
  <c r="N915" i="11"/>
  <c r="N916" i="11"/>
  <c r="N917" i="11"/>
  <c r="N918" i="11"/>
  <c r="N919" i="11"/>
  <c r="N920" i="11"/>
  <c r="N921" i="11"/>
  <c r="N922" i="11"/>
  <c r="N923" i="11"/>
  <c r="N924" i="11"/>
  <c r="N925" i="11"/>
  <c r="N926" i="11"/>
  <c r="N927" i="11"/>
  <c r="N928" i="11"/>
  <c r="N929" i="11"/>
  <c r="N930" i="11"/>
  <c r="N931" i="11"/>
  <c r="N932" i="11"/>
  <c r="N933" i="11"/>
  <c r="N934" i="11"/>
  <c r="N935" i="11"/>
  <c r="N936" i="11"/>
  <c r="N937" i="11"/>
  <c r="N938" i="11"/>
  <c r="N939" i="11"/>
  <c r="N940" i="11"/>
  <c r="N941" i="11"/>
  <c r="N942" i="11"/>
  <c r="N943" i="11"/>
  <c r="N944" i="11"/>
  <c r="N945" i="11"/>
  <c r="N946" i="11"/>
  <c r="N947" i="11"/>
  <c r="N948" i="11"/>
  <c r="N949" i="11"/>
  <c r="N950" i="11"/>
  <c r="N951" i="11"/>
  <c r="N952" i="11"/>
  <c r="N953" i="11"/>
  <c r="N954" i="11"/>
  <c r="N955" i="11"/>
  <c r="N956" i="11"/>
  <c r="N957" i="11"/>
  <c r="N958" i="11"/>
  <c r="N959" i="11"/>
  <c r="N960" i="11"/>
  <c r="N961" i="11"/>
  <c r="N962" i="11"/>
  <c r="N963" i="11"/>
  <c r="N964" i="11"/>
  <c r="N965" i="11"/>
  <c r="N966" i="11"/>
  <c r="N967" i="11"/>
  <c r="N968" i="11"/>
  <c r="N969" i="11"/>
  <c r="N970" i="11"/>
  <c r="N971" i="11"/>
  <c r="N972" i="11"/>
  <c r="N973" i="11"/>
  <c r="N974" i="11"/>
  <c r="N975" i="11"/>
  <c r="N976" i="11"/>
  <c r="N977" i="11"/>
  <c r="N978" i="11"/>
  <c r="N979" i="11"/>
  <c r="N980" i="11"/>
  <c r="N981" i="11"/>
  <c r="N982" i="11"/>
  <c r="N983" i="11"/>
  <c r="N984" i="11"/>
  <c r="N985" i="11"/>
  <c r="N986" i="11"/>
  <c r="N987" i="11"/>
  <c r="N988" i="11"/>
  <c r="N989" i="11"/>
  <c r="N990" i="11"/>
  <c r="N991" i="11"/>
  <c r="N992" i="11"/>
  <c r="N993" i="11"/>
  <c r="N994" i="11"/>
  <c r="N995" i="11"/>
  <c r="N996" i="11"/>
  <c r="N997" i="11"/>
  <c r="N998" i="11"/>
  <c r="N999" i="11"/>
  <c r="N1000" i="11"/>
  <c r="N1001" i="11"/>
  <c r="N1002" i="11"/>
  <c r="N1003" i="11"/>
  <c r="N1004" i="11"/>
  <c r="N1005" i="11"/>
  <c r="N1006" i="11"/>
  <c r="N1007" i="11"/>
  <c r="N1008" i="11"/>
  <c r="N1009" i="11"/>
  <c r="N1010" i="11"/>
  <c r="N1011" i="11"/>
  <c r="N1012" i="11"/>
  <c r="N1013" i="11"/>
  <c r="N1014" i="11"/>
  <c r="N1015" i="11"/>
  <c r="N1016" i="11"/>
  <c r="N1017" i="11"/>
  <c r="N1018" i="11"/>
  <c r="N1019" i="11"/>
  <c r="N1020" i="11"/>
  <c r="N1021" i="11"/>
  <c r="N1022" i="11"/>
  <c r="N1023" i="11"/>
  <c r="N1024" i="11"/>
  <c r="N1025" i="11"/>
  <c r="N1026" i="11"/>
  <c r="N1027" i="11"/>
  <c r="N1028" i="11"/>
  <c r="N1029" i="11"/>
  <c r="N1030" i="11"/>
  <c r="N1031" i="11"/>
  <c r="N1032" i="11"/>
  <c r="N1033" i="11"/>
  <c r="N1034" i="11"/>
  <c r="N1035" i="11"/>
  <c r="N1036" i="11"/>
  <c r="N1037" i="11"/>
  <c r="N1038" i="11"/>
  <c r="N1039" i="11"/>
  <c r="N1040" i="11"/>
  <c r="N1041" i="11"/>
  <c r="N1042" i="11"/>
  <c r="N1043" i="11"/>
  <c r="N1044" i="11"/>
  <c r="N1045" i="11"/>
  <c r="N1046" i="11"/>
  <c r="N1047" i="11"/>
  <c r="N1048" i="11"/>
  <c r="N1049" i="11"/>
  <c r="N1050" i="11"/>
  <c r="N1051" i="11"/>
  <c r="N1052" i="11"/>
  <c r="N1053" i="11"/>
  <c r="N1054" i="11"/>
  <c r="N1055" i="11"/>
  <c r="N1056" i="11"/>
  <c r="N1057" i="11"/>
  <c r="N1058" i="11"/>
  <c r="N1059" i="11"/>
  <c r="N1060" i="11"/>
  <c r="N1061" i="11"/>
  <c r="N1062" i="11"/>
  <c r="N1063" i="11"/>
  <c r="N1064" i="11"/>
  <c r="N1065" i="11"/>
  <c r="N1066" i="11"/>
  <c r="N1067" i="11"/>
  <c r="N1068" i="11"/>
  <c r="N1069" i="11"/>
  <c r="N1070" i="11"/>
  <c r="N1071" i="11"/>
  <c r="N1072" i="11"/>
  <c r="N1073" i="11"/>
  <c r="N1074" i="11"/>
  <c r="N1075" i="11"/>
  <c r="N1076" i="11"/>
  <c r="N1077" i="11"/>
  <c r="N1078" i="11"/>
  <c r="N1079" i="11"/>
  <c r="N1080" i="11"/>
  <c r="N1081" i="11"/>
  <c r="N1082" i="11"/>
  <c r="N1083" i="11"/>
  <c r="N1084" i="11"/>
  <c r="N1085" i="11"/>
  <c r="N1086" i="11"/>
  <c r="N1087" i="11"/>
  <c r="N1088" i="11"/>
  <c r="N1089" i="11"/>
  <c r="N1090" i="11"/>
  <c r="N1091" i="11"/>
  <c r="N1092" i="11"/>
  <c r="N1093" i="11"/>
  <c r="N1094" i="11"/>
  <c r="N1095" i="11"/>
  <c r="N1096" i="11"/>
  <c r="N1097" i="11"/>
  <c r="N1098" i="11"/>
  <c r="N1099" i="11"/>
  <c r="N1100" i="11"/>
  <c r="N1101" i="11"/>
  <c r="N1102" i="11"/>
  <c r="N1103" i="11"/>
  <c r="N1104" i="11"/>
  <c r="N1105" i="11"/>
  <c r="N1106" i="11"/>
  <c r="N1107" i="11"/>
  <c r="N1108" i="11"/>
  <c r="N1109" i="11"/>
  <c r="N1110" i="11"/>
  <c r="N1111" i="11"/>
  <c r="N1112" i="11"/>
  <c r="N1113" i="11"/>
  <c r="N1114" i="11"/>
  <c r="N1115" i="11"/>
  <c r="N1116" i="11"/>
  <c r="N1117" i="11"/>
  <c r="N1118" i="11"/>
  <c r="N1119" i="11"/>
  <c r="N1120" i="11"/>
  <c r="N1121" i="11"/>
  <c r="N1122" i="11"/>
  <c r="N1123" i="11"/>
  <c r="N1124" i="11"/>
  <c r="N1125" i="11"/>
  <c r="N1126" i="11"/>
  <c r="N1127" i="11"/>
  <c r="N1128" i="11"/>
  <c r="N1129" i="11"/>
  <c r="N1130" i="11"/>
  <c r="N1131" i="11"/>
  <c r="N1132" i="11"/>
  <c r="N1133" i="11"/>
  <c r="N1134" i="11"/>
  <c r="N1135" i="11"/>
  <c r="N1136" i="11"/>
  <c r="N1137" i="11"/>
  <c r="N1138" i="11"/>
  <c r="N1139" i="11"/>
  <c r="N1140" i="11"/>
  <c r="N1141" i="11"/>
  <c r="N1142" i="11"/>
  <c r="N1143" i="11"/>
  <c r="N1144" i="11"/>
  <c r="N1145" i="11"/>
  <c r="N1146" i="11"/>
  <c r="N1147" i="11"/>
  <c r="N1148" i="11"/>
  <c r="N1149" i="11"/>
  <c r="N1150" i="11"/>
  <c r="N1151" i="11"/>
  <c r="N1152" i="11"/>
  <c r="N1153" i="11"/>
  <c r="N1154" i="11"/>
  <c r="N1155" i="11"/>
  <c r="N1156" i="11"/>
  <c r="N1157" i="11"/>
  <c r="N1158" i="11"/>
  <c r="N1159" i="11"/>
  <c r="N1160" i="11"/>
  <c r="N1161" i="11"/>
  <c r="N1162" i="11"/>
  <c r="N1163" i="11"/>
  <c r="N1164" i="11"/>
  <c r="N1165" i="11"/>
  <c r="N1166" i="11"/>
  <c r="N1167" i="11"/>
  <c r="N1168" i="11"/>
  <c r="N1169" i="11"/>
  <c r="N1170" i="11"/>
  <c r="N1171" i="11"/>
  <c r="N1172" i="11"/>
  <c r="N1173" i="11"/>
  <c r="N1174" i="11"/>
  <c r="N1175" i="11"/>
  <c r="N1176" i="11"/>
  <c r="N1177" i="11"/>
  <c r="N1178" i="11"/>
  <c r="N1179" i="11"/>
  <c r="N1180" i="11"/>
  <c r="N1181" i="11"/>
  <c r="N1182" i="11"/>
  <c r="N1183" i="11"/>
  <c r="N1184" i="11"/>
  <c r="N1185" i="11"/>
  <c r="N1186" i="11"/>
  <c r="N1187" i="11"/>
  <c r="N1188" i="11"/>
  <c r="N1189" i="11"/>
  <c r="N1190" i="11"/>
  <c r="N1191" i="11"/>
  <c r="N1192" i="11"/>
  <c r="N1193" i="11"/>
  <c r="N1194" i="11"/>
  <c r="N1195" i="11"/>
  <c r="N1196" i="11"/>
  <c r="N1197" i="11"/>
  <c r="N1198" i="11"/>
  <c r="N1199" i="11"/>
  <c r="N1200" i="11"/>
  <c r="N1201" i="11"/>
  <c r="N1202" i="11"/>
  <c r="N1203" i="11"/>
  <c r="N1204" i="11"/>
  <c r="N1205" i="11"/>
  <c r="N1206" i="11"/>
  <c r="N1207" i="11"/>
  <c r="N1208" i="11"/>
  <c r="N1209" i="11"/>
  <c r="N1210" i="11"/>
  <c r="N1211" i="11"/>
  <c r="N1212" i="11"/>
  <c r="N1213" i="11"/>
  <c r="N1214" i="11"/>
  <c r="N1215" i="11"/>
  <c r="N1216" i="11"/>
  <c r="N1217" i="11"/>
  <c r="N1218" i="11"/>
  <c r="N1219" i="11"/>
  <c r="N1220" i="11"/>
  <c r="N1221" i="11"/>
  <c r="N1222" i="11"/>
  <c r="N1223" i="11"/>
  <c r="N1224" i="11"/>
  <c r="N1225" i="11"/>
  <c r="N1226" i="11"/>
  <c r="N1227" i="11"/>
  <c r="N1228" i="11"/>
  <c r="N1229" i="11"/>
  <c r="N1230" i="11"/>
  <c r="N1231" i="11"/>
  <c r="N1232" i="11"/>
  <c r="N1233" i="11"/>
  <c r="N1234" i="11"/>
  <c r="N1235" i="11"/>
  <c r="N1236" i="11"/>
  <c r="N1237" i="11"/>
  <c r="N1238" i="11"/>
  <c r="N1239" i="11"/>
  <c r="N1240" i="11"/>
  <c r="N1241" i="11"/>
  <c r="N1242" i="11"/>
  <c r="N1243" i="11"/>
  <c r="N1244" i="11"/>
  <c r="N1245" i="11"/>
  <c r="N1246" i="11"/>
  <c r="N1247" i="11"/>
  <c r="N1248" i="11"/>
  <c r="N1249" i="11"/>
  <c r="N1250" i="11"/>
  <c r="N1251" i="11"/>
  <c r="N1252" i="11"/>
  <c r="N1253" i="11"/>
  <c r="N1254" i="11"/>
  <c r="N1255" i="11"/>
  <c r="N1256" i="11"/>
  <c r="N1257" i="11"/>
  <c r="N1258" i="11"/>
  <c r="N1259" i="11"/>
  <c r="N1260" i="11"/>
  <c r="N1261" i="11"/>
  <c r="N1262" i="11"/>
  <c r="N1263" i="11"/>
  <c r="N1264" i="11"/>
  <c r="N1265" i="11"/>
  <c r="N1266" i="11"/>
  <c r="N1267" i="11"/>
  <c r="N1268" i="11"/>
  <c r="N1269" i="11"/>
  <c r="N1270" i="11"/>
  <c r="N1271" i="11"/>
  <c r="N1272" i="11"/>
  <c r="N1273" i="11"/>
  <c r="N1274" i="11"/>
  <c r="N1275" i="11"/>
  <c r="N1276" i="11"/>
  <c r="N1277" i="11"/>
  <c r="N1278" i="11"/>
  <c r="N1279" i="11"/>
  <c r="N1280" i="11"/>
  <c r="N1281" i="11"/>
  <c r="N1282" i="11"/>
  <c r="N1283" i="11"/>
  <c r="N1284" i="11"/>
  <c r="N1285" i="11"/>
  <c r="N1286" i="11"/>
  <c r="N1287" i="11"/>
  <c r="N1288" i="11"/>
  <c r="N1289" i="11"/>
  <c r="N1290" i="11"/>
  <c r="N1291" i="11"/>
  <c r="N1292" i="11"/>
  <c r="N1293" i="11"/>
  <c r="N1294" i="11"/>
  <c r="N1295" i="11"/>
  <c r="N1296" i="11"/>
  <c r="N1297" i="11"/>
  <c r="N1298" i="11"/>
  <c r="N1299" i="11"/>
  <c r="N1300" i="11"/>
  <c r="N1301" i="11"/>
  <c r="N1302" i="11"/>
  <c r="N1303" i="11"/>
  <c r="N1304" i="11"/>
  <c r="N1305" i="11"/>
  <c r="N1306" i="11"/>
  <c r="N1307" i="11"/>
  <c r="N1308" i="11"/>
  <c r="N1309" i="11"/>
  <c r="N1310" i="11"/>
  <c r="N1311" i="11"/>
  <c r="N1312" i="11"/>
  <c r="N1313" i="11"/>
  <c r="N1314" i="11"/>
  <c r="N1315" i="11"/>
  <c r="N1316" i="11"/>
  <c r="N1317" i="11"/>
  <c r="N1318" i="11"/>
  <c r="N1319" i="11"/>
  <c r="N1320" i="11"/>
  <c r="N1321" i="11"/>
  <c r="N1322" i="11"/>
  <c r="N1323" i="11"/>
  <c r="N1324" i="11"/>
  <c r="N1325" i="11"/>
  <c r="N1326" i="11"/>
  <c r="N1327" i="11"/>
  <c r="N1328" i="11"/>
  <c r="N1329" i="11"/>
  <c r="N1330" i="11"/>
  <c r="N1331" i="11"/>
  <c r="N1332" i="11"/>
  <c r="N1333" i="11"/>
  <c r="N1334" i="11"/>
  <c r="N1335" i="11"/>
  <c r="N1336" i="11"/>
  <c r="N1337" i="11"/>
  <c r="N1338" i="11"/>
  <c r="N1339" i="11"/>
  <c r="N1340" i="11"/>
  <c r="N1341" i="11"/>
  <c r="N1342" i="11"/>
  <c r="N1343" i="11"/>
  <c r="N1344" i="11"/>
  <c r="N1345" i="11"/>
  <c r="N1346" i="11"/>
  <c r="N1347" i="11"/>
  <c r="N1348" i="11"/>
  <c r="N1349" i="11"/>
  <c r="N1350" i="11"/>
  <c r="N1351" i="11"/>
  <c r="N1352" i="11"/>
  <c r="N1353" i="11"/>
  <c r="N1354" i="11"/>
  <c r="N1355" i="11"/>
  <c r="N1356" i="11"/>
  <c r="N1357" i="11"/>
  <c r="N1358" i="11"/>
  <c r="N1359" i="11"/>
  <c r="N1360" i="11"/>
  <c r="N1361" i="11"/>
  <c r="N1362" i="11"/>
  <c r="N1363" i="11"/>
  <c r="N1364" i="11"/>
  <c r="N1365" i="11"/>
  <c r="N1366" i="11"/>
  <c r="N1367" i="11"/>
  <c r="N1368" i="11"/>
  <c r="N1369" i="11"/>
  <c r="N1370" i="11"/>
  <c r="N1371" i="11"/>
  <c r="N1372" i="11"/>
  <c r="N1373" i="11"/>
  <c r="N1374" i="11"/>
  <c r="N1375" i="11"/>
  <c r="N1376" i="11"/>
  <c r="N1377" i="11"/>
  <c r="N1378" i="11"/>
  <c r="N1379" i="11"/>
  <c r="N1380" i="11"/>
  <c r="N1381" i="11"/>
  <c r="N1382" i="11"/>
  <c r="N1383" i="11"/>
  <c r="N1384" i="11"/>
  <c r="N1385" i="11"/>
  <c r="N1386" i="11"/>
  <c r="N1387" i="11"/>
  <c r="N1388" i="11"/>
  <c r="N1389" i="11"/>
  <c r="N1390" i="11"/>
  <c r="N1391" i="11"/>
  <c r="N1392" i="11"/>
  <c r="N1393" i="11"/>
  <c r="N1394" i="11"/>
  <c r="N1395" i="11"/>
  <c r="N1396" i="11"/>
  <c r="N1397" i="11"/>
  <c r="N1398" i="11"/>
  <c r="N1399" i="11"/>
  <c r="N1400" i="11"/>
  <c r="N1401" i="11"/>
  <c r="N1402" i="11"/>
  <c r="N1403" i="11"/>
  <c r="N1404" i="11"/>
  <c r="N1405" i="11"/>
  <c r="N1406" i="11"/>
  <c r="N1407" i="11"/>
  <c r="N1408" i="11"/>
  <c r="N1409" i="11"/>
  <c r="N1410" i="11"/>
  <c r="N1411" i="11"/>
  <c r="N1412" i="11"/>
  <c r="N1413" i="11"/>
  <c r="N1414" i="11"/>
  <c r="N1415" i="11"/>
  <c r="N1416" i="11"/>
  <c r="N1417" i="11"/>
  <c r="N1418" i="11"/>
  <c r="N1419" i="11"/>
  <c r="N1420" i="11"/>
  <c r="N1421" i="11"/>
  <c r="N1422" i="11"/>
  <c r="N1423" i="11"/>
  <c r="N1424" i="11"/>
  <c r="N1425" i="11"/>
  <c r="N1426" i="11"/>
  <c r="N1427" i="11"/>
  <c r="N1428" i="11"/>
  <c r="N1429" i="11"/>
  <c r="N1430" i="11"/>
  <c r="N1431" i="11"/>
  <c r="N1432" i="11"/>
  <c r="N1433" i="11"/>
  <c r="N1434" i="11"/>
  <c r="N1435" i="11"/>
  <c r="N1436" i="11"/>
  <c r="N1437" i="11"/>
  <c r="N1438" i="11"/>
  <c r="N1439" i="11"/>
  <c r="N1440" i="11"/>
  <c r="N1441" i="11"/>
  <c r="N1442" i="11"/>
  <c r="N1443" i="11"/>
  <c r="N1444" i="11"/>
  <c r="N1445" i="11"/>
  <c r="N1446" i="11"/>
  <c r="N1447" i="11"/>
  <c r="N1448" i="11"/>
  <c r="N1449" i="11"/>
  <c r="N1450" i="11"/>
  <c r="N1451" i="11"/>
  <c r="N1452" i="11"/>
  <c r="N1453" i="11"/>
  <c r="N1454" i="11"/>
  <c r="N1455" i="11"/>
  <c r="N1456" i="11"/>
  <c r="N1457" i="11"/>
  <c r="N1458" i="11"/>
  <c r="N1459" i="11"/>
  <c r="N1460" i="11"/>
  <c r="N1461" i="11"/>
  <c r="N1462" i="11"/>
  <c r="N1463" i="11"/>
  <c r="N1464" i="11"/>
  <c r="N1465" i="11"/>
  <c r="N1466" i="11"/>
  <c r="N1467" i="11"/>
  <c r="N1468" i="11"/>
  <c r="N1469" i="11"/>
  <c r="N1470" i="11"/>
  <c r="N1471" i="11"/>
  <c r="N1472" i="11"/>
  <c r="N1473" i="11"/>
  <c r="N1474" i="11"/>
  <c r="N1475" i="11"/>
  <c r="N1476" i="11"/>
  <c r="N1477" i="11"/>
  <c r="N1478" i="11"/>
  <c r="N1479" i="11"/>
  <c r="N1480" i="11"/>
  <c r="N1481" i="11"/>
  <c r="N1482" i="11"/>
  <c r="N1483" i="11"/>
  <c r="N1484" i="11"/>
  <c r="N1485" i="11"/>
  <c r="N1486" i="11"/>
  <c r="N1487" i="11"/>
  <c r="N1488" i="11"/>
  <c r="N1489" i="11"/>
  <c r="N1490" i="11"/>
  <c r="N1491" i="11"/>
  <c r="N1492" i="11"/>
  <c r="N1493" i="11"/>
  <c r="N1494" i="11"/>
  <c r="N1495" i="11"/>
  <c r="N1496" i="11"/>
  <c r="N1497" i="11"/>
  <c r="N1498" i="11"/>
  <c r="N1499" i="11"/>
  <c r="N1500" i="11"/>
  <c r="N1501" i="11"/>
  <c r="N1502" i="11"/>
  <c r="N1503" i="11"/>
  <c r="N1504" i="11"/>
  <c r="N1505" i="11"/>
  <c r="N1506" i="11"/>
  <c r="N1507" i="11"/>
  <c r="N1508" i="11"/>
  <c r="N1509" i="11"/>
  <c r="N1510" i="11"/>
  <c r="N1511" i="11"/>
  <c r="N1512" i="11"/>
  <c r="N1513" i="11"/>
  <c r="N1514" i="11"/>
  <c r="N1515" i="11"/>
  <c r="N1516" i="11"/>
  <c r="N1517" i="11"/>
  <c r="N1518" i="11"/>
  <c r="N1519" i="11"/>
  <c r="N1520" i="11"/>
  <c r="N1521" i="11"/>
  <c r="N1522" i="11"/>
  <c r="N1523" i="11"/>
  <c r="N1524" i="11"/>
  <c r="N1525" i="11"/>
  <c r="N1526" i="11"/>
  <c r="N1527" i="11"/>
  <c r="N1528" i="11"/>
  <c r="N1529" i="11"/>
  <c r="N1530" i="11"/>
  <c r="N1531" i="11"/>
  <c r="N1532" i="11"/>
  <c r="N1533" i="11"/>
  <c r="N1534" i="11"/>
  <c r="N1535" i="11"/>
  <c r="N1536" i="11"/>
  <c r="N1537" i="11"/>
  <c r="N1538" i="11"/>
  <c r="N1539" i="11"/>
  <c r="N1540" i="11"/>
  <c r="N1541" i="11"/>
  <c r="N1542" i="11"/>
  <c r="N1543" i="11"/>
  <c r="N1544" i="11"/>
  <c r="N1545" i="11"/>
  <c r="N1546" i="11"/>
  <c r="N1547" i="11"/>
  <c r="N1548" i="11"/>
  <c r="N1549" i="11"/>
  <c r="N1550" i="11"/>
  <c r="N1551" i="11"/>
  <c r="N1552" i="11"/>
  <c r="N1553" i="11"/>
  <c r="N1554" i="11"/>
  <c r="N1555" i="11"/>
  <c r="N1556" i="11"/>
  <c r="N1557" i="11"/>
  <c r="N1558" i="11"/>
  <c r="N1559" i="11"/>
  <c r="N1560" i="11"/>
  <c r="N1561" i="11"/>
  <c r="N1562" i="11"/>
  <c r="N1563" i="11"/>
  <c r="N1564" i="11"/>
  <c r="N1565" i="11"/>
  <c r="N1566" i="11"/>
  <c r="N1567" i="11"/>
  <c r="N1568" i="11"/>
  <c r="N1569" i="11"/>
  <c r="N1570" i="11"/>
  <c r="N1571" i="11"/>
  <c r="N1572" i="11"/>
  <c r="N1573" i="11"/>
  <c r="N1574" i="11"/>
  <c r="N1575" i="11"/>
  <c r="N1576" i="11"/>
  <c r="N1577" i="11"/>
  <c r="N1578" i="11"/>
  <c r="N1579" i="11"/>
  <c r="N1580" i="11"/>
  <c r="N1581" i="11"/>
  <c r="N1582" i="11"/>
  <c r="N1583" i="11"/>
  <c r="N1584" i="11"/>
  <c r="N1585" i="11"/>
  <c r="N1586" i="11"/>
  <c r="N1587" i="11"/>
  <c r="N1588" i="11"/>
  <c r="N1589" i="11"/>
  <c r="N1590" i="11"/>
  <c r="N1591" i="11"/>
  <c r="N1592" i="11"/>
  <c r="N1593" i="11"/>
  <c r="N1594" i="11"/>
  <c r="N1595" i="11"/>
  <c r="N1596" i="11"/>
  <c r="N1597" i="11"/>
  <c r="N1598" i="11"/>
  <c r="N1599" i="11"/>
  <c r="N1600" i="11"/>
  <c r="N1601" i="11"/>
  <c r="N1602" i="11"/>
  <c r="N1603" i="11"/>
  <c r="N1604" i="11"/>
  <c r="N1605" i="11"/>
  <c r="N1606" i="11"/>
  <c r="N1607" i="11"/>
  <c r="N1608" i="11"/>
  <c r="N1609" i="11"/>
  <c r="N1610" i="11"/>
  <c r="N1611" i="11"/>
  <c r="N1612" i="11"/>
  <c r="N1613" i="11"/>
  <c r="N1614" i="11"/>
  <c r="N1615" i="11"/>
  <c r="N1616" i="11"/>
  <c r="N1617" i="11"/>
  <c r="N1618" i="11"/>
  <c r="N1619" i="11"/>
  <c r="N1620" i="11"/>
  <c r="N1621" i="11"/>
  <c r="N1622" i="11"/>
  <c r="N1623" i="11"/>
  <c r="N1624" i="11"/>
  <c r="N1625" i="11"/>
  <c r="N1626" i="11"/>
  <c r="N1627" i="11"/>
  <c r="N1628" i="11"/>
  <c r="N1629" i="11"/>
  <c r="N1630" i="11"/>
  <c r="N1631" i="11"/>
  <c r="N1632" i="11"/>
  <c r="N1633" i="11"/>
  <c r="N1634" i="11"/>
  <c r="N1635" i="11"/>
  <c r="N1636" i="11"/>
  <c r="N1637" i="11"/>
  <c r="N1638" i="11"/>
  <c r="N1639" i="11"/>
  <c r="N1640" i="11"/>
  <c r="N1641" i="11"/>
  <c r="N1642" i="11"/>
  <c r="N1643" i="11"/>
  <c r="N1644" i="11"/>
  <c r="N1645" i="11"/>
  <c r="N1646" i="11"/>
  <c r="N1647" i="11"/>
  <c r="N1648" i="11"/>
  <c r="N1649" i="11"/>
  <c r="N1650" i="11"/>
  <c r="N1651" i="11"/>
  <c r="N1652" i="11"/>
  <c r="N1653" i="11"/>
  <c r="N1654" i="11"/>
  <c r="N1655" i="11"/>
  <c r="N1656" i="11"/>
  <c r="N1657" i="11"/>
  <c r="N1658" i="11"/>
  <c r="N1659" i="11"/>
  <c r="N1660" i="11"/>
  <c r="N1661" i="11"/>
  <c r="N1662" i="11"/>
  <c r="N1663" i="11"/>
  <c r="N1664" i="11"/>
  <c r="N1665" i="11"/>
  <c r="N1666" i="11"/>
  <c r="N1667" i="11"/>
  <c r="N1668" i="11"/>
  <c r="N1669" i="11"/>
  <c r="N1670" i="11"/>
  <c r="N1671" i="11"/>
  <c r="N1672" i="11"/>
  <c r="N1673" i="11"/>
  <c r="N1674" i="11"/>
  <c r="N1675" i="11"/>
  <c r="N1676" i="11"/>
  <c r="N1677" i="11"/>
  <c r="N1678" i="11"/>
  <c r="N1679" i="11"/>
  <c r="N1680" i="11"/>
  <c r="N1681" i="11"/>
  <c r="N1682" i="11"/>
  <c r="N1683" i="11"/>
  <c r="N1684" i="11"/>
  <c r="N1685" i="11"/>
  <c r="N1686" i="11"/>
  <c r="N1687" i="11"/>
  <c r="N1688" i="11"/>
  <c r="N1689" i="11"/>
  <c r="N1690" i="11"/>
  <c r="N1691" i="11"/>
  <c r="N1692" i="11"/>
  <c r="N1693" i="11"/>
  <c r="N1694" i="11"/>
  <c r="N1695" i="11"/>
  <c r="N1696" i="11"/>
  <c r="N1697" i="11"/>
  <c r="N1698" i="11"/>
  <c r="N1699" i="11"/>
  <c r="N1700" i="11"/>
  <c r="N1701" i="11"/>
  <c r="N1702" i="11"/>
  <c r="N1703" i="11"/>
  <c r="N1704" i="11"/>
  <c r="N1705" i="11"/>
  <c r="N1706" i="11"/>
  <c r="N1707" i="11"/>
  <c r="N1708" i="11"/>
  <c r="N1709" i="11"/>
  <c r="N1710" i="11"/>
  <c r="N1711" i="11"/>
  <c r="N1712" i="11"/>
  <c r="N1713" i="11"/>
  <c r="N1714" i="11"/>
  <c r="N1715" i="11"/>
  <c r="N1716" i="11"/>
  <c r="N1717" i="11"/>
  <c r="N1718" i="11"/>
  <c r="N1719" i="11"/>
  <c r="N1720" i="11"/>
  <c r="N1721" i="11"/>
  <c r="N1722" i="11"/>
  <c r="N1723" i="11"/>
  <c r="N1724" i="11"/>
  <c r="N1725" i="11"/>
  <c r="N1726" i="11"/>
  <c r="N1727" i="11"/>
  <c r="N1728" i="11"/>
  <c r="N1729" i="11"/>
  <c r="N1730" i="11"/>
  <c r="N1731" i="11"/>
  <c r="N1732" i="11"/>
  <c r="N1733" i="11"/>
  <c r="N1734" i="11"/>
  <c r="N1735" i="11"/>
  <c r="N1736" i="11"/>
  <c r="N1737" i="11"/>
  <c r="N1738" i="11"/>
  <c r="N1739" i="11"/>
  <c r="N1740" i="11"/>
  <c r="N1741" i="11"/>
  <c r="N1742" i="11"/>
  <c r="N1743" i="11"/>
  <c r="N1744" i="11"/>
  <c r="N1745" i="11"/>
  <c r="N1746" i="11"/>
  <c r="N1747" i="11"/>
  <c r="N1748" i="11"/>
  <c r="N1749" i="11"/>
  <c r="N1750" i="11"/>
  <c r="N1751" i="11"/>
  <c r="N1752" i="11"/>
  <c r="N1753" i="11"/>
  <c r="N1754" i="11"/>
  <c r="N1755" i="11"/>
  <c r="N1756" i="11"/>
  <c r="N1757" i="11"/>
  <c r="N1758" i="11"/>
  <c r="N1759" i="11"/>
  <c r="N1760" i="11"/>
  <c r="N1761" i="11"/>
  <c r="N1762" i="11"/>
  <c r="N1763" i="11"/>
  <c r="N1764" i="11"/>
  <c r="N1765" i="11"/>
  <c r="N1766" i="11"/>
  <c r="N1767" i="11"/>
  <c r="N1768" i="11"/>
  <c r="N1769" i="11"/>
  <c r="N1770" i="11"/>
  <c r="N1771" i="11"/>
  <c r="N1772" i="11"/>
  <c r="N1773" i="11"/>
  <c r="N1774" i="11"/>
  <c r="N1775" i="11"/>
  <c r="N1776" i="11"/>
  <c r="N1777" i="11"/>
  <c r="N1778" i="11"/>
  <c r="N1779" i="11"/>
  <c r="N1780" i="11"/>
  <c r="N1781" i="11"/>
  <c r="N1782" i="11"/>
  <c r="N1783" i="11"/>
  <c r="N1784" i="11"/>
  <c r="N1785" i="11"/>
  <c r="N1786" i="11"/>
  <c r="N1787" i="11"/>
  <c r="N1788" i="11"/>
  <c r="N1789" i="11"/>
  <c r="N1790" i="11"/>
  <c r="N1791" i="11"/>
  <c r="N1792" i="11"/>
  <c r="N1793" i="11"/>
  <c r="N1794" i="11"/>
  <c r="N1795" i="11"/>
  <c r="N1796" i="11"/>
  <c r="N1797" i="11"/>
  <c r="N1798" i="11"/>
  <c r="N1799" i="11"/>
  <c r="N1800" i="11"/>
  <c r="N1801" i="11"/>
  <c r="N1802" i="11"/>
  <c r="N1803" i="11"/>
  <c r="N1804" i="11"/>
  <c r="N1805" i="11"/>
  <c r="N1806" i="11"/>
  <c r="N1807" i="11"/>
  <c r="N1808" i="11"/>
  <c r="N1809" i="11"/>
  <c r="N1810" i="11"/>
  <c r="N1811" i="11"/>
  <c r="N1812" i="11"/>
  <c r="N1813" i="11"/>
  <c r="N1814" i="11"/>
  <c r="N1815" i="11"/>
  <c r="N1816" i="11"/>
  <c r="N1817" i="11"/>
  <c r="N1818" i="11"/>
  <c r="N8" i="11"/>
  <c r="M1869" i="11"/>
  <c r="K1869" i="11"/>
  <c r="L1869" i="11" s="1"/>
  <c r="M1868" i="11"/>
  <c r="K1868" i="11"/>
  <c r="L1868" i="11" s="1"/>
  <c r="M1867" i="11"/>
  <c r="K1867" i="11"/>
  <c r="L1867" i="11" s="1"/>
  <c r="M1866" i="11"/>
  <c r="K1866" i="11"/>
  <c r="L1866" i="11" s="1"/>
  <c r="M1865" i="11"/>
  <c r="K1865" i="11"/>
  <c r="L1865" i="11" s="1"/>
  <c r="M1864" i="11"/>
  <c r="K1864" i="11"/>
  <c r="L1864" i="11" s="1"/>
  <c r="M1863" i="11"/>
  <c r="K1863" i="11"/>
  <c r="L1863" i="11" s="1"/>
  <c r="M1862" i="11"/>
  <c r="K1862" i="11"/>
  <c r="L1862" i="11" s="1"/>
  <c r="M1861" i="11"/>
  <c r="K1861" i="11"/>
  <c r="L1861" i="11" s="1"/>
  <c r="M1860" i="11"/>
  <c r="K1860" i="11"/>
  <c r="L1860" i="11" s="1"/>
  <c r="M1859" i="11"/>
  <c r="K1859" i="11"/>
  <c r="L1859" i="11" s="1"/>
  <c r="M1858" i="11"/>
  <c r="K1858" i="11"/>
  <c r="L1858" i="11" s="1"/>
  <c r="M1857" i="11"/>
  <c r="K1857" i="11"/>
  <c r="L1857" i="11" s="1"/>
  <c r="M1856" i="11"/>
  <c r="K1856" i="11"/>
  <c r="L1856" i="11" s="1"/>
  <c r="M1855" i="11"/>
  <c r="K1855" i="11"/>
  <c r="L1855" i="11" s="1"/>
  <c r="M1854" i="11"/>
  <c r="K1854" i="11"/>
  <c r="L1854" i="11" s="1"/>
  <c r="M1853" i="11"/>
  <c r="K1853" i="11"/>
  <c r="L1853" i="11" s="1"/>
  <c r="M1852" i="11"/>
  <c r="K1852" i="11"/>
  <c r="L1852" i="11" s="1"/>
  <c r="M1851" i="11"/>
  <c r="K1851" i="11"/>
  <c r="L1851" i="11" s="1"/>
  <c r="M1850" i="11"/>
  <c r="K1850" i="11"/>
  <c r="L1850" i="11" s="1"/>
  <c r="M1849" i="11"/>
  <c r="K1849" i="11"/>
  <c r="L1849" i="11" s="1"/>
  <c r="M1848" i="11"/>
  <c r="K1848" i="11"/>
  <c r="L1848" i="11" s="1"/>
  <c r="M1847" i="11"/>
  <c r="K1847" i="11"/>
  <c r="L1847" i="11" s="1"/>
  <c r="M1846" i="11"/>
  <c r="K1846" i="11"/>
  <c r="L1846" i="11" s="1"/>
  <c r="M1845" i="11"/>
  <c r="K1845" i="11"/>
  <c r="L1845" i="11" s="1"/>
  <c r="M1844" i="11"/>
  <c r="K1844" i="11"/>
  <c r="L1844" i="11" s="1"/>
  <c r="M1843" i="11"/>
  <c r="K1843" i="11"/>
  <c r="L1843" i="11" s="1"/>
  <c r="M1842" i="11"/>
  <c r="K1842" i="11"/>
  <c r="L1842" i="11" s="1"/>
  <c r="M1841" i="11"/>
  <c r="K1841" i="11"/>
  <c r="L1841" i="11" s="1"/>
  <c r="M1840" i="11"/>
  <c r="K1840" i="11"/>
  <c r="L1840" i="11" s="1"/>
  <c r="M1839" i="11"/>
  <c r="K1839" i="11"/>
  <c r="L1839" i="11" s="1"/>
  <c r="M1838" i="11"/>
  <c r="K1838" i="11"/>
  <c r="L1838" i="11" s="1"/>
  <c r="M1837" i="11"/>
  <c r="K1837" i="11"/>
  <c r="L1837" i="11" s="1"/>
  <c r="M1836" i="11"/>
  <c r="K1836" i="11"/>
  <c r="L1836" i="11" s="1"/>
  <c r="M1835" i="11"/>
  <c r="K1835" i="11"/>
  <c r="L1835" i="11" s="1"/>
  <c r="M1834" i="11"/>
  <c r="K1834" i="11"/>
  <c r="L1834" i="11" s="1"/>
  <c r="M1833" i="11"/>
  <c r="K1833" i="11"/>
  <c r="L1833" i="11" s="1"/>
  <c r="M1832" i="11"/>
  <c r="K1832" i="11"/>
  <c r="L1832" i="11" s="1"/>
  <c r="M1831" i="11"/>
  <c r="K1831" i="11"/>
  <c r="L1831" i="11" s="1"/>
  <c r="M1830" i="11"/>
  <c r="K1830" i="11"/>
  <c r="L1830" i="11" s="1"/>
  <c r="M1829" i="11"/>
  <c r="K1829" i="11"/>
  <c r="L1829" i="11" s="1"/>
  <c r="M1828" i="11"/>
  <c r="K1828" i="11"/>
  <c r="L1828" i="11" s="1"/>
  <c r="M1827" i="11"/>
  <c r="K1827" i="11"/>
  <c r="L1827" i="11" s="1"/>
  <c r="M1826" i="11"/>
  <c r="K1826" i="11"/>
  <c r="L1826" i="11" s="1"/>
  <c r="M1825" i="11"/>
  <c r="K1825" i="11"/>
  <c r="L1825" i="11" s="1"/>
  <c r="M1824" i="11"/>
  <c r="K1824" i="11"/>
  <c r="L1824" i="11" s="1"/>
  <c r="M1823" i="11"/>
  <c r="K1823" i="11"/>
  <c r="L1823" i="11" s="1"/>
  <c r="M1822" i="11"/>
  <c r="K1822" i="11"/>
  <c r="L1822" i="11" s="1"/>
  <c r="M1821" i="11"/>
  <c r="K1821" i="11"/>
  <c r="L1821" i="11" s="1"/>
  <c r="M1820" i="11"/>
  <c r="K1820" i="11"/>
  <c r="L1820" i="11" s="1"/>
  <c r="M1819" i="11"/>
  <c r="K1819" i="11"/>
  <c r="L1819" i="11" s="1"/>
  <c r="M1818" i="11"/>
  <c r="K1818" i="11"/>
  <c r="L1818" i="11" s="1"/>
  <c r="M1817" i="11"/>
  <c r="K1817" i="11"/>
  <c r="L1817" i="11" s="1"/>
  <c r="M1816" i="11"/>
  <c r="K1816" i="11"/>
  <c r="L1816" i="11" s="1"/>
  <c r="M1815" i="11"/>
  <c r="K1815" i="11"/>
  <c r="L1815" i="11" s="1"/>
  <c r="M1814" i="11"/>
  <c r="K1814" i="11"/>
  <c r="L1814" i="11" s="1"/>
  <c r="M1813" i="11"/>
  <c r="K1813" i="11"/>
  <c r="L1813" i="11" s="1"/>
  <c r="M1812" i="11"/>
  <c r="K1812" i="11"/>
  <c r="L1812" i="11" s="1"/>
  <c r="M1811" i="11"/>
  <c r="K1811" i="11"/>
  <c r="L1811" i="11" s="1"/>
  <c r="M1810" i="11"/>
  <c r="K1810" i="11"/>
  <c r="L1810" i="11" s="1"/>
  <c r="M1809" i="11"/>
  <c r="K1809" i="11"/>
  <c r="L1809" i="11" s="1"/>
  <c r="M1808" i="11"/>
  <c r="K1808" i="11"/>
  <c r="L1808" i="11" s="1"/>
  <c r="M1807" i="11"/>
  <c r="K1807" i="11"/>
  <c r="L1807" i="11" s="1"/>
  <c r="M1806" i="11"/>
  <c r="K1806" i="11"/>
  <c r="L1806" i="11" s="1"/>
  <c r="M1805" i="11"/>
  <c r="K1805" i="11"/>
  <c r="L1805" i="11" s="1"/>
  <c r="M1804" i="11"/>
  <c r="K1804" i="11"/>
  <c r="L1804" i="11" s="1"/>
  <c r="M1803" i="11"/>
  <c r="K1803" i="11"/>
  <c r="L1803" i="11" s="1"/>
  <c r="M1802" i="11"/>
  <c r="K1802" i="11"/>
  <c r="L1802" i="11" s="1"/>
  <c r="M1801" i="11"/>
  <c r="K1801" i="11"/>
  <c r="L1801" i="11" s="1"/>
  <c r="M1800" i="11"/>
  <c r="K1800" i="11"/>
  <c r="L1800" i="11" s="1"/>
  <c r="M1799" i="11"/>
  <c r="K1799" i="11"/>
  <c r="L1799" i="11" s="1"/>
  <c r="M1798" i="11"/>
  <c r="K1798" i="11"/>
  <c r="L1798" i="11" s="1"/>
  <c r="M1797" i="11"/>
  <c r="K1797" i="11"/>
  <c r="L1797" i="11" s="1"/>
  <c r="M1796" i="11"/>
  <c r="K1796" i="11"/>
  <c r="L1796" i="11" s="1"/>
  <c r="M1795" i="11"/>
  <c r="K1795" i="11"/>
  <c r="L1795" i="11" s="1"/>
  <c r="M1794" i="11"/>
  <c r="K1794" i="11"/>
  <c r="L1794" i="11" s="1"/>
  <c r="M1793" i="11"/>
  <c r="K1793" i="11"/>
  <c r="L1793" i="11" s="1"/>
  <c r="M1792" i="11"/>
  <c r="K1792" i="11"/>
  <c r="L1792" i="11" s="1"/>
  <c r="M1791" i="11"/>
  <c r="K1791" i="11"/>
  <c r="L1791" i="11" s="1"/>
  <c r="M1790" i="11"/>
  <c r="K1790" i="11"/>
  <c r="L1790" i="11" s="1"/>
  <c r="M1789" i="11"/>
  <c r="K1789" i="11"/>
  <c r="L1789" i="11" s="1"/>
  <c r="M1788" i="11"/>
  <c r="K1788" i="11"/>
  <c r="L1788" i="11" s="1"/>
  <c r="M1787" i="11"/>
  <c r="K1787" i="11"/>
  <c r="L1787" i="11" s="1"/>
  <c r="M1786" i="11"/>
  <c r="K1786" i="11"/>
  <c r="L1786" i="11" s="1"/>
  <c r="M1785" i="11"/>
  <c r="K1785" i="11"/>
  <c r="L1785" i="11" s="1"/>
  <c r="M1784" i="11"/>
  <c r="K1784" i="11"/>
  <c r="L1784" i="11" s="1"/>
  <c r="M1783" i="11"/>
  <c r="K1783" i="11"/>
  <c r="L1783" i="11" s="1"/>
  <c r="M1782" i="11"/>
  <c r="K1782" i="11"/>
  <c r="L1782" i="11" s="1"/>
  <c r="M1781" i="11"/>
  <c r="K1781" i="11"/>
  <c r="L1781" i="11" s="1"/>
  <c r="M1780" i="11"/>
  <c r="K1780" i="11"/>
  <c r="L1780" i="11" s="1"/>
  <c r="M1779" i="11"/>
  <c r="K1779" i="11"/>
  <c r="L1779" i="11" s="1"/>
  <c r="M1778" i="11"/>
  <c r="K1778" i="11"/>
  <c r="L1778" i="11" s="1"/>
  <c r="M1777" i="11"/>
  <c r="K1777" i="11"/>
  <c r="L1777" i="11" s="1"/>
  <c r="M1776" i="11"/>
  <c r="K1776" i="11"/>
  <c r="L1776" i="11" s="1"/>
  <c r="M1775" i="11"/>
  <c r="K1775" i="11"/>
  <c r="L1775" i="11" s="1"/>
  <c r="M1774" i="11"/>
  <c r="K1774" i="11"/>
  <c r="L1774" i="11" s="1"/>
  <c r="M1773" i="11"/>
  <c r="K1773" i="11"/>
  <c r="L1773" i="11" s="1"/>
  <c r="M1772" i="11"/>
  <c r="K1772" i="11"/>
  <c r="L1772" i="11" s="1"/>
  <c r="M1771" i="11"/>
  <c r="K1771" i="11"/>
  <c r="L1771" i="11" s="1"/>
  <c r="M1770" i="11"/>
  <c r="K1770" i="11"/>
  <c r="L1770" i="11" s="1"/>
  <c r="M1769" i="11"/>
  <c r="K1769" i="11"/>
  <c r="L1769" i="11" s="1"/>
  <c r="M1768" i="11"/>
  <c r="K1768" i="11"/>
  <c r="L1768" i="11" s="1"/>
  <c r="M1767" i="11"/>
  <c r="K1767" i="11"/>
  <c r="L1767" i="11" s="1"/>
  <c r="M1766" i="11"/>
  <c r="K1766" i="11"/>
  <c r="L1766" i="11" s="1"/>
  <c r="M1765" i="11"/>
  <c r="K1765" i="11"/>
  <c r="L1765" i="11" s="1"/>
  <c r="M1764" i="11"/>
  <c r="K1764" i="11"/>
  <c r="L1764" i="11" s="1"/>
  <c r="M1763" i="11"/>
  <c r="K1763" i="11"/>
  <c r="L1763" i="11" s="1"/>
  <c r="M1762" i="11"/>
  <c r="K1762" i="11"/>
  <c r="L1762" i="11" s="1"/>
  <c r="M1761" i="11"/>
  <c r="K1761" i="11"/>
  <c r="L1761" i="11" s="1"/>
  <c r="M1760" i="11"/>
  <c r="K1760" i="11"/>
  <c r="L1760" i="11" s="1"/>
  <c r="M1759" i="11"/>
  <c r="K1759" i="11"/>
  <c r="L1759" i="11" s="1"/>
  <c r="M1758" i="11"/>
  <c r="K1758" i="11"/>
  <c r="L1758" i="11" s="1"/>
  <c r="M1757" i="11"/>
  <c r="K1757" i="11"/>
  <c r="L1757" i="11" s="1"/>
  <c r="M1756" i="11"/>
  <c r="K1756" i="11"/>
  <c r="L1756" i="11" s="1"/>
  <c r="M1755" i="11"/>
  <c r="K1755" i="11"/>
  <c r="L1755" i="11" s="1"/>
  <c r="M1754" i="11"/>
  <c r="K1754" i="11"/>
  <c r="L1754" i="11" s="1"/>
  <c r="M1753" i="11"/>
  <c r="K1753" i="11"/>
  <c r="L1753" i="11" s="1"/>
  <c r="M1752" i="11"/>
  <c r="K1752" i="11"/>
  <c r="L1752" i="11" s="1"/>
  <c r="M1751" i="11"/>
  <c r="K1751" i="11"/>
  <c r="L1751" i="11" s="1"/>
  <c r="M1750" i="11"/>
  <c r="K1750" i="11"/>
  <c r="L1750" i="11" s="1"/>
  <c r="M1749" i="11"/>
  <c r="K1749" i="11"/>
  <c r="L1749" i="11" s="1"/>
  <c r="M1748" i="11"/>
  <c r="K1748" i="11"/>
  <c r="L1748" i="11" s="1"/>
  <c r="M1747" i="11"/>
  <c r="K1747" i="11"/>
  <c r="L1747" i="11" s="1"/>
  <c r="M1746" i="11"/>
  <c r="K1746" i="11"/>
  <c r="L1746" i="11" s="1"/>
  <c r="M1745" i="11"/>
  <c r="K1745" i="11"/>
  <c r="L1745" i="11" s="1"/>
  <c r="M1744" i="11"/>
  <c r="K1744" i="11"/>
  <c r="L1744" i="11" s="1"/>
  <c r="M1743" i="11"/>
  <c r="K1743" i="11"/>
  <c r="L1743" i="11" s="1"/>
  <c r="M1742" i="11"/>
  <c r="K1742" i="11"/>
  <c r="L1742" i="11" s="1"/>
  <c r="M1741" i="11"/>
  <c r="K1741" i="11"/>
  <c r="L1741" i="11" s="1"/>
  <c r="M1740" i="11"/>
  <c r="K1740" i="11"/>
  <c r="L1740" i="11" s="1"/>
  <c r="M1739" i="11"/>
  <c r="K1739" i="11"/>
  <c r="L1739" i="11" s="1"/>
  <c r="M1738" i="11"/>
  <c r="K1738" i="11"/>
  <c r="L1738" i="11" s="1"/>
  <c r="M1737" i="11"/>
  <c r="K1737" i="11"/>
  <c r="L1737" i="11" s="1"/>
  <c r="M1736" i="11"/>
  <c r="K1736" i="11"/>
  <c r="L1736" i="11" s="1"/>
  <c r="M1735" i="11"/>
  <c r="K1735" i="11"/>
  <c r="L1735" i="11" s="1"/>
  <c r="M1734" i="11"/>
  <c r="K1734" i="11"/>
  <c r="L1734" i="11" s="1"/>
  <c r="M1733" i="11"/>
  <c r="K1733" i="11"/>
  <c r="L1733" i="11" s="1"/>
  <c r="M1732" i="11"/>
  <c r="K1732" i="11"/>
  <c r="L1732" i="11" s="1"/>
  <c r="M1731" i="11"/>
  <c r="K1731" i="11"/>
  <c r="L1731" i="11" s="1"/>
  <c r="M1730" i="11"/>
  <c r="K1730" i="11"/>
  <c r="L1730" i="11" s="1"/>
  <c r="M1729" i="11"/>
  <c r="K1729" i="11"/>
  <c r="L1729" i="11" s="1"/>
  <c r="M1728" i="11"/>
  <c r="K1728" i="11"/>
  <c r="L1728" i="11" s="1"/>
  <c r="M1727" i="11"/>
  <c r="K1727" i="11"/>
  <c r="L1727" i="11" s="1"/>
  <c r="M1726" i="11"/>
  <c r="K1726" i="11"/>
  <c r="L1726" i="11" s="1"/>
  <c r="M1725" i="11"/>
  <c r="K1725" i="11"/>
  <c r="L1725" i="11" s="1"/>
  <c r="M1724" i="11"/>
  <c r="K1724" i="11"/>
  <c r="L1724" i="11" s="1"/>
  <c r="M1723" i="11"/>
  <c r="K1723" i="11"/>
  <c r="L1723" i="11" s="1"/>
  <c r="M1722" i="11"/>
  <c r="K1722" i="11"/>
  <c r="L1722" i="11" s="1"/>
  <c r="M1721" i="11"/>
  <c r="K1721" i="11"/>
  <c r="L1721" i="11" s="1"/>
  <c r="M1720" i="11"/>
  <c r="K1720" i="11"/>
  <c r="L1720" i="11" s="1"/>
  <c r="M1719" i="11"/>
  <c r="K1719" i="11"/>
  <c r="L1719" i="11" s="1"/>
  <c r="M1718" i="11"/>
  <c r="K1718" i="11"/>
  <c r="L1718" i="11" s="1"/>
  <c r="M1717" i="11"/>
  <c r="K1717" i="11"/>
  <c r="L1717" i="11" s="1"/>
  <c r="M1716" i="11"/>
  <c r="K1716" i="11"/>
  <c r="L1716" i="11" s="1"/>
  <c r="M1715" i="11"/>
  <c r="K1715" i="11"/>
  <c r="L1715" i="11" s="1"/>
  <c r="M1714" i="11"/>
  <c r="K1714" i="11"/>
  <c r="L1714" i="11" s="1"/>
  <c r="M1713" i="11"/>
  <c r="K1713" i="11"/>
  <c r="L1713" i="11" s="1"/>
  <c r="M1712" i="11"/>
  <c r="K1712" i="11"/>
  <c r="L1712" i="11" s="1"/>
  <c r="M1711" i="11"/>
  <c r="K1711" i="11"/>
  <c r="L1711" i="11" s="1"/>
  <c r="M1710" i="11"/>
  <c r="K1710" i="11"/>
  <c r="L1710" i="11" s="1"/>
  <c r="M1709" i="11"/>
  <c r="K1709" i="11"/>
  <c r="L1709" i="11" s="1"/>
  <c r="M1708" i="11"/>
  <c r="K1708" i="11"/>
  <c r="L1708" i="11" s="1"/>
  <c r="M1707" i="11"/>
  <c r="K1707" i="11"/>
  <c r="L1707" i="11" s="1"/>
  <c r="M1706" i="11"/>
  <c r="K1706" i="11"/>
  <c r="L1706" i="11" s="1"/>
  <c r="M1705" i="11"/>
  <c r="K1705" i="11"/>
  <c r="L1705" i="11" s="1"/>
  <c r="M1704" i="11"/>
  <c r="K1704" i="11"/>
  <c r="L1704" i="11" s="1"/>
  <c r="M1703" i="11"/>
  <c r="K1703" i="11"/>
  <c r="L1703" i="11" s="1"/>
  <c r="M1702" i="11"/>
  <c r="K1702" i="11"/>
  <c r="L1702" i="11" s="1"/>
  <c r="M1701" i="11"/>
  <c r="K1701" i="11"/>
  <c r="L1701" i="11" s="1"/>
  <c r="M1700" i="11"/>
  <c r="K1700" i="11"/>
  <c r="L1700" i="11" s="1"/>
  <c r="M1699" i="11"/>
  <c r="K1699" i="11"/>
  <c r="L1699" i="11" s="1"/>
  <c r="M1698" i="11"/>
  <c r="K1698" i="11"/>
  <c r="L1698" i="11" s="1"/>
  <c r="M1697" i="11"/>
  <c r="K1697" i="11"/>
  <c r="L1697" i="11" s="1"/>
  <c r="M1696" i="11"/>
  <c r="K1696" i="11"/>
  <c r="L1696" i="11" s="1"/>
  <c r="M1695" i="11"/>
  <c r="K1695" i="11"/>
  <c r="L1695" i="11" s="1"/>
  <c r="M1694" i="11"/>
  <c r="K1694" i="11"/>
  <c r="L1694" i="11" s="1"/>
  <c r="M1693" i="11"/>
  <c r="K1693" i="11"/>
  <c r="L1693" i="11" s="1"/>
  <c r="M1692" i="11"/>
  <c r="K1692" i="11"/>
  <c r="L1692" i="11" s="1"/>
  <c r="M1691" i="11"/>
  <c r="K1691" i="11"/>
  <c r="L1691" i="11" s="1"/>
  <c r="M1690" i="11"/>
  <c r="K1690" i="11"/>
  <c r="L1690" i="11" s="1"/>
  <c r="M1689" i="11"/>
  <c r="K1689" i="11"/>
  <c r="L1689" i="11" s="1"/>
  <c r="M1688" i="11"/>
  <c r="K1688" i="11"/>
  <c r="L1688" i="11" s="1"/>
  <c r="M1687" i="11"/>
  <c r="K1687" i="11"/>
  <c r="L1687" i="11" s="1"/>
  <c r="M1686" i="11"/>
  <c r="K1686" i="11"/>
  <c r="L1686" i="11" s="1"/>
  <c r="M1685" i="11"/>
  <c r="K1685" i="11"/>
  <c r="L1685" i="11" s="1"/>
  <c r="M1684" i="11"/>
  <c r="K1684" i="11"/>
  <c r="L1684" i="11" s="1"/>
  <c r="M1683" i="11"/>
  <c r="K1683" i="11"/>
  <c r="L1683" i="11" s="1"/>
  <c r="M1682" i="11"/>
  <c r="K1682" i="11"/>
  <c r="L1682" i="11" s="1"/>
  <c r="M1681" i="11"/>
  <c r="K1681" i="11"/>
  <c r="L1681" i="11" s="1"/>
  <c r="M1680" i="11"/>
  <c r="K1680" i="11"/>
  <c r="L1680" i="11" s="1"/>
  <c r="M1679" i="11"/>
  <c r="K1679" i="11"/>
  <c r="L1679" i="11" s="1"/>
  <c r="M1678" i="11"/>
  <c r="K1678" i="11"/>
  <c r="L1678" i="11" s="1"/>
  <c r="M1677" i="11"/>
  <c r="K1677" i="11"/>
  <c r="L1677" i="11" s="1"/>
  <c r="M1676" i="11"/>
  <c r="K1676" i="11"/>
  <c r="L1676" i="11" s="1"/>
  <c r="M1675" i="11"/>
  <c r="K1675" i="11"/>
  <c r="L1675" i="11" s="1"/>
  <c r="M1674" i="11"/>
  <c r="K1674" i="11"/>
  <c r="L1674" i="11" s="1"/>
  <c r="M1673" i="11"/>
  <c r="K1673" i="11"/>
  <c r="L1673" i="11" s="1"/>
  <c r="M1672" i="11"/>
  <c r="K1672" i="11"/>
  <c r="L1672" i="11" s="1"/>
  <c r="M1671" i="11"/>
  <c r="K1671" i="11"/>
  <c r="L1671" i="11" s="1"/>
  <c r="M1670" i="11"/>
  <c r="K1670" i="11"/>
  <c r="L1670" i="11" s="1"/>
  <c r="M1669" i="11"/>
  <c r="K1669" i="11"/>
  <c r="L1669" i="11" s="1"/>
  <c r="M1668" i="11"/>
  <c r="K1668" i="11"/>
  <c r="L1668" i="11" s="1"/>
  <c r="M1667" i="11"/>
  <c r="K1667" i="11"/>
  <c r="L1667" i="11" s="1"/>
  <c r="M1666" i="11"/>
  <c r="K1666" i="11"/>
  <c r="L1666" i="11" s="1"/>
  <c r="M1665" i="11"/>
  <c r="K1665" i="11"/>
  <c r="L1665" i="11" s="1"/>
  <c r="M1664" i="11"/>
  <c r="K1664" i="11"/>
  <c r="L1664" i="11" s="1"/>
  <c r="M1663" i="11"/>
  <c r="K1663" i="11"/>
  <c r="L1663" i="11" s="1"/>
  <c r="M1662" i="11"/>
  <c r="K1662" i="11"/>
  <c r="L1662" i="11" s="1"/>
  <c r="M1661" i="11"/>
  <c r="K1661" i="11"/>
  <c r="L1661" i="11" s="1"/>
  <c r="M1660" i="11"/>
  <c r="K1660" i="11"/>
  <c r="L1660" i="11" s="1"/>
  <c r="M1659" i="11"/>
  <c r="K1659" i="11"/>
  <c r="L1659" i="11" s="1"/>
  <c r="M1658" i="11"/>
  <c r="K1658" i="11"/>
  <c r="L1658" i="11" s="1"/>
  <c r="M1657" i="11"/>
  <c r="K1657" i="11"/>
  <c r="L1657" i="11" s="1"/>
  <c r="M1656" i="11"/>
  <c r="K1656" i="11"/>
  <c r="L1656" i="11" s="1"/>
  <c r="M1655" i="11"/>
  <c r="K1655" i="11"/>
  <c r="L1655" i="11" s="1"/>
  <c r="M1654" i="11"/>
  <c r="K1654" i="11"/>
  <c r="L1654" i="11" s="1"/>
  <c r="M1653" i="11"/>
  <c r="K1653" i="11"/>
  <c r="L1653" i="11" s="1"/>
  <c r="M1652" i="11"/>
  <c r="K1652" i="11"/>
  <c r="L1652" i="11" s="1"/>
  <c r="M1651" i="11"/>
  <c r="K1651" i="11"/>
  <c r="L1651" i="11" s="1"/>
  <c r="M1650" i="11"/>
  <c r="K1650" i="11"/>
  <c r="L1650" i="11" s="1"/>
  <c r="M1649" i="11"/>
  <c r="K1649" i="11"/>
  <c r="L1649" i="11" s="1"/>
  <c r="M1648" i="11"/>
  <c r="K1648" i="11"/>
  <c r="L1648" i="11" s="1"/>
  <c r="M1647" i="11"/>
  <c r="K1647" i="11"/>
  <c r="L1647" i="11" s="1"/>
  <c r="M1646" i="11"/>
  <c r="K1646" i="11"/>
  <c r="L1646" i="11" s="1"/>
  <c r="M1645" i="11"/>
  <c r="K1645" i="11"/>
  <c r="L1645" i="11" s="1"/>
  <c r="M1644" i="11"/>
  <c r="K1644" i="11"/>
  <c r="L1644" i="11" s="1"/>
  <c r="M1643" i="11"/>
  <c r="K1643" i="11"/>
  <c r="L1643" i="11" s="1"/>
  <c r="M1642" i="11"/>
  <c r="K1642" i="11"/>
  <c r="L1642" i="11" s="1"/>
  <c r="M1641" i="11"/>
  <c r="K1641" i="11"/>
  <c r="L1641" i="11" s="1"/>
  <c r="M1640" i="11"/>
  <c r="K1640" i="11"/>
  <c r="L1640" i="11" s="1"/>
  <c r="M1639" i="11"/>
  <c r="K1639" i="11"/>
  <c r="L1639" i="11" s="1"/>
  <c r="M1638" i="11"/>
  <c r="K1638" i="11"/>
  <c r="L1638" i="11" s="1"/>
  <c r="M1637" i="11"/>
  <c r="K1637" i="11"/>
  <c r="L1637" i="11" s="1"/>
  <c r="M1636" i="11"/>
  <c r="K1636" i="11"/>
  <c r="L1636" i="11" s="1"/>
  <c r="M1635" i="11"/>
  <c r="K1635" i="11"/>
  <c r="L1635" i="11" s="1"/>
  <c r="M1634" i="11"/>
  <c r="K1634" i="11"/>
  <c r="L1634" i="11" s="1"/>
  <c r="M1633" i="11"/>
  <c r="K1633" i="11"/>
  <c r="L1633" i="11" s="1"/>
  <c r="M1632" i="11"/>
  <c r="K1632" i="11"/>
  <c r="L1632" i="11" s="1"/>
  <c r="M1631" i="11"/>
  <c r="K1631" i="11"/>
  <c r="L1631" i="11" s="1"/>
  <c r="M1630" i="11"/>
  <c r="K1630" i="11"/>
  <c r="L1630" i="11" s="1"/>
  <c r="M1629" i="11"/>
  <c r="K1629" i="11"/>
  <c r="L1629" i="11" s="1"/>
  <c r="M1628" i="11"/>
  <c r="K1628" i="11"/>
  <c r="L1628" i="11" s="1"/>
  <c r="M1627" i="11"/>
  <c r="K1627" i="11"/>
  <c r="L1627" i="11" s="1"/>
  <c r="M1626" i="11"/>
  <c r="K1626" i="11"/>
  <c r="L1626" i="11" s="1"/>
  <c r="M1625" i="11"/>
  <c r="K1625" i="11"/>
  <c r="L1625" i="11" s="1"/>
  <c r="M1624" i="11"/>
  <c r="K1624" i="11"/>
  <c r="L1624" i="11" s="1"/>
  <c r="M1623" i="11"/>
  <c r="K1623" i="11"/>
  <c r="L1623" i="11" s="1"/>
  <c r="M1622" i="11"/>
  <c r="K1622" i="11"/>
  <c r="L1622" i="11" s="1"/>
  <c r="M1621" i="11"/>
  <c r="K1621" i="11"/>
  <c r="L1621" i="11" s="1"/>
  <c r="M1620" i="11"/>
  <c r="K1620" i="11"/>
  <c r="L1620" i="11" s="1"/>
  <c r="M1619" i="11"/>
  <c r="K1619" i="11"/>
  <c r="L1619" i="11" s="1"/>
  <c r="M1618" i="11"/>
  <c r="K1618" i="11"/>
  <c r="L1618" i="11" s="1"/>
  <c r="M1617" i="11"/>
  <c r="K1617" i="11"/>
  <c r="L1617" i="11" s="1"/>
  <c r="M1616" i="11"/>
  <c r="K1616" i="11"/>
  <c r="L1616" i="11" s="1"/>
  <c r="M1615" i="11"/>
  <c r="K1615" i="11"/>
  <c r="L1615" i="11" s="1"/>
  <c r="M1614" i="11"/>
  <c r="K1614" i="11"/>
  <c r="L1614" i="11" s="1"/>
  <c r="M1613" i="11"/>
  <c r="K1613" i="11"/>
  <c r="L1613" i="11" s="1"/>
  <c r="M1612" i="11"/>
  <c r="K1612" i="11"/>
  <c r="L1612" i="11" s="1"/>
  <c r="M1611" i="11"/>
  <c r="K1611" i="11"/>
  <c r="L1611" i="11" s="1"/>
  <c r="M1610" i="11"/>
  <c r="K1610" i="11"/>
  <c r="L1610" i="11" s="1"/>
  <c r="M1609" i="11"/>
  <c r="K1609" i="11"/>
  <c r="L1609" i="11" s="1"/>
  <c r="M1608" i="11"/>
  <c r="K1608" i="11"/>
  <c r="L1608" i="11" s="1"/>
  <c r="M1607" i="11"/>
  <c r="K1607" i="11"/>
  <c r="L1607" i="11" s="1"/>
  <c r="M1606" i="11"/>
  <c r="K1606" i="11"/>
  <c r="L1606" i="11" s="1"/>
  <c r="M1605" i="11"/>
  <c r="K1605" i="11"/>
  <c r="L1605" i="11" s="1"/>
  <c r="M1604" i="11"/>
  <c r="K1604" i="11"/>
  <c r="L1604" i="11" s="1"/>
  <c r="M1603" i="11"/>
  <c r="K1603" i="11"/>
  <c r="L1603" i="11" s="1"/>
  <c r="M1602" i="11"/>
  <c r="K1602" i="11"/>
  <c r="L1602" i="11" s="1"/>
  <c r="M1601" i="11"/>
  <c r="K1601" i="11"/>
  <c r="L1601" i="11" s="1"/>
  <c r="M1600" i="11"/>
  <c r="K1600" i="11"/>
  <c r="L1600" i="11" s="1"/>
  <c r="M1599" i="11"/>
  <c r="K1599" i="11"/>
  <c r="L1599" i="11" s="1"/>
  <c r="M1598" i="11"/>
  <c r="K1598" i="11"/>
  <c r="L1598" i="11" s="1"/>
  <c r="M1597" i="11"/>
  <c r="K1597" i="11"/>
  <c r="L1597" i="11" s="1"/>
  <c r="M1596" i="11"/>
  <c r="K1596" i="11"/>
  <c r="L1596" i="11" s="1"/>
  <c r="M1595" i="11"/>
  <c r="K1595" i="11"/>
  <c r="L1595" i="11" s="1"/>
  <c r="M1594" i="11"/>
  <c r="K1594" i="11"/>
  <c r="L1594" i="11" s="1"/>
  <c r="M1593" i="11"/>
  <c r="K1593" i="11"/>
  <c r="L1593" i="11" s="1"/>
  <c r="M1592" i="11"/>
  <c r="K1592" i="11"/>
  <c r="L1592" i="11" s="1"/>
  <c r="M1591" i="11"/>
  <c r="K1591" i="11"/>
  <c r="L1591" i="11" s="1"/>
  <c r="M1590" i="11"/>
  <c r="K1590" i="11"/>
  <c r="L1590" i="11" s="1"/>
  <c r="M1589" i="11"/>
  <c r="K1589" i="11"/>
  <c r="L1589" i="11" s="1"/>
  <c r="M1588" i="11"/>
  <c r="K1588" i="11"/>
  <c r="L1588" i="11" s="1"/>
  <c r="M1587" i="11"/>
  <c r="K1587" i="11"/>
  <c r="L1587" i="11" s="1"/>
  <c r="M1586" i="11"/>
  <c r="K1586" i="11"/>
  <c r="L1586" i="11" s="1"/>
  <c r="M1585" i="11"/>
  <c r="K1585" i="11"/>
  <c r="L1585" i="11" s="1"/>
  <c r="M1584" i="11"/>
  <c r="K1584" i="11"/>
  <c r="L1584" i="11" s="1"/>
  <c r="M1583" i="11"/>
  <c r="K1583" i="11"/>
  <c r="L1583" i="11" s="1"/>
  <c r="M1582" i="11"/>
  <c r="K1582" i="11"/>
  <c r="L1582" i="11" s="1"/>
  <c r="M1581" i="11"/>
  <c r="K1581" i="11"/>
  <c r="L1581" i="11" s="1"/>
  <c r="M1580" i="11"/>
  <c r="K1580" i="11"/>
  <c r="L1580" i="11" s="1"/>
  <c r="M1579" i="11"/>
  <c r="K1579" i="11"/>
  <c r="L1579" i="11" s="1"/>
  <c r="M1578" i="11"/>
  <c r="K1578" i="11"/>
  <c r="L1578" i="11" s="1"/>
  <c r="M1577" i="11"/>
  <c r="K1577" i="11"/>
  <c r="L1577" i="11" s="1"/>
  <c r="M1576" i="11"/>
  <c r="K1576" i="11"/>
  <c r="L1576" i="11" s="1"/>
  <c r="M1575" i="11"/>
  <c r="K1575" i="11"/>
  <c r="L1575" i="11" s="1"/>
  <c r="M1574" i="11"/>
  <c r="K1574" i="11"/>
  <c r="L1574" i="11" s="1"/>
  <c r="M1573" i="11"/>
  <c r="K1573" i="11"/>
  <c r="L1573" i="11" s="1"/>
  <c r="M1572" i="11"/>
  <c r="K1572" i="11"/>
  <c r="L1572" i="11" s="1"/>
  <c r="M1571" i="11"/>
  <c r="K1571" i="11"/>
  <c r="L1571" i="11" s="1"/>
  <c r="M1570" i="11"/>
  <c r="K1570" i="11"/>
  <c r="L1570" i="11" s="1"/>
  <c r="M1569" i="11"/>
  <c r="K1569" i="11"/>
  <c r="L1569" i="11" s="1"/>
  <c r="M1568" i="11"/>
  <c r="K1568" i="11"/>
  <c r="L1568" i="11" s="1"/>
  <c r="M1567" i="11"/>
  <c r="K1567" i="11"/>
  <c r="L1567" i="11" s="1"/>
  <c r="M1566" i="11"/>
  <c r="K1566" i="11"/>
  <c r="L1566" i="11" s="1"/>
  <c r="M1565" i="11"/>
  <c r="K1565" i="11"/>
  <c r="L1565" i="11" s="1"/>
  <c r="M1564" i="11"/>
  <c r="K1564" i="11"/>
  <c r="L1564" i="11" s="1"/>
  <c r="M1563" i="11"/>
  <c r="K1563" i="11"/>
  <c r="L1563" i="11" s="1"/>
  <c r="M1562" i="11"/>
  <c r="K1562" i="11"/>
  <c r="L1562" i="11" s="1"/>
  <c r="M1561" i="11"/>
  <c r="K1561" i="11"/>
  <c r="L1561" i="11" s="1"/>
  <c r="M1560" i="11"/>
  <c r="K1560" i="11"/>
  <c r="L1560" i="11" s="1"/>
  <c r="M1559" i="11"/>
  <c r="K1559" i="11"/>
  <c r="L1559" i="11" s="1"/>
  <c r="M1558" i="11"/>
  <c r="K1558" i="11"/>
  <c r="L1558" i="11" s="1"/>
  <c r="M1557" i="11"/>
  <c r="K1557" i="11"/>
  <c r="L1557" i="11" s="1"/>
  <c r="M1556" i="11"/>
  <c r="K1556" i="11"/>
  <c r="L1556" i="11" s="1"/>
  <c r="M1555" i="11"/>
  <c r="K1555" i="11"/>
  <c r="L1555" i="11" s="1"/>
  <c r="M1554" i="11"/>
  <c r="K1554" i="11"/>
  <c r="L1554" i="11" s="1"/>
  <c r="M1553" i="11"/>
  <c r="K1553" i="11"/>
  <c r="L1553" i="11" s="1"/>
  <c r="M1552" i="11"/>
  <c r="K1552" i="11"/>
  <c r="L1552" i="11" s="1"/>
  <c r="M1551" i="11"/>
  <c r="K1551" i="11"/>
  <c r="L1551" i="11" s="1"/>
  <c r="M1550" i="11"/>
  <c r="K1550" i="11"/>
  <c r="L1550" i="11" s="1"/>
  <c r="M1549" i="11"/>
  <c r="K1549" i="11"/>
  <c r="L1549" i="11" s="1"/>
  <c r="M1548" i="11"/>
  <c r="K1548" i="11"/>
  <c r="L1548" i="11" s="1"/>
  <c r="M1547" i="11"/>
  <c r="K1547" i="11"/>
  <c r="L1547" i="11" s="1"/>
  <c r="M1546" i="11"/>
  <c r="K1546" i="11"/>
  <c r="L1546" i="11" s="1"/>
  <c r="M1545" i="11"/>
  <c r="K1545" i="11"/>
  <c r="L1545" i="11" s="1"/>
  <c r="M1544" i="11"/>
  <c r="K1544" i="11"/>
  <c r="L1544" i="11" s="1"/>
  <c r="M1543" i="11"/>
  <c r="K1543" i="11"/>
  <c r="L1543" i="11" s="1"/>
  <c r="M1542" i="11"/>
  <c r="K1542" i="11"/>
  <c r="L1542" i="11" s="1"/>
  <c r="M1541" i="11"/>
  <c r="K1541" i="11"/>
  <c r="L1541" i="11" s="1"/>
  <c r="M1540" i="11"/>
  <c r="K1540" i="11"/>
  <c r="L1540" i="11" s="1"/>
  <c r="M1539" i="11"/>
  <c r="K1539" i="11"/>
  <c r="L1539" i="11" s="1"/>
  <c r="M1538" i="11"/>
  <c r="K1538" i="11"/>
  <c r="L1538" i="11" s="1"/>
  <c r="M1537" i="11"/>
  <c r="K1537" i="11"/>
  <c r="L1537" i="11" s="1"/>
  <c r="M1536" i="11"/>
  <c r="K1536" i="11"/>
  <c r="L1536" i="11" s="1"/>
  <c r="M1535" i="11"/>
  <c r="K1535" i="11"/>
  <c r="L1535" i="11" s="1"/>
  <c r="M1534" i="11"/>
  <c r="K1534" i="11"/>
  <c r="L1534" i="11" s="1"/>
  <c r="M1533" i="11"/>
  <c r="K1533" i="11"/>
  <c r="L1533" i="11" s="1"/>
  <c r="M1532" i="11"/>
  <c r="K1532" i="11"/>
  <c r="L1532" i="11" s="1"/>
  <c r="M1531" i="11"/>
  <c r="K1531" i="11"/>
  <c r="L1531" i="11" s="1"/>
  <c r="M1530" i="11"/>
  <c r="K1530" i="11"/>
  <c r="L1530" i="11" s="1"/>
  <c r="M1529" i="11"/>
  <c r="K1529" i="11"/>
  <c r="L1529" i="11" s="1"/>
  <c r="M1528" i="11"/>
  <c r="K1528" i="11"/>
  <c r="L1528" i="11" s="1"/>
  <c r="M1527" i="11"/>
  <c r="K1527" i="11"/>
  <c r="L1527" i="11" s="1"/>
  <c r="M1526" i="11"/>
  <c r="K1526" i="11"/>
  <c r="L1526" i="11" s="1"/>
  <c r="M1525" i="11"/>
  <c r="K1525" i="11"/>
  <c r="L1525" i="11" s="1"/>
  <c r="M1524" i="11"/>
  <c r="K1524" i="11"/>
  <c r="L1524" i="11" s="1"/>
  <c r="M1523" i="11"/>
  <c r="K1523" i="11"/>
  <c r="L1523" i="11" s="1"/>
  <c r="M1522" i="11"/>
  <c r="K1522" i="11"/>
  <c r="L1522" i="11" s="1"/>
  <c r="M1521" i="11"/>
  <c r="K1521" i="11"/>
  <c r="L1521" i="11" s="1"/>
  <c r="M1520" i="11"/>
  <c r="K1520" i="11"/>
  <c r="L1520" i="11" s="1"/>
  <c r="M1519" i="11"/>
  <c r="K1519" i="11"/>
  <c r="L1519" i="11" s="1"/>
  <c r="M1518" i="11"/>
  <c r="K1518" i="11"/>
  <c r="L1518" i="11" s="1"/>
  <c r="M1517" i="11"/>
  <c r="K1517" i="11"/>
  <c r="L1517" i="11" s="1"/>
  <c r="M1516" i="11"/>
  <c r="K1516" i="11"/>
  <c r="L1516" i="11" s="1"/>
  <c r="M1515" i="11"/>
  <c r="K1515" i="11"/>
  <c r="L1515" i="11" s="1"/>
  <c r="M1514" i="11"/>
  <c r="K1514" i="11"/>
  <c r="L1514" i="11" s="1"/>
  <c r="M1513" i="11"/>
  <c r="K1513" i="11"/>
  <c r="L1513" i="11" s="1"/>
  <c r="M1512" i="11"/>
  <c r="K1512" i="11"/>
  <c r="L1512" i="11" s="1"/>
  <c r="M1511" i="11"/>
  <c r="K1511" i="11"/>
  <c r="L1511" i="11" s="1"/>
  <c r="M1510" i="11"/>
  <c r="K1510" i="11"/>
  <c r="L1510" i="11" s="1"/>
  <c r="M1509" i="11"/>
  <c r="K1509" i="11"/>
  <c r="L1509" i="11" s="1"/>
  <c r="M1508" i="11"/>
  <c r="K1508" i="11"/>
  <c r="L1508" i="11" s="1"/>
  <c r="M1507" i="11"/>
  <c r="K1507" i="11"/>
  <c r="L1507" i="11" s="1"/>
  <c r="M1506" i="11"/>
  <c r="K1506" i="11"/>
  <c r="L1506" i="11" s="1"/>
  <c r="M1505" i="11"/>
  <c r="K1505" i="11"/>
  <c r="L1505" i="11" s="1"/>
  <c r="M1504" i="11"/>
  <c r="K1504" i="11"/>
  <c r="L1504" i="11" s="1"/>
  <c r="M1503" i="11"/>
  <c r="K1503" i="11"/>
  <c r="L1503" i="11" s="1"/>
  <c r="M1502" i="11"/>
  <c r="K1502" i="11"/>
  <c r="L1502" i="11" s="1"/>
  <c r="M1501" i="11"/>
  <c r="K1501" i="11"/>
  <c r="L1501" i="11" s="1"/>
  <c r="M1500" i="11"/>
  <c r="K1500" i="11"/>
  <c r="L1500" i="11" s="1"/>
  <c r="M1499" i="11"/>
  <c r="K1499" i="11"/>
  <c r="L1499" i="11" s="1"/>
  <c r="M1498" i="11"/>
  <c r="K1498" i="11"/>
  <c r="L1498" i="11" s="1"/>
  <c r="M1497" i="11"/>
  <c r="K1497" i="11"/>
  <c r="L1497" i="11" s="1"/>
  <c r="M1496" i="11"/>
  <c r="K1496" i="11"/>
  <c r="L1496" i="11" s="1"/>
  <c r="M1495" i="11"/>
  <c r="K1495" i="11"/>
  <c r="L1495" i="11" s="1"/>
  <c r="M1494" i="11"/>
  <c r="K1494" i="11"/>
  <c r="L1494" i="11" s="1"/>
  <c r="M1493" i="11"/>
  <c r="K1493" i="11"/>
  <c r="L1493" i="11" s="1"/>
  <c r="M1492" i="11"/>
  <c r="K1492" i="11"/>
  <c r="L1492" i="11" s="1"/>
  <c r="M1491" i="11"/>
  <c r="K1491" i="11"/>
  <c r="L1491" i="11" s="1"/>
  <c r="M1490" i="11"/>
  <c r="K1490" i="11"/>
  <c r="L1490" i="11" s="1"/>
  <c r="M1489" i="11"/>
  <c r="K1489" i="11"/>
  <c r="L1489" i="11" s="1"/>
  <c r="M1488" i="11"/>
  <c r="K1488" i="11"/>
  <c r="L1488" i="11" s="1"/>
  <c r="M1487" i="11"/>
  <c r="K1487" i="11"/>
  <c r="L1487" i="11" s="1"/>
  <c r="M1486" i="11"/>
  <c r="K1486" i="11"/>
  <c r="L1486" i="11" s="1"/>
  <c r="M1485" i="11"/>
  <c r="K1485" i="11"/>
  <c r="L1485" i="11" s="1"/>
  <c r="M1484" i="11"/>
  <c r="K1484" i="11"/>
  <c r="L1484" i="11" s="1"/>
  <c r="M1483" i="11"/>
  <c r="K1483" i="11"/>
  <c r="L1483" i="11" s="1"/>
  <c r="M1482" i="11"/>
  <c r="K1482" i="11"/>
  <c r="L1482" i="11" s="1"/>
  <c r="M1481" i="11"/>
  <c r="K1481" i="11"/>
  <c r="L1481" i="11" s="1"/>
  <c r="M1480" i="11"/>
  <c r="K1480" i="11"/>
  <c r="L1480" i="11" s="1"/>
  <c r="M1479" i="11"/>
  <c r="K1479" i="11"/>
  <c r="L1479" i="11" s="1"/>
  <c r="M1478" i="11"/>
  <c r="K1478" i="11"/>
  <c r="L1478" i="11" s="1"/>
  <c r="M1477" i="11"/>
  <c r="K1477" i="11"/>
  <c r="L1477" i="11" s="1"/>
  <c r="M1476" i="11"/>
  <c r="K1476" i="11"/>
  <c r="L1476" i="11" s="1"/>
  <c r="M1475" i="11"/>
  <c r="K1475" i="11"/>
  <c r="L1475" i="11" s="1"/>
  <c r="M1474" i="11"/>
  <c r="K1474" i="11"/>
  <c r="L1474" i="11" s="1"/>
  <c r="M1473" i="11"/>
  <c r="K1473" i="11"/>
  <c r="L1473" i="11" s="1"/>
  <c r="M1472" i="11"/>
  <c r="K1472" i="11"/>
  <c r="L1472" i="11" s="1"/>
  <c r="M1471" i="11"/>
  <c r="K1471" i="11"/>
  <c r="L1471" i="11" s="1"/>
  <c r="M1470" i="11"/>
  <c r="K1470" i="11"/>
  <c r="L1470" i="11" s="1"/>
  <c r="M1469" i="11"/>
  <c r="K1469" i="11"/>
  <c r="L1469" i="11" s="1"/>
  <c r="M1468" i="11"/>
  <c r="K1468" i="11"/>
  <c r="L1468" i="11" s="1"/>
  <c r="M1467" i="11"/>
  <c r="K1467" i="11"/>
  <c r="L1467" i="11" s="1"/>
  <c r="M1466" i="11"/>
  <c r="K1466" i="11"/>
  <c r="L1466" i="11" s="1"/>
  <c r="M1465" i="11"/>
  <c r="K1465" i="11"/>
  <c r="L1465" i="11" s="1"/>
  <c r="M1464" i="11"/>
  <c r="K1464" i="11"/>
  <c r="L1464" i="11" s="1"/>
  <c r="M1463" i="11"/>
  <c r="K1463" i="11"/>
  <c r="L1463" i="11" s="1"/>
  <c r="M1462" i="11"/>
  <c r="K1462" i="11"/>
  <c r="L1462" i="11" s="1"/>
  <c r="M1461" i="11"/>
  <c r="K1461" i="11"/>
  <c r="L1461" i="11" s="1"/>
  <c r="M1460" i="11"/>
  <c r="K1460" i="11"/>
  <c r="L1460" i="11" s="1"/>
  <c r="M1459" i="11"/>
  <c r="K1459" i="11"/>
  <c r="L1459" i="11" s="1"/>
  <c r="M1458" i="11"/>
  <c r="K1458" i="11"/>
  <c r="L1458" i="11" s="1"/>
  <c r="M1457" i="11"/>
  <c r="K1457" i="11"/>
  <c r="L1457" i="11" s="1"/>
  <c r="M1456" i="11"/>
  <c r="K1456" i="11"/>
  <c r="L1456" i="11" s="1"/>
  <c r="M1455" i="11"/>
  <c r="K1455" i="11"/>
  <c r="L1455" i="11" s="1"/>
  <c r="M1454" i="11"/>
  <c r="K1454" i="11"/>
  <c r="L1454" i="11" s="1"/>
  <c r="M1453" i="11"/>
  <c r="K1453" i="11"/>
  <c r="L1453" i="11" s="1"/>
  <c r="M1452" i="11"/>
  <c r="K1452" i="11"/>
  <c r="L1452" i="11" s="1"/>
  <c r="M1451" i="11"/>
  <c r="K1451" i="11"/>
  <c r="L1451" i="11" s="1"/>
  <c r="M1450" i="11"/>
  <c r="K1450" i="11"/>
  <c r="L1450" i="11" s="1"/>
  <c r="M1449" i="11"/>
  <c r="K1449" i="11"/>
  <c r="L1449" i="11" s="1"/>
  <c r="M1448" i="11"/>
  <c r="K1448" i="11"/>
  <c r="L1448" i="11" s="1"/>
  <c r="M1447" i="11"/>
  <c r="K1447" i="11"/>
  <c r="L1447" i="11" s="1"/>
  <c r="M1446" i="11"/>
  <c r="K1446" i="11"/>
  <c r="L1446" i="11" s="1"/>
  <c r="M1445" i="11"/>
  <c r="K1445" i="11"/>
  <c r="L1445" i="11" s="1"/>
  <c r="M1444" i="11"/>
  <c r="K1444" i="11"/>
  <c r="L1444" i="11" s="1"/>
  <c r="M1443" i="11"/>
  <c r="K1443" i="11"/>
  <c r="L1443" i="11" s="1"/>
  <c r="M1442" i="11"/>
  <c r="K1442" i="11"/>
  <c r="L1442" i="11" s="1"/>
  <c r="M1441" i="11"/>
  <c r="K1441" i="11"/>
  <c r="L1441" i="11" s="1"/>
  <c r="M1440" i="11"/>
  <c r="K1440" i="11"/>
  <c r="L1440" i="11" s="1"/>
  <c r="M1439" i="11"/>
  <c r="K1439" i="11"/>
  <c r="L1439" i="11" s="1"/>
  <c r="M1438" i="11"/>
  <c r="K1438" i="11"/>
  <c r="L1438" i="11" s="1"/>
  <c r="M1437" i="11"/>
  <c r="K1437" i="11"/>
  <c r="L1437" i="11" s="1"/>
  <c r="M1436" i="11"/>
  <c r="K1436" i="11"/>
  <c r="L1436" i="11" s="1"/>
  <c r="M1435" i="11"/>
  <c r="K1435" i="11"/>
  <c r="L1435" i="11" s="1"/>
  <c r="M1434" i="11"/>
  <c r="K1434" i="11"/>
  <c r="L1434" i="11" s="1"/>
  <c r="M1433" i="11"/>
  <c r="K1433" i="11"/>
  <c r="L1433" i="11" s="1"/>
  <c r="M1432" i="11"/>
  <c r="K1432" i="11"/>
  <c r="L1432" i="11" s="1"/>
  <c r="M1431" i="11"/>
  <c r="K1431" i="11"/>
  <c r="L1431" i="11" s="1"/>
  <c r="M1430" i="11"/>
  <c r="K1430" i="11"/>
  <c r="L1430" i="11" s="1"/>
  <c r="M1429" i="11"/>
  <c r="K1429" i="11"/>
  <c r="L1429" i="11" s="1"/>
  <c r="M1428" i="11"/>
  <c r="K1428" i="11"/>
  <c r="L1428" i="11" s="1"/>
  <c r="M1427" i="11"/>
  <c r="K1427" i="11"/>
  <c r="L1427" i="11" s="1"/>
  <c r="M1426" i="11"/>
  <c r="K1426" i="11"/>
  <c r="L1426" i="11" s="1"/>
  <c r="M1425" i="11"/>
  <c r="K1425" i="11"/>
  <c r="L1425" i="11" s="1"/>
  <c r="M1424" i="11"/>
  <c r="K1424" i="11"/>
  <c r="L1424" i="11" s="1"/>
  <c r="M1423" i="11"/>
  <c r="K1423" i="11"/>
  <c r="L1423" i="11" s="1"/>
  <c r="M1422" i="11"/>
  <c r="K1422" i="11"/>
  <c r="L1422" i="11" s="1"/>
  <c r="M1421" i="11"/>
  <c r="K1421" i="11"/>
  <c r="L1421" i="11" s="1"/>
  <c r="M1420" i="11"/>
  <c r="K1420" i="11"/>
  <c r="L1420" i="11" s="1"/>
  <c r="M1419" i="11"/>
  <c r="K1419" i="11"/>
  <c r="L1419" i="11" s="1"/>
  <c r="M1418" i="11"/>
  <c r="K1418" i="11"/>
  <c r="L1418" i="11" s="1"/>
  <c r="M1417" i="11"/>
  <c r="K1417" i="11"/>
  <c r="L1417" i="11" s="1"/>
  <c r="M1416" i="11"/>
  <c r="K1416" i="11"/>
  <c r="L1416" i="11" s="1"/>
  <c r="M1415" i="11"/>
  <c r="K1415" i="11"/>
  <c r="L1415" i="11" s="1"/>
  <c r="M1414" i="11"/>
  <c r="K1414" i="11"/>
  <c r="L1414" i="11" s="1"/>
  <c r="M1413" i="11"/>
  <c r="K1413" i="11"/>
  <c r="L1413" i="11" s="1"/>
  <c r="M1412" i="11"/>
  <c r="K1412" i="11"/>
  <c r="L1412" i="11" s="1"/>
  <c r="M1411" i="11"/>
  <c r="K1411" i="11"/>
  <c r="L1411" i="11" s="1"/>
  <c r="M1410" i="11"/>
  <c r="K1410" i="11"/>
  <c r="L1410" i="11" s="1"/>
  <c r="M1409" i="11"/>
  <c r="K1409" i="11"/>
  <c r="L1409" i="11" s="1"/>
  <c r="M1408" i="11"/>
  <c r="K1408" i="11"/>
  <c r="L1408" i="11" s="1"/>
  <c r="M1407" i="11"/>
  <c r="K1407" i="11"/>
  <c r="L1407" i="11" s="1"/>
  <c r="M1406" i="11"/>
  <c r="K1406" i="11"/>
  <c r="L1406" i="11" s="1"/>
  <c r="M1405" i="11"/>
  <c r="K1405" i="11"/>
  <c r="L1405" i="11" s="1"/>
  <c r="M1404" i="11"/>
  <c r="K1404" i="11"/>
  <c r="L1404" i="11" s="1"/>
  <c r="M1403" i="11"/>
  <c r="K1403" i="11"/>
  <c r="L1403" i="11" s="1"/>
  <c r="M1402" i="11"/>
  <c r="K1402" i="11"/>
  <c r="L1402" i="11" s="1"/>
  <c r="M1401" i="11"/>
  <c r="K1401" i="11"/>
  <c r="L1401" i="11" s="1"/>
  <c r="M1400" i="11"/>
  <c r="K1400" i="11"/>
  <c r="L1400" i="11" s="1"/>
  <c r="M1399" i="11"/>
  <c r="K1399" i="11"/>
  <c r="L1399" i="11" s="1"/>
  <c r="M1398" i="11"/>
  <c r="K1398" i="11"/>
  <c r="L1398" i="11" s="1"/>
  <c r="M1397" i="11"/>
  <c r="K1397" i="11"/>
  <c r="L1397" i="11" s="1"/>
  <c r="M1396" i="11"/>
  <c r="K1396" i="11"/>
  <c r="L1396" i="11" s="1"/>
  <c r="M1395" i="11"/>
  <c r="K1395" i="11"/>
  <c r="L1395" i="11" s="1"/>
  <c r="M1394" i="11"/>
  <c r="K1394" i="11"/>
  <c r="L1394" i="11" s="1"/>
  <c r="M1393" i="11"/>
  <c r="K1393" i="11"/>
  <c r="L1393" i="11" s="1"/>
  <c r="M1392" i="11"/>
  <c r="K1392" i="11"/>
  <c r="L1392" i="11" s="1"/>
  <c r="M1391" i="11"/>
  <c r="K1391" i="11"/>
  <c r="L1391" i="11" s="1"/>
  <c r="M1390" i="11"/>
  <c r="K1390" i="11"/>
  <c r="L1390" i="11" s="1"/>
  <c r="M1389" i="11"/>
  <c r="K1389" i="11"/>
  <c r="L1389" i="11" s="1"/>
  <c r="M1388" i="11"/>
  <c r="K1388" i="11"/>
  <c r="L1388" i="11" s="1"/>
  <c r="M1387" i="11"/>
  <c r="K1387" i="11"/>
  <c r="L1387" i="11" s="1"/>
  <c r="M1386" i="11"/>
  <c r="K1386" i="11"/>
  <c r="L1386" i="11" s="1"/>
  <c r="M1385" i="11"/>
  <c r="K1385" i="11"/>
  <c r="L1385" i="11" s="1"/>
  <c r="M1384" i="11"/>
  <c r="K1384" i="11"/>
  <c r="L1384" i="11" s="1"/>
  <c r="M1383" i="11"/>
  <c r="K1383" i="11"/>
  <c r="L1383" i="11" s="1"/>
  <c r="M1382" i="11"/>
  <c r="K1382" i="11"/>
  <c r="L1382" i="11" s="1"/>
  <c r="M1381" i="11"/>
  <c r="K1381" i="11"/>
  <c r="L1381" i="11" s="1"/>
  <c r="M1380" i="11"/>
  <c r="K1380" i="11"/>
  <c r="L1380" i="11" s="1"/>
  <c r="M1379" i="11"/>
  <c r="K1379" i="11"/>
  <c r="L1379" i="11" s="1"/>
  <c r="M1378" i="11"/>
  <c r="K1378" i="11"/>
  <c r="L1378" i="11" s="1"/>
  <c r="M1377" i="11"/>
  <c r="K1377" i="11"/>
  <c r="L1377" i="11" s="1"/>
  <c r="M1376" i="11"/>
  <c r="K1376" i="11"/>
  <c r="L1376" i="11" s="1"/>
  <c r="M1375" i="11"/>
  <c r="K1375" i="11"/>
  <c r="L1375" i="11" s="1"/>
  <c r="M1374" i="11"/>
  <c r="K1374" i="11"/>
  <c r="L1374" i="11" s="1"/>
  <c r="M1373" i="11"/>
  <c r="K1373" i="11"/>
  <c r="L1373" i="11" s="1"/>
  <c r="M1372" i="11"/>
  <c r="K1372" i="11"/>
  <c r="L1372" i="11" s="1"/>
  <c r="M1371" i="11"/>
  <c r="K1371" i="11"/>
  <c r="L1371" i="11" s="1"/>
  <c r="M1370" i="11"/>
  <c r="K1370" i="11"/>
  <c r="L1370" i="11" s="1"/>
  <c r="M1369" i="11"/>
  <c r="K1369" i="11"/>
  <c r="L1369" i="11" s="1"/>
  <c r="M1368" i="11"/>
  <c r="K1368" i="11"/>
  <c r="L1368" i="11" s="1"/>
  <c r="M1367" i="11"/>
  <c r="K1367" i="11"/>
  <c r="L1367" i="11" s="1"/>
  <c r="M1366" i="11"/>
  <c r="K1366" i="11"/>
  <c r="L1366" i="11" s="1"/>
  <c r="M1365" i="11"/>
  <c r="K1365" i="11"/>
  <c r="L1365" i="11" s="1"/>
  <c r="M1364" i="11"/>
  <c r="K1364" i="11"/>
  <c r="L1364" i="11" s="1"/>
  <c r="M1363" i="11"/>
  <c r="K1363" i="11"/>
  <c r="L1363" i="11" s="1"/>
  <c r="M1362" i="11"/>
  <c r="K1362" i="11"/>
  <c r="L1362" i="11" s="1"/>
  <c r="M1361" i="11"/>
  <c r="K1361" i="11"/>
  <c r="L1361" i="11" s="1"/>
  <c r="M1360" i="11"/>
  <c r="K1360" i="11"/>
  <c r="L1360" i="11" s="1"/>
  <c r="M1359" i="11"/>
  <c r="K1359" i="11"/>
  <c r="L1359" i="11" s="1"/>
  <c r="M1358" i="11"/>
  <c r="K1358" i="11"/>
  <c r="L1358" i="11" s="1"/>
  <c r="M1357" i="11"/>
  <c r="K1357" i="11"/>
  <c r="L1357" i="11" s="1"/>
  <c r="M1356" i="11"/>
  <c r="K1356" i="11"/>
  <c r="L1356" i="11" s="1"/>
  <c r="M1355" i="11"/>
  <c r="K1355" i="11"/>
  <c r="L1355" i="11" s="1"/>
  <c r="M1354" i="11"/>
  <c r="K1354" i="11"/>
  <c r="L1354" i="11" s="1"/>
  <c r="M1353" i="11"/>
  <c r="K1353" i="11"/>
  <c r="L1353" i="11" s="1"/>
  <c r="M1352" i="11"/>
  <c r="K1352" i="11"/>
  <c r="L1352" i="11" s="1"/>
  <c r="M1351" i="11"/>
  <c r="K1351" i="11"/>
  <c r="L1351" i="11" s="1"/>
  <c r="M1350" i="11"/>
  <c r="K1350" i="11"/>
  <c r="L1350" i="11" s="1"/>
  <c r="M1349" i="11"/>
  <c r="K1349" i="11"/>
  <c r="L1349" i="11" s="1"/>
  <c r="M1348" i="11"/>
  <c r="K1348" i="11"/>
  <c r="L1348" i="11" s="1"/>
  <c r="M1347" i="11"/>
  <c r="K1347" i="11"/>
  <c r="L1347" i="11" s="1"/>
  <c r="M1346" i="11"/>
  <c r="K1346" i="11"/>
  <c r="L1346" i="11" s="1"/>
  <c r="M1345" i="11"/>
  <c r="K1345" i="11"/>
  <c r="L1345" i="11" s="1"/>
  <c r="M1344" i="11"/>
  <c r="K1344" i="11"/>
  <c r="L1344" i="11" s="1"/>
  <c r="M1343" i="11"/>
  <c r="K1343" i="11"/>
  <c r="L1343" i="11" s="1"/>
  <c r="M1342" i="11"/>
  <c r="K1342" i="11"/>
  <c r="L1342" i="11" s="1"/>
  <c r="M1341" i="11"/>
  <c r="K1341" i="11"/>
  <c r="L1341" i="11" s="1"/>
  <c r="M1340" i="11"/>
  <c r="K1340" i="11"/>
  <c r="L1340" i="11" s="1"/>
  <c r="M1339" i="11"/>
  <c r="K1339" i="11"/>
  <c r="L1339" i="11" s="1"/>
  <c r="M1338" i="11"/>
  <c r="K1338" i="11"/>
  <c r="L1338" i="11" s="1"/>
  <c r="M1337" i="11"/>
  <c r="K1337" i="11"/>
  <c r="L1337" i="11" s="1"/>
  <c r="M1336" i="11"/>
  <c r="K1336" i="11"/>
  <c r="L1336" i="11" s="1"/>
  <c r="M1335" i="11"/>
  <c r="K1335" i="11"/>
  <c r="L1335" i="11" s="1"/>
  <c r="M1334" i="11"/>
  <c r="K1334" i="11"/>
  <c r="L1334" i="11" s="1"/>
  <c r="M1333" i="11"/>
  <c r="K1333" i="11"/>
  <c r="L1333" i="11" s="1"/>
  <c r="M1332" i="11"/>
  <c r="K1332" i="11"/>
  <c r="L1332" i="11" s="1"/>
  <c r="M1331" i="11"/>
  <c r="K1331" i="11"/>
  <c r="L1331" i="11" s="1"/>
  <c r="M1330" i="11"/>
  <c r="K1330" i="11"/>
  <c r="L1330" i="11" s="1"/>
  <c r="M1329" i="11"/>
  <c r="K1329" i="11"/>
  <c r="L1329" i="11" s="1"/>
  <c r="M1328" i="11"/>
  <c r="K1328" i="11"/>
  <c r="L1328" i="11" s="1"/>
  <c r="M1327" i="11"/>
  <c r="K1327" i="11"/>
  <c r="L1327" i="11" s="1"/>
  <c r="M1326" i="11"/>
  <c r="K1326" i="11"/>
  <c r="L1326" i="11" s="1"/>
  <c r="M1325" i="11"/>
  <c r="K1325" i="11"/>
  <c r="L1325" i="11" s="1"/>
  <c r="M1324" i="11"/>
  <c r="K1324" i="11"/>
  <c r="L1324" i="11" s="1"/>
  <c r="M1323" i="11"/>
  <c r="K1323" i="11"/>
  <c r="L1323" i="11" s="1"/>
  <c r="M1322" i="11"/>
  <c r="K1322" i="11"/>
  <c r="L1322" i="11" s="1"/>
  <c r="M1321" i="11"/>
  <c r="K1321" i="11"/>
  <c r="L1321" i="11" s="1"/>
  <c r="M1320" i="11"/>
  <c r="K1320" i="11"/>
  <c r="L1320" i="11" s="1"/>
  <c r="M1319" i="11"/>
  <c r="K1319" i="11"/>
  <c r="L1319" i="11" s="1"/>
  <c r="M1318" i="11"/>
  <c r="K1318" i="11"/>
  <c r="L1318" i="11" s="1"/>
  <c r="M1317" i="11"/>
  <c r="K1317" i="11"/>
  <c r="L1317" i="11" s="1"/>
  <c r="M1316" i="11"/>
  <c r="K1316" i="11"/>
  <c r="L1316" i="11" s="1"/>
  <c r="M1315" i="11"/>
  <c r="K1315" i="11"/>
  <c r="L1315" i="11" s="1"/>
  <c r="M1314" i="11"/>
  <c r="K1314" i="11"/>
  <c r="L1314" i="11" s="1"/>
  <c r="M1313" i="11"/>
  <c r="K1313" i="11"/>
  <c r="L1313" i="11" s="1"/>
  <c r="M1312" i="11"/>
  <c r="K1312" i="11"/>
  <c r="L1312" i="11" s="1"/>
  <c r="M1311" i="11"/>
  <c r="K1311" i="11"/>
  <c r="L1311" i="11" s="1"/>
  <c r="M1310" i="11"/>
  <c r="K1310" i="11"/>
  <c r="L1310" i="11" s="1"/>
  <c r="M1309" i="11"/>
  <c r="K1309" i="11"/>
  <c r="L1309" i="11" s="1"/>
  <c r="M1308" i="11"/>
  <c r="K1308" i="11"/>
  <c r="L1308" i="11" s="1"/>
  <c r="M1307" i="11"/>
  <c r="K1307" i="11"/>
  <c r="L1307" i="11" s="1"/>
  <c r="M1306" i="11"/>
  <c r="K1306" i="11"/>
  <c r="L1306" i="11" s="1"/>
  <c r="M1305" i="11"/>
  <c r="K1305" i="11"/>
  <c r="L1305" i="11" s="1"/>
  <c r="M1304" i="11"/>
  <c r="K1304" i="11"/>
  <c r="L1304" i="11" s="1"/>
  <c r="M1303" i="11"/>
  <c r="K1303" i="11"/>
  <c r="L1303" i="11" s="1"/>
  <c r="M1302" i="11"/>
  <c r="K1302" i="11"/>
  <c r="L1302" i="11" s="1"/>
  <c r="M1301" i="11"/>
  <c r="K1301" i="11"/>
  <c r="L1301" i="11" s="1"/>
  <c r="M1300" i="11"/>
  <c r="K1300" i="11"/>
  <c r="L1300" i="11" s="1"/>
  <c r="M1299" i="11"/>
  <c r="K1299" i="11"/>
  <c r="L1299" i="11" s="1"/>
  <c r="M1298" i="11"/>
  <c r="K1298" i="11"/>
  <c r="L1298" i="11" s="1"/>
  <c r="M1297" i="11"/>
  <c r="K1297" i="11"/>
  <c r="L1297" i="11" s="1"/>
  <c r="M1296" i="11"/>
  <c r="K1296" i="11"/>
  <c r="L1296" i="11" s="1"/>
  <c r="M1295" i="11"/>
  <c r="K1295" i="11"/>
  <c r="L1295" i="11" s="1"/>
  <c r="M1294" i="11"/>
  <c r="K1294" i="11"/>
  <c r="L1294" i="11" s="1"/>
  <c r="M1293" i="11"/>
  <c r="K1293" i="11"/>
  <c r="L1293" i="11" s="1"/>
  <c r="M1292" i="11"/>
  <c r="K1292" i="11"/>
  <c r="L1292" i="11" s="1"/>
  <c r="M1291" i="11"/>
  <c r="K1291" i="11"/>
  <c r="L1291" i="11" s="1"/>
  <c r="M1290" i="11"/>
  <c r="K1290" i="11"/>
  <c r="L1290" i="11" s="1"/>
  <c r="M1289" i="11"/>
  <c r="K1289" i="11"/>
  <c r="L1289" i="11" s="1"/>
  <c r="M1288" i="11"/>
  <c r="K1288" i="11"/>
  <c r="L1288" i="11" s="1"/>
  <c r="M1287" i="11"/>
  <c r="K1287" i="11"/>
  <c r="L1287" i="11" s="1"/>
  <c r="M1286" i="11"/>
  <c r="K1286" i="11"/>
  <c r="L1286" i="11" s="1"/>
  <c r="M1285" i="11"/>
  <c r="K1285" i="11"/>
  <c r="L1285" i="11" s="1"/>
  <c r="M1284" i="11"/>
  <c r="K1284" i="11"/>
  <c r="L1284" i="11" s="1"/>
  <c r="M1283" i="11"/>
  <c r="K1283" i="11"/>
  <c r="L1283" i="11" s="1"/>
  <c r="M1282" i="11"/>
  <c r="K1282" i="11"/>
  <c r="L1282" i="11" s="1"/>
  <c r="M1281" i="11"/>
  <c r="K1281" i="11"/>
  <c r="L1281" i="11" s="1"/>
  <c r="M1280" i="11"/>
  <c r="K1280" i="11"/>
  <c r="L1280" i="11" s="1"/>
  <c r="M1279" i="11"/>
  <c r="K1279" i="11"/>
  <c r="L1279" i="11" s="1"/>
  <c r="M1278" i="11"/>
  <c r="K1278" i="11"/>
  <c r="L1278" i="11" s="1"/>
  <c r="M1277" i="11"/>
  <c r="K1277" i="11"/>
  <c r="L1277" i="11" s="1"/>
  <c r="M1276" i="11"/>
  <c r="K1276" i="11"/>
  <c r="L1276" i="11" s="1"/>
  <c r="M1275" i="11"/>
  <c r="K1275" i="11"/>
  <c r="L1275" i="11" s="1"/>
  <c r="M1274" i="11"/>
  <c r="K1274" i="11"/>
  <c r="L1274" i="11" s="1"/>
  <c r="M1273" i="11"/>
  <c r="K1273" i="11"/>
  <c r="L1273" i="11" s="1"/>
  <c r="M1272" i="11"/>
  <c r="K1272" i="11"/>
  <c r="L1272" i="11" s="1"/>
  <c r="M1271" i="11"/>
  <c r="K1271" i="11"/>
  <c r="L1271" i="11" s="1"/>
  <c r="M1270" i="11"/>
  <c r="K1270" i="11"/>
  <c r="L1270" i="11" s="1"/>
  <c r="M1269" i="11"/>
  <c r="K1269" i="11"/>
  <c r="L1269" i="11" s="1"/>
  <c r="M1268" i="11"/>
  <c r="K1268" i="11"/>
  <c r="L1268" i="11" s="1"/>
  <c r="M1267" i="11"/>
  <c r="K1267" i="11"/>
  <c r="L1267" i="11" s="1"/>
  <c r="M1266" i="11"/>
  <c r="K1266" i="11"/>
  <c r="L1266" i="11" s="1"/>
  <c r="M1265" i="11"/>
  <c r="K1265" i="11"/>
  <c r="L1265" i="11" s="1"/>
  <c r="M1264" i="11"/>
  <c r="K1264" i="11"/>
  <c r="L1264" i="11" s="1"/>
  <c r="M1263" i="11"/>
  <c r="K1263" i="11"/>
  <c r="L1263" i="11" s="1"/>
  <c r="M1262" i="11"/>
  <c r="K1262" i="11"/>
  <c r="L1262" i="11" s="1"/>
  <c r="M1261" i="11"/>
  <c r="K1261" i="11"/>
  <c r="L1261" i="11" s="1"/>
  <c r="M1260" i="11"/>
  <c r="K1260" i="11"/>
  <c r="L1260" i="11" s="1"/>
  <c r="M1259" i="11"/>
  <c r="K1259" i="11"/>
  <c r="L1259" i="11" s="1"/>
  <c r="M1258" i="11"/>
  <c r="K1258" i="11"/>
  <c r="L1258" i="11" s="1"/>
  <c r="M1257" i="11"/>
  <c r="K1257" i="11"/>
  <c r="L1257" i="11" s="1"/>
  <c r="M1256" i="11"/>
  <c r="K1256" i="11"/>
  <c r="L1256" i="11" s="1"/>
  <c r="M1255" i="11"/>
  <c r="K1255" i="11"/>
  <c r="L1255" i="11" s="1"/>
  <c r="M1254" i="11"/>
  <c r="K1254" i="11"/>
  <c r="L1254" i="11" s="1"/>
  <c r="M1253" i="11"/>
  <c r="K1253" i="11"/>
  <c r="L1253" i="11" s="1"/>
  <c r="M1252" i="11"/>
  <c r="K1252" i="11"/>
  <c r="L1252" i="11" s="1"/>
  <c r="M1251" i="11"/>
  <c r="K1251" i="11"/>
  <c r="L1251" i="11" s="1"/>
  <c r="M1250" i="11"/>
  <c r="K1250" i="11"/>
  <c r="L1250" i="11" s="1"/>
  <c r="M1249" i="11"/>
  <c r="K1249" i="11"/>
  <c r="L1249" i="11" s="1"/>
  <c r="M1248" i="11"/>
  <c r="K1248" i="11"/>
  <c r="L1248" i="11" s="1"/>
  <c r="M1247" i="11"/>
  <c r="K1247" i="11"/>
  <c r="L1247" i="11" s="1"/>
  <c r="M1246" i="11"/>
  <c r="K1246" i="11"/>
  <c r="L1246" i="11" s="1"/>
  <c r="M1245" i="11"/>
  <c r="K1245" i="11"/>
  <c r="L1245" i="11" s="1"/>
  <c r="M1244" i="11"/>
  <c r="K1244" i="11"/>
  <c r="L1244" i="11" s="1"/>
  <c r="M1243" i="11"/>
  <c r="K1243" i="11"/>
  <c r="L1243" i="11" s="1"/>
  <c r="M1242" i="11"/>
  <c r="K1242" i="11"/>
  <c r="L1242" i="11" s="1"/>
  <c r="M1241" i="11"/>
  <c r="K1241" i="11"/>
  <c r="L1241" i="11" s="1"/>
  <c r="M1240" i="11"/>
  <c r="K1240" i="11"/>
  <c r="L1240" i="11" s="1"/>
  <c r="M1239" i="11"/>
  <c r="K1239" i="11"/>
  <c r="L1239" i="11" s="1"/>
  <c r="M1238" i="11"/>
  <c r="K1238" i="11"/>
  <c r="L1238" i="11" s="1"/>
  <c r="M1237" i="11"/>
  <c r="K1237" i="11"/>
  <c r="L1237" i="11" s="1"/>
  <c r="M1236" i="11"/>
  <c r="K1236" i="11"/>
  <c r="L1236" i="11" s="1"/>
  <c r="M1235" i="11"/>
  <c r="K1235" i="11"/>
  <c r="L1235" i="11" s="1"/>
  <c r="M1234" i="11"/>
  <c r="K1234" i="11"/>
  <c r="L1234" i="11" s="1"/>
  <c r="M1233" i="11"/>
  <c r="K1233" i="11"/>
  <c r="L1233" i="11" s="1"/>
  <c r="M1232" i="11"/>
  <c r="K1232" i="11"/>
  <c r="L1232" i="11" s="1"/>
  <c r="M1231" i="11"/>
  <c r="K1231" i="11"/>
  <c r="L1231" i="11" s="1"/>
  <c r="M1230" i="11"/>
  <c r="K1230" i="11"/>
  <c r="L1230" i="11" s="1"/>
  <c r="M1229" i="11"/>
  <c r="K1229" i="11"/>
  <c r="L1229" i="11" s="1"/>
  <c r="M1228" i="11"/>
  <c r="K1228" i="11"/>
  <c r="L1228" i="11" s="1"/>
  <c r="M1227" i="11"/>
  <c r="K1227" i="11"/>
  <c r="L1227" i="11" s="1"/>
  <c r="M1226" i="11"/>
  <c r="K1226" i="11"/>
  <c r="L1226" i="11" s="1"/>
  <c r="M1225" i="11"/>
  <c r="K1225" i="11"/>
  <c r="L1225" i="11" s="1"/>
  <c r="M1224" i="11"/>
  <c r="K1224" i="11"/>
  <c r="L1224" i="11" s="1"/>
  <c r="M1223" i="11"/>
  <c r="K1223" i="11"/>
  <c r="L1223" i="11" s="1"/>
  <c r="M1222" i="11"/>
  <c r="K1222" i="11"/>
  <c r="L1222" i="11" s="1"/>
  <c r="M1221" i="11"/>
  <c r="K1221" i="11"/>
  <c r="L1221" i="11" s="1"/>
  <c r="M1220" i="11"/>
  <c r="K1220" i="11"/>
  <c r="L1220" i="11" s="1"/>
  <c r="M1219" i="11"/>
  <c r="K1219" i="11"/>
  <c r="L1219" i="11" s="1"/>
  <c r="M1218" i="11"/>
  <c r="K1218" i="11"/>
  <c r="L1218" i="11" s="1"/>
  <c r="M1217" i="11"/>
  <c r="K1217" i="11"/>
  <c r="L1217" i="11" s="1"/>
  <c r="M1216" i="11"/>
  <c r="K1216" i="11"/>
  <c r="L1216" i="11" s="1"/>
  <c r="M1215" i="11"/>
  <c r="K1215" i="11"/>
  <c r="L1215" i="11" s="1"/>
  <c r="M1214" i="11"/>
  <c r="K1214" i="11"/>
  <c r="L1214" i="11" s="1"/>
  <c r="M1213" i="11"/>
  <c r="K1213" i="11"/>
  <c r="L1213" i="11" s="1"/>
  <c r="M1212" i="11"/>
  <c r="K1212" i="11"/>
  <c r="L1212" i="11" s="1"/>
  <c r="M1211" i="11"/>
  <c r="K1211" i="11"/>
  <c r="L1211" i="11" s="1"/>
  <c r="M1210" i="11"/>
  <c r="K1210" i="11"/>
  <c r="L1210" i="11" s="1"/>
  <c r="M1209" i="11"/>
  <c r="K1209" i="11"/>
  <c r="L1209" i="11" s="1"/>
  <c r="M1208" i="11"/>
  <c r="K1208" i="11"/>
  <c r="L1208" i="11" s="1"/>
  <c r="M1207" i="11"/>
  <c r="K1207" i="11"/>
  <c r="L1207" i="11" s="1"/>
  <c r="M1206" i="11"/>
  <c r="K1206" i="11"/>
  <c r="L1206" i="11" s="1"/>
  <c r="M1205" i="11"/>
  <c r="K1205" i="11"/>
  <c r="L1205" i="11" s="1"/>
  <c r="M1204" i="11"/>
  <c r="K1204" i="11"/>
  <c r="L1204" i="11" s="1"/>
  <c r="M1203" i="11"/>
  <c r="K1203" i="11"/>
  <c r="L1203" i="11" s="1"/>
  <c r="M1202" i="11"/>
  <c r="K1202" i="11"/>
  <c r="L1202" i="11" s="1"/>
  <c r="M1201" i="11"/>
  <c r="K1201" i="11"/>
  <c r="L1201" i="11" s="1"/>
  <c r="M1200" i="11"/>
  <c r="K1200" i="11"/>
  <c r="L1200" i="11" s="1"/>
  <c r="M1199" i="11"/>
  <c r="K1199" i="11"/>
  <c r="L1199" i="11" s="1"/>
  <c r="M1198" i="11"/>
  <c r="K1198" i="11"/>
  <c r="L1198" i="11" s="1"/>
  <c r="M1197" i="11"/>
  <c r="K1197" i="11"/>
  <c r="L1197" i="11" s="1"/>
  <c r="M1196" i="11"/>
  <c r="K1196" i="11"/>
  <c r="L1196" i="11" s="1"/>
  <c r="M1195" i="11"/>
  <c r="K1195" i="11"/>
  <c r="L1195" i="11" s="1"/>
  <c r="M1194" i="11"/>
  <c r="K1194" i="11"/>
  <c r="L1194" i="11" s="1"/>
  <c r="M1193" i="11"/>
  <c r="K1193" i="11"/>
  <c r="L1193" i="11" s="1"/>
  <c r="M1192" i="11"/>
  <c r="K1192" i="11"/>
  <c r="L1192" i="11" s="1"/>
  <c r="M1191" i="11"/>
  <c r="K1191" i="11"/>
  <c r="L1191" i="11" s="1"/>
  <c r="M1190" i="11"/>
  <c r="K1190" i="11"/>
  <c r="L1190" i="11" s="1"/>
  <c r="M1189" i="11"/>
  <c r="K1189" i="11"/>
  <c r="L1189" i="11" s="1"/>
  <c r="M1188" i="11"/>
  <c r="K1188" i="11"/>
  <c r="L1188" i="11" s="1"/>
  <c r="M1187" i="11"/>
  <c r="K1187" i="11"/>
  <c r="L1187" i="11" s="1"/>
  <c r="M1186" i="11"/>
  <c r="K1186" i="11"/>
  <c r="L1186" i="11" s="1"/>
  <c r="M1185" i="11"/>
  <c r="K1185" i="11"/>
  <c r="L1185" i="11" s="1"/>
  <c r="M1184" i="11"/>
  <c r="K1184" i="11"/>
  <c r="L1184" i="11" s="1"/>
  <c r="M1183" i="11"/>
  <c r="K1183" i="11"/>
  <c r="L1183" i="11" s="1"/>
  <c r="M1182" i="11"/>
  <c r="K1182" i="11"/>
  <c r="L1182" i="11" s="1"/>
  <c r="M1181" i="11"/>
  <c r="K1181" i="11"/>
  <c r="L1181" i="11" s="1"/>
  <c r="M1180" i="11"/>
  <c r="K1180" i="11"/>
  <c r="L1180" i="11" s="1"/>
  <c r="M1179" i="11"/>
  <c r="K1179" i="11"/>
  <c r="L1179" i="11" s="1"/>
  <c r="M1178" i="11"/>
  <c r="K1178" i="11"/>
  <c r="L1178" i="11" s="1"/>
  <c r="M1177" i="11"/>
  <c r="K1177" i="11"/>
  <c r="L1177" i="11" s="1"/>
  <c r="M1176" i="11"/>
  <c r="K1176" i="11"/>
  <c r="L1176" i="11" s="1"/>
  <c r="M1175" i="11"/>
  <c r="K1175" i="11"/>
  <c r="L1175" i="11" s="1"/>
  <c r="M1174" i="11"/>
  <c r="K1174" i="11"/>
  <c r="L1174" i="11" s="1"/>
  <c r="M1173" i="11"/>
  <c r="K1173" i="11"/>
  <c r="L1173" i="11" s="1"/>
  <c r="M1172" i="11"/>
  <c r="K1172" i="11"/>
  <c r="L1172" i="11" s="1"/>
  <c r="M1171" i="11"/>
  <c r="K1171" i="11"/>
  <c r="L1171" i="11" s="1"/>
  <c r="M1170" i="11"/>
  <c r="K1170" i="11"/>
  <c r="L1170" i="11" s="1"/>
  <c r="M1169" i="11"/>
  <c r="K1169" i="11"/>
  <c r="L1169" i="11" s="1"/>
  <c r="M1168" i="11"/>
  <c r="K1168" i="11"/>
  <c r="L1168" i="11" s="1"/>
  <c r="M1167" i="11"/>
  <c r="K1167" i="11"/>
  <c r="L1167" i="11" s="1"/>
  <c r="M1166" i="11"/>
  <c r="K1166" i="11"/>
  <c r="L1166" i="11" s="1"/>
  <c r="M1165" i="11"/>
  <c r="K1165" i="11"/>
  <c r="L1165" i="11" s="1"/>
  <c r="M1164" i="11"/>
  <c r="K1164" i="11"/>
  <c r="L1164" i="11" s="1"/>
  <c r="M1163" i="11"/>
  <c r="K1163" i="11"/>
  <c r="L1163" i="11" s="1"/>
  <c r="M1162" i="11"/>
  <c r="K1162" i="11"/>
  <c r="L1162" i="11" s="1"/>
  <c r="M1161" i="11"/>
  <c r="K1161" i="11"/>
  <c r="L1161" i="11" s="1"/>
  <c r="M1160" i="11"/>
  <c r="K1160" i="11"/>
  <c r="L1160" i="11" s="1"/>
  <c r="M1159" i="11"/>
  <c r="K1159" i="11"/>
  <c r="L1159" i="11" s="1"/>
  <c r="M1158" i="11"/>
  <c r="K1158" i="11"/>
  <c r="L1158" i="11" s="1"/>
  <c r="M1157" i="11"/>
  <c r="K1157" i="11"/>
  <c r="L1157" i="11" s="1"/>
  <c r="M1156" i="11"/>
  <c r="K1156" i="11"/>
  <c r="L1156" i="11" s="1"/>
  <c r="M1155" i="11"/>
  <c r="K1155" i="11"/>
  <c r="L1155" i="11" s="1"/>
  <c r="M1154" i="11"/>
  <c r="K1154" i="11"/>
  <c r="L1154" i="11" s="1"/>
  <c r="M1153" i="11"/>
  <c r="K1153" i="11"/>
  <c r="L1153" i="11" s="1"/>
  <c r="M1152" i="11"/>
  <c r="K1152" i="11"/>
  <c r="L1152" i="11" s="1"/>
  <c r="M1151" i="11"/>
  <c r="K1151" i="11"/>
  <c r="L1151" i="11" s="1"/>
  <c r="M1150" i="11"/>
  <c r="K1150" i="11"/>
  <c r="L1150" i="11" s="1"/>
  <c r="M1149" i="11"/>
  <c r="K1149" i="11"/>
  <c r="L1149" i="11" s="1"/>
  <c r="M1148" i="11"/>
  <c r="K1148" i="11"/>
  <c r="L1148" i="11" s="1"/>
  <c r="M1147" i="11"/>
  <c r="K1147" i="11"/>
  <c r="L1147" i="11" s="1"/>
  <c r="M1146" i="11"/>
  <c r="K1146" i="11"/>
  <c r="L1146" i="11" s="1"/>
  <c r="M1145" i="11"/>
  <c r="K1145" i="11"/>
  <c r="L1145" i="11" s="1"/>
  <c r="M1144" i="11"/>
  <c r="K1144" i="11"/>
  <c r="L1144" i="11" s="1"/>
  <c r="M1143" i="11"/>
  <c r="K1143" i="11"/>
  <c r="L1143" i="11" s="1"/>
  <c r="M1142" i="11"/>
  <c r="K1142" i="11"/>
  <c r="L1142" i="11" s="1"/>
  <c r="M1141" i="11"/>
  <c r="K1141" i="11"/>
  <c r="L1141" i="11" s="1"/>
  <c r="M1140" i="11"/>
  <c r="K1140" i="11"/>
  <c r="L1140" i="11" s="1"/>
  <c r="M1139" i="11"/>
  <c r="K1139" i="11"/>
  <c r="L1139" i="11" s="1"/>
  <c r="M1138" i="11"/>
  <c r="K1138" i="11"/>
  <c r="L1138" i="11" s="1"/>
  <c r="M1137" i="11"/>
  <c r="K1137" i="11"/>
  <c r="L1137" i="11" s="1"/>
  <c r="M1136" i="11"/>
  <c r="K1136" i="11"/>
  <c r="L1136" i="11" s="1"/>
  <c r="M1135" i="11"/>
  <c r="K1135" i="11"/>
  <c r="L1135" i="11" s="1"/>
  <c r="M1134" i="11"/>
  <c r="K1134" i="11"/>
  <c r="L1134" i="11" s="1"/>
  <c r="M1133" i="11"/>
  <c r="K1133" i="11"/>
  <c r="L1133" i="11" s="1"/>
  <c r="M1132" i="11"/>
  <c r="K1132" i="11"/>
  <c r="L1132" i="11" s="1"/>
  <c r="M1131" i="11"/>
  <c r="K1131" i="11"/>
  <c r="L1131" i="11" s="1"/>
  <c r="M1130" i="11"/>
  <c r="K1130" i="11"/>
  <c r="L1130" i="11" s="1"/>
  <c r="M1129" i="11"/>
  <c r="K1129" i="11"/>
  <c r="L1129" i="11" s="1"/>
  <c r="M1128" i="11"/>
  <c r="K1128" i="11"/>
  <c r="L1128" i="11" s="1"/>
  <c r="M1127" i="11"/>
  <c r="K1127" i="11"/>
  <c r="L1127" i="11" s="1"/>
  <c r="M1126" i="11"/>
  <c r="K1126" i="11"/>
  <c r="L1126" i="11" s="1"/>
  <c r="M1125" i="11"/>
  <c r="K1125" i="11"/>
  <c r="L1125" i="11" s="1"/>
  <c r="M1124" i="11"/>
  <c r="K1124" i="11"/>
  <c r="L1124" i="11" s="1"/>
  <c r="M1123" i="11"/>
  <c r="K1123" i="11"/>
  <c r="L1123" i="11" s="1"/>
  <c r="M1122" i="11"/>
  <c r="K1122" i="11"/>
  <c r="L1122" i="11" s="1"/>
  <c r="M1121" i="11"/>
  <c r="K1121" i="11"/>
  <c r="L1121" i="11" s="1"/>
  <c r="M1120" i="11"/>
  <c r="K1120" i="11"/>
  <c r="L1120" i="11" s="1"/>
  <c r="M1119" i="11"/>
  <c r="K1119" i="11"/>
  <c r="L1119" i="11" s="1"/>
  <c r="M1118" i="11"/>
  <c r="K1118" i="11"/>
  <c r="L1118" i="11" s="1"/>
  <c r="M1117" i="11"/>
  <c r="K1117" i="11"/>
  <c r="L1117" i="11" s="1"/>
  <c r="M1116" i="11"/>
  <c r="K1116" i="11"/>
  <c r="L1116" i="11" s="1"/>
  <c r="M1115" i="11"/>
  <c r="K1115" i="11"/>
  <c r="L1115" i="11" s="1"/>
  <c r="M1114" i="11"/>
  <c r="K1114" i="11"/>
  <c r="L1114" i="11" s="1"/>
  <c r="M1113" i="11"/>
  <c r="K1113" i="11"/>
  <c r="L1113" i="11" s="1"/>
  <c r="M1112" i="11"/>
  <c r="K1112" i="11"/>
  <c r="L1112" i="11" s="1"/>
  <c r="M1111" i="11"/>
  <c r="K1111" i="11"/>
  <c r="L1111" i="11" s="1"/>
  <c r="M1110" i="11"/>
  <c r="K1110" i="11"/>
  <c r="L1110" i="11" s="1"/>
  <c r="M1109" i="11"/>
  <c r="K1109" i="11"/>
  <c r="L1109" i="11" s="1"/>
  <c r="M1108" i="11"/>
  <c r="K1108" i="11"/>
  <c r="L1108" i="11" s="1"/>
  <c r="M1107" i="11"/>
  <c r="K1107" i="11"/>
  <c r="L1107" i="11" s="1"/>
  <c r="M1106" i="11"/>
  <c r="K1106" i="11"/>
  <c r="L1106" i="11" s="1"/>
  <c r="M1105" i="11"/>
  <c r="K1105" i="11"/>
  <c r="L1105" i="11" s="1"/>
  <c r="M1104" i="11"/>
  <c r="K1104" i="11"/>
  <c r="L1104" i="11" s="1"/>
  <c r="M1103" i="11"/>
  <c r="K1103" i="11"/>
  <c r="L1103" i="11" s="1"/>
  <c r="M1102" i="11"/>
  <c r="K1102" i="11"/>
  <c r="L1102" i="11" s="1"/>
  <c r="M1101" i="11"/>
  <c r="K1101" i="11"/>
  <c r="L1101" i="11" s="1"/>
  <c r="M1100" i="11"/>
  <c r="K1100" i="11"/>
  <c r="L1100" i="11" s="1"/>
  <c r="M1099" i="11"/>
  <c r="K1099" i="11"/>
  <c r="L1099" i="11" s="1"/>
  <c r="M1098" i="11"/>
  <c r="K1098" i="11"/>
  <c r="L1098" i="11" s="1"/>
  <c r="M1097" i="11"/>
  <c r="K1097" i="11"/>
  <c r="L1097" i="11" s="1"/>
  <c r="M1096" i="11"/>
  <c r="K1096" i="11"/>
  <c r="L1096" i="11" s="1"/>
  <c r="M1095" i="11"/>
  <c r="K1095" i="11"/>
  <c r="L1095" i="11" s="1"/>
  <c r="M1094" i="11"/>
  <c r="K1094" i="11"/>
  <c r="L1094" i="11" s="1"/>
  <c r="M1093" i="11"/>
  <c r="K1093" i="11"/>
  <c r="L1093" i="11" s="1"/>
  <c r="M1092" i="11"/>
  <c r="K1092" i="11"/>
  <c r="L1092" i="11" s="1"/>
  <c r="M1091" i="11"/>
  <c r="K1091" i="11"/>
  <c r="L1091" i="11" s="1"/>
  <c r="M1090" i="11"/>
  <c r="K1090" i="11"/>
  <c r="L1090" i="11" s="1"/>
  <c r="M1089" i="11"/>
  <c r="K1089" i="11"/>
  <c r="L1089" i="11" s="1"/>
  <c r="M1088" i="11"/>
  <c r="K1088" i="11"/>
  <c r="L1088" i="11" s="1"/>
  <c r="M1087" i="11"/>
  <c r="K1087" i="11"/>
  <c r="L1087" i="11" s="1"/>
  <c r="M1086" i="11"/>
  <c r="K1086" i="11"/>
  <c r="L1086" i="11" s="1"/>
  <c r="M1085" i="11"/>
  <c r="K1085" i="11"/>
  <c r="L1085" i="11" s="1"/>
  <c r="M1084" i="11"/>
  <c r="K1084" i="11"/>
  <c r="L1084" i="11" s="1"/>
  <c r="M1083" i="11"/>
  <c r="K1083" i="11"/>
  <c r="L1083" i="11" s="1"/>
  <c r="M1082" i="11"/>
  <c r="K1082" i="11"/>
  <c r="L1082" i="11" s="1"/>
  <c r="M1081" i="11"/>
  <c r="K1081" i="11"/>
  <c r="L1081" i="11" s="1"/>
  <c r="M1080" i="11"/>
  <c r="K1080" i="11"/>
  <c r="L1080" i="11" s="1"/>
  <c r="M1079" i="11"/>
  <c r="K1079" i="11"/>
  <c r="L1079" i="11" s="1"/>
  <c r="M1078" i="11"/>
  <c r="K1078" i="11"/>
  <c r="L1078" i="11" s="1"/>
  <c r="M1077" i="11"/>
  <c r="K1077" i="11"/>
  <c r="L1077" i="11" s="1"/>
  <c r="M1076" i="11"/>
  <c r="K1076" i="11"/>
  <c r="L1076" i="11" s="1"/>
  <c r="M1075" i="11"/>
  <c r="K1075" i="11"/>
  <c r="L1075" i="11" s="1"/>
  <c r="M1074" i="11"/>
  <c r="K1074" i="11"/>
  <c r="L1074" i="11" s="1"/>
  <c r="M1073" i="11"/>
  <c r="K1073" i="11"/>
  <c r="L1073" i="11" s="1"/>
  <c r="M1072" i="11"/>
  <c r="K1072" i="11"/>
  <c r="L1072" i="11" s="1"/>
  <c r="M1071" i="11"/>
  <c r="K1071" i="11"/>
  <c r="L1071" i="11" s="1"/>
  <c r="M1070" i="11"/>
  <c r="K1070" i="11"/>
  <c r="L1070" i="11" s="1"/>
  <c r="M1069" i="11"/>
  <c r="K1069" i="11"/>
  <c r="L1069" i="11" s="1"/>
  <c r="M1068" i="11"/>
  <c r="K1068" i="11"/>
  <c r="L1068" i="11" s="1"/>
  <c r="M1067" i="11"/>
  <c r="K1067" i="11"/>
  <c r="L1067" i="11" s="1"/>
  <c r="M1066" i="11"/>
  <c r="K1066" i="11"/>
  <c r="L1066" i="11" s="1"/>
  <c r="M1065" i="11"/>
  <c r="K1065" i="11"/>
  <c r="L1065" i="11" s="1"/>
  <c r="M1064" i="11"/>
  <c r="K1064" i="11"/>
  <c r="L1064" i="11" s="1"/>
  <c r="M1063" i="11"/>
  <c r="K1063" i="11"/>
  <c r="L1063" i="11" s="1"/>
  <c r="M1062" i="11"/>
  <c r="K1062" i="11"/>
  <c r="L1062" i="11" s="1"/>
  <c r="M1061" i="11"/>
  <c r="K1061" i="11"/>
  <c r="L1061" i="11" s="1"/>
  <c r="M1060" i="11"/>
  <c r="K1060" i="11"/>
  <c r="L1060" i="11" s="1"/>
  <c r="M1059" i="11"/>
  <c r="K1059" i="11"/>
  <c r="L1059" i="11" s="1"/>
  <c r="M1058" i="11"/>
  <c r="K1058" i="11"/>
  <c r="L1058" i="11" s="1"/>
  <c r="M1057" i="11"/>
  <c r="K1057" i="11"/>
  <c r="L1057" i="11" s="1"/>
  <c r="M1056" i="11"/>
  <c r="K1056" i="11"/>
  <c r="L1056" i="11" s="1"/>
  <c r="M1055" i="11"/>
  <c r="K1055" i="11"/>
  <c r="L1055" i="11" s="1"/>
  <c r="M1054" i="11"/>
  <c r="K1054" i="11"/>
  <c r="L1054" i="11" s="1"/>
  <c r="M1053" i="11"/>
  <c r="K1053" i="11"/>
  <c r="L1053" i="11" s="1"/>
  <c r="M1052" i="11"/>
  <c r="K1052" i="11"/>
  <c r="L1052" i="11" s="1"/>
  <c r="M1051" i="11"/>
  <c r="K1051" i="11"/>
  <c r="L1051" i="11" s="1"/>
  <c r="M1050" i="11"/>
  <c r="K1050" i="11"/>
  <c r="L1050" i="11" s="1"/>
  <c r="M1049" i="11"/>
  <c r="K1049" i="11"/>
  <c r="L1049" i="11" s="1"/>
  <c r="M1048" i="11"/>
  <c r="K1048" i="11"/>
  <c r="L1048" i="11" s="1"/>
  <c r="M1047" i="11"/>
  <c r="K1047" i="11"/>
  <c r="L1047" i="11" s="1"/>
  <c r="M1046" i="11"/>
  <c r="K1046" i="11"/>
  <c r="L1046" i="11" s="1"/>
  <c r="M1045" i="11"/>
  <c r="K1045" i="11"/>
  <c r="L1045" i="11" s="1"/>
  <c r="M1044" i="11"/>
  <c r="K1044" i="11"/>
  <c r="L1044" i="11" s="1"/>
  <c r="M1043" i="11"/>
  <c r="K1043" i="11"/>
  <c r="L1043" i="11" s="1"/>
  <c r="M1042" i="11"/>
  <c r="K1042" i="11"/>
  <c r="L1042" i="11" s="1"/>
  <c r="M1041" i="11"/>
  <c r="K1041" i="11"/>
  <c r="L1041" i="11" s="1"/>
  <c r="M1040" i="11"/>
  <c r="K1040" i="11"/>
  <c r="L1040" i="11" s="1"/>
  <c r="M1039" i="11"/>
  <c r="K1039" i="11"/>
  <c r="L1039" i="11" s="1"/>
  <c r="M1038" i="11"/>
  <c r="K1038" i="11"/>
  <c r="L1038" i="11" s="1"/>
  <c r="M1037" i="11"/>
  <c r="K1037" i="11"/>
  <c r="L1037" i="11" s="1"/>
  <c r="M1036" i="11"/>
  <c r="K1036" i="11"/>
  <c r="L1036" i="11" s="1"/>
  <c r="M1035" i="11"/>
  <c r="K1035" i="11"/>
  <c r="L1035" i="11" s="1"/>
  <c r="M1034" i="11"/>
  <c r="K1034" i="11"/>
  <c r="L1034" i="11" s="1"/>
  <c r="M1033" i="11"/>
  <c r="K1033" i="11"/>
  <c r="L1033" i="11" s="1"/>
  <c r="M1032" i="11"/>
  <c r="K1032" i="11"/>
  <c r="L1032" i="11" s="1"/>
  <c r="M1031" i="11"/>
  <c r="K1031" i="11"/>
  <c r="L1031" i="11" s="1"/>
  <c r="M1030" i="11"/>
  <c r="K1030" i="11"/>
  <c r="L1030" i="11" s="1"/>
  <c r="M1029" i="11"/>
  <c r="K1029" i="11"/>
  <c r="L1029" i="11" s="1"/>
  <c r="M1028" i="11"/>
  <c r="K1028" i="11"/>
  <c r="L1028" i="11" s="1"/>
  <c r="M1027" i="11"/>
  <c r="K1027" i="11"/>
  <c r="L1027" i="11" s="1"/>
  <c r="M1026" i="11"/>
  <c r="K1026" i="11"/>
  <c r="L1026" i="11" s="1"/>
  <c r="M1025" i="11"/>
  <c r="K1025" i="11"/>
  <c r="L1025" i="11" s="1"/>
  <c r="M1024" i="11"/>
  <c r="K1024" i="11"/>
  <c r="L1024" i="11" s="1"/>
  <c r="M1023" i="11"/>
  <c r="K1023" i="11"/>
  <c r="L1023" i="11" s="1"/>
  <c r="M1022" i="11"/>
  <c r="K1022" i="11"/>
  <c r="L1022" i="11" s="1"/>
  <c r="M1021" i="11"/>
  <c r="K1021" i="11"/>
  <c r="L1021" i="11" s="1"/>
  <c r="M1020" i="11"/>
  <c r="K1020" i="11"/>
  <c r="L1020" i="11" s="1"/>
  <c r="M1019" i="11"/>
  <c r="K1019" i="11"/>
  <c r="L1019" i="11" s="1"/>
  <c r="M1018" i="11"/>
  <c r="K1018" i="11"/>
  <c r="L1018" i="11" s="1"/>
  <c r="M1017" i="11"/>
  <c r="K1017" i="11"/>
  <c r="L1017" i="11" s="1"/>
  <c r="M1016" i="11"/>
  <c r="K1016" i="11"/>
  <c r="L1016" i="11" s="1"/>
  <c r="M1015" i="11"/>
  <c r="K1015" i="11"/>
  <c r="L1015" i="11" s="1"/>
  <c r="M1014" i="11"/>
  <c r="K1014" i="11"/>
  <c r="L1014" i="11" s="1"/>
  <c r="M1013" i="11"/>
  <c r="K1013" i="11"/>
  <c r="L1013" i="11" s="1"/>
  <c r="M1012" i="11"/>
  <c r="K1012" i="11"/>
  <c r="L1012" i="11" s="1"/>
  <c r="M1011" i="11"/>
  <c r="K1011" i="11"/>
  <c r="L1011" i="11" s="1"/>
  <c r="M1010" i="11"/>
  <c r="K1010" i="11"/>
  <c r="L1010" i="11" s="1"/>
  <c r="M1009" i="11"/>
  <c r="K1009" i="11"/>
  <c r="L1009" i="11" s="1"/>
  <c r="M1008" i="11"/>
  <c r="K1008" i="11"/>
  <c r="L1008" i="11" s="1"/>
  <c r="M1007" i="11"/>
  <c r="K1007" i="11"/>
  <c r="L1007" i="11" s="1"/>
  <c r="M1006" i="11"/>
  <c r="K1006" i="11"/>
  <c r="L1006" i="11" s="1"/>
  <c r="M1005" i="11"/>
  <c r="K1005" i="11"/>
  <c r="L1005" i="11" s="1"/>
  <c r="M1004" i="11"/>
  <c r="K1004" i="11"/>
  <c r="L1004" i="11" s="1"/>
  <c r="M1003" i="11"/>
  <c r="K1003" i="11"/>
  <c r="L1003" i="11" s="1"/>
  <c r="M1002" i="11"/>
  <c r="K1002" i="11"/>
  <c r="L1002" i="11" s="1"/>
  <c r="M1001" i="11"/>
  <c r="K1001" i="11"/>
  <c r="L1001" i="11" s="1"/>
  <c r="M1000" i="11"/>
  <c r="K1000" i="11"/>
  <c r="L1000" i="11" s="1"/>
  <c r="M999" i="11"/>
  <c r="K999" i="11"/>
  <c r="L999" i="11" s="1"/>
  <c r="M998" i="11"/>
  <c r="K998" i="11"/>
  <c r="L998" i="11" s="1"/>
  <c r="M997" i="11"/>
  <c r="K997" i="11"/>
  <c r="L997" i="11" s="1"/>
  <c r="M996" i="11"/>
  <c r="K996" i="11"/>
  <c r="L996" i="11" s="1"/>
  <c r="M995" i="11"/>
  <c r="K995" i="11"/>
  <c r="L995" i="11" s="1"/>
  <c r="M994" i="11"/>
  <c r="K994" i="11"/>
  <c r="L994" i="11" s="1"/>
  <c r="M993" i="11"/>
  <c r="K993" i="11"/>
  <c r="L993" i="11" s="1"/>
  <c r="M992" i="11"/>
  <c r="K992" i="11"/>
  <c r="L992" i="11" s="1"/>
  <c r="M991" i="11"/>
  <c r="K991" i="11"/>
  <c r="L991" i="11" s="1"/>
  <c r="M990" i="11"/>
  <c r="K990" i="11"/>
  <c r="L990" i="11" s="1"/>
  <c r="M989" i="11"/>
  <c r="K989" i="11"/>
  <c r="L989" i="11" s="1"/>
  <c r="M988" i="11"/>
  <c r="K988" i="11"/>
  <c r="L988" i="11" s="1"/>
  <c r="M987" i="11"/>
  <c r="K987" i="11"/>
  <c r="L987" i="11" s="1"/>
  <c r="M986" i="11"/>
  <c r="K986" i="11"/>
  <c r="L986" i="11" s="1"/>
  <c r="M985" i="11"/>
  <c r="K985" i="11"/>
  <c r="L985" i="11" s="1"/>
  <c r="M984" i="11"/>
  <c r="K984" i="11"/>
  <c r="L984" i="11" s="1"/>
  <c r="M983" i="11"/>
  <c r="K983" i="11"/>
  <c r="L983" i="11" s="1"/>
  <c r="M982" i="11"/>
  <c r="K982" i="11"/>
  <c r="L982" i="11" s="1"/>
  <c r="M981" i="11"/>
  <c r="K981" i="11"/>
  <c r="L981" i="11" s="1"/>
  <c r="M980" i="11"/>
  <c r="K980" i="11"/>
  <c r="L980" i="11" s="1"/>
  <c r="M979" i="11"/>
  <c r="K979" i="11"/>
  <c r="L979" i="11" s="1"/>
  <c r="M978" i="11"/>
  <c r="K978" i="11"/>
  <c r="L978" i="11" s="1"/>
  <c r="M977" i="11"/>
  <c r="K977" i="11"/>
  <c r="L977" i="11" s="1"/>
  <c r="M976" i="11"/>
  <c r="K976" i="11"/>
  <c r="L976" i="11" s="1"/>
  <c r="M975" i="11"/>
  <c r="K975" i="11"/>
  <c r="L975" i="11" s="1"/>
  <c r="M974" i="11"/>
  <c r="K974" i="11"/>
  <c r="L974" i="11" s="1"/>
  <c r="M973" i="11"/>
  <c r="K973" i="11"/>
  <c r="L973" i="11" s="1"/>
  <c r="M972" i="11"/>
  <c r="K972" i="11"/>
  <c r="L972" i="11" s="1"/>
  <c r="M971" i="11"/>
  <c r="K971" i="11"/>
  <c r="L971" i="11" s="1"/>
  <c r="M970" i="11"/>
  <c r="K970" i="11"/>
  <c r="L970" i="11" s="1"/>
  <c r="M969" i="11"/>
  <c r="K969" i="11"/>
  <c r="L969" i="11" s="1"/>
  <c r="M968" i="11"/>
  <c r="K968" i="11"/>
  <c r="L968" i="11" s="1"/>
  <c r="M967" i="11"/>
  <c r="K967" i="11"/>
  <c r="L967" i="11" s="1"/>
  <c r="M966" i="11"/>
  <c r="K966" i="11"/>
  <c r="L966" i="11" s="1"/>
  <c r="M965" i="11"/>
  <c r="K965" i="11"/>
  <c r="L965" i="11" s="1"/>
  <c r="M964" i="11"/>
  <c r="K964" i="11"/>
  <c r="L964" i="11" s="1"/>
  <c r="M963" i="11"/>
  <c r="K963" i="11"/>
  <c r="L963" i="11" s="1"/>
  <c r="M962" i="11"/>
  <c r="K962" i="11"/>
  <c r="L962" i="11" s="1"/>
  <c r="M961" i="11"/>
  <c r="K961" i="11"/>
  <c r="L961" i="11" s="1"/>
  <c r="M960" i="11"/>
  <c r="K960" i="11"/>
  <c r="L960" i="11" s="1"/>
  <c r="M959" i="11"/>
  <c r="K959" i="11"/>
  <c r="L959" i="11" s="1"/>
  <c r="M958" i="11"/>
  <c r="K958" i="11"/>
  <c r="L958" i="11" s="1"/>
  <c r="M957" i="11"/>
  <c r="K957" i="11"/>
  <c r="L957" i="11" s="1"/>
  <c r="M956" i="11"/>
  <c r="K956" i="11"/>
  <c r="L956" i="11" s="1"/>
  <c r="M955" i="11"/>
  <c r="K955" i="11"/>
  <c r="L955" i="11" s="1"/>
  <c r="M954" i="11"/>
  <c r="K954" i="11"/>
  <c r="L954" i="11" s="1"/>
  <c r="M953" i="11"/>
  <c r="K953" i="11"/>
  <c r="L953" i="11" s="1"/>
  <c r="M952" i="11"/>
  <c r="K952" i="11"/>
  <c r="L952" i="11" s="1"/>
  <c r="M951" i="11"/>
  <c r="K951" i="11"/>
  <c r="L951" i="11" s="1"/>
  <c r="M950" i="11"/>
  <c r="K950" i="11"/>
  <c r="L950" i="11" s="1"/>
  <c r="M949" i="11"/>
  <c r="K949" i="11"/>
  <c r="L949" i="11" s="1"/>
  <c r="M948" i="11"/>
  <c r="K948" i="11"/>
  <c r="L948" i="11" s="1"/>
  <c r="M947" i="11"/>
  <c r="K947" i="11"/>
  <c r="L947" i="11" s="1"/>
  <c r="M946" i="11"/>
  <c r="K946" i="11"/>
  <c r="L946" i="11" s="1"/>
  <c r="M945" i="11"/>
  <c r="K945" i="11"/>
  <c r="L945" i="11" s="1"/>
  <c r="M944" i="11"/>
  <c r="K944" i="11"/>
  <c r="L944" i="11" s="1"/>
  <c r="M943" i="11"/>
  <c r="K943" i="11"/>
  <c r="L943" i="11" s="1"/>
  <c r="M942" i="11"/>
  <c r="K942" i="11"/>
  <c r="L942" i="11" s="1"/>
  <c r="M941" i="11"/>
  <c r="K941" i="11"/>
  <c r="L941" i="11" s="1"/>
  <c r="M940" i="11"/>
  <c r="K940" i="11"/>
  <c r="L940" i="11" s="1"/>
  <c r="M939" i="11"/>
  <c r="K939" i="11"/>
  <c r="L939" i="11" s="1"/>
  <c r="M938" i="11"/>
  <c r="K938" i="11"/>
  <c r="L938" i="11" s="1"/>
  <c r="M937" i="11"/>
  <c r="K937" i="11"/>
  <c r="L937" i="11" s="1"/>
  <c r="M936" i="11"/>
  <c r="K936" i="11"/>
  <c r="L936" i="11" s="1"/>
  <c r="M935" i="11"/>
  <c r="K935" i="11"/>
  <c r="L935" i="11" s="1"/>
  <c r="M934" i="11"/>
  <c r="K934" i="11"/>
  <c r="L934" i="11" s="1"/>
  <c r="M933" i="11"/>
  <c r="K933" i="11"/>
  <c r="L933" i="11" s="1"/>
  <c r="M932" i="11"/>
  <c r="K932" i="11"/>
  <c r="L932" i="11" s="1"/>
  <c r="M931" i="11"/>
  <c r="K931" i="11"/>
  <c r="L931" i="11" s="1"/>
  <c r="M930" i="11"/>
  <c r="K930" i="11"/>
  <c r="L930" i="11" s="1"/>
  <c r="M929" i="11"/>
  <c r="K929" i="11"/>
  <c r="L929" i="11" s="1"/>
  <c r="M928" i="11"/>
  <c r="K928" i="11"/>
  <c r="L928" i="11" s="1"/>
  <c r="M927" i="11"/>
  <c r="K927" i="11"/>
  <c r="L927" i="11" s="1"/>
  <c r="M926" i="11"/>
  <c r="K926" i="11"/>
  <c r="L926" i="11" s="1"/>
  <c r="M925" i="11"/>
  <c r="K925" i="11"/>
  <c r="L925" i="11" s="1"/>
  <c r="M924" i="11"/>
  <c r="K924" i="11"/>
  <c r="L924" i="11" s="1"/>
  <c r="M923" i="11"/>
  <c r="K923" i="11"/>
  <c r="L923" i="11" s="1"/>
  <c r="M922" i="11"/>
  <c r="K922" i="11"/>
  <c r="L922" i="11" s="1"/>
  <c r="M921" i="11"/>
  <c r="K921" i="11"/>
  <c r="L921" i="11" s="1"/>
  <c r="M920" i="11"/>
  <c r="K920" i="11"/>
  <c r="L920" i="11" s="1"/>
  <c r="M919" i="11"/>
  <c r="K919" i="11"/>
  <c r="L919" i="11" s="1"/>
  <c r="M918" i="11"/>
  <c r="K918" i="11"/>
  <c r="L918" i="11" s="1"/>
  <c r="M917" i="11"/>
  <c r="K917" i="11"/>
  <c r="L917" i="11" s="1"/>
  <c r="M916" i="11"/>
  <c r="K916" i="11"/>
  <c r="L916" i="11" s="1"/>
  <c r="M915" i="11"/>
  <c r="K915" i="11"/>
  <c r="L915" i="11" s="1"/>
  <c r="M914" i="11"/>
  <c r="K914" i="11"/>
  <c r="L914" i="11" s="1"/>
  <c r="M913" i="11"/>
  <c r="K913" i="11"/>
  <c r="L913" i="11" s="1"/>
  <c r="M912" i="11"/>
  <c r="K912" i="11"/>
  <c r="L912" i="11" s="1"/>
  <c r="M911" i="11"/>
  <c r="K911" i="11"/>
  <c r="L911" i="11" s="1"/>
  <c r="M910" i="11"/>
  <c r="K910" i="11"/>
  <c r="L910" i="11" s="1"/>
  <c r="M909" i="11"/>
  <c r="K909" i="11"/>
  <c r="L909" i="11" s="1"/>
  <c r="M908" i="11"/>
  <c r="K908" i="11"/>
  <c r="L908" i="11" s="1"/>
  <c r="M907" i="11"/>
  <c r="K907" i="11"/>
  <c r="L907" i="11" s="1"/>
  <c r="M906" i="11"/>
  <c r="K906" i="11"/>
  <c r="L906" i="11" s="1"/>
  <c r="M905" i="11"/>
  <c r="K905" i="11"/>
  <c r="L905" i="11" s="1"/>
  <c r="M904" i="11"/>
  <c r="K904" i="11"/>
  <c r="L904" i="11" s="1"/>
  <c r="M903" i="11"/>
  <c r="K903" i="11"/>
  <c r="L903" i="11" s="1"/>
  <c r="M902" i="11"/>
  <c r="K902" i="11"/>
  <c r="L902" i="11" s="1"/>
  <c r="M901" i="11"/>
  <c r="K901" i="11"/>
  <c r="L901" i="11" s="1"/>
  <c r="M900" i="11"/>
  <c r="K900" i="11"/>
  <c r="L900" i="11" s="1"/>
  <c r="M899" i="11"/>
  <c r="K899" i="11"/>
  <c r="L899" i="11" s="1"/>
  <c r="M898" i="11"/>
  <c r="K898" i="11"/>
  <c r="L898" i="11" s="1"/>
  <c r="M897" i="11"/>
  <c r="K897" i="11"/>
  <c r="L897" i="11" s="1"/>
  <c r="M896" i="11"/>
  <c r="K896" i="11"/>
  <c r="L896" i="11" s="1"/>
  <c r="M895" i="11"/>
  <c r="K895" i="11"/>
  <c r="L895" i="11" s="1"/>
  <c r="M894" i="11"/>
  <c r="K894" i="11"/>
  <c r="L894" i="11" s="1"/>
  <c r="M893" i="11"/>
  <c r="K893" i="11"/>
  <c r="L893" i="11" s="1"/>
  <c r="M892" i="11"/>
  <c r="K892" i="11"/>
  <c r="L892" i="11" s="1"/>
  <c r="M891" i="11"/>
  <c r="K891" i="11"/>
  <c r="L891" i="11" s="1"/>
  <c r="M890" i="11"/>
  <c r="K890" i="11"/>
  <c r="L890" i="11" s="1"/>
  <c r="M889" i="11"/>
  <c r="K889" i="11"/>
  <c r="L889" i="11" s="1"/>
  <c r="M888" i="11"/>
  <c r="K888" i="11"/>
  <c r="L888" i="11" s="1"/>
  <c r="M887" i="11"/>
  <c r="K887" i="11"/>
  <c r="L887" i="11" s="1"/>
  <c r="M886" i="11"/>
  <c r="K886" i="11"/>
  <c r="L886" i="11" s="1"/>
  <c r="M885" i="11"/>
  <c r="K885" i="11"/>
  <c r="L885" i="11" s="1"/>
  <c r="M884" i="11"/>
  <c r="K884" i="11"/>
  <c r="L884" i="11" s="1"/>
  <c r="M883" i="11"/>
  <c r="K883" i="11"/>
  <c r="L883" i="11" s="1"/>
  <c r="M882" i="11"/>
  <c r="K882" i="11"/>
  <c r="L882" i="11" s="1"/>
  <c r="M881" i="11"/>
  <c r="K881" i="11"/>
  <c r="L881" i="11" s="1"/>
  <c r="M880" i="11"/>
  <c r="K880" i="11"/>
  <c r="L880" i="11" s="1"/>
  <c r="M879" i="11"/>
  <c r="K879" i="11"/>
  <c r="L879" i="11" s="1"/>
  <c r="M878" i="11"/>
  <c r="K878" i="11"/>
  <c r="L878" i="11" s="1"/>
  <c r="M877" i="11"/>
  <c r="K877" i="11"/>
  <c r="L877" i="11" s="1"/>
  <c r="M876" i="11"/>
  <c r="K876" i="11"/>
  <c r="L876" i="11" s="1"/>
  <c r="M875" i="11"/>
  <c r="K875" i="11"/>
  <c r="L875" i="11" s="1"/>
  <c r="M874" i="11"/>
  <c r="K874" i="11"/>
  <c r="L874" i="11" s="1"/>
  <c r="M873" i="11"/>
  <c r="K873" i="11"/>
  <c r="L873" i="11" s="1"/>
  <c r="M872" i="11"/>
  <c r="K872" i="11"/>
  <c r="L872" i="11" s="1"/>
  <c r="M871" i="11"/>
  <c r="K871" i="11"/>
  <c r="L871" i="11" s="1"/>
  <c r="M870" i="11"/>
  <c r="K870" i="11"/>
  <c r="L870" i="11" s="1"/>
  <c r="M869" i="11"/>
  <c r="K869" i="11"/>
  <c r="L869" i="11" s="1"/>
  <c r="M868" i="11"/>
  <c r="K868" i="11"/>
  <c r="L868" i="11" s="1"/>
  <c r="M867" i="11"/>
  <c r="K867" i="11"/>
  <c r="L867" i="11" s="1"/>
  <c r="M866" i="11"/>
  <c r="K866" i="11"/>
  <c r="L866" i="11" s="1"/>
  <c r="M865" i="11"/>
  <c r="K865" i="11"/>
  <c r="L865" i="11" s="1"/>
  <c r="M864" i="11"/>
  <c r="K864" i="11"/>
  <c r="L864" i="11" s="1"/>
  <c r="M863" i="11"/>
  <c r="K863" i="11"/>
  <c r="L863" i="11" s="1"/>
  <c r="M862" i="11"/>
  <c r="K862" i="11"/>
  <c r="L862" i="11" s="1"/>
  <c r="M861" i="11"/>
  <c r="K861" i="11"/>
  <c r="L861" i="11" s="1"/>
  <c r="M860" i="11"/>
  <c r="K860" i="11"/>
  <c r="L860" i="11" s="1"/>
  <c r="M859" i="11"/>
  <c r="K859" i="11"/>
  <c r="L859" i="11" s="1"/>
  <c r="M858" i="11"/>
  <c r="K858" i="11"/>
  <c r="L858" i="11" s="1"/>
  <c r="M857" i="11"/>
  <c r="K857" i="11"/>
  <c r="L857" i="11" s="1"/>
  <c r="M856" i="11"/>
  <c r="K856" i="11"/>
  <c r="L856" i="11" s="1"/>
  <c r="M855" i="11"/>
  <c r="K855" i="11"/>
  <c r="L855" i="11" s="1"/>
  <c r="M854" i="11"/>
  <c r="K854" i="11"/>
  <c r="L854" i="11" s="1"/>
  <c r="M853" i="11"/>
  <c r="K853" i="11"/>
  <c r="L853" i="11" s="1"/>
  <c r="M852" i="11"/>
  <c r="K852" i="11"/>
  <c r="L852" i="11" s="1"/>
  <c r="M851" i="11"/>
  <c r="K851" i="11"/>
  <c r="L851" i="11" s="1"/>
  <c r="M850" i="11"/>
  <c r="K850" i="11"/>
  <c r="L850" i="11" s="1"/>
  <c r="M849" i="11"/>
  <c r="K849" i="11"/>
  <c r="L849" i="11" s="1"/>
  <c r="M848" i="11"/>
  <c r="K848" i="11"/>
  <c r="L848" i="11" s="1"/>
  <c r="M847" i="11"/>
  <c r="K847" i="11"/>
  <c r="L847" i="11" s="1"/>
  <c r="M846" i="11"/>
  <c r="K846" i="11"/>
  <c r="L846" i="11" s="1"/>
  <c r="M845" i="11"/>
  <c r="K845" i="11"/>
  <c r="L845" i="11" s="1"/>
  <c r="M844" i="11"/>
  <c r="K844" i="11"/>
  <c r="L844" i="11" s="1"/>
  <c r="M843" i="11"/>
  <c r="K843" i="11"/>
  <c r="L843" i="11" s="1"/>
  <c r="M842" i="11"/>
  <c r="K842" i="11"/>
  <c r="L842" i="11" s="1"/>
  <c r="M841" i="11"/>
  <c r="K841" i="11"/>
  <c r="L841" i="11" s="1"/>
  <c r="M840" i="11"/>
  <c r="K840" i="11"/>
  <c r="L840" i="11" s="1"/>
  <c r="M839" i="11"/>
  <c r="K839" i="11"/>
  <c r="L839" i="11" s="1"/>
  <c r="M838" i="11"/>
  <c r="K838" i="11"/>
  <c r="L838" i="11" s="1"/>
  <c r="M837" i="11"/>
  <c r="K837" i="11"/>
  <c r="L837" i="11" s="1"/>
  <c r="M836" i="11"/>
  <c r="K836" i="11"/>
  <c r="L836" i="11" s="1"/>
  <c r="M835" i="11"/>
  <c r="K835" i="11"/>
  <c r="L835" i="11" s="1"/>
  <c r="M834" i="11"/>
  <c r="K834" i="11"/>
  <c r="L834" i="11" s="1"/>
  <c r="M833" i="11"/>
  <c r="K833" i="11"/>
  <c r="L833" i="11" s="1"/>
  <c r="M832" i="11"/>
  <c r="K832" i="11"/>
  <c r="L832" i="11" s="1"/>
  <c r="M831" i="11"/>
  <c r="K831" i="11"/>
  <c r="L831" i="11" s="1"/>
  <c r="M830" i="11"/>
  <c r="K830" i="11"/>
  <c r="L830" i="11" s="1"/>
  <c r="M829" i="11"/>
  <c r="K829" i="11"/>
  <c r="L829" i="11" s="1"/>
  <c r="M828" i="11"/>
  <c r="K828" i="11"/>
  <c r="L828" i="11" s="1"/>
  <c r="M827" i="11"/>
  <c r="K827" i="11"/>
  <c r="L827" i="11" s="1"/>
  <c r="M826" i="11"/>
  <c r="K826" i="11"/>
  <c r="L826" i="11" s="1"/>
  <c r="M825" i="11"/>
  <c r="K825" i="11"/>
  <c r="L825" i="11" s="1"/>
  <c r="M824" i="11"/>
  <c r="K824" i="11"/>
  <c r="L824" i="11" s="1"/>
  <c r="M823" i="11"/>
  <c r="K823" i="11"/>
  <c r="L823" i="11" s="1"/>
  <c r="M822" i="11"/>
  <c r="K822" i="11"/>
  <c r="L822" i="11" s="1"/>
  <c r="M821" i="11"/>
  <c r="K821" i="11"/>
  <c r="L821" i="11" s="1"/>
  <c r="M820" i="11"/>
  <c r="K820" i="11"/>
  <c r="L820" i="11" s="1"/>
  <c r="M819" i="11"/>
  <c r="K819" i="11"/>
  <c r="L819" i="11" s="1"/>
  <c r="M818" i="11"/>
  <c r="K818" i="11"/>
  <c r="L818" i="11" s="1"/>
  <c r="M817" i="11"/>
  <c r="K817" i="11"/>
  <c r="L817" i="11" s="1"/>
  <c r="M816" i="11"/>
  <c r="K816" i="11"/>
  <c r="L816" i="11" s="1"/>
  <c r="M815" i="11"/>
  <c r="K815" i="11"/>
  <c r="L815" i="11" s="1"/>
  <c r="M814" i="11"/>
  <c r="K814" i="11"/>
  <c r="L814" i="11" s="1"/>
  <c r="M813" i="11"/>
  <c r="K813" i="11"/>
  <c r="L813" i="11" s="1"/>
  <c r="M812" i="11"/>
  <c r="K812" i="11"/>
  <c r="L812" i="11" s="1"/>
  <c r="M811" i="11"/>
  <c r="K811" i="11"/>
  <c r="L811" i="11" s="1"/>
  <c r="M810" i="11"/>
  <c r="K810" i="11"/>
  <c r="L810" i="11" s="1"/>
  <c r="M809" i="11"/>
  <c r="K809" i="11"/>
  <c r="L809" i="11" s="1"/>
  <c r="M808" i="11"/>
  <c r="K808" i="11"/>
  <c r="L808" i="11" s="1"/>
  <c r="M807" i="11"/>
  <c r="K807" i="11"/>
  <c r="L807" i="11" s="1"/>
  <c r="M806" i="11"/>
  <c r="K806" i="11"/>
  <c r="L806" i="11" s="1"/>
  <c r="M805" i="11"/>
  <c r="K805" i="11"/>
  <c r="L805" i="11" s="1"/>
  <c r="M804" i="11"/>
  <c r="K804" i="11"/>
  <c r="L804" i="11" s="1"/>
  <c r="M803" i="11"/>
  <c r="K803" i="11"/>
  <c r="L803" i="11" s="1"/>
  <c r="M802" i="11"/>
  <c r="K802" i="11"/>
  <c r="L802" i="11" s="1"/>
  <c r="M801" i="11"/>
  <c r="K801" i="11"/>
  <c r="L801" i="11" s="1"/>
  <c r="M800" i="11"/>
  <c r="K800" i="11"/>
  <c r="L800" i="11" s="1"/>
  <c r="M799" i="11"/>
  <c r="K799" i="11"/>
  <c r="L799" i="11" s="1"/>
  <c r="M798" i="11"/>
  <c r="K798" i="11"/>
  <c r="L798" i="11" s="1"/>
  <c r="M797" i="11"/>
  <c r="K797" i="11"/>
  <c r="L797" i="11" s="1"/>
  <c r="M796" i="11"/>
  <c r="K796" i="11"/>
  <c r="L796" i="11" s="1"/>
  <c r="M795" i="11"/>
  <c r="K795" i="11"/>
  <c r="L795" i="11" s="1"/>
  <c r="M794" i="11"/>
  <c r="K794" i="11"/>
  <c r="L794" i="11" s="1"/>
  <c r="M793" i="11"/>
  <c r="K793" i="11"/>
  <c r="L793" i="11" s="1"/>
  <c r="M792" i="11"/>
  <c r="K792" i="11"/>
  <c r="L792" i="11" s="1"/>
  <c r="M791" i="11"/>
  <c r="K791" i="11"/>
  <c r="L791" i="11" s="1"/>
  <c r="M790" i="11"/>
  <c r="K790" i="11"/>
  <c r="L790" i="11" s="1"/>
  <c r="M789" i="11"/>
  <c r="K789" i="11"/>
  <c r="L789" i="11" s="1"/>
  <c r="M788" i="11"/>
  <c r="K788" i="11"/>
  <c r="L788" i="11" s="1"/>
  <c r="M787" i="11"/>
  <c r="K787" i="11"/>
  <c r="L787" i="11" s="1"/>
  <c r="M786" i="11"/>
  <c r="K786" i="11"/>
  <c r="L786" i="11" s="1"/>
  <c r="M785" i="11"/>
  <c r="K785" i="11"/>
  <c r="L785" i="11" s="1"/>
  <c r="M784" i="11"/>
  <c r="K784" i="11"/>
  <c r="L784" i="11" s="1"/>
  <c r="M783" i="11"/>
  <c r="K783" i="11"/>
  <c r="L783" i="11" s="1"/>
  <c r="M782" i="11"/>
  <c r="K782" i="11"/>
  <c r="L782" i="11" s="1"/>
  <c r="M781" i="11"/>
  <c r="K781" i="11"/>
  <c r="L781" i="11" s="1"/>
  <c r="M780" i="11"/>
  <c r="K780" i="11"/>
  <c r="L780" i="11" s="1"/>
  <c r="M779" i="11"/>
  <c r="K779" i="11"/>
  <c r="L779" i="11" s="1"/>
  <c r="M778" i="11"/>
  <c r="K778" i="11"/>
  <c r="L778" i="11" s="1"/>
  <c r="M777" i="11"/>
  <c r="K777" i="11"/>
  <c r="L777" i="11" s="1"/>
  <c r="M776" i="11"/>
  <c r="K776" i="11"/>
  <c r="L776" i="11" s="1"/>
  <c r="M775" i="11"/>
  <c r="K775" i="11"/>
  <c r="L775" i="11" s="1"/>
  <c r="M774" i="11"/>
  <c r="K774" i="11"/>
  <c r="L774" i="11" s="1"/>
  <c r="M773" i="11"/>
  <c r="K773" i="11"/>
  <c r="L773" i="11" s="1"/>
  <c r="M772" i="11"/>
  <c r="K772" i="11"/>
  <c r="L772" i="11" s="1"/>
  <c r="M771" i="11"/>
  <c r="K771" i="11"/>
  <c r="L771" i="11" s="1"/>
  <c r="M770" i="11"/>
  <c r="K770" i="11"/>
  <c r="L770" i="11" s="1"/>
  <c r="M769" i="11"/>
  <c r="K769" i="11"/>
  <c r="L769" i="11" s="1"/>
  <c r="M768" i="11"/>
  <c r="K768" i="11"/>
  <c r="L768" i="11" s="1"/>
  <c r="M767" i="11"/>
  <c r="K767" i="11"/>
  <c r="L767" i="11" s="1"/>
  <c r="M766" i="11"/>
  <c r="K766" i="11"/>
  <c r="L766" i="11" s="1"/>
  <c r="M765" i="11"/>
  <c r="K765" i="11"/>
  <c r="L765" i="11" s="1"/>
  <c r="M764" i="11"/>
  <c r="K764" i="11"/>
  <c r="L764" i="11" s="1"/>
  <c r="M763" i="11"/>
  <c r="K763" i="11"/>
  <c r="L763" i="11" s="1"/>
  <c r="M762" i="11"/>
  <c r="K762" i="11"/>
  <c r="L762" i="11" s="1"/>
  <c r="M761" i="11"/>
  <c r="K761" i="11"/>
  <c r="L761" i="11" s="1"/>
  <c r="M760" i="11"/>
  <c r="K760" i="11"/>
  <c r="L760" i="11" s="1"/>
  <c r="M759" i="11"/>
  <c r="K759" i="11"/>
  <c r="L759" i="11" s="1"/>
  <c r="M758" i="11"/>
  <c r="K758" i="11"/>
  <c r="L758" i="11" s="1"/>
  <c r="M757" i="11"/>
  <c r="K757" i="11"/>
  <c r="L757" i="11" s="1"/>
  <c r="M756" i="11"/>
  <c r="K756" i="11"/>
  <c r="L756" i="11" s="1"/>
  <c r="M755" i="11"/>
  <c r="K755" i="11"/>
  <c r="L755" i="11" s="1"/>
  <c r="M754" i="11"/>
  <c r="K754" i="11"/>
  <c r="L754" i="11" s="1"/>
  <c r="M753" i="11"/>
  <c r="K753" i="11"/>
  <c r="L753" i="11" s="1"/>
  <c r="M752" i="11"/>
  <c r="K752" i="11"/>
  <c r="L752" i="11" s="1"/>
  <c r="M751" i="11"/>
  <c r="K751" i="11"/>
  <c r="L751" i="11" s="1"/>
  <c r="M750" i="11"/>
  <c r="K750" i="11"/>
  <c r="L750" i="11" s="1"/>
  <c r="M749" i="11"/>
  <c r="K749" i="11"/>
  <c r="L749" i="11" s="1"/>
  <c r="M748" i="11"/>
  <c r="K748" i="11"/>
  <c r="L748" i="11" s="1"/>
  <c r="M747" i="11"/>
  <c r="K747" i="11"/>
  <c r="L747" i="11" s="1"/>
  <c r="M746" i="11"/>
  <c r="K746" i="11"/>
  <c r="L746" i="11" s="1"/>
  <c r="M745" i="11"/>
  <c r="K745" i="11"/>
  <c r="L745" i="11" s="1"/>
  <c r="M744" i="11"/>
  <c r="K744" i="11"/>
  <c r="L744" i="11" s="1"/>
  <c r="M743" i="11"/>
  <c r="K743" i="11"/>
  <c r="L743" i="11" s="1"/>
  <c r="M742" i="11"/>
  <c r="K742" i="11"/>
  <c r="L742" i="11" s="1"/>
  <c r="M741" i="11"/>
  <c r="K741" i="11"/>
  <c r="L741" i="11" s="1"/>
  <c r="M740" i="11"/>
  <c r="K740" i="11"/>
  <c r="L740" i="11" s="1"/>
  <c r="M739" i="11"/>
  <c r="K739" i="11"/>
  <c r="L739" i="11" s="1"/>
  <c r="M738" i="11"/>
  <c r="K738" i="11"/>
  <c r="L738" i="11" s="1"/>
  <c r="M737" i="11"/>
  <c r="K737" i="11"/>
  <c r="L737" i="11" s="1"/>
  <c r="M736" i="11"/>
  <c r="K736" i="11"/>
  <c r="L736" i="11" s="1"/>
  <c r="M735" i="11"/>
  <c r="K735" i="11"/>
  <c r="L735" i="11" s="1"/>
  <c r="M734" i="11"/>
  <c r="K734" i="11"/>
  <c r="L734" i="11" s="1"/>
  <c r="M733" i="11"/>
  <c r="K733" i="11"/>
  <c r="L733" i="11" s="1"/>
  <c r="M732" i="11"/>
  <c r="K732" i="11"/>
  <c r="L732" i="11" s="1"/>
  <c r="M731" i="11"/>
  <c r="K731" i="11"/>
  <c r="L731" i="11" s="1"/>
  <c r="M730" i="11"/>
  <c r="K730" i="11"/>
  <c r="L730" i="11" s="1"/>
  <c r="M729" i="11"/>
  <c r="K729" i="11"/>
  <c r="L729" i="11" s="1"/>
  <c r="M728" i="11"/>
  <c r="K728" i="11"/>
  <c r="L728" i="11" s="1"/>
  <c r="M727" i="11"/>
  <c r="K727" i="11"/>
  <c r="L727" i="11" s="1"/>
  <c r="M726" i="11"/>
  <c r="K726" i="11"/>
  <c r="L726" i="11" s="1"/>
  <c r="M725" i="11"/>
  <c r="K725" i="11"/>
  <c r="L725" i="11" s="1"/>
  <c r="M724" i="11"/>
  <c r="K724" i="11"/>
  <c r="L724" i="11" s="1"/>
  <c r="M723" i="11"/>
  <c r="K723" i="11"/>
  <c r="L723" i="11" s="1"/>
  <c r="M722" i="11"/>
  <c r="K722" i="11"/>
  <c r="L722" i="11" s="1"/>
  <c r="M721" i="11"/>
  <c r="K721" i="11"/>
  <c r="L721" i="11" s="1"/>
  <c r="M720" i="11"/>
  <c r="K720" i="11"/>
  <c r="L720" i="11" s="1"/>
  <c r="M719" i="11"/>
  <c r="K719" i="11"/>
  <c r="L719" i="11" s="1"/>
  <c r="M718" i="11"/>
  <c r="K718" i="11"/>
  <c r="L718" i="11" s="1"/>
  <c r="M717" i="11"/>
  <c r="K717" i="11"/>
  <c r="L717" i="11" s="1"/>
  <c r="M716" i="11"/>
  <c r="K716" i="11"/>
  <c r="L716" i="11" s="1"/>
  <c r="M715" i="11"/>
  <c r="K715" i="11"/>
  <c r="L715" i="11" s="1"/>
  <c r="M714" i="11"/>
  <c r="K714" i="11"/>
  <c r="L714" i="11" s="1"/>
  <c r="M713" i="11"/>
  <c r="K713" i="11"/>
  <c r="L713" i="11" s="1"/>
  <c r="M712" i="11"/>
  <c r="K712" i="11"/>
  <c r="L712" i="11" s="1"/>
  <c r="M711" i="11"/>
  <c r="K711" i="11"/>
  <c r="L711" i="11" s="1"/>
  <c r="M710" i="11"/>
  <c r="K710" i="11"/>
  <c r="L710" i="11" s="1"/>
  <c r="M709" i="11"/>
  <c r="K709" i="11"/>
  <c r="L709" i="11" s="1"/>
  <c r="M708" i="11"/>
  <c r="K708" i="11"/>
  <c r="L708" i="11" s="1"/>
  <c r="M707" i="11"/>
  <c r="K707" i="11"/>
  <c r="L707" i="11" s="1"/>
  <c r="M706" i="11"/>
  <c r="K706" i="11"/>
  <c r="L706" i="11" s="1"/>
  <c r="M705" i="11"/>
  <c r="K705" i="11"/>
  <c r="L705" i="11" s="1"/>
  <c r="M704" i="11"/>
  <c r="K704" i="11"/>
  <c r="L704" i="11" s="1"/>
  <c r="M703" i="11"/>
  <c r="K703" i="11"/>
  <c r="L703" i="11" s="1"/>
  <c r="M702" i="11"/>
  <c r="K702" i="11"/>
  <c r="L702" i="11" s="1"/>
  <c r="M701" i="11"/>
  <c r="K701" i="11"/>
  <c r="L701" i="11" s="1"/>
  <c r="M700" i="11"/>
  <c r="K700" i="11"/>
  <c r="L700" i="11" s="1"/>
  <c r="M699" i="11"/>
  <c r="K699" i="11"/>
  <c r="L699" i="11" s="1"/>
  <c r="M698" i="11"/>
  <c r="K698" i="11"/>
  <c r="L698" i="11" s="1"/>
  <c r="M697" i="11"/>
  <c r="K697" i="11"/>
  <c r="L697" i="11" s="1"/>
  <c r="M696" i="11"/>
  <c r="K696" i="11"/>
  <c r="L696" i="11" s="1"/>
  <c r="M695" i="11"/>
  <c r="K695" i="11"/>
  <c r="L695" i="11" s="1"/>
  <c r="M694" i="11"/>
  <c r="K694" i="11"/>
  <c r="L694" i="11" s="1"/>
  <c r="M693" i="11"/>
  <c r="K693" i="11"/>
  <c r="L693" i="11" s="1"/>
  <c r="M692" i="11"/>
  <c r="K692" i="11"/>
  <c r="L692" i="11" s="1"/>
  <c r="M691" i="11"/>
  <c r="K691" i="11"/>
  <c r="L691" i="11" s="1"/>
  <c r="M690" i="11"/>
  <c r="K690" i="11"/>
  <c r="L690" i="11" s="1"/>
  <c r="M689" i="11"/>
  <c r="K689" i="11"/>
  <c r="L689" i="11" s="1"/>
  <c r="M688" i="11"/>
  <c r="K688" i="11"/>
  <c r="L688" i="11" s="1"/>
  <c r="M687" i="11"/>
  <c r="K687" i="11"/>
  <c r="L687" i="11" s="1"/>
  <c r="M686" i="11"/>
  <c r="K686" i="11"/>
  <c r="L686" i="11" s="1"/>
  <c r="M685" i="11"/>
  <c r="K685" i="11"/>
  <c r="L685" i="11" s="1"/>
  <c r="M684" i="11"/>
  <c r="K684" i="11"/>
  <c r="L684" i="11" s="1"/>
  <c r="M683" i="11"/>
  <c r="K683" i="11"/>
  <c r="L683" i="11" s="1"/>
  <c r="M682" i="11"/>
  <c r="K682" i="11"/>
  <c r="L682" i="11" s="1"/>
  <c r="M681" i="11"/>
  <c r="K681" i="11"/>
  <c r="L681" i="11" s="1"/>
  <c r="M680" i="11"/>
  <c r="K680" i="11"/>
  <c r="L680" i="11" s="1"/>
  <c r="M679" i="11"/>
  <c r="K679" i="11"/>
  <c r="L679" i="11" s="1"/>
  <c r="M678" i="11"/>
  <c r="K678" i="11"/>
  <c r="L678" i="11" s="1"/>
  <c r="M677" i="11"/>
  <c r="K677" i="11"/>
  <c r="L677" i="11" s="1"/>
  <c r="M676" i="11"/>
  <c r="K676" i="11"/>
  <c r="L676" i="11" s="1"/>
  <c r="M675" i="11"/>
  <c r="K675" i="11"/>
  <c r="L675" i="11" s="1"/>
  <c r="M674" i="11"/>
  <c r="K674" i="11"/>
  <c r="L674" i="11" s="1"/>
  <c r="M673" i="11"/>
  <c r="K673" i="11"/>
  <c r="L673" i="11" s="1"/>
  <c r="M672" i="11"/>
  <c r="K672" i="11"/>
  <c r="L672" i="11" s="1"/>
  <c r="M671" i="11"/>
  <c r="K671" i="11"/>
  <c r="L671" i="11" s="1"/>
  <c r="M670" i="11"/>
  <c r="K670" i="11"/>
  <c r="L670" i="11" s="1"/>
  <c r="M669" i="11"/>
  <c r="K669" i="11"/>
  <c r="L669" i="11" s="1"/>
  <c r="M668" i="11"/>
  <c r="K668" i="11"/>
  <c r="L668" i="11" s="1"/>
  <c r="M667" i="11"/>
  <c r="K667" i="11"/>
  <c r="L667" i="11" s="1"/>
  <c r="M666" i="11"/>
  <c r="K666" i="11"/>
  <c r="L666" i="11" s="1"/>
  <c r="M665" i="11"/>
  <c r="K665" i="11"/>
  <c r="L665" i="11" s="1"/>
  <c r="M664" i="11"/>
  <c r="K664" i="11"/>
  <c r="L664" i="11" s="1"/>
  <c r="M663" i="11"/>
  <c r="K663" i="11"/>
  <c r="L663" i="11" s="1"/>
  <c r="M662" i="11"/>
  <c r="K662" i="11"/>
  <c r="L662" i="11" s="1"/>
  <c r="M661" i="11"/>
  <c r="K661" i="11"/>
  <c r="L661" i="11" s="1"/>
  <c r="M660" i="11"/>
  <c r="K660" i="11"/>
  <c r="L660" i="11" s="1"/>
  <c r="M659" i="11"/>
  <c r="K659" i="11"/>
  <c r="L659" i="11" s="1"/>
  <c r="M658" i="11"/>
  <c r="K658" i="11"/>
  <c r="L658" i="11" s="1"/>
  <c r="M657" i="11"/>
  <c r="K657" i="11"/>
  <c r="L657" i="11" s="1"/>
  <c r="M656" i="11"/>
  <c r="K656" i="11"/>
  <c r="L656" i="11" s="1"/>
  <c r="M655" i="11"/>
  <c r="K655" i="11"/>
  <c r="L655" i="11" s="1"/>
  <c r="M654" i="11"/>
  <c r="K654" i="11"/>
  <c r="L654" i="11" s="1"/>
  <c r="M653" i="11"/>
  <c r="K653" i="11"/>
  <c r="L653" i="11" s="1"/>
  <c r="M652" i="11"/>
  <c r="K652" i="11"/>
  <c r="L652" i="11" s="1"/>
  <c r="M651" i="11"/>
  <c r="K651" i="11"/>
  <c r="L651" i="11" s="1"/>
  <c r="M650" i="11"/>
  <c r="K650" i="11"/>
  <c r="L650" i="11" s="1"/>
  <c r="M649" i="11"/>
  <c r="K649" i="11"/>
  <c r="L649" i="11" s="1"/>
  <c r="M648" i="11"/>
  <c r="K648" i="11"/>
  <c r="L648" i="11" s="1"/>
  <c r="M647" i="11"/>
  <c r="K647" i="11"/>
  <c r="L647" i="11" s="1"/>
  <c r="M646" i="11"/>
  <c r="K646" i="11"/>
  <c r="L646" i="11" s="1"/>
  <c r="M645" i="11"/>
  <c r="K645" i="11"/>
  <c r="L645" i="11" s="1"/>
  <c r="M644" i="11"/>
  <c r="K644" i="11"/>
  <c r="L644" i="11" s="1"/>
  <c r="M643" i="11"/>
  <c r="K643" i="11"/>
  <c r="L643" i="11" s="1"/>
  <c r="M642" i="11"/>
  <c r="K642" i="11"/>
  <c r="L642" i="11" s="1"/>
  <c r="M641" i="11"/>
  <c r="K641" i="11"/>
  <c r="L641" i="11" s="1"/>
  <c r="M640" i="11"/>
  <c r="K640" i="11"/>
  <c r="L640" i="11" s="1"/>
  <c r="M639" i="11"/>
  <c r="K639" i="11"/>
  <c r="L639" i="11" s="1"/>
  <c r="M638" i="11"/>
  <c r="K638" i="11"/>
  <c r="L638" i="11" s="1"/>
  <c r="M637" i="11"/>
  <c r="K637" i="11"/>
  <c r="L637" i="11" s="1"/>
  <c r="M636" i="11"/>
  <c r="K636" i="11"/>
  <c r="L636" i="11" s="1"/>
  <c r="M635" i="11"/>
  <c r="K635" i="11"/>
  <c r="L635" i="11" s="1"/>
  <c r="M634" i="11"/>
  <c r="K634" i="11"/>
  <c r="L634" i="11" s="1"/>
  <c r="M633" i="11"/>
  <c r="K633" i="11"/>
  <c r="L633" i="11" s="1"/>
  <c r="M632" i="11"/>
  <c r="K632" i="11"/>
  <c r="L632" i="11" s="1"/>
  <c r="M631" i="11"/>
  <c r="K631" i="11"/>
  <c r="L631" i="11" s="1"/>
  <c r="M630" i="11"/>
  <c r="K630" i="11"/>
  <c r="L630" i="11" s="1"/>
  <c r="M629" i="11"/>
  <c r="K629" i="11"/>
  <c r="L629" i="11" s="1"/>
  <c r="M628" i="11"/>
  <c r="K628" i="11"/>
  <c r="L628" i="11" s="1"/>
  <c r="M627" i="11"/>
  <c r="K627" i="11"/>
  <c r="L627" i="11" s="1"/>
  <c r="M626" i="11"/>
  <c r="K626" i="11"/>
  <c r="L626" i="11" s="1"/>
  <c r="M625" i="11"/>
  <c r="K625" i="11"/>
  <c r="L625" i="11" s="1"/>
  <c r="M624" i="11"/>
  <c r="K624" i="11"/>
  <c r="L624" i="11" s="1"/>
  <c r="M623" i="11"/>
  <c r="K623" i="11"/>
  <c r="L623" i="11" s="1"/>
  <c r="M622" i="11"/>
  <c r="K622" i="11"/>
  <c r="L622" i="11" s="1"/>
  <c r="M621" i="11"/>
  <c r="K621" i="11"/>
  <c r="L621" i="11" s="1"/>
  <c r="M620" i="11"/>
  <c r="K620" i="11"/>
  <c r="L620" i="11" s="1"/>
  <c r="M619" i="11"/>
  <c r="K619" i="11"/>
  <c r="L619" i="11" s="1"/>
  <c r="M618" i="11"/>
  <c r="K618" i="11"/>
  <c r="L618" i="11" s="1"/>
  <c r="M617" i="11"/>
  <c r="K617" i="11"/>
  <c r="L617" i="11" s="1"/>
  <c r="M616" i="11"/>
  <c r="K616" i="11"/>
  <c r="L616" i="11" s="1"/>
  <c r="M615" i="11"/>
  <c r="K615" i="11"/>
  <c r="L615" i="11" s="1"/>
  <c r="M614" i="11"/>
  <c r="K614" i="11"/>
  <c r="L614" i="11" s="1"/>
  <c r="M613" i="11"/>
  <c r="K613" i="11"/>
  <c r="L613" i="11" s="1"/>
  <c r="M612" i="11"/>
  <c r="K612" i="11"/>
  <c r="L612" i="11" s="1"/>
  <c r="M611" i="11"/>
  <c r="K611" i="11"/>
  <c r="L611" i="11" s="1"/>
  <c r="M610" i="11"/>
  <c r="K610" i="11"/>
  <c r="L610" i="11" s="1"/>
  <c r="M609" i="11"/>
  <c r="K609" i="11"/>
  <c r="L609" i="11" s="1"/>
  <c r="M608" i="11"/>
  <c r="K608" i="11"/>
  <c r="L608" i="11" s="1"/>
  <c r="M607" i="11"/>
  <c r="K607" i="11"/>
  <c r="L607" i="11" s="1"/>
  <c r="M606" i="11"/>
  <c r="K606" i="11"/>
  <c r="L606" i="11" s="1"/>
  <c r="M605" i="11"/>
  <c r="K605" i="11"/>
  <c r="L605" i="11" s="1"/>
  <c r="M604" i="11"/>
  <c r="K604" i="11"/>
  <c r="L604" i="11" s="1"/>
  <c r="M603" i="11"/>
  <c r="K603" i="11"/>
  <c r="L603" i="11" s="1"/>
  <c r="M602" i="11"/>
  <c r="K602" i="11"/>
  <c r="L602" i="11" s="1"/>
  <c r="M601" i="11"/>
  <c r="K601" i="11"/>
  <c r="L601" i="11" s="1"/>
  <c r="M600" i="11"/>
  <c r="K600" i="11"/>
  <c r="L600" i="11" s="1"/>
  <c r="M599" i="11"/>
  <c r="K599" i="11"/>
  <c r="L599" i="11" s="1"/>
  <c r="M598" i="11"/>
  <c r="K598" i="11"/>
  <c r="L598" i="11" s="1"/>
  <c r="M597" i="11"/>
  <c r="K597" i="11"/>
  <c r="L597" i="11" s="1"/>
  <c r="M596" i="11"/>
  <c r="K596" i="11"/>
  <c r="L596" i="11" s="1"/>
  <c r="M595" i="11"/>
  <c r="K595" i="11"/>
  <c r="L595" i="11" s="1"/>
  <c r="M594" i="11"/>
  <c r="K594" i="11"/>
  <c r="L594" i="11" s="1"/>
  <c r="M593" i="11"/>
  <c r="K593" i="11"/>
  <c r="L593" i="11" s="1"/>
  <c r="M592" i="11"/>
  <c r="K592" i="11"/>
  <c r="L592" i="11" s="1"/>
  <c r="M591" i="11"/>
  <c r="K591" i="11"/>
  <c r="L591" i="11" s="1"/>
  <c r="M590" i="11"/>
  <c r="K590" i="11"/>
  <c r="L590" i="11" s="1"/>
  <c r="M589" i="11"/>
  <c r="K589" i="11"/>
  <c r="L589" i="11" s="1"/>
  <c r="M588" i="11"/>
  <c r="K588" i="11"/>
  <c r="L588" i="11" s="1"/>
  <c r="M587" i="11"/>
  <c r="K587" i="11"/>
  <c r="L587" i="11" s="1"/>
  <c r="M586" i="11"/>
  <c r="K586" i="11"/>
  <c r="L586" i="11" s="1"/>
  <c r="M585" i="11"/>
  <c r="K585" i="11"/>
  <c r="L585" i="11" s="1"/>
  <c r="M584" i="11"/>
  <c r="K584" i="11"/>
  <c r="L584" i="11" s="1"/>
  <c r="M583" i="11"/>
  <c r="K583" i="11"/>
  <c r="L583" i="11" s="1"/>
  <c r="M582" i="11"/>
  <c r="K582" i="11"/>
  <c r="L582" i="11" s="1"/>
  <c r="M581" i="11"/>
  <c r="K581" i="11"/>
  <c r="L581" i="11" s="1"/>
  <c r="M580" i="11"/>
  <c r="K580" i="11"/>
  <c r="L580" i="11" s="1"/>
  <c r="M579" i="11"/>
  <c r="K579" i="11"/>
  <c r="L579" i="11" s="1"/>
  <c r="M578" i="11"/>
  <c r="K578" i="11"/>
  <c r="L578" i="11" s="1"/>
  <c r="M577" i="11"/>
  <c r="K577" i="11"/>
  <c r="L577" i="11" s="1"/>
  <c r="M576" i="11"/>
  <c r="K576" i="11"/>
  <c r="L576" i="11" s="1"/>
  <c r="M575" i="11"/>
  <c r="K575" i="11"/>
  <c r="L575" i="11" s="1"/>
  <c r="M574" i="11"/>
  <c r="K574" i="11"/>
  <c r="L574" i="11" s="1"/>
  <c r="M573" i="11"/>
  <c r="K573" i="11"/>
  <c r="L573" i="11" s="1"/>
  <c r="M572" i="11"/>
  <c r="K572" i="11"/>
  <c r="L572" i="11" s="1"/>
  <c r="M571" i="11"/>
  <c r="K571" i="11"/>
  <c r="L571" i="11" s="1"/>
  <c r="M570" i="11"/>
  <c r="K570" i="11"/>
  <c r="L570" i="11" s="1"/>
  <c r="M569" i="11"/>
  <c r="K569" i="11"/>
  <c r="L569" i="11" s="1"/>
  <c r="M568" i="11"/>
  <c r="K568" i="11"/>
  <c r="L568" i="11" s="1"/>
  <c r="M567" i="11"/>
  <c r="K567" i="11"/>
  <c r="L567" i="11" s="1"/>
  <c r="M566" i="11"/>
  <c r="K566" i="11"/>
  <c r="L566" i="11" s="1"/>
  <c r="M565" i="11"/>
  <c r="K565" i="11"/>
  <c r="L565" i="11" s="1"/>
  <c r="M564" i="11"/>
  <c r="K564" i="11"/>
  <c r="L564" i="11" s="1"/>
  <c r="M563" i="11"/>
  <c r="K563" i="11"/>
  <c r="L563" i="11" s="1"/>
  <c r="M562" i="11"/>
  <c r="K562" i="11"/>
  <c r="L562" i="11" s="1"/>
  <c r="M561" i="11"/>
  <c r="K561" i="11"/>
  <c r="L561" i="11" s="1"/>
  <c r="M560" i="11"/>
  <c r="K560" i="11"/>
  <c r="L560" i="11" s="1"/>
  <c r="M559" i="11"/>
  <c r="K559" i="11"/>
  <c r="L559" i="11" s="1"/>
  <c r="M558" i="11"/>
  <c r="K558" i="11"/>
  <c r="L558" i="11" s="1"/>
  <c r="M557" i="11"/>
  <c r="K557" i="11"/>
  <c r="L557" i="11" s="1"/>
  <c r="M556" i="11"/>
  <c r="K556" i="11"/>
  <c r="L556" i="11" s="1"/>
  <c r="M555" i="11"/>
  <c r="K555" i="11"/>
  <c r="L555" i="11" s="1"/>
  <c r="M554" i="11"/>
  <c r="K554" i="11"/>
  <c r="L554" i="11" s="1"/>
  <c r="M553" i="11"/>
  <c r="K553" i="11"/>
  <c r="L553" i="11" s="1"/>
  <c r="M552" i="11"/>
  <c r="K552" i="11"/>
  <c r="L552" i="11" s="1"/>
  <c r="M551" i="11"/>
  <c r="K551" i="11"/>
  <c r="L551" i="11" s="1"/>
  <c r="M550" i="11"/>
  <c r="K550" i="11"/>
  <c r="L550" i="11" s="1"/>
  <c r="M549" i="11"/>
  <c r="K549" i="11"/>
  <c r="L549" i="11" s="1"/>
  <c r="M548" i="11"/>
  <c r="K548" i="11"/>
  <c r="L548" i="11" s="1"/>
  <c r="M547" i="11"/>
  <c r="K547" i="11"/>
  <c r="L547" i="11" s="1"/>
  <c r="M546" i="11"/>
  <c r="K546" i="11"/>
  <c r="L546" i="11" s="1"/>
  <c r="M545" i="11"/>
  <c r="K545" i="11"/>
  <c r="L545" i="11" s="1"/>
  <c r="M544" i="11"/>
  <c r="K544" i="11"/>
  <c r="L544" i="11" s="1"/>
  <c r="M543" i="11"/>
  <c r="K543" i="11"/>
  <c r="L543" i="11" s="1"/>
  <c r="M542" i="11"/>
  <c r="K542" i="11"/>
  <c r="L542" i="11" s="1"/>
  <c r="M541" i="11"/>
  <c r="K541" i="11"/>
  <c r="L541" i="11" s="1"/>
  <c r="M540" i="11"/>
  <c r="K540" i="11"/>
  <c r="L540" i="11" s="1"/>
  <c r="M539" i="11"/>
  <c r="K539" i="11"/>
  <c r="L539" i="11" s="1"/>
  <c r="M538" i="11"/>
  <c r="K538" i="11"/>
  <c r="L538" i="11" s="1"/>
  <c r="M537" i="11"/>
  <c r="K537" i="11"/>
  <c r="L537" i="11" s="1"/>
  <c r="M536" i="11"/>
  <c r="K536" i="11"/>
  <c r="L536" i="11" s="1"/>
  <c r="M535" i="11"/>
  <c r="K535" i="11"/>
  <c r="L535" i="11" s="1"/>
  <c r="M534" i="11"/>
  <c r="K534" i="11"/>
  <c r="L534" i="11" s="1"/>
  <c r="M533" i="11"/>
  <c r="K533" i="11"/>
  <c r="L533" i="11" s="1"/>
  <c r="M532" i="11"/>
  <c r="K532" i="11"/>
  <c r="L532" i="11" s="1"/>
  <c r="M531" i="11"/>
  <c r="K531" i="11"/>
  <c r="L531" i="11" s="1"/>
  <c r="M530" i="11"/>
  <c r="K530" i="11"/>
  <c r="L530" i="11" s="1"/>
  <c r="M529" i="11"/>
  <c r="K529" i="11"/>
  <c r="L529" i="11" s="1"/>
  <c r="M528" i="11"/>
  <c r="K528" i="11"/>
  <c r="L528" i="11" s="1"/>
  <c r="M527" i="11"/>
  <c r="K527" i="11"/>
  <c r="L527" i="11" s="1"/>
  <c r="M526" i="11"/>
  <c r="K526" i="11"/>
  <c r="L526" i="11" s="1"/>
  <c r="M525" i="11"/>
  <c r="K525" i="11"/>
  <c r="L525" i="11" s="1"/>
  <c r="M524" i="11"/>
  <c r="K524" i="11"/>
  <c r="L524" i="11" s="1"/>
  <c r="M523" i="11"/>
  <c r="K523" i="11"/>
  <c r="L523" i="11" s="1"/>
  <c r="M522" i="11"/>
  <c r="K522" i="11"/>
  <c r="L522" i="11" s="1"/>
  <c r="M521" i="11"/>
  <c r="K521" i="11"/>
  <c r="L521" i="11" s="1"/>
  <c r="M520" i="11"/>
  <c r="K520" i="11"/>
  <c r="L520" i="11" s="1"/>
  <c r="M519" i="11"/>
  <c r="K519" i="11"/>
  <c r="L519" i="11" s="1"/>
  <c r="M518" i="11"/>
  <c r="K518" i="11"/>
  <c r="L518" i="11" s="1"/>
  <c r="M517" i="11"/>
  <c r="K517" i="11"/>
  <c r="L517" i="11" s="1"/>
  <c r="M516" i="11"/>
  <c r="K516" i="11"/>
  <c r="L516" i="11" s="1"/>
  <c r="M515" i="11"/>
  <c r="K515" i="11"/>
  <c r="L515" i="11" s="1"/>
  <c r="M514" i="11"/>
  <c r="K514" i="11"/>
  <c r="L514" i="11" s="1"/>
  <c r="M513" i="11"/>
  <c r="K513" i="11"/>
  <c r="L513" i="11" s="1"/>
  <c r="M512" i="11"/>
  <c r="K512" i="11"/>
  <c r="L512" i="11" s="1"/>
  <c r="M511" i="11"/>
  <c r="K511" i="11"/>
  <c r="L511" i="11" s="1"/>
  <c r="M510" i="11"/>
  <c r="K510" i="11"/>
  <c r="L510" i="11" s="1"/>
  <c r="M509" i="11"/>
  <c r="K509" i="11"/>
  <c r="L509" i="11" s="1"/>
  <c r="M508" i="11"/>
  <c r="K508" i="11"/>
  <c r="L508" i="11" s="1"/>
  <c r="M507" i="11"/>
  <c r="K507" i="11"/>
  <c r="L507" i="11" s="1"/>
  <c r="M506" i="11"/>
  <c r="K506" i="11"/>
  <c r="L506" i="11" s="1"/>
  <c r="M505" i="11"/>
  <c r="K505" i="11"/>
  <c r="L505" i="11" s="1"/>
  <c r="M504" i="11"/>
  <c r="K504" i="11"/>
  <c r="L504" i="11" s="1"/>
  <c r="M503" i="11"/>
  <c r="K503" i="11"/>
  <c r="L503" i="11" s="1"/>
  <c r="M502" i="11"/>
  <c r="K502" i="11"/>
  <c r="L502" i="11" s="1"/>
  <c r="M501" i="11"/>
  <c r="K501" i="11"/>
  <c r="L501" i="11" s="1"/>
  <c r="M500" i="11"/>
  <c r="K500" i="11"/>
  <c r="L500" i="11" s="1"/>
  <c r="M499" i="11"/>
  <c r="K499" i="11"/>
  <c r="L499" i="11" s="1"/>
  <c r="M498" i="11"/>
  <c r="K498" i="11"/>
  <c r="L498" i="11" s="1"/>
  <c r="M497" i="11"/>
  <c r="K497" i="11"/>
  <c r="L497" i="11" s="1"/>
  <c r="M496" i="11"/>
  <c r="K496" i="11"/>
  <c r="L496" i="11" s="1"/>
  <c r="M495" i="11"/>
  <c r="K495" i="11"/>
  <c r="L495" i="11" s="1"/>
  <c r="M494" i="11"/>
  <c r="K494" i="11"/>
  <c r="L494" i="11" s="1"/>
  <c r="M493" i="11"/>
  <c r="K493" i="11"/>
  <c r="L493" i="11" s="1"/>
  <c r="M492" i="11"/>
  <c r="K492" i="11"/>
  <c r="L492" i="11" s="1"/>
  <c r="M491" i="11"/>
  <c r="K491" i="11"/>
  <c r="L491" i="11" s="1"/>
  <c r="M490" i="11"/>
  <c r="K490" i="11"/>
  <c r="L490" i="11" s="1"/>
  <c r="M489" i="11"/>
  <c r="K489" i="11"/>
  <c r="L489" i="11" s="1"/>
  <c r="M488" i="11"/>
  <c r="K488" i="11"/>
  <c r="L488" i="11" s="1"/>
  <c r="M487" i="11"/>
  <c r="K487" i="11"/>
  <c r="L487" i="11" s="1"/>
  <c r="M486" i="11"/>
  <c r="K486" i="11"/>
  <c r="L486" i="11" s="1"/>
  <c r="M485" i="11"/>
  <c r="K485" i="11"/>
  <c r="L485" i="11" s="1"/>
  <c r="M484" i="11"/>
  <c r="K484" i="11"/>
  <c r="L484" i="11" s="1"/>
  <c r="M483" i="11"/>
  <c r="K483" i="11"/>
  <c r="L483" i="11" s="1"/>
  <c r="M482" i="11"/>
  <c r="K482" i="11"/>
  <c r="L482" i="11" s="1"/>
  <c r="M481" i="11"/>
  <c r="K481" i="11"/>
  <c r="L481" i="11" s="1"/>
  <c r="M480" i="11"/>
  <c r="K480" i="11"/>
  <c r="L480" i="11" s="1"/>
  <c r="M479" i="11"/>
  <c r="K479" i="11"/>
  <c r="L479" i="11" s="1"/>
  <c r="M478" i="11"/>
  <c r="K478" i="11"/>
  <c r="L478" i="11" s="1"/>
  <c r="M477" i="11"/>
  <c r="K477" i="11"/>
  <c r="L477" i="11" s="1"/>
  <c r="M476" i="11"/>
  <c r="K476" i="11"/>
  <c r="L476" i="11" s="1"/>
  <c r="M475" i="11"/>
  <c r="K475" i="11"/>
  <c r="L475" i="11" s="1"/>
  <c r="M474" i="11"/>
  <c r="K474" i="11"/>
  <c r="L474" i="11" s="1"/>
  <c r="M473" i="11"/>
  <c r="K473" i="11"/>
  <c r="L473" i="11" s="1"/>
  <c r="M472" i="11"/>
  <c r="K472" i="11"/>
  <c r="L472" i="11" s="1"/>
  <c r="M471" i="11"/>
  <c r="K471" i="11"/>
  <c r="L471" i="11" s="1"/>
  <c r="M470" i="11"/>
  <c r="K470" i="11"/>
  <c r="L470" i="11" s="1"/>
  <c r="M469" i="11"/>
  <c r="K469" i="11"/>
  <c r="L469" i="11" s="1"/>
  <c r="M468" i="11"/>
  <c r="K468" i="11"/>
  <c r="L468" i="11" s="1"/>
  <c r="M467" i="11"/>
  <c r="K467" i="11"/>
  <c r="L467" i="11" s="1"/>
  <c r="M466" i="11"/>
  <c r="K466" i="11"/>
  <c r="L466" i="11" s="1"/>
  <c r="M465" i="11"/>
  <c r="K465" i="11"/>
  <c r="L465" i="11" s="1"/>
  <c r="M464" i="11"/>
  <c r="K464" i="11"/>
  <c r="L464" i="11" s="1"/>
  <c r="M463" i="11"/>
  <c r="K463" i="11"/>
  <c r="L463" i="11" s="1"/>
  <c r="M462" i="11"/>
  <c r="K462" i="11"/>
  <c r="L462" i="11" s="1"/>
  <c r="M461" i="11"/>
  <c r="K461" i="11"/>
  <c r="L461" i="11" s="1"/>
  <c r="M460" i="11"/>
  <c r="K460" i="11"/>
  <c r="L460" i="11" s="1"/>
  <c r="M459" i="11"/>
  <c r="K459" i="11"/>
  <c r="L459" i="11" s="1"/>
  <c r="M458" i="11"/>
  <c r="K458" i="11"/>
  <c r="L458" i="11" s="1"/>
  <c r="M457" i="11"/>
  <c r="K457" i="11"/>
  <c r="L457" i="11" s="1"/>
  <c r="M456" i="11"/>
  <c r="K456" i="11"/>
  <c r="L456" i="11" s="1"/>
  <c r="M455" i="11"/>
  <c r="K455" i="11"/>
  <c r="L455" i="11" s="1"/>
  <c r="M454" i="11"/>
  <c r="K454" i="11"/>
  <c r="L454" i="11" s="1"/>
  <c r="M453" i="11"/>
  <c r="K453" i="11"/>
  <c r="L453" i="11" s="1"/>
  <c r="M452" i="11"/>
  <c r="K452" i="11"/>
  <c r="L452" i="11" s="1"/>
  <c r="M451" i="11"/>
  <c r="K451" i="11"/>
  <c r="L451" i="11" s="1"/>
  <c r="M450" i="11"/>
  <c r="K450" i="11"/>
  <c r="L450" i="11" s="1"/>
  <c r="M449" i="11"/>
  <c r="K449" i="11"/>
  <c r="L449" i="11" s="1"/>
  <c r="M448" i="11"/>
  <c r="K448" i="11"/>
  <c r="L448" i="11" s="1"/>
  <c r="M447" i="11"/>
  <c r="K447" i="11"/>
  <c r="L447" i="11" s="1"/>
  <c r="M446" i="11"/>
  <c r="K446" i="11"/>
  <c r="L446" i="11" s="1"/>
  <c r="M445" i="11"/>
  <c r="K445" i="11"/>
  <c r="L445" i="11" s="1"/>
  <c r="M444" i="11"/>
  <c r="K444" i="11"/>
  <c r="L444" i="11" s="1"/>
  <c r="M443" i="11"/>
  <c r="K443" i="11"/>
  <c r="L443" i="11" s="1"/>
  <c r="M442" i="11"/>
  <c r="K442" i="11"/>
  <c r="L442" i="11" s="1"/>
  <c r="M441" i="11"/>
  <c r="K441" i="11"/>
  <c r="L441" i="11" s="1"/>
  <c r="M440" i="11"/>
  <c r="K440" i="11"/>
  <c r="L440" i="11" s="1"/>
  <c r="M439" i="11"/>
  <c r="K439" i="11"/>
  <c r="L439" i="11" s="1"/>
  <c r="M438" i="11"/>
  <c r="K438" i="11"/>
  <c r="L438" i="11" s="1"/>
  <c r="M437" i="11"/>
  <c r="K437" i="11"/>
  <c r="L437" i="11" s="1"/>
  <c r="M436" i="11"/>
  <c r="K436" i="11"/>
  <c r="L436" i="11" s="1"/>
  <c r="M435" i="11"/>
  <c r="K435" i="11"/>
  <c r="L435" i="11" s="1"/>
  <c r="M434" i="11"/>
  <c r="K434" i="11"/>
  <c r="L434" i="11" s="1"/>
  <c r="M433" i="11"/>
  <c r="K433" i="11"/>
  <c r="L433" i="11" s="1"/>
  <c r="M432" i="11"/>
  <c r="K432" i="11"/>
  <c r="L432" i="11" s="1"/>
  <c r="M431" i="11"/>
  <c r="K431" i="11"/>
  <c r="L431" i="11" s="1"/>
  <c r="M430" i="11"/>
  <c r="K430" i="11"/>
  <c r="L430" i="11" s="1"/>
  <c r="M429" i="11"/>
  <c r="K429" i="11"/>
  <c r="L429" i="11" s="1"/>
  <c r="M428" i="11"/>
  <c r="K428" i="11"/>
  <c r="L428" i="11" s="1"/>
  <c r="M427" i="11"/>
  <c r="K427" i="11"/>
  <c r="L427" i="11" s="1"/>
  <c r="M426" i="11"/>
  <c r="K426" i="11"/>
  <c r="L426" i="11" s="1"/>
  <c r="M425" i="11"/>
  <c r="K425" i="11"/>
  <c r="L425" i="11" s="1"/>
  <c r="M424" i="11"/>
  <c r="K424" i="11"/>
  <c r="L424" i="11" s="1"/>
  <c r="M423" i="11"/>
  <c r="K423" i="11"/>
  <c r="L423" i="11" s="1"/>
  <c r="M422" i="11"/>
  <c r="K422" i="11"/>
  <c r="L422" i="11" s="1"/>
  <c r="M421" i="11"/>
  <c r="K421" i="11"/>
  <c r="L421" i="11" s="1"/>
  <c r="M420" i="11"/>
  <c r="K420" i="11"/>
  <c r="L420" i="11" s="1"/>
  <c r="M419" i="11"/>
  <c r="K419" i="11"/>
  <c r="L419" i="11" s="1"/>
  <c r="M418" i="11"/>
  <c r="K418" i="11"/>
  <c r="L418" i="11" s="1"/>
  <c r="M417" i="11"/>
  <c r="K417" i="11"/>
  <c r="L417" i="11" s="1"/>
  <c r="M416" i="11"/>
  <c r="K416" i="11"/>
  <c r="L416" i="11" s="1"/>
  <c r="M415" i="11"/>
  <c r="K415" i="11"/>
  <c r="L415" i="11" s="1"/>
  <c r="M414" i="11"/>
  <c r="K414" i="11"/>
  <c r="L414" i="11" s="1"/>
  <c r="M413" i="11"/>
  <c r="K413" i="11"/>
  <c r="L413" i="11" s="1"/>
  <c r="M412" i="11"/>
  <c r="K412" i="11"/>
  <c r="L412" i="11" s="1"/>
  <c r="M411" i="11"/>
  <c r="K411" i="11"/>
  <c r="L411" i="11" s="1"/>
  <c r="M410" i="11"/>
  <c r="K410" i="11"/>
  <c r="L410" i="11" s="1"/>
  <c r="M409" i="11"/>
  <c r="K409" i="11"/>
  <c r="L409" i="11" s="1"/>
  <c r="M408" i="11"/>
  <c r="K408" i="11"/>
  <c r="L408" i="11" s="1"/>
  <c r="M407" i="11"/>
  <c r="K407" i="11"/>
  <c r="L407" i="11" s="1"/>
  <c r="M406" i="11"/>
  <c r="K406" i="11"/>
  <c r="L406" i="11" s="1"/>
  <c r="M405" i="11"/>
  <c r="K405" i="11"/>
  <c r="L405" i="11" s="1"/>
  <c r="M404" i="11"/>
  <c r="K404" i="11"/>
  <c r="L404" i="11" s="1"/>
  <c r="M403" i="11"/>
  <c r="K403" i="11"/>
  <c r="L403" i="11" s="1"/>
  <c r="M402" i="11"/>
  <c r="K402" i="11"/>
  <c r="L402" i="11" s="1"/>
  <c r="M401" i="11"/>
  <c r="K401" i="11"/>
  <c r="L401" i="11" s="1"/>
  <c r="M400" i="11"/>
  <c r="K400" i="11"/>
  <c r="L400" i="11" s="1"/>
  <c r="M399" i="11"/>
  <c r="K399" i="11"/>
  <c r="L399" i="11" s="1"/>
  <c r="M398" i="11"/>
  <c r="K398" i="11"/>
  <c r="L398" i="11" s="1"/>
  <c r="M397" i="11"/>
  <c r="K397" i="11"/>
  <c r="L397" i="11" s="1"/>
  <c r="M396" i="11"/>
  <c r="K396" i="11"/>
  <c r="L396" i="11" s="1"/>
  <c r="M395" i="11"/>
  <c r="K395" i="11"/>
  <c r="L395" i="11" s="1"/>
  <c r="M394" i="11"/>
  <c r="K394" i="11"/>
  <c r="L394" i="11" s="1"/>
  <c r="M393" i="11"/>
  <c r="K393" i="11"/>
  <c r="L393" i="11" s="1"/>
  <c r="M392" i="11"/>
  <c r="K392" i="11"/>
  <c r="L392" i="11" s="1"/>
  <c r="M391" i="11"/>
  <c r="K391" i="11"/>
  <c r="L391" i="11" s="1"/>
  <c r="M390" i="11"/>
  <c r="K390" i="11"/>
  <c r="L390" i="11" s="1"/>
  <c r="M389" i="11"/>
  <c r="K389" i="11"/>
  <c r="L389" i="11" s="1"/>
  <c r="M388" i="11"/>
  <c r="K388" i="11"/>
  <c r="L388" i="11" s="1"/>
  <c r="M387" i="11"/>
  <c r="K387" i="11"/>
  <c r="L387" i="11" s="1"/>
  <c r="M386" i="11"/>
  <c r="K386" i="11"/>
  <c r="L386" i="11" s="1"/>
  <c r="M385" i="11"/>
  <c r="K385" i="11"/>
  <c r="L385" i="11" s="1"/>
  <c r="M384" i="11"/>
  <c r="K384" i="11"/>
  <c r="L384" i="11" s="1"/>
  <c r="M383" i="11"/>
  <c r="K383" i="11"/>
  <c r="L383" i="11" s="1"/>
  <c r="M382" i="11"/>
  <c r="K382" i="11"/>
  <c r="L382" i="11" s="1"/>
  <c r="M381" i="11"/>
  <c r="K381" i="11"/>
  <c r="L381" i="11" s="1"/>
  <c r="M380" i="11"/>
  <c r="K380" i="11"/>
  <c r="L380" i="11" s="1"/>
  <c r="M379" i="11"/>
  <c r="K379" i="11"/>
  <c r="L379" i="11" s="1"/>
  <c r="M378" i="11"/>
  <c r="K378" i="11"/>
  <c r="L378" i="11" s="1"/>
  <c r="M377" i="11"/>
  <c r="K377" i="11"/>
  <c r="L377" i="11" s="1"/>
  <c r="M376" i="11"/>
  <c r="K376" i="11"/>
  <c r="L376" i="11" s="1"/>
  <c r="M375" i="11"/>
  <c r="K375" i="11"/>
  <c r="L375" i="11" s="1"/>
  <c r="M374" i="11"/>
  <c r="K374" i="11"/>
  <c r="L374" i="11" s="1"/>
  <c r="M373" i="11"/>
  <c r="K373" i="11"/>
  <c r="L373" i="11" s="1"/>
  <c r="M372" i="11"/>
  <c r="K372" i="11"/>
  <c r="L372" i="11" s="1"/>
  <c r="M371" i="11"/>
  <c r="K371" i="11"/>
  <c r="L371" i="11" s="1"/>
  <c r="M370" i="11"/>
  <c r="K370" i="11"/>
  <c r="L370" i="11" s="1"/>
  <c r="M369" i="11"/>
  <c r="K369" i="11"/>
  <c r="L369" i="11" s="1"/>
  <c r="M368" i="11"/>
  <c r="K368" i="11"/>
  <c r="L368" i="11" s="1"/>
  <c r="M367" i="11"/>
  <c r="K367" i="11"/>
  <c r="L367" i="11" s="1"/>
  <c r="M366" i="11"/>
  <c r="K366" i="11"/>
  <c r="L366" i="11" s="1"/>
  <c r="M365" i="11"/>
  <c r="K365" i="11"/>
  <c r="L365" i="11" s="1"/>
  <c r="M364" i="11"/>
  <c r="K364" i="11"/>
  <c r="L364" i="11" s="1"/>
  <c r="M363" i="11"/>
  <c r="K363" i="11"/>
  <c r="L363" i="11" s="1"/>
  <c r="M362" i="11"/>
  <c r="K362" i="11"/>
  <c r="L362" i="11" s="1"/>
  <c r="M361" i="11"/>
  <c r="K361" i="11"/>
  <c r="L361" i="11" s="1"/>
  <c r="M360" i="11"/>
  <c r="K360" i="11"/>
  <c r="L360" i="11" s="1"/>
  <c r="M359" i="11"/>
  <c r="K359" i="11"/>
  <c r="L359" i="11" s="1"/>
  <c r="M358" i="11"/>
  <c r="K358" i="11"/>
  <c r="L358" i="11" s="1"/>
  <c r="M357" i="11"/>
  <c r="K357" i="11"/>
  <c r="L357" i="11" s="1"/>
  <c r="M356" i="11"/>
  <c r="K356" i="11"/>
  <c r="L356" i="11" s="1"/>
  <c r="M355" i="11"/>
  <c r="K355" i="11"/>
  <c r="L355" i="11" s="1"/>
  <c r="M354" i="11"/>
  <c r="K354" i="11"/>
  <c r="L354" i="11" s="1"/>
  <c r="M353" i="11"/>
  <c r="K353" i="11"/>
  <c r="L353" i="11" s="1"/>
  <c r="M352" i="11"/>
  <c r="K352" i="11"/>
  <c r="L352" i="11" s="1"/>
  <c r="M351" i="11"/>
  <c r="K351" i="11"/>
  <c r="L351" i="11" s="1"/>
  <c r="M350" i="11"/>
  <c r="K350" i="11"/>
  <c r="L350" i="11" s="1"/>
  <c r="M349" i="11"/>
  <c r="K349" i="11"/>
  <c r="L349" i="11" s="1"/>
  <c r="M348" i="11"/>
  <c r="K348" i="11"/>
  <c r="L348" i="11" s="1"/>
  <c r="M347" i="11"/>
  <c r="K347" i="11"/>
  <c r="L347" i="11" s="1"/>
  <c r="M346" i="11"/>
  <c r="K346" i="11"/>
  <c r="L346" i="11" s="1"/>
  <c r="M345" i="11"/>
  <c r="K345" i="11"/>
  <c r="L345" i="11" s="1"/>
  <c r="M344" i="11"/>
  <c r="K344" i="11"/>
  <c r="L344" i="11" s="1"/>
  <c r="M343" i="11"/>
  <c r="K343" i="11"/>
  <c r="L343" i="11" s="1"/>
  <c r="M342" i="11"/>
  <c r="K342" i="11"/>
  <c r="L342" i="11" s="1"/>
  <c r="M341" i="11"/>
  <c r="K341" i="11"/>
  <c r="L341" i="11" s="1"/>
  <c r="M340" i="11"/>
  <c r="K340" i="11"/>
  <c r="L340" i="11" s="1"/>
  <c r="M339" i="11"/>
  <c r="K339" i="11"/>
  <c r="L339" i="11" s="1"/>
  <c r="M338" i="11"/>
  <c r="K338" i="11"/>
  <c r="L338" i="11" s="1"/>
  <c r="M337" i="11"/>
  <c r="K337" i="11"/>
  <c r="L337" i="11" s="1"/>
  <c r="M336" i="11"/>
  <c r="K336" i="11"/>
  <c r="L336" i="11" s="1"/>
  <c r="M335" i="11"/>
  <c r="K335" i="11"/>
  <c r="L335" i="11" s="1"/>
  <c r="M334" i="11"/>
  <c r="K334" i="11"/>
  <c r="L334" i="11" s="1"/>
  <c r="M333" i="11"/>
  <c r="K333" i="11"/>
  <c r="L333" i="11" s="1"/>
  <c r="M332" i="11"/>
  <c r="K332" i="11"/>
  <c r="L332" i="11" s="1"/>
  <c r="M331" i="11"/>
  <c r="K331" i="11"/>
  <c r="L331" i="11" s="1"/>
  <c r="M330" i="11"/>
  <c r="K330" i="11"/>
  <c r="L330" i="11" s="1"/>
  <c r="M329" i="11"/>
  <c r="K329" i="11"/>
  <c r="L329" i="11" s="1"/>
  <c r="M328" i="11"/>
  <c r="K328" i="11"/>
  <c r="L328" i="11" s="1"/>
  <c r="M327" i="11"/>
  <c r="K327" i="11"/>
  <c r="L327" i="11" s="1"/>
  <c r="M326" i="11"/>
  <c r="K326" i="11"/>
  <c r="L326" i="11" s="1"/>
  <c r="M325" i="11"/>
  <c r="K325" i="11"/>
  <c r="L325" i="11" s="1"/>
  <c r="M324" i="11"/>
  <c r="K324" i="11"/>
  <c r="L324" i="11" s="1"/>
  <c r="M323" i="11"/>
  <c r="K323" i="11"/>
  <c r="L323" i="11" s="1"/>
  <c r="M322" i="11"/>
  <c r="K322" i="11"/>
  <c r="L322" i="11" s="1"/>
  <c r="M321" i="11"/>
  <c r="K321" i="11"/>
  <c r="L321" i="11" s="1"/>
  <c r="M320" i="11"/>
  <c r="K320" i="11"/>
  <c r="L320" i="11" s="1"/>
  <c r="M319" i="11"/>
  <c r="K319" i="11"/>
  <c r="L319" i="11" s="1"/>
  <c r="M318" i="11"/>
  <c r="K318" i="11"/>
  <c r="L318" i="11" s="1"/>
  <c r="M317" i="11"/>
  <c r="K317" i="11"/>
  <c r="L317" i="11" s="1"/>
  <c r="M316" i="11"/>
  <c r="K316" i="11"/>
  <c r="L316" i="11" s="1"/>
  <c r="M315" i="11"/>
  <c r="K315" i="11"/>
  <c r="L315" i="11" s="1"/>
  <c r="M314" i="11"/>
  <c r="K314" i="11"/>
  <c r="L314" i="11" s="1"/>
  <c r="M313" i="11"/>
  <c r="K313" i="11"/>
  <c r="L313" i="11" s="1"/>
  <c r="M312" i="11"/>
  <c r="K312" i="11"/>
  <c r="L312" i="11" s="1"/>
  <c r="M311" i="11"/>
  <c r="K311" i="11"/>
  <c r="L311" i="11" s="1"/>
  <c r="M310" i="11"/>
  <c r="K310" i="11"/>
  <c r="L310" i="11" s="1"/>
  <c r="M309" i="11"/>
  <c r="K309" i="11"/>
  <c r="L309" i="11" s="1"/>
  <c r="M308" i="11"/>
  <c r="K308" i="11"/>
  <c r="L308" i="11" s="1"/>
  <c r="M307" i="11"/>
  <c r="K307" i="11"/>
  <c r="L307" i="11" s="1"/>
  <c r="M306" i="11"/>
  <c r="K306" i="11"/>
  <c r="L306" i="11" s="1"/>
  <c r="M305" i="11"/>
  <c r="K305" i="11"/>
  <c r="L305" i="11" s="1"/>
  <c r="M304" i="11"/>
  <c r="K304" i="11"/>
  <c r="L304" i="11" s="1"/>
  <c r="M303" i="11"/>
  <c r="K303" i="11"/>
  <c r="L303" i="11" s="1"/>
  <c r="M302" i="11"/>
  <c r="K302" i="11"/>
  <c r="L302" i="11" s="1"/>
  <c r="M301" i="11"/>
  <c r="K301" i="11"/>
  <c r="L301" i="11" s="1"/>
  <c r="M300" i="11"/>
  <c r="K300" i="11"/>
  <c r="L300" i="11" s="1"/>
  <c r="M299" i="11"/>
  <c r="K299" i="11"/>
  <c r="L299" i="11" s="1"/>
  <c r="M298" i="11"/>
  <c r="K298" i="11"/>
  <c r="L298" i="11" s="1"/>
  <c r="M297" i="11"/>
  <c r="K297" i="11"/>
  <c r="L297" i="11" s="1"/>
  <c r="M296" i="11"/>
  <c r="K296" i="11"/>
  <c r="L296" i="11" s="1"/>
  <c r="M295" i="11"/>
  <c r="K295" i="11"/>
  <c r="L295" i="11" s="1"/>
  <c r="M294" i="11"/>
  <c r="K294" i="11"/>
  <c r="L294" i="11" s="1"/>
  <c r="M293" i="11"/>
  <c r="K293" i="11"/>
  <c r="L293" i="11" s="1"/>
  <c r="M292" i="11"/>
  <c r="K292" i="11"/>
  <c r="L292" i="11" s="1"/>
  <c r="M291" i="11"/>
  <c r="K291" i="11"/>
  <c r="L291" i="11" s="1"/>
  <c r="M290" i="11"/>
  <c r="K290" i="11"/>
  <c r="L290" i="11" s="1"/>
  <c r="M289" i="11"/>
  <c r="K289" i="11"/>
  <c r="L289" i="11" s="1"/>
  <c r="M288" i="11"/>
  <c r="K288" i="11"/>
  <c r="L288" i="11" s="1"/>
  <c r="M287" i="11"/>
  <c r="K287" i="11"/>
  <c r="L287" i="11" s="1"/>
  <c r="M286" i="11"/>
  <c r="K286" i="11"/>
  <c r="L286" i="11" s="1"/>
  <c r="M285" i="11"/>
  <c r="K285" i="11"/>
  <c r="L285" i="11" s="1"/>
  <c r="M284" i="11"/>
  <c r="K284" i="11"/>
  <c r="L284" i="11" s="1"/>
  <c r="M283" i="11"/>
  <c r="K283" i="11"/>
  <c r="L283" i="11" s="1"/>
  <c r="M282" i="11"/>
  <c r="K282" i="11"/>
  <c r="L282" i="11" s="1"/>
  <c r="M281" i="11"/>
  <c r="K281" i="11"/>
  <c r="L281" i="11" s="1"/>
  <c r="M280" i="11"/>
  <c r="K280" i="11"/>
  <c r="L280" i="11" s="1"/>
  <c r="M279" i="11"/>
  <c r="K279" i="11"/>
  <c r="L279" i="11" s="1"/>
  <c r="M278" i="11"/>
  <c r="K278" i="11"/>
  <c r="L278" i="11" s="1"/>
  <c r="M277" i="11"/>
  <c r="K277" i="11"/>
  <c r="L277" i="11" s="1"/>
  <c r="M276" i="11"/>
  <c r="K276" i="11"/>
  <c r="L276" i="11" s="1"/>
  <c r="M275" i="11"/>
  <c r="K275" i="11"/>
  <c r="L275" i="11" s="1"/>
  <c r="M274" i="11"/>
  <c r="K274" i="11"/>
  <c r="L274" i="11" s="1"/>
  <c r="M273" i="11"/>
  <c r="K273" i="11"/>
  <c r="L273" i="11" s="1"/>
  <c r="M272" i="11"/>
  <c r="K272" i="11"/>
  <c r="L272" i="11" s="1"/>
  <c r="M271" i="11"/>
  <c r="K271" i="11"/>
  <c r="L271" i="11" s="1"/>
  <c r="M270" i="11"/>
  <c r="K270" i="11"/>
  <c r="L270" i="11" s="1"/>
  <c r="M269" i="11"/>
  <c r="K269" i="11"/>
  <c r="L269" i="11" s="1"/>
  <c r="M268" i="11"/>
  <c r="K268" i="11"/>
  <c r="L268" i="11" s="1"/>
  <c r="M267" i="11"/>
  <c r="K267" i="11"/>
  <c r="L267" i="11" s="1"/>
  <c r="M266" i="11"/>
  <c r="K266" i="11"/>
  <c r="L266" i="11" s="1"/>
  <c r="M265" i="11"/>
  <c r="K265" i="11"/>
  <c r="L265" i="11" s="1"/>
  <c r="M264" i="11"/>
  <c r="K264" i="11"/>
  <c r="L264" i="11" s="1"/>
  <c r="M263" i="11"/>
  <c r="K263" i="11"/>
  <c r="L263" i="11" s="1"/>
  <c r="M262" i="11"/>
  <c r="K262" i="11"/>
  <c r="L262" i="11" s="1"/>
  <c r="M261" i="11"/>
  <c r="K261" i="11"/>
  <c r="L261" i="11" s="1"/>
  <c r="M260" i="11"/>
  <c r="K260" i="11"/>
  <c r="L260" i="11" s="1"/>
  <c r="M259" i="11"/>
  <c r="K259" i="11"/>
  <c r="L259" i="11" s="1"/>
  <c r="M258" i="11"/>
  <c r="K258" i="11"/>
  <c r="L258" i="11" s="1"/>
  <c r="M257" i="11"/>
  <c r="K257" i="11"/>
  <c r="L257" i="11" s="1"/>
  <c r="M256" i="11"/>
  <c r="K256" i="11"/>
  <c r="L256" i="11" s="1"/>
  <c r="M255" i="11"/>
  <c r="K255" i="11"/>
  <c r="L255" i="11" s="1"/>
  <c r="M254" i="11"/>
  <c r="K254" i="11"/>
  <c r="L254" i="11" s="1"/>
  <c r="M253" i="11"/>
  <c r="K253" i="11"/>
  <c r="L253" i="11" s="1"/>
  <c r="M252" i="11"/>
  <c r="K252" i="11"/>
  <c r="L252" i="11" s="1"/>
  <c r="M251" i="11"/>
  <c r="K251" i="11"/>
  <c r="L251" i="11" s="1"/>
  <c r="M250" i="11"/>
  <c r="K250" i="11"/>
  <c r="L250" i="11" s="1"/>
  <c r="M249" i="11"/>
  <c r="K249" i="11"/>
  <c r="L249" i="11" s="1"/>
  <c r="M248" i="11"/>
  <c r="K248" i="11"/>
  <c r="L248" i="11" s="1"/>
  <c r="M247" i="11"/>
  <c r="K247" i="11"/>
  <c r="L247" i="11" s="1"/>
  <c r="M246" i="11"/>
  <c r="K246" i="11"/>
  <c r="L246" i="11" s="1"/>
  <c r="M245" i="11"/>
  <c r="K245" i="11"/>
  <c r="L245" i="11" s="1"/>
  <c r="M244" i="11"/>
  <c r="K244" i="11"/>
  <c r="L244" i="11" s="1"/>
  <c r="M243" i="11"/>
  <c r="K243" i="11"/>
  <c r="L243" i="11" s="1"/>
  <c r="M242" i="11"/>
  <c r="K242" i="11"/>
  <c r="L242" i="11" s="1"/>
  <c r="M241" i="11"/>
  <c r="K241" i="11"/>
  <c r="L241" i="11" s="1"/>
  <c r="M240" i="11"/>
  <c r="K240" i="11"/>
  <c r="L240" i="11" s="1"/>
  <c r="M239" i="11"/>
  <c r="K239" i="11"/>
  <c r="L239" i="11" s="1"/>
  <c r="M238" i="11"/>
  <c r="K238" i="11"/>
  <c r="L238" i="11" s="1"/>
  <c r="M237" i="11"/>
  <c r="K237" i="11"/>
  <c r="L237" i="11" s="1"/>
  <c r="M236" i="11"/>
  <c r="K236" i="11"/>
  <c r="L236" i="11" s="1"/>
  <c r="M235" i="11"/>
  <c r="K235" i="11"/>
  <c r="L235" i="11" s="1"/>
  <c r="M234" i="11"/>
  <c r="K234" i="11"/>
  <c r="L234" i="11" s="1"/>
  <c r="M233" i="11"/>
  <c r="K233" i="11"/>
  <c r="L233" i="11" s="1"/>
  <c r="M232" i="11"/>
  <c r="K232" i="11"/>
  <c r="L232" i="11" s="1"/>
  <c r="M231" i="11"/>
  <c r="K231" i="11"/>
  <c r="L231" i="11" s="1"/>
  <c r="M230" i="11"/>
  <c r="K230" i="11"/>
  <c r="L230" i="11" s="1"/>
  <c r="M229" i="11"/>
  <c r="K229" i="11"/>
  <c r="L229" i="11" s="1"/>
  <c r="M228" i="11"/>
  <c r="K228" i="11"/>
  <c r="L228" i="11" s="1"/>
  <c r="M227" i="11"/>
  <c r="K227" i="11"/>
  <c r="L227" i="11" s="1"/>
  <c r="M226" i="11"/>
  <c r="K226" i="11"/>
  <c r="L226" i="11" s="1"/>
  <c r="M225" i="11"/>
  <c r="K225" i="11"/>
  <c r="L225" i="11" s="1"/>
  <c r="M224" i="11"/>
  <c r="K224" i="11"/>
  <c r="L224" i="11" s="1"/>
  <c r="M223" i="11"/>
  <c r="K223" i="11"/>
  <c r="L223" i="11" s="1"/>
  <c r="M222" i="11"/>
  <c r="K222" i="11"/>
  <c r="L222" i="11" s="1"/>
  <c r="M221" i="11"/>
  <c r="K221" i="11"/>
  <c r="L221" i="11" s="1"/>
  <c r="M220" i="11"/>
  <c r="K220" i="11"/>
  <c r="L220" i="11" s="1"/>
  <c r="M219" i="11"/>
  <c r="K219" i="11"/>
  <c r="L219" i="11" s="1"/>
  <c r="M218" i="11"/>
  <c r="K218" i="11"/>
  <c r="L218" i="11" s="1"/>
  <c r="M217" i="11"/>
  <c r="K217" i="11"/>
  <c r="L217" i="11" s="1"/>
  <c r="M216" i="11"/>
  <c r="K216" i="11"/>
  <c r="L216" i="11" s="1"/>
  <c r="M215" i="11"/>
  <c r="K215" i="11"/>
  <c r="L215" i="11" s="1"/>
  <c r="M214" i="11"/>
  <c r="K214" i="11"/>
  <c r="L214" i="11" s="1"/>
  <c r="M213" i="11"/>
  <c r="K213" i="11"/>
  <c r="L213" i="11" s="1"/>
  <c r="M212" i="11"/>
  <c r="K212" i="11"/>
  <c r="L212" i="11" s="1"/>
  <c r="M211" i="11"/>
  <c r="K211" i="11"/>
  <c r="L211" i="11" s="1"/>
  <c r="M210" i="11"/>
  <c r="K210" i="11"/>
  <c r="L210" i="11" s="1"/>
  <c r="M209" i="11"/>
  <c r="K209" i="11"/>
  <c r="L209" i="11" s="1"/>
  <c r="M208" i="11"/>
  <c r="K208" i="11"/>
  <c r="L208" i="11" s="1"/>
  <c r="M207" i="11"/>
  <c r="K207" i="11"/>
  <c r="L207" i="11" s="1"/>
  <c r="M206" i="11"/>
  <c r="K206" i="11"/>
  <c r="L206" i="11" s="1"/>
  <c r="M205" i="11"/>
  <c r="K205" i="11"/>
  <c r="L205" i="11" s="1"/>
  <c r="M204" i="11"/>
  <c r="K204" i="11"/>
  <c r="L204" i="11" s="1"/>
  <c r="M203" i="11"/>
  <c r="K203" i="11"/>
  <c r="L203" i="11" s="1"/>
  <c r="M202" i="11"/>
  <c r="K202" i="11"/>
  <c r="L202" i="11" s="1"/>
  <c r="M201" i="11"/>
  <c r="K201" i="11"/>
  <c r="L201" i="11" s="1"/>
  <c r="M200" i="11"/>
  <c r="K200" i="11"/>
  <c r="L200" i="11" s="1"/>
  <c r="M199" i="11"/>
  <c r="K199" i="11"/>
  <c r="L199" i="11" s="1"/>
  <c r="M198" i="11"/>
  <c r="K198" i="11"/>
  <c r="L198" i="11" s="1"/>
  <c r="M197" i="11"/>
  <c r="K197" i="11"/>
  <c r="L197" i="11" s="1"/>
  <c r="M196" i="11"/>
  <c r="K196" i="11"/>
  <c r="L196" i="11" s="1"/>
  <c r="M195" i="11"/>
  <c r="K195" i="11"/>
  <c r="L195" i="11" s="1"/>
  <c r="M194" i="11"/>
  <c r="K194" i="11"/>
  <c r="L194" i="11" s="1"/>
  <c r="M193" i="11"/>
  <c r="K193" i="11"/>
  <c r="L193" i="11" s="1"/>
  <c r="M192" i="11"/>
  <c r="K192" i="11"/>
  <c r="L192" i="11" s="1"/>
  <c r="M191" i="11"/>
  <c r="K191" i="11"/>
  <c r="L191" i="11" s="1"/>
  <c r="M190" i="11"/>
  <c r="K190" i="11"/>
  <c r="L190" i="11" s="1"/>
  <c r="M189" i="11"/>
  <c r="K189" i="11"/>
  <c r="L189" i="11" s="1"/>
  <c r="M188" i="11"/>
  <c r="K188" i="11"/>
  <c r="L188" i="11" s="1"/>
  <c r="M187" i="11"/>
  <c r="K187" i="11"/>
  <c r="L187" i="11" s="1"/>
  <c r="M186" i="11"/>
  <c r="K186" i="11"/>
  <c r="L186" i="11" s="1"/>
  <c r="M185" i="11"/>
  <c r="K185" i="11"/>
  <c r="L185" i="11" s="1"/>
  <c r="M184" i="11"/>
  <c r="K184" i="11"/>
  <c r="L184" i="11" s="1"/>
  <c r="M183" i="11"/>
  <c r="K183" i="11"/>
  <c r="L183" i="11" s="1"/>
  <c r="M182" i="11"/>
  <c r="K182" i="11"/>
  <c r="L182" i="11" s="1"/>
  <c r="M181" i="11"/>
  <c r="K181" i="11"/>
  <c r="L181" i="11" s="1"/>
  <c r="M180" i="11"/>
  <c r="K180" i="11"/>
  <c r="L180" i="11" s="1"/>
  <c r="M179" i="11"/>
  <c r="K179" i="11"/>
  <c r="L179" i="11" s="1"/>
  <c r="M178" i="11"/>
  <c r="K178" i="11"/>
  <c r="L178" i="11" s="1"/>
  <c r="M177" i="11"/>
  <c r="K177" i="11"/>
  <c r="L177" i="11" s="1"/>
  <c r="M176" i="11"/>
  <c r="K176" i="11"/>
  <c r="L176" i="11" s="1"/>
  <c r="M175" i="11"/>
  <c r="K175" i="11"/>
  <c r="L175" i="11" s="1"/>
  <c r="M174" i="11"/>
  <c r="K174" i="11"/>
  <c r="L174" i="11" s="1"/>
  <c r="M173" i="11"/>
  <c r="K173" i="11"/>
  <c r="L173" i="11" s="1"/>
  <c r="M172" i="11"/>
  <c r="K172" i="11"/>
  <c r="L172" i="11" s="1"/>
  <c r="M171" i="11"/>
  <c r="K171" i="11"/>
  <c r="L171" i="11" s="1"/>
  <c r="M170" i="11"/>
  <c r="K170" i="11"/>
  <c r="L170" i="11" s="1"/>
  <c r="M169" i="11"/>
  <c r="K169" i="11"/>
  <c r="L169" i="11" s="1"/>
  <c r="M168" i="11"/>
  <c r="K168" i="11"/>
  <c r="L168" i="11" s="1"/>
  <c r="M167" i="11"/>
  <c r="K167" i="11"/>
  <c r="L167" i="11" s="1"/>
  <c r="M166" i="11"/>
  <c r="K166" i="11"/>
  <c r="L166" i="11" s="1"/>
  <c r="M165" i="11"/>
  <c r="K165" i="11"/>
  <c r="L165" i="11" s="1"/>
  <c r="M164" i="11"/>
  <c r="K164" i="11"/>
  <c r="L164" i="11" s="1"/>
  <c r="M163" i="11"/>
  <c r="K163" i="11"/>
  <c r="L163" i="11" s="1"/>
  <c r="M162" i="11"/>
  <c r="K162" i="11"/>
  <c r="L162" i="11" s="1"/>
  <c r="M161" i="11"/>
  <c r="K161" i="11"/>
  <c r="L161" i="11" s="1"/>
  <c r="M160" i="11"/>
  <c r="K160" i="11"/>
  <c r="L160" i="11" s="1"/>
  <c r="M159" i="11"/>
  <c r="K159" i="11"/>
  <c r="L159" i="11" s="1"/>
  <c r="M158" i="11"/>
  <c r="K158" i="11"/>
  <c r="L158" i="11" s="1"/>
  <c r="M157" i="11"/>
  <c r="K157" i="11"/>
  <c r="L157" i="11" s="1"/>
  <c r="M156" i="11"/>
  <c r="K156" i="11"/>
  <c r="L156" i="11" s="1"/>
  <c r="M155" i="11"/>
  <c r="K155" i="11"/>
  <c r="L155" i="11" s="1"/>
  <c r="M154" i="11"/>
  <c r="K154" i="11"/>
  <c r="L154" i="11" s="1"/>
  <c r="M153" i="11"/>
  <c r="K153" i="11"/>
  <c r="L153" i="11" s="1"/>
  <c r="M152" i="11"/>
  <c r="K152" i="11"/>
  <c r="L152" i="11" s="1"/>
  <c r="M151" i="11"/>
  <c r="K151" i="11"/>
  <c r="L151" i="11" s="1"/>
  <c r="M150" i="11"/>
  <c r="K150" i="11"/>
  <c r="L150" i="11" s="1"/>
  <c r="M149" i="11"/>
  <c r="K149" i="11"/>
  <c r="L149" i="11" s="1"/>
  <c r="M148" i="11"/>
  <c r="K148" i="11"/>
  <c r="L148" i="11" s="1"/>
  <c r="M147" i="11"/>
  <c r="K147" i="11"/>
  <c r="L147" i="11" s="1"/>
  <c r="M146" i="11"/>
  <c r="K146" i="11"/>
  <c r="L146" i="11" s="1"/>
  <c r="M145" i="11"/>
  <c r="K145" i="11"/>
  <c r="L145" i="11" s="1"/>
  <c r="M144" i="11"/>
  <c r="K144" i="11"/>
  <c r="L144" i="11" s="1"/>
  <c r="M143" i="11"/>
  <c r="K143" i="11"/>
  <c r="L143" i="11" s="1"/>
  <c r="M142" i="11"/>
  <c r="K142" i="11"/>
  <c r="L142" i="11" s="1"/>
  <c r="M141" i="11"/>
  <c r="K141" i="11"/>
  <c r="L141" i="11" s="1"/>
  <c r="M140" i="11"/>
  <c r="K140" i="11"/>
  <c r="L140" i="11" s="1"/>
  <c r="M139" i="11"/>
  <c r="K139" i="11"/>
  <c r="L139" i="11" s="1"/>
  <c r="M138" i="11"/>
  <c r="K138" i="11"/>
  <c r="L138" i="11" s="1"/>
  <c r="M137" i="11"/>
  <c r="K137" i="11"/>
  <c r="L137" i="11" s="1"/>
  <c r="M136" i="11"/>
  <c r="K136" i="11"/>
  <c r="L136" i="11" s="1"/>
  <c r="M135" i="11"/>
  <c r="K135" i="11"/>
  <c r="L135" i="11" s="1"/>
  <c r="M134" i="11"/>
  <c r="K134" i="11"/>
  <c r="L134" i="11" s="1"/>
  <c r="M133" i="11"/>
  <c r="K133" i="11"/>
  <c r="L133" i="11" s="1"/>
  <c r="M132" i="11"/>
  <c r="K132" i="11"/>
  <c r="L132" i="11" s="1"/>
  <c r="M131" i="11"/>
  <c r="K131" i="11"/>
  <c r="L131" i="11" s="1"/>
  <c r="M130" i="11"/>
  <c r="K130" i="11"/>
  <c r="L130" i="11" s="1"/>
  <c r="M129" i="11"/>
  <c r="K129" i="11"/>
  <c r="L129" i="11" s="1"/>
  <c r="M128" i="11"/>
  <c r="K128" i="11"/>
  <c r="L128" i="11" s="1"/>
  <c r="M127" i="11"/>
  <c r="K127" i="11"/>
  <c r="L127" i="11" s="1"/>
  <c r="M126" i="11"/>
  <c r="K126" i="11"/>
  <c r="L126" i="11" s="1"/>
  <c r="M125" i="11"/>
  <c r="K125" i="11"/>
  <c r="L125" i="11" s="1"/>
  <c r="M124" i="11"/>
  <c r="K124" i="11"/>
  <c r="L124" i="11" s="1"/>
  <c r="M123" i="11"/>
  <c r="K123" i="11"/>
  <c r="L123" i="11" s="1"/>
  <c r="M122" i="11"/>
  <c r="K122" i="11"/>
  <c r="L122" i="11" s="1"/>
  <c r="M121" i="11"/>
  <c r="K121" i="11"/>
  <c r="L121" i="11" s="1"/>
  <c r="M120" i="11"/>
  <c r="K120" i="11"/>
  <c r="L120" i="11" s="1"/>
  <c r="M119" i="11"/>
  <c r="K119" i="11"/>
  <c r="L119" i="11" s="1"/>
  <c r="M118" i="11"/>
  <c r="K118" i="11"/>
  <c r="L118" i="11" s="1"/>
  <c r="M117" i="11"/>
  <c r="K117" i="11"/>
  <c r="L117" i="11" s="1"/>
  <c r="M116" i="11"/>
  <c r="K116" i="11"/>
  <c r="L116" i="11" s="1"/>
  <c r="M115" i="11"/>
  <c r="K115" i="11"/>
  <c r="L115" i="11" s="1"/>
  <c r="M114" i="11"/>
  <c r="K114" i="11"/>
  <c r="L114" i="11" s="1"/>
  <c r="M113" i="11"/>
  <c r="K113" i="11"/>
  <c r="L113" i="11" s="1"/>
  <c r="M112" i="11"/>
  <c r="K112" i="11"/>
  <c r="L112" i="11" s="1"/>
  <c r="M111" i="11"/>
  <c r="K111" i="11"/>
  <c r="L111" i="11" s="1"/>
  <c r="M110" i="11"/>
  <c r="K110" i="11"/>
  <c r="L110" i="11" s="1"/>
  <c r="M109" i="11"/>
  <c r="K109" i="11"/>
  <c r="L109" i="11" s="1"/>
  <c r="M108" i="11"/>
  <c r="K108" i="11"/>
  <c r="L108" i="11" s="1"/>
  <c r="M107" i="11"/>
  <c r="K107" i="11"/>
  <c r="L107" i="11" s="1"/>
  <c r="M106" i="11"/>
  <c r="K106" i="11"/>
  <c r="L106" i="11" s="1"/>
  <c r="M105" i="11"/>
  <c r="K105" i="11"/>
  <c r="L105" i="11" s="1"/>
  <c r="M104" i="11"/>
  <c r="K104" i="11"/>
  <c r="L104" i="11" s="1"/>
  <c r="M103" i="11"/>
  <c r="K103" i="11"/>
  <c r="L103" i="11" s="1"/>
  <c r="M102" i="11"/>
  <c r="K102" i="11"/>
  <c r="L102" i="11" s="1"/>
  <c r="M101" i="11"/>
  <c r="K101" i="11"/>
  <c r="L101" i="11" s="1"/>
  <c r="M100" i="11"/>
  <c r="K100" i="11"/>
  <c r="L100" i="11" s="1"/>
  <c r="M99" i="11"/>
  <c r="K99" i="11"/>
  <c r="L99" i="11" s="1"/>
  <c r="M98" i="11"/>
  <c r="K98" i="11"/>
  <c r="L98" i="11" s="1"/>
  <c r="M97" i="11"/>
  <c r="K97" i="11"/>
  <c r="L97" i="11" s="1"/>
  <c r="M96" i="11"/>
  <c r="K96" i="11"/>
  <c r="L96" i="11" s="1"/>
  <c r="M95" i="11"/>
  <c r="K95" i="11"/>
  <c r="L95" i="11" s="1"/>
  <c r="M94" i="11"/>
  <c r="K94" i="11"/>
  <c r="L94" i="11" s="1"/>
  <c r="M93" i="11"/>
  <c r="K93" i="11"/>
  <c r="L93" i="11" s="1"/>
  <c r="M92" i="11"/>
  <c r="K92" i="11"/>
  <c r="L92" i="11" s="1"/>
  <c r="M91" i="11"/>
  <c r="K91" i="11"/>
  <c r="L91" i="11" s="1"/>
  <c r="M90" i="11"/>
  <c r="K90" i="11"/>
  <c r="L90" i="11" s="1"/>
  <c r="M89" i="11"/>
  <c r="K89" i="11"/>
  <c r="L89" i="11" s="1"/>
  <c r="M88" i="11"/>
  <c r="K88" i="11"/>
  <c r="L88" i="11" s="1"/>
  <c r="M87" i="11"/>
  <c r="K87" i="11"/>
  <c r="L87" i="11" s="1"/>
  <c r="M86" i="11"/>
  <c r="K86" i="11"/>
  <c r="L86" i="11" s="1"/>
  <c r="M85" i="11"/>
  <c r="K85" i="11"/>
  <c r="L85" i="11" s="1"/>
  <c r="M84" i="11"/>
  <c r="K84" i="11"/>
  <c r="L84" i="11" s="1"/>
  <c r="M83" i="11"/>
  <c r="K83" i="11"/>
  <c r="L83" i="11" s="1"/>
  <c r="M82" i="11"/>
  <c r="K82" i="11"/>
  <c r="L82" i="11" s="1"/>
  <c r="M81" i="11"/>
  <c r="K81" i="11"/>
  <c r="L81" i="11" s="1"/>
  <c r="M80" i="11"/>
  <c r="K80" i="11"/>
  <c r="L80" i="11" s="1"/>
  <c r="M79" i="11"/>
  <c r="K79" i="11"/>
  <c r="L79" i="11" s="1"/>
  <c r="M78" i="11"/>
  <c r="K78" i="11"/>
  <c r="L78" i="11" s="1"/>
  <c r="M77" i="11"/>
  <c r="K77" i="11"/>
  <c r="L77" i="11" s="1"/>
  <c r="M76" i="11"/>
  <c r="K76" i="11"/>
  <c r="L76" i="11" s="1"/>
  <c r="M75" i="11"/>
  <c r="K75" i="11"/>
  <c r="L75" i="11" s="1"/>
  <c r="M74" i="11"/>
  <c r="K74" i="11"/>
  <c r="L74" i="11" s="1"/>
  <c r="M73" i="11"/>
  <c r="K73" i="11"/>
  <c r="L73" i="11" s="1"/>
  <c r="M72" i="11"/>
  <c r="K72" i="11"/>
  <c r="L72" i="11" s="1"/>
  <c r="M71" i="11"/>
  <c r="K71" i="11"/>
  <c r="L71" i="11" s="1"/>
  <c r="M70" i="11"/>
  <c r="K70" i="11"/>
  <c r="L70" i="11" s="1"/>
  <c r="M69" i="11"/>
  <c r="K69" i="11"/>
  <c r="L69" i="11" s="1"/>
  <c r="M68" i="11"/>
  <c r="K68" i="11"/>
  <c r="L68" i="11" s="1"/>
  <c r="M67" i="11"/>
  <c r="K67" i="11"/>
  <c r="L67" i="11" s="1"/>
  <c r="M66" i="11"/>
  <c r="K66" i="11"/>
  <c r="L66" i="11" s="1"/>
  <c r="M65" i="11"/>
  <c r="K65" i="11"/>
  <c r="L65" i="11" s="1"/>
  <c r="M64" i="11"/>
  <c r="K64" i="11"/>
  <c r="L64" i="11" s="1"/>
  <c r="M63" i="11"/>
  <c r="K63" i="11"/>
  <c r="L63" i="11" s="1"/>
  <c r="M62" i="11"/>
  <c r="K62" i="11"/>
  <c r="L62" i="11" s="1"/>
  <c r="M61" i="11"/>
  <c r="K61" i="11"/>
  <c r="L61" i="11" s="1"/>
  <c r="M60" i="11"/>
  <c r="K60" i="11"/>
  <c r="L60" i="11" s="1"/>
  <c r="M59" i="11"/>
  <c r="K59" i="11"/>
  <c r="L59" i="11" s="1"/>
  <c r="M58" i="11"/>
  <c r="K58" i="11"/>
  <c r="L58" i="11" s="1"/>
  <c r="M57" i="11"/>
  <c r="K57" i="11"/>
  <c r="L57" i="11" s="1"/>
  <c r="M56" i="11"/>
  <c r="K56" i="11"/>
  <c r="L56" i="11" s="1"/>
  <c r="M55" i="11"/>
  <c r="K55" i="11"/>
  <c r="L55" i="11" s="1"/>
  <c r="M54" i="11"/>
  <c r="K54" i="11"/>
  <c r="L54" i="11" s="1"/>
  <c r="M53" i="11"/>
  <c r="K53" i="11"/>
  <c r="L53" i="11" s="1"/>
  <c r="M52" i="11"/>
  <c r="K52" i="11"/>
  <c r="L52" i="11" s="1"/>
  <c r="M51" i="11"/>
  <c r="K51" i="11"/>
  <c r="L51" i="11" s="1"/>
  <c r="M50" i="11"/>
  <c r="K50" i="11"/>
  <c r="L50" i="11" s="1"/>
  <c r="M49" i="11"/>
  <c r="K49" i="11"/>
  <c r="L49" i="11" s="1"/>
  <c r="M48" i="11"/>
  <c r="K48" i="11"/>
  <c r="L48" i="11" s="1"/>
  <c r="M47" i="11"/>
  <c r="K47" i="11"/>
  <c r="L47" i="11" s="1"/>
  <c r="M46" i="11"/>
  <c r="K46" i="11"/>
  <c r="L46" i="11" s="1"/>
  <c r="M45" i="11"/>
  <c r="K45" i="11"/>
  <c r="L45" i="11" s="1"/>
  <c r="M44" i="11"/>
  <c r="K44" i="11"/>
  <c r="L44" i="11" s="1"/>
  <c r="M43" i="11"/>
  <c r="K43" i="11"/>
  <c r="L43" i="11" s="1"/>
  <c r="M42" i="11"/>
  <c r="K42" i="11"/>
  <c r="L42" i="11" s="1"/>
  <c r="M41" i="11"/>
  <c r="K41" i="11"/>
  <c r="L41" i="11" s="1"/>
  <c r="M40" i="11"/>
  <c r="K40" i="11"/>
  <c r="L40" i="11" s="1"/>
  <c r="M39" i="11"/>
  <c r="K39" i="11"/>
  <c r="L39" i="11" s="1"/>
  <c r="M38" i="11"/>
  <c r="K38" i="11"/>
  <c r="L38" i="11" s="1"/>
  <c r="M37" i="11"/>
  <c r="K37" i="11"/>
  <c r="L37" i="11" s="1"/>
  <c r="M36" i="11"/>
  <c r="K36" i="11"/>
  <c r="L36" i="11" s="1"/>
  <c r="M35" i="11"/>
  <c r="K35" i="11"/>
  <c r="L35" i="11" s="1"/>
  <c r="M34" i="11"/>
  <c r="K34" i="11"/>
  <c r="L34" i="11" s="1"/>
  <c r="M33" i="11"/>
  <c r="K33" i="11"/>
  <c r="L33" i="11" s="1"/>
  <c r="M32" i="11"/>
  <c r="K32" i="11"/>
  <c r="L32" i="11" s="1"/>
  <c r="M31" i="11"/>
  <c r="K31" i="11"/>
  <c r="L31" i="11" s="1"/>
  <c r="M30" i="11"/>
  <c r="K30" i="11"/>
  <c r="L30" i="11" s="1"/>
  <c r="M29" i="11"/>
  <c r="K29" i="11"/>
  <c r="L29" i="11" s="1"/>
  <c r="M28" i="11"/>
  <c r="K28" i="11"/>
  <c r="L28" i="11" s="1"/>
  <c r="M27" i="11"/>
  <c r="K27" i="11"/>
  <c r="L27" i="11" s="1"/>
  <c r="M26" i="11"/>
  <c r="K26" i="11"/>
  <c r="L26" i="11" s="1"/>
  <c r="M25" i="11"/>
  <c r="K25" i="11"/>
  <c r="L25" i="11" s="1"/>
  <c r="M24" i="11"/>
  <c r="K24" i="11"/>
  <c r="L24" i="11" s="1"/>
  <c r="M23" i="11"/>
  <c r="K23" i="11"/>
  <c r="L23" i="11" s="1"/>
  <c r="M22" i="11"/>
  <c r="K22" i="11"/>
  <c r="L22" i="11" s="1"/>
  <c r="M21" i="11"/>
  <c r="K21" i="11"/>
  <c r="L21" i="11" s="1"/>
  <c r="M20" i="11"/>
  <c r="K20" i="11"/>
  <c r="L20" i="11" s="1"/>
  <c r="M19" i="11"/>
  <c r="K19" i="11"/>
  <c r="L19" i="11" s="1"/>
  <c r="M18" i="11"/>
  <c r="K18" i="11"/>
  <c r="L18" i="11" s="1"/>
  <c r="M17" i="11"/>
  <c r="K17" i="11"/>
  <c r="L17" i="11" s="1"/>
  <c r="M16" i="11"/>
  <c r="K16" i="11"/>
  <c r="L16" i="11" s="1"/>
  <c r="M15" i="11"/>
  <c r="K15" i="11"/>
  <c r="L15" i="11" s="1"/>
  <c r="M14" i="11"/>
  <c r="K14" i="11"/>
  <c r="L14" i="11" s="1"/>
  <c r="M13" i="11"/>
  <c r="K13" i="11"/>
  <c r="L13" i="11" s="1"/>
  <c r="M12" i="11"/>
  <c r="K12" i="11"/>
  <c r="L12" i="11" s="1"/>
  <c r="M11" i="11"/>
  <c r="K11" i="11"/>
  <c r="L11" i="11" s="1"/>
  <c r="M10" i="11"/>
  <c r="K10" i="11"/>
  <c r="L10" i="11" s="1"/>
  <c r="M9" i="11"/>
  <c r="K9" i="11"/>
  <c r="L9" i="11" s="1"/>
  <c r="M8" i="11"/>
  <c r="K8" i="11"/>
  <c r="L8" i="11" s="1"/>
  <c r="T301" i="12" l="1"/>
  <c r="AH310" i="12"/>
  <c r="T300" i="12"/>
  <c r="AO321" i="12"/>
  <c r="AH300" i="12"/>
  <c r="AO299" i="12"/>
  <c r="AH321" i="12"/>
  <c r="AH317" i="12"/>
  <c r="AH313" i="12"/>
  <c r="AH309" i="12"/>
  <c r="AO310" i="12"/>
  <c r="AO314" i="12"/>
  <c r="AO318" i="12"/>
  <c r="T299" i="12"/>
  <c r="AH301" i="12"/>
  <c r="AO300" i="12"/>
  <c r="AH320" i="12"/>
  <c r="AH316" i="12"/>
  <c r="AH312" i="12"/>
  <c r="AH308" i="12"/>
  <c r="AO311" i="12"/>
  <c r="AO315" i="12"/>
  <c r="AO319" i="12"/>
  <c r="T302" i="12"/>
  <c r="T298" i="12"/>
  <c r="AH298" i="12"/>
  <c r="AH302" i="12"/>
  <c r="AO301" i="12"/>
  <c r="AH319" i="12"/>
  <c r="AH315" i="12"/>
  <c r="AH311" i="12"/>
  <c r="AO308" i="12"/>
  <c r="AO312" i="12"/>
  <c r="AO316" i="12"/>
  <c r="AO320" i="12"/>
  <c r="AH299" i="12"/>
  <c r="AO298" i="12"/>
  <c r="AO302" i="12"/>
  <c r="AH318" i="12"/>
  <c r="AH314" i="12"/>
  <c r="AO309" i="12"/>
  <c r="AO313" i="12"/>
  <c r="AO317" i="12"/>
  <c r="AM425" i="12"/>
  <c r="AM421" i="12"/>
  <c r="AM417" i="12"/>
  <c r="AM420" i="12"/>
  <c r="AM416" i="12"/>
  <c r="AM424" i="12"/>
  <c r="AM427" i="12"/>
  <c r="AM423" i="12"/>
  <c r="AM419" i="12"/>
  <c r="AM415" i="12"/>
  <c r="AM426" i="12"/>
  <c r="AM422" i="12"/>
  <c r="AM418" i="12"/>
  <c r="AM414" i="12"/>
  <c r="AH427" i="12"/>
  <c r="AH423" i="12"/>
  <c r="AH419" i="12"/>
  <c r="AH415" i="12"/>
  <c r="AH422" i="12"/>
  <c r="AH414" i="12"/>
  <c r="AH426" i="12"/>
  <c r="AH418" i="12"/>
  <c r="AH425" i="12"/>
  <c r="AH421" i="12"/>
  <c r="AH417" i="12"/>
  <c r="AH424" i="12"/>
  <c r="AH420" i="12"/>
  <c r="AH416" i="12"/>
  <c r="AC425" i="12"/>
  <c r="AC421" i="12"/>
  <c r="AC417" i="12"/>
  <c r="AD414" i="12"/>
  <c r="AC420" i="12"/>
  <c r="AC424" i="12"/>
  <c r="AC427" i="12"/>
  <c r="AC423" i="12"/>
  <c r="AC419" i="12"/>
  <c r="AC415" i="12"/>
  <c r="AC426" i="12"/>
  <c r="AC422" i="12"/>
  <c r="AC418" i="12"/>
  <c r="AC414" i="12"/>
  <c r="AC416" i="12"/>
  <c r="S424" i="12"/>
  <c r="S420" i="12"/>
  <c r="S416" i="12"/>
  <c r="S419" i="12"/>
  <c r="S427" i="12"/>
  <c r="S415" i="12"/>
  <c r="S426" i="12"/>
  <c r="S422" i="12"/>
  <c r="S418" i="12"/>
  <c r="S417" i="12"/>
  <c r="S423" i="12"/>
  <c r="S425" i="12"/>
  <c r="S421" i="12"/>
  <c r="AO322" i="12"/>
  <c r="S414" i="12"/>
  <c r="F433" i="12"/>
  <c r="C425" i="12"/>
  <c r="AK414" i="12"/>
  <c r="U404" i="12"/>
  <c r="AQ427" i="12"/>
  <c r="AN426" i="12"/>
  <c r="AO425" i="12"/>
  <c r="AP424" i="12"/>
  <c r="AQ423" i="12"/>
  <c r="AN422" i="12"/>
  <c r="AO421" i="12"/>
  <c r="AP420" i="12"/>
  <c r="AQ419" i="12"/>
  <c r="AN418" i="12"/>
  <c r="AO417" i="12"/>
  <c r="AP416" i="12"/>
  <c r="AQ415" i="12"/>
  <c r="AI427" i="12"/>
  <c r="AJ426" i="12"/>
  <c r="AK425" i="12"/>
  <c r="AL424" i="12"/>
  <c r="AI423" i="12"/>
  <c r="AJ422" i="12"/>
  <c r="AK421" i="12"/>
  <c r="AL420" i="12"/>
  <c r="AI419" i="12"/>
  <c r="AJ418" i="12"/>
  <c r="AK417" i="12"/>
  <c r="AL416" i="12"/>
  <c r="AI415" i="12"/>
  <c r="AG427" i="12"/>
  <c r="AD426" i="12"/>
  <c r="AE425" i="12"/>
  <c r="AF424" i="12"/>
  <c r="AG423" i="12"/>
  <c r="AD422" i="12"/>
  <c r="AE421" i="12"/>
  <c r="AF420" i="12"/>
  <c r="AG419" i="12"/>
  <c r="AD418" i="12"/>
  <c r="AE417" i="12"/>
  <c r="AF416" i="12"/>
  <c r="AG415" i="12"/>
  <c r="Z427" i="12"/>
  <c r="AA426" i="12"/>
  <c r="AB425" i="12"/>
  <c r="X425" i="12"/>
  <c r="Y424" i="12"/>
  <c r="Z423" i="12"/>
  <c r="AA422" i="12"/>
  <c r="AB421" i="12"/>
  <c r="X421" i="12"/>
  <c r="Y420" i="12"/>
  <c r="Z419" i="12"/>
  <c r="AA418" i="12"/>
  <c r="AB417" i="12"/>
  <c r="X417" i="12"/>
  <c r="Y416" i="12"/>
  <c r="Z415" i="12"/>
  <c r="AA414" i="12"/>
  <c r="W427" i="12"/>
  <c r="T426" i="12"/>
  <c r="U425" i="12"/>
  <c r="V424" i="12"/>
  <c r="W423" i="12"/>
  <c r="T422" i="12"/>
  <c r="U421" i="12"/>
  <c r="V420" i="12"/>
  <c r="W419" i="12"/>
  <c r="AI414" i="12"/>
  <c r="AP427" i="12"/>
  <c r="AQ426" i="12"/>
  <c r="AN425" i="12"/>
  <c r="AO424" i="12"/>
  <c r="AP423" i="12"/>
  <c r="AQ422" i="12"/>
  <c r="AN421" i="12"/>
  <c r="AO420" i="12"/>
  <c r="AP419" i="12"/>
  <c r="AQ418" i="12"/>
  <c r="AN417" i="12"/>
  <c r="AO416" i="12"/>
  <c r="AP415" i="12"/>
  <c r="AQ414" i="12"/>
  <c r="AL427" i="12"/>
  <c r="AI426" i="12"/>
  <c r="AJ425" i="12"/>
  <c r="AK424" i="12"/>
  <c r="AL423" i="12"/>
  <c r="AI422" i="12"/>
  <c r="AJ421" i="12"/>
  <c r="AK420" i="12"/>
  <c r="AL419" i="12"/>
  <c r="AI418" i="12"/>
  <c r="AJ417" i="12"/>
  <c r="AK416" i="12"/>
  <c r="AL415" i="12"/>
  <c r="AF427" i="12"/>
  <c r="AG426" i="12"/>
  <c r="AD425" i="12"/>
  <c r="AE424" i="12"/>
  <c r="AF423" i="12"/>
  <c r="AG422" i="12"/>
  <c r="AD421" i="12"/>
  <c r="AE420" i="12"/>
  <c r="AF419" i="12"/>
  <c r="AG418" i="12"/>
  <c r="AD417" i="12"/>
  <c r="AE416" i="12"/>
  <c r="AF415" i="12"/>
  <c r="AG414" i="12"/>
  <c r="Y427" i="12"/>
  <c r="Z426" i="12"/>
  <c r="AA425" i="12"/>
  <c r="AB424" i="12"/>
  <c r="X424" i="12"/>
  <c r="Y423" i="12"/>
  <c r="Z422" i="12"/>
  <c r="AA421" i="12"/>
  <c r="AB420" i="12"/>
  <c r="X420" i="12"/>
  <c r="Y419" i="12"/>
  <c r="Z418" i="12"/>
  <c r="AA417" i="12"/>
  <c r="AB416" i="12"/>
  <c r="X416" i="12"/>
  <c r="Y415" i="12"/>
  <c r="Z414" i="12"/>
  <c r="V427" i="12"/>
  <c r="W426" i="12"/>
  <c r="AO427" i="12"/>
  <c r="AP426" i="12"/>
  <c r="AQ425" i="12"/>
  <c r="AN424" i="12"/>
  <c r="AO423" i="12"/>
  <c r="AP422" i="12"/>
  <c r="AQ421" i="12"/>
  <c r="AN420" i="12"/>
  <c r="AO419" i="12"/>
  <c r="AP418" i="12"/>
  <c r="AQ417" i="12"/>
  <c r="AN416" i="12"/>
  <c r="AO415" i="12"/>
  <c r="AP414" i="12"/>
  <c r="AK427" i="12"/>
  <c r="AL426" i="12"/>
  <c r="AI425" i="12"/>
  <c r="AJ424" i="12"/>
  <c r="AK423" i="12"/>
  <c r="AL422" i="12"/>
  <c r="AI421" i="12"/>
  <c r="AJ420" i="12"/>
  <c r="AK419" i="12"/>
  <c r="AL418" i="12"/>
  <c r="AI417" i="12"/>
  <c r="AJ416" i="12"/>
  <c r="AK415" i="12"/>
  <c r="AL414" i="12"/>
  <c r="AE427" i="12"/>
  <c r="AF426" i="12"/>
  <c r="AG425" i="12"/>
  <c r="AD424" i="12"/>
  <c r="AE423" i="12"/>
  <c r="AF422" i="12"/>
  <c r="AG421" i="12"/>
  <c r="AD420" i="12"/>
  <c r="AE419" i="12"/>
  <c r="AF418" i="12"/>
  <c r="AG417" i="12"/>
  <c r="AD416" i="12"/>
  <c r="AE415" i="12"/>
  <c r="AF414" i="12"/>
  <c r="AB427" i="12"/>
  <c r="X427" i="12"/>
  <c r="Y426" i="12"/>
  <c r="Z425" i="12"/>
  <c r="AA424" i="12"/>
  <c r="AB423" i="12"/>
  <c r="X423" i="12"/>
  <c r="Y422" i="12"/>
  <c r="Z421" i="12"/>
  <c r="AA420" i="12"/>
  <c r="AB419" i="12"/>
  <c r="X419" i="12"/>
  <c r="Y418" i="12"/>
  <c r="Z417" i="12"/>
  <c r="AA416" i="12"/>
  <c r="AB415" i="12"/>
  <c r="X415" i="12"/>
  <c r="Y414" i="12"/>
  <c r="U427" i="12"/>
  <c r="V426" i="12"/>
  <c r="W425" i="12"/>
  <c r="T424" i="12"/>
  <c r="U423" i="12"/>
  <c r="V422" i="12"/>
  <c r="AO426" i="12"/>
  <c r="AN423" i="12"/>
  <c r="AQ416" i="12"/>
  <c r="AJ427" i="12"/>
  <c r="AI424" i="12"/>
  <c r="AL417" i="12"/>
  <c r="AJ414" i="12"/>
  <c r="AG424" i="12"/>
  <c r="AF421" i="12"/>
  <c r="AE418" i="12"/>
  <c r="AD415" i="12"/>
  <c r="X426" i="12"/>
  <c r="AB422" i="12"/>
  <c r="AA419" i="12"/>
  <c r="Z416" i="12"/>
  <c r="T427" i="12"/>
  <c r="T425" i="12"/>
  <c r="V423" i="12"/>
  <c r="T418" i="12"/>
  <c r="U417" i="12"/>
  <c r="V416" i="12"/>
  <c r="W415" i="12"/>
  <c r="T414" i="12"/>
  <c r="Q414" i="12"/>
  <c r="R415" i="12"/>
  <c r="P417" i="12"/>
  <c r="Q418" i="12"/>
  <c r="R419" i="12"/>
  <c r="P421" i="12"/>
  <c r="Q422" i="12"/>
  <c r="R423" i="12"/>
  <c r="P425" i="12"/>
  <c r="Q426" i="12"/>
  <c r="R427" i="12"/>
  <c r="O417" i="12"/>
  <c r="O421" i="12"/>
  <c r="O425" i="12"/>
  <c r="N416" i="12"/>
  <c r="N420" i="12"/>
  <c r="N424" i="12"/>
  <c r="AP407" i="12"/>
  <c r="AQ406" i="12"/>
  <c r="AM406" i="12"/>
  <c r="AN405" i="12"/>
  <c r="AO404" i="12"/>
  <c r="AP403" i="12"/>
  <c r="AL407" i="12"/>
  <c r="AH407" i="12"/>
  <c r="AI406" i="12"/>
  <c r="AJ405" i="12"/>
  <c r="AK404" i="12"/>
  <c r="AL403" i="12"/>
  <c r="AH403" i="12"/>
  <c r="AF407" i="12"/>
  <c r="AG406" i="12"/>
  <c r="AC406" i="12"/>
  <c r="AD405" i="12"/>
  <c r="AE404" i="12"/>
  <c r="AF403" i="12"/>
  <c r="Y407" i="12"/>
  <c r="Z406" i="12"/>
  <c r="AA405" i="12"/>
  <c r="AB404" i="12"/>
  <c r="X404" i="12"/>
  <c r="Y403" i="12"/>
  <c r="V407" i="12"/>
  <c r="W406" i="12"/>
  <c r="S406" i="12"/>
  <c r="T405" i="12"/>
  <c r="S404" i="12"/>
  <c r="T403" i="12"/>
  <c r="R405" i="12"/>
  <c r="Q406" i="12"/>
  <c r="AP425" i="12"/>
  <c r="AO422" i="12"/>
  <c r="AN419" i="12"/>
  <c r="AK426" i="12"/>
  <c r="AJ423" i="12"/>
  <c r="AI420" i="12"/>
  <c r="AD427" i="12"/>
  <c r="AG420" i="12"/>
  <c r="AF417" i="12"/>
  <c r="AE414" i="12"/>
  <c r="Y425" i="12"/>
  <c r="X422" i="12"/>
  <c r="AB418" i="12"/>
  <c r="AA415" i="12"/>
  <c r="U426" i="12"/>
  <c r="W424" i="12"/>
  <c r="T423" i="12"/>
  <c r="W421" i="12"/>
  <c r="W420" i="12"/>
  <c r="V419" i="12"/>
  <c r="W418" i="12"/>
  <c r="T417" i="12"/>
  <c r="U416" i="12"/>
  <c r="V415" i="12"/>
  <c r="W414" i="12"/>
  <c r="R414" i="12"/>
  <c r="P416" i="12"/>
  <c r="Q417" i="12"/>
  <c r="R418" i="12"/>
  <c r="P420" i="12"/>
  <c r="Q421" i="12"/>
  <c r="R422" i="12"/>
  <c r="P424" i="12"/>
  <c r="Q425" i="12"/>
  <c r="R426" i="12"/>
  <c r="O414" i="12"/>
  <c r="O418" i="12"/>
  <c r="O422" i="12"/>
  <c r="O426" i="12"/>
  <c r="N417" i="12"/>
  <c r="N421" i="12"/>
  <c r="N425" i="12"/>
  <c r="N427" i="12"/>
  <c r="AO407" i="12"/>
  <c r="AP406" i="12"/>
  <c r="AQ405" i="12"/>
  <c r="AM405" i="12"/>
  <c r="AN404" i="12"/>
  <c r="AO403" i="12"/>
  <c r="AK407" i="12"/>
  <c r="AL406" i="12"/>
  <c r="AH406" i="12"/>
  <c r="AI405" i="12"/>
  <c r="AJ404" i="12"/>
  <c r="AK403" i="12"/>
  <c r="AE407" i="12"/>
  <c r="AF406" i="12"/>
  <c r="AG405" i="12"/>
  <c r="AC405" i="12"/>
  <c r="AD404" i="12"/>
  <c r="AE403" i="12"/>
  <c r="AB407" i="12"/>
  <c r="X407" i="12"/>
  <c r="Y406" i="12"/>
  <c r="Z405" i="12"/>
  <c r="AA404" i="12"/>
  <c r="AB403" i="12"/>
  <c r="X403" i="12"/>
  <c r="U407" i="12"/>
  <c r="V406" i="12"/>
  <c r="W405" i="12"/>
  <c r="S405" i="12"/>
  <c r="W403" i="12"/>
  <c r="S403" i="12"/>
  <c r="R404" i="12"/>
  <c r="Q405" i="12"/>
  <c r="AN414" i="12"/>
  <c r="AP421" i="12"/>
  <c r="AN415" i="12"/>
  <c r="AK422" i="12"/>
  <c r="AI416" i="12"/>
  <c r="AD423" i="12"/>
  <c r="AG416" i="12"/>
  <c r="Z424" i="12"/>
  <c r="X418" i="12"/>
  <c r="W422" i="12"/>
  <c r="U420" i="12"/>
  <c r="V418" i="12"/>
  <c r="U415" i="12"/>
  <c r="P415" i="12"/>
  <c r="R417" i="12"/>
  <c r="Q420" i="12"/>
  <c r="P423" i="12"/>
  <c r="R425" i="12"/>
  <c r="O415" i="12"/>
  <c r="O423" i="12"/>
  <c r="N418" i="12"/>
  <c r="N426" i="12"/>
  <c r="AN407" i="12"/>
  <c r="AP405" i="12"/>
  <c r="AM404" i="12"/>
  <c r="AJ407" i="12"/>
  <c r="AL405" i="12"/>
  <c r="AI404" i="12"/>
  <c r="AE406" i="12"/>
  <c r="AG404" i="12"/>
  <c r="AD403" i="12"/>
  <c r="AA407" i="12"/>
  <c r="X406" i="12"/>
  <c r="Z404" i="12"/>
  <c r="U406" i="12"/>
  <c r="V404" i="12"/>
  <c r="R407" i="12"/>
  <c r="Q404" i="12"/>
  <c r="P405" i="12"/>
  <c r="O406" i="12"/>
  <c r="N404" i="12"/>
  <c r="O405" i="12"/>
  <c r="AQ424" i="12"/>
  <c r="AL425" i="12"/>
  <c r="AE426" i="12"/>
  <c r="Y421" i="12"/>
  <c r="U424" i="12"/>
  <c r="U419" i="12"/>
  <c r="T416" i="12"/>
  <c r="Q416" i="12"/>
  <c r="R421" i="12"/>
  <c r="P427" i="12"/>
  <c r="O427" i="12"/>
  <c r="N422" i="12"/>
  <c r="AQ404" i="12"/>
  <c r="AK406" i="12"/>
  <c r="AJ403" i="12"/>
  <c r="AF405" i="12"/>
  <c r="AB406" i="12"/>
  <c r="AA403" i="12"/>
  <c r="V403" i="12"/>
  <c r="P407" i="12"/>
  <c r="O404" i="12"/>
  <c r="N406" i="12"/>
  <c r="AP417" i="12"/>
  <c r="AF425" i="12"/>
  <c r="AB426" i="12"/>
  <c r="X414" i="12"/>
  <c r="T419" i="12"/>
  <c r="U414" i="12"/>
  <c r="R416" i="12"/>
  <c r="R424" i="12"/>
  <c r="Q427" i="12"/>
  <c r="N415" i="12"/>
  <c r="AQ407" i="12"/>
  <c r="AP404" i="12"/>
  <c r="AL404" i="12"/>
  <c r="AC407" i="12"/>
  <c r="AE405" i="12"/>
  <c r="AA406" i="12"/>
  <c r="S407" i="12"/>
  <c r="U405" i="12"/>
  <c r="Q407" i="12"/>
  <c r="O407" i="12"/>
  <c r="N407" i="12"/>
  <c r="W404" i="12"/>
  <c r="AN427" i="12"/>
  <c r="AQ420" i="12"/>
  <c r="AO414" i="12"/>
  <c r="AL421" i="12"/>
  <c r="AJ415" i="12"/>
  <c r="AE422" i="12"/>
  <c r="AA423" i="12"/>
  <c r="Y417" i="12"/>
  <c r="V425" i="12"/>
  <c r="U422" i="12"/>
  <c r="T420" i="12"/>
  <c r="U418" i="12"/>
  <c r="W416" i="12"/>
  <c r="T415" i="12"/>
  <c r="Q415" i="12"/>
  <c r="P418" i="12"/>
  <c r="R420" i="12"/>
  <c r="Q423" i="12"/>
  <c r="P426" i="12"/>
  <c r="O416" i="12"/>
  <c r="O424" i="12"/>
  <c r="N419" i="12"/>
  <c r="N414" i="12"/>
  <c r="AM407" i="12"/>
  <c r="AO405" i="12"/>
  <c r="AQ403" i="12"/>
  <c r="AQ408" i="12" s="1"/>
  <c r="AI407" i="12"/>
  <c r="AK405" i="12"/>
  <c r="AH404" i="12"/>
  <c r="AG407" i="12"/>
  <c r="AD406" i="12"/>
  <c r="AF404" i="12"/>
  <c r="AC403" i="12"/>
  <c r="Z407" i="12"/>
  <c r="AB405" i="12"/>
  <c r="Y404" i="12"/>
  <c r="W407" i="12"/>
  <c r="T406" i="12"/>
  <c r="T404" i="12"/>
  <c r="R406" i="12"/>
  <c r="Q403" i="12"/>
  <c r="P403" i="12"/>
  <c r="N405" i="12"/>
  <c r="AO418" i="12"/>
  <c r="AJ419" i="12"/>
  <c r="AA427" i="12"/>
  <c r="AB414" i="12"/>
  <c r="V421" i="12"/>
  <c r="W417" i="12"/>
  <c r="V414" i="12"/>
  <c r="P419" i="12"/>
  <c r="Q424" i="12"/>
  <c r="O419" i="12"/>
  <c r="N403" i="12"/>
  <c r="N408" i="12" s="1"/>
  <c r="AO406" i="12"/>
  <c r="AN403" i="12"/>
  <c r="AH405" i="12"/>
  <c r="AD407" i="12"/>
  <c r="AC404" i="12"/>
  <c r="Y405" i="12"/>
  <c r="T407" i="12"/>
  <c r="V405" i="12"/>
  <c r="R403" i="12"/>
  <c r="P404" i="12"/>
  <c r="AK418" i="12"/>
  <c r="AD419" i="12"/>
  <c r="Z420" i="12"/>
  <c r="T421" i="12"/>
  <c r="V417" i="12"/>
  <c r="P414" i="12"/>
  <c r="Q419" i="12"/>
  <c r="P422" i="12"/>
  <c r="O420" i="12"/>
  <c r="N423" i="12"/>
  <c r="AN406" i="12"/>
  <c r="AM403" i="12"/>
  <c r="AM408" i="12" s="1"/>
  <c r="AJ406" i="12"/>
  <c r="AI403" i="12"/>
  <c r="AI408" i="12" s="1"/>
  <c r="AG403" i="12"/>
  <c r="X405" i="12"/>
  <c r="Z403" i="12"/>
  <c r="U403" i="12"/>
  <c r="U408" i="12" s="1"/>
  <c r="P406" i="12"/>
  <c r="O403" i="12"/>
  <c r="C434" i="12"/>
  <c r="C438" i="12"/>
  <c r="D436" i="12"/>
  <c r="F438" i="12"/>
  <c r="E437" i="12"/>
  <c r="G435" i="12"/>
  <c r="F434" i="12"/>
  <c r="E433" i="12"/>
  <c r="C414" i="12"/>
  <c r="C418" i="12"/>
  <c r="C422" i="12"/>
  <c r="C426" i="12"/>
  <c r="C435" i="12"/>
  <c r="D433" i="12"/>
  <c r="D435" i="12"/>
  <c r="E438" i="12"/>
  <c r="G436" i="12"/>
  <c r="F435" i="12"/>
  <c r="E434" i="12"/>
  <c r="C415" i="12"/>
  <c r="C419" i="12"/>
  <c r="C423" i="12"/>
  <c r="C427" i="12"/>
  <c r="C436" i="12"/>
  <c r="C439" i="12" s="1"/>
  <c r="D438" i="12"/>
  <c r="D434" i="12"/>
  <c r="G437" i="12"/>
  <c r="F436" i="12"/>
  <c r="F439" i="12" s="1"/>
  <c r="E435" i="12"/>
  <c r="G433" i="12"/>
  <c r="C416" i="12"/>
  <c r="C420" i="12"/>
  <c r="C424" i="12"/>
  <c r="C433" i="12"/>
  <c r="C437" i="12"/>
  <c r="D437" i="12"/>
  <c r="G438" i="12"/>
  <c r="F437" i="12"/>
  <c r="E436" i="12"/>
  <c r="G434" i="12"/>
  <c r="C417" i="12"/>
  <c r="C421" i="12"/>
  <c r="AH303" i="12"/>
  <c r="AO303" i="12"/>
  <c r="T303" i="12"/>
  <c r="F405" i="12"/>
  <c r="E404" i="12"/>
  <c r="E414" i="12"/>
  <c r="G406" i="12"/>
  <c r="D403" i="12"/>
  <c r="G407" i="12"/>
  <c r="F406" i="12"/>
  <c r="E405" i="12"/>
  <c r="G403" i="12"/>
  <c r="D414" i="12"/>
  <c r="D423" i="12"/>
  <c r="D419" i="12"/>
  <c r="D415" i="12"/>
  <c r="E427" i="12"/>
  <c r="G425" i="12"/>
  <c r="F424" i="12"/>
  <c r="E423" i="12"/>
  <c r="G421" i="12"/>
  <c r="F420" i="12"/>
  <c r="E419" i="12"/>
  <c r="G417" i="12"/>
  <c r="F416" i="12"/>
  <c r="E415" i="12"/>
  <c r="F407" i="12"/>
  <c r="E406" i="12"/>
  <c r="G404" i="12"/>
  <c r="F403" i="12"/>
  <c r="D426" i="12"/>
  <c r="D422" i="12"/>
  <c r="D418" i="12"/>
  <c r="D427" i="12"/>
  <c r="G426" i="12"/>
  <c r="F425" i="12"/>
  <c r="E424" i="12"/>
  <c r="G422" i="12"/>
  <c r="F421" i="12"/>
  <c r="E420" i="12"/>
  <c r="G418" i="12"/>
  <c r="F417" i="12"/>
  <c r="E416" i="12"/>
  <c r="G414" i="12"/>
  <c r="D405" i="12"/>
  <c r="E407" i="12"/>
  <c r="G405" i="12"/>
  <c r="F404" i="12"/>
  <c r="E403" i="12"/>
  <c r="D425" i="12"/>
  <c r="D421" i="12"/>
  <c r="D417" i="12"/>
  <c r="G427" i="12"/>
  <c r="F426" i="12"/>
  <c r="E425" i="12"/>
  <c r="G423" i="12"/>
  <c r="F422" i="12"/>
  <c r="E421" i="12"/>
  <c r="G419" i="12"/>
  <c r="F418" i="12"/>
  <c r="E417" i="12"/>
  <c r="G415" i="12"/>
  <c r="F414" i="12"/>
  <c r="D404" i="12"/>
  <c r="D424" i="12"/>
  <c r="D420" i="12"/>
  <c r="D416" i="12"/>
  <c r="F427" i="12"/>
  <c r="E426" i="12"/>
  <c r="G424" i="12"/>
  <c r="F423" i="12"/>
  <c r="E422" i="12"/>
  <c r="G420" i="12"/>
  <c r="F419" i="12"/>
  <c r="E418" i="12"/>
  <c r="G416" i="12"/>
  <c r="F415" i="12"/>
  <c r="R9" i="12"/>
  <c r="S7" i="12" s="1"/>
  <c r="V9" i="12"/>
  <c r="W6" i="12"/>
  <c r="W7" i="12"/>
  <c r="W8" i="12"/>
  <c r="W4" i="12"/>
  <c r="X20" i="12"/>
  <c r="Y19" i="12" s="1"/>
  <c r="P20" i="12"/>
  <c r="Q14" i="12" s="1"/>
  <c r="N9" i="12"/>
  <c r="O8" i="12" s="1"/>
  <c r="W5" i="12"/>
  <c r="T9" i="12"/>
  <c r="U6" i="12" s="1"/>
  <c r="O19" i="12"/>
  <c r="O18" i="12"/>
  <c r="O17" i="12"/>
  <c r="O16" i="12"/>
  <c r="O15" i="12"/>
  <c r="O14" i="12"/>
  <c r="AB20" i="12"/>
  <c r="AC19" i="12" s="1"/>
  <c r="T20" i="12"/>
  <c r="V20" i="12"/>
  <c r="W18" i="12" s="1"/>
  <c r="Z20" i="12"/>
  <c r="AA18" i="12" s="1"/>
  <c r="R20" i="12"/>
  <c r="S18" i="12" s="1"/>
  <c r="Z9" i="12"/>
  <c r="AA8" i="12" s="1"/>
  <c r="X9" i="12"/>
  <c r="Y8" i="12" s="1"/>
  <c r="P9" i="12"/>
  <c r="Q8" i="12" s="1"/>
  <c r="D439" i="12"/>
  <c r="C407" i="12"/>
  <c r="D406" i="12"/>
  <c r="C404" i="12"/>
  <c r="D407" i="12"/>
  <c r="C405" i="12"/>
  <c r="C406" i="12"/>
  <c r="C403" i="12"/>
  <c r="AG408" i="12" l="1"/>
  <c r="Z408" i="12"/>
  <c r="AH322" i="12"/>
  <c r="H416" i="12"/>
  <c r="H418" i="12"/>
  <c r="H417" i="12"/>
  <c r="H419" i="12"/>
  <c r="H414" i="12"/>
  <c r="H420" i="12"/>
  <c r="H415" i="12"/>
  <c r="E439" i="12"/>
  <c r="E428" i="12"/>
  <c r="V428" i="12"/>
  <c r="N428" i="12"/>
  <c r="W408" i="12"/>
  <c r="U428" i="12"/>
  <c r="AA408" i="12"/>
  <c r="S408" i="12"/>
  <c r="R428" i="12"/>
  <c r="X408" i="12"/>
  <c r="AL408" i="12"/>
  <c r="Q428" i="12"/>
  <c r="AB428" i="12"/>
  <c r="AF428" i="12"/>
  <c r="AG428" i="12"/>
  <c r="D428" i="12"/>
  <c r="AO428" i="12"/>
  <c r="AD408" i="12"/>
  <c r="AN428" i="12"/>
  <c r="AE408" i="12"/>
  <c r="AO408" i="12"/>
  <c r="S428" i="12"/>
  <c r="T408" i="12"/>
  <c r="AB408" i="12"/>
  <c r="AF408" i="12"/>
  <c r="T428" i="12"/>
  <c r="AA428" i="12"/>
  <c r="AL428" i="12"/>
  <c r="AK428" i="12"/>
  <c r="G428" i="12"/>
  <c r="G439" i="12"/>
  <c r="P428" i="12"/>
  <c r="AN408" i="12"/>
  <c r="AC408" i="12"/>
  <c r="O428" i="12"/>
  <c r="W428" i="12"/>
  <c r="AE428" i="12"/>
  <c r="AP408" i="12"/>
  <c r="AJ428" i="12"/>
  <c r="Y428" i="12"/>
  <c r="AD428" i="12"/>
  <c r="AP428" i="12"/>
  <c r="Z428" i="12"/>
  <c r="AQ428" i="12"/>
  <c r="F428" i="12"/>
  <c r="G408" i="12"/>
  <c r="C428" i="12"/>
  <c r="V408" i="12"/>
  <c r="AJ408" i="12"/>
  <c r="AK408" i="12"/>
  <c r="Y408" i="12"/>
  <c r="AH408" i="12"/>
  <c r="X428" i="12"/>
  <c r="AH428" i="12"/>
  <c r="AC428" i="12"/>
  <c r="AI428" i="12"/>
  <c r="AM428" i="12"/>
  <c r="P408" i="12"/>
  <c r="O408" i="12"/>
  <c r="R408" i="12"/>
  <c r="Q408" i="12"/>
  <c r="S6" i="12"/>
  <c r="Y14" i="12"/>
  <c r="S4" i="12"/>
  <c r="U5" i="12"/>
  <c r="U8" i="12"/>
  <c r="U4" i="12"/>
  <c r="U7" i="12"/>
  <c r="O5" i="12"/>
  <c r="S5" i="12"/>
  <c r="S8" i="12"/>
  <c r="Y16" i="12"/>
  <c r="Y15" i="12"/>
  <c r="AA19" i="12"/>
  <c r="Q5" i="12"/>
  <c r="O4" i="12"/>
  <c r="Q15" i="12"/>
  <c r="AA15" i="12"/>
  <c r="Y7" i="12"/>
  <c r="Q18" i="12"/>
  <c r="Q6" i="12"/>
  <c r="Q16" i="12"/>
  <c r="AA16" i="12"/>
  <c r="Y18" i="12"/>
  <c r="O6" i="12"/>
  <c r="Y6" i="12"/>
  <c r="AA17" i="12"/>
  <c r="Q17" i="12"/>
  <c r="Q19" i="12"/>
  <c r="O7" i="12"/>
  <c r="Y5" i="12"/>
  <c r="Q7" i="12"/>
  <c r="AA14" i="12"/>
  <c r="Y17" i="12"/>
  <c r="W15" i="12"/>
  <c r="W19" i="12"/>
  <c r="AC17" i="12"/>
  <c r="U14" i="12"/>
  <c r="U15" i="12"/>
  <c r="U16" i="12"/>
  <c r="W16" i="12"/>
  <c r="S15" i="12"/>
  <c r="S17" i="12"/>
  <c r="S19" i="12"/>
  <c r="U18" i="12"/>
  <c r="AC14" i="12"/>
  <c r="AC15" i="12"/>
  <c r="AC16" i="12"/>
  <c r="W17" i="12"/>
  <c r="AC18" i="12"/>
  <c r="W14" i="12"/>
  <c r="S14" i="12"/>
  <c r="S16" i="12"/>
  <c r="U17" i="12"/>
  <c r="U19" i="12"/>
  <c r="AA5" i="12"/>
  <c r="AA4" i="12"/>
  <c r="AA7" i="12"/>
  <c r="Q4" i="12"/>
  <c r="AA6" i="12"/>
  <c r="Y4" i="12"/>
  <c r="F408" i="12"/>
  <c r="C408" i="12"/>
  <c r="D408" i="12"/>
  <c r="E408" i="12"/>
  <c r="O7" i="6"/>
  <c r="O8" i="6"/>
  <c r="O9" i="6"/>
  <c r="O10" i="6"/>
  <c r="O11" i="6"/>
  <c r="O12" i="6"/>
  <c r="O13" i="6"/>
  <c r="O14" i="6"/>
  <c r="O15" i="6"/>
  <c r="O16" i="6"/>
  <c r="O17" i="6"/>
  <c r="O18" i="6"/>
  <c r="O19" i="6"/>
  <c r="O20" i="6"/>
  <c r="O21" i="6"/>
  <c r="O22" i="6"/>
  <c r="O23" i="6"/>
  <c r="O24" i="6"/>
  <c r="O25" i="6"/>
  <c r="O26" i="6"/>
  <c r="O27" i="6"/>
  <c r="O6" i="6"/>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5" i="8"/>
  <c r="N137" i="8"/>
  <c r="N138" i="8"/>
  <c r="N139" i="8"/>
  <c r="N140" i="8"/>
  <c r="N141" i="8"/>
  <c r="N142" i="8"/>
  <c r="N143" i="8"/>
  <c r="N25" i="6"/>
  <c r="P25" i="6"/>
  <c r="N26" i="6"/>
  <c r="P26" i="6"/>
  <c r="N27" i="6"/>
  <c r="P27" i="6"/>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6" i="4"/>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6" i="5"/>
  <c r="P6" i="5"/>
  <c r="X1744" i="3"/>
  <c r="X1743" i="3"/>
  <c r="X1742" i="3"/>
  <c r="X1741" i="3"/>
  <c r="X1740" i="3"/>
  <c r="X1739" i="3"/>
  <c r="X1738" i="3"/>
  <c r="X1737" i="3"/>
  <c r="X1736" i="3"/>
  <c r="X1735" i="3"/>
  <c r="X1734" i="3"/>
  <c r="X1733" i="3"/>
  <c r="X1732" i="3"/>
  <c r="X1731" i="3"/>
  <c r="X1730" i="3"/>
  <c r="X1729" i="3"/>
  <c r="X1728" i="3"/>
  <c r="X1727" i="3"/>
  <c r="X1726" i="3"/>
  <c r="X1725" i="3"/>
  <c r="X1724" i="3"/>
  <c r="X1723" i="3"/>
  <c r="X1722" i="3"/>
  <c r="X1721" i="3"/>
  <c r="X1720" i="3"/>
  <c r="X1719" i="3"/>
  <c r="X1718" i="3"/>
  <c r="X1717" i="3"/>
  <c r="X1716" i="3"/>
  <c r="X1715" i="3"/>
  <c r="X1714" i="3"/>
  <c r="X1713" i="3"/>
  <c r="X1712" i="3"/>
  <c r="X1711" i="3"/>
  <c r="X1710" i="3"/>
  <c r="X1709" i="3"/>
  <c r="X1708" i="3"/>
  <c r="X1707" i="3"/>
  <c r="X1706" i="3"/>
  <c r="X1705" i="3"/>
  <c r="X1704" i="3"/>
  <c r="X1703" i="3"/>
  <c r="X1702" i="3"/>
  <c r="X1701" i="3"/>
  <c r="X1700" i="3"/>
  <c r="X1699" i="3"/>
  <c r="X1698" i="3"/>
  <c r="X1697" i="3"/>
  <c r="X1696" i="3"/>
  <c r="X1695" i="3"/>
  <c r="X1694" i="3"/>
  <c r="X1693" i="3"/>
  <c r="X1692" i="3"/>
  <c r="X1691" i="3"/>
  <c r="X1690" i="3"/>
  <c r="X1689" i="3"/>
  <c r="X1688" i="3"/>
  <c r="X1687" i="3"/>
  <c r="X1686" i="3"/>
  <c r="X1685" i="3"/>
  <c r="X1684" i="3"/>
  <c r="X1683" i="3"/>
  <c r="X1682" i="3"/>
  <c r="X1681" i="3"/>
  <c r="X1680" i="3"/>
  <c r="X1679" i="3"/>
  <c r="X1678" i="3"/>
  <c r="X1677" i="3"/>
  <c r="X1676" i="3"/>
  <c r="X1675" i="3"/>
  <c r="X1674" i="3"/>
  <c r="X1673" i="3"/>
  <c r="X1672" i="3"/>
  <c r="X1671" i="3"/>
  <c r="X1670" i="3"/>
  <c r="X1669" i="3"/>
  <c r="X1668" i="3"/>
  <c r="X1667" i="3"/>
  <c r="X1666" i="3"/>
  <c r="X1665" i="3"/>
  <c r="X1664" i="3"/>
  <c r="X1663" i="3"/>
  <c r="X1662" i="3"/>
  <c r="X1661" i="3"/>
  <c r="X1660" i="3"/>
  <c r="X1659" i="3"/>
  <c r="X1658" i="3"/>
  <c r="X1657" i="3"/>
  <c r="X1656" i="3"/>
  <c r="X1655" i="3"/>
  <c r="X1654" i="3"/>
  <c r="X1653" i="3"/>
  <c r="X1652" i="3"/>
  <c r="X1651" i="3"/>
  <c r="X1650" i="3"/>
  <c r="X1649" i="3"/>
  <c r="X1648" i="3"/>
  <c r="X1647" i="3"/>
  <c r="X1646" i="3"/>
  <c r="X1645" i="3"/>
  <c r="X1644" i="3"/>
  <c r="X1643" i="3"/>
  <c r="X1642" i="3"/>
  <c r="X1641" i="3"/>
  <c r="X1640" i="3"/>
  <c r="X1639" i="3"/>
  <c r="X1638" i="3"/>
  <c r="X1637" i="3"/>
  <c r="X1636" i="3"/>
  <c r="X1635" i="3"/>
  <c r="X1634" i="3"/>
  <c r="X1633" i="3"/>
  <c r="X1632" i="3"/>
  <c r="X1631" i="3"/>
  <c r="X1630" i="3"/>
  <c r="X1629" i="3"/>
  <c r="X1628" i="3"/>
  <c r="X1627" i="3"/>
  <c r="X1626" i="3"/>
  <c r="X1625" i="3"/>
  <c r="X1624" i="3"/>
  <c r="X1623" i="3"/>
  <c r="X1622" i="3"/>
  <c r="X1621" i="3"/>
  <c r="X1620" i="3"/>
  <c r="X1619" i="3"/>
  <c r="X1618" i="3"/>
  <c r="X1617" i="3"/>
  <c r="X1616" i="3"/>
  <c r="X1615" i="3"/>
  <c r="X1614" i="3"/>
  <c r="X1613" i="3"/>
  <c r="X1612" i="3"/>
  <c r="X1611" i="3"/>
  <c r="X1610" i="3"/>
  <c r="X1609" i="3"/>
  <c r="X1608" i="3"/>
  <c r="X1607" i="3"/>
  <c r="X1606" i="3"/>
  <c r="X1605" i="3"/>
  <c r="X1604" i="3"/>
  <c r="X1603" i="3"/>
  <c r="X1602" i="3"/>
  <c r="X1601" i="3"/>
  <c r="X1600" i="3"/>
  <c r="X1599" i="3"/>
  <c r="X1598" i="3"/>
  <c r="X1597" i="3"/>
  <c r="X1596" i="3"/>
  <c r="X1595" i="3"/>
  <c r="X1594" i="3"/>
  <c r="X1593" i="3"/>
  <c r="X1592" i="3"/>
  <c r="X1591" i="3"/>
  <c r="X1590" i="3"/>
  <c r="X1589" i="3"/>
  <c r="X1588" i="3"/>
  <c r="X1587" i="3"/>
  <c r="X1586" i="3"/>
  <c r="X1585" i="3"/>
  <c r="X1584" i="3"/>
  <c r="X1583" i="3"/>
  <c r="X1582" i="3"/>
  <c r="X1581" i="3"/>
  <c r="X1580" i="3"/>
  <c r="X1579" i="3"/>
  <c r="X1578" i="3"/>
  <c r="X1577" i="3"/>
  <c r="X1576" i="3"/>
  <c r="X1575" i="3"/>
  <c r="X1574" i="3"/>
  <c r="X1573" i="3"/>
  <c r="X1572" i="3"/>
  <c r="X1571" i="3"/>
  <c r="X1570" i="3"/>
  <c r="X1569" i="3"/>
  <c r="X1568" i="3"/>
  <c r="X1567" i="3"/>
  <c r="X1566" i="3"/>
  <c r="X1565" i="3"/>
  <c r="X1564" i="3"/>
  <c r="X1563" i="3"/>
  <c r="X1562" i="3"/>
  <c r="X1561" i="3"/>
  <c r="X1560" i="3"/>
  <c r="X1559" i="3"/>
  <c r="X1558" i="3"/>
  <c r="X1557" i="3"/>
  <c r="X1556" i="3"/>
  <c r="X1555" i="3"/>
  <c r="X1554" i="3"/>
  <c r="X1553" i="3"/>
  <c r="X1552" i="3"/>
  <c r="X1551" i="3"/>
  <c r="X1550" i="3"/>
  <c r="X1549" i="3"/>
  <c r="X1548" i="3"/>
  <c r="X1547" i="3"/>
  <c r="X1546" i="3"/>
  <c r="X1545" i="3"/>
  <c r="X1544" i="3"/>
  <c r="X1543" i="3"/>
  <c r="X1542" i="3"/>
  <c r="X1541" i="3"/>
  <c r="X1540" i="3"/>
  <c r="X1539" i="3"/>
  <c r="X1538" i="3"/>
  <c r="X1537" i="3"/>
  <c r="X1536" i="3"/>
  <c r="X1535" i="3"/>
  <c r="X1534" i="3"/>
  <c r="X1533" i="3"/>
  <c r="X1532" i="3"/>
  <c r="X1531" i="3"/>
  <c r="X1530" i="3"/>
  <c r="X1529" i="3"/>
  <c r="X1528" i="3"/>
  <c r="X1527" i="3"/>
  <c r="X1526" i="3"/>
  <c r="X1525" i="3"/>
  <c r="X1524" i="3"/>
  <c r="X1523" i="3"/>
  <c r="X1522" i="3"/>
  <c r="X1521" i="3"/>
  <c r="X1520" i="3"/>
  <c r="X1519" i="3"/>
  <c r="X1518" i="3"/>
  <c r="X1517" i="3"/>
  <c r="X1516" i="3"/>
  <c r="X1515" i="3"/>
  <c r="X1514" i="3"/>
  <c r="X1513" i="3"/>
  <c r="X1512" i="3"/>
  <c r="X1511" i="3"/>
  <c r="X1510" i="3"/>
  <c r="X1509" i="3"/>
  <c r="X1508" i="3"/>
  <c r="X1507" i="3"/>
  <c r="X1506" i="3"/>
  <c r="X1505" i="3"/>
  <c r="X1504" i="3"/>
  <c r="X1503" i="3"/>
  <c r="X1502" i="3"/>
  <c r="X1501" i="3"/>
  <c r="X1500" i="3"/>
  <c r="X1499" i="3"/>
  <c r="X1498" i="3"/>
  <c r="X1497" i="3"/>
  <c r="X1496" i="3"/>
  <c r="X1495" i="3"/>
  <c r="X1494" i="3"/>
  <c r="X1493" i="3"/>
  <c r="X1492" i="3"/>
  <c r="X1491" i="3"/>
  <c r="X1490" i="3"/>
  <c r="X1489" i="3"/>
  <c r="X1488" i="3"/>
  <c r="X1487" i="3"/>
  <c r="X1486" i="3"/>
  <c r="X1485" i="3"/>
  <c r="X1484" i="3"/>
  <c r="X1483" i="3"/>
  <c r="X1482" i="3"/>
  <c r="X1481" i="3"/>
  <c r="X1480" i="3"/>
  <c r="X1479" i="3"/>
  <c r="X1478" i="3"/>
  <c r="X1477" i="3"/>
  <c r="X1476" i="3"/>
  <c r="X1475" i="3"/>
  <c r="X1474" i="3"/>
  <c r="X1473" i="3"/>
  <c r="X1472" i="3"/>
  <c r="X1471" i="3"/>
  <c r="X1470" i="3"/>
  <c r="X1469" i="3"/>
  <c r="X1468" i="3"/>
  <c r="X1467" i="3"/>
  <c r="X1466" i="3"/>
  <c r="X1465" i="3"/>
  <c r="X1464" i="3"/>
  <c r="X1463" i="3"/>
  <c r="X1462" i="3"/>
  <c r="X1461" i="3"/>
  <c r="X1460" i="3"/>
  <c r="X1459" i="3"/>
  <c r="X1458" i="3"/>
  <c r="X1457" i="3"/>
  <c r="X1456" i="3"/>
  <c r="X1455" i="3"/>
  <c r="X1454" i="3"/>
  <c r="X1453" i="3"/>
  <c r="X1452" i="3"/>
  <c r="X1451" i="3"/>
  <c r="X1450" i="3"/>
  <c r="X1449" i="3"/>
  <c r="X1448" i="3"/>
  <c r="X1447" i="3"/>
  <c r="X1446" i="3"/>
  <c r="X1445" i="3"/>
  <c r="X1444" i="3"/>
  <c r="X1443" i="3"/>
  <c r="X1442" i="3"/>
  <c r="X1441" i="3"/>
  <c r="X1440" i="3"/>
  <c r="X1439" i="3"/>
  <c r="X1438" i="3"/>
  <c r="X1437" i="3"/>
  <c r="X1436" i="3"/>
  <c r="X1435" i="3"/>
  <c r="X1434" i="3"/>
  <c r="X1433" i="3"/>
  <c r="X1432" i="3"/>
  <c r="X1431" i="3"/>
  <c r="X1430" i="3"/>
  <c r="X1429" i="3"/>
  <c r="X1428" i="3"/>
  <c r="X1427" i="3"/>
  <c r="X1426" i="3"/>
  <c r="X1425" i="3"/>
  <c r="X1424" i="3"/>
  <c r="X1423" i="3"/>
  <c r="X1422" i="3"/>
  <c r="X1421" i="3"/>
  <c r="X1420" i="3"/>
  <c r="X1419" i="3"/>
  <c r="X1418" i="3"/>
  <c r="X1417" i="3"/>
  <c r="X1416" i="3"/>
  <c r="X1415" i="3"/>
  <c r="X1414" i="3"/>
  <c r="X1413" i="3"/>
  <c r="X1412" i="3"/>
  <c r="X1411" i="3"/>
  <c r="X1410" i="3"/>
  <c r="X1409" i="3"/>
  <c r="X1408" i="3"/>
  <c r="X1407" i="3"/>
  <c r="X1406" i="3"/>
  <c r="X1405" i="3"/>
  <c r="X1404" i="3"/>
  <c r="X1403" i="3"/>
  <c r="X1402" i="3"/>
  <c r="X1401" i="3"/>
  <c r="X1400" i="3"/>
  <c r="X1399" i="3"/>
  <c r="X1398" i="3"/>
  <c r="X1397" i="3"/>
  <c r="X1396" i="3"/>
  <c r="X1395" i="3"/>
  <c r="X1394" i="3"/>
  <c r="X1393" i="3"/>
  <c r="X1392" i="3"/>
  <c r="X1391" i="3"/>
  <c r="X1390" i="3"/>
  <c r="X1389" i="3"/>
  <c r="X1388" i="3"/>
  <c r="X1387" i="3"/>
  <c r="X1386" i="3"/>
  <c r="X1385" i="3"/>
  <c r="X1384" i="3"/>
  <c r="X1383" i="3"/>
  <c r="X1382" i="3"/>
  <c r="X1381" i="3"/>
  <c r="X1380" i="3"/>
  <c r="X1379" i="3"/>
  <c r="X1378" i="3"/>
  <c r="X1377" i="3"/>
  <c r="X1376" i="3"/>
  <c r="X1375" i="3"/>
  <c r="X1374" i="3"/>
  <c r="X1373" i="3"/>
  <c r="X1372" i="3"/>
  <c r="X1371" i="3"/>
  <c r="X1370" i="3"/>
  <c r="X1369" i="3"/>
  <c r="X1368" i="3"/>
  <c r="X1367" i="3"/>
  <c r="X1366" i="3"/>
  <c r="X1365" i="3"/>
  <c r="X1364" i="3"/>
  <c r="X1363" i="3"/>
  <c r="X1362" i="3"/>
  <c r="X1361" i="3"/>
  <c r="X1360" i="3"/>
  <c r="X1359" i="3"/>
  <c r="X1358" i="3"/>
  <c r="X1357" i="3"/>
  <c r="X1356" i="3"/>
  <c r="X1355" i="3"/>
  <c r="X1354" i="3"/>
  <c r="X1353" i="3"/>
  <c r="X1352" i="3"/>
  <c r="X1351" i="3"/>
  <c r="X1350" i="3"/>
  <c r="X1349" i="3"/>
  <c r="X1348" i="3"/>
  <c r="X1347" i="3"/>
  <c r="X1346" i="3"/>
  <c r="X1345" i="3"/>
  <c r="X1344" i="3"/>
  <c r="X1343" i="3"/>
  <c r="X1342" i="3"/>
  <c r="X1341" i="3"/>
  <c r="X1340" i="3"/>
  <c r="X1339" i="3"/>
  <c r="X1338" i="3"/>
  <c r="X1337" i="3"/>
  <c r="X1336" i="3"/>
  <c r="X1335" i="3"/>
  <c r="X1334" i="3"/>
  <c r="X1333" i="3"/>
  <c r="X1332" i="3"/>
  <c r="X1331" i="3"/>
  <c r="X1330" i="3"/>
  <c r="X1329" i="3"/>
  <c r="X1328" i="3"/>
  <c r="X1327" i="3"/>
  <c r="X1326" i="3"/>
  <c r="X1325" i="3"/>
  <c r="X1324" i="3"/>
  <c r="X1323" i="3"/>
  <c r="X1322" i="3"/>
  <c r="X1321" i="3"/>
  <c r="X1320" i="3"/>
  <c r="X1319" i="3"/>
  <c r="X1318" i="3"/>
  <c r="X1317" i="3"/>
  <c r="X1316" i="3"/>
  <c r="X1315" i="3"/>
  <c r="X1314" i="3"/>
  <c r="X1313" i="3"/>
  <c r="X1312" i="3"/>
  <c r="X1311" i="3"/>
  <c r="X1310" i="3"/>
  <c r="X1309" i="3"/>
  <c r="X1308" i="3"/>
  <c r="X1307" i="3"/>
  <c r="X1306" i="3"/>
  <c r="X1305" i="3"/>
  <c r="X1304" i="3"/>
  <c r="X1303" i="3"/>
  <c r="X1302" i="3"/>
  <c r="X1301" i="3"/>
  <c r="X1300" i="3"/>
  <c r="X1299" i="3"/>
  <c r="X1298" i="3"/>
  <c r="X1297" i="3"/>
  <c r="X1296" i="3"/>
  <c r="X1295" i="3"/>
  <c r="X1294" i="3"/>
  <c r="X1293" i="3"/>
  <c r="X1292" i="3"/>
  <c r="X1291" i="3"/>
  <c r="X1290" i="3"/>
  <c r="X1289" i="3"/>
  <c r="X1288" i="3"/>
  <c r="X1287" i="3"/>
  <c r="X1286" i="3"/>
  <c r="X1285" i="3"/>
  <c r="X1284" i="3"/>
  <c r="X1283" i="3"/>
  <c r="X1282" i="3"/>
  <c r="X1281" i="3"/>
  <c r="X1280" i="3"/>
  <c r="X1279" i="3"/>
  <c r="X1278" i="3"/>
  <c r="X1277" i="3"/>
  <c r="X1276" i="3"/>
  <c r="X1275" i="3"/>
  <c r="X1274" i="3"/>
  <c r="X1273" i="3"/>
  <c r="X1272" i="3"/>
  <c r="X1271" i="3"/>
  <c r="X1270" i="3"/>
  <c r="X1269" i="3"/>
  <c r="X1268" i="3"/>
  <c r="X1267" i="3"/>
  <c r="X1266" i="3"/>
  <c r="X1265" i="3"/>
  <c r="X1264" i="3"/>
  <c r="X1263" i="3"/>
  <c r="X1262" i="3"/>
  <c r="X1261" i="3"/>
  <c r="X1260" i="3"/>
  <c r="X1259" i="3"/>
  <c r="X1258" i="3"/>
  <c r="X1257" i="3"/>
  <c r="X1256" i="3"/>
  <c r="X1255" i="3"/>
  <c r="X1254" i="3"/>
  <c r="X1253" i="3"/>
  <c r="X1252" i="3"/>
  <c r="X1251" i="3"/>
  <c r="X1250" i="3"/>
  <c r="X1249" i="3"/>
  <c r="X1248" i="3"/>
  <c r="X1247" i="3"/>
  <c r="X1246" i="3"/>
  <c r="X1245" i="3"/>
  <c r="X1244" i="3"/>
  <c r="X1243" i="3"/>
  <c r="X1242" i="3"/>
  <c r="X1241" i="3"/>
  <c r="X1240" i="3"/>
  <c r="X1239" i="3"/>
  <c r="X1238" i="3"/>
  <c r="X1237" i="3"/>
  <c r="X1236" i="3"/>
  <c r="X1235" i="3"/>
  <c r="X1234" i="3"/>
  <c r="X1233" i="3"/>
  <c r="X1232" i="3"/>
  <c r="X1231" i="3"/>
  <c r="X1230" i="3"/>
  <c r="X1229" i="3"/>
  <c r="X1228" i="3"/>
  <c r="X1227" i="3"/>
  <c r="X1226" i="3"/>
  <c r="X1225" i="3"/>
  <c r="X1224" i="3"/>
  <c r="X1223" i="3"/>
  <c r="X1222" i="3"/>
  <c r="X1221" i="3"/>
  <c r="X1220" i="3"/>
  <c r="X1219" i="3"/>
  <c r="X1218" i="3"/>
  <c r="X1217" i="3"/>
  <c r="X1216" i="3"/>
  <c r="X1215" i="3"/>
  <c r="X1214" i="3"/>
  <c r="X1213" i="3"/>
  <c r="X1212" i="3"/>
  <c r="X1211" i="3"/>
  <c r="X1210" i="3"/>
  <c r="X1209" i="3"/>
  <c r="X1208" i="3"/>
  <c r="X1207" i="3"/>
  <c r="X1206" i="3"/>
  <c r="X1205" i="3"/>
  <c r="X1204" i="3"/>
  <c r="X1203" i="3"/>
  <c r="X1202" i="3"/>
  <c r="X1201" i="3"/>
  <c r="X1200" i="3"/>
  <c r="X1199" i="3"/>
  <c r="X1198" i="3"/>
  <c r="X1197" i="3"/>
  <c r="X1196" i="3"/>
  <c r="X1195" i="3"/>
  <c r="X1194" i="3"/>
  <c r="X1193" i="3"/>
  <c r="X1192" i="3"/>
  <c r="X1191" i="3"/>
  <c r="X1190" i="3"/>
  <c r="X1189" i="3"/>
  <c r="X1188" i="3"/>
  <c r="X1187" i="3"/>
  <c r="X1186" i="3"/>
  <c r="X1185" i="3"/>
  <c r="X1184" i="3"/>
  <c r="X1183" i="3"/>
  <c r="X1182" i="3"/>
  <c r="X1181" i="3"/>
  <c r="X1180" i="3"/>
  <c r="X1179" i="3"/>
  <c r="X1178" i="3"/>
  <c r="X1177" i="3"/>
  <c r="X1176" i="3"/>
  <c r="X1175" i="3"/>
  <c r="X1174" i="3"/>
  <c r="X1173" i="3"/>
  <c r="X1172" i="3"/>
  <c r="X1171" i="3"/>
  <c r="X1170" i="3"/>
  <c r="X1169" i="3"/>
  <c r="X1168" i="3"/>
  <c r="X1167" i="3"/>
  <c r="X1166" i="3"/>
  <c r="X1165" i="3"/>
  <c r="X1164" i="3"/>
  <c r="X1163" i="3"/>
  <c r="X1162" i="3"/>
  <c r="X1161" i="3"/>
  <c r="X1160" i="3"/>
  <c r="X1159" i="3"/>
  <c r="X1158" i="3"/>
  <c r="X1157" i="3"/>
  <c r="X1156" i="3"/>
  <c r="X1155" i="3"/>
  <c r="X1154" i="3"/>
  <c r="X1153" i="3"/>
  <c r="X1152" i="3"/>
  <c r="X1151" i="3"/>
  <c r="X1150" i="3"/>
  <c r="X1149" i="3"/>
  <c r="X1148" i="3"/>
  <c r="X1147" i="3"/>
  <c r="X1146" i="3"/>
  <c r="X1145" i="3"/>
  <c r="X1144" i="3"/>
  <c r="X1143" i="3"/>
  <c r="X1142" i="3"/>
  <c r="X1141" i="3"/>
  <c r="X1140" i="3"/>
  <c r="X1139" i="3"/>
  <c r="X1138" i="3"/>
  <c r="X1137" i="3"/>
  <c r="X1136" i="3"/>
  <c r="X1135" i="3"/>
  <c r="X1134" i="3"/>
  <c r="X1133" i="3"/>
  <c r="X1132" i="3"/>
  <c r="X1131" i="3"/>
  <c r="X1130" i="3"/>
  <c r="X1129" i="3"/>
  <c r="X1128" i="3"/>
  <c r="X1127" i="3"/>
  <c r="X1126" i="3"/>
  <c r="X1125" i="3"/>
  <c r="X1124" i="3"/>
  <c r="X1123" i="3"/>
  <c r="X1122" i="3"/>
  <c r="X1121" i="3"/>
  <c r="X1120" i="3"/>
  <c r="X1119" i="3"/>
  <c r="X1118" i="3"/>
  <c r="X1117" i="3"/>
  <c r="X1116" i="3"/>
  <c r="X1115" i="3"/>
  <c r="X1114" i="3"/>
  <c r="X1113" i="3"/>
  <c r="X1112" i="3"/>
  <c r="X1111" i="3"/>
  <c r="X1110" i="3"/>
  <c r="X1109" i="3"/>
  <c r="X1108" i="3"/>
  <c r="X1107" i="3"/>
  <c r="X1106" i="3"/>
  <c r="X1105" i="3"/>
  <c r="X1104" i="3"/>
  <c r="X1103" i="3"/>
  <c r="X1102" i="3"/>
  <c r="X1101" i="3"/>
  <c r="X1100" i="3"/>
  <c r="X1099" i="3"/>
  <c r="X1098" i="3"/>
  <c r="X1097" i="3"/>
  <c r="X1096" i="3"/>
  <c r="X1095" i="3"/>
  <c r="X1094" i="3"/>
  <c r="X1093" i="3"/>
  <c r="X1092" i="3"/>
  <c r="X1091" i="3"/>
  <c r="X1090" i="3"/>
  <c r="X1089" i="3"/>
  <c r="X1088" i="3"/>
  <c r="X1087" i="3"/>
  <c r="X1086" i="3"/>
  <c r="X1085" i="3"/>
  <c r="X1084" i="3"/>
  <c r="X1083" i="3"/>
  <c r="X1082" i="3"/>
  <c r="X1081" i="3"/>
  <c r="X1080" i="3"/>
  <c r="X1079" i="3"/>
  <c r="X1078" i="3"/>
  <c r="X1077" i="3"/>
  <c r="X1076" i="3"/>
  <c r="X1075" i="3"/>
  <c r="X1074" i="3"/>
  <c r="X1073" i="3"/>
  <c r="X1072" i="3"/>
  <c r="X1071" i="3"/>
  <c r="X1070" i="3"/>
  <c r="X1069" i="3"/>
  <c r="X1068" i="3"/>
  <c r="X1067" i="3"/>
  <c r="X1066" i="3"/>
  <c r="X1065" i="3"/>
  <c r="X1064" i="3"/>
  <c r="X1063" i="3"/>
  <c r="X1062" i="3"/>
  <c r="X1061" i="3"/>
  <c r="X1060" i="3"/>
  <c r="X1059" i="3"/>
  <c r="X1058" i="3"/>
  <c r="X1057" i="3"/>
  <c r="X1056" i="3"/>
  <c r="X1055" i="3"/>
  <c r="X1054" i="3"/>
  <c r="X1053" i="3"/>
  <c r="X1052" i="3"/>
  <c r="X1051" i="3"/>
  <c r="X1050" i="3"/>
  <c r="X1049" i="3"/>
  <c r="X1048" i="3"/>
  <c r="X1047" i="3"/>
  <c r="X1046" i="3"/>
  <c r="X1045" i="3"/>
  <c r="X1044" i="3"/>
  <c r="X1043" i="3"/>
  <c r="X1042" i="3"/>
  <c r="X1041" i="3"/>
  <c r="X1040" i="3"/>
  <c r="X1039" i="3"/>
  <c r="X1038" i="3"/>
  <c r="X1037" i="3"/>
  <c r="X1036" i="3"/>
  <c r="X1035" i="3"/>
  <c r="X1034" i="3"/>
  <c r="X1033" i="3"/>
  <c r="X1032" i="3"/>
  <c r="X1031" i="3"/>
  <c r="X1030" i="3"/>
  <c r="X1029" i="3"/>
  <c r="X1028" i="3"/>
  <c r="X1027" i="3"/>
  <c r="X1026" i="3"/>
  <c r="X1025" i="3"/>
  <c r="X1024" i="3"/>
  <c r="X1023" i="3"/>
  <c r="X1022" i="3"/>
  <c r="X1021" i="3"/>
  <c r="X1020" i="3"/>
  <c r="X1019" i="3"/>
  <c r="X1018" i="3"/>
  <c r="X1017" i="3"/>
  <c r="X1016" i="3"/>
  <c r="X1015" i="3"/>
  <c r="X1014" i="3"/>
  <c r="X1013" i="3"/>
  <c r="X1012" i="3"/>
  <c r="X1011" i="3"/>
  <c r="X1010" i="3"/>
  <c r="X1009" i="3"/>
  <c r="X1008" i="3"/>
  <c r="X1007" i="3"/>
  <c r="X1006" i="3"/>
  <c r="X1005" i="3"/>
  <c r="X1004" i="3"/>
  <c r="X1003" i="3"/>
  <c r="X1002" i="3"/>
  <c r="X1001" i="3"/>
  <c r="X1000" i="3"/>
  <c r="X999" i="3"/>
  <c r="X998" i="3"/>
  <c r="X997" i="3"/>
  <c r="X996" i="3"/>
  <c r="X995" i="3"/>
  <c r="X994" i="3"/>
  <c r="X993" i="3"/>
  <c r="X992" i="3"/>
  <c r="X991" i="3"/>
  <c r="X990" i="3"/>
  <c r="X989" i="3"/>
  <c r="X988" i="3"/>
  <c r="X987" i="3"/>
  <c r="X986" i="3"/>
  <c r="X985" i="3"/>
  <c r="X984" i="3"/>
  <c r="X983" i="3"/>
  <c r="X982" i="3"/>
  <c r="X981" i="3"/>
  <c r="X980" i="3"/>
  <c r="X979" i="3"/>
  <c r="X978" i="3"/>
  <c r="X977" i="3"/>
  <c r="X976" i="3"/>
  <c r="X975" i="3"/>
  <c r="X974" i="3"/>
  <c r="X973" i="3"/>
  <c r="X972" i="3"/>
  <c r="X971" i="3"/>
  <c r="X970" i="3"/>
  <c r="X969" i="3"/>
  <c r="X968" i="3"/>
  <c r="X967" i="3"/>
  <c r="X966" i="3"/>
  <c r="X965" i="3"/>
  <c r="X964" i="3"/>
  <c r="X963" i="3"/>
  <c r="X962" i="3"/>
  <c r="X961" i="3"/>
  <c r="X960" i="3"/>
  <c r="X959" i="3"/>
  <c r="X958" i="3"/>
  <c r="X957" i="3"/>
  <c r="X956" i="3"/>
  <c r="X955" i="3"/>
  <c r="X954" i="3"/>
  <c r="X953" i="3"/>
  <c r="X952" i="3"/>
  <c r="X951" i="3"/>
  <c r="X950" i="3"/>
  <c r="X949" i="3"/>
  <c r="X948" i="3"/>
  <c r="X947" i="3"/>
  <c r="X946" i="3"/>
  <c r="X945" i="3"/>
  <c r="X944" i="3"/>
  <c r="X943" i="3"/>
  <c r="X942" i="3"/>
  <c r="X941" i="3"/>
  <c r="X940" i="3"/>
  <c r="X939" i="3"/>
  <c r="X938" i="3"/>
  <c r="X937" i="3"/>
  <c r="X936" i="3"/>
  <c r="X935" i="3"/>
  <c r="X934" i="3"/>
  <c r="X933" i="3"/>
  <c r="X932" i="3"/>
  <c r="X931" i="3"/>
  <c r="X930" i="3"/>
  <c r="X929" i="3"/>
  <c r="X928" i="3"/>
  <c r="X927" i="3"/>
  <c r="X926" i="3"/>
  <c r="X925" i="3"/>
  <c r="X924" i="3"/>
  <c r="X923" i="3"/>
  <c r="X922" i="3"/>
  <c r="X921" i="3"/>
  <c r="X920" i="3"/>
  <c r="X919" i="3"/>
  <c r="X918" i="3"/>
  <c r="X917" i="3"/>
  <c r="X916" i="3"/>
  <c r="X915" i="3"/>
  <c r="X914" i="3"/>
  <c r="X913" i="3"/>
  <c r="X912" i="3"/>
  <c r="X911" i="3"/>
  <c r="X910" i="3"/>
  <c r="X909" i="3"/>
  <c r="X908" i="3"/>
  <c r="X907" i="3"/>
  <c r="X906" i="3"/>
  <c r="X905" i="3"/>
  <c r="X904" i="3"/>
  <c r="X903" i="3"/>
  <c r="X902" i="3"/>
  <c r="X901" i="3"/>
  <c r="X900" i="3"/>
  <c r="X899" i="3"/>
  <c r="X898" i="3"/>
  <c r="X897" i="3"/>
  <c r="X896" i="3"/>
  <c r="X895" i="3"/>
  <c r="X894" i="3"/>
  <c r="X893" i="3"/>
  <c r="X892" i="3"/>
  <c r="X891" i="3"/>
  <c r="X890" i="3"/>
  <c r="X889" i="3"/>
  <c r="X888" i="3"/>
  <c r="X887" i="3"/>
  <c r="X886" i="3"/>
  <c r="X885" i="3"/>
  <c r="X884" i="3"/>
  <c r="X883" i="3"/>
  <c r="X882" i="3"/>
  <c r="X881" i="3"/>
  <c r="X880" i="3"/>
  <c r="X879" i="3"/>
  <c r="X878" i="3"/>
  <c r="X877" i="3"/>
  <c r="X876" i="3"/>
  <c r="X875" i="3"/>
  <c r="X874" i="3"/>
  <c r="X873" i="3"/>
  <c r="X872" i="3"/>
  <c r="X871" i="3"/>
  <c r="X870" i="3"/>
  <c r="X869" i="3"/>
  <c r="X868" i="3"/>
  <c r="X867" i="3"/>
  <c r="X866" i="3"/>
  <c r="X865" i="3"/>
  <c r="X864" i="3"/>
  <c r="X863" i="3"/>
  <c r="X862" i="3"/>
  <c r="X861" i="3"/>
  <c r="X860" i="3"/>
  <c r="X859" i="3"/>
  <c r="X858" i="3"/>
  <c r="X857" i="3"/>
  <c r="X856" i="3"/>
  <c r="X855" i="3"/>
  <c r="X854" i="3"/>
  <c r="X853" i="3"/>
  <c r="X852" i="3"/>
  <c r="X851" i="3"/>
  <c r="X850" i="3"/>
  <c r="X849" i="3"/>
  <c r="X848" i="3"/>
  <c r="X847" i="3"/>
  <c r="X846" i="3"/>
  <c r="X845" i="3"/>
  <c r="X844" i="3"/>
  <c r="X843" i="3"/>
  <c r="X842" i="3"/>
  <c r="X841" i="3"/>
  <c r="X840" i="3"/>
  <c r="X839" i="3"/>
  <c r="X838" i="3"/>
  <c r="X837" i="3"/>
  <c r="X836" i="3"/>
  <c r="X835" i="3"/>
  <c r="X834" i="3"/>
  <c r="X833" i="3"/>
  <c r="X832" i="3"/>
  <c r="X831" i="3"/>
  <c r="X830" i="3"/>
  <c r="X829" i="3"/>
  <c r="X828" i="3"/>
  <c r="X827" i="3"/>
  <c r="X826" i="3"/>
  <c r="X825" i="3"/>
  <c r="X824" i="3"/>
  <c r="X823" i="3"/>
  <c r="X822" i="3"/>
  <c r="X821" i="3"/>
  <c r="X820" i="3"/>
  <c r="X819" i="3"/>
  <c r="X818" i="3"/>
  <c r="X817" i="3"/>
  <c r="X816" i="3"/>
  <c r="X815" i="3"/>
  <c r="X814" i="3"/>
  <c r="X813" i="3"/>
  <c r="X812" i="3"/>
  <c r="X811" i="3"/>
  <c r="X810" i="3"/>
  <c r="X809" i="3"/>
  <c r="X808" i="3"/>
  <c r="X807" i="3"/>
  <c r="X806" i="3"/>
  <c r="X805" i="3"/>
  <c r="X804" i="3"/>
  <c r="X803" i="3"/>
  <c r="X802" i="3"/>
  <c r="X801" i="3"/>
  <c r="X800" i="3"/>
  <c r="X799" i="3"/>
  <c r="X798" i="3"/>
  <c r="X797" i="3"/>
  <c r="X796" i="3"/>
  <c r="X795" i="3"/>
  <c r="X794" i="3"/>
  <c r="X793" i="3"/>
  <c r="X792" i="3"/>
  <c r="X791" i="3"/>
  <c r="X790" i="3"/>
  <c r="X789" i="3"/>
  <c r="X788" i="3"/>
  <c r="X787" i="3"/>
  <c r="X786" i="3"/>
  <c r="X785" i="3"/>
  <c r="X784" i="3"/>
  <c r="X783" i="3"/>
  <c r="X782" i="3"/>
  <c r="X781" i="3"/>
  <c r="X780" i="3"/>
  <c r="X779" i="3"/>
  <c r="X778" i="3"/>
  <c r="X777" i="3"/>
  <c r="X776" i="3"/>
  <c r="X775" i="3"/>
  <c r="X774" i="3"/>
  <c r="X773" i="3"/>
  <c r="X772" i="3"/>
  <c r="X771" i="3"/>
  <c r="X770" i="3"/>
  <c r="X769" i="3"/>
  <c r="X768" i="3"/>
  <c r="X767" i="3"/>
  <c r="X766" i="3"/>
  <c r="X765" i="3"/>
  <c r="X764" i="3"/>
  <c r="X763" i="3"/>
  <c r="X762" i="3"/>
  <c r="X761" i="3"/>
  <c r="X760" i="3"/>
  <c r="X759" i="3"/>
  <c r="X758" i="3"/>
  <c r="X757" i="3"/>
  <c r="X756" i="3"/>
  <c r="X755" i="3"/>
  <c r="X754" i="3"/>
  <c r="X753" i="3"/>
  <c r="X752" i="3"/>
  <c r="X751" i="3"/>
  <c r="X750" i="3"/>
  <c r="X749" i="3"/>
  <c r="X748" i="3"/>
  <c r="X747" i="3"/>
  <c r="X746" i="3"/>
  <c r="X745" i="3"/>
  <c r="X744" i="3"/>
  <c r="X743" i="3"/>
  <c r="X742" i="3"/>
  <c r="X741" i="3"/>
  <c r="X740" i="3"/>
  <c r="X739" i="3"/>
  <c r="X738" i="3"/>
  <c r="X737" i="3"/>
  <c r="X736" i="3"/>
  <c r="X735" i="3"/>
  <c r="X734" i="3"/>
  <c r="X733" i="3"/>
  <c r="X732" i="3"/>
  <c r="X731" i="3"/>
  <c r="X730" i="3"/>
  <c r="X729" i="3"/>
  <c r="X728" i="3"/>
  <c r="X727" i="3"/>
  <c r="X726" i="3"/>
  <c r="X725" i="3"/>
  <c r="X724" i="3"/>
  <c r="X723" i="3"/>
  <c r="X722" i="3"/>
  <c r="X721" i="3"/>
  <c r="X720" i="3"/>
  <c r="X719" i="3"/>
  <c r="X718" i="3"/>
  <c r="X717" i="3"/>
  <c r="X716" i="3"/>
  <c r="X715" i="3"/>
  <c r="X714" i="3"/>
  <c r="X713" i="3"/>
  <c r="X712" i="3"/>
  <c r="X711" i="3"/>
  <c r="X710" i="3"/>
  <c r="X709" i="3"/>
  <c r="X708" i="3"/>
  <c r="X707" i="3"/>
  <c r="X706" i="3"/>
  <c r="X705" i="3"/>
  <c r="X704" i="3"/>
  <c r="X703" i="3"/>
  <c r="X702" i="3"/>
  <c r="X701" i="3"/>
  <c r="X700" i="3"/>
  <c r="X699" i="3"/>
  <c r="X698" i="3"/>
  <c r="X697" i="3"/>
  <c r="X696" i="3"/>
  <c r="X695" i="3"/>
  <c r="X694" i="3"/>
  <c r="X693" i="3"/>
  <c r="X692" i="3"/>
  <c r="X691" i="3"/>
  <c r="X690" i="3"/>
  <c r="X689" i="3"/>
  <c r="X688" i="3"/>
  <c r="X687" i="3"/>
  <c r="X686" i="3"/>
  <c r="X685" i="3"/>
  <c r="X684" i="3"/>
  <c r="X683" i="3"/>
  <c r="X682" i="3"/>
  <c r="X681" i="3"/>
  <c r="X680" i="3"/>
  <c r="X679" i="3"/>
  <c r="X678" i="3"/>
  <c r="X677" i="3"/>
  <c r="X676" i="3"/>
  <c r="X675" i="3"/>
  <c r="X674" i="3"/>
  <c r="X673" i="3"/>
  <c r="X672" i="3"/>
  <c r="X671" i="3"/>
  <c r="X670" i="3"/>
  <c r="X669" i="3"/>
  <c r="X668" i="3"/>
  <c r="X667" i="3"/>
  <c r="X666" i="3"/>
  <c r="X665" i="3"/>
  <c r="X664" i="3"/>
  <c r="X663" i="3"/>
  <c r="X662" i="3"/>
  <c r="X661" i="3"/>
  <c r="X660" i="3"/>
  <c r="X659" i="3"/>
  <c r="X658" i="3"/>
  <c r="X657" i="3"/>
  <c r="X656" i="3"/>
  <c r="X655" i="3"/>
  <c r="X654" i="3"/>
  <c r="X653" i="3"/>
  <c r="X652" i="3"/>
  <c r="X651" i="3"/>
  <c r="X650" i="3"/>
  <c r="X649" i="3"/>
  <c r="X648" i="3"/>
  <c r="X647" i="3"/>
  <c r="X646" i="3"/>
  <c r="X645" i="3"/>
  <c r="X644" i="3"/>
  <c r="X643" i="3"/>
  <c r="X642" i="3"/>
  <c r="X641" i="3"/>
  <c r="X640" i="3"/>
  <c r="X639" i="3"/>
  <c r="X638" i="3"/>
  <c r="X637" i="3"/>
  <c r="X636" i="3"/>
  <c r="X635" i="3"/>
  <c r="X634" i="3"/>
  <c r="X633" i="3"/>
  <c r="X632" i="3"/>
  <c r="X631" i="3"/>
  <c r="X630" i="3"/>
  <c r="X629" i="3"/>
  <c r="X628" i="3"/>
  <c r="X627" i="3"/>
  <c r="X626" i="3"/>
  <c r="X625" i="3"/>
  <c r="X624" i="3"/>
  <c r="X623" i="3"/>
  <c r="X622" i="3"/>
  <c r="X621" i="3"/>
  <c r="X620" i="3"/>
  <c r="X619" i="3"/>
  <c r="X618" i="3"/>
  <c r="X617" i="3"/>
  <c r="X616" i="3"/>
  <c r="X615" i="3"/>
  <c r="X614" i="3"/>
  <c r="X613" i="3"/>
  <c r="X612" i="3"/>
  <c r="X611" i="3"/>
  <c r="X610" i="3"/>
  <c r="X609" i="3"/>
  <c r="X608" i="3"/>
  <c r="X607" i="3"/>
  <c r="X606" i="3"/>
  <c r="X605" i="3"/>
  <c r="X604" i="3"/>
  <c r="X603" i="3"/>
  <c r="X602" i="3"/>
  <c r="X601" i="3"/>
  <c r="X600" i="3"/>
  <c r="X599" i="3"/>
  <c r="X598" i="3"/>
  <c r="X597" i="3"/>
  <c r="X596" i="3"/>
  <c r="X595" i="3"/>
  <c r="X594" i="3"/>
  <c r="X593" i="3"/>
  <c r="X592" i="3"/>
  <c r="X591" i="3"/>
  <c r="X590" i="3"/>
  <c r="X589" i="3"/>
  <c r="X588" i="3"/>
  <c r="X587" i="3"/>
  <c r="X586" i="3"/>
  <c r="X585" i="3"/>
  <c r="X584" i="3"/>
  <c r="X583" i="3"/>
  <c r="X582" i="3"/>
  <c r="X581" i="3"/>
  <c r="X580" i="3"/>
  <c r="X579" i="3"/>
  <c r="X578" i="3"/>
  <c r="X577" i="3"/>
  <c r="X576" i="3"/>
  <c r="X575" i="3"/>
  <c r="X574" i="3"/>
  <c r="X573" i="3"/>
  <c r="X572" i="3"/>
  <c r="X571" i="3"/>
  <c r="X570" i="3"/>
  <c r="X569" i="3"/>
  <c r="X568" i="3"/>
  <c r="X567" i="3"/>
  <c r="X566" i="3"/>
  <c r="X565" i="3"/>
  <c r="X564" i="3"/>
  <c r="X563" i="3"/>
  <c r="X562" i="3"/>
  <c r="X561" i="3"/>
  <c r="X560" i="3"/>
  <c r="X559" i="3"/>
  <c r="X558" i="3"/>
  <c r="X557" i="3"/>
  <c r="X556" i="3"/>
  <c r="X555" i="3"/>
  <c r="X554" i="3"/>
  <c r="X553" i="3"/>
  <c r="X552" i="3"/>
  <c r="X551" i="3"/>
  <c r="X550" i="3"/>
  <c r="X549" i="3"/>
  <c r="X548" i="3"/>
  <c r="X547" i="3"/>
  <c r="X546" i="3"/>
  <c r="X545" i="3"/>
  <c r="X544" i="3"/>
  <c r="X543" i="3"/>
  <c r="X542" i="3"/>
  <c r="X541" i="3"/>
  <c r="X540" i="3"/>
  <c r="X539" i="3"/>
  <c r="X538" i="3"/>
  <c r="X537" i="3"/>
  <c r="X536" i="3"/>
  <c r="X535" i="3"/>
  <c r="X534" i="3"/>
  <c r="X533" i="3"/>
  <c r="X532" i="3"/>
  <c r="X531" i="3"/>
  <c r="X530" i="3"/>
  <c r="X529" i="3"/>
  <c r="X528" i="3"/>
  <c r="X527" i="3"/>
  <c r="X526" i="3"/>
  <c r="X525" i="3"/>
  <c r="X524" i="3"/>
  <c r="X523" i="3"/>
  <c r="X522" i="3"/>
  <c r="X521" i="3"/>
  <c r="X520" i="3"/>
  <c r="X519" i="3"/>
  <c r="X518" i="3"/>
  <c r="X517" i="3"/>
  <c r="X516" i="3"/>
  <c r="X515" i="3"/>
  <c r="X514" i="3"/>
  <c r="X513" i="3"/>
  <c r="X512" i="3"/>
  <c r="X511" i="3"/>
  <c r="X510" i="3"/>
  <c r="X509" i="3"/>
  <c r="X508" i="3"/>
  <c r="X507" i="3"/>
  <c r="X506" i="3"/>
  <c r="X505" i="3"/>
  <c r="X504" i="3"/>
  <c r="X503" i="3"/>
  <c r="X502" i="3"/>
  <c r="X501" i="3"/>
  <c r="X500" i="3"/>
  <c r="X499" i="3"/>
  <c r="X498" i="3"/>
  <c r="X497" i="3"/>
  <c r="X496" i="3"/>
  <c r="X495" i="3"/>
  <c r="X494" i="3"/>
  <c r="X493" i="3"/>
  <c r="X492" i="3"/>
  <c r="X491" i="3"/>
  <c r="X490" i="3"/>
  <c r="X489" i="3"/>
  <c r="X488" i="3"/>
  <c r="X487" i="3"/>
  <c r="X486" i="3"/>
  <c r="X485" i="3"/>
  <c r="X484" i="3"/>
  <c r="X483" i="3"/>
  <c r="X482" i="3"/>
  <c r="X481" i="3"/>
  <c r="X480" i="3"/>
  <c r="X479" i="3"/>
  <c r="X478" i="3"/>
  <c r="X477" i="3"/>
  <c r="X476" i="3"/>
  <c r="X475" i="3"/>
  <c r="X474" i="3"/>
  <c r="X473" i="3"/>
  <c r="X472" i="3"/>
  <c r="X471" i="3"/>
  <c r="X470" i="3"/>
  <c r="X469" i="3"/>
  <c r="X468" i="3"/>
  <c r="X467" i="3"/>
  <c r="X466" i="3"/>
  <c r="X465" i="3"/>
  <c r="X464" i="3"/>
  <c r="X463" i="3"/>
  <c r="X462" i="3"/>
  <c r="X461" i="3"/>
  <c r="X460" i="3"/>
  <c r="X459" i="3"/>
  <c r="X458" i="3"/>
  <c r="X457" i="3"/>
  <c r="X456" i="3"/>
  <c r="X455" i="3"/>
  <c r="X454" i="3"/>
  <c r="X453" i="3"/>
  <c r="X452" i="3"/>
  <c r="X451" i="3"/>
  <c r="X450" i="3"/>
  <c r="X449" i="3"/>
  <c r="X448" i="3"/>
  <c r="X447" i="3"/>
  <c r="X446" i="3"/>
  <c r="X445" i="3"/>
  <c r="X444" i="3"/>
  <c r="X443" i="3"/>
  <c r="X442" i="3"/>
  <c r="X441" i="3"/>
  <c r="X440" i="3"/>
  <c r="X439" i="3"/>
  <c r="X438" i="3"/>
  <c r="X437" i="3"/>
  <c r="X436" i="3"/>
  <c r="X435" i="3"/>
  <c r="X434" i="3"/>
  <c r="X433" i="3"/>
  <c r="X432" i="3"/>
  <c r="X431" i="3"/>
  <c r="X430" i="3"/>
  <c r="X429" i="3"/>
  <c r="X428" i="3"/>
  <c r="X427" i="3"/>
  <c r="X426" i="3"/>
  <c r="X425" i="3"/>
  <c r="X424" i="3"/>
  <c r="X423" i="3"/>
  <c r="X422" i="3"/>
  <c r="X421" i="3"/>
  <c r="X420" i="3"/>
  <c r="X419" i="3"/>
  <c r="X418" i="3"/>
  <c r="X417" i="3"/>
  <c r="X416" i="3"/>
  <c r="X415" i="3"/>
  <c r="X414" i="3"/>
  <c r="X413" i="3"/>
  <c r="X412" i="3"/>
  <c r="X411" i="3"/>
  <c r="X410" i="3"/>
  <c r="X409" i="3"/>
  <c r="X408" i="3"/>
  <c r="X407" i="3"/>
  <c r="X406" i="3"/>
  <c r="X405" i="3"/>
  <c r="X404" i="3"/>
  <c r="X403" i="3"/>
  <c r="X402" i="3"/>
  <c r="X401" i="3"/>
  <c r="X400" i="3"/>
  <c r="X399" i="3"/>
  <c r="X398" i="3"/>
  <c r="X397" i="3"/>
  <c r="X396" i="3"/>
  <c r="X395" i="3"/>
  <c r="X394" i="3"/>
  <c r="X393" i="3"/>
  <c r="X392" i="3"/>
  <c r="X391" i="3"/>
  <c r="X390" i="3"/>
  <c r="X389" i="3"/>
  <c r="X388" i="3"/>
  <c r="X387" i="3"/>
  <c r="X386" i="3"/>
  <c r="X385" i="3"/>
  <c r="X384" i="3"/>
  <c r="X383" i="3"/>
  <c r="X382" i="3"/>
  <c r="X381" i="3"/>
  <c r="X380" i="3"/>
  <c r="X379" i="3"/>
  <c r="X378" i="3"/>
  <c r="X377" i="3"/>
  <c r="X376" i="3"/>
  <c r="X375" i="3"/>
  <c r="X374" i="3"/>
  <c r="X373" i="3"/>
  <c r="X372" i="3"/>
  <c r="X371" i="3"/>
  <c r="X370" i="3"/>
  <c r="X369" i="3"/>
  <c r="X368" i="3"/>
  <c r="X367" i="3"/>
  <c r="X366" i="3"/>
  <c r="X365" i="3"/>
  <c r="X364" i="3"/>
  <c r="X363" i="3"/>
  <c r="X362" i="3"/>
  <c r="X361" i="3"/>
  <c r="X360" i="3"/>
  <c r="X359" i="3"/>
  <c r="X358" i="3"/>
  <c r="X357" i="3"/>
  <c r="X356" i="3"/>
  <c r="X355" i="3"/>
  <c r="X354" i="3"/>
  <c r="X353" i="3"/>
  <c r="X352" i="3"/>
  <c r="X351" i="3"/>
  <c r="X350" i="3"/>
  <c r="X349" i="3"/>
  <c r="X348" i="3"/>
  <c r="X347" i="3"/>
  <c r="X346" i="3"/>
  <c r="X345" i="3"/>
  <c r="X344" i="3"/>
  <c r="X343" i="3"/>
  <c r="X342" i="3"/>
  <c r="X341" i="3"/>
  <c r="X340" i="3"/>
  <c r="X339" i="3"/>
  <c r="X338" i="3"/>
  <c r="X337" i="3"/>
  <c r="X336" i="3"/>
  <c r="X335" i="3"/>
  <c r="X334" i="3"/>
  <c r="X333" i="3"/>
  <c r="X332" i="3"/>
  <c r="X331" i="3"/>
  <c r="X330" i="3"/>
  <c r="X329" i="3"/>
  <c r="X328" i="3"/>
  <c r="X327" i="3"/>
  <c r="X326" i="3"/>
  <c r="X325" i="3"/>
  <c r="X324" i="3"/>
  <c r="X323" i="3"/>
  <c r="X322" i="3"/>
  <c r="X321" i="3"/>
  <c r="X320" i="3"/>
  <c r="X319" i="3"/>
  <c r="X318" i="3"/>
  <c r="X317" i="3"/>
  <c r="X316" i="3"/>
  <c r="X315" i="3"/>
  <c r="X314" i="3"/>
  <c r="X313" i="3"/>
  <c r="X312" i="3"/>
  <c r="X311" i="3"/>
  <c r="X310" i="3"/>
  <c r="X309" i="3"/>
  <c r="X308" i="3"/>
  <c r="X307" i="3"/>
  <c r="X306" i="3"/>
  <c r="X305" i="3"/>
  <c r="X304" i="3"/>
  <c r="X303" i="3"/>
  <c r="X302" i="3"/>
  <c r="X301" i="3"/>
  <c r="X300" i="3"/>
  <c r="X299" i="3"/>
  <c r="X298" i="3"/>
  <c r="X297" i="3"/>
  <c r="X296" i="3"/>
  <c r="X295" i="3"/>
  <c r="X294" i="3"/>
  <c r="X293" i="3"/>
  <c r="X292" i="3"/>
  <c r="X291" i="3"/>
  <c r="X290" i="3"/>
  <c r="X289" i="3"/>
  <c r="X288" i="3"/>
  <c r="X287" i="3"/>
  <c r="X286" i="3"/>
  <c r="X285" i="3"/>
  <c r="X284" i="3"/>
  <c r="X283" i="3"/>
  <c r="X282" i="3"/>
  <c r="X281" i="3"/>
  <c r="X280" i="3"/>
  <c r="X279" i="3"/>
  <c r="X278" i="3"/>
  <c r="X277" i="3"/>
  <c r="X276" i="3"/>
  <c r="X275" i="3"/>
  <c r="X274" i="3"/>
  <c r="X273" i="3"/>
  <c r="X272" i="3"/>
  <c r="X271" i="3"/>
  <c r="X270" i="3"/>
  <c r="X269" i="3"/>
  <c r="X268" i="3"/>
  <c r="X267" i="3"/>
  <c r="X266" i="3"/>
  <c r="X265" i="3"/>
  <c r="X264" i="3"/>
  <c r="X263" i="3"/>
  <c r="X262" i="3"/>
  <c r="X261" i="3"/>
  <c r="X260" i="3"/>
  <c r="X259" i="3"/>
  <c r="X258" i="3"/>
  <c r="X257" i="3"/>
  <c r="X256" i="3"/>
  <c r="X255" i="3"/>
  <c r="X254" i="3"/>
  <c r="X253" i="3"/>
  <c r="X252" i="3"/>
  <c r="X251" i="3"/>
  <c r="X250" i="3"/>
  <c r="X249" i="3"/>
  <c r="X248" i="3"/>
  <c r="X247" i="3"/>
  <c r="X246" i="3"/>
  <c r="X245" i="3"/>
  <c r="X244" i="3"/>
  <c r="X243" i="3"/>
  <c r="X242" i="3"/>
  <c r="X241" i="3"/>
  <c r="X240" i="3"/>
  <c r="X239" i="3"/>
  <c r="X238" i="3"/>
  <c r="X237" i="3"/>
  <c r="X236" i="3"/>
  <c r="X235" i="3"/>
  <c r="X234" i="3"/>
  <c r="X233" i="3"/>
  <c r="X232" i="3"/>
  <c r="X231" i="3"/>
  <c r="X230" i="3"/>
  <c r="X229" i="3"/>
  <c r="X228" i="3"/>
  <c r="X227" i="3"/>
  <c r="X226" i="3"/>
  <c r="X225" i="3"/>
  <c r="X224" i="3"/>
  <c r="X223" i="3"/>
  <c r="X222" i="3"/>
  <c r="X221" i="3"/>
  <c r="X220" i="3"/>
  <c r="X219" i="3"/>
  <c r="X218" i="3"/>
  <c r="X217" i="3"/>
  <c r="X216" i="3"/>
  <c r="X215" i="3"/>
  <c r="X214" i="3"/>
  <c r="X213" i="3"/>
  <c r="X212" i="3"/>
  <c r="X211" i="3"/>
  <c r="X210" i="3"/>
  <c r="X209" i="3"/>
  <c r="X208" i="3"/>
  <c r="X207" i="3"/>
  <c r="X206" i="3"/>
  <c r="X205" i="3"/>
  <c r="X204" i="3"/>
  <c r="X203" i="3"/>
  <c r="X202" i="3"/>
  <c r="X201" i="3"/>
  <c r="X200" i="3"/>
  <c r="X199" i="3"/>
  <c r="X198" i="3"/>
  <c r="X197" i="3"/>
  <c r="X196" i="3"/>
  <c r="X195" i="3"/>
  <c r="X194" i="3"/>
  <c r="X193" i="3"/>
  <c r="X192" i="3"/>
  <c r="X191" i="3"/>
  <c r="X190" i="3"/>
  <c r="X189" i="3"/>
  <c r="X188" i="3"/>
  <c r="X187" i="3"/>
  <c r="X186" i="3"/>
  <c r="X185" i="3"/>
  <c r="X184" i="3"/>
  <c r="X183" i="3"/>
  <c r="X182" i="3"/>
  <c r="X181" i="3"/>
  <c r="X180" i="3"/>
  <c r="X179" i="3"/>
  <c r="X178" i="3"/>
  <c r="X177" i="3"/>
  <c r="X176" i="3"/>
  <c r="X175" i="3"/>
  <c r="X174" i="3"/>
  <c r="X173" i="3"/>
  <c r="X172" i="3"/>
  <c r="X171" i="3"/>
  <c r="X170" i="3"/>
  <c r="X169" i="3"/>
  <c r="X168" i="3"/>
  <c r="X167" i="3"/>
  <c r="X166" i="3"/>
  <c r="X165" i="3"/>
  <c r="X164" i="3"/>
  <c r="X163" i="3"/>
  <c r="X162" i="3"/>
  <c r="X161" i="3"/>
  <c r="X160" i="3"/>
  <c r="X159" i="3"/>
  <c r="X158" i="3"/>
  <c r="X157" i="3"/>
  <c r="X156" i="3"/>
  <c r="X155" i="3"/>
  <c r="X154" i="3"/>
  <c r="X153" i="3"/>
  <c r="X152" i="3"/>
  <c r="X151" i="3"/>
  <c r="X150" i="3"/>
  <c r="X149" i="3"/>
  <c r="X148" i="3"/>
  <c r="X147" i="3"/>
  <c r="X146" i="3"/>
  <c r="X145" i="3"/>
  <c r="X144" i="3"/>
  <c r="X143" i="3"/>
  <c r="X142" i="3"/>
  <c r="X141" i="3"/>
  <c r="X140" i="3"/>
  <c r="X139" i="3"/>
  <c r="X138" i="3"/>
  <c r="X137" i="3"/>
  <c r="X136" i="3"/>
  <c r="X135" i="3"/>
  <c r="X134" i="3"/>
  <c r="X133" i="3"/>
  <c r="X132" i="3"/>
  <c r="X131" i="3"/>
  <c r="X130" i="3"/>
  <c r="X129" i="3"/>
  <c r="X128" i="3"/>
  <c r="X127" i="3"/>
  <c r="X126" i="3"/>
  <c r="X125" i="3"/>
  <c r="X124" i="3"/>
  <c r="X123" i="3"/>
  <c r="X122" i="3"/>
  <c r="X121" i="3"/>
  <c r="X120" i="3"/>
  <c r="X119" i="3"/>
  <c r="X118" i="3"/>
  <c r="X117" i="3"/>
  <c r="X116" i="3"/>
  <c r="X115" i="3"/>
  <c r="X114" i="3"/>
  <c r="X113" i="3"/>
  <c r="X112" i="3"/>
  <c r="X111" i="3"/>
  <c r="X110" i="3"/>
  <c r="X109" i="3"/>
  <c r="X108" i="3"/>
  <c r="X107" i="3"/>
  <c r="X106" i="3"/>
  <c r="X105" i="3"/>
  <c r="X104" i="3"/>
  <c r="X103" i="3"/>
  <c r="X102" i="3"/>
  <c r="X101" i="3"/>
  <c r="X100" i="3"/>
  <c r="X99" i="3"/>
  <c r="X98" i="3"/>
  <c r="X97" i="3"/>
  <c r="X96" i="3"/>
  <c r="X95" i="3"/>
  <c r="X94" i="3"/>
  <c r="X93" i="3"/>
  <c r="X92" i="3"/>
  <c r="X91" i="3"/>
  <c r="X90" i="3"/>
  <c r="X89" i="3"/>
  <c r="X88" i="3"/>
  <c r="X87" i="3"/>
  <c r="X86" i="3"/>
  <c r="X85" i="3"/>
  <c r="X84" i="3"/>
  <c r="X83" i="3"/>
  <c r="X82" i="3"/>
  <c r="X81" i="3"/>
  <c r="X80" i="3"/>
  <c r="X79" i="3"/>
  <c r="X78" i="3"/>
  <c r="X77" i="3"/>
  <c r="X76" i="3"/>
  <c r="X75" i="3"/>
  <c r="X74" i="3"/>
  <c r="X73" i="3"/>
  <c r="X72" i="3"/>
  <c r="X71" i="3"/>
  <c r="X70" i="3"/>
  <c r="X69" i="3"/>
  <c r="X68" i="3"/>
  <c r="X67" i="3"/>
  <c r="X66" i="3"/>
  <c r="X65" i="3"/>
  <c r="X64" i="3"/>
  <c r="X63" i="3"/>
  <c r="X62" i="3"/>
  <c r="X61" i="3"/>
  <c r="X60" i="3"/>
  <c r="X59" i="3"/>
  <c r="X58" i="3"/>
  <c r="X57" i="3"/>
  <c r="X56" i="3"/>
  <c r="X55" i="3"/>
  <c r="X54" i="3"/>
  <c r="X53" i="3"/>
  <c r="X52" i="3"/>
  <c r="X51" i="3"/>
  <c r="X50" i="3"/>
  <c r="X49" i="3"/>
  <c r="X48" i="3"/>
  <c r="X47" i="3"/>
  <c r="X46" i="3"/>
  <c r="X45" i="3"/>
  <c r="X44" i="3"/>
  <c r="X43" i="3"/>
  <c r="X42" i="3"/>
  <c r="X41" i="3"/>
  <c r="X40" i="3"/>
  <c r="X39"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X7" i="3"/>
  <c r="X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6"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I264" i="12" l="1"/>
  <c r="AM429" i="12"/>
  <c r="X429" i="12"/>
  <c r="Q299" i="12"/>
  <c r="Q301" i="12"/>
  <c r="Q298" i="12"/>
  <c r="Q300" i="12"/>
  <c r="Q302" i="12"/>
  <c r="Y299" i="12"/>
  <c r="Y301" i="12"/>
  <c r="Y300" i="12"/>
  <c r="Y302" i="12"/>
  <c r="Y298" i="12"/>
  <c r="Y303" i="12" s="1"/>
  <c r="W299" i="12"/>
  <c r="W298" i="12"/>
  <c r="W301" i="12"/>
  <c r="W300" i="12"/>
  <c r="W302" i="12"/>
  <c r="V321" i="12"/>
  <c r="Z321" i="12"/>
  <c r="V309" i="12"/>
  <c r="Z309" i="12"/>
  <c r="W310" i="12"/>
  <c r="AA310" i="12"/>
  <c r="X311" i="12"/>
  <c r="U312" i="12"/>
  <c r="Y312" i="12"/>
  <c r="V313" i="12"/>
  <c r="Z313" i="12"/>
  <c r="W314" i="12"/>
  <c r="AA314" i="12"/>
  <c r="X315" i="12"/>
  <c r="U316" i="12"/>
  <c r="Y316" i="12"/>
  <c r="V317" i="12"/>
  <c r="Z317" i="12"/>
  <c r="W318" i="12"/>
  <c r="AA318" i="12"/>
  <c r="X319" i="12"/>
  <c r="U320" i="12"/>
  <c r="Y320" i="12"/>
  <c r="W308" i="12"/>
  <c r="AA308" i="12"/>
  <c r="W321" i="12"/>
  <c r="AA321" i="12"/>
  <c r="W309" i="12"/>
  <c r="AA309" i="12"/>
  <c r="X310" i="12"/>
  <c r="U311" i="12"/>
  <c r="Y311" i="12"/>
  <c r="V312" i="12"/>
  <c r="Z312" i="12"/>
  <c r="W313" i="12"/>
  <c r="AA313" i="12"/>
  <c r="X314" i="12"/>
  <c r="U315" i="12"/>
  <c r="Y315" i="12"/>
  <c r="V316" i="12"/>
  <c r="Z316" i="12"/>
  <c r="W317" i="12"/>
  <c r="AA317" i="12"/>
  <c r="X318" i="12"/>
  <c r="U319" i="12"/>
  <c r="Y319" i="12"/>
  <c r="V320" i="12"/>
  <c r="Z320" i="12"/>
  <c r="X308" i="12"/>
  <c r="U308" i="12"/>
  <c r="U321" i="12"/>
  <c r="U310" i="12"/>
  <c r="V311" i="12"/>
  <c r="W312" i="12"/>
  <c r="X313" i="12"/>
  <c r="Y314" i="12"/>
  <c r="Z315" i="12"/>
  <c r="AA316" i="12"/>
  <c r="U318" i="12"/>
  <c r="V319" i="12"/>
  <c r="W320" i="12"/>
  <c r="Y308" i="12"/>
  <c r="U309" i="12"/>
  <c r="V310" i="12"/>
  <c r="W311" i="12"/>
  <c r="X312" i="12"/>
  <c r="Y313" i="12"/>
  <c r="Z314" i="12"/>
  <c r="AA315" i="12"/>
  <c r="U317" i="12"/>
  <c r="V318" i="12"/>
  <c r="W319" i="12"/>
  <c r="X320" i="12"/>
  <c r="Z308" i="12"/>
  <c r="X321" i="12"/>
  <c r="X309" i="12"/>
  <c r="Y310" i="12"/>
  <c r="Z311" i="12"/>
  <c r="AA312" i="12"/>
  <c r="U314" i="12"/>
  <c r="V315" i="12"/>
  <c r="W316" i="12"/>
  <c r="X317" i="12"/>
  <c r="Y318" i="12"/>
  <c r="Z319" i="12"/>
  <c r="AA320" i="12"/>
  <c r="Y321" i="12"/>
  <c r="Y309" i="12"/>
  <c r="Z310" i="12"/>
  <c r="AA311" i="12"/>
  <c r="U313" i="12"/>
  <c r="V314" i="12"/>
  <c r="W315" i="12"/>
  <c r="X316" i="12"/>
  <c r="Y317" i="12"/>
  <c r="Z318" i="12"/>
  <c r="AA319" i="12"/>
  <c r="V308" i="12"/>
  <c r="V322" i="12" s="1"/>
  <c r="AG301" i="12"/>
  <c r="AG302" i="12"/>
  <c r="AG298" i="12"/>
  <c r="AG299" i="12"/>
  <c r="AG300" i="12"/>
  <c r="AC301" i="12"/>
  <c r="AC302" i="12"/>
  <c r="AC298" i="12"/>
  <c r="AC299" i="12"/>
  <c r="AC300" i="12"/>
  <c r="AD308" i="12"/>
  <c r="AD310" i="12"/>
  <c r="AD312" i="12"/>
  <c r="AD314" i="12"/>
  <c r="AD316" i="12"/>
  <c r="AD318" i="12"/>
  <c r="AD320" i="12"/>
  <c r="AD309" i="12"/>
  <c r="AD311" i="12"/>
  <c r="AD313" i="12"/>
  <c r="AD315" i="12"/>
  <c r="AD317" i="12"/>
  <c r="AD319" i="12"/>
  <c r="AD321" i="12"/>
  <c r="AN302" i="12"/>
  <c r="AN298" i="12"/>
  <c r="AN299" i="12"/>
  <c r="AN300" i="12"/>
  <c r="AN301" i="12"/>
  <c r="R299" i="12"/>
  <c r="R301" i="12"/>
  <c r="R298" i="12"/>
  <c r="R300" i="12"/>
  <c r="R302" i="12"/>
  <c r="O298" i="12"/>
  <c r="O300" i="12"/>
  <c r="O302" i="12"/>
  <c r="O299" i="12"/>
  <c r="O301" i="12"/>
  <c r="V302" i="12"/>
  <c r="V298" i="12"/>
  <c r="V300" i="12"/>
  <c r="V299" i="12"/>
  <c r="V301" i="12"/>
  <c r="AD302" i="12"/>
  <c r="AD298" i="12"/>
  <c r="AD299" i="12"/>
  <c r="AD300" i="12"/>
  <c r="AD301" i="12"/>
  <c r="AE309" i="12"/>
  <c r="AE311" i="12"/>
  <c r="AE313" i="12"/>
  <c r="AE315" i="12"/>
  <c r="AE317" i="12"/>
  <c r="AE319" i="12"/>
  <c r="AE321" i="12"/>
  <c r="AE308" i="12"/>
  <c r="AE310" i="12"/>
  <c r="AE312" i="12"/>
  <c r="AE314" i="12"/>
  <c r="AE316" i="12"/>
  <c r="AE318" i="12"/>
  <c r="AE320" i="12"/>
  <c r="AF309" i="12"/>
  <c r="AF311" i="12"/>
  <c r="AF313" i="12"/>
  <c r="AF315" i="12"/>
  <c r="AF317" i="12"/>
  <c r="AF319" i="12"/>
  <c r="AF321" i="12"/>
  <c r="AF308" i="12"/>
  <c r="AF310" i="12"/>
  <c r="AF312" i="12"/>
  <c r="AF314" i="12"/>
  <c r="AF316" i="12"/>
  <c r="AF318" i="12"/>
  <c r="AF320" i="12"/>
  <c r="AK299" i="12"/>
  <c r="AK300" i="12"/>
  <c r="AK301" i="12"/>
  <c r="AK302" i="12"/>
  <c r="AK298" i="12"/>
  <c r="AL300" i="12"/>
  <c r="AL301" i="12"/>
  <c r="AL302" i="12"/>
  <c r="AL298" i="12"/>
  <c r="AL299" i="12"/>
  <c r="N300" i="12"/>
  <c r="N299" i="12"/>
  <c r="N302" i="12"/>
  <c r="N298" i="12"/>
  <c r="N301" i="12"/>
  <c r="C298" i="12"/>
  <c r="P298" i="12"/>
  <c r="P300" i="12"/>
  <c r="P302" i="12"/>
  <c r="P299" i="12"/>
  <c r="P301" i="12"/>
  <c r="Q321" i="12"/>
  <c r="N321" i="12"/>
  <c r="Q309" i="12"/>
  <c r="N310" i="12"/>
  <c r="R310" i="12"/>
  <c r="O311" i="12"/>
  <c r="S311" i="12"/>
  <c r="P312" i="12"/>
  <c r="T312" i="12"/>
  <c r="R321" i="12"/>
  <c r="N309" i="12"/>
  <c r="R309" i="12"/>
  <c r="O310" i="12"/>
  <c r="S310" i="12"/>
  <c r="S321" i="12"/>
  <c r="S309" i="12"/>
  <c r="T310" i="12"/>
  <c r="R311" i="12"/>
  <c r="Q312" i="12"/>
  <c r="O313" i="12"/>
  <c r="S313" i="12"/>
  <c r="P314" i="12"/>
  <c r="T314" i="12"/>
  <c r="Q315" i="12"/>
  <c r="N316" i="12"/>
  <c r="R316" i="12"/>
  <c r="O317" i="12"/>
  <c r="S317" i="12"/>
  <c r="P318" i="12"/>
  <c r="T318" i="12"/>
  <c r="Q319" i="12"/>
  <c r="N320" i="12"/>
  <c r="R320" i="12"/>
  <c r="O308" i="12"/>
  <c r="S308" i="12"/>
  <c r="T321" i="12"/>
  <c r="T309" i="12"/>
  <c r="N311" i="12"/>
  <c r="T311" i="12"/>
  <c r="R312" i="12"/>
  <c r="P313" i="12"/>
  <c r="T313" i="12"/>
  <c r="Q314" i="12"/>
  <c r="N315" i="12"/>
  <c r="R315" i="12"/>
  <c r="O316" i="12"/>
  <c r="S316" i="12"/>
  <c r="P317" i="12"/>
  <c r="T317" i="12"/>
  <c r="Q318" i="12"/>
  <c r="N319" i="12"/>
  <c r="R319" i="12"/>
  <c r="O320" i="12"/>
  <c r="S320" i="12"/>
  <c r="P308" i="12"/>
  <c r="T308" i="12"/>
  <c r="O321" i="12"/>
  <c r="O309" i="12"/>
  <c r="P310" i="12"/>
  <c r="P311" i="12"/>
  <c r="N312" i="12"/>
  <c r="S312" i="12"/>
  <c r="Q313" i="12"/>
  <c r="N314" i="12"/>
  <c r="R314" i="12"/>
  <c r="O315" i="12"/>
  <c r="S315" i="12"/>
  <c r="P316" i="12"/>
  <c r="T316" i="12"/>
  <c r="Q317" i="12"/>
  <c r="N318" i="12"/>
  <c r="R318" i="12"/>
  <c r="O319" i="12"/>
  <c r="S319" i="12"/>
  <c r="P320" i="12"/>
  <c r="T320" i="12"/>
  <c r="Q308" i="12"/>
  <c r="C308" i="12"/>
  <c r="P321" i="12"/>
  <c r="P309" i="12"/>
  <c r="Q310" i="12"/>
  <c r="Q311" i="12"/>
  <c r="O312" i="12"/>
  <c r="N313" i="12"/>
  <c r="R313" i="12"/>
  <c r="O314" i="12"/>
  <c r="S314" i="12"/>
  <c r="P315" i="12"/>
  <c r="T315" i="12"/>
  <c r="Q316" i="12"/>
  <c r="N317" i="12"/>
  <c r="R317" i="12"/>
  <c r="O318" i="12"/>
  <c r="S318" i="12"/>
  <c r="P319" i="12"/>
  <c r="T319" i="12"/>
  <c r="Q320" i="12"/>
  <c r="N308" i="12"/>
  <c r="R308" i="12"/>
  <c r="U301" i="12"/>
  <c r="U299" i="12"/>
  <c r="U302" i="12"/>
  <c r="U298" i="12"/>
  <c r="U300" i="12"/>
  <c r="Z298" i="12"/>
  <c r="Z300" i="12"/>
  <c r="Z299" i="12"/>
  <c r="Z301" i="12"/>
  <c r="Z302" i="12"/>
  <c r="X300" i="12"/>
  <c r="X298" i="12"/>
  <c r="X301" i="12"/>
  <c r="X299" i="12"/>
  <c r="X302" i="12"/>
  <c r="AE299" i="12"/>
  <c r="AE300" i="12"/>
  <c r="AE301" i="12"/>
  <c r="AE302" i="12"/>
  <c r="AE298" i="12"/>
  <c r="AF300" i="12"/>
  <c r="AF301" i="12"/>
  <c r="AF302" i="12"/>
  <c r="AF298" i="12"/>
  <c r="AF299" i="12"/>
  <c r="AB321" i="12"/>
  <c r="AB312" i="12"/>
  <c r="AB316" i="12"/>
  <c r="AB320" i="12"/>
  <c r="AB309" i="12"/>
  <c r="AB313" i="12"/>
  <c r="AB317" i="12"/>
  <c r="AB308" i="12"/>
  <c r="AB314" i="12"/>
  <c r="E319" i="12"/>
  <c r="E315" i="12"/>
  <c r="E311" i="12"/>
  <c r="AB315" i="12"/>
  <c r="E318" i="12"/>
  <c r="E314" i="12"/>
  <c r="E310" i="12"/>
  <c r="AB310" i="12"/>
  <c r="AB318" i="12"/>
  <c r="E321" i="12"/>
  <c r="E317" i="12"/>
  <c r="E313" i="12"/>
  <c r="E309" i="12"/>
  <c r="AB311" i="12"/>
  <c r="AB319" i="12"/>
  <c r="E320" i="12"/>
  <c r="E316" i="12"/>
  <c r="E312" i="12"/>
  <c r="E308" i="12"/>
  <c r="AI301" i="12"/>
  <c r="AI302" i="12"/>
  <c r="AI298" i="12"/>
  <c r="AI299" i="12"/>
  <c r="AI300" i="12"/>
  <c r="S298" i="12"/>
  <c r="S300" i="12"/>
  <c r="S302" i="12"/>
  <c r="S299" i="12"/>
  <c r="S301" i="12"/>
  <c r="AA299" i="12"/>
  <c r="AA301" i="12"/>
  <c r="AA298" i="12"/>
  <c r="AA302" i="12"/>
  <c r="AA300" i="12"/>
  <c r="AB300" i="12"/>
  <c r="AB298" i="12"/>
  <c r="AB301" i="12"/>
  <c r="AB302" i="12"/>
  <c r="AB299" i="12"/>
  <c r="AG308" i="12"/>
  <c r="AG310" i="12"/>
  <c r="AG312" i="12"/>
  <c r="AG314" i="12"/>
  <c r="AG316" i="12"/>
  <c r="AG318" i="12"/>
  <c r="AG320" i="12"/>
  <c r="AG309" i="12"/>
  <c r="AG311" i="12"/>
  <c r="AG313" i="12"/>
  <c r="AG315" i="12"/>
  <c r="AG317" i="12"/>
  <c r="AG319" i="12"/>
  <c r="AG321" i="12"/>
  <c r="AC308" i="12"/>
  <c r="AC310" i="12"/>
  <c r="AC312" i="12"/>
  <c r="AC314" i="12"/>
  <c r="AC316" i="12"/>
  <c r="AC318" i="12"/>
  <c r="AC320" i="12"/>
  <c r="AC309" i="12"/>
  <c r="AC311" i="12"/>
  <c r="AC313" i="12"/>
  <c r="AC315" i="12"/>
  <c r="AC317" i="12"/>
  <c r="AC319" i="12"/>
  <c r="AC321" i="12"/>
  <c r="AM301" i="12"/>
  <c r="AM302" i="12"/>
  <c r="AM298" i="12"/>
  <c r="AM299" i="12"/>
  <c r="AM300" i="12"/>
  <c r="AJ302" i="12"/>
  <c r="AJ298" i="12"/>
  <c r="AJ299" i="12"/>
  <c r="AJ300" i="12"/>
  <c r="AJ301" i="12"/>
  <c r="N429" i="12"/>
  <c r="AC429" i="12"/>
  <c r="AH429" i="12"/>
  <c r="S429" i="12"/>
  <c r="E276" i="12"/>
  <c r="G278" i="12"/>
  <c r="D272" i="12"/>
  <c r="E368" i="12"/>
  <c r="F395" i="12"/>
  <c r="H275" i="12"/>
  <c r="F394" i="12"/>
  <c r="F269" i="12"/>
  <c r="I267" i="12"/>
  <c r="I268" i="12"/>
  <c r="I272" i="12"/>
  <c r="I276" i="12"/>
  <c r="G237" i="12"/>
  <c r="F238" i="12"/>
  <c r="E239" i="12"/>
  <c r="I239" i="12"/>
  <c r="G240" i="12"/>
  <c r="E241" i="12"/>
  <c r="I241" i="12"/>
  <c r="G242" i="12"/>
  <c r="E243" i="12"/>
  <c r="I243" i="12"/>
  <c r="G244" i="12"/>
  <c r="E245" i="12"/>
  <c r="I245" i="12"/>
  <c r="G246" i="12"/>
  <c r="E247" i="12"/>
  <c r="I247" i="12"/>
  <c r="G248" i="12"/>
  <c r="E249" i="12"/>
  <c r="I249" i="12"/>
  <c r="G250" i="12"/>
  <c r="F251" i="12"/>
  <c r="F252" i="12"/>
  <c r="E253" i="12"/>
  <c r="I253" i="12"/>
  <c r="H254" i="12"/>
  <c r="F255" i="12"/>
  <c r="E256" i="12"/>
  <c r="I256" i="12"/>
  <c r="H257" i="12"/>
  <c r="H258" i="12"/>
  <c r="D239" i="12"/>
  <c r="D254" i="12"/>
  <c r="D263" i="12"/>
  <c r="D259" i="12"/>
  <c r="G263" i="12"/>
  <c r="H262" i="12"/>
  <c r="I261" i="12"/>
  <c r="E261" i="12"/>
  <c r="F260" i="12"/>
  <c r="G259" i="12"/>
  <c r="D264" i="12"/>
  <c r="E265" i="12"/>
  <c r="F275" i="12"/>
  <c r="G274" i="12"/>
  <c r="H273" i="12"/>
  <c r="D273" i="12"/>
  <c r="H270" i="12"/>
  <c r="H269" i="12"/>
  <c r="H268" i="12"/>
  <c r="G267" i="12"/>
  <c r="G266" i="12"/>
  <c r="H277" i="12"/>
  <c r="I265" i="12"/>
  <c r="I273" i="12"/>
  <c r="I266" i="12"/>
  <c r="C315" i="12"/>
  <c r="E266" i="12"/>
  <c r="E270" i="12"/>
  <c r="G277" i="12"/>
  <c r="G268" i="12"/>
  <c r="G272" i="12"/>
  <c r="D265" i="12"/>
  <c r="D267" i="12"/>
  <c r="D271" i="12"/>
  <c r="H237" i="12"/>
  <c r="G238" i="12"/>
  <c r="F239" i="12"/>
  <c r="D240" i="12"/>
  <c r="H240" i="12"/>
  <c r="F241" i="12"/>
  <c r="D242" i="12"/>
  <c r="H242" i="12"/>
  <c r="F243" i="12"/>
  <c r="D244" i="12"/>
  <c r="H244" i="12"/>
  <c r="F245" i="12"/>
  <c r="D246" i="12"/>
  <c r="H246" i="12"/>
  <c r="F247" i="12"/>
  <c r="D248" i="12"/>
  <c r="H248" i="12"/>
  <c r="F249" i="12"/>
  <c r="D250" i="12"/>
  <c r="H250" i="12"/>
  <c r="G251" i="12"/>
  <c r="G252" i="12"/>
  <c r="F253" i="12"/>
  <c r="E254" i="12"/>
  <c r="I254" i="12"/>
  <c r="G255" i="12"/>
  <c r="F256" i="12"/>
  <c r="E257" i="12"/>
  <c r="I257" i="12"/>
  <c r="I258" i="12"/>
  <c r="D251" i="12"/>
  <c r="D256" i="12"/>
  <c r="D262" i="12"/>
  <c r="E258" i="12"/>
  <c r="F263" i="12"/>
  <c r="G262" i="12"/>
  <c r="H261" i="12"/>
  <c r="I260" i="12"/>
  <c r="E260" i="12"/>
  <c r="F259" i="12"/>
  <c r="F264" i="12"/>
  <c r="H265" i="12"/>
  <c r="H276" i="12"/>
  <c r="D276" i="12"/>
  <c r="E275" i="12"/>
  <c r="F274" i="12"/>
  <c r="G273" i="12"/>
  <c r="H272" i="12"/>
  <c r="G271" i="12"/>
  <c r="G270" i="12"/>
  <c r="G269" i="12"/>
  <c r="F268" i="12"/>
  <c r="F267" i="12"/>
  <c r="F266" i="12"/>
  <c r="F277" i="12"/>
  <c r="F278" i="12"/>
  <c r="I277" i="12"/>
  <c r="I271" i="12"/>
  <c r="I278" i="12"/>
  <c r="E237" i="12"/>
  <c r="I237" i="12"/>
  <c r="H238" i="12"/>
  <c r="G239" i="12"/>
  <c r="E240" i="12"/>
  <c r="I240" i="12"/>
  <c r="G241" i="12"/>
  <c r="E242" i="12"/>
  <c r="I242" i="12"/>
  <c r="G243" i="12"/>
  <c r="E244" i="12"/>
  <c r="I244" i="12"/>
  <c r="G245" i="12"/>
  <c r="E246" i="12"/>
  <c r="I246" i="12"/>
  <c r="G247" i="12"/>
  <c r="E248" i="12"/>
  <c r="I248" i="12"/>
  <c r="G249" i="12"/>
  <c r="E250" i="12"/>
  <c r="I250" i="12"/>
  <c r="H251" i="12"/>
  <c r="H252" i="12"/>
  <c r="G253" i="12"/>
  <c r="F254" i="12"/>
  <c r="D255" i="12"/>
  <c r="H255" i="12"/>
  <c r="G256" i="12"/>
  <c r="F257" i="12"/>
  <c r="F258" i="12"/>
  <c r="D237" i="12"/>
  <c r="D252" i="12"/>
  <c r="D257" i="12"/>
  <c r="D261" i="12"/>
  <c r="I263" i="12"/>
  <c r="E263" i="12"/>
  <c r="F262" i="12"/>
  <c r="G261" i="12"/>
  <c r="H260" i="12"/>
  <c r="I259" i="12"/>
  <c r="E259" i="12"/>
  <c r="G264" i="12"/>
  <c r="G265" i="12"/>
  <c r="G276" i="12"/>
  <c r="D275" i="12"/>
  <c r="E274" i="12"/>
  <c r="F273" i="12"/>
  <c r="F272" i="12"/>
  <c r="F271" i="12"/>
  <c r="F270" i="12"/>
  <c r="E269" i="12"/>
  <c r="E268" i="12"/>
  <c r="E267" i="12"/>
  <c r="D266" i="12"/>
  <c r="E277" i="12"/>
  <c r="E278" i="12"/>
  <c r="I275" i="12"/>
  <c r="I270" i="12"/>
  <c r="H278" i="12"/>
  <c r="H267" i="12"/>
  <c r="H271" i="12"/>
  <c r="F237" i="12"/>
  <c r="E238" i="12"/>
  <c r="I238" i="12"/>
  <c r="H239" i="12"/>
  <c r="F240" i="12"/>
  <c r="D241" i="12"/>
  <c r="H241" i="12"/>
  <c r="F242" i="12"/>
  <c r="D243" i="12"/>
  <c r="H243" i="12"/>
  <c r="F244" i="12"/>
  <c r="D245" i="12"/>
  <c r="H245" i="12"/>
  <c r="F246" i="12"/>
  <c r="D247" i="12"/>
  <c r="H247" i="12"/>
  <c r="F248" i="12"/>
  <c r="D249" i="12"/>
  <c r="H249" i="12"/>
  <c r="F250" i="12"/>
  <c r="E251" i="12"/>
  <c r="E252" i="12"/>
  <c r="I252" i="12"/>
  <c r="H253" i="12"/>
  <c r="G254" i="12"/>
  <c r="E255" i="12"/>
  <c r="I255" i="12"/>
  <c r="H256" i="12"/>
  <c r="G257" i="12"/>
  <c r="G258" i="12"/>
  <c r="D238" i="12"/>
  <c r="D253" i="12"/>
  <c r="D258" i="12"/>
  <c r="D260" i="12"/>
  <c r="H263" i="12"/>
  <c r="I262" i="12"/>
  <c r="E262" i="12"/>
  <c r="F261" i="12"/>
  <c r="G260" i="12"/>
  <c r="H259" i="12"/>
  <c r="E264" i="12"/>
  <c r="H264" i="12"/>
  <c r="F265" i="12"/>
  <c r="F276" i="12"/>
  <c r="G275" i="12"/>
  <c r="H274" i="12"/>
  <c r="D274" i="12"/>
  <c r="E273" i="12"/>
  <c r="E272" i="12"/>
  <c r="E271" i="12"/>
  <c r="D270" i="12"/>
  <c r="D269" i="12"/>
  <c r="D268" i="12"/>
  <c r="H266" i="12"/>
  <c r="D277" i="12"/>
  <c r="D278" i="12"/>
  <c r="I251" i="12"/>
  <c r="I274" i="12"/>
  <c r="I269" i="12"/>
  <c r="C299" i="12"/>
  <c r="D382" i="12"/>
  <c r="C300" i="12"/>
  <c r="C309" i="12"/>
  <c r="C313" i="12"/>
  <c r="C321" i="12"/>
  <c r="C317" i="12"/>
  <c r="D327" i="12"/>
  <c r="D336" i="12"/>
  <c r="D332" i="12"/>
  <c r="D328" i="12"/>
  <c r="D394" i="12"/>
  <c r="D390" i="12"/>
  <c r="D386" i="12"/>
  <c r="D341" i="12"/>
  <c r="D343" i="12"/>
  <c r="D345" i="12"/>
  <c r="D347" i="12"/>
  <c r="D349" i="12"/>
  <c r="D351" i="12"/>
  <c r="D353" i="12"/>
  <c r="D355" i="12"/>
  <c r="D359" i="12"/>
  <c r="D363" i="12"/>
  <c r="D367" i="12"/>
  <c r="D371" i="12"/>
  <c r="D375" i="12"/>
  <c r="D379" i="12"/>
  <c r="E369" i="12"/>
  <c r="E373" i="12"/>
  <c r="E377" i="12"/>
  <c r="E381" i="12"/>
  <c r="E357" i="12"/>
  <c r="E361" i="12"/>
  <c r="E365" i="12"/>
  <c r="F327" i="12"/>
  <c r="F331" i="12"/>
  <c r="F336" i="12"/>
  <c r="F340" i="12"/>
  <c r="F344" i="12"/>
  <c r="F348" i="12"/>
  <c r="F352" i="12"/>
  <c r="F356" i="12"/>
  <c r="F360" i="12"/>
  <c r="F364" i="12"/>
  <c r="F368" i="12"/>
  <c r="F372" i="12"/>
  <c r="F376" i="12"/>
  <c r="F380" i="12"/>
  <c r="F384" i="12"/>
  <c r="F388" i="12"/>
  <c r="F392" i="12"/>
  <c r="F396" i="12"/>
  <c r="C301" i="12"/>
  <c r="C310" i="12"/>
  <c r="C314" i="12"/>
  <c r="C318" i="12"/>
  <c r="D339" i="12"/>
  <c r="D335" i="12"/>
  <c r="D331" i="12"/>
  <c r="D340" i="12"/>
  <c r="D393" i="12"/>
  <c r="D389" i="12"/>
  <c r="D385" i="12"/>
  <c r="E341" i="12"/>
  <c r="E343" i="12"/>
  <c r="E345" i="12"/>
  <c r="E347" i="12"/>
  <c r="E349" i="12"/>
  <c r="E351" i="12"/>
  <c r="E353" i="12"/>
  <c r="D356" i="12"/>
  <c r="D360" i="12"/>
  <c r="D364" i="12"/>
  <c r="D368" i="12"/>
  <c r="D372" i="12"/>
  <c r="D376" i="12"/>
  <c r="D380" i="12"/>
  <c r="E370" i="12"/>
  <c r="E374" i="12"/>
  <c r="E378" i="12"/>
  <c r="E382" i="12"/>
  <c r="E358" i="12"/>
  <c r="E362" i="12"/>
  <c r="E366" i="12"/>
  <c r="F328" i="12"/>
  <c r="F332" i="12"/>
  <c r="F337" i="12"/>
  <c r="F341" i="12"/>
  <c r="F345" i="12"/>
  <c r="F349" i="12"/>
  <c r="F353" i="12"/>
  <c r="F357" i="12"/>
  <c r="F361" i="12"/>
  <c r="F365" i="12"/>
  <c r="F369" i="12"/>
  <c r="F373" i="12"/>
  <c r="F377" i="12"/>
  <c r="F381" i="12"/>
  <c r="F385" i="12"/>
  <c r="F389" i="12"/>
  <c r="F393" i="12"/>
  <c r="F335" i="12"/>
  <c r="C302" i="12"/>
  <c r="C311" i="12"/>
  <c r="C319" i="12"/>
  <c r="C316" i="12"/>
  <c r="D338" i="12"/>
  <c r="D334" i="12"/>
  <c r="D330" i="12"/>
  <c r="D383" i="12"/>
  <c r="D392" i="12"/>
  <c r="D388" i="12"/>
  <c r="D384" i="12"/>
  <c r="D342" i="12"/>
  <c r="D344" i="12"/>
  <c r="D346" i="12"/>
  <c r="D348" i="12"/>
  <c r="D350" i="12"/>
  <c r="D352" i="12"/>
  <c r="D354" i="12"/>
  <c r="D357" i="12"/>
  <c r="D361" i="12"/>
  <c r="D365" i="12"/>
  <c r="D369" i="12"/>
  <c r="D373" i="12"/>
  <c r="D377" i="12"/>
  <c r="D381" i="12"/>
  <c r="E371" i="12"/>
  <c r="E375" i="12"/>
  <c r="E379" i="12"/>
  <c r="E355" i="12"/>
  <c r="E359" i="12"/>
  <c r="E363" i="12"/>
  <c r="E367" i="12"/>
  <c r="F329" i="12"/>
  <c r="F333" i="12"/>
  <c r="F338" i="12"/>
  <c r="F342" i="12"/>
  <c r="F346" i="12"/>
  <c r="F350" i="12"/>
  <c r="F354" i="12"/>
  <c r="F358" i="12"/>
  <c r="F362" i="12"/>
  <c r="F366" i="12"/>
  <c r="F370" i="12"/>
  <c r="F374" i="12"/>
  <c r="F378" i="12"/>
  <c r="F382" i="12"/>
  <c r="F386" i="12"/>
  <c r="F390" i="12"/>
  <c r="C312" i="12"/>
  <c r="C320" i="12"/>
  <c r="D337" i="12"/>
  <c r="D333" i="12"/>
  <c r="D329" i="12"/>
  <c r="D395" i="12"/>
  <c r="D391" i="12"/>
  <c r="D387" i="12"/>
  <c r="D396" i="12"/>
  <c r="E342" i="12"/>
  <c r="E344" i="12"/>
  <c r="E346" i="12"/>
  <c r="E348" i="12"/>
  <c r="E350" i="12"/>
  <c r="E352" i="12"/>
  <c r="E354" i="12"/>
  <c r="D358" i="12"/>
  <c r="D362" i="12"/>
  <c r="D366" i="12"/>
  <c r="D370" i="12"/>
  <c r="D374" i="12"/>
  <c r="D378" i="12"/>
  <c r="E372" i="12"/>
  <c r="E376" i="12"/>
  <c r="E380" i="12"/>
  <c r="E356" i="12"/>
  <c r="E360" i="12"/>
  <c r="E364" i="12"/>
  <c r="F330" i="12"/>
  <c r="F334" i="12"/>
  <c r="F339" i="12"/>
  <c r="F343" i="12"/>
  <c r="F347" i="12"/>
  <c r="F351" i="12"/>
  <c r="F355" i="12"/>
  <c r="F359" i="12"/>
  <c r="F363" i="12"/>
  <c r="F367" i="12"/>
  <c r="F371" i="12"/>
  <c r="F375" i="12"/>
  <c r="F379" i="12"/>
  <c r="F383" i="12"/>
  <c r="F387" i="12"/>
  <c r="F391" i="12"/>
  <c r="D321" i="12"/>
  <c r="D319" i="12"/>
  <c r="D315" i="12"/>
  <c r="D311" i="12"/>
  <c r="D318" i="12"/>
  <c r="D314" i="12"/>
  <c r="D310" i="12"/>
  <c r="D317" i="12"/>
  <c r="D313" i="12"/>
  <c r="D309" i="12"/>
  <c r="D320" i="12"/>
  <c r="D316" i="12"/>
  <c r="D312" i="12"/>
  <c r="C160" i="12"/>
  <c r="G160" i="12"/>
  <c r="E161" i="12"/>
  <c r="C162" i="12"/>
  <c r="G162" i="12"/>
  <c r="E163" i="12"/>
  <c r="C164" i="12"/>
  <c r="G164" i="12"/>
  <c r="D160" i="12"/>
  <c r="H160" i="12"/>
  <c r="F161" i="12"/>
  <c r="D162" i="12"/>
  <c r="H162" i="12"/>
  <c r="F163" i="12"/>
  <c r="D164" i="12"/>
  <c r="H164" i="12"/>
  <c r="E160" i="12"/>
  <c r="C161" i="12"/>
  <c r="G161" i="12"/>
  <c r="E162" i="12"/>
  <c r="C163" i="12"/>
  <c r="G163" i="12"/>
  <c r="E164" i="12"/>
  <c r="F160" i="12"/>
  <c r="D161" i="12"/>
  <c r="H161" i="12"/>
  <c r="F162" i="12"/>
  <c r="D163" i="12"/>
  <c r="H163" i="12"/>
  <c r="F164" i="12"/>
  <c r="D130" i="12"/>
  <c r="D129" i="12"/>
  <c r="D128" i="12"/>
  <c r="D127" i="12"/>
  <c r="D126" i="12"/>
  <c r="D125" i="12"/>
  <c r="D124" i="12"/>
  <c r="D123" i="12"/>
  <c r="D122" i="12"/>
  <c r="D121" i="12"/>
  <c r="D120" i="12"/>
  <c r="D119" i="12"/>
  <c r="D118"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K10" i="12"/>
  <c r="J10" i="12"/>
  <c r="I10" i="12"/>
  <c r="H10" i="12"/>
  <c r="G10" i="12"/>
  <c r="F10" i="12"/>
  <c r="E10" i="12"/>
  <c r="C10" i="12"/>
  <c r="K9" i="12"/>
  <c r="J9" i="12"/>
  <c r="I9" i="12"/>
  <c r="H9" i="12"/>
  <c r="G9" i="12"/>
  <c r="F9" i="12"/>
  <c r="E9" i="12"/>
  <c r="C9" i="12"/>
  <c r="K8" i="12"/>
  <c r="J8" i="12"/>
  <c r="I8" i="12"/>
  <c r="H8" i="12"/>
  <c r="G8" i="12"/>
  <c r="F8" i="12"/>
  <c r="E8" i="12"/>
  <c r="C8" i="12"/>
  <c r="K7" i="12"/>
  <c r="J7" i="12"/>
  <c r="I7" i="12"/>
  <c r="H7" i="12"/>
  <c r="G7" i="12"/>
  <c r="F7" i="12"/>
  <c r="E7" i="12"/>
  <c r="C7" i="12"/>
  <c r="K6" i="12"/>
  <c r="J6" i="12"/>
  <c r="I6" i="12"/>
  <c r="H6" i="12"/>
  <c r="G6" i="12"/>
  <c r="F6" i="12"/>
  <c r="E6" i="12"/>
  <c r="C6" i="12"/>
  <c r="K5" i="12"/>
  <c r="J5" i="12"/>
  <c r="I5" i="12"/>
  <c r="H5" i="12"/>
  <c r="G5" i="12"/>
  <c r="F5" i="12"/>
  <c r="C5" i="12"/>
  <c r="K41" i="12"/>
  <c r="J41" i="12"/>
  <c r="I41" i="12"/>
  <c r="H41" i="12"/>
  <c r="G41" i="12"/>
  <c r="F41" i="12"/>
  <c r="E41" i="12"/>
  <c r="K40" i="12"/>
  <c r="J40" i="12"/>
  <c r="I40" i="12"/>
  <c r="H40" i="12"/>
  <c r="G40" i="12"/>
  <c r="F40" i="12"/>
  <c r="E40" i="12"/>
  <c r="K39" i="12"/>
  <c r="J39" i="12"/>
  <c r="I39" i="12"/>
  <c r="H39" i="12"/>
  <c r="G39" i="12"/>
  <c r="F39" i="12"/>
  <c r="E39" i="12"/>
  <c r="K38" i="12"/>
  <c r="J38" i="12"/>
  <c r="I38" i="12"/>
  <c r="H38" i="12"/>
  <c r="G38" i="12"/>
  <c r="F38" i="12"/>
  <c r="E38" i="12"/>
  <c r="K37" i="12"/>
  <c r="J37" i="12"/>
  <c r="I37" i="12"/>
  <c r="H37" i="12"/>
  <c r="G37" i="12"/>
  <c r="F37" i="12"/>
  <c r="E37" i="12"/>
  <c r="K36" i="12"/>
  <c r="J36" i="12"/>
  <c r="I36" i="12"/>
  <c r="H36" i="12"/>
  <c r="G36" i="12"/>
  <c r="F36" i="12"/>
  <c r="E36" i="12"/>
  <c r="K35" i="12"/>
  <c r="J35" i="12"/>
  <c r="I35" i="12"/>
  <c r="H35" i="12"/>
  <c r="G35" i="12"/>
  <c r="F35" i="12"/>
  <c r="E35" i="12"/>
  <c r="K34" i="12"/>
  <c r="J34" i="12"/>
  <c r="I34" i="12"/>
  <c r="H34" i="12"/>
  <c r="G34" i="12"/>
  <c r="F34" i="12"/>
  <c r="E34" i="12"/>
  <c r="K33" i="12"/>
  <c r="J33" i="12"/>
  <c r="I33" i="12"/>
  <c r="H33" i="12"/>
  <c r="G33" i="12"/>
  <c r="F33" i="12"/>
  <c r="E33" i="12"/>
  <c r="K32" i="12"/>
  <c r="J32" i="12"/>
  <c r="I32" i="12"/>
  <c r="H32" i="12"/>
  <c r="G32" i="12"/>
  <c r="F32" i="12"/>
  <c r="E32" i="12"/>
  <c r="K31" i="12"/>
  <c r="J31" i="12"/>
  <c r="I31" i="12"/>
  <c r="H31" i="12"/>
  <c r="G31" i="12"/>
  <c r="F31" i="12"/>
  <c r="E31" i="12"/>
  <c r="K30" i="12"/>
  <c r="J30" i="12"/>
  <c r="I30" i="12"/>
  <c r="H30" i="12"/>
  <c r="G30" i="12"/>
  <c r="F30" i="12"/>
  <c r="E30" i="12"/>
  <c r="K29" i="12"/>
  <c r="J29" i="12"/>
  <c r="I29" i="12"/>
  <c r="H29" i="12"/>
  <c r="G29" i="12"/>
  <c r="F29" i="12"/>
  <c r="E29" i="12"/>
  <c r="K28" i="12"/>
  <c r="J28" i="12"/>
  <c r="I28" i="12"/>
  <c r="H28" i="12"/>
  <c r="G28" i="12"/>
  <c r="F28" i="12"/>
  <c r="E28" i="12"/>
  <c r="C41" i="12"/>
  <c r="C40" i="12"/>
  <c r="C39" i="12"/>
  <c r="C38" i="12"/>
  <c r="C37" i="12"/>
  <c r="C36" i="12"/>
  <c r="C35" i="12"/>
  <c r="C34" i="12"/>
  <c r="C33" i="12"/>
  <c r="C32" i="12"/>
  <c r="C31" i="12"/>
  <c r="C30" i="12"/>
  <c r="C29" i="12"/>
  <c r="C28" i="12"/>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472" i="15"/>
  <c r="L473" i="15"/>
  <c r="L474" i="15"/>
  <c r="L475" i="15"/>
  <c r="L476" i="15"/>
  <c r="L477" i="15"/>
  <c r="L478" i="15"/>
  <c r="L479" i="15"/>
  <c r="L480" i="15"/>
  <c r="L481" i="15"/>
  <c r="L482" i="15"/>
  <c r="L483" i="15"/>
  <c r="L484" i="15"/>
  <c r="L485" i="15"/>
  <c r="L486" i="15"/>
  <c r="L487" i="15"/>
  <c r="L488" i="15"/>
  <c r="L489" i="15"/>
  <c r="L490" i="15"/>
  <c r="L491" i="15"/>
  <c r="L492" i="15"/>
  <c r="L493" i="15"/>
  <c r="L494" i="15"/>
  <c r="L495" i="15"/>
  <c r="L496" i="15"/>
  <c r="L497" i="15"/>
  <c r="L498" i="15"/>
  <c r="L499" i="15"/>
  <c r="L500" i="15"/>
  <c r="L501" i="15"/>
  <c r="L502" i="15"/>
  <c r="L503" i="15"/>
  <c r="L504" i="15"/>
  <c r="L505" i="15"/>
  <c r="L506" i="15"/>
  <c r="L507" i="15"/>
  <c r="L508" i="15"/>
  <c r="L509" i="15"/>
  <c r="L510" i="15"/>
  <c r="L511" i="15"/>
  <c r="L512" i="15"/>
  <c r="L513" i="15"/>
  <c r="L514" i="15"/>
  <c r="L515" i="15"/>
  <c r="L516" i="15"/>
  <c r="L517" i="15"/>
  <c r="L518" i="15"/>
  <c r="L519" i="15"/>
  <c r="L520" i="15"/>
  <c r="L521" i="15"/>
  <c r="L522" i="15"/>
  <c r="L523" i="15"/>
  <c r="L524" i="15"/>
  <c r="L525" i="15"/>
  <c r="L526" i="15"/>
  <c r="L527" i="15"/>
  <c r="L528" i="15"/>
  <c r="L529" i="15"/>
  <c r="L530" i="15"/>
  <c r="L531" i="15"/>
  <c r="L532" i="15"/>
  <c r="L533" i="15"/>
  <c r="L534" i="15"/>
  <c r="L535" i="15"/>
  <c r="L536" i="15"/>
  <c r="L537" i="15"/>
  <c r="L538" i="15"/>
  <c r="L539" i="15"/>
  <c r="L540" i="15"/>
  <c r="L541" i="15"/>
  <c r="L542" i="15"/>
  <c r="L543" i="15"/>
  <c r="L544" i="15"/>
  <c r="L545" i="15"/>
  <c r="L546" i="15"/>
  <c r="L547" i="15"/>
  <c r="L548" i="15"/>
  <c r="L549" i="15"/>
  <c r="L550" i="15"/>
  <c r="L551" i="15"/>
  <c r="L552" i="15"/>
  <c r="L553" i="15"/>
  <c r="L554" i="15"/>
  <c r="L555" i="15"/>
  <c r="L556" i="15"/>
  <c r="L557" i="15"/>
  <c r="L558" i="15"/>
  <c r="L559" i="15"/>
  <c r="L560" i="15"/>
  <c r="L561" i="15"/>
  <c r="L562" i="15"/>
  <c r="L563" i="15"/>
  <c r="L564" i="15"/>
  <c r="L565" i="15"/>
  <c r="L566" i="15"/>
  <c r="L567" i="15"/>
  <c r="L568" i="15"/>
  <c r="L569" i="15"/>
  <c r="L570" i="15"/>
  <c r="L571" i="15"/>
  <c r="L572" i="15"/>
  <c r="L573" i="15"/>
  <c r="L574" i="15"/>
  <c r="L575" i="15"/>
  <c r="L576" i="15"/>
  <c r="L577" i="15"/>
  <c r="L578" i="15"/>
  <c r="L579" i="15"/>
  <c r="L580" i="15"/>
  <c r="L581" i="15"/>
  <c r="L582" i="15"/>
  <c r="L583" i="15"/>
  <c r="L584" i="15"/>
  <c r="L585" i="15"/>
  <c r="L586" i="15"/>
  <c r="L587" i="15"/>
  <c r="L588" i="15"/>
  <c r="L589" i="15"/>
  <c r="L590" i="15"/>
  <c r="L591" i="15"/>
  <c r="L592" i="15"/>
  <c r="L593" i="15"/>
  <c r="L594" i="15"/>
  <c r="L595" i="15"/>
  <c r="L596" i="15"/>
  <c r="L597" i="15"/>
  <c r="L598" i="15"/>
  <c r="L599" i="15"/>
  <c r="L600" i="15"/>
  <c r="L601" i="15"/>
  <c r="L602" i="15"/>
  <c r="L603" i="15"/>
  <c r="L604" i="15"/>
  <c r="L605" i="15"/>
  <c r="L606" i="15"/>
  <c r="L607" i="15"/>
  <c r="L608" i="15"/>
  <c r="L609" i="15"/>
  <c r="L610" i="15"/>
  <c r="L611" i="15"/>
  <c r="L612" i="15"/>
  <c r="L613" i="15"/>
  <c r="L614" i="15"/>
  <c r="L615" i="15"/>
  <c r="L616" i="15"/>
  <c r="L617" i="15"/>
  <c r="L618" i="15"/>
  <c r="L619" i="15"/>
  <c r="L620" i="15"/>
  <c r="L621" i="15"/>
  <c r="L622" i="15"/>
  <c r="L623" i="15"/>
  <c r="L624" i="15"/>
  <c r="L625" i="15"/>
  <c r="L626" i="15"/>
  <c r="L627" i="15"/>
  <c r="L628" i="15"/>
  <c r="L629" i="15"/>
  <c r="L630" i="15"/>
  <c r="L631" i="15"/>
  <c r="L632" i="15"/>
  <c r="L633" i="15"/>
  <c r="L634" i="15"/>
  <c r="L635" i="15"/>
  <c r="L636" i="15"/>
  <c r="L637" i="15"/>
  <c r="L638" i="15"/>
  <c r="L639" i="15"/>
  <c r="L640" i="15"/>
  <c r="L641" i="15"/>
  <c r="L642" i="15"/>
  <c r="L643" i="15"/>
  <c r="L644" i="15"/>
  <c r="L645" i="15"/>
  <c r="L646" i="15"/>
  <c r="L647" i="15"/>
  <c r="L648" i="15"/>
  <c r="L649" i="15"/>
  <c r="L650" i="15"/>
  <c r="L651" i="15"/>
  <c r="L652" i="15"/>
  <c r="L653" i="15"/>
  <c r="L654" i="15"/>
  <c r="L655" i="15"/>
  <c r="L656" i="15"/>
  <c r="L657" i="15"/>
  <c r="L658" i="15"/>
  <c r="L659" i="15"/>
  <c r="L660" i="15"/>
  <c r="L661" i="15"/>
  <c r="L662" i="15"/>
  <c r="L663" i="15"/>
  <c r="L664" i="15"/>
  <c r="L665" i="15"/>
  <c r="L666" i="15"/>
  <c r="L667" i="15"/>
  <c r="L668" i="15"/>
  <c r="L669" i="15"/>
  <c r="L670" i="15"/>
  <c r="L671" i="15"/>
  <c r="L672" i="15"/>
  <c r="L673" i="15"/>
  <c r="L674" i="15"/>
  <c r="L675" i="15"/>
  <c r="L676" i="15"/>
  <c r="L677" i="15"/>
  <c r="L678" i="15"/>
  <c r="L679" i="15"/>
  <c r="L680" i="15"/>
  <c r="L681" i="15"/>
  <c r="L682" i="15"/>
  <c r="L683" i="15"/>
  <c r="L684" i="15"/>
  <c r="L685" i="15"/>
  <c r="L686" i="15"/>
  <c r="L687" i="15"/>
  <c r="L688" i="15"/>
  <c r="L689" i="15"/>
  <c r="L690" i="15"/>
  <c r="L691" i="15"/>
  <c r="L692" i="15"/>
  <c r="L693" i="15"/>
  <c r="L694" i="15"/>
  <c r="L695" i="15"/>
  <c r="L696" i="15"/>
  <c r="L697" i="15"/>
  <c r="L698" i="15"/>
  <c r="L699" i="15"/>
  <c r="L700" i="15"/>
  <c r="L701" i="15"/>
  <c r="L702" i="15"/>
  <c r="L703" i="15"/>
  <c r="L704" i="15"/>
  <c r="L705" i="15"/>
  <c r="L706" i="15"/>
  <c r="L707" i="15"/>
  <c r="L708" i="15"/>
  <c r="L709" i="15"/>
  <c r="L710" i="15"/>
  <c r="L711" i="15"/>
  <c r="L712" i="15"/>
  <c r="L713" i="15"/>
  <c r="L714" i="15"/>
  <c r="L715" i="15"/>
  <c r="L716" i="15"/>
  <c r="L717" i="15"/>
  <c r="L718" i="15"/>
  <c r="L719" i="15"/>
  <c r="L720" i="15"/>
  <c r="L721" i="15"/>
  <c r="L722" i="15"/>
  <c r="L723" i="15"/>
  <c r="L724" i="15"/>
  <c r="L725" i="15"/>
  <c r="L726" i="15"/>
  <c r="L727" i="15"/>
  <c r="L728" i="15"/>
  <c r="L729" i="15"/>
  <c r="L730" i="15"/>
  <c r="L731" i="15"/>
  <c r="L732" i="15"/>
  <c r="L733" i="15"/>
  <c r="L734" i="15"/>
  <c r="L735" i="15"/>
  <c r="L736" i="15"/>
  <c r="L737" i="15"/>
  <c r="L738" i="15"/>
  <c r="L739" i="15"/>
  <c r="L740" i="15"/>
  <c r="L741" i="15"/>
  <c r="L742" i="15"/>
  <c r="L743" i="15"/>
  <c r="L744" i="15"/>
  <c r="L745" i="15"/>
  <c r="L746" i="15"/>
  <c r="L747" i="15"/>
  <c r="L748" i="15"/>
  <c r="L749" i="15"/>
  <c r="L750" i="15"/>
  <c r="L751" i="15"/>
  <c r="L752" i="15"/>
  <c r="L753" i="15"/>
  <c r="L754" i="15"/>
  <c r="L755" i="15"/>
  <c r="L756" i="15"/>
  <c r="L757" i="15"/>
  <c r="L758" i="15"/>
  <c r="L759" i="15"/>
  <c r="L760" i="15"/>
  <c r="L761" i="15"/>
  <c r="L762" i="15"/>
  <c r="L763" i="15"/>
  <c r="L764" i="15"/>
  <c r="L765" i="15"/>
  <c r="L766" i="15"/>
  <c r="L767" i="15"/>
  <c r="L768" i="15"/>
  <c r="L769" i="15"/>
  <c r="L770" i="15"/>
  <c r="L771" i="15"/>
  <c r="L772" i="15"/>
  <c r="L773" i="15"/>
  <c r="L774" i="15"/>
  <c r="L775" i="15"/>
  <c r="L776" i="15"/>
  <c r="L777" i="15"/>
  <c r="L778" i="15"/>
  <c r="L779" i="15"/>
  <c r="L780" i="15"/>
  <c r="L781" i="15"/>
  <c r="L782" i="15"/>
  <c r="L783" i="15"/>
  <c r="L784" i="15"/>
  <c r="L785" i="15"/>
  <c r="L786" i="15"/>
  <c r="L787" i="15"/>
  <c r="L788" i="15"/>
  <c r="L789" i="15"/>
  <c r="L790" i="15"/>
  <c r="L791" i="15"/>
  <c r="L792" i="15"/>
  <c r="L793" i="15"/>
  <c r="L794" i="15"/>
  <c r="L795" i="15"/>
  <c r="L796" i="15"/>
  <c r="L797" i="15"/>
  <c r="L798" i="15"/>
  <c r="L799" i="15"/>
  <c r="L800" i="15"/>
  <c r="L801" i="15"/>
  <c r="L802" i="15"/>
  <c r="L803" i="15"/>
  <c r="L804" i="15"/>
  <c r="L805" i="15"/>
  <c r="L806" i="15"/>
  <c r="L807" i="15"/>
  <c r="L808" i="15"/>
  <c r="L809" i="15"/>
  <c r="L810" i="15"/>
  <c r="L811" i="15"/>
  <c r="L812" i="15"/>
  <c r="L813" i="15"/>
  <c r="L814" i="15"/>
  <c r="L815" i="15"/>
  <c r="L816" i="15"/>
  <c r="L817" i="15"/>
  <c r="L818" i="15"/>
  <c r="L819" i="15"/>
  <c r="L820" i="15"/>
  <c r="L821" i="15"/>
  <c r="L822" i="15"/>
  <c r="L823" i="15"/>
  <c r="L824" i="15"/>
  <c r="L825" i="15"/>
  <c r="L826" i="15"/>
  <c r="L827" i="15"/>
  <c r="L828" i="15"/>
  <c r="L829" i="15"/>
  <c r="L830" i="15"/>
  <c r="L831" i="15"/>
  <c r="L832" i="15"/>
  <c r="L833" i="15"/>
  <c r="L834" i="15"/>
  <c r="L835" i="15"/>
  <c r="L836" i="15"/>
  <c r="L837" i="15"/>
  <c r="L838" i="15"/>
  <c r="L839" i="15"/>
  <c r="L840" i="15"/>
  <c r="L841" i="15"/>
  <c r="L842" i="15"/>
  <c r="L843" i="15"/>
  <c r="L844" i="15"/>
  <c r="L845" i="15"/>
  <c r="L846" i="15"/>
  <c r="L847" i="15"/>
  <c r="L848" i="15"/>
  <c r="L849" i="15"/>
  <c r="L850" i="15"/>
  <c r="L851" i="15"/>
  <c r="L852" i="15"/>
  <c r="L853" i="15"/>
  <c r="L854" i="15"/>
  <c r="L855" i="15"/>
  <c r="L856" i="15"/>
  <c r="L857" i="15"/>
  <c r="L858" i="15"/>
  <c r="L859" i="15"/>
  <c r="L860" i="15"/>
  <c r="L861" i="15"/>
  <c r="L862" i="15"/>
  <c r="L863" i="15"/>
  <c r="L864" i="15"/>
  <c r="L865" i="15"/>
  <c r="L866" i="15"/>
  <c r="L867" i="15"/>
  <c r="L868" i="15"/>
  <c r="L869" i="15"/>
  <c r="L870" i="15"/>
  <c r="L871" i="15"/>
  <c r="L872" i="15"/>
  <c r="L873" i="15"/>
  <c r="L874" i="15"/>
  <c r="L875" i="15"/>
  <c r="L876" i="15"/>
  <c r="L877" i="15"/>
  <c r="L878" i="15"/>
  <c r="L879" i="15"/>
  <c r="L880" i="15"/>
  <c r="L881" i="15"/>
  <c r="L882" i="15"/>
  <c r="L883" i="15"/>
  <c r="L884" i="15"/>
  <c r="L885" i="15"/>
  <c r="L886" i="15"/>
  <c r="L887" i="15"/>
  <c r="L888" i="15"/>
  <c r="L889" i="15"/>
  <c r="L890" i="15"/>
  <c r="L891" i="15"/>
  <c r="L892" i="15"/>
  <c r="L893" i="15"/>
  <c r="L894" i="15"/>
  <c r="L895" i="15"/>
  <c r="L896" i="15"/>
  <c r="L897" i="15"/>
  <c r="L898" i="15"/>
  <c r="L899" i="15"/>
  <c r="L900" i="15"/>
  <c r="L901" i="15"/>
  <c r="L902" i="15"/>
  <c r="L903" i="15"/>
  <c r="L904" i="15"/>
  <c r="L905" i="15"/>
  <c r="L906" i="15"/>
  <c r="L907" i="15"/>
  <c r="L908" i="15"/>
  <c r="L5" i="15"/>
  <c r="J656"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3" i="14"/>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1002" i="3"/>
  <c r="Y1003" i="3"/>
  <c r="Y1004" i="3"/>
  <c r="Y1005" i="3"/>
  <c r="Y1006" i="3"/>
  <c r="Y1007" i="3"/>
  <c r="Y1008" i="3"/>
  <c r="Y1009" i="3"/>
  <c r="Y1010" i="3"/>
  <c r="Y1011" i="3"/>
  <c r="Y1012" i="3"/>
  <c r="Y1013" i="3"/>
  <c r="Y1014" i="3"/>
  <c r="Y1015" i="3"/>
  <c r="Y1016" i="3"/>
  <c r="Y1017" i="3"/>
  <c r="Y1018" i="3"/>
  <c r="Y1019" i="3"/>
  <c r="Y1020" i="3"/>
  <c r="Y1021" i="3"/>
  <c r="Y1022" i="3"/>
  <c r="Y1023" i="3"/>
  <c r="Y1024" i="3"/>
  <c r="Y1025" i="3"/>
  <c r="Y1026"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060" i="3"/>
  <c r="Y1061" i="3"/>
  <c r="Y1062" i="3"/>
  <c r="Y1063" i="3"/>
  <c r="Y1064" i="3"/>
  <c r="Y1065" i="3"/>
  <c r="Y1066" i="3"/>
  <c r="Y1067" i="3"/>
  <c r="Y1068" i="3"/>
  <c r="Y1069" i="3"/>
  <c r="Y1070" i="3"/>
  <c r="Y1071" i="3"/>
  <c r="Y1072" i="3"/>
  <c r="Y1073" i="3"/>
  <c r="Y1074" i="3"/>
  <c r="Y1075" i="3"/>
  <c r="Y1076" i="3"/>
  <c r="Y1077" i="3"/>
  <c r="Y1078" i="3"/>
  <c r="Y1079" i="3"/>
  <c r="Y1080" i="3"/>
  <c r="Y1081" i="3"/>
  <c r="Y1082" i="3"/>
  <c r="Y1083" i="3"/>
  <c r="Y1084" i="3"/>
  <c r="Y1085" i="3"/>
  <c r="Y1086" i="3"/>
  <c r="Y1087" i="3"/>
  <c r="Y1088" i="3"/>
  <c r="Y1089" i="3"/>
  <c r="Y1090" i="3"/>
  <c r="Y1091" i="3"/>
  <c r="Y1092" i="3"/>
  <c r="Y1093" i="3"/>
  <c r="Y1094" i="3"/>
  <c r="Y1095" i="3"/>
  <c r="Y1096" i="3"/>
  <c r="Y1097" i="3"/>
  <c r="Y1098" i="3"/>
  <c r="Y1099" i="3"/>
  <c r="Y1100" i="3"/>
  <c r="Y1101" i="3"/>
  <c r="Y1102" i="3"/>
  <c r="Y1103" i="3"/>
  <c r="Y1104" i="3"/>
  <c r="Y1105" i="3"/>
  <c r="Y1106" i="3"/>
  <c r="Y1107" i="3"/>
  <c r="Y1108" i="3"/>
  <c r="Y1109" i="3"/>
  <c r="Y1110" i="3"/>
  <c r="Y1111" i="3"/>
  <c r="Y1112" i="3"/>
  <c r="Y1113" i="3"/>
  <c r="Y1114" i="3"/>
  <c r="Y1115" i="3"/>
  <c r="Y1116" i="3"/>
  <c r="Y1117" i="3"/>
  <c r="Y1118" i="3"/>
  <c r="Y1119" i="3"/>
  <c r="Y1120" i="3"/>
  <c r="Y1121" i="3"/>
  <c r="Y1122" i="3"/>
  <c r="Y1123" i="3"/>
  <c r="Y1124" i="3"/>
  <c r="Y1125" i="3"/>
  <c r="Y1126" i="3"/>
  <c r="Y1127" i="3"/>
  <c r="Y1128" i="3"/>
  <c r="Y1129" i="3"/>
  <c r="Y1130" i="3"/>
  <c r="Y1131" i="3"/>
  <c r="Y1132" i="3"/>
  <c r="Y1133" i="3"/>
  <c r="Y1134" i="3"/>
  <c r="Y1135" i="3"/>
  <c r="Y1136" i="3"/>
  <c r="Y1137" i="3"/>
  <c r="Y1138" i="3"/>
  <c r="Y1139" i="3"/>
  <c r="Y1140" i="3"/>
  <c r="Y1141" i="3"/>
  <c r="Y1142" i="3"/>
  <c r="Y1143" i="3"/>
  <c r="Y1144" i="3"/>
  <c r="Y1145" i="3"/>
  <c r="Y1146" i="3"/>
  <c r="Y1147" i="3"/>
  <c r="Y1148" i="3"/>
  <c r="Y1149" i="3"/>
  <c r="Y1150" i="3"/>
  <c r="Y1151" i="3"/>
  <c r="Y1152" i="3"/>
  <c r="Y1153" i="3"/>
  <c r="Y1154" i="3"/>
  <c r="Y1155" i="3"/>
  <c r="Y1156" i="3"/>
  <c r="Y1157" i="3"/>
  <c r="Y1158" i="3"/>
  <c r="Y1159" i="3"/>
  <c r="Y1160" i="3"/>
  <c r="Y1161" i="3"/>
  <c r="Y1162" i="3"/>
  <c r="Y1163" i="3"/>
  <c r="Y1164" i="3"/>
  <c r="Y1165" i="3"/>
  <c r="Y1166" i="3"/>
  <c r="Y1167" i="3"/>
  <c r="Y1168" i="3"/>
  <c r="Y1169" i="3"/>
  <c r="Y1170" i="3"/>
  <c r="Y1171" i="3"/>
  <c r="Y1172" i="3"/>
  <c r="Y1173" i="3"/>
  <c r="Y1174" i="3"/>
  <c r="Y1175" i="3"/>
  <c r="Y1176" i="3"/>
  <c r="Y1177" i="3"/>
  <c r="Y1178" i="3"/>
  <c r="Y1179" i="3"/>
  <c r="Y1180" i="3"/>
  <c r="Y1181" i="3"/>
  <c r="Y1182" i="3"/>
  <c r="Y1183" i="3"/>
  <c r="Y1184" i="3"/>
  <c r="Y1185" i="3"/>
  <c r="Y1186" i="3"/>
  <c r="Y1187" i="3"/>
  <c r="Y1188" i="3"/>
  <c r="Y1189" i="3"/>
  <c r="Y1190" i="3"/>
  <c r="Y1191" i="3"/>
  <c r="Y1192" i="3"/>
  <c r="Y1193" i="3"/>
  <c r="Y1194" i="3"/>
  <c r="Y1195" i="3"/>
  <c r="Y1196" i="3"/>
  <c r="Y1197" i="3"/>
  <c r="Y1198" i="3"/>
  <c r="Y1199" i="3"/>
  <c r="Y1200" i="3"/>
  <c r="Y1201" i="3"/>
  <c r="Y1202" i="3"/>
  <c r="Y1203" i="3"/>
  <c r="Y1204" i="3"/>
  <c r="Y1205" i="3"/>
  <c r="Y1206" i="3"/>
  <c r="Y1207" i="3"/>
  <c r="Y1208" i="3"/>
  <c r="Y1209" i="3"/>
  <c r="Y1210" i="3"/>
  <c r="Y1211" i="3"/>
  <c r="Y1212" i="3"/>
  <c r="Y1213" i="3"/>
  <c r="Y1214" i="3"/>
  <c r="Y1215" i="3"/>
  <c r="Y1216" i="3"/>
  <c r="Y1217" i="3"/>
  <c r="Y1218" i="3"/>
  <c r="Y1219" i="3"/>
  <c r="Y1220" i="3"/>
  <c r="Y1221" i="3"/>
  <c r="Y1222" i="3"/>
  <c r="Y1223" i="3"/>
  <c r="Y1224" i="3"/>
  <c r="Y1225" i="3"/>
  <c r="Y1226" i="3"/>
  <c r="Y1227" i="3"/>
  <c r="Y1228" i="3"/>
  <c r="Y1229" i="3"/>
  <c r="Y1230" i="3"/>
  <c r="Y1231" i="3"/>
  <c r="Y1232" i="3"/>
  <c r="Y1233" i="3"/>
  <c r="Y1234" i="3"/>
  <c r="Y1235" i="3"/>
  <c r="Y1236" i="3"/>
  <c r="Y1237" i="3"/>
  <c r="Y1238" i="3"/>
  <c r="Y1239" i="3"/>
  <c r="Y1240" i="3"/>
  <c r="Y1241" i="3"/>
  <c r="Y1242" i="3"/>
  <c r="Y1243" i="3"/>
  <c r="Y1244" i="3"/>
  <c r="Y1245" i="3"/>
  <c r="Y1246" i="3"/>
  <c r="Y1247" i="3"/>
  <c r="Y1248" i="3"/>
  <c r="Y1249" i="3"/>
  <c r="Y1250" i="3"/>
  <c r="Y1251" i="3"/>
  <c r="Y1252" i="3"/>
  <c r="Y1253" i="3"/>
  <c r="Y1254" i="3"/>
  <c r="Y1255" i="3"/>
  <c r="Y1256" i="3"/>
  <c r="Y1257" i="3"/>
  <c r="Y1258" i="3"/>
  <c r="Y1259" i="3"/>
  <c r="Y1260" i="3"/>
  <c r="Y1261" i="3"/>
  <c r="Y1262" i="3"/>
  <c r="Y1263" i="3"/>
  <c r="Y1264" i="3"/>
  <c r="Y1265" i="3"/>
  <c r="Y1266" i="3"/>
  <c r="Y1267" i="3"/>
  <c r="Y1268" i="3"/>
  <c r="Y1269" i="3"/>
  <c r="Y1270" i="3"/>
  <c r="Y1271" i="3"/>
  <c r="Y1272" i="3"/>
  <c r="Y1273" i="3"/>
  <c r="Y1274" i="3"/>
  <c r="Y1275" i="3"/>
  <c r="Y1276" i="3"/>
  <c r="Y1277" i="3"/>
  <c r="Y1278" i="3"/>
  <c r="Y1279" i="3"/>
  <c r="Y1280" i="3"/>
  <c r="Y1281" i="3"/>
  <c r="Y1282" i="3"/>
  <c r="Y1283" i="3"/>
  <c r="Y1284" i="3"/>
  <c r="Y1285" i="3"/>
  <c r="Y1286" i="3"/>
  <c r="Y1287" i="3"/>
  <c r="Y1288" i="3"/>
  <c r="Y1289" i="3"/>
  <c r="Y1290" i="3"/>
  <c r="Y1291" i="3"/>
  <c r="Y1292" i="3"/>
  <c r="Y1293" i="3"/>
  <c r="Y1294" i="3"/>
  <c r="Y1295" i="3"/>
  <c r="Y1296" i="3"/>
  <c r="Y1297" i="3"/>
  <c r="Y1298" i="3"/>
  <c r="Y1299" i="3"/>
  <c r="Y1300" i="3"/>
  <c r="Y1301" i="3"/>
  <c r="Y1302" i="3"/>
  <c r="Y1303" i="3"/>
  <c r="Y1304" i="3"/>
  <c r="Y1305" i="3"/>
  <c r="Y1306" i="3"/>
  <c r="Y1307" i="3"/>
  <c r="Y1308" i="3"/>
  <c r="Y1309" i="3"/>
  <c r="Y1310" i="3"/>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7"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6" i="3"/>
  <c r="E136" i="12" l="1"/>
  <c r="AB303" i="12"/>
  <c r="AA303" i="12"/>
  <c r="N303" i="12"/>
  <c r="E137" i="12"/>
  <c r="AJ303" i="12"/>
  <c r="AM303" i="12"/>
  <c r="AI303" i="12"/>
  <c r="AF303" i="12"/>
  <c r="AE303" i="12"/>
  <c r="U303" i="12"/>
  <c r="R322" i="12"/>
  <c r="P322" i="12"/>
  <c r="S322" i="12"/>
  <c r="AF322" i="12"/>
  <c r="V303" i="12"/>
  <c r="O303" i="12"/>
  <c r="AG303" i="12"/>
  <c r="X322" i="12"/>
  <c r="AA322" i="12"/>
  <c r="W303" i="12"/>
  <c r="AC322" i="12"/>
  <c r="AG322" i="12"/>
  <c r="S303" i="12"/>
  <c r="N322" i="12"/>
  <c r="O322" i="12"/>
  <c r="AL303" i="12"/>
  <c r="AK303" i="12"/>
  <c r="AD303" i="12"/>
  <c r="AN303" i="12"/>
  <c r="AD322" i="12"/>
  <c r="W322" i="12"/>
  <c r="Q303" i="12"/>
  <c r="Z303" i="12"/>
  <c r="Q322" i="12"/>
  <c r="AE322" i="12"/>
  <c r="AB322" i="12"/>
  <c r="X303" i="12"/>
  <c r="T322" i="12"/>
  <c r="P303" i="12"/>
  <c r="R303" i="12"/>
  <c r="AC303" i="12"/>
  <c r="Z322" i="12"/>
  <c r="Y322" i="12"/>
  <c r="U322" i="12"/>
  <c r="D204" i="12"/>
  <c r="F207" i="12"/>
  <c r="F208" i="12"/>
  <c r="J216" i="12"/>
  <c r="J215" i="12"/>
  <c r="J214" i="12"/>
  <c r="J213" i="12"/>
  <c r="J212" i="12"/>
  <c r="J211" i="12"/>
  <c r="J210" i="12"/>
  <c r="J209" i="12"/>
  <c r="J208" i="12"/>
  <c r="J207" i="12"/>
  <c r="J206" i="12"/>
  <c r="J205" i="12"/>
  <c r="J204" i="12"/>
  <c r="J217" i="12"/>
  <c r="K140" i="12"/>
  <c r="K136" i="12"/>
  <c r="K137" i="12"/>
  <c r="K138" i="12"/>
  <c r="K139" i="12"/>
  <c r="H11" i="12"/>
  <c r="K11" i="12"/>
  <c r="G11" i="12"/>
  <c r="J11" i="12"/>
  <c r="F11" i="12"/>
  <c r="I11" i="12"/>
  <c r="I42" i="12"/>
  <c r="E42" i="12"/>
  <c r="H42" i="12"/>
  <c r="K42" i="12"/>
  <c r="G42" i="12"/>
  <c r="J42" i="12"/>
  <c r="F42" i="12"/>
  <c r="E11" i="12"/>
  <c r="J218" i="12" l="1"/>
  <c r="K141" i="12"/>
  <c r="N10" i="6" l="1"/>
  <c r="N13" i="6"/>
  <c r="N14" i="6"/>
  <c r="N17" i="6"/>
  <c r="N18" i="6"/>
  <c r="N21" i="6"/>
  <c r="N22" i="6"/>
  <c r="N6" i="8"/>
  <c r="N7" i="8"/>
  <c r="N11" i="8"/>
  <c r="N15" i="8"/>
  <c r="N20" i="8"/>
  <c r="N24" i="8"/>
  <c r="N25" i="8"/>
  <c r="N27" i="8"/>
  <c r="N28" i="8"/>
  <c r="N29" i="8"/>
  <c r="N32" i="8"/>
  <c r="N35" i="8"/>
  <c r="N37" i="8"/>
  <c r="N40" i="8"/>
  <c r="N41" i="8"/>
  <c r="N44" i="8"/>
  <c r="N51" i="8"/>
  <c r="N52" i="8"/>
  <c r="N55" i="8"/>
  <c r="N60" i="8"/>
  <c r="N61" i="8"/>
  <c r="N63" i="8"/>
  <c r="N64" i="8"/>
  <c r="N67" i="8"/>
  <c r="N71" i="8"/>
  <c r="N75" i="8"/>
  <c r="N79" i="8"/>
  <c r="N83" i="8"/>
  <c r="N87" i="8"/>
  <c r="N92" i="8"/>
  <c r="N93" i="8"/>
  <c r="N96" i="8"/>
  <c r="N99" i="8"/>
  <c r="N103" i="8"/>
  <c r="N107" i="8"/>
  <c r="N109" i="8"/>
  <c r="N112" i="8"/>
  <c r="N114" i="8"/>
  <c r="N116" i="8"/>
  <c r="N118" i="8"/>
  <c r="N122" i="8"/>
  <c r="N123" i="8"/>
  <c r="N124" i="8"/>
  <c r="N125" i="8"/>
  <c r="N126" i="8"/>
  <c r="N127" i="8"/>
  <c r="N129" i="8"/>
  <c r="N130" i="8"/>
  <c r="N132" i="8"/>
  <c r="N133" i="8"/>
  <c r="N134" i="8"/>
  <c r="N8" i="8"/>
  <c r="N9" i="8"/>
  <c r="N10" i="8"/>
  <c r="N12" i="8"/>
  <c r="N13" i="8"/>
  <c r="N14" i="8"/>
  <c r="N16" i="8"/>
  <c r="N17" i="8"/>
  <c r="N18" i="8"/>
  <c r="N19" i="8"/>
  <c r="N21" i="8"/>
  <c r="N22" i="8"/>
  <c r="N23" i="8"/>
  <c r="N26" i="8"/>
  <c r="N30" i="8"/>
  <c r="N31" i="8"/>
  <c r="N33" i="8"/>
  <c r="N34" i="8"/>
  <c r="N36" i="8"/>
  <c r="N38" i="8"/>
  <c r="N39" i="8"/>
  <c r="N42" i="8"/>
  <c r="N43" i="8"/>
  <c r="N45" i="8"/>
  <c r="N46" i="8"/>
  <c r="N47" i="8"/>
  <c r="N48" i="8"/>
  <c r="N49" i="8"/>
  <c r="N50" i="8"/>
  <c r="N53" i="8"/>
  <c r="N54" i="8"/>
  <c r="N56" i="8"/>
  <c r="N57" i="8"/>
  <c r="N58" i="8"/>
  <c r="N59" i="8"/>
  <c r="N62" i="8"/>
  <c r="N65" i="8"/>
  <c r="N66" i="8"/>
  <c r="N68" i="8"/>
  <c r="N69" i="8"/>
  <c r="N70" i="8"/>
  <c r="N72" i="8"/>
  <c r="N73" i="8"/>
  <c r="N74" i="8"/>
  <c r="N76" i="8"/>
  <c r="N77" i="8"/>
  <c r="N78" i="8"/>
  <c r="N80" i="8"/>
  <c r="N81" i="8"/>
  <c r="N82" i="8"/>
  <c r="N84" i="8"/>
  <c r="N85" i="8"/>
  <c r="N86" i="8"/>
  <c r="N88" i="8"/>
  <c r="N89" i="8"/>
  <c r="N90" i="8"/>
  <c r="N91" i="8"/>
  <c r="N94" i="8"/>
  <c r="N95" i="8"/>
  <c r="N97" i="8"/>
  <c r="N98" i="8"/>
  <c r="N100" i="8"/>
  <c r="N101" i="8"/>
  <c r="N102" i="8"/>
  <c r="N104" i="8"/>
  <c r="N105" i="8"/>
  <c r="N106" i="8"/>
  <c r="N108" i="8"/>
  <c r="N110" i="8"/>
  <c r="N111" i="8"/>
  <c r="N113" i="8"/>
  <c r="N115" i="8"/>
  <c r="N117" i="8"/>
  <c r="N119" i="8"/>
  <c r="N120" i="8"/>
  <c r="N121" i="8"/>
  <c r="N128" i="8"/>
  <c r="N131" i="8"/>
  <c r="N135" i="8"/>
  <c r="N136" i="8"/>
  <c r="N6" i="6"/>
  <c r="N7" i="6"/>
  <c r="N8" i="6"/>
  <c r="N9" i="6"/>
  <c r="N11" i="6"/>
  <c r="N12" i="6"/>
  <c r="N15" i="6"/>
  <c r="N16" i="6"/>
  <c r="N19" i="6"/>
  <c r="N20" i="6"/>
  <c r="N23" i="6"/>
  <c r="N24" i="6"/>
  <c r="P16" i="6"/>
  <c r="P17" i="6"/>
  <c r="P18" i="6"/>
  <c r="P19" i="6"/>
  <c r="P20" i="6"/>
  <c r="P21" i="6"/>
  <c r="P22" i="6"/>
  <c r="P23" i="6"/>
  <c r="P24" i="6"/>
  <c r="Q457" i="5"/>
  <c r="P457" i="5"/>
  <c r="Q456" i="5"/>
  <c r="P456" i="5"/>
  <c r="Q455" i="5"/>
  <c r="P455" i="5"/>
  <c r="Q454" i="5"/>
  <c r="P454" i="5"/>
  <c r="Q453" i="5"/>
  <c r="P453" i="5"/>
  <c r="Q452" i="5"/>
  <c r="P452" i="5"/>
  <c r="Q451" i="5"/>
  <c r="P451" i="5"/>
  <c r="Q450" i="5"/>
  <c r="P450" i="5"/>
  <c r="Q449" i="5"/>
  <c r="P449" i="5"/>
  <c r="Q448" i="5"/>
  <c r="P448" i="5"/>
  <c r="Q447" i="5"/>
  <c r="P447" i="5"/>
  <c r="Q446" i="5"/>
  <c r="P446" i="5"/>
  <c r="Q445" i="5"/>
  <c r="P445" i="5"/>
  <c r="Q444" i="5"/>
  <c r="P444" i="5"/>
  <c r="Q443" i="5"/>
  <c r="P443" i="5"/>
  <c r="Q442" i="5"/>
  <c r="P442" i="5"/>
  <c r="Q441" i="5"/>
  <c r="P441" i="5"/>
  <c r="Q440" i="5"/>
  <c r="P440" i="5"/>
  <c r="Q439" i="5"/>
  <c r="P439" i="5"/>
  <c r="Q438" i="5"/>
  <c r="P438" i="5"/>
  <c r="Q437" i="5"/>
  <c r="P437" i="5"/>
  <c r="Q436" i="5"/>
  <c r="P436" i="5"/>
  <c r="Q435" i="5"/>
  <c r="P435" i="5"/>
  <c r="Q434" i="5"/>
  <c r="P434" i="5"/>
  <c r="Q433" i="5"/>
  <c r="P433" i="5"/>
  <c r="Q432" i="5"/>
  <c r="P432" i="5"/>
  <c r="Q431" i="5"/>
  <c r="P431" i="5"/>
  <c r="Q430" i="5"/>
  <c r="P430" i="5"/>
  <c r="Q429" i="5"/>
  <c r="P429" i="5"/>
  <c r="Q428" i="5"/>
  <c r="P428" i="5"/>
  <c r="Q427" i="5"/>
  <c r="P427" i="5"/>
  <c r="Q426" i="5"/>
  <c r="P426" i="5"/>
  <c r="Q425" i="5"/>
  <c r="P425" i="5"/>
  <c r="Q424" i="5"/>
  <c r="P424" i="5"/>
  <c r="Q423" i="5"/>
  <c r="P423" i="5"/>
  <c r="Q422" i="5"/>
  <c r="P422" i="5"/>
  <c r="Q421" i="5"/>
  <c r="P421" i="5"/>
  <c r="Q420" i="5"/>
  <c r="P420" i="5"/>
  <c r="Q419" i="5"/>
  <c r="P419" i="5"/>
  <c r="Q418" i="5"/>
  <c r="P418" i="5"/>
  <c r="Q417" i="5"/>
  <c r="P417" i="5"/>
  <c r="Q416" i="5"/>
  <c r="P416" i="5"/>
  <c r="Q415" i="5"/>
  <c r="P415" i="5"/>
  <c r="Q414" i="5"/>
  <c r="P414" i="5"/>
  <c r="Q413" i="5"/>
  <c r="P413" i="5"/>
  <c r="Q412" i="5"/>
  <c r="P412" i="5"/>
  <c r="Q411" i="5"/>
  <c r="P411" i="5"/>
  <c r="Q410" i="5"/>
  <c r="P410" i="5"/>
  <c r="Q409" i="5"/>
  <c r="P409" i="5"/>
  <c r="Q408" i="5"/>
  <c r="P408" i="5"/>
  <c r="Q407" i="5"/>
  <c r="P407" i="5"/>
  <c r="Q406" i="5"/>
  <c r="P406" i="5"/>
  <c r="Q405" i="5"/>
  <c r="P405" i="5"/>
  <c r="Q404" i="5"/>
  <c r="P404" i="5"/>
  <c r="Q403" i="5"/>
  <c r="P403" i="5"/>
  <c r="Q402" i="5"/>
  <c r="P402" i="5"/>
  <c r="Q401" i="5"/>
  <c r="P401" i="5"/>
  <c r="Q400" i="5"/>
  <c r="P400" i="5"/>
  <c r="Q399" i="5"/>
  <c r="P399" i="5"/>
  <c r="Q398" i="5"/>
  <c r="P398" i="5"/>
  <c r="Q397" i="5"/>
  <c r="P397" i="5"/>
  <c r="Q396" i="5"/>
  <c r="P396" i="5"/>
  <c r="Q395" i="5"/>
  <c r="P395" i="5"/>
  <c r="Q394" i="5"/>
  <c r="P394" i="5"/>
  <c r="Q393" i="5"/>
  <c r="P393" i="5"/>
  <c r="Q392" i="5"/>
  <c r="P392" i="5"/>
  <c r="Q391" i="5"/>
  <c r="P391" i="5"/>
  <c r="Q390" i="5"/>
  <c r="P390" i="5"/>
  <c r="Q389" i="5"/>
  <c r="P389" i="5"/>
  <c r="Q388" i="5"/>
  <c r="P388" i="5"/>
  <c r="Q387" i="5"/>
  <c r="P387" i="5"/>
  <c r="Q386" i="5"/>
  <c r="P386" i="5"/>
  <c r="Q385" i="5"/>
  <c r="P385" i="5"/>
  <c r="Q384" i="5"/>
  <c r="P384" i="5"/>
  <c r="Q383" i="5"/>
  <c r="P383" i="5"/>
  <c r="Q382" i="5"/>
  <c r="P382" i="5"/>
  <c r="Q381" i="5"/>
  <c r="P381" i="5"/>
  <c r="Q380" i="5"/>
  <c r="P380" i="5"/>
  <c r="Q379" i="5"/>
  <c r="P379" i="5"/>
  <c r="Q378" i="5"/>
  <c r="P378" i="5"/>
  <c r="Q377" i="5"/>
  <c r="P377" i="5"/>
  <c r="Q376" i="5"/>
  <c r="P376" i="5"/>
  <c r="Q375" i="5"/>
  <c r="P375" i="5"/>
  <c r="Q374" i="5"/>
  <c r="P374" i="5"/>
  <c r="Q373" i="5"/>
  <c r="P373" i="5"/>
  <c r="Q372" i="5"/>
  <c r="P372" i="5"/>
  <c r="Q371" i="5"/>
  <c r="P371" i="5"/>
  <c r="Q370" i="5"/>
  <c r="P370" i="5"/>
  <c r="Q369" i="5"/>
  <c r="P369" i="5"/>
  <c r="Q368" i="5"/>
  <c r="P368" i="5"/>
  <c r="Q367" i="5"/>
  <c r="P367" i="5"/>
  <c r="Q366" i="5"/>
  <c r="P366" i="5"/>
  <c r="Q365" i="5"/>
  <c r="P365" i="5"/>
  <c r="Q364" i="5"/>
  <c r="P364" i="5"/>
  <c r="Q363" i="5"/>
  <c r="P363" i="5"/>
  <c r="Q362" i="5"/>
  <c r="P362" i="5"/>
  <c r="Q361" i="5"/>
  <c r="P361" i="5"/>
  <c r="Q360" i="5"/>
  <c r="P360" i="5"/>
  <c r="Q359" i="5"/>
  <c r="P359" i="5"/>
  <c r="Q358" i="5"/>
  <c r="P358" i="5"/>
  <c r="Q357" i="5"/>
  <c r="P357" i="5"/>
  <c r="Q356" i="5"/>
  <c r="P356" i="5"/>
  <c r="Q355" i="5"/>
  <c r="P355" i="5"/>
  <c r="Q354" i="5"/>
  <c r="P354" i="5"/>
  <c r="Q353" i="5"/>
  <c r="P353" i="5"/>
  <c r="Q352" i="5"/>
  <c r="P352" i="5"/>
  <c r="Q351" i="5"/>
  <c r="P351" i="5"/>
  <c r="Q350" i="5"/>
  <c r="P350" i="5"/>
  <c r="Q349" i="5"/>
  <c r="P349" i="5"/>
  <c r="Q348" i="5"/>
  <c r="P348" i="5"/>
  <c r="Q347" i="5"/>
  <c r="P347" i="5"/>
  <c r="Q346" i="5"/>
  <c r="P346" i="5"/>
  <c r="Q345" i="5"/>
  <c r="P345" i="5"/>
  <c r="Q344" i="5"/>
  <c r="P344" i="5"/>
  <c r="Q343" i="5"/>
  <c r="P343" i="5"/>
  <c r="Q342" i="5"/>
  <c r="P342" i="5"/>
  <c r="Q341" i="5"/>
  <c r="P341" i="5"/>
  <c r="Q340" i="5"/>
  <c r="P340" i="5"/>
  <c r="Q339" i="5"/>
  <c r="P339" i="5"/>
  <c r="Q338" i="5"/>
  <c r="P338" i="5"/>
  <c r="Q337" i="5"/>
  <c r="P337" i="5"/>
  <c r="Q336" i="5"/>
  <c r="P336" i="5"/>
  <c r="Q335" i="5"/>
  <c r="P335" i="5"/>
  <c r="Q334" i="5"/>
  <c r="P334" i="5"/>
  <c r="Q333" i="5"/>
  <c r="P333" i="5"/>
  <c r="Q332" i="5"/>
  <c r="P332" i="5"/>
  <c r="Q331" i="5"/>
  <c r="P331" i="5"/>
  <c r="Q330" i="5"/>
  <c r="P330" i="5"/>
  <c r="Q329" i="5"/>
  <c r="P329" i="5"/>
  <c r="Q328" i="5"/>
  <c r="P328" i="5"/>
  <c r="Q327" i="5"/>
  <c r="P327" i="5"/>
  <c r="Q326" i="5"/>
  <c r="P326" i="5"/>
  <c r="Q325" i="5"/>
  <c r="P325" i="5"/>
  <c r="Q324" i="5"/>
  <c r="P324" i="5"/>
  <c r="Q323" i="5"/>
  <c r="P323" i="5"/>
  <c r="Q322" i="5"/>
  <c r="P322" i="5"/>
  <c r="Q321" i="5"/>
  <c r="P321" i="5"/>
  <c r="Q320" i="5"/>
  <c r="P320" i="5"/>
  <c r="Q319" i="5"/>
  <c r="P319" i="5"/>
  <c r="Q318" i="5"/>
  <c r="P318" i="5"/>
  <c r="Q317" i="5"/>
  <c r="P317" i="5"/>
  <c r="Q316" i="5"/>
  <c r="P316" i="5"/>
  <c r="Q315" i="5"/>
  <c r="P315" i="5"/>
  <c r="Q314" i="5"/>
  <c r="P314" i="5"/>
  <c r="Q313" i="5"/>
  <c r="P313" i="5"/>
  <c r="Q312" i="5"/>
  <c r="P312" i="5"/>
  <c r="Q311" i="5"/>
  <c r="P311" i="5"/>
  <c r="Q310" i="5"/>
  <c r="P310" i="5"/>
  <c r="Q309" i="5"/>
  <c r="P309" i="5"/>
  <c r="Q308" i="5"/>
  <c r="P308" i="5"/>
  <c r="Q307" i="5"/>
  <c r="P307" i="5"/>
  <c r="Q306" i="5"/>
  <c r="P306" i="5"/>
  <c r="Q305" i="5"/>
  <c r="P305" i="5"/>
  <c r="Q304" i="5"/>
  <c r="P304" i="5"/>
  <c r="Q303" i="5"/>
  <c r="P303" i="5"/>
  <c r="Q302" i="5"/>
  <c r="P302" i="5"/>
  <c r="Q301" i="5"/>
  <c r="P301" i="5"/>
  <c r="Q300" i="5"/>
  <c r="P300" i="5"/>
  <c r="Q299" i="5"/>
  <c r="P299" i="5"/>
  <c r="Q298" i="5"/>
  <c r="P298" i="5"/>
  <c r="Q297" i="5"/>
  <c r="P297" i="5"/>
  <c r="Q296" i="5"/>
  <c r="P296" i="5"/>
  <c r="Q295" i="5"/>
  <c r="P295" i="5"/>
  <c r="Q294" i="5"/>
  <c r="P294" i="5"/>
  <c r="Q293" i="5"/>
  <c r="P293" i="5"/>
  <c r="Q292" i="5"/>
  <c r="P292" i="5"/>
  <c r="Q291" i="5"/>
  <c r="P291" i="5"/>
  <c r="Q290" i="5"/>
  <c r="P290" i="5"/>
  <c r="Q289" i="5"/>
  <c r="P289" i="5"/>
  <c r="Q288" i="5"/>
  <c r="P288" i="5"/>
  <c r="Q287" i="5"/>
  <c r="P287" i="5"/>
  <c r="Q286" i="5"/>
  <c r="P286" i="5"/>
  <c r="Q285" i="5"/>
  <c r="P285" i="5"/>
  <c r="Q284" i="5"/>
  <c r="P284" i="5"/>
  <c r="Q283" i="5"/>
  <c r="P283" i="5"/>
  <c r="Q282" i="5"/>
  <c r="P282" i="5"/>
  <c r="Q281" i="5"/>
  <c r="P281" i="5"/>
  <c r="Q280" i="5"/>
  <c r="P280" i="5"/>
  <c r="Q279" i="5"/>
  <c r="P279" i="5"/>
  <c r="Q278" i="5"/>
  <c r="P278" i="5"/>
  <c r="Q277" i="5"/>
  <c r="P277" i="5"/>
  <c r="Q276" i="5"/>
  <c r="P276" i="5"/>
  <c r="Q275" i="5"/>
  <c r="P275" i="5"/>
  <c r="Q274" i="5"/>
  <c r="P274" i="5"/>
  <c r="Q273" i="5"/>
  <c r="P273" i="5"/>
  <c r="Q272" i="5"/>
  <c r="P272" i="5"/>
  <c r="Q271" i="5"/>
  <c r="P271" i="5"/>
  <c r="Q270" i="5"/>
  <c r="P270" i="5"/>
  <c r="Q269" i="5"/>
  <c r="P269" i="5"/>
  <c r="Q268" i="5"/>
  <c r="P268" i="5"/>
  <c r="Q267" i="5"/>
  <c r="P267" i="5"/>
  <c r="Q266" i="5"/>
  <c r="P266" i="5"/>
  <c r="Q265" i="5"/>
  <c r="P265" i="5"/>
  <c r="Q264" i="5"/>
  <c r="P264" i="5"/>
  <c r="Q263" i="5"/>
  <c r="P263" i="5"/>
  <c r="Q262" i="5"/>
  <c r="P262" i="5"/>
  <c r="Q261" i="5"/>
  <c r="P261" i="5"/>
  <c r="Q260" i="5"/>
  <c r="P260" i="5"/>
  <c r="Q259" i="5"/>
  <c r="P259" i="5"/>
  <c r="Q258" i="5"/>
  <c r="P258" i="5"/>
  <c r="Q257" i="5"/>
  <c r="P257" i="5"/>
  <c r="Q256" i="5"/>
  <c r="P256" i="5"/>
  <c r="Q255" i="5"/>
  <c r="P255" i="5"/>
  <c r="Q254" i="5"/>
  <c r="P254" i="5"/>
  <c r="Q253" i="5"/>
  <c r="P253" i="5"/>
  <c r="Q252" i="5"/>
  <c r="P252" i="5"/>
  <c r="Q251" i="5"/>
  <c r="P251" i="5"/>
  <c r="Q250" i="5"/>
  <c r="P250" i="5"/>
  <c r="Q249" i="5"/>
  <c r="P249" i="5"/>
  <c r="Q248" i="5"/>
  <c r="P248" i="5"/>
  <c r="Q247" i="5"/>
  <c r="P247" i="5"/>
  <c r="Q246" i="5"/>
  <c r="P246" i="5"/>
  <c r="Q245" i="5"/>
  <c r="P245" i="5"/>
  <c r="Q244" i="5"/>
  <c r="P244" i="5"/>
  <c r="Q243" i="5"/>
  <c r="P243" i="5"/>
  <c r="Q242" i="5"/>
  <c r="P242" i="5"/>
  <c r="Q241" i="5"/>
  <c r="P241" i="5"/>
  <c r="Q240" i="5"/>
  <c r="P240" i="5"/>
  <c r="Q239" i="5"/>
  <c r="P239" i="5"/>
  <c r="Q238" i="5"/>
  <c r="P238" i="5"/>
  <c r="Q237" i="5"/>
  <c r="P237" i="5"/>
  <c r="Q236" i="5"/>
  <c r="P236" i="5"/>
  <c r="Q235" i="5"/>
  <c r="P235" i="5"/>
  <c r="Q234" i="5"/>
  <c r="P234" i="5"/>
  <c r="Q233" i="5"/>
  <c r="P233" i="5"/>
  <c r="Q232" i="5"/>
  <c r="P232" i="5"/>
  <c r="Q231" i="5"/>
  <c r="P231" i="5"/>
  <c r="Q230" i="5"/>
  <c r="P230" i="5"/>
  <c r="Q229" i="5"/>
  <c r="P229" i="5"/>
  <c r="Q228" i="5"/>
  <c r="P228" i="5"/>
  <c r="Q227" i="5"/>
  <c r="P227" i="5"/>
  <c r="Q226" i="5"/>
  <c r="P226" i="5"/>
  <c r="Q225" i="5"/>
  <c r="P225" i="5"/>
  <c r="Q224" i="5"/>
  <c r="P224" i="5"/>
  <c r="Q223" i="5"/>
  <c r="P223" i="5"/>
  <c r="Q222" i="5"/>
  <c r="P222" i="5"/>
  <c r="Q221" i="5"/>
  <c r="P221" i="5"/>
  <c r="Q220" i="5"/>
  <c r="P220" i="5"/>
  <c r="Q219" i="5"/>
  <c r="P219" i="5"/>
  <c r="Q218" i="5"/>
  <c r="P218" i="5"/>
  <c r="Q217" i="5"/>
  <c r="P217" i="5"/>
  <c r="Q216" i="5"/>
  <c r="P216" i="5"/>
  <c r="Q215" i="5"/>
  <c r="P215" i="5"/>
  <c r="Q214" i="5"/>
  <c r="P214" i="5"/>
  <c r="Q213" i="5"/>
  <c r="P213" i="5"/>
  <c r="Q212" i="5"/>
  <c r="P212" i="5"/>
  <c r="Q211" i="5"/>
  <c r="P211" i="5"/>
  <c r="Q210" i="5"/>
  <c r="P210" i="5"/>
  <c r="Q209" i="5"/>
  <c r="P209" i="5"/>
  <c r="Q208" i="5"/>
  <c r="P208" i="5"/>
  <c r="Q207" i="5"/>
  <c r="P207" i="5"/>
  <c r="Q206" i="5"/>
  <c r="P206" i="5"/>
  <c r="Q205" i="5"/>
  <c r="P205" i="5"/>
  <c r="Q204" i="5"/>
  <c r="P204" i="5"/>
  <c r="Q203" i="5"/>
  <c r="P203" i="5"/>
  <c r="Q202" i="5"/>
  <c r="P202" i="5"/>
  <c r="Q201" i="5"/>
  <c r="P201" i="5"/>
  <c r="Q200" i="5"/>
  <c r="P200" i="5"/>
  <c r="Q199" i="5"/>
  <c r="P199" i="5"/>
  <c r="Q198" i="5"/>
  <c r="P198" i="5"/>
  <c r="Q197" i="5"/>
  <c r="P197" i="5"/>
  <c r="Q196" i="5"/>
  <c r="P196" i="5"/>
  <c r="Q195" i="5"/>
  <c r="P195" i="5"/>
  <c r="Q194" i="5"/>
  <c r="P194" i="5"/>
  <c r="Q193" i="5"/>
  <c r="P193" i="5"/>
  <c r="Q192" i="5"/>
  <c r="P192" i="5"/>
  <c r="Q191" i="5"/>
  <c r="P191" i="5"/>
  <c r="Q190" i="5"/>
  <c r="P190" i="5"/>
  <c r="Q189" i="5"/>
  <c r="P189" i="5"/>
  <c r="Q188" i="5"/>
  <c r="P188" i="5"/>
  <c r="Q187" i="5"/>
  <c r="P187" i="5"/>
  <c r="Q186" i="5"/>
  <c r="P186" i="5"/>
  <c r="Q185" i="5"/>
  <c r="P185" i="5"/>
  <c r="Q184" i="5"/>
  <c r="P184" i="5"/>
  <c r="Q183" i="5"/>
  <c r="P183" i="5"/>
  <c r="Q182" i="5"/>
  <c r="P182" i="5"/>
  <c r="Q181" i="5"/>
  <c r="P181" i="5"/>
  <c r="Q180" i="5"/>
  <c r="P180" i="5"/>
  <c r="Q179" i="5"/>
  <c r="P179" i="5"/>
  <c r="Q178" i="5"/>
  <c r="P178" i="5"/>
  <c r="Q177" i="5"/>
  <c r="P177" i="5"/>
  <c r="Q176" i="5"/>
  <c r="P176" i="5"/>
  <c r="Q175" i="5"/>
  <c r="P175" i="5"/>
  <c r="Q174" i="5"/>
  <c r="P174" i="5"/>
  <c r="Q173" i="5"/>
  <c r="P173" i="5"/>
  <c r="Q172" i="5"/>
  <c r="P172" i="5"/>
  <c r="Q171" i="5"/>
  <c r="P171" i="5"/>
  <c r="Q170" i="5"/>
  <c r="P170" i="5"/>
  <c r="Q169" i="5"/>
  <c r="P169" i="5"/>
  <c r="Q168" i="5"/>
  <c r="P168" i="5"/>
  <c r="Q167" i="5"/>
  <c r="P167" i="5"/>
  <c r="Q166" i="5"/>
  <c r="P166" i="5"/>
  <c r="Q165" i="5"/>
  <c r="P165" i="5"/>
  <c r="Q164" i="5"/>
  <c r="P164" i="5"/>
  <c r="Q163" i="5"/>
  <c r="P163" i="5"/>
  <c r="Q162" i="5"/>
  <c r="P162" i="5"/>
  <c r="Q161" i="5"/>
  <c r="P161" i="5"/>
  <c r="Q160" i="5"/>
  <c r="P160" i="5"/>
  <c r="Q159" i="5"/>
  <c r="P159" i="5"/>
  <c r="Q158" i="5"/>
  <c r="P158" i="5"/>
  <c r="Q157" i="5"/>
  <c r="P157" i="5"/>
  <c r="Q156" i="5"/>
  <c r="P156" i="5"/>
  <c r="Q155" i="5"/>
  <c r="P155" i="5"/>
  <c r="Q154" i="5"/>
  <c r="P154" i="5"/>
  <c r="Q153" i="5"/>
  <c r="P153" i="5"/>
  <c r="Q152" i="5"/>
  <c r="P152" i="5"/>
  <c r="Q151" i="5"/>
  <c r="P151" i="5"/>
  <c r="Q150" i="5"/>
  <c r="P150" i="5"/>
  <c r="Q149" i="5"/>
  <c r="P149" i="5"/>
  <c r="Q148" i="5"/>
  <c r="P148" i="5"/>
  <c r="Q147" i="5"/>
  <c r="P147" i="5"/>
  <c r="Q146" i="5"/>
  <c r="P146" i="5"/>
  <c r="Q145" i="5"/>
  <c r="P145" i="5"/>
  <c r="Q144" i="5"/>
  <c r="P144" i="5"/>
  <c r="Q143" i="5"/>
  <c r="P143" i="5"/>
  <c r="Q142" i="5"/>
  <c r="P142" i="5"/>
  <c r="Q141" i="5"/>
  <c r="P141" i="5"/>
  <c r="Q140" i="5"/>
  <c r="P140" i="5"/>
  <c r="Q139" i="5"/>
  <c r="P139" i="5"/>
  <c r="Q138" i="5"/>
  <c r="P138" i="5"/>
  <c r="Q137" i="5"/>
  <c r="P137" i="5"/>
  <c r="Q136" i="5"/>
  <c r="P136" i="5"/>
  <c r="Q135" i="5"/>
  <c r="P135" i="5"/>
  <c r="Q134" i="5"/>
  <c r="P134" i="5"/>
  <c r="Q133" i="5"/>
  <c r="P133" i="5"/>
  <c r="Q132" i="5"/>
  <c r="P132" i="5"/>
  <c r="Q131" i="5"/>
  <c r="P131" i="5"/>
  <c r="Q130" i="5"/>
  <c r="P130" i="5"/>
  <c r="Q129" i="5"/>
  <c r="P129" i="5"/>
  <c r="Q128" i="5"/>
  <c r="P128" i="5"/>
  <c r="Q127" i="5"/>
  <c r="P127" i="5"/>
  <c r="Q126" i="5"/>
  <c r="P126" i="5"/>
  <c r="Q125" i="5"/>
  <c r="P125" i="5"/>
  <c r="Q124" i="5"/>
  <c r="P124" i="5"/>
  <c r="Q123" i="5"/>
  <c r="P123" i="5"/>
  <c r="Q122" i="5"/>
  <c r="P122" i="5"/>
  <c r="Q121" i="5"/>
  <c r="P121" i="5"/>
  <c r="Q120" i="5"/>
  <c r="P120" i="5"/>
  <c r="Q119" i="5"/>
  <c r="P119" i="5"/>
  <c r="Q118" i="5"/>
  <c r="P118" i="5"/>
  <c r="Q117" i="5"/>
  <c r="P117" i="5"/>
  <c r="Q116" i="5"/>
  <c r="P116" i="5"/>
  <c r="Q115" i="5"/>
  <c r="P115" i="5"/>
  <c r="Q114" i="5"/>
  <c r="P114" i="5"/>
  <c r="Q113" i="5"/>
  <c r="P113" i="5"/>
  <c r="Q112" i="5"/>
  <c r="P112" i="5"/>
  <c r="Q111" i="5"/>
  <c r="P111" i="5"/>
  <c r="Q110" i="5"/>
  <c r="P110" i="5"/>
  <c r="Q109" i="5"/>
  <c r="P109" i="5"/>
  <c r="Q108" i="5"/>
  <c r="P108" i="5"/>
  <c r="Q107" i="5"/>
  <c r="P107" i="5"/>
  <c r="Q106" i="5"/>
  <c r="P106" i="5"/>
  <c r="Q105" i="5"/>
  <c r="P105" i="5"/>
  <c r="Q104" i="5"/>
  <c r="P104" i="5"/>
  <c r="Q103" i="5"/>
  <c r="P103" i="5"/>
  <c r="Q102" i="5"/>
  <c r="P102" i="5"/>
  <c r="Q101" i="5"/>
  <c r="P101" i="5"/>
  <c r="Q100" i="5"/>
  <c r="P100" i="5"/>
  <c r="Q99" i="5"/>
  <c r="P99" i="5"/>
  <c r="Q98" i="5"/>
  <c r="P98" i="5"/>
  <c r="Q97" i="5"/>
  <c r="P97" i="5"/>
  <c r="Q96" i="5"/>
  <c r="P96" i="5"/>
  <c r="Q95" i="5"/>
  <c r="P95" i="5"/>
  <c r="Q94" i="5"/>
  <c r="P94" i="5"/>
  <c r="Q93" i="5"/>
  <c r="P93" i="5"/>
  <c r="Q92" i="5"/>
  <c r="P92" i="5"/>
  <c r="Q91" i="5"/>
  <c r="P91" i="5"/>
  <c r="Q90" i="5"/>
  <c r="P90" i="5"/>
  <c r="Q89" i="5"/>
  <c r="P89" i="5"/>
  <c r="Q88" i="5"/>
  <c r="P88" i="5"/>
  <c r="Q87" i="5"/>
  <c r="P87" i="5"/>
  <c r="Q86" i="5"/>
  <c r="P86" i="5"/>
  <c r="Q85" i="5"/>
  <c r="P85" i="5"/>
  <c r="Q84" i="5"/>
  <c r="P84" i="5"/>
  <c r="Q83" i="5"/>
  <c r="P83" i="5"/>
  <c r="Q82" i="5"/>
  <c r="P82" i="5"/>
  <c r="Q81" i="5"/>
  <c r="P81" i="5"/>
  <c r="Q80" i="5"/>
  <c r="P80" i="5"/>
  <c r="Q79" i="5"/>
  <c r="P79" i="5"/>
  <c r="Q78" i="5"/>
  <c r="P78" i="5"/>
  <c r="Q77" i="5"/>
  <c r="P77" i="5"/>
  <c r="Q76" i="5"/>
  <c r="P76" i="5"/>
  <c r="Q75" i="5"/>
  <c r="P75" i="5"/>
  <c r="Q74" i="5"/>
  <c r="P74" i="5"/>
  <c r="Q73" i="5"/>
  <c r="P73" i="5"/>
  <c r="Q72" i="5"/>
  <c r="P72" i="5"/>
  <c r="Q71" i="5"/>
  <c r="P71" i="5"/>
  <c r="Q70" i="5"/>
  <c r="P70" i="5"/>
  <c r="Q69" i="5"/>
  <c r="P69" i="5"/>
  <c r="Q68" i="5"/>
  <c r="P68" i="5"/>
  <c r="Q67" i="5"/>
  <c r="P67" i="5"/>
  <c r="Q66" i="5"/>
  <c r="P66" i="5"/>
  <c r="Q65" i="5"/>
  <c r="P65" i="5"/>
  <c r="Q64" i="5"/>
  <c r="P64" i="5"/>
  <c r="Q63" i="5"/>
  <c r="P63" i="5"/>
  <c r="Q62" i="5"/>
  <c r="P62" i="5"/>
  <c r="Q61" i="5"/>
  <c r="P61" i="5"/>
  <c r="Q60" i="5"/>
  <c r="P60" i="5"/>
  <c r="Q59" i="5"/>
  <c r="P59" i="5"/>
  <c r="Q58" i="5"/>
  <c r="P58" i="5"/>
  <c r="Q57" i="5"/>
  <c r="P57" i="5"/>
  <c r="Q56" i="5"/>
  <c r="P56" i="5"/>
  <c r="Q55" i="5"/>
  <c r="P55" i="5"/>
  <c r="Q54" i="5"/>
  <c r="P54" i="5"/>
  <c r="Q53" i="5"/>
  <c r="P53" i="5"/>
  <c r="Q52" i="5"/>
  <c r="P52" i="5"/>
  <c r="Q51" i="5"/>
  <c r="P51" i="5"/>
  <c r="Q50" i="5"/>
  <c r="P50" i="5"/>
  <c r="Q49" i="5"/>
  <c r="P49" i="5"/>
  <c r="Q48" i="5"/>
  <c r="P48" i="5"/>
  <c r="Q47" i="5"/>
  <c r="P47" i="5"/>
  <c r="Q46" i="5"/>
  <c r="P46" i="5"/>
  <c r="Q45" i="5"/>
  <c r="P45" i="5"/>
  <c r="Q44" i="5"/>
  <c r="P44" i="5"/>
  <c r="Q43" i="5"/>
  <c r="P43" i="5"/>
  <c r="Q42" i="5"/>
  <c r="P42" i="5"/>
  <c r="Q41" i="5"/>
  <c r="P41" i="5"/>
  <c r="Q40" i="5"/>
  <c r="P40" i="5"/>
  <c r="Q39" i="5"/>
  <c r="P39" i="5"/>
  <c r="Q38" i="5"/>
  <c r="P38" i="5"/>
  <c r="Q37" i="5"/>
  <c r="P37" i="5"/>
  <c r="Q36" i="5"/>
  <c r="P36" i="5"/>
  <c r="Q35" i="5"/>
  <c r="P35" i="5"/>
  <c r="Q34" i="5"/>
  <c r="P34" i="5"/>
  <c r="Q33" i="5"/>
  <c r="P33" i="5"/>
  <c r="Q32" i="5"/>
  <c r="P32" i="5"/>
  <c r="Q31" i="5"/>
  <c r="P31" i="5"/>
  <c r="Q30" i="5"/>
  <c r="P30" i="5"/>
  <c r="Q29" i="5"/>
  <c r="P29" i="5"/>
  <c r="Q28" i="5"/>
  <c r="P28" i="5"/>
  <c r="Q27" i="5"/>
  <c r="P27" i="5"/>
  <c r="Q26" i="5"/>
  <c r="P26" i="5"/>
  <c r="Q25" i="5"/>
  <c r="P25" i="5"/>
  <c r="Q24" i="5"/>
  <c r="P24" i="5"/>
  <c r="Q23" i="5"/>
  <c r="P23" i="5"/>
  <c r="Q22" i="5"/>
  <c r="P22" i="5"/>
  <c r="Q21" i="5"/>
  <c r="P21" i="5"/>
  <c r="Q20" i="5"/>
  <c r="P20" i="5"/>
  <c r="Q19" i="5"/>
  <c r="P19" i="5"/>
  <c r="Q18" i="5"/>
  <c r="P18" i="5"/>
  <c r="Q17" i="5"/>
  <c r="P17" i="5"/>
  <c r="Q16" i="5"/>
  <c r="P16" i="5"/>
  <c r="Q15" i="5"/>
  <c r="P15" i="5"/>
  <c r="Q14" i="5"/>
  <c r="P14" i="5"/>
  <c r="Q13" i="5"/>
  <c r="P13" i="5"/>
  <c r="Q12" i="5"/>
  <c r="P12" i="5"/>
  <c r="Q11" i="5"/>
  <c r="P11" i="5"/>
  <c r="Q10" i="5"/>
  <c r="P10" i="5"/>
  <c r="Q9" i="5"/>
  <c r="P9" i="5"/>
  <c r="Q8" i="5"/>
  <c r="P8" i="5"/>
  <c r="Q7" i="5"/>
  <c r="P7" i="5"/>
  <c r="Q6" i="5"/>
  <c r="Q7" i="4"/>
  <c r="Q8" i="4"/>
  <c r="Q9" i="4"/>
  <c r="Q10" i="4"/>
  <c r="Q11" i="4"/>
  <c r="Q12" i="4"/>
  <c r="Q13" i="4"/>
  <c r="Q14" i="4"/>
  <c r="Q15" i="4"/>
  <c r="Q16" i="4"/>
  <c r="Q17" i="4"/>
  <c r="Q18" i="4"/>
  <c r="Q19" i="4"/>
  <c r="Q20" i="4"/>
  <c r="Q21" i="4"/>
  <c r="Q22" i="4"/>
  <c r="Q23" i="4"/>
  <c r="Q284" i="4"/>
  <c r="Q24" i="4"/>
  <c r="Q304" i="4"/>
  <c r="Q25" i="4"/>
  <c r="Q26" i="4"/>
  <c r="Q27" i="4"/>
  <c r="Q28" i="4"/>
  <c r="Q29" i="4"/>
  <c r="Q30" i="4"/>
  <c r="Q31" i="4"/>
  <c r="Q32" i="4"/>
  <c r="Q33" i="4"/>
  <c r="Q34" i="4"/>
  <c r="Q35" i="4"/>
  <c r="Q247" i="4"/>
  <c r="Q36" i="4"/>
  <c r="Q185" i="4"/>
  <c r="Q37" i="4"/>
  <c r="Q38" i="4"/>
  <c r="Q39" i="4"/>
  <c r="Q120" i="4"/>
  <c r="Q121" i="4"/>
  <c r="Q122" i="4"/>
  <c r="Q123" i="4"/>
  <c r="Q196" i="4"/>
  <c r="Q298" i="4"/>
  <c r="Q124" i="4"/>
  <c r="Q40" i="4"/>
  <c r="Q41" i="4"/>
  <c r="Q202" i="4"/>
  <c r="Q125" i="4"/>
  <c r="Q126" i="4"/>
  <c r="Q127" i="4"/>
  <c r="Q320" i="4"/>
  <c r="Q112" i="4"/>
  <c r="Q168" i="4"/>
  <c r="Q252" i="4"/>
  <c r="Q253" i="4"/>
  <c r="Q203" i="4"/>
  <c r="Q204" i="4"/>
  <c r="Q205" i="4"/>
  <c r="Q206" i="4"/>
  <c r="Q128" i="4"/>
  <c r="Q279" i="4"/>
  <c r="Q207" i="4"/>
  <c r="Q208" i="4"/>
  <c r="Q129" i="4"/>
  <c r="Q130" i="4"/>
  <c r="Q197" i="4"/>
  <c r="Q42" i="4"/>
  <c r="Q264" i="4"/>
  <c r="Q43" i="4"/>
  <c r="Q44" i="4"/>
  <c r="Q131" i="4"/>
  <c r="Q209" i="4"/>
  <c r="Q210" i="4"/>
  <c r="Q248" i="4"/>
  <c r="Q211" i="4"/>
  <c r="Q286" i="4"/>
  <c r="Q186" i="4"/>
  <c r="Q249" i="4"/>
  <c r="Q287" i="4"/>
  <c r="Q265" i="4"/>
  <c r="Q158" i="4"/>
  <c r="Q261" i="4"/>
  <c r="Q159" i="4"/>
  <c r="Q160" i="4"/>
  <c r="Q212" i="4"/>
  <c r="Q266" i="4"/>
  <c r="Q132" i="4"/>
  <c r="Q309" i="4"/>
  <c r="Q213" i="4"/>
  <c r="Q262" i="4"/>
  <c r="Q45" i="4"/>
  <c r="Q113" i="4"/>
  <c r="Q280" i="4"/>
  <c r="Q281" i="4"/>
  <c r="Q133" i="4"/>
  <c r="Q46" i="4"/>
  <c r="Q47" i="4"/>
  <c r="Q134" i="4"/>
  <c r="Q135" i="4"/>
  <c r="Q254" i="4"/>
  <c r="Q48" i="4"/>
  <c r="Q310" i="4"/>
  <c r="Q319" i="4"/>
  <c r="Q214" i="4"/>
  <c r="Q215" i="4"/>
  <c r="Q311" i="4"/>
  <c r="Q312" i="4"/>
  <c r="Q49" i="4"/>
  <c r="Q114" i="4"/>
  <c r="Q161" i="4"/>
  <c r="Q216" i="4"/>
  <c r="Q162" i="4"/>
  <c r="Q217" i="4"/>
  <c r="Q218" i="4"/>
  <c r="Q313" i="4"/>
  <c r="Q50" i="4"/>
  <c r="Q305" i="4"/>
  <c r="Q136" i="4"/>
  <c r="Q51" i="4"/>
  <c r="Q52" i="4"/>
  <c r="Q219" i="4"/>
  <c r="Q53" i="4"/>
  <c r="Q54" i="4"/>
  <c r="Q187" i="4"/>
  <c r="Q314" i="4"/>
  <c r="Q55" i="4"/>
  <c r="Q56" i="4"/>
  <c r="Q315" i="4"/>
  <c r="Q115" i="4"/>
  <c r="Q116" i="4"/>
  <c r="Q137" i="4"/>
  <c r="Q255" i="4"/>
  <c r="Q256" i="4"/>
  <c r="Q57" i="4"/>
  <c r="Q188" i="4"/>
  <c r="Q58" i="4"/>
  <c r="Q306" i="4"/>
  <c r="Q268" i="4"/>
  <c r="Q269" i="4"/>
  <c r="Q169" i="4"/>
  <c r="Q270" i="4"/>
  <c r="Q271" i="4"/>
  <c r="Q272" i="4"/>
  <c r="Q138" i="4"/>
  <c r="Q307" i="4"/>
  <c r="Q220" i="4"/>
  <c r="Q163" i="4"/>
  <c r="Q170" i="4"/>
  <c r="Q221" i="4"/>
  <c r="Q59" i="4"/>
  <c r="Q171" i="4"/>
  <c r="Q299" i="4"/>
  <c r="Q273" i="4"/>
  <c r="Q139" i="4"/>
  <c r="Q164" i="4"/>
  <c r="Q60" i="4"/>
  <c r="Q189" i="4"/>
  <c r="Q172" i="4"/>
  <c r="Q173" i="4"/>
  <c r="Q222" i="4"/>
  <c r="Q223" i="4"/>
  <c r="Q224" i="4"/>
  <c r="Q61" i="4"/>
  <c r="Q62" i="4"/>
  <c r="Q225" i="4"/>
  <c r="Q226" i="4"/>
  <c r="Q227" i="4"/>
  <c r="Q63" i="4"/>
  <c r="Q174" i="4"/>
  <c r="Q228" i="4"/>
  <c r="Q274" i="4"/>
  <c r="Q64" i="4"/>
  <c r="Q140" i="4"/>
  <c r="Q175" i="4"/>
  <c r="Q65" i="4"/>
  <c r="Q229" i="4"/>
  <c r="Q141" i="4"/>
  <c r="Q323" i="4"/>
  <c r="Q142" i="4"/>
  <c r="Q176" i="4"/>
  <c r="Q230" i="4"/>
  <c r="Q66" i="4"/>
  <c r="Q190" i="4"/>
  <c r="Q250" i="4"/>
  <c r="Q285" i="4"/>
  <c r="Q143" i="4"/>
  <c r="Q257" i="4"/>
  <c r="Q275" i="4"/>
  <c r="Q144" i="4"/>
  <c r="Q231" i="4"/>
  <c r="Q145" i="4"/>
  <c r="Q146" i="4"/>
  <c r="Q67" i="4"/>
  <c r="Q276" i="4"/>
  <c r="Q68" i="4"/>
  <c r="Q69" i="4"/>
  <c r="Q232" i="4"/>
  <c r="Q147" i="4"/>
  <c r="Q301" i="4"/>
  <c r="Q321" i="4"/>
  <c r="Q296" i="4"/>
  <c r="Q297" i="4"/>
  <c r="Q148" i="4"/>
  <c r="Q70" i="4"/>
  <c r="Q71" i="4"/>
  <c r="Q233" i="4"/>
  <c r="Q72" i="4"/>
  <c r="Q73" i="4"/>
  <c r="Q74" i="4"/>
  <c r="Q75" i="4"/>
  <c r="Q194" i="4"/>
  <c r="Q200" i="4"/>
  <c r="Q76" i="4"/>
  <c r="Q77" i="4"/>
  <c r="Q234" i="4"/>
  <c r="Q78" i="4"/>
  <c r="Q149" i="4"/>
  <c r="Q150" i="4"/>
  <c r="Q79" i="4"/>
  <c r="Q235" i="4"/>
  <c r="Q191" i="4"/>
  <c r="Q195" i="4"/>
  <c r="Q192" i="4"/>
  <c r="Q236" i="4"/>
  <c r="Q237" i="4"/>
  <c r="Q178" i="4"/>
  <c r="Q165" i="4"/>
  <c r="Q166" i="4"/>
  <c r="Q238" i="4"/>
  <c r="Q80" i="4"/>
  <c r="Q81" i="4"/>
  <c r="Q151" i="4"/>
  <c r="Q179" i="4"/>
  <c r="Q180" i="4"/>
  <c r="Q181" i="4"/>
  <c r="Q182" i="4"/>
  <c r="Q267" i="4"/>
  <c r="Q82" i="4"/>
  <c r="Q183" i="4"/>
  <c r="Q303" i="4"/>
  <c r="Q83" i="4"/>
  <c r="Q152" i="4"/>
  <c r="Q153" i="4"/>
  <c r="Q201" i="4"/>
  <c r="Q84" i="4"/>
  <c r="Q288" i="4"/>
  <c r="Q85" i="4"/>
  <c r="Q86" i="4"/>
  <c r="Q87" i="4"/>
  <c r="Q316" i="4"/>
  <c r="Q239" i="4"/>
  <c r="Q88" i="4"/>
  <c r="Q89" i="4"/>
  <c r="Q277" i="4"/>
  <c r="Q289" i="4"/>
  <c r="Q90" i="4"/>
  <c r="Q91" i="4"/>
  <c r="Q290" i="4"/>
  <c r="Q240" i="4"/>
  <c r="Q92" i="4"/>
  <c r="Q93" i="4"/>
  <c r="Q184" i="4"/>
  <c r="Q241" i="4"/>
  <c r="Q258" i="4"/>
  <c r="Q322" i="4"/>
  <c r="Q317" i="4"/>
  <c r="Q278" i="4"/>
  <c r="Q94" i="4"/>
  <c r="Q95" i="4"/>
  <c r="Q291" i="4"/>
  <c r="Q259" i="4"/>
  <c r="Q251" i="4"/>
  <c r="Q117" i="4"/>
  <c r="Q318" i="4"/>
  <c r="Q292" i="4"/>
  <c r="Q154" i="4"/>
  <c r="Q96" i="4"/>
  <c r="Q97" i="4"/>
  <c r="Q155" i="4"/>
  <c r="Q98" i="4"/>
  <c r="Q99" i="4"/>
  <c r="Q100" i="4"/>
  <c r="Q101" i="4"/>
  <c r="Q102" i="4"/>
  <c r="Q103" i="4"/>
  <c r="Q156" i="4"/>
  <c r="Q293" i="4"/>
  <c r="Q263" i="4"/>
  <c r="Q177" i="4"/>
  <c r="Q104" i="4"/>
  <c r="Q105" i="4"/>
  <c r="Q242" i="4"/>
  <c r="Q106" i="4"/>
  <c r="Q107" i="4"/>
  <c r="Q243" i="4"/>
  <c r="Q294" i="4"/>
  <c r="Q244" i="4"/>
  <c r="Q295" i="4"/>
  <c r="Q108" i="4"/>
  <c r="Q302" i="4"/>
  <c r="Q118" i="4"/>
  <c r="Q119" i="4"/>
  <c r="Q109" i="4"/>
  <c r="Q283" i="4"/>
  <c r="Q167" i="4"/>
  <c r="Q282" i="4"/>
  <c r="Q157" i="4"/>
  <c r="Q260" i="4"/>
  <c r="Q198" i="4"/>
  <c r="Q300" i="4"/>
  <c r="Q110" i="4"/>
  <c r="Q193" i="4"/>
  <c r="Q308" i="4"/>
  <c r="Q245" i="4"/>
  <c r="Q199" i="4"/>
  <c r="Q246" i="4"/>
  <c r="Q111" i="4"/>
  <c r="Q6" i="4"/>
  <c r="P111" i="4"/>
  <c r="P246" i="4"/>
  <c r="P199" i="4"/>
  <c r="P245" i="4"/>
  <c r="P308" i="4"/>
  <c r="P193" i="4"/>
  <c r="P110" i="4"/>
  <c r="P300" i="4"/>
  <c r="P198" i="4"/>
  <c r="P260" i="4"/>
  <c r="P157" i="4"/>
  <c r="P282" i="4"/>
  <c r="P167" i="4"/>
  <c r="P283" i="4"/>
  <c r="P109" i="4"/>
  <c r="P119" i="4"/>
  <c r="P118" i="4"/>
  <c r="P302" i="4"/>
  <c r="P108" i="4"/>
  <c r="P295" i="4"/>
  <c r="P244" i="4"/>
  <c r="P294" i="4"/>
  <c r="P243" i="4"/>
  <c r="P107" i="4"/>
  <c r="P106" i="4"/>
  <c r="P242" i="4"/>
  <c r="P105" i="4"/>
  <c r="P104" i="4"/>
  <c r="P177" i="4"/>
  <c r="P263" i="4"/>
  <c r="P293" i="4"/>
  <c r="P156" i="4"/>
  <c r="P103" i="4"/>
  <c r="P102" i="4"/>
  <c r="P101" i="4"/>
  <c r="P100" i="4"/>
  <c r="P99" i="4"/>
  <c r="P98" i="4"/>
  <c r="P155" i="4"/>
  <c r="P97" i="4"/>
  <c r="P96" i="4"/>
  <c r="P154" i="4"/>
  <c r="P292" i="4"/>
  <c r="P318" i="4"/>
  <c r="P117" i="4"/>
  <c r="P251" i="4"/>
  <c r="P259" i="4"/>
  <c r="P291" i="4"/>
  <c r="P95" i="4"/>
  <c r="P94" i="4"/>
  <c r="P278" i="4"/>
  <c r="P317" i="4"/>
  <c r="P322" i="4"/>
  <c r="P258" i="4"/>
  <c r="P241" i="4"/>
  <c r="P184" i="4"/>
  <c r="P93" i="4"/>
  <c r="P92" i="4"/>
  <c r="P240" i="4"/>
  <c r="P290" i="4"/>
  <c r="P91" i="4"/>
  <c r="P90" i="4"/>
  <c r="P289" i="4"/>
  <c r="P277" i="4"/>
  <c r="P89" i="4"/>
  <c r="P88" i="4"/>
  <c r="P239" i="4"/>
  <c r="P316" i="4"/>
  <c r="P87" i="4"/>
  <c r="P86" i="4"/>
  <c r="P85" i="4"/>
  <c r="P288" i="4"/>
  <c r="P84" i="4"/>
  <c r="P201" i="4"/>
  <c r="P153" i="4"/>
  <c r="P152" i="4"/>
  <c r="P83" i="4"/>
  <c r="P303" i="4"/>
  <c r="P183" i="4"/>
  <c r="P82" i="4"/>
  <c r="P267" i="4"/>
  <c r="P182" i="4"/>
  <c r="P181" i="4"/>
  <c r="P180" i="4"/>
  <c r="P179" i="4"/>
  <c r="P151" i="4"/>
  <c r="P81" i="4"/>
  <c r="P80" i="4"/>
  <c r="P238" i="4"/>
  <c r="P166" i="4"/>
  <c r="P165" i="4"/>
  <c r="P178" i="4"/>
  <c r="P237" i="4"/>
  <c r="P236" i="4"/>
  <c r="P192" i="4"/>
  <c r="P195" i="4"/>
  <c r="P191" i="4"/>
  <c r="P235" i="4"/>
  <c r="P79" i="4"/>
  <c r="P150" i="4"/>
  <c r="P149" i="4"/>
  <c r="P78" i="4"/>
  <c r="P234" i="4"/>
  <c r="P77" i="4"/>
  <c r="P76" i="4"/>
  <c r="P200" i="4"/>
  <c r="P194" i="4"/>
  <c r="P75" i="4"/>
  <c r="P74" i="4"/>
  <c r="P73" i="4"/>
  <c r="P72" i="4"/>
  <c r="P233" i="4"/>
  <c r="P71" i="4"/>
  <c r="P70" i="4"/>
  <c r="P148" i="4"/>
  <c r="P297" i="4"/>
  <c r="P296" i="4"/>
  <c r="P321" i="4"/>
  <c r="P301" i="4"/>
  <c r="P147" i="4"/>
  <c r="P232" i="4"/>
  <c r="P69" i="4"/>
  <c r="P68" i="4"/>
  <c r="P276" i="4"/>
  <c r="P67" i="4"/>
  <c r="P146" i="4"/>
  <c r="P145" i="4"/>
  <c r="P231" i="4"/>
  <c r="P144" i="4"/>
  <c r="P275" i="4"/>
  <c r="P257" i="4"/>
  <c r="P143" i="4"/>
  <c r="P285" i="4"/>
  <c r="P250" i="4"/>
  <c r="P190" i="4"/>
  <c r="P66" i="4"/>
  <c r="P230" i="4"/>
  <c r="P176" i="4"/>
  <c r="P142" i="4"/>
  <c r="P323" i="4"/>
  <c r="P141" i="4"/>
  <c r="P229" i="4"/>
  <c r="P65" i="4"/>
  <c r="P175" i="4"/>
  <c r="P140" i="4"/>
  <c r="P64" i="4"/>
  <c r="P274" i="4"/>
  <c r="P228" i="4"/>
  <c r="P174" i="4"/>
  <c r="P63" i="4"/>
  <c r="P227" i="4"/>
  <c r="P226" i="4"/>
  <c r="P225" i="4"/>
  <c r="P62" i="4"/>
  <c r="P61" i="4"/>
  <c r="P224" i="4"/>
  <c r="P223" i="4"/>
  <c r="P222" i="4"/>
  <c r="P173" i="4"/>
  <c r="P172" i="4"/>
  <c r="P189" i="4"/>
  <c r="P60" i="4"/>
  <c r="P164" i="4"/>
  <c r="P139" i="4"/>
  <c r="P273" i="4"/>
  <c r="P299" i="4"/>
  <c r="P171" i="4"/>
  <c r="P59" i="4"/>
  <c r="P221" i="4"/>
  <c r="P170" i="4"/>
  <c r="P163" i="4"/>
  <c r="P220" i="4"/>
  <c r="P307" i="4"/>
  <c r="P138" i="4"/>
  <c r="P272" i="4"/>
  <c r="P271" i="4"/>
  <c r="P270" i="4"/>
  <c r="P169" i="4"/>
  <c r="P269" i="4"/>
  <c r="P268" i="4"/>
  <c r="P306" i="4"/>
  <c r="P58" i="4"/>
  <c r="P188" i="4"/>
  <c r="P57" i="4"/>
  <c r="P256" i="4"/>
  <c r="P255" i="4"/>
  <c r="P137" i="4"/>
  <c r="P116" i="4"/>
  <c r="P115" i="4"/>
  <c r="P315" i="4"/>
  <c r="P56" i="4"/>
  <c r="P55" i="4"/>
  <c r="P314" i="4"/>
  <c r="P187" i="4"/>
  <c r="P54" i="4"/>
  <c r="P53" i="4"/>
  <c r="P219" i="4"/>
  <c r="P52" i="4"/>
  <c r="P51" i="4"/>
  <c r="P136" i="4"/>
  <c r="P305" i="4"/>
  <c r="P50" i="4"/>
  <c r="P313" i="4"/>
  <c r="P218" i="4"/>
  <c r="P217" i="4"/>
  <c r="P162" i="4"/>
  <c r="P216" i="4"/>
  <c r="P161" i="4"/>
  <c r="P114" i="4"/>
  <c r="P49" i="4"/>
  <c r="P312" i="4"/>
  <c r="P311" i="4"/>
  <c r="P215" i="4"/>
  <c r="P214" i="4"/>
  <c r="P319" i="4"/>
  <c r="P310" i="4"/>
  <c r="P48" i="4"/>
  <c r="P254" i="4"/>
  <c r="P135" i="4"/>
  <c r="P134" i="4"/>
  <c r="P47" i="4"/>
  <c r="P46" i="4"/>
  <c r="P133" i="4"/>
  <c r="P281" i="4"/>
  <c r="P280" i="4"/>
  <c r="P113" i="4"/>
  <c r="P45" i="4"/>
  <c r="P262" i="4"/>
  <c r="P213" i="4"/>
  <c r="P309" i="4"/>
  <c r="P132" i="4"/>
  <c r="P266" i="4"/>
  <c r="P212" i="4"/>
  <c r="P160" i="4"/>
  <c r="P159" i="4"/>
  <c r="P261" i="4"/>
  <c r="P158" i="4"/>
  <c r="P265" i="4"/>
  <c r="P287" i="4"/>
  <c r="P249" i="4"/>
  <c r="P186" i="4"/>
  <c r="P286" i="4"/>
  <c r="P211" i="4"/>
  <c r="P248" i="4"/>
  <c r="P210" i="4"/>
  <c r="P209" i="4"/>
  <c r="P131" i="4"/>
  <c r="P44" i="4"/>
  <c r="P43" i="4"/>
  <c r="P264" i="4"/>
  <c r="P42" i="4"/>
  <c r="P197" i="4"/>
  <c r="P130" i="4"/>
  <c r="P129" i="4"/>
  <c r="P208" i="4"/>
  <c r="P207" i="4"/>
  <c r="P279" i="4"/>
  <c r="P128" i="4"/>
  <c r="P206" i="4"/>
  <c r="P205" i="4"/>
  <c r="P204" i="4"/>
  <c r="P203" i="4"/>
  <c r="P253" i="4"/>
  <c r="P252" i="4"/>
  <c r="P168" i="4"/>
  <c r="P112" i="4"/>
  <c r="P320" i="4"/>
  <c r="P127" i="4"/>
  <c r="P126" i="4"/>
  <c r="P125" i="4"/>
  <c r="P202" i="4"/>
  <c r="P41" i="4"/>
  <c r="P40" i="4"/>
  <c r="P124" i="4"/>
  <c r="P298" i="4"/>
  <c r="P196" i="4"/>
  <c r="P123" i="4"/>
  <c r="P122" i="4"/>
  <c r="P121" i="4"/>
  <c r="P120" i="4"/>
  <c r="P39" i="4"/>
  <c r="P38" i="4"/>
  <c r="P37" i="4"/>
  <c r="P185" i="4"/>
  <c r="P36" i="4"/>
  <c r="P247" i="4"/>
  <c r="P35" i="4"/>
  <c r="P34" i="4"/>
  <c r="P33" i="4"/>
  <c r="P32" i="4"/>
  <c r="P31" i="4"/>
  <c r="P30" i="4"/>
  <c r="P29" i="4"/>
  <c r="P28" i="4"/>
  <c r="P27" i="4"/>
  <c r="P26" i="4"/>
  <c r="P25" i="4"/>
  <c r="P304" i="4"/>
  <c r="P24" i="4"/>
  <c r="P284" i="4"/>
  <c r="P23" i="4"/>
  <c r="P22" i="4"/>
  <c r="P21" i="4"/>
  <c r="P20" i="4"/>
  <c r="P19" i="4"/>
  <c r="P18" i="4"/>
  <c r="P17" i="4"/>
  <c r="P16" i="4"/>
  <c r="P15" i="4"/>
  <c r="P14" i="4"/>
  <c r="P13" i="4"/>
  <c r="P12" i="4"/>
  <c r="P11" i="4"/>
  <c r="P10" i="4"/>
  <c r="P9" i="4"/>
  <c r="P8" i="4"/>
  <c r="P7" i="4"/>
  <c r="P6" i="4"/>
  <c r="AM321" i="12" l="1"/>
  <c r="AM317" i="12"/>
  <c r="AM313" i="12"/>
  <c r="AM309" i="12"/>
  <c r="AM318" i="12"/>
  <c r="AM314" i="12"/>
  <c r="AM310" i="12"/>
  <c r="AM319" i="12"/>
  <c r="AM315" i="12"/>
  <c r="AM311" i="12"/>
  <c r="AM320" i="12"/>
  <c r="AM312" i="12"/>
  <c r="AM316" i="12"/>
  <c r="AM308" i="12"/>
  <c r="I217" i="12"/>
  <c r="I216" i="12"/>
  <c r="I214" i="12"/>
  <c r="I212" i="12"/>
  <c r="I210" i="12"/>
  <c r="I208" i="12"/>
  <c r="I206" i="12"/>
  <c r="I204" i="12"/>
  <c r="I215" i="12"/>
  <c r="I213" i="12"/>
  <c r="I211" i="12"/>
  <c r="I209" i="12"/>
  <c r="I207" i="12"/>
  <c r="I205" i="12"/>
  <c r="H217" i="12"/>
  <c r="H215" i="12"/>
  <c r="H213" i="12"/>
  <c r="H211" i="12"/>
  <c r="H209" i="12"/>
  <c r="H207" i="12"/>
  <c r="H205" i="12"/>
  <c r="H216" i="12"/>
  <c r="H214" i="12"/>
  <c r="H212" i="12"/>
  <c r="H210" i="12"/>
  <c r="H208" i="12"/>
  <c r="H206" i="12"/>
  <c r="H204" i="12"/>
  <c r="AM322" i="12" l="1"/>
  <c r="I218" i="12"/>
  <c r="H218" i="12"/>
  <c r="C42" i="12"/>
  <c r="F216" i="12" l="1"/>
  <c r="F214" i="12"/>
  <c r="F212" i="12"/>
  <c r="F210" i="12"/>
  <c r="F206" i="12"/>
  <c r="F204" i="12"/>
  <c r="F217" i="12"/>
  <c r="F215" i="12"/>
  <c r="F213" i="12"/>
  <c r="F211" i="12"/>
  <c r="F209" i="12"/>
  <c r="F205" i="12"/>
  <c r="G214" i="12"/>
  <c r="G210" i="12"/>
  <c r="G206" i="12"/>
  <c r="G217" i="12"/>
  <c r="G213" i="12"/>
  <c r="G209" i="12"/>
  <c r="G205" i="12"/>
  <c r="G216" i="12"/>
  <c r="G212" i="12"/>
  <c r="G208" i="12"/>
  <c r="G204" i="12"/>
  <c r="G215" i="12"/>
  <c r="G211" i="12"/>
  <c r="G207" i="12"/>
  <c r="H228" i="12"/>
  <c r="H283" i="12"/>
  <c r="H223" i="12"/>
  <c r="G196" i="12"/>
  <c r="H285" i="12"/>
  <c r="H225" i="12"/>
  <c r="G186" i="12"/>
  <c r="H279" i="12"/>
  <c r="G195" i="12"/>
  <c r="H236" i="12"/>
  <c r="G189" i="12"/>
  <c r="H284" i="12"/>
  <c r="H288" i="12"/>
  <c r="G191" i="12"/>
  <c r="H280" i="12"/>
  <c r="G193" i="12"/>
  <c r="H230" i="12"/>
  <c r="G194" i="12"/>
  <c r="G187" i="12"/>
  <c r="G185" i="12"/>
  <c r="H224" i="12"/>
  <c r="G190" i="12"/>
  <c r="H234" i="12"/>
  <c r="H226" i="12"/>
  <c r="H232" i="12"/>
  <c r="H290" i="12"/>
  <c r="H235" i="12"/>
  <c r="G198" i="12"/>
  <c r="H289" i="12"/>
  <c r="H229" i="12"/>
  <c r="G192" i="12"/>
  <c r="H291" i="12"/>
  <c r="H231" i="12"/>
  <c r="H286" i="12"/>
  <c r="H233" i="12"/>
  <c r="H292" i="12"/>
  <c r="G188" i="12"/>
  <c r="H287" i="12"/>
  <c r="H227" i="12"/>
  <c r="H282" i="12"/>
  <c r="H281" i="12"/>
  <c r="G197" i="12"/>
  <c r="D292" i="12"/>
  <c r="D236" i="12"/>
  <c r="C186" i="12"/>
  <c r="C194" i="12"/>
  <c r="D224" i="12"/>
  <c r="D284" i="12"/>
  <c r="D289" i="12"/>
  <c r="D281" i="12"/>
  <c r="D229" i="12"/>
  <c r="C197" i="12"/>
  <c r="C189" i="12"/>
  <c r="D230" i="12"/>
  <c r="D290" i="12"/>
  <c r="D228" i="12"/>
  <c r="D288" i="12"/>
  <c r="C192" i="12"/>
  <c r="D291" i="12"/>
  <c r="D283" i="12"/>
  <c r="D231" i="12"/>
  <c r="D223" i="12"/>
  <c r="C191" i="12"/>
  <c r="C198" i="12"/>
  <c r="D282" i="12"/>
  <c r="C196" i="12"/>
  <c r="D280" i="12"/>
  <c r="D234" i="12"/>
  <c r="D285" i="12"/>
  <c r="D233" i="12"/>
  <c r="D225" i="12"/>
  <c r="C193" i="12"/>
  <c r="C188" i="12"/>
  <c r="D226" i="12"/>
  <c r="D286" i="12"/>
  <c r="D232" i="12"/>
  <c r="C185" i="12"/>
  <c r="D287" i="12"/>
  <c r="D279" i="12"/>
  <c r="D235" i="12"/>
  <c r="D227" i="12"/>
  <c r="C195" i="12"/>
  <c r="C187" i="12"/>
  <c r="C190" i="12"/>
  <c r="G292" i="12"/>
  <c r="G284" i="12"/>
  <c r="G232" i="12"/>
  <c r="G224" i="12"/>
  <c r="F192" i="12"/>
  <c r="G287" i="12"/>
  <c r="G279" i="12"/>
  <c r="G235" i="12"/>
  <c r="G227" i="12"/>
  <c r="F195" i="12"/>
  <c r="F187" i="12"/>
  <c r="F186" i="12"/>
  <c r="G286" i="12"/>
  <c r="G234" i="12"/>
  <c r="G226" i="12"/>
  <c r="F194" i="12"/>
  <c r="G289" i="12"/>
  <c r="G281" i="12"/>
  <c r="G229" i="12"/>
  <c r="F197" i="12"/>
  <c r="F189" i="12"/>
  <c r="G288" i="12"/>
  <c r="G280" i="12"/>
  <c r="G236" i="12"/>
  <c r="G228" i="12"/>
  <c r="F196" i="12"/>
  <c r="F188" i="12"/>
  <c r="G291" i="12"/>
  <c r="G283" i="12"/>
  <c r="G231" i="12"/>
  <c r="G223" i="12"/>
  <c r="F191" i="12"/>
  <c r="G290" i="12"/>
  <c r="G282" i="12"/>
  <c r="G230" i="12"/>
  <c r="F198" i="12"/>
  <c r="F190" i="12"/>
  <c r="G285" i="12"/>
  <c r="G233" i="12"/>
  <c r="G225" i="12"/>
  <c r="F193" i="12"/>
  <c r="F185" i="12"/>
  <c r="E287" i="12"/>
  <c r="E279" i="12"/>
  <c r="E235" i="12"/>
  <c r="E227" i="12"/>
  <c r="D195" i="12"/>
  <c r="E290" i="12"/>
  <c r="E282" i="12"/>
  <c r="E230" i="12"/>
  <c r="D198" i="12"/>
  <c r="D190" i="12"/>
  <c r="D187" i="12"/>
  <c r="E289" i="12"/>
  <c r="E281" i="12"/>
  <c r="E229" i="12"/>
  <c r="D197" i="12"/>
  <c r="D189" i="12"/>
  <c r="E292" i="12"/>
  <c r="E284" i="12"/>
  <c r="E232" i="12"/>
  <c r="E224" i="12"/>
  <c r="D192" i="12"/>
  <c r="E291" i="12"/>
  <c r="E283" i="12"/>
  <c r="E231" i="12"/>
  <c r="E223" i="12"/>
  <c r="D191" i="12"/>
  <c r="E286" i="12"/>
  <c r="E234" i="12"/>
  <c r="E226" i="12"/>
  <c r="D194" i="12"/>
  <c r="D186" i="12"/>
  <c r="D185" i="12"/>
  <c r="E285" i="12"/>
  <c r="E233" i="12"/>
  <c r="E225" i="12"/>
  <c r="D193" i="12"/>
  <c r="E288" i="12"/>
  <c r="E280" i="12"/>
  <c r="E236" i="12"/>
  <c r="E228" i="12"/>
  <c r="D196" i="12"/>
  <c r="D188" i="12"/>
  <c r="E216" i="12"/>
  <c r="E214" i="12"/>
  <c r="E212" i="12"/>
  <c r="E210" i="12"/>
  <c r="E208" i="12"/>
  <c r="E206" i="12"/>
  <c r="E204" i="12"/>
  <c r="E217" i="12"/>
  <c r="E215" i="12"/>
  <c r="E213" i="12"/>
  <c r="E211" i="12"/>
  <c r="E209" i="12"/>
  <c r="E207" i="12"/>
  <c r="E205" i="12"/>
  <c r="I289" i="12"/>
  <c r="I281" i="12"/>
  <c r="I229" i="12"/>
  <c r="H197" i="12"/>
  <c r="H189" i="12"/>
  <c r="I292" i="12"/>
  <c r="I284" i="12"/>
  <c r="I232" i="12"/>
  <c r="I224" i="12"/>
  <c r="H192" i="12"/>
  <c r="H185" i="12"/>
  <c r="I291" i="12"/>
  <c r="I283" i="12"/>
  <c r="I231" i="12"/>
  <c r="I223" i="12"/>
  <c r="H191" i="12"/>
  <c r="I286" i="12"/>
  <c r="I234" i="12"/>
  <c r="I226" i="12"/>
  <c r="H194" i="12"/>
  <c r="H186" i="12"/>
  <c r="H187" i="12"/>
  <c r="I285" i="12"/>
  <c r="I233" i="12"/>
  <c r="I225" i="12"/>
  <c r="H193" i="12"/>
  <c r="I288" i="12"/>
  <c r="I280" i="12"/>
  <c r="I236" i="12"/>
  <c r="I228" i="12"/>
  <c r="H196" i="12"/>
  <c r="H188" i="12"/>
  <c r="I287" i="12"/>
  <c r="I279" i="12"/>
  <c r="I235" i="12"/>
  <c r="I227" i="12"/>
  <c r="H195" i="12"/>
  <c r="I290" i="12"/>
  <c r="I282" i="12"/>
  <c r="I230" i="12"/>
  <c r="H198" i="12"/>
  <c r="H190" i="12"/>
  <c r="F225" i="12"/>
  <c r="F285" i="12"/>
  <c r="E189" i="12"/>
  <c r="F286" i="12"/>
  <c r="F234" i="12"/>
  <c r="F226" i="12"/>
  <c r="E194" i="12"/>
  <c r="E195" i="12"/>
  <c r="F279" i="12"/>
  <c r="E193" i="12"/>
  <c r="F231" i="12"/>
  <c r="F291" i="12"/>
  <c r="E185" i="12"/>
  <c r="F288" i="12"/>
  <c r="F280" i="12"/>
  <c r="F236" i="12"/>
  <c r="F228" i="12"/>
  <c r="E196" i="12"/>
  <c r="E188" i="12"/>
  <c r="F223" i="12"/>
  <c r="F283" i="12"/>
  <c r="E186" i="12"/>
  <c r="F229" i="12"/>
  <c r="F289" i="12"/>
  <c r="F290" i="12"/>
  <c r="F282" i="12"/>
  <c r="F230" i="12"/>
  <c r="E198" i="12"/>
  <c r="E190" i="12"/>
  <c r="F233" i="12"/>
  <c r="E191" i="12"/>
  <c r="E187" i="12"/>
  <c r="E197" i="12"/>
  <c r="F281" i="12"/>
  <c r="F292" i="12"/>
  <c r="F284" i="12"/>
  <c r="F232" i="12"/>
  <c r="F224" i="12"/>
  <c r="E192" i="12"/>
  <c r="F227" i="12"/>
  <c r="F287" i="12"/>
  <c r="F235" i="12"/>
  <c r="C217" i="12"/>
  <c r="C213" i="12"/>
  <c r="C209" i="12"/>
  <c r="C205" i="12"/>
  <c r="D212" i="12"/>
  <c r="D211" i="12"/>
  <c r="C216" i="12"/>
  <c r="C212" i="12"/>
  <c r="C208" i="12"/>
  <c r="C204" i="12"/>
  <c r="D210" i="12"/>
  <c r="D217" i="12"/>
  <c r="D209" i="12"/>
  <c r="C215" i="12"/>
  <c r="C211" i="12"/>
  <c r="C207" i="12"/>
  <c r="D216" i="12"/>
  <c r="D208" i="12"/>
  <c r="D215" i="12"/>
  <c r="D207" i="12"/>
  <c r="C214" i="12"/>
  <c r="C210" i="12"/>
  <c r="C206" i="12"/>
  <c r="D214" i="12"/>
  <c r="D206" i="12"/>
  <c r="D213" i="12"/>
  <c r="D205" i="12"/>
  <c r="I138" i="12"/>
  <c r="I137" i="12"/>
  <c r="I136" i="12"/>
  <c r="I140" i="12"/>
  <c r="I139" i="12"/>
  <c r="J136" i="12"/>
  <c r="J140" i="12"/>
  <c r="J139" i="12"/>
  <c r="J138" i="12"/>
  <c r="J137" i="12"/>
  <c r="H139" i="12"/>
  <c r="H138" i="12"/>
  <c r="H137" i="12"/>
  <c r="H136" i="12"/>
  <c r="H140" i="12"/>
  <c r="G136" i="12"/>
  <c r="G140" i="12"/>
  <c r="G139" i="12"/>
  <c r="G138" i="12"/>
  <c r="G137" i="12"/>
  <c r="F137" i="12"/>
  <c r="F136" i="12"/>
  <c r="F140" i="12"/>
  <c r="F139" i="12"/>
  <c r="F138" i="12"/>
  <c r="F300" i="12"/>
  <c r="F299" i="12"/>
  <c r="F301" i="12"/>
  <c r="E109" i="12"/>
  <c r="E111" i="12"/>
  <c r="E106" i="12"/>
  <c r="E112" i="12"/>
  <c r="E110" i="12"/>
  <c r="E115" i="12"/>
  <c r="E114" i="12"/>
  <c r="E116" i="12"/>
  <c r="E107" i="12"/>
  <c r="E108" i="12"/>
  <c r="E103" i="12"/>
  <c r="E105" i="12"/>
  <c r="E104" i="12"/>
  <c r="E113" i="12"/>
  <c r="E85" i="12"/>
  <c r="E81" i="12"/>
  <c r="E87" i="12"/>
  <c r="E84" i="12"/>
  <c r="E78" i="12"/>
  <c r="E75" i="12"/>
  <c r="E77" i="12"/>
  <c r="E88" i="12"/>
  <c r="E82" i="12"/>
  <c r="E79" i="12"/>
  <c r="E76" i="12"/>
  <c r="E86" i="12"/>
  <c r="E83" i="12"/>
  <c r="E80" i="12"/>
  <c r="D42" i="12"/>
  <c r="E63" i="12"/>
  <c r="E68" i="12"/>
  <c r="E69" i="12"/>
  <c r="E70" i="12"/>
  <c r="E67" i="12"/>
  <c r="E72" i="12"/>
  <c r="E73" i="12"/>
  <c r="E74" i="12"/>
  <c r="E71" i="12"/>
  <c r="E61" i="12"/>
  <c r="E62" i="12"/>
  <c r="E64" i="12"/>
  <c r="E65" i="12"/>
  <c r="E66" i="12"/>
  <c r="F298" i="12"/>
  <c r="F302" i="12"/>
  <c r="D35" i="12"/>
  <c r="I195" i="12" l="1"/>
  <c r="I196" i="12"/>
  <c r="I192" i="12"/>
  <c r="I194" i="12"/>
  <c r="I185" i="12"/>
  <c r="I188" i="12"/>
  <c r="I189" i="12"/>
  <c r="I186" i="12"/>
  <c r="I190" i="12"/>
  <c r="I193" i="12"/>
  <c r="I198" i="12"/>
  <c r="I197" i="12"/>
  <c r="I187" i="12"/>
  <c r="I191" i="12"/>
  <c r="C218" i="12"/>
  <c r="E218" i="12"/>
  <c r="I141" i="12"/>
  <c r="H141" i="12"/>
  <c r="J141" i="12"/>
  <c r="F218" i="12"/>
  <c r="D218" i="12"/>
  <c r="G141" i="12"/>
  <c r="G218" i="12"/>
  <c r="F141" i="12"/>
  <c r="D36" i="12"/>
  <c r="D32" i="12"/>
  <c r="D28" i="12"/>
  <c r="D34" i="12"/>
  <c r="D40" i="12"/>
  <c r="D38" i="12"/>
  <c r="D39" i="12"/>
  <c r="D29" i="12"/>
  <c r="D33" i="12"/>
  <c r="D37" i="12"/>
  <c r="D41" i="12"/>
  <c r="D30" i="12"/>
  <c r="D31" i="12"/>
  <c r="P7" i="6"/>
  <c r="P8" i="6"/>
  <c r="P9" i="6"/>
  <c r="P10" i="6"/>
  <c r="P11" i="6"/>
  <c r="P12" i="6"/>
  <c r="P13" i="6"/>
  <c r="P14" i="6"/>
  <c r="P15" i="6"/>
  <c r="P6" i="6"/>
  <c r="N5" i="8"/>
  <c r="AN318" i="12" l="1"/>
  <c r="AN314" i="12"/>
  <c r="AN310" i="12"/>
  <c r="AN319" i="12"/>
  <c r="AN315" i="12"/>
  <c r="AN311" i="12"/>
  <c r="AN320" i="12"/>
  <c r="AN316" i="12"/>
  <c r="AN312" i="12"/>
  <c r="AN308" i="12"/>
  <c r="AN321" i="12"/>
  <c r="AN313" i="12"/>
  <c r="AN317" i="12"/>
  <c r="AN309" i="12"/>
  <c r="AK319" i="12"/>
  <c r="AK315" i="12"/>
  <c r="AK311" i="12"/>
  <c r="AK320" i="12"/>
  <c r="AK316" i="12"/>
  <c r="AK312" i="12"/>
  <c r="AK308" i="12"/>
  <c r="AK321" i="12"/>
  <c r="AK317" i="12"/>
  <c r="AK313" i="12"/>
  <c r="AK309" i="12"/>
  <c r="AK318" i="12"/>
  <c r="AK310" i="12"/>
  <c r="AK314" i="12"/>
  <c r="AL320" i="12"/>
  <c r="AL316" i="12"/>
  <c r="AL312" i="12"/>
  <c r="AL308" i="12"/>
  <c r="AL321" i="12"/>
  <c r="AL317" i="12"/>
  <c r="AL313" i="12"/>
  <c r="AL309" i="12"/>
  <c r="AL318" i="12"/>
  <c r="AL314" i="12"/>
  <c r="AL310" i="12"/>
  <c r="AL315" i="12"/>
  <c r="AL319" i="12"/>
  <c r="AL311" i="12"/>
  <c r="AI321" i="12"/>
  <c r="AI317" i="12"/>
  <c r="AI313" i="12"/>
  <c r="AI309" i="12"/>
  <c r="AI318" i="12"/>
  <c r="AI314" i="12"/>
  <c r="AI310" i="12"/>
  <c r="AI319" i="12"/>
  <c r="AI315" i="12"/>
  <c r="AI311" i="12"/>
  <c r="AI320" i="12"/>
  <c r="AI312" i="12"/>
  <c r="AI316" i="12"/>
  <c r="AI308" i="12"/>
  <c r="AJ318" i="12"/>
  <c r="AJ314" i="12"/>
  <c r="AJ310" i="12"/>
  <c r="AJ319" i="12"/>
  <c r="AJ315" i="12"/>
  <c r="AJ311" i="12"/>
  <c r="AJ320" i="12"/>
  <c r="AJ316" i="12"/>
  <c r="AJ312" i="12"/>
  <c r="AJ308" i="12"/>
  <c r="AJ317" i="12"/>
  <c r="AJ309" i="12"/>
  <c r="AJ321" i="12"/>
  <c r="AJ313" i="12"/>
  <c r="I199" i="12"/>
  <c r="F321" i="12"/>
  <c r="F317" i="12"/>
  <c r="F313" i="12"/>
  <c r="F309" i="12"/>
  <c r="G396" i="12"/>
  <c r="G392" i="12"/>
  <c r="G388" i="12"/>
  <c r="G384" i="12"/>
  <c r="G380" i="12"/>
  <c r="G376" i="12"/>
  <c r="G372" i="12"/>
  <c r="G368" i="12"/>
  <c r="G364" i="12"/>
  <c r="G360" i="12"/>
  <c r="G356" i="12"/>
  <c r="G352" i="12"/>
  <c r="G348" i="12"/>
  <c r="G344" i="12"/>
  <c r="G340" i="12"/>
  <c r="G336" i="12"/>
  <c r="G331" i="12"/>
  <c r="G327" i="12"/>
  <c r="F320" i="12"/>
  <c r="F316" i="12"/>
  <c r="F312" i="12"/>
  <c r="F308" i="12"/>
  <c r="G395" i="12"/>
  <c r="G391" i="12"/>
  <c r="G387" i="12"/>
  <c r="G383" i="12"/>
  <c r="G379" i="12"/>
  <c r="G375" i="12"/>
  <c r="G371" i="12"/>
  <c r="G367" i="12"/>
  <c r="G363" i="12"/>
  <c r="G359" i="12"/>
  <c r="G355" i="12"/>
  <c r="G351" i="12"/>
  <c r="G347" i="12"/>
  <c r="G343" i="12"/>
  <c r="G339" i="12"/>
  <c r="G334" i="12"/>
  <c r="G330" i="12"/>
  <c r="F319" i="12"/>
  <c r="F315" i="12"/>
  <c r="F311" i="12"/>
  <c r="G394" i="12"/>
  <c r="G390" i="12"/>
  <c r="G386" i="12"/>
  <c r="G382" i="12"/>
  <c r="G378" i="12"/>
  <c r="G374" i="12"/>
  <c r="G370" i="12"/>
  <c r="G366" i="12"/>
  <c r="G362" i="12"/>
  <c r="G358" i="12"/>
  <c r="G354" i="12"/>
  <c r="G350" i="12"/>
  <c r="G346" i="12"/>
  <c r="G342" i="12"/>
  <c r="G338" i="12"/>
  <c r="G333" i="12"/>
  <c r="G329" i="12"/>
  <c r="F318" i="12"/>
  <c r="F314" i="12"/>
  <c r="F310" i="12"/>
  <c r="G335" i="12"/>
  <c r="G393" i="12"/>
  <c r="G389" i="12"/>
  <c r="G385" i="12"/>
  <c r="G381" i="12"/>
  <c r="G377" i="12"/>
  <c r="G373" i="12"/>
  <c r="G369" i="12"/>
  <c r="G365" i="12"/>
  <c r="H365" i="12" s="1"/>
  <c r="G361" i="12"/>
  <c r="G357" i="12"/>
  <c r="H357" i="12" s="1"/>
  <c r="G353" i="12"/>
  <c r="H353" i="12" s="1"/>
  <c r="G349" i="12"/>
  <c r="H349" i="12" s="1"/>
  <c r="G345" i="12"/>
  <c r="H345" i="12" s="1"/>
  <c r="G341" i="12"/>
  <c r="H341" i="12" s="1"/>
  <c r="G337" i="12"/>
  <c r="G332" i="12"/>
  <c r="G328" i="12"/>
  <c r="H367" i="12"/>
  <c r="H363" i="12"/>
  <c r="H361" i="12"/>
  <c r="H359" i="12"/>
  <c r="H355" i="12"/>
  <c r="H354" i="12"/>
  <c r="H350" i="12"/>
  <c r="H346" i="12"/>
  <c r="H342" i="12"/>
  <c r="H351" i="12"/>
  <c r="H347" i="12"/>
  <c r="H343" i="12"/>
  <c r="H368" i="12"/>
  <c r="H366" i="12"/>
  <c r="H364" i="12"/>
  <c r="H362" i="12"/>
  <c r="H360" i="12"/>
  <c r="H358" i="12"/>
  <c r="H356" i="12"/>
  <c r="H352" i="12"/>
  <c r="H348" i="12"/>
  <c r="H344" i="12"/>
  <c r="D308" i="12"/>
  <c r="N9" i="2"/>
  <c r="V11" i="2"/>
  <c r="X12" i="2"/>
  <c r="X63" i="2"/>
  <c r="X44" i="2"/>
  <c r="X48" i="2"/>
  <c r="X52" i="2"/>
  <c r="X32" i="2"/>
  <c r="X36" i="2"/>
  <c r="X60" i="2"/>
  <c r="X64" i="2"/>
  <c r="X49" i="2"/>
  <c r="X37" i="2"/>
  <c r="X58" i="2"/>
  <c r="X62" i="2"/>
  <c r="X66" i="2"/>
  <c r="X51" i="2"/>
  <c r="X38" i="2"/>
  <c r="X35" i="2"/>
  <c r="X34" i="2"/>
  <c r="X46" i="2"/>
  <c r="W51" i="2"/>
  <c r="X30" i="2"/>
  <c r="W35" i="2"/>
  <c r="X65" i="2"/>
  <c r="U13" i="2"/>
  <c r="U11" i="2"/>
  <c r="W14" i="2"/>
  <c r="W64" i="2"/>
  <c r="W49" i="2"/>
  <c r="W37" i="2"/>
  <c r="W65" i="2"/>
  <c r="W50" i="2"/>
  <c r="W63" i="2"/>
  <c r="W36" i="2"/>
  <c r="X50" i="2"/>
  <c r="U21" i="2"/>
  <c r="U17" i="2"/>
  <c r="U12" i="2"/>
  <c r="W21" i="2"/>
  <c r="W17" i="2"/>
  <c r="W13" i="2"/>
  <c r="X19" i="2"/>
  <c r="X15" i="2"/>
  <c r="X23" i="2"/>
  <c r="U20" i="2"/>
  <c r="U16" i="2"/>
  <c r="U23" i="2"/>
  <c r="W20" i="2"/>
  <c r="W16" i="2"/>
  <c r="W12" i="2"/>
  <c r="X22" i="2"/>
  <c r="X18" i="2"/>
  <c r="X14" i="2"/>
  <c r="U14" i="2"/>
  <c r="U19" i="2"/>
  <c r="U15" i="2"/>
  <c r="W11" i="2"/>
  <c r="W19" i="2"/>
  <c r="W15" i="2"/>
  <c r="W23" i="2"/>
  <c r="X21" i="2"/>
  <c r="X17" i="2"/>
  <c r="X13" i="2"/>
  <c r="U22" i="2"/>
  <c r="U18" i="2"/>
  <c r="W22" i="2"/>
  <c r="W18" i="2"/>
  <c r="X11" i="2"/>
  <c r="X20" i="2"/>
  <c r="X16" i="2"/>
  <c r="V21" i="2"/>
  <c r="V17" i="2"/>
  <c r="V23" i="2"/>
  <c r="V20" i="2"/>
  <c r="V16" i="2"/>
  <c r="V13" i="2"/>
  <c r="V19" i="2"/>
  <c r="V15" i="2"/>
  <c r="V12" i="2"/>
  <c r="V22" i="2"/>
  <c r="V18" i="2"/>
  <c r="V14" i="2"/>
  <c r="N51" i="2"/>
  <c r="N50" i="2"/>
  <c r="N48" i="2"/>
  <c r="N47" i="2"/>
  <c r="N43" i="2"/>
  <c r="K63" i="2"/>
  <c r="O63" i="2"/>
  <c r="O71" i="2"/>
  <c r="K77" i="2"/>
  <c r="O77" i="2"/>
  <c r="M78" i="2"/>
  <c r="O79" i="2"/>
  <c r="N7" i="2"/>
  <c r="J49" i="2"/>
  <c r="M51" i="2"/>
  <c r="M50" i="2"/>
  <c r="O49" i="2"/>
  <c r="J63" i="2"/>
  <c r="N65" i="2"/>
  <c r="N64" i="2"/>
  <c r="N62" i="2"/>
  <c r="N61" i="2"/>
  <c r="N57" i="2"/>
  <c r="O66" i="2"/>
  <c r="L71" i="2"/>
  <c r="N76" i="2"/>
  <c r="L77" i="2"/>
  <c r="N78" i="2"/>
  <c r="J80" i="2"/>
  <c r="N6" i="2"/>
  <c r="J52" i="2"/>
  <c r="L49" i="2"/>
  <c r="L43" i="2"/>
  <c r="O52" i="2"/>
  <c r="J66" i="2"/>
  <c r="M65" i="2"/>
  <c r="M64" i="2"/>
  <c r="O65" i="2"/>
  <c r="O57" i="2"/>
  <c r="M79" i="2"/>
  <c r="O80" i="2"/>
  <c r="N5" i="2"/>
  <c r="N4" i="2"/>
  <c r="J51" i="2"/>
  <c r="K49" i="2"/>
  <c r="O51" i="2"/>
  <c r="O43" i="2"/>
  <c r="J65" i="2"/>
  <c r="L63" i="2"/>
  <c r="L57" i="2"/>
  <c r="N71" i="2"/>
  <c r="N75" i="2"/>
  <c r="J77" i="2"/>
  <c r="J79" i="2"/>
  <c r="N79" i="2"/>
  <c r="N8" i="2"/>
  <c r="O26" i="2"/>
  <c r="J24" i="2"/>
  <c r="J32" i="2"/>
  <c r="J28" i="2"/>
  <c r="J36" i="2"/>
  <c r="K36" i="2"/>
  <c r="K35" i="2"/>
  <c r="K34" i="2"/>
  <c r="K33" i="2"/>
  <c r="K32" i="2"/>
  <c r="K31" i="2"/>
  <c r="K30" i="2"/>
  <c r="K29" i="2"/>
  <c r="K28" i="2"/>
  <c r="K27" i="2"/>
  <c r="K26" i="2"/>
  <c r="K25" i="2"/>
  <c r="K24" i="2"/>
  <c r="O33" i="2"/>
  <c r="O29" i="2"/>
  <c r="O25" i="2"/>
  <c r="J35" i="2"/>
  <c r="J31" i="2"/>
  <c r="J27" i="2"/>
  <c r="N36" i="2"/>
  <c r="N35" i="2"/>
  <c r="N34" i="2"/>
  <c r="N33" i="2"/>
  <c r="N32" i="2"/>
  <c r="N31" i="2"/>
  <c r="N30" i="2"/>
  <c r="N29" i="2"/>
  <c r="N28" i="2"/>
  <c r="N27" i="2"/>
  <c r="N26" i="2"/>
  <c r="N25" i="2"/>
  <c r="N24" i="2"/>
  <c r="O24" i="2"/>
  <c r="O32" i="2"/>
  <c r="O28" i="2"/>
  <c r="O36" i="2"/>
  <c r="J34" i="2"/>
  <c r="J30" i="2"/>
  <c r="J26" i="2"/>
  <c r="M36" i="2"/>
  <c r="M35" i="2"/>
  <c r="M34" i="2"/>
  <c r="M33" i="2"/>
  <c r="M32" i="2"/>
  <c r="M31" i="2"/>
  <c r="M30" i="2"/>
  <c r="M29" i="2"/>
  <c r="M28" i="2"/>
  <c r="M27" i="2"/>
  <c r="M26" i="2"/>
  <c r="M25" i="2"/>
  <c r="M24" i="2"/>
  <c r="O35" i="2"/>
  <c r="O31" i="2"/>
  <c r="O27" i="2"/>
  <c r="J33" i="2"/>
  <c r="J29" i="2"/>
  <c r="J25" i="2"/>
  <c r="L36" i="2"/>
  <c r="L35" i="2"/>
  <c r="L34" i="2"/>
  <c r="L33" i="2"/>
  <c r="L32" i="2"/>
  <c r="L31" i="2"/>
  <c r="L30" i="2"/>
  <c r="L29" i="2"/>
  <c r="L28" i="2"/>
  <c r="L27" i="2"/>
  <c r="L26" i="2"/>
  <c r="L25" i="2"/>
  <c r="L24" i="2"/>
  <c r="O34" i="2"/>
  <c r="O30" i="2"/>
  <c r="AL322" i="12" l="1"/>
  <c r="AJ322" i="12"/>
  <c r="AN322" i="12"/>
  <c r="AI322" i="12"/>
  <c r="AK322" i="12"/>
  <c r="F322" i="12"/>
  <c r="G318" i="12"/>
  <c r="C322" i="12"/>
  <c r="G308" i="12"/>
  <c r="D322" i="12"/>
  <c r="E322" i="12"/>
  <c r="G314" i="12"/>
  <c r="G317" i="12"/>
  <c r="G320" i="12"/>
  <c r="G319" i="12"/>
  <c r="G310" i="12"/>
  <c r="G309" i="12"/>
  <c r="G313" i="12"/>
  <c r="G316" i="12"/>
  <c r="G315" i="12"/>
  <c r="G321" i="12"/>
  <c r="G312" i="12"/>
  <c r="G311" i="12"/>
  <c r="N10" i="2"/>
  <c r="O6" i="2" s="1"/>
  <c r="H199" i="12"/>
  <c r="D199" i="12"/>
  <c r="C199" i="12"/>
  <c r="E199" i="12"/>
  <c r="G199" i="12"/>
  <c r="F199" i="12"/>
  <c r="P35" i="2"/>
  <c r="U24" i="2"/>
  <c r="W24" i="2"/>
  <c r="P29" i="2"/>
  <c r="X24" i="2"/>
  <c r="V24" i="2"/>
  <c r="N37" i="2"/>
  <c r="P25" i="2"/>
  <c r="M37" i="2"/>
  <c r="P28" i="2"/>
  <c r="O37" i="2"/>
  <c r="P33" i="2"/>
  <c r="P27" i="2"/>
  <c r="P31" i="2"/>
  <c r="P30" i="2"/>
  <c r="J37" i="2"/>
  <c r="L37" i="2"/>
  <c r="P32" i="2"/>
  <c r="P36" i="2"/>
  <c r="K37" i="2"/>
  <c r="P24" i="2"/>
  <c r="P34" i="2"/>
  <c r="P26" i="2"/>
  <c r="O8" i="2" l="1"/>
  <c r="O10" i="2"/>
  <c r="G322" i="12"/>
  <c r="O5" i="2"/>
  <c r="O9" i="2"/>
  <c r="O4" i="2"/>
  <c r="O7" i="2"/>
  <c r="P37" i="2"/>
  <c r="I342" i="12" l="1"/>
  <c r="I348" i="12"/>
  <c r="I354" i="12"/>
  <c r="I353" i="12"/>
  <c r="I344" i="12"/>
  <c r="I349" i="12"/>
  <c r="I341" i="12"/>
  <c r="I352" i="12"/>
  <c r="I345" i="12"/>
  <c r="I350" i="12"/>
  <c r="I343" i="12"/>
  <c r="I347" i="12"/>
  <c r="I351" i="12"/>
  <c r="I346" i="12"/>
  <c r="H311" i="12"/>
  <c r="I356" i="12"/>
  <c r="I364" i="12"/>
  <c r="I357" i="12"/>
  <c r="I365" i="12"/>
  <c r="I358" i="12"/>
  <c r="I366" i="12"/>
  <c r="I359" i="12"/>
  <c r="I367" i="12"/>
  <c r="I360" i="12"/>
  <c r="I368" i="12"/>
  <c r="I361" i="12"/>
  <c r="I362" i="12"/>
  <c r="I355" i="12"/>
  <c r="I363" i="12"/>
  <c r="H310" i="12"/>
  <c r="H319" i="12"/>
  <c r="H314" i="12"/>
  <c r="H313" i="12"/>
  <c r="H316" i="12"/>
  <c r="H309" i="12"/>
  <c r="H321" i="12"/>
  <c r="H315" i="12"/>
  <c r="H320" i="12"/>
  <c r="H318" i="12"/>
  <c r="H317" i="12"/>
  <c r="H312" i="12"/>
  <c r="H308" i="12"/>
  <c r="D14" i="2"/>
  <c r="D15" i="2"/>
  <c r="D16" i="2"/>
  <c r="D26" i="2"/>
  <c r="D17" i="2"/>
  <c r="D19" i="2"/>
  <c r="D13" i="2"/>
  <c r="D22" i="2"/>
  <c r="D20" i="2"/>
  <c r="D24" i="2"/>
  <c r="D25" i="2"/>
  <c r="D23" i="2"/>
  <c r="D21" i="2"/>
  <c r="U38" i="2" l="1"/>
  <c r="U52" i="2"/>
  <c r="U66" i="2"/>
  <c r="E130" i="12"/>
  <c r="E121" i="12"/>
  <c r="E125" i="12"/>
  <c r="E129" i="12"/>
  <c r="E91" i="12"/>
  <c r="E95" i="12"/>
  <c r="E99" i="12"/>
  <c r="E60" i="12"/>
  <c r="E51" i="12"/>
  <c r="E55" i="12"/>
  <c r="E59" i="12"/>
  <c r="E54" i="12"/>
  <c r="E58" i="12"/>
  <c r="E118" i="12"/>
  <c r="E122" i="12"/>
  <c r="E126" i="12"/>
  <c r="E117" i="12"/>
  <c r="E92" i="12"/>
  <c r="E96" i="12"/>
  <c r="E100" i="12"/>
  <c r="E48" i="12"/>
  <c r="E52" i="12"/>
  <c r="E56" i="12"/>
  <c r="E47" i="12"/>
  <c r="E119" i="12"/>
  <c r="E123" i="12"/>
  <c r="E127" i="12"/>
  <c r="E102" i="12"/>
  <c r="E93" i="12"/>
  <c r="E97" i="12"/>
  <c r="E101" i="12"/>
  <c r="E49" i="12"/>
  <c r="E53" i="12"/>
  <c r="E57" i="12"/>
  <c r="E50" i="12"/>
  <c r="E120" i="12"/>
  <c r="E124" i="12"/>
  <c r="E128" i="12"/>
  <c r="E90" i="12"/>
  <c r="E94" i="12"/>
  <c r="E98" i="12"/>
  <c r="E89" i="12"/>
  <c r="O53" i="2"/>
  <c r="N81" i="2"/>
  <c r="K53" i="2"/>
  <c r="M67" i="2"/>
  <c r="L81" i="2"/>
  <c r="D77" i="2"/>
  <c r="D63" i="2"/>
  <c r="D49" i="2"/>
  <c r="D35" i="2"/>
  <c r="D76" i="2"/>
  <c r="D62" i="2"/>
  <c r="D48" i="2"/>
  <c r="D34" i="2"/>
  <c r="L64" i="2"/>
  <c r="L78" i="2"/>
  <c r="L50" i="2"/>
  <c r="O47" i="2"/>
  <c r="O75" i="2"/>
  <c r="O61" i="2"/>
  <c r="N72" i="2"/>
  <c r="N44" i="2"/>
  <c r="N58" i="2"/>
  <c r="O58" i="2"/>
  <c r="O44" i="2"/>
  <c r="D69" i="2"/>
  <c r="D55" i="2"/>
  <c r="D41" i="2"/>
  <c r="D83" i="2"/>
  <c r="N60" i="2"/>
  <c r="N46" i="2"/>
  <c r="N74" i="2"/>
  <c r="J78" i="2"/>
  <c r="J64" i="2"/>
  <c r="J50" i="2"/>
  <c r="O41" i="2"/>
  <c r="D40" i="2"/>
  <c r="D82" i="2"/>
  <c r="D68" i="2"/>
  <c r="D54" i="2"/>
  <c r="D84" i="2"/>
  <c r="D70" i="2"/>
  <c r="D56" i="2"/>
  <c r="D42" i="2"/>
  <c r="D65" i="2"/>
  <c r="D51" i="2"/>
  <c r="D37" i="2"/>
  <c r="D79" i="2"/>
  <c r="D74" i="2"/>
  <c r="D60" i="2"/>
  <c r="D46" i="2"/>
  <c r="D32" i="2"/>
  <c r="D36" i="2"/>
  <c r="D78" i="2"/>
  <c r="D64" i="2"/>
  <c r="D50" i="2"/>
  <c r="K64" i="2"/>
  <c r="K50" i="2"/>
  <c r="K78" i="2"/>
  <c r="N53" i="2"/>
  <c r="K57" i="2"/>
  <c r="K43" i="2"/>
  <c r="K71" i="2"/>
  <c r="M43" i="2"/>
  <c r="M71" i="2"/>
  <c r="M57" i="2"/>
  <c r="D43" i="2"/>
  <c r="D85" i="2"/>
  <c r="D71" i="2"/>
  <c r="D57" i="2"/>
  <c r="D81" i="2"/>
  <c r="D67" i="2"/>
  <c r="D53" i="2"/>
  <c r="D39" i="2"/>
  <c r="D31" i="2"/>
  <c r="D73" i="2"/>
  <c r="D59" i="2"/>
  <c r="D45" i="2"/>
  <c r="D80" i="2"/>
  <c r="D66" i="2"/>
  <c r="D52" i="2"/>
  <c r="D38" i="2"/>
  <c r="V43" i="2"/>
  <c r="O48" i="2"/>
  <c r="O76" i="2"/>
  <c r="O62" i="2"/>
  <c r="O74" i="2"/>
  <c r="O46" i="2"/>
  <c r="O60" i="2"/>
  <c r="M47" i="2"/>
  <c r="L51" i="2"/>
  <c r="L79" i="2"/>
  <c r="L65" i="2"/>
  <c r="M81" i="2"/>
  <c r="M53" i="2"/>
  <c r="J61" i="2"/>
  <c r="J47" i="2"/>
  <c r="J75" i="2"/>
  <c r="D61" i="2"/>
  <c r="D47" i="2"/>
  <c r="D33" i="2"/>
  <c r="D75" i="2"/>
  <c r="D27" i="2"/>
  <c r="D7" i="2"/>
  <c r="D4" i="2"/>
  <c r="D6" i="2"/>
  <c r="D5" i="2"/>
  <c r="C139" i="12" l="1"/>
  <c r="C138" i="12"/>
  <c r="C137" i="12"/>
  <c r="C140" i="12"/>
  <c r="C136" i="12"/>
  <c r="E139" i="12"/>
  <c r="E138" i="12"/>
  <c r="E140" i="12"/>
  <c r="E302" i="12"/>
  <c r="E300" i="12"/>
  <c r="E299" i="12"/>
  <c r="E301" i="12"/>
  <c r="D302" i="12"/>
  <c r="G302" i="12" s="1"/>
  <c r="D300" i="12"/>
  <c r="D299" i="12"/>
  <c r="G299" i="12" s="1"/>
  <c r="D301" i="12"/>
  <c r="G301" i="12" s="1"/>
  <c r="W44" i="2"/>
  <c r="W30" i="2"/>
  <c r="W48" i="2"/>
  <c r="W62" i="2"/>
  <c r="W34" i="2"/>
  <c r="W58" i="2"/>
  <c r="E390" i="12"/>
  <c r="E334" i="12"/>
  <c r="H334" i="12" s="1"/>
  <c r="I334" i="12" s="1"/>
  <c r="M62" i="2"/>
  <c r="O81" i="2"/>
  <c r="K73" i="2"/>
  <c r="K74" i="2"/>
  <c r="J67" i="2"/>
  <c r="N67" i="2"/>
  <c r="O67" i="2"/>
  <c r="K42" i="2"/>
  <c r="N70" i="2"/>
  <c r="J60" i="2"/>
  <c r="L53" i="2"/>
  <c r="N55" i="2"/>
  <c r="O72" i="2"/>
  <c r="N52" i="2"/>
  <c r="N66" i="2"/>
  <c r="N80" i="2"/>
  <c r="L52" i="2"/>
  <c r="L66" i="2"/>
  <c r="L80" i="2"/>
  <c r="K80" i="2"/>
  <c r="K52" i="2"/>
  <c r="K66" i="2"/>
  <c r="W32" i="2"/>
  <c r="W60" i="2"/>
  <c r="W46" i="2"/>
  <c r="J76" i="2"/>
  <c r="M52" i="2"/>
  <c r="M80" i="2"/>
  <c r="M66" i="2"/>
  <c r="K67" i="2"/>
  <c r="O70" i="2"/>
  <c r="C11" i="12"/>
  <c r="D10" i="12" s="1"/>
  <c r="O56" i="2"/>
  <c r="N59" i="2"/>
  <c r="O42" i="2"/>
  <c r="K81" i="2"/>
  <c r="N73" i="2"/>
  <c r="M59" i="2"/>
  <c r="O59" i="2"/>
  <c r="O45" i="2"/>
  <c r="M73" i="2"/>
  <c r="N45" i="2"/>
  <c r="X59" i="2"/>
  <c r="X45" i="2"/>
  <c r="X31" i="2"/>
  <c r="E383" i="12"/>
  <c r="E328" i="12"/>
  <c r="E330" i="12"/>
  <c r="E386" i="12"/>
  <c r="E332" i="12"/>
  <c r="E388" i="12"/>
  <c r="E387" i="12"/>
  <c r="E339" i="12"/>
  <c r="E340" i="12"/>
  <c r="E333" i="12"/>
  <c r="E389" i="12"/>
  <c r="E394" i="12"/>
  <c r="E338" i="12"/>
  <c r="E327" i="12"/>
  <c r="E396" i="12"/>
  <c r="E335" i="12"/>
  <c r="E391" i="12"/>
  <c r="E337" i="12"/>
  <c r="E393" i="12"/>
  <c r="E384" i="12"/>
  <c r="E331" i="12"/>
  <c r="E395" i="12"/>
  <c r="E392" i="12"/>
  <c r="E336" i="12"/>
  <c r="D298" i="12"/>
  <c r="E385" i="12"/>
  <c r="E329" i="12"/>
  <c r="E298" i="12"/>
  <c r="J46" i="2"/>
  <c r="J74" i="2"/>
  <c r="J71" i="2"/>
  <c r="J57" i="2"/>
  <c r="K46" i="2"/>
  <c r="J43" i="2"/>
  <c r="P43" i="2" s="1"/>
  <c r="L67" i="2"/>
  <c r="K58" i="2"/>
  <c r="K69" i="2"/>
  <c r="V42" i="2"/>
  <c r="J69" i="2"/>
  <c r="J53" i="2"/>
  <c r="K72" i="2"/>
  <c r="K44" i="2"/>
  <c r="K70" i="2"/>
  <c r="K55" i="2"/>
  <c r="W67" i="2"/>
  <c r="K41" i="2"/>
  <c r="K60" i="2"/>
  <c r="U30" i="2"/>
  <c r="U28" i="2"/>
  <c r="J81" i="2"/>
  <c r="V41" i="2"/>
  <c r="V39" i="2"/>
  <c r="K56" i="2"/>
  <c r="M56" i="2"/>
  <c r="M45" i="2"/>
  <c r="O73" i="2"/>
  <c r="U43" i="2"/>
  <c r="V46" i="2"/>
  <c r="V65" i="2"/>
  <c r="V37" i="2"/>
  <c r="V51" i="2"/>
  <c r="U33" i="2"/>
  <c r="U61" i="2"/>
  <c r="U47" i="2"/>
  <c r="U34" i="2"/>
  <c r="U62" i="2"/>
  <c r="U48" i="2"/>
  <c r="U6" i="2"/>
  <c r="U45" i="2"/>
  <c r="U59" i="2"/>
  <c r="U31" i="2"/>
  <c r="V27" i="2"/>
  <c r="X6" i="2"/>
  <c r="X5" i="2"/>
  <c r="X4" i="2"/>
  <c r="X55" i="2"/>
  <c r="X27" i="2"/>
  <c r="X41" i="2"/>
  <c r="V60" i="2"/>
  <c r="U57" i="2"/>
  <c r="X56" i="2"/>
  <c r="X28" i="2"/>
  <c r="X42" i="2"/>
  <c r="U56" i="2"/>
  <c r="W27" i="2"/>
  <c r="W41" i="2"/>
  <c r="W55" i="2"/>
  <c r="W66" i="2"/>
  <c r="W52" i="2"/>
  <c r="W38" i="2"/>
  <c r="W39" i="2"/>
  <c r="L60" i="2"/>
  <c r="V50" i="2"/>
  <c r="V36" i="2"/>
  <c r="V64" i="2"/>
  <c r="U53" i="2"/>
  <c r="U67" i="2"/>
  <c r="U39" i="2"/>
  <c r="V49" i="2"/>
  <c r="V63" i="2"/>
  <c r="V35" i="2"/>
  <c r="V57" i="2"/>
  <c r="U44" i="2"/>
  <c r="V56" i="2"/>
  <c r="V32" i="2"/>
  <c r="X43" i="2"/>
  <c r="X57" i="2"/>
  <c r="X29" i="2"/>
  <c r="W45" i="2"/>
  <c r="W59" i="2"/>
  <c r="W31" i="2"/>
  <c r="U29" i="2"/>
  <c r="U42" i="2"/>
  <c r="W33" i="2"/>
  <c r="W47" i="2"/>
  <c r="W61" i="2"/>
  <c r="V67" i="2"/>
  <c r="V38" i="2"/>
  <c r="V52" i="2"/>
  <c r="V66" i="2"/>
  <c r="J41" i="2"/>
  <c r="U4" i="2"/>
  <c r="U55" i="2"/>
  <c r="U27" i="2"/>
  <c r="U41" i="2"/>
  <c r="U46" i="2"/>
  <c r="U60" i="2"/>
  <c r="U32" i="2"/>
  <c r="U51" i="2"/>
  <c r="U37" i="2"/>
  <c r="U65" i="2"/>
  <c r="U63" i="2"/>
  <c r="U35" i="2"/>
  <c r="U49" i="2"/>
  <c r="V55" i="2"/>
  <c r="V29" i="2"/>
  <c r="U58" i="2"/>
  <c r="V28" i="2"/>
  <c r="W56" i="2"/>
  <c r="W42" i="2"/>
  <c r="W28" i="2"/>
  <c r="W43" i="2"/>
  <c r="W6" i="2"/>
  <c r="W57" i="2"/>
  <c r="W4" i="2"/>
  <c r="W29" i="2"/>
  <c r="W5" i="2"/>
  <c r="V53" i="2"/>
  <c r="W53" i="2"/>
  <c r="V58" i="2"/>
  <c r="V30" i="2"/>
  <c r="V44" i="2"/>
  <c r="V61" i="2"/>
  <c r="V47" i="2"/>
  <c r="V33" i="2"/>
  <c r="V62" i="2"/>
  <c r="V48" i="2"/>
  <c r="V34" i="2"/>
  <c r="U50" i="2"/>
  <c r="U36" i="2"/>
  <c r="U64" i="2"/>
  <c r="V31" i="2"/>
  <c r="V45" i="2"/>
  <c r="V59" i="2"/>
  <c r="X33" i="2"/>
  <c r="X47" i="2"/>
  <c r="X61" i="2"/>
  <c r="X67" i="2"/>
  <c r="X39" i="2"/>
  <c r="X53" i="2"/>
  <c r="V6" i="2"/>
  <c r="V5" i="2"/>
  <c r="V4" i="2"/>
  <c r="L56" i="2"/>
  <c r="L70" i="2"/>
  <c r="L42" i="2"/>
  <c r="M55" i="2"/>
  <c r="M69" i="2"/>
  <c r="M41" i="2"/>
  <c r="J55" i="2"/>
  <c r="K61" i="2"/>
  <c r="K75" i="2"/>
  <c r="K47" i="2"/>
  <c r="J73" i="2"/>
  <c r="J59" i="2"/>
  <c r="J45" i="2"/>
  <c r="D86" i="2"/>
  <c r="E86" i="2" s="1"/>
  <c r="J48" i="2"/>
  <c r="K45" i="2"/>
  <c r="M42" i="2"/>
  <c r="O78" i="2"/>
  <c r="P78" i="2" s="1"/>
  <c r="O50" i="2"/>
  <c r="O54" i="2" s="1"/>
  <c r="O64" i="2"/>
  <c r="P64" i="2" s="1"/>
  <c r="L75" i="2"/>
  <c r="L47" i="2"/>
  <c r="L61" i="2"/>
  <c r="N56" i="2"/>
  <c r="M74" i="2"/>
  <c r="M16" i="2"/>
  <c r="M15" i="2"/>
  <c r="M46" i="2"/>
  <c r="M18" i="2"/>
  <c r="M60" i="2"/>
  <c r="M17" i="2"/>
  <c r="M48" i="2"/>
  <c r="N17" i="2"/>
  <c r="O15" i="2"/>
  <c r="N41" i="2"/>
  <c r="U5" i="2"/>
  <c r="D44" i="2"/>
  <c r="E44" i="2" s="1"/>
  <c r="L74" i="2"/>
  <c r="K59" i="2"/>
  <c r="K65" i="2"/>
  <c r="P65" i="2" s="1"/>
  <c r="K51" i="2"/>
  <c r="P51" i="2" s="1"/>
  <c r="K79" i="2"/>
  <c r="P79" i="2" s="1"/>
  <c r="K62" i="2"/>
  <c r="K76" i="2"/>
  <c r="K48" i="2"/>
  <c r="K18" i="2"/>
  <c r="K17" i="2"/>
  <c r="K16" i="2"/>
  <c r="K15" i="2"/>
  <c r="M70" i="2"/>
  <c r="L58" i="2"/>
  <c r="L44" i="2"/>
  <c r="L72" i="2"/>
  <c r="M75" i="2"/>
  <c r="L17" i="2"/>
  <c r="L76" i="2"/>
  <c r="L16" i="2"/>
  <c r="L62" i="2"/>
  <c r="L15" i="2"/>
  <c r="L48" i="2"/>
  <c r="L18" i="2"/>
  <c r="N16" i="2"/>
  <c r="N18" i="2"/>
  <c r="O17" i="2"/>
  <c r="M63" i="2"/>
  <c r="M77" i="2"/>
  <c r="M49" i="2"/>
  <c r="O55" i="2"/>
  <c r="D58" i="2"/>
  <c r="E58" i="2" s="1"/>
  <c r="J62" i="2"/>
  <c r="L46" i="2"/>
  <c r="N42" i="2"/>
  <c r="M61" i="2"/>
  <c r="L73" i="2"/>
  <c r="L59" i="2"/>
  <c r="L45" i="2"/>
  <c r="M76" i="2"/>
  <c r="N15" i="2"/>
  <c r="O18" i="2"/>
  <c r="N49" i="2"/>
  <c r="N63" i="2"/>
  <c r="N77" i="2"/>
  <c r="M44" i="2"/>
  <c r="M72" i="2"/>
  <c r="M58" i="2"/>
  <c r="N69" i="2"/>
  <c r="N82" i="2" s="1"/>
  <c r="O69" i="2"/>
  <c r="P71" i="2"/>
  <c r="D72" i="2"/>
  <c r="E72" i="2" s="1"/>
  <c r="J42" i="2"/>
  <c r="J70" i="2"/>
  <c r="J56" i="2"/>
  <c r="L55" i="2"/>
  <c r="L41" i="2"/>
  <c r="L69" i="2"/>
  <c r="O16" i="2"/>
  <c r="P57" i="2"/>
  <c r="J5" i="2"/>
  <c r="J6" i="2"/>
  <c r="J4" i="2"/>
  <c r="J58" i="2"/>
  <c r="J15" i="2"/>
  <c r="J44" i="2"/>
  <c r="J16" i="2"/>
  <c r="J17" i="2"/>
  <c r="J72" i="2"/>
  <c r="J18" i="2"/>
  <c r="E27" i="2"/>
  <c r="E31" i="2"/>
  <c r="E21" i="2"/>
  <c r="E80" i="2"/>
  <c r="E75" i="2"/>
  <c r="E64" i="2"/>
  <c r="E60" i="2"/>
  <c r="E50" i="2"/>
  <c r="E34" i="2"/>
  <c r="E42" i="2"/>
  <c r="E33" i="2"/>
  <c r="E79" i="2"/>
  <c r="E74" i="2"/>
  <c r="E63" i="2"/>
  <c r="E53" i="2"/>
  <c r="E49" i="2"/>
  <c r="E84" i="2"/>
  <c r="E78" i="2"/>
  <c r="E67" i="2"/>
  <c r="E62" i="2"/>
  <c r="E52" i="2"/>
  <c r="E48" i="2"/>
  <c r="E83" i="2"/>
  <c r="E76" i="2"/>
  <c r="E65" i="2"/>
  <c r="E61" i="2"/>
  <c r="E51" i="2"/>
  <c r="E46" i="2"/>
  <c r="E39" i="2"/>
  <c r="E47" i="2"/>
  <c r="E57" i="2"/>
  <c r="E68" i="2"/>
  <c r="E56" i="2"/>
  <c r="E81" i="2"/>
  <c r="E35" i="2"/>
  <c r="E55" i="2"/>
  <c r="E41" i="2"/>
  <c r="E40" i="2"/>
  <c r="E70" i="2"/>
  <c r="E77" i="2"/>
  <c r="E59" i="2"/>
  <c r="E38" i="2"/>
  <c r="E37" i="2"/>
  <c r="E69" i="2"/>
  <c r="E71" i="2"/>
  <c r="E36" i="2"/>
  <c r="E66" i="2"/>
  <c r="E85" i="2"/>
  <c r="E32" i="2"/>
  <c r="E54" i="2"/>
  <c r="E82" i="2"/>
  <c r="E43" i="2"/>
  <c r="E73" i="2"/>
  <c r="E45" i="2"/>
  <c r="E16" i="2"/>
  <c r="E26" i="2"/>
  <c r="E23" i="2"/>
  <c r="E20" i="2"/>
  <c r="E19" i="2"/>
  <c r="E25" i="2"/>
  <c r="E14" i="2"/>
  <c r="E13" i="2"/>
  <c r="E15" i="2"/>
  <c r="E22" i="2"/>
  <c r="E24" i="2"/>
  <c r="E17" i="2"/>
  <c r="D8" i="2"/>
  <c r="G300" i="12" l="1"/>
  <c r="P53" i="2"/>
  <c r="E141" i="12"/>
  <c r="D5" i="12"/>
  <c r="D7" i="12"/>
  <c r="D8" i="12"/>
  <c r="P67" i="2"/>
  <c r="P81" i="2"/>
  <c r="H381" i="12"/>
  <c r="I381" i="12" s="1"/>
  <c r="H390" i="12"/>
  <c r="I390" i="12" s="1"/>
  <c r="H332" i="12"/>
  <c r="I332" i="12" s="1"/>
  <c r="H380" i="12"/>
  <c r="I380" i="12" s="1"/>
  <c r="H338" i="12"/>
  <c r="I338" i="12" s="1"/>
  <c r="H376" i="12"/>
  <c r="I376" i="12" s="1"/>
  <c r="H335" i="12"/>
  <c r="I335" i="12" s="1"/>
  <c r="H375" i="12"/>
  <c r="I375" i="12" s="1"/>
  <c r="H379" i="12"/>
  <c r="I379" i="12" s="1"/>
  <c r="D6" i="12"/>
  <c r="P52" i="2"/>
  <c r="P66" i="2"/>
  <c r="P80" i="2"/>
  <c r="H389" i="12"/>
  <c r="I389" i="12" s="1"/>
  <c r="H388" i="12"/>
  <c r="I388" i="12" s="1"/>
  <c r="P75" i="2"/>
  <c r="F303" i="12"/>
  <c r="D9" i="12"/>
  <c r="H331" i="12"/>
  <c r="I331" i="12" s="1"/>
  <c r="H384" i="12"/>
  <c r="I384" i="12" s="1"/>
  <c r="H394" i="12"/>
  <c r="I394" i="12" s="1"/>
  <c r="H328" i="12"/>
  <c r="I328" i="12" s="1"/>
  <c r="H369" i="12"/>
  <c r="I369" i="12" s="1"/>
  <c r="H393" i="12"/>
  <c r="I393" i="12" s="1"/>
  <c r="H378" i="12"/>
  <c r="I378" i="12" s="1"/>
  <c r="H336" i="12"/>
  <c r="I336" i="12" s="1"/>
  <c r="H373" i="12"/>
  <c r="I373" i="12" s="1"/>
  <c r="H370" i="12"/>
  <c r="I370" i="12" s="1"/>
  <c r="H391" i="12"/>
  <c r="I391" i="12" s="1"/>
  <c r="H339" i="12"/>
  <c r="I339" i="12" s="1"/>
  <c r="H396" i="12"/>
  <c r="I396" i="12" s="1"/>
  <c r="H330" i="12"/>
  <c r="I330" i="12" s="1"/>
  <c r="E303" i="12"/>
  <c r="H337" i="12"/>
  <c r="I337" i="12" s="1"/>
  <c r="H395" i="12"/>
  <c r="I395" i="12" s="1"/>
  <c r="H327" i="12"/>
  <c r="I327" i="12" s="1"/>
  <c r="H329" i="12"/>
  <c r="I329" i="12" s="1"/>
  <c r="H382" i="12"/>
  <c r="I382" i="12" s="1"/>
  <c r="D303" i="12"/>
  <c r="C303" i="12"/>
  <c r="G298" i="12"/>
  <c r="H392" i="12"/>
  <c r="I392" i="12" s="1"/>
  <c r="H333" i="12"/>
  <c r="I333" i="12" s="1"/>
  <c r="H377" i="12"/>
  <c r="I377" i="12" s="1"/>
  <c r="H372" i="12"/>
  <c r="I372" i="12" s="1"/>
  <c r="H387" i="12"/>
  <c r="I387" i="12" s="1"/>
  <c r="H385" i="12"/>
  <c r="I385" i="12" s="1"/>
  <c r="H374" i="12"/>
  <c r="I374" i="12" s="1"/>
  <c r="H386" i="12"/>
  <c r="I386" i="12" s="1"/>
  <c r="U7" i="2"/>
  <c r="H383" i="12"/>
  <c r="I383" i="12" s="1"/>
  <c r="H371" i="12"/>
  <c r="I371" i="12" s="1"/>
  <c r="H340" i="12"/>
  <c r="I340" i="12" s="1"/>
  <c r="P50" i="2"/>
  <c r="P70" i="2"/>
  <c r="P56" i="2"/>
  <c r="P46" i="2"/>
  <c r="O68" i="2"/>
  <c r="P60" i="2"/>
  <c r="C141" i="12"/>
  <c r="P74" i="2"/>
  <c r="O82" i="2"/>
  <c r="P18" i="2"/>
  <c r="K82" i="2"/>
  <c r="P17" i="2"/>
  <c r="L54" i="2"/>
  <c r="X7" i="2"/>
  <c r="P47" i="2"/>
  <c r="P42" i="2"/>
  <c r="P44" i="2"/>
  <c r="P62" i="2"/>
  <c r="V54" i="2"/>
  <c r="U40" i="2"/>
  <c r="W54" i="2"/>
  <c r="X40" i="2"/>
  <c r="N19" i="2"/>
  <c r="V68" i="2"/>
  <c r="U68" i="2"/>
  <c r="W40" i="2"/>
  <c r="X68" i="2"/>
  <c r="V40" i="2"/>
  <c r="W7" i="2"/>
  <c r="U54" i="2"/>
  <c r="W68" i="2"/>
  <c r="X54" i="2"/>
  <c r="K19" i="2"/>
  <c r="P58" i="2"/>
  <c r="K68" i="2"/>
  <c r="N68" i="2"/>
  <c r="K54" i="2"/>
  <c r="P61" i="2"/>
  <c r="P76" i="2"/>
  <c r="L68" i="2"/>
  <c r="V7" i="2"/>
  <c r="P63" i="2"/>
  <c r="O19" i="2"/>
  <c r="P59" i="2"/>
  <c r="M82" i="2"/>
  <c r="P41" i="2"/>
  <c r="P48" i="2"/>
  <c r="P73" i="2"/>
  <c r="J68" i="2"/>
  <c r="P55" i="2"/>
  <c r="M68" i="2"/>
  <c r="J54" i="2"/>
  <c r="P49" i="2"/>
  <c r="L19" i="2"/>
  <c r="J82" i="2"/>
  <c r="P16" i="2"/>
  <c r="J7" i="2"/>
  <c r="K7" i="2" s="1"/>
  <c r="P72" i="2"/>
  <c r="J19" i="2"/>
  <c r="P15" i="2"/>
  <c r="L82" i="2"/>
  <c r="P77" i="2"/>
  <c r="P69" i="2"/>
  <c r="N54" i="2"/>
  <c r="M19" i="2"/>
  <c r="P45" i="2"/>
  <c r="M54" i="2"/>
  <c r="E5" i="2"/>
  <c r="E7" i="2"/>
  <c r="E4" i="2"/>
  <c r="D9" i="2"/>
  <c r="E8" i="2"/>
  <c r="E6" i="2"/>
  <c r="D138" i="12" l="1"/>
  <c r="D139" i="12"/>
  <c r="D140" i="12"/>
  <c r="G303" i="12"/>
  <c r="K5" i="2"/>
  <c r="D136" i="12"/>
  <c r="D137" i="12"/>
  <c r="P19" i="2"/>
  <c r="P68" i="2"/>
  <c r="K6" i="2"/>
  <c r="K4" i="2"/>
  <c r="P82" i="2"/>
  <c r="P54" i="2"/>
  <c r="H301" i="12" l="1"/>
  <c r="H299" i="12"/>
  <c r="H300" i="12"/>
  <c r="H302" i="12"/>
  <c r="H298" i="12"/>
</calcChain>
</file>

<file path=xl/sharedStrings.xml><?xml version="1.0" encoding="utf-8"?>
<sst xmlns="http://schemas.openxmlformats.org/spreadsheetml/2006/main" count="82311" uniqueCount="30030">
  <si>
    <t>LAPORAN ANGGOTA</t>
  </si>
  <si>
    <t>No. Agt</t>
  </si>
  <si>
    <t>Nama</t>
  </si>
  <si>
    <t>TP</t>
  </si>
  <si>
    <t>JK</t>
  </si>
  <si>
    <t>Tgl Lahir</t>
  </si>
  <si>
    <t>Pekerjaan</t>
  </si>
  <si>
    <t>Bidang Usaha</t>
  </si>
  <si>
    <t xml:space="preserve">Nama Instansi    </t>
  </si>
  <si>
    <t>14053.001.1000.006</t>
  </si>
  <si>
    <t>PROBOLINGGO</t>
  </si>
  <si>
    <t>L</t>
  </si>
  <si>
    <t>17-08-1949</t>
  </si>
  <si>
    <t>Pensiunan</t>
  </si>
  <si>
    <t>14053.001.1000.008</t>
  </si>
  <si>
    <t>11-07-1965</t>
  </si>
  <si>
    <t>Guru</t>
  </si>
  <si>
    <t>PENDIDIKAN</t>
  </si>
  <si>
    <t>SDK MATER DEI</t>
  </si>
  <si>
    <t>14053.001.1000.009</t>
  </si>
  <si>
    <t>23-12-1968</t>
  </si>
  <si>
    <t>14053.001.1000.012</t>
  </si>
  <si>
    <t>P</t>
  </si>
  <si>
    <t>07-10-1969</t>
  </si>
  <si>
    <t>Pembantu Rumah Tangga</t>
  </si>
  <si>
    <t>SUSTERAN SPM</t>
  </si>
  <si>
    <t>14053.001.1000.031</t>
  </si>
  <si>
    <t>10-12-1967</t>
  </si>
  <si>
    <t>ASRAMA MATER DEI</t>
  </si>
  <si>
    <t>14053.001.1000.032</t>
  </si>
  <si>
    <t>18-06-1967</t>
  </si>
  <si>
    <t>Mengurus Rumah Tangga</t>
  </si>
  <si>
    <t>RUMAH TANGGA</t>
  </si>
  <si>
    <t>IBU RUMAH TANGGA</t>
  </si>
  <si>
    <t>14053.001.1000.033</t>
  </si>
  <si>
    <t>01-07-1941</t>
  </si>
  <si>
    <t>14053.001.1000.037</t>
  </si>
  <si>
    <t>16-08-1966</t>
  </si>
  <si>
    <t>14053.001.1000.039</t>
  </si>
  <si>
    <t>10-11-1965</t>
  </si>
  <si>
    <t>14053.001.1000.040</t>
  </si>
  <si>
    <t>13-09-1960</t>
  </si>
  <si>
    <t>14053.001.1000.041</t>
  </si>
  <si>
    <t>29-05-1972</t>
  </si>
  <si>
    <t>14053.001.1000.042</t>
  </si>
  <si>
    <t>10-11-1964</t>
  </si>
  <si>
    <t>Wiraswasta</t>
  </si>
  <si>
    <t>TOKO SEPATU</t>
  </si>
  <si>
    <t>TOKO GAYAKU</t>
  </si>
  <si>
    <t>14053.001.1000.045</t>
  </si>
  <si>
    <t>21-11-1963</t>
  </si>
  <si>
    <t>TU SMPK MATER DEI</t>
  </si>
  <si>
    <t>14053.001.1000.047</t>
  </si>
  <si>
    <t>21-12-1956</t>
  </si>
  <si>
    <t>SMPK MATER DEI</t>
  </si>
  <si>
    <t>14053.001.1000.049</t>
  </si>
  <si>
    <t>18-08-1970</t>
  </si>
  <si>
    <t>14053.001.1000.051</t>
  </si>
  <si>
    <t>25-10-1970</t>
  </si>
  <si>
    <t>14053.001.1000.052</t>
  </si>
  <si>
    <t>28-07-1965</t>
  </si>
  <si>
    <t>14053.001.1000.053</t>
  </si>
  <si>
    <t>09-09-1948</t>
  </si>
  <si>
    <t>14053.001.1000.054</t>
  </si>
  <si>
    <t>17-03-1962</t>
  </si>
  <si>
    <t>14053.001.1000.056</t>
  </si>
  <si>
    <t>10-08-1952</t>
  </si>
  <si>
    <t>SMAK MATER DEI</t>
  </si>
  <si>
    <t>14053.001.1000.058</t>
  </si>
  <si>
    <t>31-12-1962</t>
  </si>
  <si>
    <t>ASRAMA ST. JAN</t>
  </si>
  <si>
    <t>14053.001.1000.061</t>
  </si>
  <si>
    <t>24-07-1960</t>
  </si>
  <si>
    <t>PEMILIK TOKO PERACANGAN</t>
  </si>
  <si>
    <t>TOKO PERACANGAN</t>
  </si>
  <si>
    <t>14053.001.1000.069</t>
  </si>
  <si>
    <t>31-10-1972</t>
  </si>
  <si>
    <t>TK MATER DEI</t>
  </si>
  <si>
    <t>14053.001.1000.070</t>
  </si>
  <si>
    <t>20-11-1966</t>
  </si>
  <si>
    <t>TKK MATER DEI PROBOLINGGO</t>
  </si>
  <si>
    <t>14053.001.1000.071</t>
  </si>
  <si>
    <t>11-09-1959</t>
  </si>
  <si>
    <t>SMUK MATER DEI</t>
  </si>
  <si>
    <t>31-12-1955</t>
  </si>
  <si>
    <t>KEBERSIHAN</t>
  </si>
  <si>
    <t>14053.001.1000.082</t>
  </si>
  <si>
    <t>14-12-1974</t>
  </si>
  <si>
    <t>Perawat</t>
  </si>
  <si>
    <t>KESEHATAN GIGI</t>
  </si>
  <si>
    <t>PERAWAT GIGI</t>
  </si>
  <si>
    <t>14053.001.1000.084</t>
  </si>
  <si>
    <t>10-12-1964</t>
  </si>
  <si>
    <t>14053.001.1000.087</t>
  </si>
  <si>
    <t>14-11-1947</t>
  </si>
  <si>
    <t>14053.001.1000.090</t>
  </si>
  <si>
    <t>10-05-1965</t>
  </si>
  <si>
    <t>14053.001.1000.097</t>
  </si>
  <si>
    <t>30-11-1956</t>
  </si>
  <si>
    <t>14053.001.1000.098</t>
  </si>
  <si>
    <t>13-03-1966</t>
  </si>
  <si>
    <t>PERAWAT</t>
  </si>
  <si>
    <t>14053.001.1000.101</t>
  </si>
  <si>
    <t>11-05-1967</t>
  </si>
  <si>
    <t>14053.001.1000.106</t>
  </si>
  <si>
    <t>11-08-1971</t>
  </si>
  <si>
    <t>SD MATER DEI</t>
  </si>
  <si>
    <t>14053.001.1000.107</t>
  </si>
  <si>
    <t>12-03-1963</t>
  </si>
  <si>
    <t>Karyawan Swasta</t>
  </si>
  <si>
    <t>KESEHATAN</t>
  </si>
  <si>
    <t>APOTIK SUMBER BARU</t>
  </si>
  <si>
    <t>14053.001.1000.110</t>
  </si>
  <si>
    <t>03-10-1972</t>
  </si>
  <si>
    <t>14053.001.1000.116</t>
  </si>
  <si>
    <t>24-10-1959</t>
  </si>
  <si>
    <t>14053.001.1000.117</t>
  </si>
  <si>
    <t>14-10-1960</t>
  </si>
  <si>
    <t>14053.001.1000.122</t>
  </si>
  <si>
    <t>02-10-1973</t>
  </si>
  <si>
    <t>TUKANG KEBUN</t>
  </si>
  <si>
    <t>14053.001.1000.124</t>
  </si>
  <si>
    <t>29-08-1976</t>
  </si>
  <si>
    <t>TATA USAHA</t>
  </si>
  <si>
    <t>TU SMAK MATER DEI</t>
  </si>
  <si>
    <t>14053.001.1000.131</t>
  </si>
  <si>
    <t>29-09-1968</t>
  </si>
  <si>
    <t>14053.001.1000.139</t>
  </si>
  <si>
    <t>16-05-1969</t>
  </si>
  <si>
    <t>14053.001.1000.140</t>
  </si>
  <si>
    <t>05-09-1955</t>
  </si>
  <si>
    <t>14053.001.1000.141</t>
  </si>
  <si>
    <t>03-08-1956</t>
  </si>
  <si>
    <t>Buruh Harian Lepas</t>
  </si>
  <si>
    <t>JASA BECAK</t>
  </si>
  <si>
    <t>TUKANG BECAK</t>
  </si>
  <si>
    <t>01-07-1955</t>
  </si>
  <si>
    <t>14053.001.1000.163</t>
  </si>
  <si>
    <t>27-08-1958</t>
  </si>
  <si>
    <t>PERDAGANGAN</t>
  </si>
  <si>
    <t>TOKO JAMU</t>
  </si>
  <si>
    <t>14053.001.1000.172</t>
  </si>
  <si>
    <t>14-06-1971</t>
  </si>
  <si>
    <t>14053.001.1000.173</t>
  </si>
  <si>
    <t>02-08-1957</t>
  </si>
  <si>
    <t>14053.001.1000.174</t>
  </si>
  <si>
    <t>10-04-1960</t>
  </si>
  <si>
    <t>14053.001.1000.185</t>
  </si>
  <si>
    <t>11-02-1965</t>
  </si>
  <si>
    <t>CATERING</t>
  </si>
  <si>
    <t>CATERING BU SRI</t>
  </si>
  <si>
    <t>14053.001.1000.192</t>
  </si>
  <si>
    <t>21-04-1971</t>
  </si>
  <si>
    <t>14053.001.1000.197</t>
  </si>
  <si>
    <t>24-01-1964</t>
  </si>
  <si>
    <t>Biarawati</t>
  </si>
  <si>
    <t>BIARAWATI</t>
  </si>
  <si>
    <t>14053.001.1000.198</t>
  </si>
  <si>
    <t>02-11-1963</t>
  </si>
  <si>
    <t>PENSIUNAN GURU SDK</t>
  </si>
  <si>
    <t>14053.001.1000.205</t>
  </si>
  <si>
    <t>01-07-1961</t>
  </si>
  <si>
    <t>TUKANG BECAK, WAKER</t>
  </si>
  <si>
    <t>14053.001.1000.219</t>
  </si>
  <si>
    <t>20-07-1966</t>
  </si>
  <si>
    <t>PABRIK KERAMIK</t>
  </si>
  <si>
    <t>KERAMIK PAOLO</t>
  </si>
  <si>
    <t>14053.001.1000.220</t>
  </si>
  <si>
    <t>01-07-1973</t>
  </si>
  <si>
    <t>Buruh Nelayan/Perikanan</t>
  </si>
  <si>
    <t>14053.001.1000.221</t>
  </si>
  <si>
    <t>22-01-1971</t>
  </si>
  <si>
    <t>Pegawai Negeri Sipil</t>
  </si>
  <si>
    <t>PNS</t>
  </si>
  <si>
    <t>BPPKAD</t>
  </si>
  <si>
    <t>14053.001.1000.222</t>
  </si>
  <si>
    <t>01-06-1978</t>
  </si>
  <si>
    <t>Bidan</t>
  </si>
  <si>
    <t>TENAGA PROFESIONAL</t>
  </si>
  <si>
    <t>PUSKESMAS</t>
  </si>
  <si>
    <t>14053.001.1000.224</t>
  </si>
  <si>
    <t>05-07-1961</t>
  </si>
  <si>
    <t>14053.001.1000.225</t>
  </si>
  <si>
    <t>19-09-1969</t>
  </si>
  <si>
    <t>14053.001.1000.237</t>
  </si>
  <si>
    <t>24-02-1963</t>
  </si>
  <si>
    <t>GURU SDN KANIGARAN 10</t>
  </si>
  <si>
    <t>14053.001.1000.238</t>
  </si>
  <si>
    <t>31-12-1966</t>
  </si>
  <si>
    <t>14053.001.1000.259</t>
  </si>
  <si>
    <t>11-10-1968</t>
  </si>
  <si>
    <t>28-05-1971</t>
  </si>
  <si>
    <t>17-07-1971</t>
  </si>
  <si>
    <t>TIDAK BEKERJA</t>
  </si>
  <si>
    <t>14053.006.1000.278</t>
  </si>
  <si>
    <t>MAGELANG</t>
  </si>
  <si>
    <t>07-12-1965</t>
  </si>
  <si>
    <t>ASISTEN RUMAHTANGGA</t>
  </si>
  <si>
    <t>PENSIUNAN</t>
  </si>
  <si>
    <t>14053.006.1000.281</t>
  </si>
  <si>
    <t>12-10-1952</t>
  </si>
  <si>
    <t>WIRASWASTA</t>
  </si>
  <si>
    <t>14053.006.1000.282</t>
  </si>
  <si>
    <t>13-07-1959</t>
  </si>
  <si>
    <t>14053.006.1000.285</t>
  </si>
  <si>
    <t>12-04-1965</t>
  </si>
  <si>
    <t>BP SANTA MARIA</t>
  </si>
  <si>
    <t>14053.006.1000.287</t>
  </si>
  <si>
    <t>07-09-1969</t>
  </si>
  <si>
    <t>SMPK SANTA MARIA TUMPANG</t>
  </si>
  <si>
    <t>14053.006.1000.288</t>
  </si>
  <si>
    <t>09-12-1959</t>
  </si>
  <si>
    <t>SMPK SANTA MARIA YOGYAKARTA</t>
  </si>
  <si>
    <t>Dokter</t>
  </si>
  <si>
    <t>BALAI PENGOBATAN SANTA MARIA</t>
  </si>
  <si>
    <t>14053.006.1000.290</t>
  </si>
  <si>
    <t>05-03-1963</t>
  </si>
  <si>
    <t>14053.006.1000.296</t>
  </si>
  <si>
    <t>05-03-1950</t>
  </si>
  <si>
    <t>TOKO MEBEL</t>
  </si>
  <si>
    <t>PEDAGANG</t>
  </si>
  <si>
    <t>14053.001.1000.301</t>
  </si>
  <si>
    <t>KARYAWAN</t>
  </si>
  <si>
    <t>24-09-1976</t>
  </si>
  <si>
    <t>JASA KEUANGAN</t>
  </si>
  <si>
    <t>CU MANDIRI</t>
  </si>
  <si>
    <t>14053.001.1000.302</t>
  </si>
  <si>
    <t>21-01-1965</t>
  </si>
  <si>
    <t>KULINER</t>
  </si>
  <si>
    <t>14053.001.1000.305</t>
  </si>
  <si>
    <t>07-02-1956</t>
  </si>
  <si>
    <t>SWASTA</t>
  </si>
  <si>
    <t>14053.001.1000.308</t>
  </si>
  <si>
    <t>14-06-1963</t>
  </si>
  <si>
    <t>TK KUNCUP HARAPAN</t>
  </si>
  <si>
    <t>14053.001.1000.310</t>
  </si>
  <si>
    <t>22-09-1972</t>
  </si>
  <si>
    <t>BAKERY</t>
  </si>
  <si>
    <t>14053.001.1000.311</t>
  </si>
  <si>
    <t>07-01-1965</t>
  </si>
  <si>
    <t>14053.006.1000.312</t>
  </si>
  <si>
    <t>14-09-1961</t>
  </si>
  <si>
    <t>JASA KONSTRUKSI</t>
  </si>
  <si>
    <t>Belum/Tidak Bekerja</t>
  </si>
  <si>
    <t>26-02-1968</t>
  </si>
  <si>
    <t>14053.001.1000.316</t>
  </si>
  <si>
    <t>15-06-1965</t>
  </si>
  <si>
    <t>SUSTERAN MAGNIFICAT</t>
  </si>
  <si>
    <t>14053.001.1000.318</t>
  </si>
  <si>
    <t>09-04-1982</t>
  </si>
  <si>
    <t>14053.001.1000.319</t>
  </si>
  <si>
    <t>10-06-1963</t>
  </si>
  <si>
    <t>SUSTERAN</t>
  </si>
  <si>
    <t>14053.006.1000.320</t>
  </si>
  <si>
    <t>10-01-1973</t>
  </si>
  <si>
    <t>LAB. PRODIA</t>
  </si>
  <si>
    <t>14053.006.1000.321</t>
  </si>
  <si>
    <t>06-11-1967</t>
  </si>
  <si>
    <t>LOKET PEMBAYARAN LISTRIK</t>
  </si>
  <si>
    <t>DUTA ELEKTRONIK</t>
  </si>
  <si>
    <t>14053.001.1000.323</t>
  </si>
  <si>
    <t>17-12-1944</t>
  </si>
  <si>
    <t>14053.001.1000.326</t>
  </si>
  <si>
    <t>26-05-1974</t>
  </si>
  <si>
    <t>14053.006.1000.330</t>
  </si>
  <si>
    <t>04-06-1978</t>
  </si>
  <si>
    <t>14053.006.1000.331</t>
  </si>
  <si>
    <t>09-02-1975</t>
  </si>
  <si>
    <t>14053.001.1000.332</t>
  </si>
  <si>
    <t>26-09-1959</t>
  </si>
  <si>
    <t>14053.001.1000.333</t>
  </si>
  <si>
    <t>02-11-1948</t>
  </si>
  <si>
    <t>14053.006.1000.334</t>
  </si>
  <si>
    <t>04-02-1979</t>
  </si>
  <si>
    <t>GEREJA SANTA MARIA</t>
  </si>
  <si>
    <t>10-04-1968</t>
  </si>
  <si>
    <t>14053.001.1000.340</t>
  </si>
  <si>
    <t>25-08-1955</t>
  </si>
  <si>
    <t>SARANG BURUNG WALET</t>
  </si>
  <si>
    <t>14053.001.1000.342</t>
  </si>
  <si>
    <t>01-09-1971</t>
  </si>
  <si>
    <t>ASISTEN RUMAH TANGGA</t>
  </si>
  <si>
    <t>14053.006.1000.346</t>
  </si>
  <si>
    <t>07-11-1973</t>
  </si>
  <si>
    <t>14053.006.1000.347</t>
  </si>
  <si>
    <t>30-10-1948</t>
  </si>
  <si>
    <t>14053.006.1000.348</t>
  </si>
  <si>
    <t>01-11-1972</t>
  </si>
  <si>
    <t>14053.001.1000.349</t>
  </si>
  <si>
    <t>16-05-1970</t>
  </si>
  <si>
    <t>14053.006.1000.350</t>
  </si>
  <si>
    <t>29-03-1973</t>
  </si>
  <si>
    <t>14053.001.1000.353</t>
  </si>
  <si>
    <t>02-06-1972</t>
  </si>
  <si>
    <t>14053.006.1000.355</t>
  </si>
  <si>
    <t>01-02-1971</t>
  </si>
  <si>
    <t>14053.001.1000.358</t>
  </si>
  <si>
    <t>01-09-1985</t>
  </si>
  <si>
    <t>SDK SANTA MARIA II</t>
  </si>
  <si>
    <t>14053.001.1000.359</t>
  </si>
  <si>
    <t>15-04-1991</t>
  </si>
  <si>
    <t>14053.001.1000.360</t>
  </si>
  <si>
    <t>26-07-1987</t>
  </si>
  <si>
    <t>14053.001.1000.361</t>
  </si>
  <si>
    <t>28-11-1992</t>
  </si>
  <si>
    <t>14053.001.1000.362</t>
  </si>
  <si>
    <t>04-10-1995</t>
  </si>
  <si>
    <t>14053.001.1000.364</t>
  </si>
  <si>
    <t>02-11-1991</t>
  </si>
  <si>
    <t>14053.001.1000.365</t>
  </si>
  <si>
    <t>14-02-1995</t>
  </si>
  <si>
    <t>14053.006.1000.366</t>
  </si>
  <si>
    <t>16-11-1955</t>
  </si>
  <si>
    <t>14053.006.1000.368</t>
  </si>
  <si>
    <t>11-07-1960</t>
  </si>
  <si>
    <t>BKKBN</t>
  </si>
  <si>
    <t>14053.001.1000.372</t>
  </si>
  <si>
    <t>18-08-1953</t>
  </si>
  <si>
    <t>PENSIUNAN GURU</t>
  </si>
  <si>
    <t>14053.001.1000.377</t>
  </si>
  <si>
    <t>16-12-1950</t>
  </si>
  <si>
    <t>14053.001.1000.378</t>
  </si>
  <si>
    <t>28-11-1969</t>
  </si>
  <si>
    <t>11-06-1965</t>
  </si>
  <si>
    <t>14053.001.1000.382</t>
  </si>
  <si>
    <t>16-01-1962</t>
  </si>
  <si>
    <t>DEPOT KURNIA</t>
  </si>
  <si>
    <t>14053.001.1000.384</t>
  </si>
  <si>
    <t>22-11-1973</t>
  </si>
  <si>
    <t>Seniman</t>
  </si>
  <si>
    <t>LUKIS KAYU BAKAR</t>
  </si>
  <si>
    <t>14053.001.1000.386</t>
  </si>
  <si>
    <t>13-06-1958</t>
  </si>
  <si>
    <t>14053.001.1000.387</t>
  </si>
  <si>
    <t>14-11-1994</t>
  </si>
  <si>
    <t>14053.001.1000.388</t>
  </si>
  <si>
    <t>20-04-1998</t>
  </si>
  <si>
    <t>Pelajar/Mahasiswa</t>
  </si>
  <si>
    <t>15-12-1972</t>
  </si>
  <si>
    <t>SMP TARAKANITA</t>
  </si>
  <si>
    <t>TOKO SINAR JAYA</t>
  </si>
  <si>
    <t>14053.001.1000.393</t>
  </si>
  <si>
    <t>18-08-1946</t>
  </si>
  <si>
    <t>PESIUNAN GURU SDN SUKABUMI 10</t>
  </si>
  <si>
    <t>14053.001.1000.394</t>
  </si>
  <si>
    <t>26-06-1949</t>
  </si>
  <si>
    <t>SALON KECANTIKAN</t>
  </si>
  <si>
    <t>SALON</t>
  </si>
  <si>
    <t>14053.001.1000.397</t>
  </si>
  <si>
    <t>05-09-1970</t>
  </si>
  <si>
    <t>EKSPEDISI</t>
  </si>
  <si>
    <t>14053.006.1000.402</t>
  </si>
  <si>
    <t>20-01-1959</t>
  </si>
  <si>
    <t>10-06-1958</t>
  </si>
  <si>
    <t>SDN MANGUNHARJO 7</t>
  </si>
  <si>
    <t>14053.006.1000.406</t>
  </si>
  <si>
    <t>01-10-1976</t>
  </si>
  <si>
    <t>01-01-1977</t>
  </si>
  <si>
    <t>14053.001.1000.411</t>
  </si>
  <si>
    <t>17-10-1994</t>
  </si>
  <si>
    <t>INDUSTRI</t>
  </si>
  <si>
    <t>PT CHEIL JEDANG</t>
  </si>
  <si>
    <t>14053.001.1000.412</t>
  </si>
  <si>
    <t>28-06-2000</t>
  </si>
  <si>
    <t>PERBANKAN</t>
  </si>
  <si>
    <t>PT BANK BTPN TBK</t>
  </si>
  <si>
    <t>14053.006.1000.414</t>
  </si>
  <si>
    <t>10-12-1953</t>
  </si>
  <si>
    <t>14053.006.1000.416</t>
  </si>
  <si>
    <t>20-05-1970</t>
  </si>
  <si>
    <t>Pedagang</t>
  </si>
  <si>
    <t>PEDAGANG BAJU</t>
  </si>
  <si>
    <t>12-04-1963</t>
  </si>
  <si>
    <t>14053.001.1000.423</t>
  </si>
  <si>
    <t>11-06-1990</t>
  </si>
  <si>
    <t>14053.001.1000.424</t>
  </si>
  <si>
    <t>15-06-1992</t>
  </si>
  <si>
    <t>PARIWISATA</t>
  </si>
  <si>
    <t>14053.006.1000.425</t>
  </si>
  <si>
    <t>15-05-1962</t>
  </si>
  <si>
    <t>14053.006.1000.426</t>
  </si>
  <si>
    <t>16-05-1985</t>
  </si>
  <si>
    <t>14053.001.1000.431</t>
  </si>
  <si>
    <t>24-05-1977</t>
  </si>
  <si>
    <t>-</t>
  </si>
  <si>
    <t>14053.006.1000.432</t>
  </si>
  <si>
    <t>25-04-1966</t>
  </si>
  <si>
    <t>KLONTONG</t>
  </si>
  <si>
    <t>26-06-1971</t>
  </si>
  <si>
    <t>14053.001.1000.436</t>
  </si>
  <si>
    <t>28-12-1962</t>
  </si>
  <si>
    <t>SMAK MATER DEI PROBOLINGGO</t>
  </si>
  <si>
    <t>14053.001.1000.437</t>
  </si>
  <si>
    <t>04-01-1959</t>
  </si>
  <si>
    <t>14053.001.1000.438</t>
  </si>
  <si>
    <t>17-01-1940</t>
  </si>
  <si>
    <t>14053.001.1000.442</t>
  </si>
  <si>
    <t>02-04-1966</t>
  </si>
  <si>
    <t>BAHAN KIMIA</t>
  </si>
  <si>
    <t>14053.006.1000.446</t>
  </si>
  <si>
    <t>16-07-1928</t>
  </si>
  <si>
    <t>14053.001.1000.447</t>
  </si>
  <si>
    <t>26-04-1948</t>
  </si>
  <si>
    <t>PENSIUNAN PNS</t>
  </si>
  <si>
    <t>14053.001.1000.448</t>
  </si>
  <si>
    <t>27-10-1961</t>
  </si>
  <si>
    <t>14053.001.1000.449</t>
  </si>
  <si>
    <t>21-11-1956</t>
  </si>
  <si>
    <t>DINAS PENDIDIKAN</t>
  </si>
  <si>
    <t>14053.006.1000.451</t>
  </si>
  <si>
    <t>20-10-1944</t>
  </si>
  <si>
    <t>14053.006.1000.452</t>
  </si>
  <si>
    <t>05-02-1957</t>
  </si>
  <si>
    <t>14053.006.1000.454</t>
  </si>
  <si>
    <t>31-12-1975</t>
  </si>
  <si>
    <t>14053.006.1000.456</t>
  </si>
  <si>
    <t>09-06-1974</t>
  </si>
  <si>
    <t>14053.001.1000.458</t>
  </si>
  <si>
    <t>30-12-1981</t>
  </si>
  <si>
    <t>14053.001.1000.459</t>
  </si>
  <si>
    <t>20-01-1976</t>
  </si>
  <si>
    <t>PELAYANAN PUBLIK</t>
  </si>
  <si>
    <t>DINAS PU</t>
  </si>
  <si>
    <t>14053.001.1000.461</t>
  </si>
  <si>
    <t>28-04-1954</t>
  </si>
  <si>
    <t>31-12-1958</t>
  </si>
  <si>
    <t>14053.006.1000.464</t>
  </si>
  <si>
    <t>10-02-1961</t>
  </si>
  <si>
    <t>14053.006.1000.465</t>
  </si>
  <si>
    <t>27-09-1969</t>
  </si>
  <si>
    <t>KOPERASI BMM</t>
  </si>
  <si>
    <t>14053.001.1000.467</t>
  </si>
  <si>
    <t>12-08-1952</t>
  </si>
  <si>
    <t>14053.001.1000.468</t>
  </si>
  <si>
    <t>06-12-1935</t>
  </si>
  <si>
    <t>14053.006.1000.469</t>
  </si>
  <si>
    <t>02-01-1967</t>
  </si>
  <si>
    <t>14053.006.1000.470</t>
  </si>
  <si>
    <t>23-02-1973</t>
  </si>
  <si>
    <t>14053.006.1000.474</t>
  </si>
  <si>
    <t>09-07-1961</t>
  </si>
  <si>
    <t>GURU</t>
  </si>
  <si>
    <t>14053.001.1000.475</t>
  </si>
  <si>
    <t>09-01-1960</t>
  </si>
  <si>
    <t>14053.001.1000.481</t>
  </si>
  <si>
    <t>02-10-1950</t>
  </si>
  <si>
    <t>14053.006.1000.484</t>
  </si>
  <si>
    <t>19-05-1971</t>
  </si>
  <si>
    <t>KRAKSAAN</t>
  </si>
  <si>
    <t>GURU SWASTA</t>
  </si>
  <si>
    <t>14053.002.1000.487</t>
  </si>
  <si>
    <t>05-06-1969</t>
  </si>
  <si>
    <t>YAYASAN SDK ST PIUS</t>
  </si>
  <si>
    <t>14053.002.1000.488</t>
  </si>
  <si>
    <t>15-01-1958</t>
  </si>
  <si>
    <t>14053.002.1000.489</t>
  </si>
  <si>
    <t>03-12-1960</t>
  </si>
  <si>
    <t>SMKN 1 PAITON</t>
  </si>
  <si>
    <t>14053.002.1000.491</t>
  </si>
  <si>
    <t>31-07-1957</t>
  </si>
  <si>
    <t>YAYASAN SMPK ST PIUS</t>
  </si>
  <si>
    <t>14053.002.1000.493</t>
  </si>
  <si>
    <t>07-03-1960</t>
  </si>
  <si>
    <t>SMKN 1 KRAKSAAN</t>
  </si>
  <si>
    <t>14053.002.1000.494</t>
  </si>
  <si>
    <t>PROYEK</t>
  </si>
  <si>
    <t>PLTU</t>
  </si>
  <si>
    <t>13-07-1962</t>
  </si>
  <si>
    <t>14053.002.1000.501</t>
  </si>
  <si>
    <t>14053.006.1000.503</t>
  </si>
  <si>
    <t>16-07-1965</t>
  </si>
  <si>
    <t>14053.006.1000.509</t>
  </si>
  <si>
    <t>30-03-1956</t>
  </si>
  <si>
    <t>14053.001.1000.511</t>
  </si>
  <si>
    <t>09-01-1981</t>
  </si>
  <si>
    <t>CV IE IE</t>
  </si>
  <si>
    <t>14053.001.1000.513</t>
  </si>
  <si>
    <t>25-01-1967</t>
  </si>
  <si>
    <t>TK BHAYANGKARI</t>
  </si>
  <si>
    <t>14053.002.1000.514</t>
  </si>
  <si>
    <t>01-10-1974</t>
  </si>
  <si>
    <t>ADMIN</t>
  </si>
  <si>
    <t>14053.001.1000.515</t>
  </si>
  <si>
    <t>10-07-1962</t>
  </si>
  <si>
    <t>USAHA ROTI</t>
  </si>
  <si>
    <t>14053.002.1000.516</t>
  </si>
  <si>
    <t>02-02-1962</t>
  </si>
  <si>
    <t>SDN SEMAMPIR</t>
  </si>
  <si>
    <t>14053.001.1000.518</t>
  </si>
  <si>
    <t>13-06-1949</t>
  </si>
  <si>
    <t>ERATEX DJAJA</t>
  </si>
  <si>
    <t>14053.001.1000.519</t>
  </si>
  <si>
    <t>07-03-1964</t>
  </si>
  <si>
    <t>AKAS ASRI</t>
  </si>
  <si>
    <t>14053.001.1000.520</t>
  </si>
  <si>
    <t>14-04-1980</t>
  </si>
  <si>
    <t>KTI</t>
  </si>
  <si>
    <t>14053.001.1000.523</t>
  </si>
  <si>
    <t>17-07-1951</t>
  </si>
  <si>
    <t>14053.001.1000.525</t>
  </si>
  <si>
    <t>01-01-1941</t>
  </si>
  <si>
    <t>14053.001.1000.526</t>
  </si>
  <si>
    <t>29-11-1950</t>
  </si>
  <si>
    <t>14053.001.1000.527</t>
  </si>
  <si>
    <t>27-07-1968</t>
  </si>
  <si>
    <t>TOKO SEPATU YOLISA</t>
  </si>
  <si>
    <t>14053.001.1000.528</t>
  </si>
  <si>
    <t>29-06-1949</t>
  </si>
  <si>
    <t>14053.002.1000.529</t>
  </si>
  <si>
    <t>25-01-1950</t>
  </si>
  <si>
    <t>14053.001.1000.531</t>
  </si>
  <si>
    <t>17-10-1995</t>
  </si>
  <si>
    <t>14053.001.1000.535</t>
  </si>
  <si>
    <t>29-10-1966</t>
  </si>
  <si>
    <t>14053.002.1000.541</t>
  </si>
  <si>
    <t>31-12-1961</t>
  </si>
  <si>
    <t>14053.001.1000.542</t>
  </si>
  <si>
    <t>15-03-1953</t>
  </si>
  <si>
    <t>14053.001.1000.546</t>
  </si>
  <si>
    <t>08-11-1956</t>
  </si>
  <si>
    <t>14053.006.1000.548</t>
  </si>
  <si>
    <t>30-10-1954</t>
  </si>
  <si>
    <t>14053.006.1000.549</t>
  </si>
  <si>
    <t>01-08-1971</t>
  </si>
  <si>
    <t>14053.001.1000.552</t>
  </si>
  <si>
    <t>02-04-1964</t>
  </si>
  <si>
    <t>SDN KEBONSARI KULON IV</t>
  </si>
  <si>
    <t>14053.001.1000.553</t>
  </si>
  <si>
    <t>02-08-1963</t>
  </si>
  <si>
    <t>14053.001.1000.554</t>
  </si>
  <si>
    <t>29-12-1957</t>
  </si>
  <si>
    <t>Tukang Jahit</t>
  </si>
  <si>
    <t>JASA JAHIT</t>
  </si>
  <si>
    <t>14053.001.1000.557</t>
  </si>
  <si>
    <t>27-08-1968</t>
  </si>
  <si>
    <t>BCA</t>
  </si>
  <si>
    <t>14053.001.1000.558</t>
  </si>
  <si>
    <t>18-04-1943</t>
  </si>
  <si>
    <t>14053.002.1000.560</t>
  </si>
  <si>
    <t>03-01-1964</t>
  </si>
  <si>
    <t>Petani/Pekebun</t>
  </si>
  <si>
    <t>KETUA PAGUYUBAN TANI  PAJARAKAN</t>
  </si>
  <si>
    <t>14053.001.1000.566</t>
  </si>
  <si>
    <t>31-12-1963</t>
  </si>
  <si>
    <t>14053.002.1000.567</t>
  </si>
  <si>
    <t>02-09-1979</t>
  </si>
  <si>
    <t>14053.001.1000.568</t>
  </si>
  <si>
    <t>08-04-1983</t>
  </si>
  <si>
    <t>PABRIK SYRUP</t>
  </si>
  <si>
    <t>SIRUP IE IE</t>
  </si>
  <si>
    <t>14053.001.1000.572</t>
  </si>
  <si>
    <t>30-12-1965</t>
  </si>
  <si>
    <t>14053.006.1000.581</t>
  </si>
  <si>
    <t>03-10-1955</t>
  </si>
  <si>
    <t>14053.001.1000.585</t>
  </si>
  <si>
    <t>26-07-1952</t>
  </si>
  <si>
    <t>TUKANG KEBERSIHAN MASJID</t>
  </si>
  <si>
    <t xml:space="preserve">MASJID AL HIDAYAH </t>
  </si>
  <si>
    <t>14053.001.1000.587</t>
  </si>
  <si>
    <t>21-12-1961</t>
  </si>
  <si>
    <t>RUMAH SUSTERAN SPM</t>
  </si>
  <si>
    <t>14053.001.1000.588</t>
  </si>
  <si>
    <t>01-02-1974</t>
  </si>
  <si>
    <t>14053.001.1000.589</t>
  </si>
  <si>
    <t>05-09-1959</t>
  </si>
  <si>
    <t>14053.002.1000.591</t>
  </si>
  <si>
    <t>17-12-1971</t>
  </si>
  <si>
    <t>14053.003.1000.595</t>
  </si>
  <si>
    <t>JEMBER</t>
  </si>
  <si>
    <t>07-12-1960</t>
  </si>
  <si>
    <t>PENSIUNAN GURU SWASTA</t>
  </si>
  <si>
    <t>SDK MARIA FATIMA 1</t>
  </si>
  <si>
    <t>14053.003.1000.596</t>
  </si>
  <si>
    <t>11-12-1954</t>
  </si>
  <si>
    <t>SDK MARIA FATIMA I</t>
  </si>
  <si>
    <t>14053.003.1000.597</t>
  </si>
  <si>
    <t>05-05-1971</t>
  </si>
  <si>
    <t>SDK MARIA FATIMA 3</t>
  </si>
  <si>
    <t>14053.003.1000.598</t>
  </si>
  <si>
    <t>21-09-1962</t>
  </si>
  <si>
    <t>14053.003.1000.601</t>
  </si>
  <si>
    <t>16-07-1955</t>
  </si>
  <si>
    <t>PENSIUNAN TU</t>
  </si>
  <si>
    <t>14053.003.1000.602</t>
  </si>
  <si>
    <t>03-09-1955</t>
  </si>
  <si>
    <t>14053.003.1000.604</t>
  </si>
  <si>
    <t>20-02-1959</t>
  </si>
  <si>
    <t>14053.003.1000.605</t>
  </si>
  <si>
    <t>28-11-1967</t>
  </si>
  <si>
    <t>24-04-1972</t>
  </si>
  <si>
    <t>14053.003.1000.608</t>
  </si>
  <si>
    <t>26-12-1949</t>
  </si>
  <si>
    <t>14053.003.1000.609</t>
  </si>
  <si>
    <t>28-05-1982</t>
  </si>
  <si>
    <t>14053.006.1000.610</t>
  </si>
  <si>
    <t>16-08-1961</t>
  </si>
  <si>
    <t>14053.001.1000.611</t>
  </si>
  <si>
    <t>26-10-1957</t>
  </si>
  <si>
    <t>14053.001.1000.613</t>
  </si>
  <si>
    <t>30-01-1996</t>
  </si>
  <si>
    <t>14053.001.1000.614</t>
  </si>
  <si>
    <t>09-09-1994</t>
  </si>
  <si>
    <t>14053.001.1000.615</t>
  </si>
  <si>
    <t>17-02-1959</t>
  </si>
  <si>
    <t>TOKO SAMUDERA</t>
  </si>
  <si>
    <t>14053.001.1000.617</t>
  </si>
  <si>
    <t>23-02-1977</t>
  </si>
  <si>
    <t>AQUA</t>
  </si>
  <si>
    <t>14053.003.1000.620</t>
  </si>
  <si>
    <t>02-08-1969</t>
  </si>
  <si>
    <t>TKK SISWA RINI II</t>
  </si>
  <si>
    <t>14053.003.1000.621</t>
  </si>
  <si>
    <t>15-02-1960</t>
  </si>
  <si>
    <t>14053.003.1000.622</t>
  </si>
  <si>
    <t>29-05-1976</t>
  </si>
  <si>
    <t>14053.003.1000.623</t>
  </si>
  <si>
    <t>11-09-1961</t>
  </si>
  <si>
    <t>SMPK MARIA FATIMA</t>
  </si>
  <si>
    <t>14053.006.1000.625</t>
  </si>
  <si>
    <t>08-08-1980</t>
  </si>
  <si>
    <t>14053.006.1000.626</t>
  </si>
  <si>
    <t>04-05-1973</t>
  </si>
  <si>
    <t>14053.001.1000.629</t>
  </si>
  <si>
    <t>06-12-1956</t>
  </si>
  <si>
    <t>14053.001.1000.631</t>
  </si>
  <si>
    <t>15-07-1985</t>
  </si>
  <si>
    <t>MOJOKERTO</t>
  </si>
  <si>
    <t>SDK WIJANA SEJATI</t>
  </si>
  <si>
    <t>14053.005.1000.635</t>
  </si>
  <si>
    <t>29-01-1968</t>
  </si>
  <si>
    <t>14053.005.1000.636</t>
  </si>
  <si>
    <t>07-06-1957</t>
  </si>
  <si>
    <t>14053.005.1000.637</t>
  </si>
  <si>
    <t>16-06-1971</t>
  </si>
  <si>
    <t>14053.005.1000.640</t>
  </si>
  <si>
    <t>09-12-1967</t>
  </si>
  <si>
    <t>14053.005.1000.641</t>
  </si>
  <si>
    <t>05-08-1977</t>
  </si>
  <si>
    <t>14053.005.1000.642</t>
  </si>
  <si>
    <t>29-03-1962</t>
  </si>
  <si>
    <t>14053.005.1000.646</t>
  </si>
  <si>
    <t>24-04-1971</t>
  </si>
  <si>
    <t>TKK WIJANA SEJATI</t>
  </si>
  <si>
    <t>14053.005.1000.647</t>
  </si>
  <si>
    <t>17-07-1970</t>
  </si>
  <si>
    <t>14053.005.1000.653</t>
  </si>
  <si>
    <t>14-12-1967</t>
  </si>
  <si>
    <t>14053.003.1000.657</t>
  </si>
  <si>
    <t>14053.003.1000.658</t>
  </si>
  <si>
    <t>21-07-1971</t>
  </si>
  <si>
    <t>14053.003.1000.659</t>
  </si>
  <si>
    <t>18-05-1968</t>
  </si>
  <si>
    <t>14053.003.1000.660</t>
  </si>
  <si>
    <t>31-03-1964</t>
  </si>
  <si>
    <t>SDK MARIA FATIMA III</t>
  </si>
  <si>
    <t>14053.003.1000.661</t>
  </si>
  <si>
    <t>05-06-1975</t>
  </si>
  <si>
    <t>12-09-1973</t>
  </si>
  <si>
    <t>14053.005.1000.665</t>
  </si>
  <si>
    <t>19-01-1979</t>
  </si>
  <si>
    <t>TENAGA PELAKSANA</t>
  </si>
  <si>
    <t>14053.002.1000.666</t>
  </si>
  <si>
    <t>10-06-1982</t>
  </si>
  <si>
    <t>RSUD WLUYO JATI</t>
  </si>
  <si>
    <t>14053.001.1000.668</t>
  </si>
  <si>
    <t>28-03-1970</t>
  </si>
  <si>
    <t>14053.006.1000.673</t>
  </si>
  <si>
    <t>29-05-1975</t>
  </si>
  <si>
    <t>05-05-1953</t>
  </si>
  <si>
    <t>LAUNDRY</t>
  </si>
  <si>
    <t>14053.001.1000.678</t>
  </si>
  <si>
    <t>18-12-1962</t>
  </si>
  <si>
    <t>TOKO ALAT LISTRIK</t>
  </si>
  <si>
    <t>WRINGIN JOYO</t>
  </si>
  <si>
    <t>14053.001.1000.679</t>
  </si>
  <si>
    <t>06-10-1972</t>
  </si>
  <si>
    <t>TOKO</t>
  </si>
  <si>
    <t>14053.001.1000.683</t>
  </si>
  <si>
    <t>14053.002.1000.685</t>
  </si>
  <si>
    <t>18-02-1946</t>
  </si>
  <si>
    <t>14053.003.1000.687</t>
  </si>
  <si>
    <t>21-03-1970</t>
  </si>
  <si>
    <t>SMPK SANTO PETRUS</t>
  </si>
  <si>
    <t>14053.003.1000.688</t>
  </si>
  <si>
    <t>24-09-1969</t>
  </si>
  <si>
    <t>14053.001.1000.692</t>
  </si>
  <si>
    <t>21-02-1979</t>
  </si>
  <si>
    <t>14053.001.1000.694</t>
  </si>
  <si>
    <t>13-07-1970</t>
  </si>
  <si>
    <t>14053.002.1000.696</t>
  </si>
  <si>
    <t>09-02-1953</t>
  </si>
  <si>
    <t>14053.002.1000.697</t>
  </si>
  <si>
    <t>07-01-1963</t>
  </si>
  <si>
    <t>SDN WANGKAL</t>
  </si>
  <si>
    <t>14053.001.1000.699</t>
  </si>
  <si>
    <t>22-07-1959</t>
  </si>
  <si>
    <t>SMKN 2 PROBOLINNGO</t>
  </si>
  <si>
    <t>14053.002.1000.700</t>
  </si>
  <si>
    <t>19-08-1961</t>
  </si>
  <si>
    <t>14053.006.1000.702</t>
  </si>
  <si>
    <t>16-06-1968</t>
  </si>
  <si>
    <t>14053.001.1000.703</t>
  </si>
  <si>
    <t>19-08-1977</t>
  </si>
  <si>
    <t>KENOTARIATAN</t>
  </si>
  <si>
    <t>NOTARIS DWIANA SULIASTUTI, S.H</t>
  </si>
  <si>
    <t>14053.001.1000.704</t>
  </si>
  <si>
    <t>14053.001.1000.705</t>
  </si>
  <si>
    <t>19-09-1957</t>
  </si>
  <si>
    <t>14053.003.1000.706</t>
  </si>
  <si>
    <t>05-01-1975</t>
  </si>
  <si>
    <t>TOKO PLAY STATION</t>
  </si>
  <si>
    <t>14053.001.1000.707</t>
  </si>
  <si>
    <t>24-12-1973</t>
  </si>
  <si>
    <t>KANTOR KECAMATAN MAYANGAN</t>
  </si>
  <si>
    <t>14053.002.1000.709</t>
  </si>
  <si>
    <t>12-10-1974</t>
  </si>
  <si>
    <t>AGEN KORAN DAN MAJALAH</t>
  </si>
  <si>
    <t>14053.001.1000.710</t>
  </si>
  <si>
    <t>14-02-1972</t>
  </si>
  <si>
    <t>14053.003.1000.711</t>
  </si>
  <si>
    <t>10-10-1964</t>
  </si>
  <si>
    <t>SMPK MARIA FATIMA 1</t>
  </si>
  <si>
    <t>14053.001.1000.715</t>
  </si>
  <si>
    <t>17-03-1973</t>
  </si>
  <si>
    <t>31-05-1973</t>
  </si>
  <si>
    <t>Karyawan BUMD</t>
  </si>
  <si>
    <t>14053.001.1000.717</t>
  </si>
  <si>
    <t>25-02-1950</t>
  </si>
  <si>
    <t>14053.001.1000.718</t>
  </si>
  <si>
    <t>26-04-1971</t>
  </si>
  <si>
    <t>GURU SDN SUMBER ANOM 1</t>
  </si>
  <si>
    <t>15-01-1966</t>
  </si>
  <si>
    <t>14053.006.1000.722</t>
  </si>
  <si>
    <t>15-06-1982</t>
  </si>
  <si>
    <t>14053.001.1000.723</t>
  </si>
  <si>
    <t>01-11-1951</t>
  </si>
  <si>
    <t>14053.002.1000.724</t>
  </si>
  <si>
    <t>27-07-1960</t>
  </si>
  <si>
    <t>14053.002.1000.725</t>
  </si>
  <si>
    <t>22-02-1942</t>
  </si>
  <si>
    <t>11-02-1972</t>
  </si>
  <si>
    <t>14053.001.1000.727</t>
  </si>
  <si>
    <t>11-02-1947</t>
  </si>
  <si>
    <t>14053.002.1000.728</t>
  </si>
  <si>
    <t>10-03-1957</t>
  </si>
  <si>
    <t>14053.006.1000.730</t>
  </si>
  <si>
    <t>21-02-1975</t>
  </si>
  <si>
    <t>JUAL TELOR ARAB</t>
  </si>
  <si>
    <t>14-10-1970</t>
  </si>
  <si>
    <t>14053.001.1000.734</t>
  </si>
  <si>
    <t>23-05-1966</t>
  </si>
  <si>
    <t>15-05-1968</t>
  </si>
  <si>
    <t>06-01-1962</t>
  </si>
  <si>
    <t>SMPN 1 BESUK</t>
  </si>
  <si>
    <t>14053.001.1000.737</t>
  </si>
  <si>
    <t>04-05-1982</t>
  </si>
  <si>
    <t>14053.002.1000.740</t>
  </si>
  <si>
    <t>19-02-1967</t>
  </si>
  <si>
    <t>TOKO MEUBEL</t>
  </si>
  <si>
    <t>14053.006.1000.741</t>
  </si>
  <si>
    <t>01-11-1970</t>
  </si>
  <si>
    <t>14053.001.1000.745</t>
  </si>
  <si>
    <t>13-02-1948</t>
  </si>
  <si>
    <t>14053.006.1000.750</t>
  </si>
  <si>
    <t>16-12-1927</t>
  </si>
  <si>
    <t xml:space="preserve">PENSIUNAN </t>
  </si>
  <si>
    <t>TNI AD</t>
  </si>
  <si>
    <t>14053.001.1000.754</t>
  </si>
  <si>
    <t>13-08-1967</t>
  </si>
  <si>
    <t>14053.003.1000.755</t>
  </si>
  <si>
    <t>22-04-1973</t>
  </si>
  <si>
    <t>14053.002.1000.760</t>
  </si>
  <si>
    <t>30-12-1963</t>
  </si>
  <si>
    <t>MAKELAR TANAH</t>
  </si>
  <si>
    <t>14053.006.1000.764</t>
  </si>
  <si>
    <t>02-11-1983</t>
  </si>
  <si>
    <t>NARXIS COLLECTION</t>
  </si>
  <si>
    <t>14053.001.1000.766</t>
  </si>
  <si>
    <t>19-09-1981</t>
  </si>
  <si>
    <t>PERHOTELAN</t>
  </si>
  <si>
    <t>HOTEL BROMO VIEW</t>
  </si>
  <si>
    <t>14053.001.1000.773</t>
  </si>
  <si>
    <t>11-01-1968</t>
  </si>
  <si>
    <t>14053.001.1000.775</t>
  </si>
  <si>
    <t>08-07-1997</t>
  </si>
  <si>
    <t>14053.001.1000.776</t>
  </si>
  <si>
    <t>07-04-1996</t>
  </si>
  <si>
    <t>14053.001.1000.778</t>
  </si>
  <si>
    <t>01-05-1960</t>
  </si>
  <si>
    <t>14053.006.1000.779</t>
  </si>
  <si>
    <t>18-10-1966</t>
  </si>
  <si>
    <t>14053.006.1000.783</t>
  </si>
  <si>
    <t>21-03-1968</t>
  </si>
  <si>
    <t>14053.003.1000.785</t>
  </si>
  <si>
    <t>03-09-1951</t>
  </si>
  <si>
    <t>14053.003.1000.786</t>
  </si>
  <si>
    <t>25-08-1967</t>
  </si>
  <si>
    <t>14053.003.1000.787</t>
  </si>
  <si>
    <t>08-11-1972</t>
  </si>
  <si>
    <t>14053.003.1000.791</t>
  </si>
  <si>
    <t>18-01-1974</t>
  </si>
  <si>
    <t>03-06-1977</t>
  </si>
  <si>
    <t>PRACANGAN</t>
  </si>
  <si>
    <t>14053.003.1000.794</t>
  </si>
  <si>
    <t>02-07-1969</t>
  </si>
  <si>
    <t>14053.003.1000.795</t>
  </si>
  <si>
    <t>12-04-1968</t>
  </si>
  <si>
    <t>SDK INDRA SISWA</t>
  </si>
  <si>
    <t>14053.003.1000.796</t>
  </si>
  <si>
    <t>19-11-1969</t>
  </si>
  <si>
    <t>TK INDRA  SISWA</t>
  </si>
  <si>
    <t>14053.006.1000.798</t>
  </si>
  <si>
    <t>01-06-1926</t>
  </si>
  <si>
    <t>14053.006.1000.808</t>
  </si>
  <si>
    <t>19-07-1971</t>
  </si>
  <si>
    <t>14053.003.1000.814</t>
  </si>
  <si>
    <t>18-12-1965</t>
  </si>
  <si>
    <t>SMPK ST DON BOSCO</t>
  </si>
  <si>
    <t>14053.006.1000.831</t>
  </si>
  <si>
    <t>21-08-1976</t>
  </si>
  <si>
    <t>14053.005.1000.832</t>
  </si>
  <si>
    <t>01-12-1988</t>
  </si>
  <si>
    <t>SMK TAMAN SISWA</t>
  </si>
  <si>
    <t>14053.005.1000.833</t>
  </si>
  <si>
    <t>24-05-1992</t>
  </si>
  <si>
    <t>DOKTER</t>
  </si>
  <si>
    <t>RSUD DR WAHIDIN</t>
  </si>
  <si>
    <t>Kepolisian RI</t>
  </si>
  <si>
    <t>14053.006.1000.838</t>
  </si>
  <si>
    <t>27-09-1968</t>
  </si>
  <si>
    <t>14053.002.1000.840</t>
  </si>
  <si>
    <t>05-05-1978</t>
  </si>
  <si>
    <t>PT SAMPOERNA</t>
  </si>
  <si>
    <t>21-02-1966</t>
  </si>
  <si>
    <t>14053.005.1000.845</t>
  </si>
  <si>
    <t>11-04-1953</t>
  </si>
  <si>
    <t>14053.002.1000.846</t>
  </si>
  <si>
    <t>01-07-1969</t>
  </si>
  <si>
    <t>PEDAGANG KUE</t>
  </si>
  <si>
    <t>14053.006.1000.847</t>
  </si>
  <si>
    <t>06-06-1966</t>
  </si>
  <si>
    <t>14053.001.1000.848</t>
  </si>
  <si>
    <t>25-12-1980</t>
  </si>
  <si>
    <t>SMPN 1 POBOLINGGO</t>
  </si>
  <si>
    <t>14053.001.1000.849</t>
  </si>
  <si>
    <t>14053.003.1000.858</t>
  </si>
  <si>
    <t>01-05-1970</t>
  </si>
  <si>
    <t>14053.001.1000.863</t>
  </si>
  <si>
    <t>24-06-1967</t>
  </si>
  <si>
    <t>14053.002.1000.866</t>
  </si>
  <si>
    <t>14-04-1968</t>
  </si>
  <si>
    <t>DAGANG TEMBAKAU</t>
  </si>
  <si>
    <t>14053.003.1000.876</t>
  </si>
  <si>
    <t>15-12-1978</t>
  </si>
  <si>
    <t>14053.003.1000.880</t>
  </si>
  <si>
    <t>31-07-1968</t>
  </si>
  <si>
    <t>14053.003.1000.881</t>
  </si>
  <si>
    <t>17-08-1962</t>
  </si>
  <si>
    <t>14053.003.1000.884</t>
  </si>
  <si>
    <t>08-12-1964</t>
  </si>
  <si>
    <t>14053.003.1000.885</t>
  </si>
  <si>
    <t>05-10-1966</t>
  </si>
  <si>
    <t>10-02-1971</t>
  </si>
  <si>
    <t>14053.003.1000.887</t>
  </si>
  <si>
    <t>28-03-1958</t>
  </si>
  <si>
    <t>14053.003.1000.888</t>
  </si>
  <si>
    <t>25-07-1998</t>
  </si>
  <si>
    <t>14053.006.1000.896</t>
  </si>
  <si>
    <t>06-05-1966</t>
  </si>
  <si>
    <t>14053.002.1000.898</t>
  </si>
  <si>
    <t>14053.001.1000.900</t>
  </si>
  <si>
    <t>24-04-1964</t>
  </si>
  <si>
    <t>14053.006.1000.902</t>
  </si>
  <si>
    <t>10-01-1963</t>
  </si>
  <si>
    <t>14053.006.1000.903</t>
  </si>
  <si>
    <t>17-11-1965</t>
  </si>
  <si>
    <t>01-01-1969</t>
  </si>
  <si>
    <t>14053.006.1000.906</t>
  </si>
  <si>
    <t>20-09-1963</t>
  </si>
  <si>
    <t>14053.006.1000.907</t>
  </si>
  <si>
    <t>19-10-1972</t>
  </si>
  <si>
    <t>14053.001.1000.908</t>
  </si>
  <si>
    <t>20-01-1966</t>
  </si>
  <si>
    <t>INDUSTRI KERAMIK</t>
  </si>
  <si>
    <t>14053.001.1000.909</t>
  </si>
  <si>
    <t>05-08-1968</t>
  </si>
  <si>
    <t>JUALAN BALON</t>
  </si>
  <si>
    <t>14053.001.1000.910</t>
  </si>
  <si>
    <t>24-08-1993</t>
  </si>
  <si>
    <t>14053.001.1000.915</t>
  </si>
  <si>
    <t>03-09-1981</t>
  </si>
  <si>
    <t>14053.001.1000.917</t>
  </si>
  <si>
    <t>03-03-1999</t>
  </si>
  <si>
    <t>14053.006.1000.919</t>
  </si>
  <si>
    <t>15-10-1974</t>
  </si>
  <si>
    <t>14053.001.1000.921</t>
  </si>
  <si>
    <t>01-11-1962</t>
  </si>
  <si>
    <t>TK BHAYANGKARA</t>
  </si>
  <si>
    <t>14053.001.1000.924</t>
  </si>
  <si>
    <t>30-03-1967</t>
  </si>
  <si>
    <t>INDUSTRI TEKSTIL</t>
  </si>
  <si>
    <t>PT ERATEX</t>
  </si>
  <si>
    <t>14053.005.1000.926</t>
  </si>
  <si>
    <t>12-06-1976</t>
  </si>
  <si>
    <t>14053.001.1000.929</t>
  </si>
  <si>
    <t>01-06-1973</t>
  </si>
  <si>
    <t>14053.002.1000.932</t>
  </si>
  <si>
    <t>06-07-1965</t>
  </si>
  <si>
    <t>KELONTONG</t>
  </si>
  <si>
    <t>03-02-1969</t>
  </si>
  <si>
    <t>14053.001.1000.941</t>
  </si>
  <si>
    <t>08-08-1963</t>
  </si>
  <si>
    <t>14053.002.1000.943</t>
  </si>
  <si>
    <t>21-10-1963</t>
  </si>
  <si>
    <t>25-11-1990</t>
  </si>
  <si>
    <t>14053.001.1000.952</t>
  </si>
  <si>
    <t>09-01-1990</t>
  </si>
  <si>
    <t>RENTAL TRUK</t>
  </si>
  <si>
    <t>PENYEWAAN TRUK</t>
  </si>
  <si>
    <t>14053.002.1000.958</t>
  </si>
  <si>
    <t>24-06-1985</t>
  </si>
  <si>
    <t>14053.006.1000.977</t>
  </si>
  <si>
    <t>14-07-1949</t>
  </si>
  <si>
    <t>JASA TRANSPORTASI</t>
  </si>
  <si>
    <t>14053.001.1000.979</t>
  </si>
  <si>
    <t>27-04-1966</t>
  </si>
  <si>
    <t>JUAL MADU</t>
  </si>
  <si>
    <t>14053.002.1000.981</t>
  </si>
  <si>
    <t>07-01-1956</t>
  </si>
  <si>
    <t>YTL PLTU PAITON</t>
  </si>
  <si>
    <t>14053.001.1000.986</t>
  </si>
  <si>
    <t>10-01-1984</t>
  </si>
  <si>
    <t>CU AMANAH</t>
  </si>
  <si>
    <t>14053.001.1000.987</t>
  </si>
  <si>
    <t>04-01-1992</t>
  </si>
  <si>
    <t>PETERNAKAN</t>
  </si>
  <si>
    <t>TERNAK HAMSTER</t>
  </si>
  <si>
    <t>14053.001.1000.988</t>
  </si>
  <si>
    <t>26-12-1994</t>
  </si>
  <si>
    <t>14053.001.1000.997</t>
  </si>
  <si>
    <t>12-05-1972</t>
  </si>
  <si>
    <t>PAWON AYU FROZENFOOD</t>
  </si>
  <si>
    <t>14053.001.1001.001</t>
  </si>
  <si>
    <t>24-11-1983</t>
  </si>
  <si>
    <t>14053.001.1001.002</t>
  </si>
  <si>
    <t>23-03-1973</t>
  </si>
  <si>
    <t>16-05-1967</t>
  </si>
  <si>
    <t>14053.001.1001.007</t>
  </si>
  <si>
    <t>14053.001.1001.008</t>
  </si>
  <si>
    <t>16-01-1971</t>
  </si>
  <si>
    <t>14053.002.1001.009</t>
  </si>
  <si>
    <t>29-07-1970</t>
  </si>
  <si>
    <t>TRANSPORTASI TRUCK</t>
  </si>
  <si>
    <t>14053.001.1001.013</t>
  </si>
  <si>
    <t>13-06-1979</t>
  </si>
  <si>
    <t>Karyawan BUMN</t>
  </si>
  <si>
    <t>PEGADAIAN</t>
  </si>
  <si>
    <t>14053.002.1001.020</t>
  </si>
  <si>
    <t>20-07-1955</t>
  </si>
  <si>
    <t xml:space="preserve">GURU </t>
  </si>
  <si>
    <t>SDN NEGERI KRAKSAAN</t>
  </si>
  <si>
    <t>14053.002.1001.021</t>
  </si>
  <si>
    <t>31-03-1979</t>
  </si>
  <si>
    <t>SALES MAKANAN RINGAN</t>
  </si>
  <si>
    <t>14053.001.1001.022</t>
  </si>
  <si>
    <t>05-04-1971</t>
  </si>
  <si>
    <t>14053.001.1001.024</t>
  </si>
  <si>
    <t>12-08-1978</t>
  </si>
  <si>
    <t>INDUSTRI MAKANAN BEKU</t>
  </si>
  <si>
    <t>14053.001.1001.028</t>
  </si>
  <si>
    <t>17-08-1974</t>
  </si>
  <si>
    <t>SIMPAN PINJAM</t>
  </si>
  <si>
    <t>KSP CU MANDIRI</t>
  </si>
  <si>
    <t>14053.006.1001.029</t>
  </si>
  <si>
    <t>16-06-1983</t>
  </si>
  <si>
    <t>SMK BAKTI KARYA</t>
  </si>
  <si>
    <t>14053.001.1001.033</t>
  </si>
  <si>
    <t>22-02-1979</t>
  </si>
  <si>
    <t>14053.001.1001.039</t>
  </si>
  <si>
    <t>20-08-1975</t>
  </si>
  <si>
    <t>SALESMAN</t>
  </si>
  <si>
    <t>14053.002.1001.040</t>
  </si>
  <si>
    <t>07-12-1956</t>
  </si>
  <si>
    <t>22-04-1980</t>
  </si>
  <si>
    <t>14053.001.1001.048</t>
  </si>
  <si>
    <t>25-11-1981</t>
  </si>
  <si>
    <t>SDN KEBONSARI KULON 8</t>
  </si>
  <si>
    <t>14053.001.1001.049</t>
  </si>
  <si>
    <t>08-02-1972</t>
  </si>
  <si>
    <t>14053.006.1001.052</t>
  </si>
  <si>
    <t>03-02-1978</t>
  </si>
  <si>
    <t>14053.006.1001.053</t>
  </si>
  <si>
    <t>25-07-1948</t>
  </si>
  <si>
    <t>14053.006.1001.056</t>
  </si>
  <si>
    <t>10-12-1973</t>
  </si>
  <si>
    <t>14053.001.1001.057</t>
  </si>
  <si>
    <t>15-08-1950</t>
  </si>
  <si>
    <t>KADES</t>
  </si>
  <si>
    <t>14053.001.1001.061</t>
  </si>
  <si>
    <t>03-06-1968</t>
  </si>
  <si>
    <t>SDN SUKABUMI 5</t>
  </si>
  <si>
    <t>14053.001.1001.062</t>
  </si>
  <si>
    <t>18-07-1961</t>
  </si>
  <si>
    <t>SDN TISNONEGARAN 4</t>
  </si>
  <si>
    <t>14053.001.1001.066</t>
  </si>
  <si>
    <t>10-01-1975</t>
  </si>
  <si>
    <t>KELURAHAN TISNONEGARAN</t>
  </si>
  <si>
    <t>14053.001.1001.067</t>
  </si>
  <si>
    <t>20-07-1970</t>
  </si>
  <si>
    <t>14053.003.1001.073</t>
  </si>
  <si>
    <t>08-07-1976</t>
  </si>
  <si>
    <t>MARKETTING</t>
  </si>
  <si>
    <t>PT ACE HARDWARE</t>
  </si>
  <si>
    <t>14053.002.1001.076</t>
  </si>
  <si>
    <t>25-10-1967</t>
  </si>
  <si>
    <t>14053.006.1001.079</t>
  </si>
  <si>
    <t>14053.001.1001.080</t>
  </si>
  <si>
    <t>17-08-1971</t>
  </si>
  <si>
    <t>MEUBEL</t>
  </si>
  <si>
    <t>MEUBEL ROTAN</t>
  </si>
  <si>
    <t>14053.001.1001.083</t>
  </si>
  <si>
    <t>06-02-1985</t>
  </si>
  <si>
    <t>14053.006.1001.084</t>
  </si>
  <si>
    <t>16-09-1962</t>
  </si>
  <si>
    <t>14053.006.1001.085</t>
  </si>
  <si>
    <t>12-12-1959</t>
  </si>
  <si>
    <t>14053.001.1001.086</t>
  </si>
  <si>
    <t>10-12-1978</t>
  </si>
  <si>
    <t>INDUSTRI ROKOK</t>
  </si>
  <si>
    <t>SAMPOERNA</t>
  </si>
  <si>
    <t>14053.001.1001.092</t>
  </si>
  <si>
    <t>18-01-2002</t>
  </si>
  <si>
    <t>14053.002.1001.094</t>
  </si>
  <si>
    <t>25-03-1973</t>
  </si>
  <si>
    <t>CV TRIMITRA JAYA</t>
  </si>
  <si>
    <t>14053.001.1001.095</t>
  </si>
  <si>
    <t>09-02-1969</t>
  </si>
  <si>
    <t>PENERBIT &amp; PERCETAKAN</t>
  </si>
  <si>
    <t>GRAMEDIA GROUP</t>
  </si>
  <si>
    <t>14053.001.1001.096</t>
  </si>
  <si>
    <t>04-08-1982</t>
  </si>
  <si>
    <t>14053.001.1001.098</t>
  </si>
  <si>
    <t>05-11-1962</t>
  </si>
  <si>
    <t>14053.002.1001.102</t>
  </si>
  <si>
    <t>12-03-1966</t>
  </si>
  <si>
    <t>14053.001.1001.104</t>
  </si>
  <si>
    <t>05-12-1954</t>
  </si>
  <si>
    <t>KARYAWAN SWASTA</t>
  </si>
  <si>
    <t>14053.001.1001.105</t>
  </si>
  <si>
    <t>01-06-1952</t>
  </si>
  <si>
    <t>14053.001.1001.107</t>
  </si>
  <si>
    <t>14053.001.1001.110</t>
  </si>
  <si>
    <t>30-09-1995</t>
  </si>
  <si>
    <t>14053.006.1001.113</t>
  </si>
  <si>
    <t>04-09-1975</t>
  </si>
  <si>
    <t>14053.001.1001.115</t>
  </si>
  <si>
    <t>29-12-1986</t>
  </si>
  <si>
    <t>MILITER</t>
  </si>
  <si>
    <t>POLRES KOTA PROB</t>
  </si>
  <si>
    <t>14053.002.1001.118</t>
  </si>
  <si>
    <t>08-03-1962</t>
  </si>
  <si>
    <t>SDN KRAKSAAN WETAN 1</t>
  </si>
  <si>
    <t>14053.002.1001.119</t>
  </si>
  <si>
    <t>03-05-2003</t>
  </si>
  <si>
    <t>14053.002.1001.122</t>
  </si>
  <si>
    <t>14-09-1953</t>
  </si>
  <si>
    <t>14053.003.1001.123</t>
  </si>
  <si>
    <t>04-03-1949</t>
  </si>
  <si>
    <t>14053.002.1001.128</t>
  </si>
  <si>
    <t>16-05-1996</t>
  </si>
  <si>
    <t>14053.002.1001.131</t>
  </si>
  <si>
    <t>30-09-1965</t>
  </si>
  <si>
    <t>14053.001.1001.132</t>
  </si>
  <si>
    <t>16-08-1973</t>
  </si>
  <si>
    <t>JASA</t>
  </si>
  <si>
    <t>14053.002.1001.136</t>
  </si>
  <si>
    <t>25-05-1962</t>
  </si>
  <si>
    <t>SLB PAITON</t>
  </si>
  <si>
    <t>14053.001.1001.139</t>
  </si>
  <si>
    <t>18-05-1955</t>
  </si>
  <si>
    <t>14053.002.1001.141</t>
  </si>
  <si>
    <t>25-03-1965</t>
  </si>
  <si>
    <t>14053.002.1001.144</t>
  </si>
  <si>
    <t>17-10-1955</t>
  </si>
  <si>
    <t>14053.001.1001.145</t>
  </si>
  <si>
    <t>12-07-1951</t>
  </si>
  <si>
    <t>14053.003.1001.148</t>
  </si>
  <si>
    <t>22-03-1965</t>
  </si>
  <si>
    <t>BAKWAN SANTUN</t>
  </si>
  <si>
    <t>14053.002.1001.149</t>
  </si>
  <si>
    <t>07-11-1977</t>
  </si>
  <si>
    <t>PT ERATEX DJAJA</t>
  </si>
  <si>
    <t>14053.002.1001.156</t>
  </si>
  <si>
    <t>01-08-1967</t>
  </si>
  <si>
    <t>29-01-1954</t>
  </si>
  <si>
    <t>14053.001.1001.162</t>
  </si>
  <si>
    <t>13-09-1963</t>
  </si>
  <si>
    <t>GURU SLB NEGRI KRAKSAAN</t>
  </si>
  <si>
    <t>14053.001.1001.163</t>
  </si>
  <si>
    <t>06-08-1968</t>
  </si>
  <si>
    <t>14053.006.1001.172</t>
  </si>
  <si>
    <t>09-05-1979</t>
  </si>
  <si>
    <t>14053.003.1001.175</t>
  </si>
  <si>
    <t>04-10-1969</t>
  </si>
  <si>
    <t>14053.002.1001.176</t>
  </si>
  <si>
    <t>26-09-1969</t>
  </si>
  <si>
    <t>14053.002.1001.177</t>
  </si>
  <si>
    <t>03-07-1969</t>
  </si>
  <si>
    <t>14053.001.1001.178</t>
  </si>
  <si>
    <t>19-06-1984</t>
  </si>
  <si>
    <t>14053.001.1001.185</t>
  </si>
  <si>
    <t>06-04-1968</t>
  </si>
  <si>
    <t>14053.002.1001.186</t>
  </si>
  <si>
    <t>04-08-1961</t>
  </si>
  <si>
    <t>14053.003.1001.188</t>
  </si>
  <si>
    <t>13-07-1964</t>
  </si>
  <si>
    <t>14053.001.1001.190</t>
  </si>
  <si>
    <t>17-05-1965</t>
  </si>
  <si>
    <t>TK TAMAN INDIRA</t>
  </si>
  <si>
    <t>14053.001.1001.191</t>
  </si>
  <si>
    <t>04-11-1966</t>
  </si>
  <si>
    <t>PEMERINTAHAN</t>
  </si>
  <si>
    <t>KELURAHAN KEBONSARI KULON KANIGARAN</t>
  </si>
  <si>
    <t>14053.003.1001.195</t>
  </si>
  <si>
    <t>24-03-1965</t>
  </si>
  <si>
    <t>SMAK ST PAULUS</t>
  </si>
  <si>
    <t>14053.002.1001.198</t>
  </si>
  <si>
    <t>14-09-1968</t>
  </si>
  <si>
    <t>14053.001.1001.200</t>
  </si>
  <si>
    <t>01-07-1953</t>
  </si>
  <si>
    <t>Transportasi</t>
  </si>
  <si>
    <t>14053.001.1001.204</t>
  </si>
  <si>
    <t>08-06-1993</t>
  </si>
  <si>
    <t>14053.001.1001.205</t>
  </si>
  <si>
    <t>30-06-1968</t>
  </si>
  <si>
    <t>14053.001.1001.207</t>
  </si>
  <si>
    <t>05-07-1980</t>
  </si>
  <si>
    <t>TOKO PERALATAN SEPEDA</t>
  </si>
  <si>
    <t>14053.001.1001.209</t>
  </si>
  <si>
    <t>25-12-1958</t>
  </si>
  <si>
    <t>14053.001.1001.210</t>
  </si>
  <si>
    <t>06-08-1962</t>
  </si>
  <si>
    <t xml:space="preserve">PENJUAL BALON </t>
  </si>
  <si>
    <t>14053.001.1001.212</t>
  </si>
  <si>
    <t>24-02-1975</t>
  </si>
  <si>
    <t>SECURITY</t>
  </si>
  <si>
    <t>14053.002.1001.213</t>
  </si>
  <si>
    <t>03-10-1961</t>
  </si>
  <si>
    <t>TOKO PLASTIK</t>
  </si>
  <si>
    <t>14053.002.1001.214</t>
  </si>
  <si>
    <t>29-08-1967</t>
  </si>
  <si>
    <t>14053.001.1001.217</t>
  </si>
  <si>
    <t>01-05-1958</t>
  </si>
  <si>
    <t>14053.001.1001.222</t>
  </si>
  <si>
    <t>25-03-1968</t>
  </si>
  <si>
    <t>14053.003.1001.224</t>
  </si>
  <si>
    <t>02-10-1967</t>
  </si>
  <si>
    <t>14053.001.1001.225</t>
  </si>
  <si>
    <t>07-08-1978</t>
  </si>
  <si>
    <t>14053.001.1001.226</t>
  </si>
  <si>
    <t>20-10-1969</t>
  </si>
  <si>
    <t>DI JORONGAN</t>
  </si>
  <si>
    <t>14053.002.1001.228</t>
  </si>
  <si>
    <t>31-07-1974</t>
  </si>
  <si>
    <t>14053.002.1001.230</t>
  </si>
  <si>
    <t>01-04-1955</t>
  </si>
  <si>
    <t>SEKRETARIS CAMAT</t>
  </si>
  <si>
    <t>14053.002.1001.231</t>
  </si>
  <si>
    <t>23-11-1951</t>
  </si>
  <si>
    <t>PEMILIK RUMAH KOS</t>
  </si>
  <si>
    <t>14053.002.1001.232</t>
  </si>
  <si>
    <t>16-04-1977</t>
  </si>
  <si>
    <t>14053.006.1001.233</t>
  </si>
  <si>
    <t>31-12-1950</t>
  </si>
  <si>
    <t>14053.001.1001.235</t>
  </si>
  <si>
    <t>21-07-1969</t>
  </si>
  <si>
    <t>14053.002.1001.237</t>
  </si>
  <si>
    <t>11-07-1969</t>
  </si>
  <si>
    <t>SD AL IRSYAD</t>
  </si>
  <si>
    <t>14053.001.1001.238</t>
  </si>
  <si>
    <t>01-05-1978</t>
  </si>
  <si>
    <t>14053.006.1001.241</t>
  </si>
  <si>
    <t>15-09-1986</t>
  </si>
  <si>
    <t>JUAL GUDEG</t>
  </si>
  <si>
    <t>14053.002.1001.245</t>
  </si>
  <si>
    <t>28-05-1963</t>
  </si>
  <si>
    <t>14053.002.1001.249</t>
  </si>
  <si>
    <t>20-03-1967</t>
  </si>
  <si>
    <t>14053.006.1001.250</t>
  </si>
  <si>
    <t>12-12-1956</t>
  </si>
  <si>
    <t>TOKO KELONTONG</t>
  </si>
  <si>
    <t>14053.001.1001.256</t>
  </si>
  <si>
    <t>01-09-1972</t>
  </si>
  <si>
    <t>KEDAI MIE AYAM</t>
  </si>
  <si>
    <t>14053.001.1001.257</t>
  </si>
  <si>
    <t>08-10-1968</t>
  </si>
  <si>
    <t>SDN KEDUNG REJO 1</t>
  </si>
  <si>
    <t>WARUNG KOPI</t>
  </si>
  <si>
    <t>14053.001.1001.259</t>
  </si>
  <si>
    <t>05-05-1985</t>
  </si>
  <si>
    <t>Karyawan Honorer</t>
  </si>
  <si>
    <t>PEMKAB PROBOLINGGO</t>
  </si>
  <si>
    <t>14053.001.1001.260</t>
  </si>
  <si>
    <t>10-05-1978</t>
  </si>
  <si>
    <t>KOMUNIKASI</t>
  </si>
  <si>
    <t>DISKOMINFO</t>
  </si>
  <si>
    <t>14053.002.1001.263</t>
  </si>
  <si>
    <t>26-07-1969</t>
  </si>
  <si>
    <t>BLH KRAKSAAN</t>
  </si>
  <si>
    <t>14053.002.1001.266</t>
  </si>
  <si>
    <t>21-01-1969</t>
  </si>
  <si>
    <t>14053.001.1001.268</t>
  </si>
  <si>
    <t>30-04-1969</t>
  </si>
  <si>
    <t>KUE DAN CATERING</t>
  </si>
  <si>
    <t>14053.001.1001.270</t>
  </si>
  <si>
    <t>14-04-1962</t>
  </si>
  <si>
    <t>KEPALA SEKOLAH</t>
  </si>
  <si>
    <t>SDN SEBAUNG 2</t>
  </si>
  <si>
    <t>14053.001.1001.274</t>
  </si>
  <si>
    <t>04-11-1970</t>
  </si>
  <si>
    <t>14053.001.1001.276</t>
  </si>
  <si>
    <t>26-04-1999</t>
  </si>
  <si>
    <t>14053.003.1001.278</t>
  </si>
  <si>
    <t>18-08-1958</t>
  </si>
  <si>
    <t>14053.003.1001.281</t>
  </si>
  <si>
    <t>09-09-1975</t>
  </si>
  <si>
    <t>Pendeta</t>
  </si>
  <si>
    <t>BRUDER</t>
  </si>
  <si>
    <t>14053.002.1001.282</t>
  </si>
  <si>
    <t>16-02-1962</t>
  </si>
  <si>
    <t>POLRI</t>
  </si>
  <si>
    <t>POLRES PROBOLINGGO</t>
  </si>
  <si>
    <t>14053.002.1001.287</t>
  </si>
  <si>
    <t>08-08-1957</t>
  </si>
  <si>
    <t>14053.001.1001.288</t>
  </si>
  <si>
    <t>30-08-1982</t>
  </si>
  <si>
    <t xml:space="preserve">PUSKESMAS </t>
  </si>
  <si>
    <t>14053.002.1001.292</t>
  </si>
  <si>
    <t>16-05-1974</t>
  </si>
  <si>
    <t>14053.001.1001.293</t>
  </si>
  <si>
    <t>19-07-1967</t>
  </si>
  <si>
    <t>14053.006.1001.296</t>
  </si>
  <si>
    <t>08-07-1953</t>
  </si>
  <si>
    <t>14053.003.1001.298</t>
  </si>
  <si>
    <t>14-12-1989</t>
  </si>
  <si>
    <t>14053.003.1001.299</t>
  </si>
  <si>
    <t>15-10-1948</t>
  </si>
  <si>
    <t>15-04-1968</t>
  </si>
  <si>
    <t>TOKO KLONTONG</t>
  </si>
  <si>
    <t>14053.002.1001.303</t>
  </si>
  <si>
    <t>05-04-1973</t>
  </si>
  <si>
    <t>PENJUAL TANAMAN HIAS</t>
  </si>
  <si>
    <t>14053.005.1001.310</t>
  </si>
  <si>
    <t>10-01-1954</t>
  </si>
  <si>
    <t>14053.001.1001.312</t>
  </si>
  <si>
    <t>07-04-1964</t>
  </si>
  <si>
    <t>14053.001.1001.313</t>
  </si>
  <si>
    <t>13-05-1964</t>
  </si>
  <si>
    <t>14053.002.1001.314</t>
  </si>
  <si>
    <t>14-02-1954</t>
  </si>
  <si>
    <t>PASAR SEMAMPIR</t>
  </si>
  <si>
    <t>14053.006.1001.317</t>
  </si>
  <si>
    <t>15-11-1978</t>
  </si>
  <si>
    <t>14053.003.1001.319</t>
  </si>
  <si>
    <t>09-06-1968</t>
  </si>
  <si>
    <t>14053.003.1001.320</t>
  </si>
  <si>
    <t>29-12-1958</t>
  </si>
  <si>
    <t>14053.002.1001.321</t>
  </si>
  <si>
    <t>25-07-1977</t>
  </si>
  <si>
    <t>PETANI</t>
  </si>
  <si>
    <t>14053.001.1001.323</t>
  </si>
  <si>
    <t>10-02-1973</t>
  </si>
  <si>
    <t>SAWI ASIN, KUE BASAH</t>
  </si>
  <si>
    <t>14053.006.1001.324</t>
  </si>
  <si>
    <t>12-11-1973</t>
  </si>
  <si>
    <t>12-04-1960</t>
  </si>
  <si>
    <t>KONVEKSI</t>
  </si>
  <si>
    <t>14053.001.1001.329</t>
  </si>
  <si>
    <t>30-11-1970</t>
  </si>
  <si>
    <t>PUSKESMAS LECES</t>
  </si>
  <si>
    <t>14053.003.1001.334</t>
  </si>
  <si>
    <t>02-07-1979</t>
  </si>
  <si>
    <t>14053.001.1001.335</t>
  </si>
  <si>
    <t>17-12-1970</t>
  </si>
  <si>
    <t>14053.001.1001.336</t>
  </si>
  <si>
    <t>01-08-1954</t>
  </si>
  <si>
    <t>26-04-1969</t>
  </si>
  <si>
    <t>14053.002.1001.342</t>
  </si>
  <si>
    <t>08-04-1980</t>
  </si>
  <si>
    <t>10-07-1954</t>
  </si>
  <si>
    <t>10-09-1975</t>
  </si>
  <si>
    <t>14053.002.1001.352</t>
  </si>
  <si>
    <t>11-11-1975</t>
  </si>
  <si>
    <t>14053.003.1001.359</t>
  </si>
  <si>
    <t>14-08-1968</t>
  </si>
  <si>
    <t>PASTORAN</t>
  </si>
  <si>
    <t>14053.001.1001.361</t>
  </si>
  <si>
    <t>21-07-1955</t>
  </si>
  <si>
    <t>14053.003.1001.362</t>
  </si>
  <si>
    <t>28-12-1974</t>
  </si>
  <si>
    <t>14053.002.1001.368</t>
  </si>
  <si>
    <t>29-05-1985</t>
  </si>
  <si>
    <t>TOP</t>
  </si>
  <si>
    <t>14053.006.1001.373</t>
  </si>
  <si>
    <t>15-05-1980</t>
  </si>
  <si>
    <t>PASAR MUNTILAN</t>
  </si>
  <si>
    <t>14053.006.1001.374</t>
  </si>
  <si>
    <t>26-08-1963</t>
  </si>
  <si>
    <t>14053.006.1001.375</t>
  </si>
  <si>
    <t>17-09-1970</t>
  </si>
  <si>
    <t>ELEKTRONIKA</t>
  </si>
  <si>
    <t>14053.006.1001.376</t>
  </si>
  <si>
    <t>24-03-1967</t>
  </si>
  <si>
    <t>14053.003.1001.379</t>
  </si>
  <si>
    <t>25-11-1966</t>
  </si>
  <si>
    <t>14053.002.1001.385</t>
  </si>
  <si>
    <t>15-11-1995</t>
  </si>
  <si>
    <t>14053.002.1001.386</t>
  </si>
  <si>
    <t>20-01-2001</t>
  </si>
  <si>
    <t>14053.002.1001.387</t>
  </si>
  <si>
    <t>07-02-1969</t>
  </si>
  <si>
    <t>14053.003.1001.389</t>
  </si>
  <si>
    <t>27-09-1967</t>
  </si>
  <si>
    <t>PENSIUNAN GURU SMAK</t>
  </si>
  <si>
    <t>14053.001.1001.393</t>
  </si>
  <si>
    <t>05-07-1960</t>
  </si>
  <si>
    <t>14053.006.1001.397</t>
  </si>
  <si>
    <t>23-04-1975</t>
  </si>
  <si>
    <t>CU MAKMUR</t>
  </si>
  <si>
    <t>14053.001.1001.400</t>
  </si>
  <si>
    <t>02-02-1976</t>
  </si>
  <si>
    <t>Sopir</t>
  </si>
  <si>
    <t>14053.001.1001.402</t>
  </si>
  <si>
    <t>21-08-1980</t>
  </si>
  <si>
    <t>KEDAI MAKANAN DAN MINUMAN</t>
  </si>
  <si>
    <t>14053.001.1001.403</t>
  </si>
  <si>
    <t>28-08-1964</t>
  </si>
  <si>
    <t>JASA PERSEWAAN BAJU ADAT</t>
  </si>
  <si>
    <t>01-07-1972</t>
  </si>
  <si>
    <t>14053.003.1001.406</t>
  </si>
  <si>
    <t>04-08-1966</t>
  </si>
  <si>
    <t>14053.003.1001.411</t>
  </si>
  <si>
    <t>24-11-1970</t>
  </si>
  <si>
    <t>14053.001.1001.414</t>
  </si>
  <si>
    <t>06-05-1969</t>
  </si>
  <si>
    <t>14053.001.1001.415</t>
  </si>
  <si>
    <t>24-07-1966</t>
  </si>
  <si>
    <t>14053.002.1001.417</t>
  </si>
  <si>
    <t>11-09-1984</t>
  </si>
  <si>
    <t>14053.001.1001.419</t>
  </si>
  <si>
    <t>28-06-1980</t>
  </si>
  <si>
    <t>14053.003.1001.420</t>
  </si>
  <si>
    <t>23-02-1987</t>
  </si>
  <si>
    <t>SENTRAL YAMAHA</t>
  </si>
  <si>
    <t>14053.006.1001.421</t>
  </si>
  <si>
    <t>31-12-1957</t>
  </si>
  <si>
    <t>22-10-1967</t>
  </si>
  <si>
    <t>14053.006.1001.424</t>
  </si>
  <si>
    <t>17-07-1964</t>
  </si>
  <si>
    <t>14053.006.1001.426</t>
  </si>
  <si>
    <t>18-01-1979</t>
  </si>
  <si>
    <t>14053.003.1001.429</t>
  </si>
  <si>
    <t>18-10-1984</t>
  </si>
  <si>
    <t>14053.002.1001.432</t>
  </si>
  <si>
    <t>09-11-1974</t>
  </si>
  <si>
    <t>14053.006.1001.433</t>
  </si>
  <si>
    <t>04-02-1971</t>
  </si>
  <si>
    <t>SERAYU JAYA MANDIRI</t>
  </si>
  <si>
    <t>13-01-1974</t>
  </si>
  <si>
    <t>14053.002.1001.437</t>
  </si>
  <si>
    <t>12-03-1965</t>
  </si>
  <si>
    <t>14053.001.1001.439</t>
  </si>
  <si>
    <t>20-10-1970</t>
  </si>
  <si>
    <t>14053.001.1001.440</t>
  </si>
  <si>
    <t>15-03-1985</t>
  </si>
  <si>
    <t>14053.001.1001.441</t>
  </si>
  <si>
    <t>26-07-1984</t>
  </si>
  <si>
    <t>FARMASI</t>
  </si>
  <si>
    <t>APOTEK PROBOLINGGO</t>
  </si>
  <si>
    <t>14053.005.1001.442</t>
  </si>
  <si>
    <t>23-03-1982</t>
  </si>
  <si>
    <t>14053.001.1001.448</t>
  </si>
  <si>
    <t>15-01-1976</t>
  </si>
  <si>
    <t>01-01-1966</t>
  </si>
  <si>
    <t>14053.001.1001.455</t>
  </si>
  <si>
    <t>12-05-1955</t>
  </si>
  <si>
    <t>14053.001.1001.457</t>
  </si>
  <si>
    <t>02-08-1983</t>
  </si>
  <si>
    <t>TOKO SEMBAKO</t>
  </si>
  <si>
    <t>01-08-1977</t>
  </si>
  <si>
    <t>14053.002.1001.459</t>
  </si>
  <si>
    <t>10-07-1975</t>
  </si>
  <si>
    <t>SDN JARIURIP II</t>
  </si>
  <si>
    <t>14053.001.1001.460</t>
  </si>
  <si>
    <t>12-02-1972</t>
  </si>
  <si>
    <t>INDUSTRI TAS</t>
  </si>
  <si>
    <t>IN PROMO</t>
  </si>
  <si>
    <t>14053.001.1001.461</t>
  </si>
  <si>
    <t>27-02-1966</t>
  </si>
  <si>
    <t>Apoteker</t>
  </si>
  <si>
    <t>APOTEKER</t>
  </si>
  <si>
    <t>14053.001.1001.462</t>
  </si>
  <si>
    <t>03-03-1972</t>
  </si>
  <si>
    <t>14053.003.1001.464</t>
  </si>
  <si>
    <t>29-05-1969</t>
  </si>
  <si>
    <t>14053.001.1001.466</t>
  </si>
  <si>
    <t>14053.001.1001.467</t>
  </si>
  <si>
    <t>04-09-1995</t>
  </si>
  <si>
    <t>14053.002.1001.471</t>
  </si>
  <si>
    <t>27-08-1972</t>
  </si>
  <si>
    <t>14053.003.1001.473</t>
  </si>
  <si>
    <t>12-01-1963</t>
  </si>
  <si>
    <t>PENJAHIT</t>
  </si>
  <si>
    <t>14053.003.1001.475</t>
  </si>
  <si>
    <t>14-04-1982</t>
  </si>
  <si>
    <t>14053.003.1001.476</t>
  </si>
  <si>
    <t>28-01-1965</t>
  </si>
  <si>
    <t>14053.003.1001.478</t>
  </si>
  <si>
    <t>30-12-1975</t>
  </si>
  <si>
    <t>14053.006.1001.480</t>
  </si>
  <si>
    <t>19-01-1964</t>
  </si>
  <si>
    <t>14053.001.1001.490</t>
  </si>
  <si>
    <t>01-12-1941</t>
  </si>
  <si>
    <t>14053.001.1001.491</t>
  </si>
  <si>
    <t>03-02-1977</t>
  </si>
  <si>
    <t>INDUSTRI MAKANAN</t>
  </si>
  <si>
    <t>PT SASA INTI</t>
  </si>
  <si>
    <t>14053.001.1001.492</t>
  </si>
  <si>
    <t>25-06-1979</t>
  </si>
  <si>
    <t>14053.003.1001.494</t>
  </si>
  <si>
    <t>15-12-1999</t>
  </si>
  <si>
    <t>UNIVERSITAS JEMBER</t>
  </si>
  <si>
    <t>14053.003.1001.495</t>
  </si>
  <si>
    <t>14053.003.1001.496</t>
  </si>
  <si>
    <t>31-12-2006</t>
  </si>
  <si>
    <t>14053.003.1001.503</t>
  </si>
  <si>
    <t>21-04-1956</t>
  </si>
  <si>
    <t>14053.005.1001.505</t>
  </si>
  <si>
    <t>03-08-1977</t>
  </si>
  <si>
    <t>Perdagangan</t>
  </si>
  <si>
    <t>TOKO KUE SEMERU</t>
  </si>
  <si>
    <t>15-09-1974</t>
  </si>
  <si>
    <t>14053.001.1001.509</t>
  </si>
  <si>
    <t>26-02-1984</t>
  </si>
  <si>
    <t>DINAS PERTANIAN</t>
  </si>
  <si>
    <t>14053.001.1001.515</t>
  </si>
  <si>
    <t>10-03-2006</t>
  </si>
  <si>
    <t>14053.002.1001.520</t>
  </si>
  <si>
    <t>11-06-1955</t>
  </si>
  <si>
    <t>JAGAL KAMBING</t>
  </si>
  <si>
    <t>14053.001.1001.523</t>
  </si>
  <si>
    <t>16-10-1965</t>
  </si>
  <si>
    <t>14053.002.1001.533</t>
  </si>
  <si>
    <t>03-05-1979</t>
  </si>
  <si>
    <t>TOKO ATK, FOTOKOPI, DAN PERCETAKAN</t>
  </si>
  <si>
    <t>14053.001.1001.534</t>
  </si>
  <si>
    <t>11-09-1962</t>
  </si>
  <si>
    <t>14053.002.1001.535</t>
  </si>
  <si>
    <t>22-11-1956</t>
  </si>
  <si>
    <t>TOKO CERMIN</t>
  </si>
  <si>
    <t>14053.001.1001.536</t>
  </si>
  <si>
    <t>13-10-1973</t>
  </si>
  <si>
    <t>TATA USAHA SEKOLAH</t>
  </si>
  <si>
    <t>SMK NEGRI 2</t>
  </si>
  <si>
    <t>14053.001.1001.539</t>
  </si>
  <si>
    <t>14053.003.1001.541</t>
  </si>
  <si>
    <t>12-02-1952</t>
  </si>
  <si>
    <t>14053.006.1001.546</t>
  </si>
  <si>
    <t>JUAL ALAT LISTRIK</t>
  </si>
  <si>
    <t>14053.001.1001.553</t>
  </si>
  <si>
    <t>10-04-1962</t>
  </si>
  <si>
    <t>14053.001.1001.554</t>
  </si>
  <si>
    <t>10-05-1986</t>
  </si>
  <si>
    <t>14053.001.1001.555</t>
  </si>
  <si>
    <t>05-12-1965</t>
  </si>
  <si>
    <t>14053.003.1001.556</t>
  </si>
  <si>
    <t>10-04-1969</t>
  </si>
  <si>
    <t>14053.002.1001.559</t>
  </si>
  <si>
    <t>21-12-1975</t>
  </si>
  <si>
    <t>WIWIK WARTEG</t>
  </si>
  <si>
    <t>14053.002.1001.560</t>
  </si>
  <si>
    <t>16-04-1959</t>
  </si>
  <si>
    <t>14053.001.1001.564</t>
  </si>
  <si>
    <t>20-02-1971</t>
  </si>
  <si>
    <t>DEALER KENDARAAN</t>
  </si>
  <si>
    <t>DEALER YAMAHA</t>
  </si>
  <si>
    <t>14053.002.1001.566</t>
  </si>
  <si>
    <t>02-02-1969</t>
  </si>
  <si>
    <t>14053.001.1001.571</t>
  </si>
  <si>
    <t>17-09-1984</t>
  </si>
  <si>
    <t>07-05-1981</t>
  </si>
  <si>
    <t>14053.001.1001.575</t>
  </si>
  <si>
    <t>18-07-1977</t>
  </si>
  <si>
    <t>14053.001.1001.576</t>
  </si>
  <si>
    <t>16-05-1968</t>
  </si>
  <si>
    <t>PT SINARMAS</t>
  </si>
  <si>
    <t>14053.001.1001.577</t>
  </si>
  <si>
    <t>TK TAMAN INDRIA</t>
  </si>
  <si>
    <t>14053.002.1001.582</t>
  </si>
  <si>
    <t>20-01-1960</t>
  </si>
  <si>
    <t>06-05-1953</t>
  </si>
  <si>
    <t>14053.003.1001.596</t>
  </si>
  <si>
    <t>20-06-1967</t>
  </si>
  <si>
    <t>16-03-1963</t>
  </si>
  <si>
    <t>28-05-1959</t>
  </si>
  <si>
    <t>14053.006.1001.607</t>
  </si>
  <si>
    <t>10-11-1958</t>
  </si>
  <si>
    <t>Mekanik</t>
  </si>
  <si>
    <t>LISTRIK</t>
  </si>
  <si>
    <t>14053.006.1001.611</t>
  </si>
  <si>
    <t>14053.001.1001.614</t>
  </si>
  <si>
    <t>04-12-1984</t>
  </si>
  <si>
    <t>14053.002.1001.618</t>
  </si>
  <si>
    <t>10-11-1960</t>
  </si>
  <si>
    <t>TOKO PRACANGAN</t>
  </si>
  <si>
    <t>14053.006.1001.620</t>
  </si>
  <si>
    <t>04-07-1950</t>
  </si>
  <si>
    <t>SDN GELANGAN 2 MAGELANG</t>
  </si>
  <si>
    <t>14053.003.1001.622</t>
  </si>
  <si>
    <t>28-04-1964</t>
  </si>
  <si>
    <t>14053.001.1001.625</t>
  </si>
  <si>
    <t>24-04-1969</t>
  </si>
  <si>
    <t>KIOS PERTANIAN</t>
  </si>
  <si>
    <t>14053.001.1001.628</t>
  </si>
  <si>
    <t>01-07-1964</t>
  </si>
  <si>
    <t>Tukang Batu</t>
  </si>
  <si>
    <t>PEKERJA SEKTOR INFORMAL</t>
  </si>
  <si>
    <t>TUKANG BANGUNAN</t>
  </si>
  <si>
    <t>14053.003.1001.629</t>
  </si>
  <si>
    <t>11-09-1951</t>
  </si>
  <si>
    <t>14053.002.1001.632</t>
  </si>
  <si>
    <t>10-11-1952</t>
  </si>
  <si>
    <t>14053.003.1001.635</t>
  </si>
  <si>
    <t>15-04-1965</t>
  </si>
  <si>
    <t>SATPAM</t>
  </si>
  <si>
    <t>TK PERTIWI</t>
  </si>
  <si>
    <t>14053.001.1001.638</t>
  </si>
  <si>
    <t>25-07-1957</t>
  </si>
  <si>
    <t>ANGKRINGAN TAHU CAMPUR</t>
  </si>
  <si>
    <t>14053.001.1001.647</t>
  </si>
  <si>
    <t>20-09-1968</t>
  </si>
  <si>
    <t>TAMAN SISWA</t>
  </si>
  <si>
    <t>14053.003.1001.648</t>
  </si>
  <si>
    <t>11-05-1972</t>
  </si>
  <si>
    <t>14053.002.1001.650</t>
  </si>
  <si>
    <t>19-02-1983</t>
  </si>
  <si>
    <t>P3K</t>
  </si>
  <si>
    <t>SDN KARANGDAMPIT</t>
  </si>
  <si>
    <t>14053.001.1001.651</t>
  </si>
  <si>
    <t>26-01-1956</t>
  </si>
  <si>
    <t>14053.006.1001.654</t>
  </si>
  <si>
    <t>30-07-1994</t>
  </si>
  <si>
    <t>14053.001.1001.655</t>
  </si>
  <si>
    <t>19-12-1952</t>
  </si>
  <si>
    <t>14053.003.1001.658</t>
  </si>
  <si>
    <t>13-06-1966</t>
  </si>
  <si>
    <t>14053.006.1001.659</t>
  </si>
  <si>
    <t>23-04-1966</t>
  </si>
  <si>
    <t>WARUNG MAKAN</t>
  </si>
  <si>
    <t>14053.006.1001.663</t>
  </si>
  <si>
    <t>23-01-1994</t>
  </si>
  <si>
    <t>MATAHARI</t>
  </si>
  <si>
    <t>14053.001.1001.665</t>
  </si>
  <si>
    <t>RAHAYU</t>
  </si>
  <si>
    <t>14053.002.1001.666</t>
  </si>
  <si>
    <t>19-03-1968</t>
  </si>
  <si>
    <t>14053.002.1001.668</t>
  </si>
  <si>
    <t>07-12-1997</t>
  </si>
  <si>
    <t>14053.001.1001.670</t>
  </si>
  <si>
    <t>12-04-1956</t>
  </si>
  <si>
    <t>14053.006.1001.673</t>
  </si>
  <si>
    <t>22-12-1958</t>
  </si>
  <si>
    <t>14053.001.1001.674</t>
  </si>
  <si>
    <t>01-07-1952</t>
  </si>
  <si>
    <t>JASA PIJAT</t>
  </si>
  <si>
    <t>TUKANG PIJAT</t>
  </si>
  <si>
    <t>14053.001.1001.680</t>
  </si>
  <si>
    <t>26-05-1986</t>
  </si>
  <si>
    <t>HONORER DISPERINDANG</t>
  </si>
  <si>
    <t>14053.002.1001.681</t>
  </si>
  <si>
    <t>05-03-1968</t>
  </si>
  <si>
    <t>14053.001.1001.682</t>
  </si>
  <si>
    <t>15-12-1973</t>
  </si>
  <si>
    <t>DINAS CAPIL</t>
  </si>
  <si>
    <t>14053.003.1001.683</t>
  </si>
  <si>
    <t>07-09-1996</t>
  </si>
  <si>
    <t>14053.001.1001.684</t>
  </si>
  <si>
    <t>22-12-1964</t>
  </si>
  <si>
    <t>14053.002.1001.686</t>
  </si>
  <si>
    <t>04-06-1960</t>
  </si>
  <si>
    <t>14053.002.1001.687</t>
  </si>
  <si>
    <t>15-08-1969</t>
  </si>
  <si>
    <t>14053.003.1001.688</t>
  </si>
  <si>
    <t>22-05-1962</t>
  </si>
  <si>
    <t>14053.002.1001.689</t>
  </si>
  <si>
    <t>08-07-1975</t>
  </si>
  <si>
    <t>14053.003.1001.694</t>
  </si>
  <si>
    <t>22-08-1965</t>
  </si>
  <si>
    <t>14053.003.1001.695</t>
  </si>
  <si>
    <t>27-03-2001</t>
  </si>
  <si>
    <t>14053.001.1001.696</t>
  </si>
  <si>
    <t>27-03-1960</t>
  </si>
  <si>
    <t>14053.005.1001.699</t>
  </si>
  <si>
    <t>10-05-1964</t>
  </si>
  <si>
    <t>DINAS SOSIAL</t>
  </si>
  <si>
    <t>14053.005.1001.700</t>
  </si>
  <si>
    <t>04-12-1967</t>
  </si>
  <si>
    <t>SMAK ST YUSUP</t>
  </si>
  <si>
    <t>14053.005.1001.703</t>
  </si>
  <si>
    <t>09-06-1969</t>
  </si>
  <si>
    <t xml:space="preserve">SMP SANTO YUSUP </t>
  </si>
  <si>
    <t>14053.001.1001.707</t>
  </si>
  <si>
    <t>02-03-1973</t>
  </si>
  <si>
    <t>28-08-1983</t>
  </si>
  <si>
    <t>14053.002.1001.712</t>
  </si>
  <si>
    <t>03-05-1969</t>
  </si>
  <si>
    <t>14053.003.1001.719</t>
  </si>
  <si>
    <t>06-07-1967</t>
  </si>
  <si>
    <t>14053.006.1001.724</t>
  </si>
  <si>
    <t>03-03-1963</t>
  </si>
  <si>
    <t>14053.001.1001.725</t>
  </si>
  <si>
    <t>14-07-1982</t>
  </si>
  <si>
    <t>14053.002.1001.727</t>
  </si>
  <si>
    <t>01-01-1980</t>
  </si>
  <si>
    <t>RSUD WALUYO JATI</t>
  </si>
  <si>
    <t>14053.001.1001.730</t>
  </si>
  <si>
    <t>14-04-1969</t>
  </si>
  <si>
    <t>LAUNDRY DAN WARNET</t>
  </si>
  <si>
    <t>14053.003.1001.732</t>
  </si>
  <si>
    <t>04-11-1953</t>
  </si>
  <si>
    <t>24-12-1981</t>
  </si>
  <si>
    <t>PABRIK KAYU</t>
  </si>
  <si>
    <t>PT KTI</t>
  </si>
  <si>
    <t>19-09-1978</t>
  </si>
  <si>
    <t>SMKN 2 KRAKSAAN</t>
  </si>
  <si>
    <t>14053.003.1001.742</t>
  </si>
  <si>
    <t>26-09-1963</t>
  </si>
  <si>
    <t>14053.002.1001.743</t>
  </si>
  <si>
    <t>14-06-1974</t>
  </si>
  <si>
    <t>14053.006.1001.744</t>
  </si>
  <si>
    <t>01-02-1950</t>
  </si>
  <si>
    <t>14053.001.1001.745</t>
  </si>
  <si>
    <t>MEDICAL</t>
  </si>
  <si>
    <t>APOTIK SUROPATI</t>
  </si>
  <si>
    <t>14053.001.1001.757</t>
  </si>
  <si>
    <t>29-10-1964</t>
  </si>
  <si>
    <t>ABROBISNIS</t>
  </si>
  <si>
    <t>19-08-1972</t>
  </si>
  <si>
    <t>14053.006.1001.765</t>
  </si>
  <si>
    <t>07-06-1979</t>
  </si>
  <si>
    <t>14053.001.1001.769</t>
  </si>
  <si>
    <t>14-12-1958</t>
  </si>
  <si>
    <t>14053.006.1001.770</t>
  </si>
  <si>
    <t>15-08-1964</t>
  </si>
  <si>
    <t>14053.001.1001.771</t>
  </si>
  <si>
    <t>28-09-1987</t>
  </si>
  <si>
    <t>PU (PEKERJAAN UMUM)</t>
  </si>
  <si>
    <t>DPU PENGAIRAN</t>
  </si>
  <si>
    <t>14053.003.1001.772</t>
  </si>
  <si>
    <t>25-11-1979</t>
  </si>
  <si>
    <t>14053.002.1001.773</t>
  </si>
  <si>
    <t>14-02-1980</t>
  </si>
  <si>
    <t>14053.002.1001.774</t>
  </si>
  <si>
    <t>16-12-1958</t>
  </si>
  <si>
    <t>14053.001.1001.779</t>
  </si>
  <si>
    <t>15-11-1960</t>
  </si>
  <si>
    <t>14053.003.1001.781</t>
  </si>
  <si>
    <t>25-05-1975</t>
  </si>
  <si>
    <t>14053.001.1001.785</t>
  </si>
  <si>
    <t>01-12-1973</t>
  </si>
  <si>
    <t>14053.003.1001.791</t>
  </si>
  <si>
    <t>25-07-1980</t>
  </si>
  <si>
    <t>14053.001.1001.792</t>
  </si>
  <si>
    <t>16-06-1967</t>
  </si>
  <si>
    <t>HANDYCRAFT</t>
  </si>
  <si>
    <t>bunda qoe ACC</t>
  </si>
  <si>
    <t>14053.005.1001.801</t>
  </si>
  <si>
    <t>03-03-1971</t>
  </si>
  <si>
    <t>PABRIK</t>
  </si>
  <si>
    <t xml:space="preserve">PT TJIWI KIMIA </t>
  </si>
  <si>
    <t>14053.005.1001.802</t>
  </si>
  <si>
    <t>11-02-2000</t>
  </si>
  <si>
    <t xml:space="preserve">PT GUDANG GARAM </t>
  </si>
  <si>
    <t>14053.003.1001.805</t>
  </si>
  <si>
    <t>14053.002.1001.806</t>
  </si>
  <si>
    <t>09-04-1986</t>
  </si>
  <si>
    <t>14053.006.1001.807</t>
  </si>
  <si>
    <t>18-06-1956</t>
  </si>
  <si>
    <t>14053.006.1001.808</t>
  </si>
  <si>
    <t>20-10-1977</t>
  </si>
  <si>
    <t>14053.003.1001.809</t>
  </si>
  <si>
    <t>01-01-1989</t>
  </si>
  <si>
    <t>14053.002.1001.810</t>
  </si>
  <si>
    <t>14053.006.1001.813</t>
  </si>
  <si>
    <t>17-03-1960</t>
  </si>
  <si>
    <t>16-08-1976</t>
  </si>
  <si>
    <t>14053.003.1001.818</t>
  </si>
  <si>
    <t>08-11-1947</t>
  </si>
  <si>
    <t>14053.005.1001.821</t>
  </si>
  <si>
    <t>27-12-1974</t>
  </si>
  <si>
    <t>SD TARUNA NUSA HARAPAN</t>
  </si>
  <si>
    <t>14053.005.1001.822</t>
  </si>
  <si>
    <t>22-07-1972</t>
  </si>
  <si>
    <t>JUAL JAMU</t>
  </si>
  <si>
    <t>14053.001.1001.825</t>
  </si>
  <si>
    <t>14053.006.1001.828</t>
  </si>
  <si>
    <t>11-06-1962</t>
  </si>
  <si>
    <t>14053.002.1001.829</t>
  </si>
  <si>
    <t>09-02-1974</t>
  </si>
  <si>
    <t>14053.001.1001.831</t>
  </si>
  <si>
    <t>01-04-1977</t>
  </si>
  <si>
    <t>14053.003.1001.832</t>
  </si>
  <si>
    <t>21-06-1944</t>
  </si>
  <si>
    <t>14053.002.1001.834</t>
  </si>
  <si>
    <t>18-03-1980</t>
  </si>
  <si>
    <t>14053.003.1001.838</t>
  </si>
  <si>
    <t>08-07-1960</t>
  </si>
  <si>
    <t>14053.003.1001.839</t>
  </si>
  <si>
    <t>05-01-1957</t>
  </si>
  <si>
    <t>14053.003.1001.841</t>
  </si>
  <si>
    <t>02-07-1977</t>
  </si>
  <si>
    <t>14053.003.1001.842</t>
  </si>
  <si>
    <t>13-06-1971</t>
  </si>
  <si>
    <t>14053.003.1001.843</t>
  </si>
  <si>
    <t>08-03-1967</t>
  </si>
  <si>
    <t>14053.003.1001.844</t>
  </si>
  <si>
    <t>08-08-2007</t>
  </si>
  <si>
    <t>14053.001.1001.848</t>
  </si>
  <si>
    <t>14053.003.1001.850</t>
  </si>
  <si>
    <t>25-03-1946</t>
  </si>
  <si>
    <t>14053.006.1001.852</t>
  </si>
  <si>
    <t>06-01-1958</t>
  </si>
  <si>
    <t>14053.001.1001.855</t>
  </si>
  <si>
    <t>28-01-1976</t>
  </si>
  <si>
    <t>14053.002.1001.860</t>
  </si>
  <si>
    <t>27-02-1972</t>
  </si>
  <si>
    <t>14053.002.1001.861</t>
  </si>
  <si>
    <t>09-06-1978</t>
  </si>
  <si>
    <t>27-08-1962</t>
  </si>
  <si>
    <t>14053.002.1001.865</t>
  </si>
  <si>
    <t>12-06-1936</t>
  </si>
  <si>
    <t>14053.006.1001.866</t>
  </si>
  <si>
    <t>28-06-1961</t>
  </si>
  <si>
    <t>BIRO TEKNIK LISTRIK</t>
  </si>
  <si>
    <t>14053.003.1001.867</t>
  </si>
  <si>
    <t>20-10-1954</t>
  </si>
  <si>
    <t>14053.003.1001.868</t>
  </si>
  <si>
    <t>01-05-1979</t>
  </si>
  <si>
    <t>14053.003.1001.870</t>
  </si>
  <si>
    <t>03-12-1961</t>
  </si>
  <si>
    <t>14053.003.1001.871</t>
  </si>
  <si>
    <t>05-12-1971</t>
  </si>
  <si>
    <t>14053.002.1001.872</t>
  </si>
  <si>
    <t>24-07-1974</t>
  </si>
  <si>
    <t>14053.006.1001.873</t>
  </si>
  <si>
    <t>23-06-1957</t>
  </si>
  <si>
    <t>14053.003.1001.875</t>
  </si>
  <si>
    <t>25-12-1981</t>
  </si>
  <si>
    <t>TINS HIDROPONIK</t>
  </si>
  <si>
    <t>14053.002.1001.877</t>
  </si>
  <si>
    <t>14053.001.1001.878</t>
  </si>
  <si>
    <t>05-10-1956</t>
  </si>
  <si>
    <t>PURNAWIRAWAN</t>
  </si>
  <si>
    <t>14053.002.1001.880</t>
  </si>
  <si>
    <t>04-09-1974</t>
  </si>
  <si>
    <t>SMPN 1 PAITON</t>
  </si>
  <si>
    <t>14053.001.1001.885</t>
  </si>
  <si>
    <t>19-01-1969</t>
  </si>
  <si>
    <t>LEVYN SNACK</t>
  </si>
  <si>
    <t>14053.001.1001.886</t>
  </si>
  <si>
    <t>30-04-1982</t>
  </si>
  <si>
    <t>14053.006.1001.888</t>
  </si>
  <si>
    <t>10-12-1976</t>
  </si>
  <si>
    <t>USAHA JASA PEMBORONG</t>
  </si>
  <si>
    <t>14053.006.1001.889</t>
  </si>
  <si>
    <t>08-02-2007</t>
  </si>
  <si>
    <t>14053.001.1001.890</t>
  </si>
  <si>
    <t>30-08-1981</t>
  </si>
  <si>
    <t>14053.003.1001.891</t>
  </si>
  <si>
    <t>17-06-1979</t>
  </si>
  <si>
    <t>14053.003.1001.892</t>
  </si>
  <si>
    <t>13-12-1946</t>
  </si>
  <si>
    <t>14053.004.1001.895</t>
  </si>
  <si>
    <t>BANYUWANGI</t>
  </si>
  <si>
    <t>13-02-1980</t>
  </si>
  <si>
    <t>SMKN 4 TANGERANG SELATAN</t>
  </si>
  <si>
    <t>14053.004.1001.896</t>
  </si>
  <si>
    <t>12-12-1958</t>
  </si>
  <si>
    <t>SDK SANTA MARIA</t>
  </si>
  <si>
    <t>14053.004.1001.897</t>
  </si>
  <si>
    <t>01-04-1978</t>
  </si>
  <si>
    <t>14053.004.1001.898</t>
  </si>
  <si>
    <t>08-10-1956</t>
  </si>
  <si>
    <t>14053.004.1001.899</t>
  </si>
  <si>
    <t>14-02-1982</t>
  </si>
  <si>
    <t>TKK SANTA MARIA</t>
  </si>
  <si>
    <t>14053.004.1001.901</t>
  </si>
  <si>
    <t>20-12-1971</t>
  </si>
  <si>
    <t>14053.004.1001.902</t>
  </si>
  <si>
    <t>04-10-1976</t>
  </si>
  <si>
    <t>14053.004.1001.903</t>
  </si>
  <si>
    <t>30-12-1949</t>
  </si>
  <si>
    <t>DISTRIBUTOR</t>
  </si>
  <si>
    <t>BIR BINTANG</t>
  </si>
  <si>
    <t>14053.004.1001.905</t>
  </si>
  <si>
    <t>04-04-1951</t>
  </si>
  <si>
    <t>14053.004.1001.908</t>
  </si>
  <si>
    <t>13-07-1965</t>
  </si>
  <si>
    <t>14053.004.1001.910</t>
  </si>
  <si>
    <t>16-09-1963</t>
  </si>
  <si>
    <t>SMAK HIKMAH MANDALA</t>
  </si>
  <si>
    <t>14053.004.1001.916</t>
  </si>
  <si>
    <t>03-04-1970</t>
  </si>
  <si>
    <t>14053.004.1001.918</t>
  </si>
  <si>
    <t>03-07-1973</t>
  </si>
  <si>
    <t>14053.004.1001.919</t>
  </si>
  <si>
    <t>09-09-1969</t>
  </si>
  <si>
    <t>KESUSTERAN SPM</t>
  </si>
  <si>
    <t>14053.004.1001.920</t>
  </si>
  <si>
    <t>20-07-1968</t>
  </si>
  <si>
    <t>Juru Masak</t>
  </si>
  <si>
    <t>KESUSTERAN SPM BANYUWANGI</t>
  </si>
  <si>
    <t>14053.004.1001.921</t>
  </si>
  <si>
    <t>14053.004.1001.923</t>
  </si>
  <si>
    <t>27-03-1955</t>
  </si>
  <si>
    <t>SDK BHAKTI</t>
  </si>
  <si>
    <t>14053.004.1001.933</t>
  </si>
  <si>
    <t>12-08-1968</t>
  </si>
  <si>
    <t>ONLINE SHOP</t>
  </si>
  <si>
    <t>14053.004.1001.935</t>
  </si>
  <si>
    <t>30-06-1958</t>
  </si>
  <si>
    <t>BERSIH BERSIH</t>
  </si>
  <si>
    <t>ASRAMA SUSTERAN SPM</t>
  </si>
  <si>
    <t>14053.004.1001.936</t>
  </si>
  <si>
    <t>26-12-1960</t>
  </si>
  <si>
    <t>14053.004.1001.939</t>
  </si>
  <si>
    <t>09-10-1955</t>
  </si>
  <si>
    <t>14053.004.1001.940</t>
  </si>
  <si>
    <t>29-05-1965</t>
  </si>
  <si>
    <t>14053.004.1001.942</t>
  </si>
  <si>
    <t>10-01-1957</t>
  </si>
  <si>
    <t>14053.004.1001.945</t>
  </si>
  <si>
    <t>09-08-1971</t>
  </si>
  <si>
    <t>kulner</t>
  </si>
  <si>
    <t>14053.004.1001.946</t>
  </si>
  <si>
    <t>22-09-1967</t>
  </si>
  <si>
    <t>JUAL NASI KUNING</t>
  </si>
  <si>
    <t>14053.004.1001.949</t>
  </si>
  <si>
    <t>09-06-1980</t>
  </si>
  <si>
    <t>14053.004.1001.951</t>
  </si>
  <si>
    <t>17-04-1969</t>
  </si>
  <si>
    <t>14053.004.1001.952</t>
  </si>
  <si>
    <t>17-06-1967</t>
  </si>
  <si>
    <t>BIDAN</t>
  </si>
  <si>
    <t>PUSKESMAS SINGONEGARAN</t>
  </si>
  <si>
    <t>14053.004.1001.957</t>
  </si>
  <si>
    <t>29-09-1949</t>
  </si>
  <si>
    <t>14053.004.1001.958</t>
  </si>
  <si>
    <t>16-09-1982</t>
  </si>
  <si>
    <t>DOSEN</t>
  </si>
  <si>
    <t>UNIVERSITAS 17 AGUSTUS BANYUWANGI</t>
  </si>
  <si>
    <t>PT RADIO SUARA MANDALA</t>
  </si>
  <si>
    <t>14053.004.1001.963</t>
  </si>
  <si>
    <t>19-06-1962</t>
  </si>
  <si>
    <t>14053.004.1001.964</t>
  </si>
  <si>
    <t>10-04-1959</t>
  </si>
  <si>
    <t>14053.004.1001.969</t>
  </si>
  <si>
    <t>04-08-1956</t>
  </si>
  <si>
    <t>14053.004.1001.972</t>
  </si>
  <si>
    <t>11-12-1945</t>
  </si>
  <si>
    <t>14053.004.1001.974</t>
  </si>
  <si>
    <t>10-03-2000</t>
  </si>
  <si>
    <t>14053.004.1001.975</t>
  </si>
  <si>
    <t>21-08-1961</t>
  </si>
  <si>
    <t>14053.004.1001.976</t>
  </si>
  <si>
    <t>12-12-1975</t>
  </si>
  <si>
    <t>14053.004.1001.981</t>
  </si>
  <si>
    <t>09-09-1960</t>
  </si>
  <si>
    <t xml:space="preserve">TOKO KUE </t>
  </si>
  <si>
    <t>OLEH OLEH SERLY</t>
  </si>
  <si>
    <t>14053.001.1001.992</t>
  </si>
  <si>
    <t>03-08-1972</t>
  </si>
  <si>
    <t>14053.004.1001.993</t>
  </si>
  <si>
    <t>SDK GENTENG</t>
  </si>
  <si>
    <t>14053.004.1001.994</t>
  </si>
  <si>
    <t>24-06-1978</t>
  </si>
  <si>
    <t>SDK BUDI LUHUR</t>
  </si>
  <si>
    <t>14053.004.1001.999</t>
  </si>
  <si>
    <t>08-08-1970</t>
  </si>
  <si>
    <t>SMPK SILIRAGUNG</t>
  </si>
  <si>
    <t>14053.004.1002.003</t>
  </si>
  <si>
    <t>01-07-1963</t>
  </si>
  <si>
    <t>14053.002.1002.008</t>
  </si>
  <si>
    <t>11-05-1976</t>
  </si>
  <si>
    <t>PUSKESMAS KRAKSAAN</t>
  </si>
  <si>
    <t>14053.001.1002.009</t>
  </si>
  <si>
    <t>24-03-1959</t>
  </si>
  <si>
    <t>PEDAGANG BAKSO</t>
  </si>
  <si>
    <t>14053.005.1002.011</t>
  </si>
  <si>
    <t>30-10-1975</t>
  </si>
  <si>
    <t>14053.001.1002.014</t>
  </si>
  <si>
    <t>10-07-1977</t>
  </si>
  <si>
    <t>14053.001.1002.015</t>
  </si>
  <si>
    <t>14-08-1966</t>
  </si>
  <si>
    <t>HERBALIFE</t>
  </si>
  <si>
    <t>14053.003.1002.022</t>
  </si>
  <si>
    <t>18-02-1986</t>
  </si>
  <si>
    <t>14053.002.1002.026</t>
  </si>
  <si>
    <t>25-03-1971</t>
  </si>
  <si>
    <t>14053.006.1002.027</t>
  </si>
  <si>
    <t>03-05-1973</t>
  </si>
  <si>
    <t>TK STAR KID</t>
  </si>
  <si>
    <t>17-08-1963</t>
  </si>
  <si>
    <t>14053.003.1002.034</t>
  </si>
  <si>
    <t>28-10-1983</t>
  </si>
  <si>
    <t>14053.003.1002.035</t>
  </si>
  <si>
    <t>28-08-1959</t>
  </si>
  <si>
    <t>14053.003.1002.036</t>
  </si>
  <si>
    <t>03-11-1954</t>
  </si>
  <si>
    <t>14053.003.1002.037</t>
  </si>
  <si>
    <t>24-01-1977</t>
  </si>
  <si>
    <t>01-07-1962</t>
  </si>
  <si>
    <t>14053.002.1002.046</t>
  </si>
  <si>
    <t>21-08-1979</t>
  </si>
  <si>
    <t>PRIVAT SD</t>
  </si>
  <si>
    <t>20-04-1981</t>
  </si>
  <si>
    <t>14053.003.1002.049</t>
  </si>
  <si>
    <t>13-05-1970</t>
  </si>
  <si>
    <t>14053.006.1002.052</t>
  </si>
  <si>
    <t>20-09-2004</t>
  </si>
  <si>
    <t>14053.003.1002.053</t>
  </si>
  <si>
    <t>05-12-1973</t>
  </si>
  <si>
    <t>14053.003.1002.055</t>
  </si>
  <si>
    <t>21-01-1980</t>
  </si>
  <si>
    <t>14053.001.1002.060</t>
  </si>
  <si>
    <t>22-08-1971</t>
  </si>
  <si>
    <t>14053.001.1002.063</t>
  </si>
  <si>
    <t>27-04-1950</t>
  </si>
  <si>
    <t>14053.001.1002.064</t>
  </si>
  <si>
    <t>05-09-1979</t>
  </si>
  <si>
    <t>14053.002.1002.065</t>
  </si>
  <si>
    <t>05-05-1979</t>
  </si>
  <si>
    <t>14053.002.1002.066</t>
  </si>
  <si>
    <t>09-05-1967</t>
  </si>
  <si>
    <t>14053.001.1002.068</t>
  </si>
  <si>
    <t>10-10-1976</t>
  </si>
  <si>
    <t>14053.003.1002.069</t>
  </si>
  <si>
    <t>06-05-1973</t>
  </si>
  <si>
    <t>14053.006.1002.071</t>
  </si>
  <si>
    <t>14053.004.1002.078</t>
  </si>
  <si>
    <t>30-04-1979</t>
  </si>
  <si>
    <t>SDN 2</t>
  </si>
  <si>
    <t>14053.006.1002.081</t>
  </si>
  <si>
    <t>13-06-1963</t>
  </si>
  <si>
    <t>14053.001.1002.082</t>
  </si>
  <si>
    <t>17-05-1960</t>
  </si>
  <si>
    <t>14053.001.1002.084</t>
  </si>
  <si>
    <t>20-04-1979</t>
  </si>
  <si>
    <t>14053.001.1002.088</t>
  </si>
  <si>
    <t>24-09-1978</t>
  </si>
  <si>
    <t>14053.001.1002.090</t>
  </si>
  <si>
    <t>08-12-1963</t>
  </si>
  <si>
    <t>14053.003.1002.093</t>
  </si>
  <si>
    <t>18-06-1979</t>
  </si>
  <si>
    <t>14053.003.1002.094</t>
  </si>
  <si>
    <t>28-10-1965</t>
  </si>
  <si>
    <t>14053.001.1002.095</t>
  </si>
  <si>
    <t>12-01-1968</t>
  </si>
  <si>
    <t>PERCETAKAN</t>
  </si>
  <si>
    <t>RAJA BANNER</t>
  </si>
  <si>
    <t>14053.005.1002.097</t>
  </si>
  <si>
    <t>24-12-1974</t>
  </si>
  <si>
    <t>JURU PARKIR</t>
  </si>
  <si>
    <t>30-04-1968</t>
  </si>
  <si>
    <t>14053.002.1002.113</t>
  </si>
  <si>
    <t>14053.001.1002.114</t>
  </si>
  <si>
    <t>17-01-2001</t>
  </si>
  <si>
    <t>14053.001.1002.116</t>
  </si>
  <si>
    <t>09-11-1977</t>
  </si>
  <si>
    <t>14053.001.1002.122</t>
  </si>
  <si>
    <t>31-05-1981</t>
  </si>
  <si>
    <t>14053.003.1002.125</t>
  </si>
  <si>
    <t>14-08-1955</t>
  </si>
  <si>
    <t>PENJAGA MALAM</t>
  </si>
  <si>
    <t>TK DAN SD SHINTA</t>
  </si>
  <si>
    <t>14053.003.1002.127</t>
  </si>
  <si>
    <t>07-12-1982</t>
  </si>
  <si>
    <t>SD RUKUN HARAPAN</t>
  </si>
  <si>
    <t>14053.003.1002.131</t>
  </si>
  <si>
    <t>22-02-1973</t>
  </si>
  <si>
    <t>14053.001.1002.134</t>
  </si>
  <si>
    <t>24-08-1965</t>
  </si>
  <si>
    <t>Pastur</t>
  </si>
  <si>
    <t>14053.004.1002.142</t>
  </si>
  <si>
    <t>16-09-1967</t>
  </si>
  <si>
    <t>TOKOH SEMBAKO</t>
  </si>
  <si>
    <t>14053.003.1002.146</t>
  </si>
  <si>
    <t>16-02-1979</t>
  </si>
  <si>
    <t>14053.001.1002.150</t>
  </si>
  <si>
    <t>04-03-1963</t>
  </si>
  <si>
    <t>14053.001.1002.154</t>
  </si>
  <si>
    <t>25-07-1956</t>
  </si>
  <si>
    <t>14053.001.1002.155</t>
  </si>
  <si>
    <t>03-05-1947</t>
  </si>
  <si>
    <t>TOKO MAINAN ARMADA</t>
  </si>
  <si>
    <t>14053.001.1002.163</t>
  </si>
  <si>
    <t>01-06-1946</t>
  </si>
  <si>
    <t>14053.001.1002.169</t>
  </si>
  <si>
    <t>06-06-1995</t>
  </si>
  <si>
    <t>14053.001.1002.176</t>
  </si>
  <si>
    <t>17-02-1996</t>
  </si>
  <si>
    <t>KOPERASI BINTANG MANDIRI</t>
  </si>
  <si>
    <t>14053.001.1002.177</t>
  </si>
  <si>
    <t>31-12-1977</t>
  </si>
  <si>
    <t>KEAMANAN</t>
  </si>
  <si>
    <t>14053.001.1002.185</t>
  </si>
  <si>
    <t>23-12-1966</t>
  </si>
  <si>
    <t>14053.003.1002.187</t>
  </si>
  <si>
    <t>21-01-1964</t>
  </si>
  <si>
    <t>14053.003.1002.188</t>
  </si>
  <si>
    <t>14-08-1998</t>
  </si>
  <si>
    <t>14053.004.1002.190</t>
  </si>
  <si>
    <t>11-03-1955</t>
  </si>
  <si>
    <t>14053.004.1002.192</t>
  </si>
  <si>
    <t>27-09-1943</t>
  </si>
  <si>
    <t>14053.003.1002.198</t>
  </si>
  <si>
    <t>11-02-1974</t>
  </si>
  <si>
    <t>KLINIK PANTI SIWI</t>
  </si>
  <si>
    <t>14053.001.1002.199</t>
  </si>
  <si>
    <t>17-01-1985</t>
  </si>
  <si>
    <t>DPRD KOTA PROBOLINGGO</t>
  </si>
  <si>
    <t>14053.003.1002.200</t>
  </si>
  <si>
    <t>14053.001.1002.202</t>
  </si>
  <si>
    <t>24-08-1987</t>
  </si>
  <si>
    <t>14053.003.1002.206</t>
  </si>
  <si>
    <t>03-12-1979</t>
  </si>
  <si>
    <t>SMAK SANTO PAULUS</t>
  </si>
  <si>
    <t>14053.001.1002.207</t>
  </si>
  <si>
    <t>10-08-2000</t>
  </si>
  <si>
    <t>14053.006.1002.212</t>
  </si>
  <si>
    <t>16-09-1965</t>
  </si>
  <si>
    <t>14053.006.1002.217</t>
  </si>
  <si>
    <t>20-11-1960</t>
  </si>
  <si>
    <t>STM PANGUDI LUHUR MUNTILAN</t>
  </si>
  <si>
    <t>14053.002.1002.222</t>
  </si>
  <si>
    <t>14053.001.1002.223</t>
  </si>
  <si>
    <t>18-07-1989</t>
  </si>
  <si>
    <t>BPN</t>
  </si>
  <si>
    <t>14053.002.1002.224</t>
  </si>
  <si>
    <t>11-01-1980</t>
  </si>
  <si>
    <t>PETERNAKAN ITIK</t>
  </si>
  <si>
    <t>14053.001.1002.225</t>
  </si>
  <si>
    <t>23-01-1982</t>
  </si>
  <si>
    <t>PT SMAJ</t>
  </si>
  <si>
    <t>10-04-1985</t>
  </si>
  <si>
    <t>Buruh Tani/Perkebunan</t>
  </si>
  <si>
    <t>14053.005.1002.230</t>
  </si>
  <si>
    <t>28-06-1968</t>
  </si>
  <si>
    <t>14053.005.1002.231</t>
  </si>
  <si>
    <t>31-12-1998</t>
  </si>
  <si>
    <t>14053.001.1002.232</t>
  </si>
  <si>
    <t>06-12-1972</t>
  </si>
  <si>
    <t>MINA TANI</t>
  </si>
  <si>
    <t>PEMBUDIDAYA IKAN</t>
  </si>
  <si>
    <t>14053.001.1002.236</t>
  </si>
  <si>
    <t>11-05-1974</t>
  </si>
  <si>
    <t>MITRA GRAB / GOJEK</t>
  </si>
  <si>
    <t>14053.001.1002.239</t>
  </si>
  <si>
    <t>25-06-1971</t>
  </si>
  <si>
    <t>14053.001.1002.240</t>
  </si>
  <si>
    <t>24-05-1976</t>
  </si>
  <si>
    <t>14053.001.1002.241</t>
  </si>
  <si>
    <t>20-01-1973</t>
  </si>
  <si>
    <t>PT SUBUR MITRA SUKSES</t>
  </si>
  <si>
    <t>14053.005.1002.243</t>
  </si>
  <si>
    <t>18-06-1974</t>
  </si>
  <si>
    <t>SMP TARUNA NUSA HARAPAN</t>
  </si>
  <si>
    <t>14053.002.1002.246</t>
  </si>
  <si>
    <t>25-01-1968</t>
  </si>
  <si>
    <t>BUMI PUTRA</t>
  </si>
  <si>
    <t>14053.003.1002.248</t>
  </si>
  <si>
    <t>15-05-1961</t>
  </si>
  <si>
    <t>KARYAWAN NOTARIS</t>
  </si>
  <si>
    <t>NOTARIS SURYA GAUTAMA</t>
  </si>
  <si>
    <t>14053.003.1002.251</t>
  </si>
  <si>
    <t>16-09-1983</t>
  </si>
  <si>
    <t>14053.003.1002.253</t>
  </si>
  <si>
    <t>15-04-1975</t>
  </si>
  <si>
    <t>KEPALA SEKOLAH TK</t>
  </si>
  <si>
    <t>14053.003.1002.256</t>
  </si>
  <si>
    <t>19-02-1972</t>
  </si>
  <si>
    <t>HANDICRAFT</t>
  </si>
  <si>
    <t>14053.003.1002.257</t>
  </si>
  <si>
    <t>16-11-1969</t>
  </si>
  <si>
    <t>14053.002.1002.258</t>
  </si>
  <si>
    <t>14-12-1964</t>
  </si>
  <si>
    <t>14053.001.1002.260</t>
  </si>
  <si>
    <t>28-05-1975</t>
  </si>
  <si>
    <t>14053.003.1002.261</t>
  </si>
  <si>
    <t>16-12-1982</t>
  </si>
  <si>
    <t>GURU NEGERI</t>
  </si>
  <si>
    <t>14053.004.1002.267</t>
  </si>
  <si>
    <t>23-09-1993</t>
  </si>
  <si>
    <t>14053.002.1002.269</t>
  </si>
  <si>
    <t>14053.001.1002.270</t>
  </si>
  <si>
    <t>02-04-1952</t>
  </si>
  <si>
    <t>14053.003.1002.274</t>
  </si>
  <si>
    <t>28-09-1964</t>
  </si>
  <si>
    <t xml:space="preserve">PERCETAKAN </t>
  </si>
  <si>
    <t>14053.001.1002.275</t>
  </si>
  <si>
    <t>10-01-2006</t>
  </si>
  <si>
    <t>SMKN 2 PROBOLINGGO</t>
  </si>
  <si>
    <t>14053.003.1002.283</t>
  </si>
  <si>
    <t>27-03-2008</t>
  </si>
  <si>
    <t>14053.003.1002.284</t>
  </si>
  <si>
    <t>11-11-1954</t>
  </si>
  <si>
    <t>14053.002.1002.291</t>
  </si>
  <si>
    <t>13-05-1968</t>
  </si>
  <si>
    <t>14053.001.1002.294</t>
  </si>
  <si>
    <t>08-04-1953</t>
  </si>
  <si>
    <t>14053.005.1002.303</t>
  </si>
  <si>
    <t>02-07-1972</t>
  </si>
  <si>
    <t>14053.002.1002.310</t>
  </si>
  <si>
    <t>15-06-1984</t>
  </si>
  <si>
    <t>SDN RANDUTATAH</t>
  </si>
  <si>
    <t>14053.001.1002.313</t>
  </si>
  <si>
    <t>05-03-1979</t>
  </si>
  <si>
    <t>14053.003.1002.318</t>
  </si>
  <si>
    <t>23-12-1969</t>
  </si>
  <si>
    <t>14053.002.1002.319</t>
  </si>
  <si>
    <t>19-05-1957</t>
  </si>
  <si>
    <t>14053.004.1002.330</t>
  </si>
  <si>
    <t>25-09-1996</t>
  </si>
  <si>
    <t>14053.004.1002.332</t>
  </si>
  <si>
    <t>29-04-1971</t>
  </si>
  <si>
    <t>14053.006.1002.333</t>
  </si>
  <si>
    <t>18-05-1977</t>
  </si>
  <si>
    <t>14053.001.1002.334</t>
  </si>
  <si>
    <t>14053.003.1002.337</t>
  </si>
  <si>
    <t>09-05-1977</t>
  </si>
  <si>
    <t>14053.001.1002.341</t>
  </si>
  <si>
    <t>29-08-1983</t>
  </si>
  <si>
    <t>14053.006.1002.342</t>
  </si>
  <si>
    <t>17-02-1973</t>
  </si>
  <si>
    <t>TAMBANG PASIR</t>
  </si>
  <si>
    <t>14053.005.1002.347</t>
  </si>
  <si>
    <t>PT. Charoen Pokphand Indonesia</t>
  </si>
  <si>
    <t>14053.005.1002.348</t>
  </si>
  <si>
    <t>18-12-1985</t>
  </si>
  <si>
    <t>Konstruksi</t>
  </si>
  <si>
    <t>PEMBANGUNAN</t>
  </si>
  <si>
    <t>14053.006.1002.349</t>
  </si>
  <si>
    <t>21-04-1977</t>
  </si>
  <si>
    <t>14053.001.1002.350</t>
  </si>
  <si>
    <t>18-09-1981</t>
  </si>
  <si>
    <t>14053.001.1002.351</t>
  </si>
  <si>
    <t>14-09-1978</t>
  </si>
  <si>
    <t>14053.006.1002.363</t>
  </si>
  <si>
    <t>14-08-1960</t>
  </si>
  <si>
    <t>14053.001.1002.377</t>
  </si>
  <si>
    <t>21-04-1966</t>
  </si>
  <si>
    <t>14053.001.1002.378</t>
  </si>
  <si>
    <t>11-02-1979</t>
  </si>
  <si>
    <t>HOTEL BROMO P</t>
  </si>
  <si>
    <t>14053.004.1002.382</t>
  </si>
  <si>
    <t>16-06-1987</t>
  </si>
  <si>
    <t>14053.003.1002.383</t>
  </si>
  <si>
    <t>17-09-1981</t>
  </si>
  <si>
    <t>14053.002.1002.384</t>
  </si>
  <si>
    <t>16-02-1964</t>
  </si>
  <si>
    <t>14053.001.1002.391</t>
  </si>
  <si>
    <t>02-12-1969</t>
  </si>
  <si>
    <t>14053.001.1002.392</t>
  </si>
  <si>
    <t>22-10-1994</t>
  </si>
  <si>
    <t>14053.001.1002.395</t>
  </si>
  <si>
    <t>27-04-1980</t>
  </si>
  <si>
    <t>TOKO ACCESORIES</t>
  </si>
  <si>
    <t>14053.001.1002.397</t>
  </si>
  <si>
    <t>12-03-1979</t>
  </si>
  <si>
    <t>14053.003.1002.399</t>
  </si>
  <si>
    <t>01-07-1968</t>
  </si>
  <si>
    <t>14053.001.1002.400</t>
  </si>
  <si>
    <t>27-08-1986</t>
  </si>
  <si>
    <t>14053.001.1002.401</t>
  </si>
  <si>
    <t>14053.003.1002.404</t>
  </si>
  <si>
    <t>01-12-1971</t>
  </si>
  <si>
    <t>14053.001.1002.406</t>
  </si>
  <si>
    <t>20-10-2005</t>
  </si>
  <si>
    <t>14053.001.1002.407</t>
  </si>
  <si>
    <t>14-03-2003</t>
  </si>
  <si>
    <t>14053.001.1002.408</t>
  </si>
  <si>
    <t>23-02-2000</t>
  </si>
  <si>
    <t>14053.003.1002.413</t>
  </si>
  <si>
    <t>23-12-1967</t>
  </si>
  <si>
    <t>14053.006.1002.417</t>
  </si>
  <si>
    <t>DEVELOPER ARMADA</t>
  </si>
  <si>
    <t>14053.003.1002.418</t>
  </si>
  <si>
    <t>05-12-1967</t>
  </si>
  <si>
    <t>14053.003.1002.422</t>
  </si>
  <si>
    <t>17-01-1961</t>
  </si>
  <si>
    <t>14053.001.1002.430</t>
  </si>
  <si>
    <t>07-05-1975</t>
  </si>
  <si>
    <t>14053.003.1002.431</t>
  </si>
  <si>
    <t>01-08-1991</t>
  </si>
  <si>
    <t>14053.001.1002.434</t>
  </si>
  <si>
    <t>01-07-1978</t>
  </si>
  <si>
    <t>14053.001.1002.439</t>
  </si>
  <si>
    <t>PESANAN NASI RUJAK</t>
  </si>
  <si>
    <t>14053.001.1002.441</t>
  </si>
  <si>
    <t>14053.001.1002.443</t>
  </si>
  <si>
    <t>28-08-1975</t>
  </si>
  <si>
    <t>KARYAWAN PT P &amp; H</t>
  </si>
  <si>
    <t>14053.003.1002.445</t>
  </si>
  <si>
    <t>13-07-1969</t>
  </si>
  <si>
    <t>14053.002.1002.447</t>
  </si>
  <si>
    <t>03-03-1973</t>
  </si>
  <si>
    <t>WARUNG NASI</t>
  </si>
  <si>
    <t>14053.002.1002.448</t>
  </si>
  <si>
    <t>17-01-1973</t>
  </si>
  <si>
    <t>14053.005.1002.449</t>
  </si>
  <si>
    <t>19-08-1979</t>
  </si>
  <si>
    <t>PT PIPING SYSTEM</t>
  </si>
  <si>
    <t>14053.002.1002.450</t>
  </si>
  <si>
    <t>12-04-1966</t>
  </si>
  <si>
    <t>SDK ST PIUS</t>
  </si>
  <si>
    <t>14053.001.1002.465</t>
  </si>
  <si>
    <t>10-04-1978</t>
  </si>
  <si>
    <t>SDN CURAHGRINTING 3</t>
  </si>
  <si>
    <t>14053.001.1002.466</t>
  </si>
  <si>
    <t>20-01-1984</t>
  </si>
  <si>
    <t>SDN CURAHGRINTING</t>
  </si>
  <si>
    <t>14053.002.1002.470</t>
  </si>
  <si>
    <t>14-01-2004</t>
  </si>
  <si>
    <t>14053.001.1002.471</t>
  </si>
  <si>
    <t>11-08-1972</t>
  </si>
  <si>
    <t>KONSTRUKSI</t>
  </si>
  <si>
    <t>14053.001.1002.472</t>
  </si>
  <si>
    <t>20-06-1971</t>
  </si>
  <si>
    <t>14053.001.1002.473</t>
  </si>
  <si>
    <t>14-11-1983</t>
  </si>
  <si>
    <t>14053.001.1002.477</t>
  </si>
  <si>
    <t>21-02-1972</t>
  </si>
  <si>
    <t>14053.001.1002.479</t>
  </si>
  <si>
    <t>14-09-1957</t>
  </si>
  <si>
    <t>14053.001.1002.484</t>
  </si>
  <si>
    <t>15-09-1981</t>
  </si>
  <si>
    <t>03-08-1961</t>
  </si>
  <si>
    <t>14053.001.1002.489</t>
  </si>
  <si>
    <t>24-11-1982</t>
  </si>
  <si>
    <t>RSU DR MOH SALEH PROBOLINGGO</t>
  </si>
  <si>
    <t>14053.003.1002.499</t>
  </si>
  <si>
    <t>20-06-1972</t>
  </si>
  <si>
    <t>14053.001.1002.504</t>
  </si>
  <si>
    <t>10-11-1977</t>
  </si>
  <si>
    <t>DINAS KELAUTAN</t>
  </si>
  <si>
    <t>14053.002.1002.508</t>
  </si>
  <si>
    <t>26-06-1953</t>
  </si>
  <si>
    <t>DIKNAS PAITON</t>
  </si>
  <si>
    <t>14053.005.1002.513</t>
  </si>
  <si>
    <t>28-06-1978</t>
  </si>
  <si>
    <t>SMA TAMSIS</t>
  </si>
  <si>
    <t>14053.001.1002.514</t>
  </si>
  <si>
    <t>19-06-1981</t>
  </si>
  <si>
    <t>PMI</t>
  </si>
  <si>
    <t>14053.001.1002.515</t>
  </si>
  <si>
    <t>25-06-1969</t>
  </si>
  <si>
    <t>14053.001.1002.517</t>
  </si>
  <si>
    <t>23-02-1979</t>
  </si>
  <si>
    <t>PENGADILAN NEGERI</t>
  </si>
  <si>
    <t>JAKSA</t>
  </si>
  <si>
    <t>14053.001.1002.520</t>
  </si>
  <si>
    <t>13-04-1977</t>
  </si>
  <si>
    <t>PENGOLAHAN KAY</t>
  </si>
  <si>
    <t>14053.003.1002.521</t>
  </si>
  <si>
    <t>31-10-1957</t>
  </si>
  <si>
    <t>GURU  SWASTA</t>
  </si>
  <si>
    <t>14053.006.1002.529</t>
  </si>
  <si>
    <t>04-10-1977</t>
  </si>
  <si>
    <t>14053.001.1002.534</t>
  </si>
  <si>
    <t>22-08-1978</t>
  </si>
  <si>
    <t>14053.001.1002.535</t>
  </si>
  <si>
    <t>28-01-1969</t>
  </si>
  <si>
    <t>SDN KEDUNGASEM 3</t>
  </si>
  <si>
    <t>14053.001.1002.537</t>
  </si>
  <si>
    <t>06-11-1986</t>
  </si>
  <si>
    <t>14053.003.1002.538</t>
  </si>
  <si>
    <t>14053.005.1002.540</t>
  </si>
  <si>
    <t>14-05-1979</t>
  </si>
  <si>
    <t>Kelurahan Wates</t>
  </si>
  <si>
    <t>14053.003.1002.541</t>
  </si>
  <si>
    <t>21-07-1948</t>
  </si>
  <si>
    <t>14053.004.1002.546</t>
  </si>
  <si>
    <t>21-10-1981</t>
  </si>
  <si>
    <t>14053.003.1002.547</t>
  </si>
  <si>
    <t>02-12-1976</t>
  </si>
  <si>
    <t>14053.003.1002.548</t>
  </si>
  <si>
    <t>27-07-1958</t>
  </si>
  <si>
    <t>14053.001.1002.549</t>
  </si>
  <si>
    <t>22-01-1989</t>
  </si>
  <si>
    <t>14053.001.1002.554</t>
  </si>
  <si>
    <t>24-12-1976</t>
  </si>
  <si>
    <t>PERKEBUNAN</t>
  </si>
  <si>
    <t>PTPN XI PG GEN</t>
  </si>
  <si>
    <t>14053.001.1002.562</t>
  </si>
  <si>
    <t>19-04-1968</t>
  </si>
  <si>
    <t>14053.001.1002.565</t>
  </si>
  <si>
    <t>08-12-1960</t>
  </si>
  <si>
    <t>16-10-1996</t>
  </si>
  <si>
    <t>14053.003.1002.567</t>
  </si>
  <si>
    <t>05-05-1958</t>
  </si>
  <si>
    <t>14053.003.1002.568</t>
  </si>
  <si>
    <t>02-01-1962</t>
  </si>
  <si>
    <t>SMA ZAINUL HASAN GENGGONG</t>
  </si>
  <si>
    <t>14053.001.1002.574</t>
  </si>
  <si>
    <t>31-07-1961</t>
  </si>
  <si>
    <t>INSURANCE</t>
  </si>
  <si>
    <t>PT  ASS ALLIANZ LIFE</t>
  </si>
  <si>
    <t>14053.001.1002.576</t>
  </si>
  <si>
    <t>DESIGN INTERIOR</t>
  </si>
  <si>
    <t>SABRINA GORDEN</t>
  </si>
  <si>
    <t>14053.004.1002.577</t>
  </si>
  <si>
    <t>20-05-1969</t>
  </si>
  <si>
    <t>14053.003.1002.578</t>
  </si>
  <si>
    <t>15-03-1966</t>
  </si>
  <si>
    <t>14053.001.1002.579</t>
  </si>
  <si>
    <t>31-07-1981</t>
  </si>
  <si>
    <t>14053.001.1002.581</t>
  </si>
  <si>
    <t>23-03-1974</t>
  </si>
  <si>
    <t>PEMKAB PROB</t>
  </si>
  <si>
    <t>14053.006.1002.585</t>
  </si>
  <si>
    <t>31-01-1950</t>
  </si>
  <si>
    <t>14053.001.1002.586</t>
  </si>
  <si>
    <t>06-07-1956</t>
  </si>
  <si>
    <t>SDN SUKABUMI 2</t>
  </si>
  <si>
    <t>14053.006.1002.587</t>
  </si>
  <si>
    <t>14053.006.1002.590</t>
  </si>
  <si>
    <t>24-05-1967</t>
  </si>
  <si>
    <t>BERAS</t>
  </si>
  <si>
    <t>JUAL BERAS</t>
  </si>
  <si>
    <t>14053.006.1002.599</t>
  </si>
  <si>
    <t>23-08-1974</t>
  </si>
  <si>
    <t>CU MANDIRI MAGELANG</t>
  </si>
  <si>
    <t>14053.001.1002.600</t>
  </si>
  <si>
    <t>18-02-1976</t>
  </si>
  <si>
    <t>PERLENGKAPAN RUMAH TANGGA</t>
  </si>
  <si>
    <t>14053.006.1002.603</t>
  </si>
  <si>
    <t>10-10-1965</t>
  </si>
  <si>
    <t>14053.001.1002.604</t>
  </si>
  <si>
    <t>05-08-1970</t>
  </si>
  <si>
    <t>14053.003.1002.606</t>
  </si>
  <si>
    <t>14053.001.1002.608</t>
  </si>
  <si>
    <t>24-04-1977</t>
  </si>
  <si>
    <t>DEALER HAPPY</t>
  </si>
  <si>
    <t>14053.001.1002.617</t>
  </si>
  <si>
    <t>07-07-1975</t>
  </si>
  <si>
    <t>14053.003.1002.619</t>
  </si>
  <si>
    <t>12-09-1971</t>
  </si>
  <si>
    <t>14053.003.1002.620</t>
  </si>
  <si>
    <t>02-02-1972</t>
  </si>
  <si>
    <t>14053.003.1002.622</t>
  </si>
  <si>
    <t>07-06-1967</t>
  </si>
  <si>
    <t>14053.002.1002.623</t>
  </si>
  <si>
    <t>26-05-1966</t>
  </si>
  <si>
    <t>14053.003.1002.624</t>
  </si>
  <si>
    <t>17-02-1968</t>
  </si>
  <si>
    <t>Tabib</t>
  </si>
  <si>
    <t>PIJAT REFLEKSI</t>
  </si>
  <si>
    <t>PENGOBATAN TRADISIONAL CINA</t>
  </si>
  <si>
    <t>17-08-1975</t>
  </si>
  <si>
    <t>14053.003.1002.632</t>
  </si>
  <si>
    <t>07-10-1991</t>
  </si>
  <si>
    <t>28-12-1965</t>
  </si>
  <si>
    <t>14053.001.1002.637</t>
  </si>
  <si>
    <t>09-03-1978</t>
  </si>
  <si>
    <t>PT INDOPHERIN JAYA</t>
  </si>
  <si>
    <t>08-04-1975</t>
  </si>
  <si>
    <t>14053.002.1002.643</t>
  </si>
  <si>
    <t>08-04-1972</t>
  </si>
  <si>
    <t>PONDOK JUICE</t>
  </si>
  <si>
    <t>14053.001.1002.644</t>
  </si>
  <si>
    <t>24-02-1959</t>
  </si>
  <si>
    <t>KATERING</t>
  </si>
  <si>
    <t>14053.001.1002.646</t>
  </si>
  <si>
    <t>24-11-1950</t>
  </si>
  <si>
    <t>PEMKAB</t>
  </si>
  <si>
    <t>14053.005.1002.650</t>
  </si>
  <si>
    <t>03-03-1960</t>
  </si>
  <si>
    <t>14053.006.1002.657</t>
  </si>
  <si>
    <t>21-10-1960</t>
  </si>
  <si>
    <t>14053.003.1002.661</t>
  </si>
  <si>
    <t>14053.003.1002.662</t>
  </si>
  <si>
    <t>21-01-1967</t>
  </si>
  <si>
    <t>WARUNG NASI ERJE</t>
  </si>
  <si>
    <t>14053.002.1002.669</t>
  </si>
  <si>
    <t>15-05-2006</t>
  </si>
  <si>
    <t>14053.002.1002.670</t>
  </si>
  <si>
    <t>07-01-1988</t>
  </si>
  <si>
    <t>PEMILIK WARTEG</t>
  </si>
  <si>
    <t>14053.003.1002.672</t>
  </si>
  <si>
    <t>15-09-1976</t>
  </si>
  <si>
    <t>14053.003.1002.673</t>
  </si>
  <si>
    <t>30-06-1977</t>
  </si>
  <si>
    <t>14053.002.1002.674</t>
  </si>
  <si>
    <t>01-06-1988</t>
  </si>
  <si>
    <t>14053.006.1002.683</t>
  </si>
  <si>
    <t xml:space="preserve">JUAL LALAPAN LAMONGAN </t>
  </si>
  <si>
    <t>14053.003.1002.687</t>
  </si>
  <si>
    <t>14-02-1983</t>
  </si>
  <si>
    <t>14053.002.1002.694</t>
  </si>
  <si>
    <t>27-03-1976</t>
  </si>
  <si>
    <t>DEPOT JAMU</t>
  </si>
  <si>
    <t>14053.001.1002.695</t>
  </si>
  <si>
    <t>02-08-1970</t>
  </si>
  <si>
    <t>JUAL BUMBU PECEL</t>
  </si>
  <si>
    <t>14053.006.1002.699</t>
  </si>
  <si>
    <t>29-07-1961</t>
  </si>
  <si>
    <t>14053.001.1002.700</t>
  </si>
  <si>
    <t>12-06-1959</t>
  </si>
  <si>
    <t>Notaris</t>
  </si>
  <si>
    <t>KANTOR NOTARIS</t>
  </si>
  <si>
    <t>14053.002.1002.701</t>
  </si>
  <si>
    <t>09-10-1976</t>
  </si>
  <si>
    <t>APOTEK KPRI WALUYO JATI</t>
  </si>
  <si>
    <t>14053.006.1002.707</t>
  </si>
  <si>
    <t>07-07-1977</t>
  </si>
  <si>
    <t>14053.001.1002.709</t>
  </si>
  <si>
    <t>10-08-1973</t>
  </si>
  <si>
    <t>MERAWAT ORANG JOMPO SAKIT</t>
  </si>
  <si>
    <t>14053.003.1002.711</t>
  </si>
  <si>
    <t>18-11-1973</t>
  </si>
  <si>
    <t>14053.006.1002.712</t>
  </si>
  <si>
    <t>24-06-1972</t>
  </si>
  <si>
    <t>14053.004.1002.723</t>
  </si>
  <si>
    <t>23-09-1969</t>
  </si>
  <si>
    <t>14053.001.1002.725</t>
  </si>
  <si>
    <t>11-07-1959</t>
  </si>
  <si>
    <t>SDN KEBONSARI</t>
  </si>
  <si>
    <t>14053.001.1002.727</t>
  </si>
  <si>
    <t>20-02-1983</t>
  </si>
  <si>
    <t>GRAHA MULIA TOSERBA</t>
  </si>
  <si>
    <t>14053.001.1002.730</t>
  </si>
  <si>
    <t>15-07-1982</t>
  </si>
  <si>
    <t>14053.001.1002.734</t>
  </si>
  <si>
    <t>16-01-1986</t>
  </si>
  <si>
    <t>14053.005.1002.735</t>
  </si>
  <si>
    <t>16-08-1987</t>
  </si>
  <si>
    <t xml:space="preserve">ADMIN </t>
  </si>
  <si>
    <t>RKZ SURABAYA</t>
  </si>
  <si>
    <t>14053.005.1002.736</t>
  </si>
  <si>
    <t>24-02-1977</t>
  </si>
  <si>
    <t>14053.005.1002.737</t>
  </si>
  <si>
    <t>20-11-1969</t>
  </si>
  <si>
    <t>14053.006.1002.740</t>
  </si>
  <si>
    <t>14053.006.1002.741</t>
  </si>
  <si>
    <t>18-03-1967</t>
  </si>
  <si>
    <t>JUAL BELI BESI TUA</t>
  </si>
  <si>
    <t>14053.003.1002.748</t>
  </si>
  <si>
    <t>14053.003.1002.754</t>
  </si>
  <si>
    <t>19-04-1967</t>
  </si>
  <si>
    <t>14053.003.1002.755</t>
  </si>
  <si>
    <t>24-05-1968</t>
  </si>
  <si>
    <t>14053.001.1002.759</t>
  </si>
  <si>
    <t>13-06-1982</t>
  </si>
  <si>
    <t>PRUDENSIAL</t>
  </si>
  <si>
    <t>14053.006.1002.762</t>
  </si>
  <si>
    <t>15-08-1978</t>
  </si>
  <si>
    <t>MARKETING</t>
  </si>
  <si>
    <t>05-05-1982</t>
  </si>
  <si>
    <t>14053.001.1002.771</t>
  </si>
  <si>
    <t>09-09-1968</t>
  </si>
  <si>
    <t>14053.003.1002.774</t>
  </si>
  <si>
    <t>28-04-1967</t>
  </si>
  <si>
    <t>14053.001.1002.779</t>
  </si>
  <si>
    <t>20-07-1978</t>
  </si>
  <si>
    <t>FULLTIMER GBI</t>
  </si>
  <si>
    <t>14053.001.1002.780</t>
  </si>
  <si>
    <t>15-05-1974</t>
  </si>
  <si>
    <t>INDUSTRI KAYU</t>
  </si>
  <si>
    <t>PT KLASEMAN</t>
  </si>
  <si>
    <t>14053.001.1002.783</t>
  </si>
  <si>
    <t>03-10-1988</t>
  </si>
  <si>
    <t>PT. KTI</t>
  </si>
  <si>
    <t>14053.003.1002.785</t>
  </si>
  <si>
    <t>07-04-1955</t>
  </si>
  <si>
    <t>14053.003.1002.788</t>
  </si>
  <si>
    <t>23-11-1965</t>
  </si>
  <si>
    <t>14053.001.1002.791</t>
  </si>
  <si>
    <t>PRODUSEN TEMPE</t>
  </si>
  <si>
    <t>14053.001.1002.792</t>
  </si>
  <si>
    <t>14053.003.1002.793</t>
  </si>
  <si>
    <t>10-09-1983</t>
  </si>
  <si>
    <t>14053.001.1002.795</t>
  </si>
  <si>
    <t>10-08-1975</t>
  </si>
  <si>
    <t>14053.001.1002.796</t>
  </si>
  <si>
    <t>22-02-1984</t>
  </si>
  <si>
    <t>14053.003.1002.798</t>
  </si>
  <si>
    <t>01-11-1963</t>
  </si>
  <si>
    <t>14053.003.1002.799</t>
  </si>
  <si>
    <t>28-11-1966</t>
  </si>
  <si>
    <t>14053.003.1002.800</t>
  </si>
  <si>
    <t>08-02-1964</t>
  </si>
  <si>
    <t>14053.004.1002.804</t>
  </si>
  <si>
    <t>31-03-1956</t>
  </si>
  <si>
    <t>TOKO SPAREPART</t>
  </si>
  <si>
    <t>TRAVEL</t>
  </si>
  <si>
    <t>14053.004.1002.805</t>
  </si>
  <si>
    <t>23-05-1953</t>
  </si>
  <si>
    <t>14053.006.1002.806</t>
  </si>
  <si>
    <t>30-06-1972</t>
  </si>
  <si>
    <t>JUAL KAYU LAPIS</t>
  </si>
  <si>
    <t>14053.001.1002.811</t>
  </si>
  <si>
    <t>12-07-1965</t>
  </si>
  <si>
    <t>NH CATERING</t>
  </si>
  <si>
    <t>14053.006.1002.812</t>
  </si>
  <si>
    <t>13-11-1978</t>
  </si>
  <si>
    <t>GORENGAN</t>
  </si>
  <si>
    <t>14053.003.1002.813</t>
  </si>
  <si>
    <t>16-06-1975</t>
  </si>
  <si>
    <t>14053.001.1002.815</t>
  </si>
  <si>
    <t>25-12-1976</t>
  </si>
  <si>
    <t>MAKELAR</t>
  </si>
  <si>
    <t>JUAL BELI MOBIL</t>
  </si>
  <si>
    <t>14053.001.1002.820</t>
  </si>
  <si>
    <t>11-05-1975</t>
  </si>
  <si>
    <t>14053.002.1002.822</t>
  </si>
  <si>
    <t>PEGADAIAN BPC JABUNG</t>
  </si>
  <si>
    <t>26-01-1986</t>
  </si>
  <si>
    <t>14053.006.1002.826</t>
  </si>
  <si>
    <t>28-12-1937</t>
  </si>
  <si>
    <t>14053.006.1002.827</t>
  </si>
  <si>
    <t>08-08-1958</t>
  </si>
  <si>
    <t>SMA PENDOWO</t>
  </si>
  <si>
    <t>14053.002.1002.832</t>
  </si>
  <si>
    <t>05-02-1951</t>
  </si>
  <si>
    <t>SDN TANJUNG PAJARAKAN</t>
  </si>
  <si>
    <t>14053.001.1002.836</t>
  </si>
  <si>
    <t>05-02-1961</t>
  </si>
  <si>
    <t>14053.003.1002.841</t>
  </si>
  <si>
    <t>13-06-1985</t>
  </si>
  <si>
    <t>WARUNGE MBAK LIS</t>
  </si>
  <si>
    <t>14053.001.1002.844</t>
  </si>
  <si>
    <t>29-03-1978</t>
  </si>
  <si>
    <t>14053.001.1002.845</t>
  </si>
  <si>
    <t>04-05-1969</t>
  </si>
  <si>
    <t>14053.001.1002.854</t>
  </si>
  <si>
    <t>27-07-1969</t>
  </si>
  <si>
    <t>14053.001.1002.857</t>
  </si>
  <si>
    <t>01-04-1949</t>
  </si>
  <si>
    <t>ANDI MOTOR</t>
  </si>
  <si>
    <t>14053.003.1002.863</t>
  </si>
  <si>
    <t>01-12-1981</t>
  </si>
  <si>
    <t>22-12-1975</t>
  </si>
  <si>
    <t xml:space="preserve">KERAJINAN </t>
  </si>
  <si>
    <t>14053.006.1002.874</t>
  </si>
  <si>
    <t>04-10-1979</t>
  </si>
  <si>
    <t>USAHA JASA FOTOCOPI</t>
  </si>
  <si>
    <t>DESTA FOTOCOPI</t>
  </si>
  <si>
    <t>14053.001.1002.877</t>
  </si>
  <si>
    <t>06-09-1995</t>
  </si>
  <si>
    <t>PELATIH RENANG</t>
  </si>
  <si>
    <t>PELATIH RENANG DI GOR</t>
  </si>
  <si>
    <t>14053.001.1002.878</t>
  </si>
  <si>
    <t>23-05-1979</t>
  </si>
  <si>
    <t>CATERING, KUE BASAH</t>
  </si>
  <si>
    <t>14053.004.1002.881</t>
  </si>
  <si>
    <t>15-10-1967</t>
  </si>
  <si>
    <t>14053.005.1002.886</t>
  </si>
  <si>
    <t>15-03-1981</t>
  </si>
  <si>
    <t>Warung Sendi</t>
  </si>
  <si>
    <t>14053.005.1002.887</t>
  </si>
  <si>
    <t>17-05-1973</t>
  </si>
  <si>
    <t>SMP SANTO YUSUP PACET</t>
  </si>
  <si>
    <t>14053.005.1002.889</t>
  </si>
  <si>
    <t>04-05-1997</t>
  </si>
  <si>
    <t>14053.001.1002.893</t>
  </si>
  <si>
    <t>16-05-1986</t>
  </si>
  <si>
    <t>14053.005.1002.894</t>
  </si>
  <si>
    <t>21-09-1981</t>
  </si>
  <si>
    <t xml:space="preserve">RS GATOEL </t>
  </si>
  <si>
    <t>14053.001.1002.907</t>
  </si>
  <si>
    <t>13-12-1975</t>
  </si>
  <si>
    <t>14053.005.1002.908</t>
  </si>
  <si>
    <t>30-10-1984</t>
  </si>
  <si>
    <t>14053.003.1002.909</t>
  </si>
  <si>
    <t>21-04-1972</t>
  </si>
  <si>
    <t>14053.003.1002.910</t>
  </si>
  <si>
    <t>14053.002.1002.911</t>
  </si>
  <si>
    <t>11-10-1978</t>
  </si>
  <si>
    <t>PT ERATEX DJADJA</t>
  </si>
  <si>
    <t>14053.001.1002.916</t>
  </si>
  <si>
    <t>14-09-1996</t>
  </si>
  <si>
    <t>14053.003.1002.918</t>
  </si>
  <si>
    <t>03-09-1972</t>
  </si>
  <si>
    <t>14053.001.1002.920</t>
  </si>
  <si>
    <t>15-09-1973</t>
  </si>
  <si>
    <t>14053.006.1002.921</t>
  </si>
  <si>
    <t>24-09-1973</t>
  </si>
  <si>
    <t>14053.004.1002.922</t>
  </si>
  <si>
    <t>15-06-1955</t>
  </si>
  <si>
    <t>SDN 3 JAJAG</t>
  </si>
  <si>
    <t>14053.001.1002.923</t>
  </si>
  <si>
    <t>28-07-1944</t>
  </si>
  <si>
    <t>14053.006.1002.933</t>
  </si>
  <si>
    <t>15-01-1969</t>
  </si>
  <si>
    <t>14053.003.1002.934</t>
  </si>
  <si>
    <t>28-04-1988</t>
  </si>
  <si>
    <t>PT KASIYAN</t>
  </si>
  <si>
    <t>14053.001.1002.937</t>
  </si>
  <si>
    <t>21-05-1978</t>
  </si>
  <si>
    <t>14053.001.1002.940</t>
  </si>
  <si>
    <t>16-05-1972</t>
  </si>
  <si>
    <t xml:space="preserve">DISTRIBUTOR </t>
  </si>
  <si>
    <t>TUPPERWARE</t>
  </si>
  <si>
    <t>14053.001.1002.942</t>
  </si>
  <si>
    <t>03-06-1986</t>
  </si>
  <si>
    <t>DINAS PERTANIAN KOTA</t>
  </si>
  <si>
    <t>14053.003.1002.943</t>
  </si>
  <si>
    <t>15-12-1969</t>
  </si>
  <si>
    <t>14053.006.1002.945</t>
  </si>
  <si>
    <t>03-11-1971</t>
  </si>
  <si>
    <t>PEMBUAT PLAT NOMER</t>
  </si>
  <si>
    <t>TKK INDRA RINI</t>
  </si>
  <si>
    <t>14053.001.1002.949</t>
  </si>
  <si>
    <t>21-12-1967</t>
  </si>
  <si>
    <t>14053.001.1002.954</t>
  </si>
  <si>
    <t>22-08-1994</t>
  </si>
  <si>
    <t>14053.001.1002.958</t>
  </si>
  <si>
    <t>04-11-1974</t>
  </si>
  <si>
    <t>CV ALLE MANDIRI</t>
  </si>
  <si>
    <t>SEMINARIUM MARIANUM</t>
  </si>
  <si>
    <t>14053.006.1002.966</t>
  </si>
  <si>
    <t>10-06-1981</t>
  </si>
  <si>
    <t>JUAL BUAH</t>
  </si>
  <si>
    <t>14053.001.1002.970</t>
  </si>
  <si>
    <t>01-02-1973</t>
  </si>
  <si>
    <t>14053.001.1002.978</t>
  </si>
  <si>
    <t>15-07-1958</t>
  </si>
  <si>
    <t>14053.002.1002.982</t>
  </si>
  <si>
    <t>20-10-1983</t>
  </si>
  <si>
    <t>PLTU PAITON</t>
  </si>
  <si>
    <t>14053.006.1002.986</t>
  </si>
  <si>
    <t>20-07-1971</t>
  </si>
  <si>
    <t>14053.001.1002.998</t>
  </si>
  <si>
    <t>27-03-1965</t>
  </si>
  <si>
    <t>14053.001.1003.000</t>
  </si>
  <si>
    <t>19-01-1981</t>
  </si>
  <si>
    <t>PUK AMI AMI</t>
  </si>
  <si>
    <t>14053.001.1003.001</t>
  </si>
  <si>
    <t>10-01-1965</t>
  </si>
  <si>
    <t>ES DEGAN</t>
  </si>
  <si>
    <t>14053.002.1003.003</t>
  </si>
  <si>
    <t>14-01-1968</t>
  </si>
  <si>
    <t>14053.006.1003.009</t>
  </si>
  <si>
    <t>16-05-1951</t>
  </si>
  <si>
    <t>14053.002.1003.010</t>
  </si>
  <si>
    <t>30-12-1983</t>
  </si>
  <si>
    <t>SDN SEMAMPIR 1</t>
  </si>
  <si>
    <t>14053.001.1003.011</t>
  </si>
  <si>
    <t>25-09-1978</t>
  </si>
  <si>
    <t>14053.001.1003.013</t>
  </si>
  <si>
    <t>27-08-1987</t>
  </si>
  <si>
    <t>14053.003.1003.019</t>
  </si>
  <si>
    <t>18-12-1972</t>
  </si>
  <si>
    <t>FABER CASTELL</t>
  </si>
  <si>
    <t>14053.002.1003.026</t>
  </si>
  <si>
    <t>08-02-1955</t>
  </si>
  <si>
    <t>DINAS KESEHATAN</t>
  </si>
  <si>
    <t>14053.006.1003.027</t>
  </si>
  <si>
    <t>29-12-1987</t>
  </si>
  <si>
    <t>SDK SANTA MARIA TUMPANG</t>
  </si>
  <si>
    <t>14053.006.1003.041</t>
  </si>
  <si>
    <t>22-08-1983</t>
  </si>
  <si>
    <t>RONGSOKAN</t>
  </si>
  <si>
    <t>14053.001.1003.045</t>
  </si>
  <si>
    <t>02-07-1982</t>
  </si>
  <si>
    <t>14053.001.1003.046</t>
  </si>
  <si>
    <t>24-02-1960</t>
  </si>
  <si>
    <t>CVFATIMAH</t>
  </si>
  <si>
    <t>14053.001.1003.047</t>
  </si>
  <si>
    <t>15-06-1974</t>
  </si>
  <si>
    <t>14053.001.1003.051</t>
  </si>
  <si>
    <t>20-03-1982</t>
  </si>
  <si>
    <t>JET MEDIA</t>
  </si>
  <si>
    <t>14053.003.1003.052</t>
  </si>
  <si>
    <t>28-02-1982</t>
  </si>
  <si>
    <t>14053.003.1003.054</t>
  </si>
  <si>
    <t>10-05-1973</t>
  </si>
  <si>
    <t>14053.001.1003.057</t>
  </si>
  <si>
    <t>07-04-1977</t>
  </si>
  <si>
    <t>14053.006.1003.061</t>
  </si>
  <si>
    <t>18-12-1986</t>
  </si>
  <si>
    <t>14053.003.1003.062</t>
  </si>
  <si>
    <t>30-12-1964</t>
  </si>
  <si>
    <t>25-09-1990</t>
  </si>
  <si>
    <t>14053.003.1003.070</t>
  </si>
  <si>
    <t>04-04-1983</t>
  </si>
  <si>
    <t xml:space="preserve">RUMAH SAKIT PARU </t>
  </si>
  <si>
    <t>14053.003.1003.071</t>
  </si>
  <si>
    <t>17-01-1978</t>
  </si>
  <si>
    <t>05-01-1970</t>
  </si>
  <si>
    <t>14053.003.1003.074</t>
  </si>
  <si>
    <t>ROMO</t>
  </si>
  <si>
    <t>14053.003.1003.075</t>
  </si>
  <si>
    <t>14-05-1964</t>
  </si>
  <si>
    <t>14053.006.1003.076</t>
  </si>
  <si>
    <t>20-10-1974</t>
  </si>
  <si>
    <t>AKADEMI MILITER</t>
  </si>
  <si>
    <t>14053.001.1003.077</t>
  </si>
  <si>
    <t>26-08-1973</t>
  </si>
  <si>
    <t>14053.001.1003.078</t>
  </si>
  <si>
    <t>17-10-1967</t>
  </si>
  <si>
    <t>14053.003.1003.079</t>
  </si>
  <si>
    <t>07-09-1947</t>
  </si>
  <si>
    <t>14053.001.1003.080</t>
  </si>
  <si>
    <t>20-08-1999</t>
  </si>
  <si>
    <t>14053.001.1003.081</t>
  </si>
  <si>
    <t>28-11-1963</t>
  </si>
  <si>
    <t>SDN SUKOHARJO3</t>
  </si>
  <si>
    <t>14053.003.1003.083</t>
  </si>
  <si>
    <t>17-11-1973</t>
  </si>
  <si>
    <t>14053.003.1003.084</t>
  </si>
  <si>
    <t>04-02-1967</t>
  </si>
  <si>
    <t>14053.003.1003.086</t>
  </si>
  <si>
    <t>15-07-1965</t>
  </si>
  <si>
    <t>14053.004.1003.090</t>
  </si>
  <si>
    <t>05-10-1973</t>
  </si>
  <si>
    <t>14053.002.1003.091</t>
  </si>
  <si>
    <t>31-12-1965</t>
  </si>
  <si>
    <t>SMPN 1 KRAKSAAN</t>
  </si>
  <si>
    <t>14053.001.1003.096</t>
  </si>
  <si>
    <t>18-06-1975</t>
  </si>
  <si>
    <t>14053.003.1003.098</t>
  </si>
  <si>
    <t>12-07-1981</t>
  </si>
  <si>
    <t>14053.001.1003.103</t>
  </si>
  <si>
    <t>18-12-1980</t>
  </si>
  <si>
    <t>CATERING, PENITIPAN ANAK, KUE</t>
  </si>
  <si>
    <t>14053.001.1003.108</t>
  </si>
  <si>
    <t>27-08-1985</t>
  </si>
  <si>
    <t>14053.003.1003.111</t>
  </si>
  <si>
    <t>22-10-2002</t>
  </si>
  <si>
    <t>24-12-1982</t>
  </si>
  <si>
    <t>14053.003.1003.120</t>
  </si>
  <si>
    <t>04-07-1981</t>
  </si>
  <si>
    <t>14053.002.1003.124</t>
  </si>
  <si>
    <t>11-10-1971</t>
  </si>
  <si>
    <t>SPBU KEDUNGJAJAK LUMAJANG</t>
  </si>
  <si>
    <t>14053.003.1003.126</t>
  </si>
  <si>
    <t>29-09-1965</t>
  </si>
  <si>
    <t>JUAL SNACK</t>
  </si>
  <si>
    <t>CAMRING BUDHE</t>
  </si>
  <si>
    <t>14053.002.1003.127</t>
  </si>
  <si>
    <t>15-01-1972</t>
  </si>
  <si>
    <t>14053.006.1003.128</t>
  </si>
  <si>
    <t>20-02-1972</t>
  </si>
  <si>
    <t>14053.001.1003.136</t>
  </si>
  <si>
    <t>25-12-1985</t>
  </si>
  <si>
    <t>14053.003.1003.137</t>
  </si>
  <si>
    <t>21-10-1974</t>
  </si>
  <si>
    <t>14053.001.1003.139</t>
  </si>
  <si>
    <t>12-11-1978</t>
  </si>
  <si>
    <t>PENJUAL NASI GORENG</t>
  </si>
  <si>
    <t>14053.001.1003.144</t>
  </si>
  <si>
    <t>25-04-1977</t>
  </si>
  <si>
    <t>14053.001.1003.148</t>
  </si>
  <si>
    <t>KEDAI BAKSO PPI</t>
  </si>
  <si>
    <t>14053.002.1003.153</t>
  </si>
  <si>
    <t>11-06-1951</t>
  </si>
  <si>
    <t>WARUNG NASI SOTO</t>
  </si>
  <si>
    <t>14053.003.1003.154</t>
  </si>
  <si>
    <t>18-10-1968</t>
  </si>
  <si>
    <t>14053.001.1003.156</t>
  </si>
  <si>
    <t>24-08-1985</t>
  </si>
  <si>
    <t>14053.001.1003.159</t>
  </si>
  <si>
    <t>15-11-1990</t>
  </si>
  <si>
    <t>HONORER KECAMATAN KADEMANGAN</t>
  </si>
  <si>
    <t>14053.001.1003.160</t>
  </si>
  <si>
    <t>30-12-1989</t>
  </si>
  <si>
    <t>14053.001.1003.162</t>
  </si>
  <si>
    <t>07-06-1987</t>
  </si>
  <si>
    <t>14053.001.1003.164</t>
  </si>
  <si>
    <t>13-09-1976</t>
  </si>
  <si>
    <t>KARY PT MARUNDA</t>
  </si>
  <si>
    <t>14053.002.1003.166</t>
  </si>
  <si>
    <t>01-07-1981</t>
  </si>
  <si>
    <t>PETANI &amp; EKSPEDISI ANGKUTAN</t>
  </si>
  <si>
    <t>14053.006.1003.167</t>
  </si>
  <si>
    <t>14053.002.1003.168</t>
  </si>
  <si>
    <t>01-03-1987</t>
  </si>
  <si>
    <t>SYECH ABDUL QODIR JALILANI</t>
  </si>
  <si>
    <t>14053.002.1003.170</t>
  </si>
  <si>
    <t>01-07-1976</t>
  </si>
  <si>
    <t>15-01-1951</t>
  </si>
  <si>
    <t>14053.001.1003.177</t>
  </si>
  <si>
    <t>12-06-1978</t>
  </si>
  <si>
    <t>14053.001.1003.178</t>
  </si>
  <si>
    <t>16-03-1982</t>
  </si>
  <si>
    <t>14053.003.1003.182</t>
  </si>
  <si>
    <t>22-01-1977</t>
  </si>
  <si>
    <t>14053.006.1003.188</t>
  </si>
  <si>
    <t>09-04-1971</t>
  </si>
  <si>
    <t>14053.001.1003.190</t>
  </si>
  <si>
    <t>05-10-1979</t>
  </si>
  <si>
    <t>BENGKEL SEPEDA MOTOR</t>
  </si>
  <si>
    <t>ABEL RIZQI (BENGKEL)</t>
  </si>
  <si>
    <t>14053.005.1003.191</t>
  </si>
  <si>
    <t>23-12-1979</t>
  </si>
  <si>
    <t>14053.005.1003.192</t>
  </si>
  <si>
    <t>14053.002.1003.195</t>
  </si>
  <si>
    <t>NOTARIS</t>
  </si>
  <si>
    <t>14053.006.1003.198</t>
  </si>
  <si>
    <t>08-05-1965</t>
  </si>
  <si>
    <t>14053.001.1003.199</t>
  </si>
  <si>
    <t>01-08-1961</t>
  </si>
  <si>
    <t>MAKANAN RINGAN</t>
  </si>
  <si>
    <t>14053.003.1003.200</t>
  </si>
  <si>
    <t>26-11-1961</t>
  </si>
  <si>
    <t>14053.001.1003.203</t>
  </si>
  <si>
    <t>28-10-1998</t>
  </si>
  <si>
    <t>SHABRINA GORDEN</t>
  </si>
  <si>
    <t>14053.003.1003.204</t>
  </si>
  <si>
    <t>17-08-1982</t>
  </si>
  <si>
    <t>14053.004.1003.205</t>
  </si>
  <si>
    <t>09-02-1986</t>
  </si>
  <si>
    <t>14053.003.1003.208</t>
  </si>
  <si>
    <t>25-10-2007</t>
  </si>
  <si>
    <t>14053.003.1003.216</t>
  </si>
  <si>
    <t>22-02-1985</t>
  </si>
  <si>
    <t>14053.003.1003.217</t>
  </si>
  <si>
    <t>08-04-1978</t>
  </si>
  <si>
    <t>14053.006.1003.221</t>
  </si>
  <si>
    <t>17-04-1973</t>
  </si>
  <si>
    <t>JASA SELEPAN</t>
  </si>
  <si>
    <t>14053.002.1003.223</t>
  </si>
  <si>
    <t>10-09-1966</t>
  </si>
  <si>
    <t>14053.001.1003.226</t>
  </si>
  <si>
    <t>02-09-1989</t>
  </si>
  <si>
    <t>14053.001.1003.228</t>
  </si>
  <si>
    <t>14053.001.1003.233</t>
  </si>
  <si>
    <t>29-08-1984</t>
  </si>
  <si>
    <t>SMAN 1 DRINGU</t>
  </si>
  <si>
    <t>14053.001.1003.236</t>
  </si>
  <si>
    <t>31-12-1968</t>
  </si>
  <si>
    <t>SDN MANGUNHARJO</t>
  </si>
  <si>
    <t>14053.001.1003.238</t>
  </si>
  <si>
    <t>19-05-1966</t>
  </si>
  <si>
    <t>14053.001.1003.246</t>
  </si>
  <si>
    <t>09-10-1971</t>
  </si>
  <si>
    <t>14053.006.1003.247</t>
  </si>
  <si>
    <t>21-05-1963</t>
  </si>
  <si>
    <t>14053.005.1003.251</t>
  </si>
  <si>
    <t>06-01-1974</t>
  </si>
  <si>
    <t>KARYAWAN PABRIK</t>
  </si>
  <si>
    <t>14053.001.1003.253</t>
  </si>
  <si>
    <t>05-10-1982</t>
  </si>
  <si>
    <t>Paranormal</t>
  </si>
  <si>
    <t>CENAYANG</t>
  </si>
  <si>
    <t>14053.006.1003.258</t>
  </si>
  <si>
    <t>02-12-1959</t>
  </si>
  <si>
    <t>04-06-1993</t>
  </si>
  <si>
    <t>ASURANSI</t>
  </si>
  <si>
    <t>14053.004.1003.266</t>
  </si>
  <si>
    <t>14053.004.1003.267</t>
  </si>
  <si>
    <t>30-04-1952</t>
  </si>
  <si>
    <t>SDN 1 DADAPAN</t>
  </si>
  <si>
    <t>14053.004.1003.270</t>
  </si>
  <si>
    <t>12-12-1954</t>
  </si>
  <si>
    <t>SDN 5 TAMANSARI</t>
  </si>
  <si>
    <t>10-12-1979</t>
  </si>
  <si>
    <t>14053.004.1003.272</t>
  </si>
  <si>
    <t>06-10-1976</t>
  </si>
  <si>
    <t>Wartawan</t>
  </si>
  <si>
    <t>TV ONE</t>
  </si>
  <si>
    <t>14053.004.1003.273</t>
  </si>
  <si>
    <t>29-09-1984</t>
  </si>
  <si>
    <t>UNTAG BANYUWANGI</t>
  </si>
  <si>
    <t>14053.004.1003.278</t>
  </si>
  <si>
    <t>22-03-1973</t>
  </si>
  <si>
    <t>TK SIWI PENI</t>
  </si>
  <si>
    <t>14053.001.1003.279</t>
  </si>
  <si>
    <t>30-04-1976</t>
  </si>
  <si>
    <t>TK HUDAYA</t>
  </si>
  <si>
    <t>14053.002.1003.282</t>
  </si>
  <si>
    <t>01-10-1955</t>
  </si>
  <si>
    <t>14053.001.1003.284</t>
  </si>
  <si>
    <t>15-02-1961</t>
  </si>
  <si>
    <t>14053.001.1003.289</t>
  </si>
  <si>
    <t>14053.002.1003.291</t>
  </si>
  <si>
    <t>19-08-1957</t>
  </si>
  <si>
    <t>14053.002.1003.294</t>
  </si>
  <si>
    <t>14-12-1972</t>
  </si>
  <si>
    <t>14053.001.1003.298</t>
  </si>
  <si>
    <t>14-08-1988</t>
  </si>
  <si>
    <t>14053.001.1003.301</t>
  </si>
  <si>
    <t>16-05-1971</t>
  </si>
  <si>
    <t>14053.001.1003.302</t>
  </si>
  <si>
    <t>06-05-1963</t>
  </si>
  <si>
    <t>14053.001.1003.305</t>
  </si>
  <si>
    <t>10-04-1967</t>
  </si>
  <si>
    <t>14053.001.1003.314</t>
  </si>
  <si>
    <t>18-11-1958</t>
  </si>
  <si>
    <t>14053.001.1003.317</t>
  </si>
  <si>
    <t>01-05-1974</t>
  </si>
  <si>
    <t>14053.002.1003.320</t>
  </si>
  <si>
    <t>11-11-1974</t>
  </si>
  <si>
    <t>22-09-1985</t>
  </si>
  <si>
    <t>14053.001.1003.323</t>
  </si>
  <si>
    <t>08-02-1978</t>
  </si>
  <si>
    <t>14053.003.1003.324</t>
  </si>
  <si>
    <t>05-06-1973</t>
  </si>
  <si>
    <t>14053.001.1003.326</t>
  </si>
  <si>
    <t>TK PUSPORINI</t>
  </si>
  <si>
    <t>14053.001.1003.334</t>
  </si>
  <si>
    <t>03-12-1954</t>
  </si>
  <si>
    <t>14053.001.1003.336</t>
  </si>
  <si>
    <t>03-11-1979</t>
  </si>
  <si>
    <t>14053.002.1003.339</t>
  </si>
  <si>
    <t>14-01-1984</t>
  </si>
  <si>
    <t>SELEB PADI</t>
  </si>
  <si>
    <t>14053.001.1003.340</t>
  </si>
  <si>
    <t>05-01-1972</t>
  </si>
  <si>
    <t>TOKO KARUNIA</t>
  </si>
  <si>
    <t>14053.003.1003.341</t>
  </si>
  <si>
    <t>07-09-1982</t>
  </si>
  <si>
    <t>14053.001.1003.343</t>
  </si>
  <si>
    <t>14053.003.1003.344</t>
  </si>
  <si>
    <t>03-09-1977</t>
  </si>
  <si>
    <t>14053.003.1003.347</t>
  </si>
  <si>
    <t>17-06-1968</t>
  </si>
  <si>
    <t>14053.003.1003.348</t>
  </si>
  <si>
    <t>02-02-1966</t>
  </si>
  <si>
    <t>14053.006.1003.353</t>
  </si>
  <si>
    <t>07-11-1976</t>
  </si>
  <si>
    <t>14053.002.1003.355</t>
  </si>
  <si>
    <t>21-09-1971</t>
  </si>
  <si>
    <t>14053.001.1003.357</t>
  </si>
  <si>
    <t>25-07-1986</t>
  </si>
  <si>
    <t>14053.001.1003.358</t>
  </si>
  <si>
    <t>22-07-1954</t>
  </si>
  <si>
    <t>WARUNG NDESO</t>
  </si>
  <si>
    <t>14053.001.1003.359</t>
  </si>
  <si>
    <t>27-09-1970</t>
  </si>
  <si>
    <t>14053.003.1003.363</t>
  </si>
  <si>
    <t>27-04-1995</t>
  </si>
  <si>
    <t>14053.006.1003.365</t>
  </si>
  <si>
    <t>26-01-1963</t>
  </si>
  <si>
    <t>14053.002.1003.366</t>
  </si>
  <si>
    <t>19-07-1980</t>
  </si>
  <si>
    <t>WARUNG MAKAN PONDOK JUS</t>
  </si>
  <si>
    <t>14053.001.1003.367</t>
  </si>
  <si>
    <t>28-02-1981</t>
  </si>
  <si>
    <t>PEDAGANG GAS</t>
  </si>
  <si>
    <t>14053.006.1003.373</t>
  </si>
  <si>
    <t>23-04-1985</t>
  </si>
  <si>
    <t>14053.002.1003.375</t>
  </si>
  <si>
    <t>15-02-1972</t>
  </si>
  <si>
    <t>STAI ZAINUL HASAN GENGGONG</t>
  </si>
  <si>
    <t>14053.001.1003.381</t>
  </si>
  <si>
    <t>05-08-1960</t>
  </si>
  <si>
    <t>SDN TISNONEGARAN 3</t>
  </si>
  <si>
    <t>14053.006.1003.385</t>
  </si>
  <si>
    <t>12-06-1967</t>
  </si>
  <si>
    <t>PENGUSAHA TEMPE</t>
  </si>
  <si>
    <t>14053.003.1003.386</t>
  </si>
  <si>
    <t>14053.001.1003.393</t>
  </si>
  <si>
    <t>24-12-1989</t>
  </si>
  <si>
    <t>14053.006.1003.394</t>
  </si>
  <si>
    <t>12-07-1959</t>
  </si>
  <si>
    <t>14053.005.1003.398</t>
  </si>
  <si>
    <t>08-01-1982</t>
  </si>
  <si>
    <t>PT ANUGERAH DAYA SEJATI</t>
  </si>
  <si>
    <t>14053.005.1003.403</t>
  </si>
  <si>
    <t>12-09-1983</t>
  </si>
  <si>
    <t>GURU HONORER</t>
  </si>
  <si>
    <t>SMAK ST THOMAS AQUINO</t>
  </si>
  <si>
    <t>14053.001.1003.409</t>
  </si>
  <si>
    <t>02-03-1960</t>
  </si>
  <si>
    <t>14053.001.1003.411</t>
  </si>
  <si>
    <t>26-09-1983</t>
  </si>
  <si>
    <t>DAVINCI CELL</t>
  </si>
  <si>
    <t>14053.003.1003.413</t>
  </si>
  <si>
    <t>15-04-1966</t>
  </si>
  <si>
    <t>14053.001.1003.418</t>
  </si>
  <si>
    <t>31-05-1983</t>
  </si>
  <si>
    <t>14053.006.1003.422</t>
  </si>
  <si>
    <t>04-11-1977</t>
  </si>
  <si>
    <t>14053.001.1003.430</t>
  </si>
  <si>
    <t>15-10-1972</t>
  </si>
  <si>
    <t>PDAM KAB. PROBOLINGGO</t>
  </si>
  <si>
    <t>14053.003.1003.431</t>
  </si>
  <si>
    <t>28-02-1997</t>
  </si>
  <si>
    <t>PEMADAM KEBAKARAN</t>
  </si>
  <si>
    <t>14053.006.1003.432</t>
  </si>
  <si>
    <t>PKBM PERMATA</t>
  </si>
  <si>
    <t>14053.001.1003.433</t>
  </si>
  <si>
    <t>19-09-1960</t>
  </si>
  <si>
    <t>14053.001.1003.435</t>
  </si>
  <si>
    <t>27-07-1988</t>
  </si>
  <si>
    <t>ERATEX</t>
  </si>
  <si>
    <t>14053.001.1003.438</t>
  </si>
  <si>
    <t>05-11-1971</t>
  </si>
  <si>
    <t>MAKANAN</t>
  </si>
  <si>
    <t>14053.002.1003.440</t>
  </si>
  <si>
    <t>10-09-1980</t>
  </si>
  <si>
    <t>14053.003.1003.441</t>
  </si>
  <si>
    <t>05-12-1974</t>
  </si>
  <si>
    <t>14053.006.1003.448</t>
  </si>
  <si>
    <t>18-02-1975</t>
  </si>
  <si>
    <t>14053.005.1003.449</t>
  </si>
  <si>
    <t>30-12-1980</t>
  </si>
  <si>
    <t>14053.006.1003.451</t>
  </si>
  <si>
    <t>14053.003.1003.453</t>
  </si>
  <si>
    <t>02-12-1974</t>
  </si>
  <si>
    <t>14053.006.1003.454</t>
  </si>
  <si>
    <t>25-03-1983</t>
  </si>
  <si>
    <t>14053.006.1003.457</t>
  </si>
  <si>
    <t>17-12-1976</t>
  </si>
  <si>
    <t>14053.001.1003.462</t>
  </si>
  <si>
    <t>14-01-1980</t>
  </si>
  <si>
    <t>14053.002.1003.466</t>
  </si>
  <si>
    <t>17-05-1987</t>
  </si>
  <si>
    <t>WARTEG BU WIWIK</t>
  </si>
  <si>
    <t>14053.001.1003.467</t>
  </si>
  <si>
    <t>05-08-1962</t>
  </si>
  <si>
    <t>TOKO ONDERDIL SEPEDA</t>
  </si>
  <si>
    <t>14053.002.1003.469</t>
  </si>
  <si>
    <t>24-07-1981</t>
  </si>
  <si>
    <t>14053.002.1003.472</t>
  </si>
  <si>
    <t>14053.002.1003.475</t>
  </si>
  <si>
    <t>10-11-1988</t>
  </si>
  <si>
    <t>14053.001.1003.478</t>
  </si>
  <si>
    <t>06-06-1959</t>
  </si>
  <si>
    <t>DEPOT ANUGRAH</t>
  </si>
  <si>
    <t>14053.001.1003.479</t>
  </si>
  <si>
    <t>05-11-1982</t>
  </si>
  <si>
    <t>DINAS PERHUBUNGAN</t>
  </si>
  <si>
    <t>14053.001.1003.483</t>
  </si>
  <si>
    <t>23-04-1986</t>
  </si>
  <si>
    <t>MTS UNGGULAN TNS BGS</t>
  </si>
  <si>
    <t>14053.004.1003.484</t>
  </si>
  <si>
    <t>19-05-1980</t>
  </si>
  <si>
    <t>14053.004.1003.486</t>
  </si>
  <si>
    <t>14053.001.1003.491</t>
  </si>
  <si>
    <t>01-07-1965</t>
  </si>
  <si>
    <t>PEMBANTU RUMAH TANGGA</t>
  </si>
  <si>
    <t>14053.004.1003.494</t>
  </si>
  <si>
    <t>25-08-1965</t>
  </si>
  <si>
    <t>KSP KURNIA ARTHA ABADI</t>
  </si>
  <si>
    <t>14053.001.1003.496</t>
  </si>
  <si>
    <t>02-11-1960</t>
  </si>
  <si>
    <t>14053.001.1003.500</t>
  </si>
  <si>
    <t>20-05-1961</t>
  </si>
  <si>
    <t>14053.004.1003.505</t>
  </si>
  <si>
    <t>10-09-1985</t>
  </si>
  <si>
    <t>14053.003.1003.507</t>
  </si>
  <si>
    <t>08-06-1971</t>
  </si>
  <si>
    <t>14053.003.1003.508</t>
  </si>
  <si>
    <t>10-10-1949</t>
  </si>
  <si>
    <t>14053.006.1003.514</t>
  </si>
  <si>
    <t>14-05-1972</t>
  </si>
  <si>
    <t xml:space="preserve">USAHA JASA </t>
  </si>
  <si>
    <t>PERSEWAAN SOUND SYSTEM</t>
  </si>
  <si>
    <t>14053.002.1003.515</t>
  </si>
  <si>
    <t>03-06-1978</t>
  </si>
  <si>
    <t>KOPERASI BANGKIT KARYA MANDIRI</t>
  </si>
  <si>
    <t>14053.006.1003.516</t>
  </si>
  <si>
    <t>15-04-1983</t>
  </si>
  <si>
    <t>14053.001.1003.520</t>
  </si>
  <si>
    <t>27-09-1971</t>
  </si>
  <si>
    <t>14053.001.1003.532</t>
  </si>
  <si>
    <t>03-01-1983</t>
  </si>
  <si>
    <t>SDN MANGUNHARJO 4</t>
  </si>
  <si>
    <t>14053.003.1003.534</t>
  </si>
  <si>
    <t>24-03-1969</t>
  </si>
  <si>
    <t>14053.004.1003.537</t>
  </si>
  <si>
    <t>14053.001.1003.539</t>
  </si>
  <si>
    <t>13-03-1982</t>
  </si>
  <si>
    <t>14053.003.1003.542</t>
  </si>
  <si>
    <t>15-05-1976</t>
  </si>
  <si>
    <t>14053.006.1003.543</t>
  </si>
  <si>
    <t>13-08-1990</t>
  </si>
  <si>
    <t>14053.002.1003.545</t>
  </si>
  <si>
    <t>25-01-1991</t>
  </si>
  <si>
    <t>14053.001.1003.546</t>
  </si>
  <si>
    <t>31-03-1973</t>
  </si>
  <si>
    <t>JUAL LPG</t>
  </si>
  <si>
    <t>14053.002.1003.548</t>
  </si>
  <si>
    <t>10-06-1977</t>
  </si>
  <si>
    <t>14053.006.1003.555</t>
  </si>
  <si>
    <t>21-08-1970</t>
  </si>
  <si>
    <t>14053.001.1003.564</t>
  </si>
  <si>
    <t>05-03-1987</t>
  </si>
  <si>
    <t>PEDAGANG ECERAN</t>
  </si>
  <si>
    <t>PASAR</t>
  </si>
  <si>
    <t>14053.001.1003.565</t>
  </si>
  <si>
    <t>21-10-1982</t>
  </si>
  <si>
    <t>14053.006.1003.567</t>
  </si>
  <si>
    <t>08-04-1963</t>
  </si>
  <si>
    <t>14053.006.1003.568</t>
  </si>
  <si>
    <t>25-06-1940</t>
  </si>
  <si>
    <t>14053.001.1003.570</t>
  </si>
  <si>
    <t>19-01-1970</t>
  </si>
  <si>
    <t>14053.001.1003.571</t>
  </si>
  <si>
    <t>03-09-1978</t>
  </si>
  <si>
    <t>BENGKEL</t>
  </si>
  <si>
    <t>14053.001.1003.574</t>
  </si>
  <si>
    <t xml:space="preserve">TRANSPORTASI </t>
  </si>
  <si>
    <t>ANGKUTAN TRUK</t>
  </si>
  <si>
    <t>14053.001.1003.575</t>
  </si>
  <si>
    <t>08-05-1959</t>
  </si>
  <si>
    <t>14053.006.1003.576</t>
  </si>
  <si>
    <t>21-01-1963</t>
  </si>
  <si>
    <t>PENJUAL KERUPUK</t>
  </si>
  <si>
    <t>14053.003.1003.579</t>
  </si>
  <si>
    <t>13-09-1991</t>
  </si>
  <si>
    <t>14053.001.1003.581</t>
  </si>
  <si>
    <t>21-10-1984</t>
  </si>
  <si>
    <t>14053.006.1003.587</t>
  </si>
  <si>
    <t>09-05-1968</t>
  </si>
  <si>
    <t>14053.006.1003.604</t>
  </si>
  <si>
    <t>PEMASAR OBAT</t>
  </si>
  <si>
    <t>14053.004.1003.605</t>
  </si>
  <si>
    <t>24-01-1991</t>
  </si>
  <si>
    <t>BTPN</t>
  </si>
  <si>
    <t>14053.004.1003.606</t>
  </si>
  <si>
    <t>23-10-1986</t>
  </si>
  <si>
    <t>14053.004.1003.610</t>
  </si>
  <si>
    <t>21-02-1982</t>
  </si>
  <si>
    <t>14053.006.1003.617</t>
  </si>
  <si>
    <t>06-11-1977</t>
  </si>
  <si>
    <t>14053.002.1003.624</t>
  </si>
  <si>
    <t>14-06-1964</t>
  </si>
  <si>
    <t>14053.004.1003.629</t>
  </si>
  <si>
    <t>20-03-1980</t>
  </si>
  <si>
    <t>PT WARISAN EURINDO</t>
  </si>
  <si>
    <t>14053.005.1003.630</t>
  </si>
  <si>
    <t>05-01-1982</t>
  </si>
  <si>
    <t>14053.005.1003.632</t>
  </si>
  <si>
    <t>17-09-1989</t>
  </si>
  <si>
    <t>04-10-1980</t>
  </si>
  <si>
    <t>NOTARIS SINGGIH K</t>
  </si>
  <si>
    <t>14053.002.1003.639</t>
  </si>
  <si>
    <t>11-10-1976</t>
  </si>
  <si>
    <t>14053.004.1003.644</t>
  </si>
  <si>
    <t>09-12-1989</t>
  </si>
  <si>
    <t>14053.003.1003.645</t>
  </si>
  <si>
    <t>INSTRUKTUR SENAM</t>
  </si>
  <si>
    <t>14053.001.1003.646</t>
  </si>
  <si>
    <t>30-03-1974</t>
  </si>
  <si>
    <t>14053.001.1003.651</t>
  </si>
  <si>
    <t>07-03-1972</t>
  </si>
  <si>
    <t>14053.001.1003.656</t>
  </si>
  <si>
    <t>02-04-1990</t>
  </si>
  <si>
    <t>KARY MITRA CELL</t>
  </si>
  <si>
    <t>25-02-1986</t>
  </si>
  <si>
    <t>14053.002.1003.662</t>
  </si>
  <si>
    <t>20-01-1983</t>
  </si>
  <si>
    <t>14053.004.1003.664</t>
  </si>
  <si>
    <t>30-06-1956</t>
  </si>
  <si>
    <t>14053.003.1003.669</t>
  </si>
  <si>
    <t>27-12-1971</t>
  </si>
  <si>
    <t>14053.002.1003.670</t>
  </si>
  <si>
    <t>24-09-1954</t>
  </si>
  <si>
    <t>14053.001.1003.674</t>
  </si>
  <si>
    <t>22-12-1970</t>
  </si>
  <si>
    <t>GLORIA FURNITURE</t>
  </si>
  <si>
    <t>14053.003.1003.676</t>
  </si>
  <si>
    <t>15-11-1988</t>
  </si>
  <si>
    <t>14053.003.1003.679</t>
  </si>
  <si>
    <t>23-07-1985</t>
  </si>
  <si>
    <t>14053.002.1003.682</t>
  </si>
  <si>
    <t>30-07-1975</t>
  </si>
  <si>
    <t>PERUM PEGADAIAN PAJARAKAN</t>
  </si>
  <si>
    <t>14053.001.1003.691</t>
  </si>
  <si>
    <t>06-04-1965</t>
  </si>
  <si>
    <t>SMK TAMAN SISWA I</t>
  </si>
  <si>
    <t>14053.006.1003.692</t>
  </si>
  <si>
    <t>11-02-1970</t>
  </si>
  <si>
    <t>JUAL BENSIN DAN ROKOK</t>
  </si>
  <si>
    <t>14053.002.1003.693</t>
  </si>
  <si>
    <t>14053.001.1003.695</t>
  </si>
  <si>
    <t>14053.004.1003.696</t>
  </si>
  <si>
    <t>15-08-1970</t>
  </si>
  <si>
    <t>14053.004.1003.697</t>
  </si>
  <si>
    <t>25-11-1986</t>
  </si>
  <si>
    <t>SPG</t>
  </si>
  <si>
    <t>SUSU KALBE</t>
  </si>
  <si>
    <t>14053.004.1003.698</t>
  </si>
  <si>
    <t>03-05-1972</t>
  </si>
  <si>
    <t>NELAYAN</t>
  </si>
  <si>
    <t>14053.004.1003.700</t>
  </si>
  <si>
    <t>29-06-1963</t>
  </si>
  <si>
    <t>PT ALTIS</t>
  </si>
  <si>
    <t>14053.002.1003.702</t>
  </si>
  <si>
    <t>05-05-1975</t>
  </si>
  <si>
    <t>14053.004.1003.703</t>
  </si>
  <si>
    <t>03-09-1965</t>
  </si>
  <si>
    <t>14053.004.1003.705</t>
  </si>
  <si>
    <t>10-08-1990</t>
  </si>
  <si>
    <t>ADIRA FINANCE</t>
  </si>
  <si>
    <t>14053.004.1003.707</t>
  </si>
  <si>
    <t>15-07-1970</t>
  </si>
  <si>
    <t>14053.001.1003.709</t>
  </si>
  <si>
    <t>12-03-1964</t>
  </si>
  <si>
    <t>14053.004.1003.710</t>
  </si>
  <si>
    <t>17-02-1971</t>
  </si>
  <si>
    <t>TK SAMAPTA</t>
  </si>
  <si>
    <t>14053.004.1003.712</t>
  </si>
  <si>
    <t>15-06-1967</t>
  </si>
  <si>
    <t>14053.004.1003.713</t>
  </si>
  <si>
    <t>14053.004.1003.714</t>
  </si>
  <si>
    <t>09-07-1963</t>
  </si>
  <si>
    <t>14053.004.1003.715</t>
  </si>
  <si>
    <t>03-05-1983</t>
  </si>
  <si>
    <t>PT WAHANA OTTOMITRA MULTIARTHA</t>
  </si>
  <si>
    <t>14053.004.1003.717</t>
  </si>
  <si>
    <t>16-06-1988</t>
  </si>
  <si>
    <t>14053.004.1003.718</t>
  </si>
  <si>
    <t>13-05-1981</t>
  </si>
  <si>
    <t>14053.004.1003.719</t>
  </si>
  <si>
    <t>25-04-1983</t>
  </si>
  <si>
    <t>PT RODA SAKTI SURYA RAYA</t>
  </si>
  <si>
    <t>14053.003.1003.722</t>
  </si>
  <si>
    <t>14053.002.1003.724</t>
  </si>
  <si>
    <t>19-09-1984</t>
  </si>
  <si>
    <t>14053.002.1003.725</t>
  </si>
  <si>
    <t>15-01-1987</t>
  </si>
  <si>
    <t>14053.001.1003.726</t>
  </si>
  <si>
    <t>31-01-1964</t>
  </si>
  <si>
    <t>DEVELOPER</t>
  </si>
  <si>
    <t>14053.004.1003.736</t>
  </si>
  <si>
    <t>30-06-1954</t>
  </si>
  <si>
    <t>SOPIR</t>
  </si>
  <si>
    <t>14053.001.1003.738</t>
  </si>
  <si>
    <t>11-06-1982</t>
  </si>
  <si>
    <t>SYALOM EDUCATION CENTRE</t>
  </si>
  <si>
    <t>14053.002.1003.741</t>
  </si>
  <si>
    <t>28-10-1964</t>
  </si>
  <si>
    <t>TKK ST PIUS</t>
  </si>
  <si>
    <t>14053.006.1003.748</t>
  </si>
  <si>
    <t>09-12-1970</t>
  </si>
  <si>
    <t>14053.002.1003.749</t>
  </si>
  <si>
    <t>26-10-1980</t>
  </si>
  <si>
    <t>14053.003.1003.755</t>
  </si>
  <si>
    <t>14053.003.1003.759</t>
  </si>
  <si>
    <t>07-02-1961</t>
  </si>
  <si>
    <t>14053.004.1003.761</t>
  </si>
  <si>
    <t>08-08-1988</t>
  </si>
  <si>
    <t>BADAN PERTANAHAN NASIONAL</t>
  </si>
  <si>
    <t>14053.004.1003.762</t>
  </si>
  <si>
    <t>24-10-1984</t>
  </si>
  <si>
    <t>TELKOMSEL</t>
  </si>
  <si>
    <t>14053.001.1003.763</t>
  </si>
  <si>
    <t>16-06-1982</t>
  </si>
  <si>
    <t>POLRES KURIPAN</t>
  </si>
  <si>
    <t>14053.006.1003.768</t>
  </si>
  <si>
    <t>14-04-1973</t>
  </si>
  <si>
    <t>14053.002.1003.769</t>
  </si>
  <si>
    <t>28-08-1967</t>
  </si>
  <si>
    <t>14053.002.1003.770</t>
  </si>
  <si>
    <t>15-07-1961</t>
  </si>
  <si>
    <t>SDN PATOKAN 1</t>
  </si>
  <si>
    <t>14053.003.1003.773</t>
  </si>
  <si>
    <t>12-10-1965</t>
  </si>
  <si>
    <t>14053.001.1003.783</t>
  </si>
  <si>
    <t>24-05-1950</t>
  </si>
  <si>
    <t>14053.001.1003.787</t>
  </si>
  <si>
    <t>09-02-1983</t>
  </si>
  <si>
    <t>14053.004.1003.789</t>
  </si>
  <si>
    <t>28-08-1984</t>
  </si>
  <si>
    <t>14053.003.1003.790</t>
  </si>
  <si>
    <t>23-12-1978</t>
  </si>
  <si>
    <t>14053.002.1003.791</t>
  </si>
  <si>
    <t>22-08-1970</t>
  </si>
  <si>
    <t>14053.003.1003.795</t>
  </si>
  <si>
    <t>05-05-1967</t>
  </si>
  <si>
    <t>14053.003.1003.796</t>
  </si>
  <si>
    <t>24-01-1971</t>
  </si>
  <si>
    <t>14053.006.1003.797</t>
  </si>
  <si>
    <t>31-07-1979</t>
  </si>
  <si>
    <t>14053.001.1003.805</t>
  </si>
  <si>
    <t>14053.002.1003.808</t>
  </si>
  <si>
    <t>16-01-1974</t>
  </si>
  <si>
    <t>14053.001.1003.813</t>
  </si>
  <si>
    <t>04-09-1964</t>
  </si>
  <si>
    <t>14053.001.1003.814</t>
  </si>
  <si>
    <t>09-09-1951</t>
  </si>
  <si>
    <t>WAKIL WALI KOTA</t>
  </si>
  <si>
    <t>14053.001.1003.816</t>
  </si>
  <si>
    <t>19-07-1984</t>
  </si>
  <si>
    <t>04-05-1979</t>
  </si>
  <si>
    <t>14053.002.1003.823</t>
  </si>
  <si>
    <t>22-07-1981</t>
  </si>
  <si>
    <t>CV REALITA</t>
  </si>
  <si>
    <t>14053.006.1003.825</t>
  </si>
  <si>
    <t>01-04-1971</t>
  </si>
  <si>
    <t>14053.006.1003.829</t>
  </si>
  <si>
    <t>05-07-1964</t>
  </si>
  <si>
    <t>GKL</t>
  </si>
  <si>
    <t>14053.003.1003.830</t>
  </si>
  <si>
    <t>06-08-1985</t>
  </si>
  <si>
    <t>14053.003.1003.831</t>
  </si>
  <si>
    <t>16-08-1982</t>
  </si>
  <si>
    <t>PARAHITA</t>
  </si>
  <si>
    <t>14053.004.1003.833</t>
  </si>
  <si>
    <t>04-04-1982</t>
  </si>
  <si>
    <t>ALIAN CELL</t>
  </si>
  <si>
    <t>14053.003.1003.837</t>
  </si>
  <si>
    <t>14053.001.1003.843</t>
  </si>
  <si>
    <t>13-07-1982</t>
  </si>
  <si>
    <t>14053.001.1003.844</t>
  </si>
  <si>
    <t>23-07-1968</t>
  </si>
  <si>
    <t>SMP 2 PROBOLINGGO</t>
  </si>
  <si>
    <t>14053.004.1003.847</t>
  </si>
  <si>
    <t>20-08-1987</t>
  </si>
  <si>
    <t>14053.001.1003.848</t>
  </si>
  <si>
    <t>19-11-1974</t>
  </si>
  <si>
    <t>14053.006.1003.852</t>
  </si>
  <si>
    <t>06-02-1988</t>
  </si>
  <si>
    <t>JUAL SATE</t>
  </si>
  <si>
    <t>14053.001.1003.861</t>
  </si>
  <si>
    <t>27-10-1969</t>
  </si>
  <si>
    <t>KARY NOTARIS FENNY</t>
  </si>
  <si>
    <t>14053.006.1003.863</t>
  </si>
  <si>
    <t>31-12-1979</t>
  </si>
  <si>
    <t>PELUKIS</t>
  </si>
  <si>
    <t>17-06-1984</t>
  </si>
  <si>
    <t>14053.006.1003.868</t>
  </si>
  <si>
    <t>31-01-1961</t>
  </si>
  <si>
    <t>DEPO AIR MINUM</t>
  </si>
  <si>
    <t>14053.001.1003.871</t>
  </si>
  <si>
    <t>15-04-1974</t>
  </si>
  <si>
    <t>14053.006.1003.872</t>
  </si>
  <si>
    <t>27-03-1974</t>
  </si>
  <si>
    <t>14053.001.1003.874</t>
  </si>
  <si>
    <t>13-07-1960</t>
  </si>
  <si>
    <t>CV KSB GROUP</t>
  </si>
  <si>
    <t>14053.001.1003.876</t>
  </si>
  <si>
    <t>17-03-1970</t>
  </si>
  <si>
    <t>UPM</t>
  </si>
  <si>
    <t>14053.001.1003.878</t>
  </si>
  <si>
    <t>29-07-1984</t>
  </si>
  <si>
    <t>JUAL BELI SERVIS HP</t>
  </si>
  <si>
    <t>14053.001.1003.879</t>
  </si>
  <si>
    <t>19-11-1978</t>
  </si>
  <si>
    <t>14053.001.1003.886</t>
  </si>
  <si>
    <t>02-03-1976</t>
  </si>
  <si>
    <t>SMKN 3</t>
  </si>
  <si>
    <t>14053.003.1003.887</t>
  </si>
  <si>
    <t>26-03-1968</t>
  </si>
  <si>
    <t>14053.002.1003.890</t>
  </si>
  <si>
    <t>23-05-1982</t>
  </si>
  <si>
    <t>14053.003.1003.893</t>
  </si>
  <si>
    <t>09-09-1963</t>
  </si>
  <si>
    <t>14053.006.1003.894</t>
  </si>
  <si>
    <t>09-10-1975</t>
  </si>
  <si>
    <t>14053.002.1003.901</t>
  </si>
  <si>
    <t>22-04-1969</t>
  </si>
  <si>
    <t>TUKANG PIJET,TAMBAL BAN</t>
  </si>
  <si>
    <t>14053.002.1003.902</t>
  </si>
  <si>
    <t>19-01-1983</t>
  </si>
  <si>
    <t>14053.001.1003.906</t>
  </si>
  <si>
    <t>15-06-1980</t>
  </si>
  <si>
    <t>CATERING DAN KUE</t>
  </si>
  <si>
    <t>14053.005.1003.919</t>
  </si>
  <si>
    <t>12-02-1987</t>
  </si>
  <si>
    <t>14053.001.1003.920</t>
  </si>
  <si>
    <t>10-04-1986</t>
  </si>
  <si>
    <t>14053.006.1003.922</t>
  </si>
  <si>
    <t>24-02-1971</t>
  </si>
  <si>
    <t>LAS</t>
  </si>
  <si>
    <t>11-07-1978</t>
  </si>
  <si>
    <t>PERACANGAN</t>
  </si>
  <si>
    <t>14053.001.1003.931</t>
  </si>
  <si>
    <t>RUMAH PRODUKSI KULINER</t>
  </si>
  <si>
    <t>14053.004.1003.932</t>
  </si>
  <si>
    <t>20-05-1997</t>
  </si>
  <si>
    <t>14053.001.1003.933</t>
  </si>
  <si>
    <t>18-08-1962</t>
  </si>
  <si>
    <t>PERTANIAN</t>
  </si>
  <si>
    <t>14053.004.1003.936</t>
  </si>
  <si>
    <t>07-06-1976</t>
  </si>
  <si>
    <t>14053.006.1003.942</t>
  </si>
  <si>
    <t>VAN LITH</t>
  </si>
  <si>
    <t>14053.002.1003.943</t>
  </si>
  <si>
    <t>KOSMETIK</t>
  </si>
  <si>
    <t>14053.001.1003.944</t>
  </si>
  <si>
    <t>10-03-1988</t>
  </si>
  <si>
    <t>14053.004.1003.947</t>
  </si>
  <si>
    <t>10-10-1972</t>
  </si>
  <si>
    <t>14053.002.1003.957</t>
  </si>
  <si>
    <t>07-11-1986</t>
  </si>
  <si>
    <t>14053.001.1003.958</t>
  </si>
  <si>
    <t>06-03-1984</t>
  </si>
  <si>
    <t>CV CIPTAJAYA SBY</t>
  </si>
  <si>
    <t>14053.003.1003.961</t>
  </si>
  <si>
    <t>19-08-1959</t>
  </si>
  <si>
    <t>14053.001.1003.965</t>
  </si>
  <si>
    <t>31-10-1989</t>
  </si>
  <si>
    <t>RSB AMANAH</t>
  </si>
  <si>
    <t>14053.001.1003.967</t>
  </si>
  <si>
    <t>09-10-1993</t>
  </si>
  <si>
    <t>14053.003.1003.971</t>
  </si>
  <si>
    <t>11-08-1967</t>
  </si>
  <si>
    <t>14053.001.1003.978</t>
  </si>
  <si>
    <t>24-12-1988</t>
  </si>
  <si>
    <t>14053.001.1003.979</t>
  </si>
  <si>
    <t>13-10-1981</t>
  </si>
  <si>
    <t>14053.004.1003.981</t>
  </si>
  <si>
    <t>02-01-1992</t>
  </si>
  <si>
    <t>14053.003.1003.982</t>
  </si>
  <si>
    <t>14053.001.1003.983</t>
  </si>
  <si>
    <t>05-05-1972</t>
  </si>
  <si>
    <t>14053.001.1003.984</t>
  </si>
  <si>
    <t>20-04-1976</t>
  </si>
  <si>
    <t>14053.001.1003.986</t>
  </si>
  <si>
    <t>14-06-1989</t>
  </si>
  <si>
    <t>14053.004.1003.987</t>
  </si>
  <si>
    <t>01-01-1968</t>
  </si>
  <si>
    <t>14053.004.1003.988</t>
  </si>
  <si>
    <t>16-10-1972</t>
  </si>
  <si>
    <t>BEAUTY AND SALON</t>
  </si>
  <si>
    <t>14053.002.1003.992</t>
  </si>
  <si>
    <t>29-06-1990</t>
  </si>
  <si>
    <t>14053.003.1003.993</t>
  </si>
  <si>
    <t>29-01-1997</t>
  </si>
  <si>
    <t>MULTIMEDIA</t>
  </si>
  <si>
    <t>14053.004.1003.998</t>
  </si>
  <si>
    <t>03-05-1953</t>
  </si>
  <si>
    <t>14053.001.1003.999</t>
  </si>
  <si>
    <t>28-09-1972</t>
  </si>
  <si>
    <t>MENGURUS RUMAH TANGGA, MENJAHIT</t>
  </si>
  <si>
    <t>14053.002.1004.001</t>
  </si>
  <si>
    <t>16-10-1984</t>
  </si>
  <si>
    <t>MI MAMBAUL ULUM</t>
  </si>
  <si>
    <t>14053.001.1004.006</t>
  </si>
  <si>
    <t>19-09-1973</t>
  </si>
  <si>
    <t>PRODUK KERAJINAN</t>
  </si>
  <si>
    <t>14053.004.1004.007</t>
  </si>
  <si>
    <t>19-12-1956</t>
  </si>
  <si>
    <t>14053.003.1004.009</t>
  </si>
  <si>
    <t>14053.003.1004.010</t>
  </si>
  <si>
    <t>14053.002.1004.017</t>
  </si>
  <si>
    <t>15-07-1971</t>
  </si>
  <si>
    <t>14053.001.1004.019</t>
  </si>
  <si>
    <t>12-04-1973</t>
  </si>
  <si>
    <t>14053.002.1004.022</t>
  </si>
  <si>
    <t>29-10-1973</t>
  </si>
  <si>
    <t>SMK SORE</t>
  </si>
  <si>
    <t>14053.001.1004.023</t>
  </si>
  <si>
    <t>04-01-1962</t>
  </si>
  <si>
    <t>SECURITY BROMO PARK</t>
  </si>
  <si>
    <t>14053.003.1004.028</t>
  </si>
  <si>
    <t>27-04-1991</t>
  </si>
  <si>
    <t>Jual Ayam Geprek</t>
  </si>
  <si>
    <t>14053.003.1004.031</t>
  </si>
  <si>
    <t>14053.003.1004.032</t>
  </si>
  <si>
    <t>10-07-1932</t>
  </si>
  <si>
    <t>14053.003.1004.034</t>
  </si>
  <si>
    <t>16-09-1966</t>
  </si>
  <si>
    <t>14053.003.1004.035</t>
  </si>
  <si>
    <t>14053.003.1004.036</t>
  </si>
  <si>
    <t>17-07-1973</t>
  </si>
  <si>
    <t>24-02-1984</t>
  </si>
  <si>
    <t>14053.001.1004.040</t>
  </si>
  <si>
    <t>15-06-1969</t>
  </si>
  <si>
    <t>KEDAI BAKSO BAGONG</t>
  </si>
  <si>
    <t>14053.003.1004.042</t>
  </si>
  <si>
    <t>01-08-1973</t>
  </si>
  <si>
    <t>14053.002.1004.043</t>
  </si>
  <si>
    <t>08-01-1967</t>
  </si>
  <si>
    <t>SATPAM PT G4S</t>
  </si>
  <si>
    <t>14053.006.1004.053</t>
  </si>
  <si>
    <t>25-10-1972</t>
  </si>
  <si>
    <t>Tukang Cukur</t>
  </si>
  <si>
    <t>JASA POTONG RAMBUT</t>
  </si>
  <si>
    <t>14053.005.1004.056</t>
  </si>
  <si>
    <t>29-12-2001</t>
  </si>
  <si>
    <t>14053.005.1004.057</t>
  </si>
  <si>
    <t>16-08-2006</t>
  </si>
  <si>
    <t>14053.002.1004.061</t>
  </si>
  <si>
    <t>22-06-1967</t>
  </si>
  <si>
    <t>14053.004.1004.075</t>
  </si>
  <si>
    <t>04-06-1972</t>
  </si>
  <si>
    <t>USAHA LAS</t>
  </si>
  <si>
    <t>14053.004.1004.078</t>
  </si>
  <si>
    <t>CV GENART</t>
  </si>
  <si>
    <t>14053.004.1004.079</t>
  </si>
  <si>
    <t>14-06-1991</t>
  </si>
  <si>
    <t>26-07-1976</t>
  </si>
  <si>
    <t>14053.003.1004.085</t>
  </si>
  <si>
    <t>20-04-1971</t>
  </si>
  <si>
    <t>14053.002.1004.091</t>
  </si>
  <si>
    <t>18-03-1986</t>
  </si>
  <si>
    <t>ALMUNIUM DAN ROLLING DOOR</t>
  </si>
  <si>
    <t>14053.005.1004.094</t>
  </si>
  <si>
    <t>05-10-1987</t>
  </si>
  <si>
    <t>14053.006.1004.100</t>
  </si>
  <si>
    <t>12-06-1975</t>
  </si>
  <si>
    <t>14053.005.1004.101</t>
  </si>
  <si>
    <t>12-09-1989</t>
  </si>
  <si>
    <t>14053.001.1004.103</t>
  </si>
  <si>
    <t>23-03-1971</t>
  </si>
  <si>
    <t>14053.003.1004.108</t>
  </si>
  <si>
    <t>25-12-1971</t>
  </si>
  <si>
    <t>14053.001.1004.112</t>
  </si>
  <si>
    <t>05-09-1982</t>
  </si>
  <si>
    <t>SDN MAYANGAN 1</t>
  </si>
  <si>
    <t>14053.001.1004.114</t>
  </si>
  <si>
    <t>08-12-1976</t>
  </si>
  <si>
    <t>14053.001.1004.116</t>
  </si>
  <si>
    <t>31-10-1968</t>
  </si>
  <si>
    <t>RM SUMBER HIDUP</t>
  </si>
  <si>
    <t>14053.001.1004.117</t>
  </si>
  <si>
    <t>KARYAWAN SUMBER HIDUP</t>
  </si>
  <si>
    <t>14053.006.1004.124</t>
  </si>
  <si>
    <t>06-09-1957</t>
  </si>
  <si>
    <t>14053.001.1004.126</t>
  </si>
  <si>
    <t>27-06-1975</t>
  </si>
  <si>
    <t>14053.001.1004.132</t>
  </si>
  <si>
    <t>29-06-1966</t>
  </si>
  <si>
    <t>14053.003.1004.134</t>
  </si>
  <si>
    <t>21-08-1982</t>
  </si>
  <si>
    <t>14053.002.1004.140</t>
  </si>
  <si>
    <t>09-11-1961</t>
  </si>
  <si>
    <t>DIKNAS KEC KOTAANYAR</t>
  </si>
  <si>
    <t>14053.001.1004.143</t>
  </si>
  <si>
    <t>21-10-1986</t>
  </si>
  <si>
    <t>14053.001.1004.144</t>
  </si>
  <si>
    <t>14-06-1962</t>
  </si>
  <si>
    <t>PRAMUNIAGA</t>
  </si>
  <si>
    <t>14053.005.1004.149</t>
  </si>
  <si>
    <t>02-07-1966</t>
  </si>
  <si>
    <t>14053.001.1004.154</t>
  </si>
  <si>
    <t>23-01-1941</t>
  </si>
  <si>
    <t>14053.001.1004.155</t>
  </si>
  <si>
    <t>19-07-1956</t>
  </si>
  <si>
    <t>DOKTER UMUM</t>
  </si>
  <si>
    <t>14053.001.1004.156</t>
  </si>
  <si>
    <t>17-01-1987</t>
  </si>
  <si>
    <t>TENAGA KONTRAK</t>
  </si>
  <si>
    <t>14053.001.1004.160</t>
  </si>
  <si>
    <t>07-03-1988</t>
  </si>
  <si>
    <t>14053.001.1004.161</t>
  </si>
  <si>
    <t>31-10-1973</t>
  </si>
  <si>
    <t>14053.001.1004.165</t>
  </si>
  <si>
    <t>18-09-1967</t>
  </si>
  <si>
    <t>14053.001.1004.167</t>
  </si>
  <si>
    <t>02-02-1975</t>
  </si>
  <si>
    <t>PT ATRI</t>
  </si>
  <si>
    <t>14053.001.1004.169</t>
  </si>
  <si>
    <t>07-06-1966</t>
  </si>
  <si>
    <t>14053.005.1004.171</t>
  </si>
  <si>
    <t>20-11-1972</t>
  </si>
  <si>
    <t>Kost putri</t>
  </si>
  <si>
    <t>14053.005.1004.179</t>
  </si>
  <si>
    <t>07-11-1959</t>
  </si>
  <si>
    <t>SDN MERI I</t>
  </si>
  <si>
    <t>14053.003.1004.180</t>
  </si>
  <si>
    <t>06-07-2000</t>
  </si>
  <si>
    <t>14053.006.1004.186</t>
  </si>
  <si>
    <t>01-06-1965</t>
  </si>
  <si>
    <t>SDK MATER DEI YOGYAKARTA</t>
  </si>
  <si>
    <t>14053.001.1004.188</t>
  </si>
  <si>
    <t>10-08-1961</t>
  </si>
  <si>
    <t>INDUSTRI AIR MINERAL</t>
  </si>
  <si>
    <t>OSMO</t>
  </si>
  <si>
    <t>14053.003.1004.195</t>
  </si>
  <si>
    <t>17-10-1980</t>
  </si>
  <si>
    <t>14053.002.1004.197</t>
  </si>
  <si>
    <t>20-02-1966</t>
  </si>
  <si>
    <t>STUDIO FOTO</t>
  </si>
  <si>
    <t>14053.001.1004.198</t>
  </si>
  <si>
    <t>06-09-1966</t>
  </si>
  <si>
    <t>14053.001.1004.207</t>
  </si>
  <si>
    <t>10-01-1974</t>
  </si>
  <si>
    <t>14053.001.1004.208</t>
  </si>
  <si>
    <t>04-11-1985</t>
  </si>
  <si>
    <t>14053.003.1004.210</t>
  </si>
  <si>
    <t>03-03-1981</t>
  </si>
  <si>
    <t>14053.003.1004.211</t>
  </si>
  <si>
    <t>14-03-1968</t>
  </si>
  <si>
    <t>14053.001.1004.213</t>
  </si>
  <si>
    <t>15-08-1987</t>
  </si>
  <si>
    <t>SPBU</t>
  </si>
  <si>
    <t>14053.001.1004.214</t>
  </si>
  <si>
    <t>05-07-1969</t>
  </si>
  <si>
    <t>JASA PENJAHIT</t>
  </si>
  <si>
    <t>14053.001.1004.215</t>
  </si>
  <si>
    <t>24-08-1982</t>
  </si>
  <si>
    <t>14053.006.1004.222</t>
  </si>
  <si>
    <t>13-06-1977</t>
  </si>
  <si>
    <t>14053.006.1004.227</t>
  </si>
  <si>
    <t>04-04-1984</t>
  </si>
  <si>
    <t>14053.006.1004.237</t>
  </si>
  <si>
    <t>24-12-1971</t>
  </si>
  <si>
    <t>14053.003.1004.240</t>
  </si>
  <si>
    <t>28-04-1965</t>
  </si>
  <si>
    <t>14053.001.1004.241</t>
  </si>
  <si>
    <t>24-10-1988</t>
  </si>
  <si>
    <t>14053.002.1004.244</t>
  </si>
  <si>
    <t>17-04-1967</t>
  </si>
  <si>
    <t>14053.002.1004.245</t>
  </si>
  <si>
    <t>14-08-1980</t>
  </si>
  <si>
    <t>14053.005.1004.246</t>
  </si>
  <si>
    <t>22-03-1978</t>
  </si>
  <si>
    <t>14053.001.1004.250</t>
  </si>
  <si>
    <t>26-03-1973</t>
  </si>
  <si>
    <t>14053.001.1004.263</t>
  </si>
  <si>
    <t>21-06-1979</t>
  </si>
  <si>
    <t>14053.002.1004.296</t>
  </si>
  <si>
    <t>16-02-1986</t>
  </si>
  <si>
    <t>SMPLB DHARMA ASIH</t>
  </si>
  <si>
    <t>14053.002.1004.301</t>
  </si>
  <si>
    <t>05-10-1978</t>
  </si>
  <si>
    <t>14053.003.1004.303</t>
  </si>
  <si>
    <t>PABRIK ES</t>
  </si>
  <si>
    <t>14053.003.1004.304</t>
  </si>
  <si>
    <t>21-09-1961</t>
  </si>
  <si>
    <t>14053.003.1004.311</t>
  </si>
  <si>
    <t>SELEP DAGING</t>
  </si>
  <si>
    <t>14053.003.1004.312</t>
  </si>
  <si>
    <t>04-06-1957</t>
  </si>
  <si>
    <t>14053.001.1004.314</t>
  </si>
  <si>
    <t>14053.001.1004.315</t>
  </si>
  <si>
    <t>08-08-1979</t>
  </si>
  <si>
    <t>14053.001.1004.316</t>
  </si>
  <si>
    <t>12-05-1963</t>
  </si>
  <si>
    <t>14053.006.1004.320</t>
  </si>
  <si>
    <t>16-07-1975</t>
  </si>
  <si>
    <t>14053.006.1004.323</t>
  </si>
  <si>
    <t>18-06-1986</t>
  </si>
  <si>
    <t>14053.001.1004.334</t>
  </si>
  <si>
    <t>21-06-1984</t>
  </si>
  <si>
    <t>14053.001.1004.340</t>
  </si>
  <si>
    <t>04-07-1966</t>
  </si>
  <si>
    <t>MENGURUS RUMAH TANGGA, TUKANG PIJAT</t>
  </si>
  <si>
    <t>14053.001.1004.342</t>
  </si>
  <si>
    <t>01-07-1957</t>
  </si>
  <si>
    <t>14053.003.1004.343</t>
  </si>
  <si>
    <t>20-08-1978</t>
  </si>
  <si>
    <t>14053.003.1004.344</t>
  </si>
  <si>
    <t>14053.001.1004.347</t>
  </si>
  <si>
    <t>29-12-1978</t>
  </si>
  <si>
    <t>14053.001.1004.349</t>
  </si>
  <si>
    <t>05-04-1994</t>
  </si>
  <si>
    <t>14053.003.1004.350</t>
  </si>
  <si>
    <t>21-09-1986</t>
  </si>
  <si>
    <t>14053.002.1004.353</t>
  </si>
  <si>
    <t>14053.001.1004.358</t>
  </si>
  <si>
    <t>17-08-1984</t>
  </si>
  <si>
    <t>14053.001.1004.359</t>
  </si>
  <si>
    <t>23-12-1975</t>
  </si>
  <si>
    <t>14053.001.1004.361</t>
  </si>
  <si>
    <t>12-04-1987</t>
  </si>
  <si>
    <t>14053.006.1004.362</t>
  </si>
  <si>
    <t>20-03-1953</t>
  </si>
  <si>
    <t>14053.001.1004.364</t>
  </si>
  <si>
    <t>03-06-1947</t>
  </si>
  <si>
    <t>14053.001.1004.366</t>
  </si>
  <si>
    <t>14053.004.1004.375</t>
  </si>
  <si>
    <t>10-08-1962</t>
  </si>
  <si>
    <t>UD GARUDA MOTOR  ROGOJAMPI</t>
  </si>
  <si>
    <t>14053.006.1004.379</t>
  </si>
  <si>
    <t>SMAK PENDOWO</t>
  </si>
  <si>
    <t>14053.001.1004.381</t>
  </si>
  <si>
    <t>04-10-1967</t>
  </si>
  <si>
    <t>14053.001.1004.387</t>
  </si>
  <si>
    <t>20-05-1960</t>
  </si>
  <si>
    <t>14053.001.1004.388</t>
  </si>
  <si>
    <t>11-06-1977</t>
  </si>
  <si>
    <t>DLH (DINAS LINGKUNGAN HIDUP)</t>
  </si>
  <si>
    <t>27-04-1961</t>
  </si>
  <si>
    <t>14053.005.1004.394</t>
  </si>
  <si>
    <t>24-01-1978</t>
  </si>
  <si>
    <t>14053.006.1004.401</t>
  </si>
  <si>
    <t>10-08-1964</t>
  </si>
  <si>
    <t>JAVANIC CAFE</t>
  </si>
  <si>
    <t>14053.003.1004.405</t>
  </si>
  <si>
    <t>12-12-1979</t>
  </si>
  <si>
    <t>JUAL BAKSO</t>
  </si>
  <si>
    <t>14053.001.1004.410</t>
  </si>
  <si>
    <t>16-11-1985</t>
  </si>
  <si>
    <t>14053.004.1004.411</t>
  </si>
  <si>
    <t>06-10-1960</t>
  </si>
  <si>
    <t>14053.002.1004.412</t>
  </si>
  <si>
    <t>14053.001.1004.418</t>
  </si>
  <si>
    <t>29-07-1993</t>
  </si>
  <si>
    <t>PROMOTOR</t>
  </si>
  <si>
    <t>OPPO</t>
  </si>
  <si>
    <t>14053.003.1004.425</t>
  </si>
  <si>
    <t>14053.003.1004.427</t>
  </si>
  <si>
    <t>09-03-2001</t>
  </si>
  <si>
    <t>14053.002.1004.428</t>
  </si>
  <si>
    <t>24-11-1961</t>
  </si>
  <si>
    <t>14053.003.1004.429</t>
  </si>
  <si>
    <t>26-02-1991</t>
  </si>
  <si>
    <t>14053.001.1004.432</t>
  </si>
  <si>
    <t>16-12-1966</t>
  </si>
  <si>
    <t>14053.002.1004.434</t>
  </si>
  <si>
    <t>01-07-1979</t>
  </si>
  <si>
    <t>14053.003.1004.436</t>
  </si>
  <si>
    <t>12-08-1975</t>
  </si>
  <si>
    <t>14053.001.1004.437</t>
  </si>
  <si>
    <t>01-01-1990</t>
  </si>
  <si>
    <t>14053.001.1004.438</t>
  </si>
  <si>
    <t>22-08-1969</t>
  </si>
  <si>
    <t>14053.006.1004.439</t>
  </si>
  <si>
    <t>14053.001.1004.444</t>
  </si>
  <si>
    <t>01-11-1986</t>
  </si>
  <si>
    <t>26-10-1984</t>
  </si>
  <si>
    <t>14053.001.1004.457</t>
  </si>
  <si>
    <t>07-12-1981</t>
  </si>
  <si>
    <t>14053.002.1004.461</t>
  </si>
  <si>
    <t>03-08-1931</t>
  </si>
  <si>
    <t>TOKO JAMU DAN KELONTONG</t>
  </si>
  <si>
    <t>14053.001.1004.463</t>
  </si>
  <si>
    <t>17-03-1961</t>
  </si>
  <si>
    <t>14053.002.1004.464</t>
  </si>
  <si>
    <t>10-02-1987</t>
  </si>
  <si>
    <t>SDN KLASEMAN</t>
  </si>
  <si>
    <t>14053.005.1004.467</t>
  </si>
  <si>
    <t>19-05-2004</t>
  </si>
  <si>
    <t>14053.001.1004.473</t>
  </si>
  <si>
    <t>02-04-1980</t>
  </si>
  <si>
    <t>TUKANG BECAK, PEDAGANG ASONGAN</t>
  </si>
  <si>
    <t>14053.001.1004.476</t>
  </si>
  <si>
    <t>25-05-1989</t>
  </si>
  <si>
    <t>14053.001.1004.482</t>
  </si>
  <si>
    <t>14053.001.1004.486</t>
  </si>
  <si>
    <t>31-08-1966</t>
  </si>
  <si>
    <t>14053.001.1004.487</t>
  </si>
  <si>
    <t>30-09-1975</t>
  </si>
  <si>
    <t>14053.004.1004.488</t>
  </si>
  <si>
    <t>28-01-1985</t>
  </si>
  <si>
    <t>PRODUKSI KAPAL</t>
  </si>
  <si>
    <t>PT LUNDIN INDUSTRY INVEST</t>
  </si>
  <si>
    <t>14053.001.1004.490</t>
  </si>
  <si>
    <t>18-02-1981</t>
  </si>
  <si>
    <t>PERAWAT HEWAN PELIHARAAN</t>
  </si>
  <si>
    <t>DOKTER LANY</t>
  </si>
  <si>
    <t>14053.002.1004.491</t>
  </si>
  <si>
    <t>05-04-1980</t>
  </si>
  <si>
    <t>SD MUHAMMADIYAH KRAKSAAN</t>
  </si>
  <si>
    <t>14053.001.1004.494</t>
  </si>
  <si>
    <t>06-06-1976</t>
  </si>
  <si>
    <t>ROTI BAKAR</t>
  </si>
  <si>
    <t>14053.002.1004.495</t>
  </si>
  <si>
    <t>15-07-1954</t>
  </si>
  <si>
    <t>14053.001.1004.496</t>
  </si>
  <si>
    <t>17-07-1950</t>
  </si>
  <si>
    <t>14053.001.1004.497</t>
  </si>
  <si>
    <t>30-01-2002</t>
  </si>
  <si>
    <t>14053.001.1004.500</t>
  </si>
  <si>
    <t>13-10-1965</t>
  </si>
  <si>
    <t>14053.004.1004.502</t>
  </si>
  <si>
    <t>08-01-1986</t>
  </si>
  <si>
    <t>CONATO BAKERY ROXY</t>
  </si>
  <si>
    <t>14053.006.1004.504</t>
  </si>
  <si>
    <t>13-05-1971</t>
  </si>
  <si>
    <t>TOP KOMPUTER</t>
  </si>
  <si>
    <t>14053.002.1004.507</t>
  </si>
  <si>
    <t>14053.001.1004.508</t>
  </si>
  <si>
    <t>11-10-1982</t>
  </si>
  <si>
    <t>MENGURUS RUMAH TANGGA</t>
  </si>
  <si>
    <t>14053.006.1004.516</t>
  </si>
  <si>
    <t>07-12-1977</t>
  </si>
  <si>
    <t>PENJUAL GORENGAN</t>
  </si>
  <si>
    <t>14053.001.1004.517</t>
  </si>
  <si>
    <t>08-06-1962</t>
  </si>
  <si>
    <t>14053.004.1004.521</t>
  </si>
  <si>
    <t>01-12-1980</t>
  </si>
  <si>
    <t>14053.002.1004.523</t>
  </si>
  <si>
    <t>12-05-1987</t>
  </si>
  <si>
    <t xml:space="preserve">SMPK </t>
  </si>
  <si>
    <t>14053.006.1004.529</t>
  </si>
  <si>
    <t>14053.001.1004.543</t>
  </si>
  <si>
    <t>02-01-1991</t>
  </si>
  <si>
    <t>14053.002.1004.548</t>
  </si>
  <si>
    <t>23-06-1991</t>
  </si>
  <si>
    <t>14053.003.1004.551</t>
  </si>
  <si>
    <t>07-07-1987</t>
  </si>
  <si>
    <t>14053.001.1004.553</t>
  </si>
  <si>
    <t>SMP MUHAMMADIYAH</t>
  </si>
  <si>
    <t>14053.002.1004.554</t>
  </si>
  <si>
    <t>12-08-1966</t>
  </si>
  <si>
    <t>14053.003.1004.556</t>
  </si>
  <si>
    <t>10-12-1985</t>
  </si>
  <si>
    <t>14053.001.1004.560</t>
  </si>
  <si>
    <t>03-03-1977</t>
  </si>
  <si>
    <t>14053.002.1004.562</t>
  </si>
  <si>
    <t>17-07-1974</t>
  </si>
  <si>
    <t>14053.001.1004.564</t>
  </si>
  <si>
    <t>14-07-1989</t>
  </si>
  <si>
    <t>DAPUR MOVE ON</t>
  </si>
  <si>
    <t>14053.001.1004.570</t>
  </si>
  <si>
    <t>29-12-1952</t>
  </si>
  <si>
    <t>14053.001.1004.573</t>
  </si>
  <si>
    <t>27-11-1942</t>
  </si>
  <si>
    <t>MEKANIK</t>
  </si>
  <si>
    <t>14053.003.1004.577</t>
  </si>
  <si>
    <t>29-06-1986</t>
  </si>
  <si>
    <t>KARYAWAN KFC</t>
  </si>
  <si>
    <t>KFC</t>
  </si>
  <si>
    <t>14053.002.1004.578</t>
  </si>
  <si>
    <t>14053.001.1004.579</t>
  </si>
  <si>
    <t>15-03-1980</t>
  </si>
  <si>
    <t>14053.001.1004.582</t>
  </si>
  <si>
    <t>07-06-1983</t>
  </si>
  <si>
    <t>14053.005.1004.583</t>
  </si>
  <si>
    <t>09-12-1969</t>
  </si>
  <si>
    <t>14053.001.1004.584</t>
  </si>
  <si>
    <t>27-06-1962</t>
  </si>
  <si>
    <t>14053.001.1004.585</t>
  </si>
  <si>
    <t>14053.003.1004.586</t>
  </si>
  <si>
    <t>23-03-1991</t>
  </si>
  <si>
    <t>14053.003.1004.596</t>
  </si>
  <si>
    <t>01-02-1965</t>
  </si>
  <si>
    <t>14053.006.1004.597</t>
  </si>
  <si>
    <t>12-10-1984</t>
  </si>
  <si>
    <t>FOTOCOPY</t>
  </si>
  <si>
    <t>WLIJO</t>
  </si>
  <si>
    <t>14053.002.1004.610</t>
  </si>
  <si>
    <t>01-05-1962</t>
  </si>
  <si>
    <t>14053.001.1004.611</t>
  </si>
  <si>
    <t>02-09-1973</t>
  </si>
  <si>
    <t>DINAS PENGAIRAN</t>
  </si>
  <si>
    <t>14053.003.1004.612</t>
  </si>
  <si>
    <t>08-07-1969</t>
  </si>
  <si>
    <t>14053.001.1004.614</t>
  </si>
  <si>
    <t>25-12-1965</t>
  </si>
  <si>
    <t>BPBD KABUPATEN PROBOLINGGO</t>
  </si>
  <si>
    <t>14053.001.1004.615</t>
  </si>
  <si>
    <t>04-08-1964</t>
  </si>
  <si>
    <t>14053.005.1004.616</t>
  </si>
  <si>
    <t>04-07-1986</t>
  </si>
  <si>
    <t>YUNITA TOYS</t>
  </si>
  <si>
    <t>14053.001.1004.622</t>
  </si>
  <si>
    <t>25-06-1984</t>
  </si>
  <si>
    <t>14053.001.1004.623</t>
  </si>
  <si>
    <t>03-01-1978</t>
  </si>
  <si>
    <t>PEMKOT</t>
  </si>
  <si>
    <t>14053.003.1004.634</t>
  </si>
  <si>
    <t>31-03-1982</t>
  </si>
  <si>
    <t>14053.001.1004.638</t>
  </si>
  <si>
    <t>04-01-1968</t>
  </si>
  <si>
    <t>SEKRETARIS PAROKI</t>
  </si>
  <si>
    <t>14053.001.1004.639</t>
  </si>
  <si>
    <t>03-04-1954</t>
  </si>
  <si>
    <t>14053.005.1004.649</t>
  </si>
  <si>
    <t>TOKO PAK GIK</t>
  </si>
  <si>
    <t>14053.005.1004.654</t>
  </si>
  <si>
    <t>30-07-1958</t>
  </si>
  <si>
    <t>14053.005.1004.662</t>
  </si>
  <si>
    <t>27-03-1962</t>
  </si>
  <si>
    <t>PENANTU ANDA LAUNDRY</t>
  </si>
  <si>
    <t>14053.005.1004.670</t>
  </si>
  <si>
    <t>29-01-1987</t>
  </si>
  <si>
    <t>14053.003.1004.672</t>
  </si>
  <si>
    <t>30-01-1981</t>
  </si>
  <si>
    <t>GURU TK</t>
  </si>
  <si>
    <t>11-06-1969</t>
  </si>
  <si>
    <t>14053.001.1004.677</t>
  </si>
  <si>
    <t>15-04-1954</t>
  </si>
  <si>
    <t>14053.002.1004.679</t>
  </si>
  <si>
    <t>14053.005.1004.685</t>
  </si>
  <si>
    <t>22-10-1969</t>
  </si>
  <si>
    <t>05-05-1970</t>
  </si>
  <si>
    <t>14053.001.1004.695</t>
  </si>
  <si>
    <t>21-02-1988</t>
  </si>
  <si>
    <t>14053.001.1004.715</t>
  </si>
  <si>
    <t>17-03-1991</t>
  </si>
  <si>
    <t>14053.003.1004.717</t>
  </si>
  <si>
    <t>11-07-1989</t>
  </si>
  <si>
    <t>14053.004.1004.719</t>
  </si>
  <si>
    <t>MENGGARAP SAWAH</t>
  </si>
  <si>
    <t>JUAL KAYU DAN HASIL TANI</t>
  </si>
  <si>
    <t>14053.003.1004.731</t>
  </si>
  <si>
    <t>10-06-1978</t>
  </si>
  <si>
    <t>JUAL NASI CAMPUR</t>
  </si>
  <si>
    <t>13-07-1973</t>
  </si>
  <si>
    <t>14053.001.1004.736</t>
  </si>
  <si>
    <t>03-12-1965</t>
  </si>
  <si>
    <t>14053.001.1004.742</t>
  </si>
  <si>
    <t>24-04-1962</t>
  </si>
  <si>
    <t>14053.001.1004.753</t>
  </si>
  <si>
    <t>14053.001.1004.757</t>
  </si>
  <si>
    <t>31-03-1960</t>
  </si>
  <si>
    <t>14053.003.1004.760</t>
  </si>
  <si>
    <t>05-09-1972</t>
  </si>
  <si>
    <t>TOKO KELONTONG DAN WARUNG NASI</t>
  </si>
  <si>
    <t>TOKO KAYU MANIS</t>
  </si>
  <si>
    <t>14053.003.1004.762</t>
  </si>
  <si>
    <t>22-05-1979</t>
  </si>
  <si>
    <t>14053.003.1004.763</t>
  </si>
  <si>
    <t>10-01-1981</t>
  </si>
  <si>
    <t>JUAL MAKANAN ONLINE</t>
  </si>
  <si>
    <t>14053.001.1004.764</t>
  </si>
  <si>
    <t>12-01-1982</t>
  </si>
  <si>
    <t>14053.001.1004.767</t>
  </si>
  <si>
    <t>07-02-1952</t>
  </si>
  <si>
    <t>14053.001.1004.768</t>
  </si>
  <si>
    <t>07-12-1953</t>
  </si>
  <si>
    <t>14053.003.1004.771</t>
  </si>
  <si>
    <t>14053.001.1004.772</t>
  </si>
  <si>
    <t>31-05-1995</t>
  </si>
  <si>
    <t>INDUSTRI KERAMIK, KULINER</t>
  </si>
  <si>
    <t>KERAMIK PAOLO, HOMELAND</t>
  </si>
  <si>
    <t>14053.001.1004.778</t>
  </si>
  <si>
    <t>04-10-1981</t>
  </si>
  <si>
    <t>14053.002.1004.780</t>
  </si>
  <si>
    <t>24-10-1967</t>
  </si>
  <si>
    <t>DESA TAMAN SARI</t>
  </si>
  <si>
    <t>14053.001.1004.786</t>
  </si>
  <si>
    <t>14053.003.1004.787</t>
  </si>
  <si>
    <t>18-03-1963</t>
  </si>
  <si>
    <t>14053.001.1004.790</t>
  </si>
  <si>
    <t>18-07-1963</t>
  </si>
  <si>
    <t>SMP NEGERI 7 PROB</t>
  </si>
  <si>
    <t>14053.004.1004.793</t>
  </si>
  <si>
    <t>25-08-1975</t>
  </si>
  <si>
    <t>PENGEPUL KELAPA</t>
  </si>
  <si>
    <t>14053.002.1004.796</t>
  </si>
  <si>
    <t>14-06-1975</t>
  </si>
  <si>
    <t>SMA UNGGULAN GENGGONG</t>
  </si>
  <si>
    <t>14053.001.1004.797</t>
  </si>
  <si>
    <t>26-10-1971</t>
  </si>
  <si>
    <t>SERVICE AC</t>
  </si>
  <si>
    <t>ALASKA AC</t>
  </si>
  <si>
    <t>14053.001.1004.800</t>
  </si>
  <si>
    <t>MIE AYAM</t>
  </si>
  <si>
    <t>14053.001.1004.810</t>
  </si>
  <si>
    <t>01-01-1910</t>
  </si>
  <si>
    <t>14053.001.1004.822</t>
  </si>
  <si>
    <t>05-05-1990</t>
  </si>
  <si>
    <t>14053.001.1004.829</t>
  </si>
  <si>
    <t>09-08-1978</t>
  </si>
  <si>
    <t>SDN SUKABUMI 1</t>
  </si>
  <si>
    <t>14053.002.1004.831</t>
  </si>
  <si>
    <t>31-10-1980</t>
  </si>
  <si>
    <t>SMPN 3 KRAKSAAN</t>
  </si>
  <si>
    <t>14053.001.1004.834</t>
  </si>
  <si>
    <t>09-09-1982</t>
  </si>
  <si>
    <t>SD MANGUNHARJO 7</t>
  </si>
  <si>
    <t>14053.006.1004.835</t>
  </si>
  <si>
    <t>02-04-1955</t>
  </si>
  <si>
    <t>PEMBUAT KUE NASTAR</t>
  </si>
  <si>
    <t>14053.001.1004.837</t>
  </si>
  <si>
    <t>04-01-1960</t>
  </si>
  <si>
    <t>JUAL MIE JAWA</t>
  </si>
  <si>
    <t>14053.001.1004.839</t>
  </si>
  <si>
    <t>17-07-1979</t>
  </si>
  <si>
    <t>TK KARTIKA</t>
  </si>
  <si>
    <t>14053.001.1004.844</t>
  </si>
  <si>
    <t>30-09-1982</t>
  </si>
  <si>
    <t>USAHA KONVEKSI</t>
  </si>
  <si>
    <t>14053.005.1004.848</t>
  </si>
  <si>
    <t>30-09-1986</t>
  </si>
  <si>
    <t>14053.001.1004.852</t>
  </si>
  <si>
    <t>PT LBBS</t>
  </si>
  <si>
    <t>14053.001.1004.853</t>
  </si>
  <si>
    <t>11-11-1971</t>
  </si>
  <si>
    <t>14053.001.1004.858</t>
  </si>
  <si>
    <t>15-04-1970</t>
  </si>
  <si>
    <t>TOKO SINAR KANCING</t>
  </si>
  <si>
    <t>14053.001.1004.863</t>
  </si>
  <si>
    <t>15-02-1986</t>
  </si>
  <si>
    <t>14053.003.1004.874</t>
  </si>
  <si>
    <t>18-07-1980</t>
  </si>
  <si>
    <t>22-05-1977</t>
  </si>
  <si>
    <t>14053.002.1004.889</t>
  </si>
  <si>
    <t>12-10-1978</t>
  </si>
  <si>
    <t>14053.005.1004.897</t>
  </si>
  <si>
    <t>27-10-1972</t>
  </si>
  <si>
    <t>14053.001.1004.906</t>
  </si>
  <si>
    <t>27-12-1981</t>
  </si>
  <si>
    <t>MIE AYAM BLITAR</t>
  </si>
  <si>
    <t>14053.001.1004.915</t>
  </si>
  <si>
    <t>08-06-1994</t>
  </si>
  <si>
    <t>TRANSPORTASI</t>
  </si>
  <si>
    <t>14053.001.1004.921</t>
  </si>
  <si>
    <t>10-06-1994</t>
  </si>
  <si>
    <t>14053.001.1004.922</t>
  </si>
  <si>
    <t>19-03-1997</t>
  </si>
  <si>
    <t>WERNES</t>
  </si>
  <si>
    <t>14053.001.1004.925</t>
  </si>
  <si>
    <t>30-08-1975</t>
  </si>
  <si>
    <t>14053.003.1004.927</t>
  </si>
  <si>
    <t>19-01-1954</t>
  </si>
  <si>
    <t>14053.003.1004.928</t>
  </si>
  <si>
    <t>21-11-1967</t>
  </si>
  <si>
    <t>NOTARIS IS HARIYANTO IMAM S</t>
  </si>
  <si>
    <t>14053.002.1004.929</t>
  </si>
  <si>
    <t>14053.001.1004.946</t>
  </si>
  <si>
    <t>12-02-1980</t>
  </si>
  <si>
    <t>SLTA 1 PRONOJIWO</t>
  </si>
  <si>
    <t>14053.002.1004.953</t>
  </si>
  <si>
    <t>11-03-1964</t>
  </si>
  <si>
    <t>DINAS PENDAPATAN KAB PROBOLINGGO</t>
  </si>
  <si>
    <t>14053.004.1004.962</t>
  </si>
  <si>
    <t>18-10-1976</t>
  </si>
  <si>
    <t>14053.001.1004.966</t>
  </si>
  <si>
    <t>23-06-1982</t>
  </si>
  <si>
    <t>14053.002.1004.970</t>
  </si>
  <si>
    <t>05-07-1970</t>
  </si>
  <si>
    <t>14053.002.1004.971</t>
  </si>
  <si>
    <t>SMPK ST PAULUS</t>
  </si>
  <si>
    <t>14053.001.1004.973</t>
  </si>
  <si>
    <t>05-11-1952</t>
  </si>
  <si>
    <t>14053.002.1004.975</t>
  </si>
  <si>
    <t>07-01-1982</t>
  </si>
  <si>
    <t>14053.001.1004.976</t>
  </si>
  <si>
    <t>17-06-2006</t>
  </si>
  <si>
    <t>14053.001.1004.983</t>
  </si>
  <si>
    <t>21-07-1959</t>
  </si>
  <si>
    <t xml:space="preserve">OSMO </t>
  </si>
  <si>
    <t>14053.004.1004.984</t>
  </si>
  <si>
    <t>04-02-1950</t>
  </si>
  <si>
    <t>14053.006.1004.988</t>
  </si>
  <si>
    <t>28-07-1968</t>
  </si>
  <si>
    <t>14053.001.1005.002</t>
  </si>
  <si>
    <t>22-06-1988</t>
  </si>
  <si>
    <t>14053.001.1005.008</t>
  </si>
  <si>
    <t>14-12-1949</t>
  </si>
  <si>
    <t>14053.001.1005.010</t>
  </si>
  <si>
    <t>14053.001.1005.013</t>
  </si>
  <si>
    <t>03-07-1960</t>
  </si>
  <si>
    <t>NOTARIS JUSTINA JUDYWATI SUTANDI, SH</t>
  </si>
  <si>
    <t>14053.001.1005.019</t>
  </si>
  <si>
    <t>17-10-1960</t>
  </si>
  <si>
    <t>14053.001.1005.026</t>
  </si>
  <si>
    <t>04-05-1983</t>
  </si>
  <si>
    <t>14053.001.1005.027</t>
  </si>
  <si>
    <t>27-08-1980</t>
  </si>
  <si>
    <t>14053.001.1005.028</t>
  </si>
  <si>
    <t>01-11-1987</t>
  </si>
  <si>
    <t>14053.004.1005.030</t>
  </si>
  <si>
    <t>03-05-1997</t>
  </si>
  <si>
    <t>14053.006.1005.032</t>
  </si>
  <si>
    <t>03-11-1987</t>
  </si>
  <si>
    <t>PEMBUAT ROTI</t>
  </si>
  <si>
    <t>14053.003.1005.034</t>
  </si>
  <si>
    <t>16-07-1990</t>
  </si>
  <si>
    <t>PJKA</t>
  </si>
  <si>
    <t>14053.005.1005.042</t>
  </si>
  <si>
    <t>23-04-2007</t>
  </si>
  <si>
    <t>14053.001.1005.046</t>
  </si>
  <si>
    <t>NOTARIS DWIANA JULIASTUTI, SH</t>
  </si>
  <si>
    <t>14053.001.1005.051</t>
  </si>
  <si>
    <t>05-05-2004</t>
  </si>
  <si>
    <t>14053.003.1005.052</t>
  </si>
  <si>
    <t>17-05-1981</t>
  </si>
  <si>
    <t>14053.001.1005.053</t>
  </si>
  <si>
    <t>14053.001.1005.056</t>
  </si>
  <si>
    <t>27-01-1965</t>
  </si>
  <si>
    <t>14053.003.1005.060</t>
  </si>
  <si>
    <t>05-12-1979</t>
  </si>
  <si>
    <t>14053.001.1005.061</t>
  </si>
  <si>
    <t>17-03-1983</t>
  </si>
  <si>
    <t>KARYA MARGA</t>
  </si>
  <si>
    <t>14053.005.1005.067</t>
  </si>
  <si>
    <t>24-05-1982</t>
  </si>
  <si>
    <t>14053.003.1005.069</t>
  </si>
  <si>
    <t>02-05-1977</t>
  </si>
  <si>
    <t>SPARE PART MOBIL</t>
  </si>
  <si>
    <t>14053.002.1005.070</t>
  </si>
  <si>
    <t>14053.002.1005.073</t>
  </si>
  <si>
    <t>SDN KALIBUNTU 1</t>
  </si>
  <si>
    <t>BENGKEL LAS</t>
  </si>
  <si>
    <t>14053.001.1005.078</t>
  </si>
  <si>
    <t>JUAL ATK, FOTOCOPY</t>
  </si>
  <si>
    <t>14053.002.1005.079</t>
  </si>
  <si>
    <t>25-05-1978</t>
  </si>
  <si>
    <t>14053.001.1005.080</t>
  </si>
  <si>
    <t>PENDIDIKAN USIA DINI</t>
  </si>
  <si>
    <t>POS PAUD RAHAYU UTAMI</t>
  </si>
  <si>
    <t>14053.005.1005.085</t>
  </si>
  <si>
    <t>07-02-1958</t>
  </si>
  <si>
    <t>KEMENHUB (ATKP SURABAYA)</t>
  </si>
  <si>
    <t>14053.001.1005.089</t>
  </si>
  <si>
    <t>24-04-1984</t>
  </si>
  <si>
    <t>14053.001.1005.101</t>
  </si>
  <si>
    <t>20-11-1970</t>
  </si>
  <si>
    <t>14053.004.1005.106</t>
  </si>
  <si>
    <t>17-11-1969</t>
  </si>
  <si>
    <t>14053.001.1005.109</t>
  </si>
  <si>
    <t>14053.001.1005.111</t>
  </si>
  <si>
    <t>28-11-1987</t>
  </si>
  <si>
    <t>14053.001.1005.116</t>
  </si>
  <si>
    <t>14053.006.1005.117</t>
  </si>
  <si>
    <t>12-11-1989</t>
  </si>
  <si>
    <t>SNACK BASAH</t>
  </si>
  <si>
    <t>14053.006.1005.118</t>
  </si>
  <si>
    <t xml:space="preserve">SNACK BASAH </t>
  </si>
  <si>
    <t>14053.006.1005.119</t>
  </si>
  <si>
    <t>SUMBER TEKNIK</t>
  </si>
  <si>
    <t>07-08-1989</t>
  </si>
  <si>
    <t>14053.001.1005.147</t>
  </si>
  <si>
    <t>09-04-1992</t>
  </si>
  <si>
    <t>14053.001.1005.148</t>
  </si>
  <si>
    <t>25-10-1985</t>
  </si>
  <si>
    <t>Penyiar Radio</t>
  </si>
  <si>
    <t>BROADCAST</t>
  </si>
  <si>
    <t>SUARA KOTA</t>
  </si>
  <si>
    <t>14053.002.1005.150</t>
  </si>
  <si>
    <t>15-03-1984</t>
  </si>
  <si>
    <t>AYAM POTONG</t>
  </si>
  <si>
    <t>14053.001.1005.152</t>
  </si>
  <si>
    <t>25-08-1983</t>
  </si>
  <si>
    <t>BAJU</t>
  </si>
  <si>
    <t>14053.001.1005.157</t>
  </si>
  <si>
    <t>04-06-1976</t>
  </si>
  <si>
    <t>14053.005.1005.159</t>
  </si>
  <si>
    <t>14053.001.1005.161</t>
  </si>
  <si>
    <t>17-09-1974</t>
  </si>
  <si>
    <t>14053.001.1005.163</t>
  </si>
  <si>
    <t>04-02-1991</t>
  </si>
  <si>
    <t>PT SUROPTAI CAHAYA T</t>
  </si>
  <si>
    <t>14053.001.1005.166</t>
  </si>
  <si>
    <t>09-03-1968</t>
  </si>
  <si>
    <t>SDN WONOASIH 01</t>
  </si>
  <si>
    <t>14053.001.1005.169</t>
  </si>
  <si>
    <t>17-12-1965</t>
  </si>
  <si>
    <t>14053.001.1005.170</t>
  </si>
  <si>
    <t>13-02-1953</t>
  </si>
  <si>
    <t>14053.001.1005.171</t>
  </si>
  <si>
    <t>02-05-1956</t>
  </si>
  <si>
    <t>JUAL RUJAK</t>
  </si>
  <si>
    <t>14053.005.1005.178</t>
  </si>
  <si>
    <t>08-06-1976</t>
  </si>
  <si>
    <t xml:space="preserve"> </t>
  </si>
  <si>
    <t>14053.001.1005.181</t>
  </si>
  <si>
    <t>14053.001.1005.186</t>
  </si>
  <si>
    <t>16-05-1978</t>
  </si>
  <si>
    <t>BUMN</t>
  </si>
  <si>
    <t>14053.001.1005.193</t>
  </si>
  <si>
    <t>12-10-1980</t>
  </si>
  <si>
    <t>14053.001.1005.195</t>
  </si>
  <si>
    <t>09-10-1981</t>
  </si>
  <si>
    <t>DINAS PERTANIAN PBL</t>
  </si>
  <si>
    <t>14053.001.1005.198</t>
  </si>
  <si>
    <t>15-05-1965</t>
  </si>
  <si>
    <t>SUMBER KERANG</t>
  </si>
  <si>
    <t>14053.006.1005.200</t>
  </si>
  <si>
    <t>14053.001.1005.201</t>
  </si>
  <si>
    <t>25-12-1989</t>
  </si>
  <si>
    <t>KOPERASI LIMA JAYA</t>
  </si>
  <si>
    <t>14053.001.1005.202</t>
  </si>
  <si>
    <t>04-08-1955</t>
  </si>
  <si>
    <t xml:space="preserve">TOKO </t>
  </si>
  <si>
    <t>OWNER TOKO OLYMPICS</t>
  </si>
  <si>
    <t>14053.004.1005.211</t>
  </si>
  <si>
    <t>JUAL ACCESORIS</t>
  </si>
  <si>
    <t>14053.001.1005.213</t>
  </si>
  <si>
    <t>14053.001.1005.214</t>
  </si>
  <si>
    <t>23-10-1989</t>
  </si>
  <si>
    <t>14053.001.1005.215</t>
  </si>
  <si>
    <t>15-08-1957</t>
  </si>
  <si>
    <t>13-05-1974</t>
  </si>
  <si>
    <t>14053.001.1005.224</t>
  </si>
  <si>
    <t>19-01-1958</t>
  </si>
  <si>
    <t>PENSIUNAN KTI</t>
  </si>
  <si>
    <t>14053.001.1005.226</t>
  </si>
  <si>
    <t>25-12-1982</t>
  </si>
  <si>
    <t>SDN KEDUNGASEM 4</t>
  </si>
  <si>
    <t>14053.003.1005.229</t>
  </si>
  <si>
    <t>24-05-1965</t>
  </si>
  <si>
    <t>14053.002.1005.230</t>
  </si>
  <si>
    <t>01-12-2000</t>
  </si>
  <si>
    <t>14053.004.1005.237</t>
  </si>
  <si>
    <t>02-08-1960</t>
  </si>
  <si>
    <t>14053.003.1005.240</t>
  </si>
  <si>
    <t>26-07-1991</t>
  </si>
  <si>
    <t>HOTEL 88</t>
  </si>
  <si>
    <t>14053.005.1005.243</t>
  </si>
  <si>
    <t>12-12-1987</t>
  </si>
  <si>
    <t>14053.002.1005.246</t>
  </si>
  <si>
    <t>08-01-1979</t>
  </si>
  <si>
    <t>14053.001.1005.247</t>
  </si>
  <si>
    <t>14-12-1965</t>
  </si>
  <si>
    <t>NOTARIS ABROR</t>
  </si>
  <si>
    <t>19-04-1966</t>
  </si>
  <si>
    <t>14053.005.1005.249</t>
  </si>
  <si>
    <t>ONLINESHOP</t>
  </si>
  <si>
    <t>14053.001.1005.251</t>
  </si>
  <si>
    <t>05-10-1991</t>
  </si>
  <si>
    <t>14053.001.1005.256</t>
  </si>
  <si>
    <t>25-02-1973</t>
  </si>
  <si>
    <t>14053.002.1005.281</t>
  </si>
  <si>
    <t>10-05-1984</t>
  </si>
  <si>
    <t>MI TARBIYATUL KRAKSAAN</t>
  </si>
  <si>
    <t>14053.001.1005.282</t>
  </si>
  <si>
    <t>11-12-1950</t>
  </si>
  <si>
    <t>14053.001.1005.283</t>
  </si>
  <si>
    <t>15-06-1957</t>
  </si>
  <si>
    <t>RAWON BU DARMO</t>
  </si>
  <si>
    <t>13-03-1973</t>
  </si>
  <si>
    <t>14053.004.1005.307</t>
  </si>
  <si>
    <t>16-09-1968</t>
  </si>
  <si>
    <t>BADAN PERTANAHAN</t>
  </si>
  <si>
    <t>14053.003.1005.311</t>
  </si>
  <si>
    <t>WARUNG NASI CAMPUR</t>
  </si>
  <si>
    <t>14053.001.1005.314</t>
  </si>
  <si>
    <t>JUAL LPG 3 KG</t>
  </si>
  <si>
    <t>14053.004.1005.316</t>
  </si>
  <si>
    <t>16-06-1979</t>
  </si>
  <si>
    <t>SMP NEGERI 4 BANYUWANGI</t>
  </si>
  <si>
    <t>14053.001.1005.321</t>
  </si>
  <si>
    <t>21-07-1974</t>
  </si>
  <si>
    <t>14053.001.1005.322</t>
  </si>
  <si>
    <t>23-03-1967</t>
  </si>
  <si>
    <t>14053.001.1005.323</t>
  </si>
  <si>
    <t>01-12-1966</t>
  </si>
  <si>
    <t>14053.002.1005.329</t>
  </si>
  <si>
    <t>28-11-1978</t>
  </si>
  <si>
    <t>14053.001.1005.331</t>
  </si>
  <si>
    <t>13-12-1984</t>
  </si>
  <si>
    <t>INDUSTRI DAN JASA</t>
  </si>
  <si>
    <t>14053.006.1005.332</t>
  </si>
  <si>
    <t>25-04-1949</t>
  </si>
  <si>
    <t>14053.003.1005.335</t>
  </si>
  <si>
    <t>05-07-1957</t>
  </si>
  <si>
    <t>14053.003.1005.336</t>
  </si>
  <si>
    <t>17-07-1965</t>
  </si>
  <si>
    <t>14053.001.1005.340</t>
  </si>
  <si>
    <t>20-08-1970</t>
  </si>
  <si>
    <t>SOPIR ANGKOT</t>
  </si>
  <si>
    <t>14053.001.1005.341</t>
  </si>
  <si>
    <t>BIRO JASA, ONLINE SHOP</t>
  </si>
  <si>
    <t>14053.001.1005.342</t>
  </si>
  <si>
    <t>08-10-1974</t>
  </si>
  <si>
    <t>KPP PRATAMA PROB</t>
  </si>
  <si>
    <t>14053.001.1005.343</t>
  </si>
  <si>
    <t>15-11-1994</t>
  </si>
  <si>
    <t>SAILA SMART SCHOOL</t>
  </si>
  <si>
    <t>14053.003.1005.344</t>
  </si>
  <si>
    <t>27-11-1994</t>
  </si>
  <si>
    <t>14053.002.1005.346</t>
  </si>
  <si>
    <t>24-07-1979</t>
  </si>
  <si>
    <t>KUE KERING</t>
  </si>
  <si>
    <t>14053.001.1005.353</t>
  </si>
  <si>
    <t>10-10-1975</t>
  </si>
  <si>
    <t>ENERGI</t>
  </si>
  <si>
    <t>14053.003.1005.360</t>
  </si>
  <si>
    <t>06-02-1971</t>
  </si>
  <si>
    <t>14053.001.1005.362</t>
  </si>
  <si>
    <t>14-04-1984</t>
  </si>
  <si>
    <t>14053.001.1005.364</t>
  </si>
  <si>
    <t>31-03-1971</t>
  </si>
  <si>
    <t>14053.003.1005.370</t>
  </si>
  <si>
    <t>JUAL NASI PECEL</t>
  </si>
  <si>
    <t>PECEL MADIUN 2 RASA PAK TORO</t>
  </si>
  <si>
    <t>14053.002.1005.371</t>
  </si>
  <si>
    <t>25-02-1977</t>
  </si>
  <si>
    <t>PUSKESMAS KT ANYAR</t>
  </si>
  <si>
    <t>14053.001.1005.377</t>
  </si>
  <si>
    <t>22-10-1983</t>
  </si>
  <si>
    <t>14053.004.1005.378</t>
  </si>
  <si>
    <t>27-06-1990</t>
  </si>
  <si>
    <t>14053.001.1005.381</t>
  </si>
  <si>
    <t>14053.005.1005.393</t>
  </si>
  <si>
    <t>01-05-1976</t>
  </si>
  <si>
    <t>14053.001.1005.395</t>
  </si>
  <si>
    <t>26-03-1970</t>
  </si>
  <si>
    <t>TOKO BAHAN KUE</t>
  </si>
  <si>
    <t>TOKO JULI JAYA</t>
  </si>
  <si>
    <t>14053.005.1005.398</t>
  </si>
  <si>
    <t>14-01-1983</t>
  </si>
  <si>
    <t>14053.005.1005.401</t>
  </si>
  <si>
    <t>02-02-1961</t>
  </si>
  <si>
    <t>RSUD DR WAHIDIN SUDIRO HUSODO</t>
  </si>
  <si>
    <t>14053.001.1005.404</t>
  </si>
  <si>
    <t>18-09-1985</t>
  </si>
  <si>
    <t>14053.001.1005.406</t>
  </si>
  <si>
    <t>28-06-1982</t>
  </si>
  <si>
    <t>CAFE NIKITA / CAFE COLABORA</t>
  </si>
  <si>
    <t>14053.003.1005.409</t>
  </si>
  <si>
    <t>04-06-1968</t>
  </si>
  <si>
    <t>BAPURI</t>
  </si>
  <si>
    <t>14053.001.1005.410</t>
  </si>
  <si>
    <t>01-05-1987</t>
  </si>
  <si>
    <t>05-03-1967</t>
  </si>
  <si>
    <t>14053.002.1005.425</t>
  </si>
  <si>
    <t>01-04-1967</t>
  </si>
  <si>
    <t>CV SHERLY PRINT</t>
  </si>
  <si>
    <t>14053.001.1005.427</t>
  </si>
  <si>
    <t>04-04-1970</t>
  </si>
  <si>
    <t>RSUD DR MOH SALEH</t>
  </si>
  <si>
    <t>14053.001.1005.428</t>
  </si>
  <si>
    <t>21-11-1978</t>
  </si>
  <si>
    <t>JASA KONVEKSI</t>
  </si>
  <si>
    <t>14053.006.1005.431</t>
  </si>
  <si>
    <t>13-06-1962</t>
  </si>
  <si>
    <t>PENGAWAS SEKOLAH</t>
  </si>
  <si>
    <t>14053.005.1005.433</t>
  </si>
  <si>
    <t>10-05-1979</t>
  </si>
  <si>
    <t>Tukang Las/Pandai Besi</t>
  </si>
  <si>
    <t>BENGKEL LAS KARBIT DAN LISTRIK KEDUNDUNG</t>
  </si>
  <si>
    <t>14053.004.1005.434</t>
  </si>
  <si>
    <t>30-03-1983</t>
  </si>
  <si>
    <t>14053.001.1005.435</t>
  </si>
  <si>
    <t>CV SKM</t>
  </si>
  <si>
    <t>14053.001.1005.448</t>
  </si>
  <si>
    <t>18-10-1970</t>
  </si>
  <si>
    <t>14053.002.1005.455</t>
  </si>
  <si>
    <t>25-03-1969</t>
  </si>
  <si>
    <t>KELURAHAN DS OPO OPO</t>
  </si>
  <si>
    <t>14053.005.1005.456</t>
  </si>
  <si>
    <t>02-05-1982</t>
  </si>
  <si>
    <t>14053.003.1005.460</t>
  </si>
  <si>
    <t>17-07-1978</t>
  </si>
  <si>
    <t>14053.001.1005.462</t>
  </si>
  <si>
    <t>24-11-1952</t>
  </si>
  <si>
    <t>PENGEPUL RONGSOKAN</t>
  </si>
  <si>
    <t>04-04-1955</t>
  </si>
  <si>
    <t>14053.005.1005.477</t>
  </si>
  <si>
    <t>07-05-1952</t>
  </si>
  <si>
    <t>14053.004.1005.479</t>
  </si>
  <si>
    <t>12-01-1971</t>
  </si>
  <si>
    <t>PT BERKAT MAKMUR</t>
  </si>
  <si>
    <t>14053.004.1005.480</t>
  </si>
  <si>
    <t>01-05-1990</t>
  </si>
  <si>
    <t>14053.002.1005.486</t>
  </si>
  <si>
    <t>14053.005.1005.489</t>
  </si>
  <si>
    <t>28-03-1988</t>
  </si>
  <si>
    <t>14053.005.1005.490</t>
  </si>
  <si>
    <t>24-02-1990</t>
  </si>
  <si>
    <t>14053.005.1005.495</t>
  </si>
  <si>
    <t>14053.001.1005.501</t>
  </si>
  <si>
    <t>10-10-1988</t>
  </si>
  <si>
    <t>PERS</t>
  </si>
  <si>
    <t>JAWA POS RADAR BROMO</t>
  </si>
  <si>
    <t>14053.001.1005.505</t>
  </si>
  <si>
    <t>27-01-1980</t>
  </si>
  <si>
    <t>14053.004.1005.507</t>
  </si>
  <si>
    <t>01-06-1976</t>
  </si>
  <si>
    <t>14053.006.1005.510</t>
  </si>
  <si>
    <t>14053.001.1005.512</t>
  </si>
  <si>
    <t>01-12-1970</t>
  </si>
  <si>
    <t>PEDAGANG SOTO</t>
  </si>
  <si>
    <t>14053.001.1005.515</t>
  </si>
  <si>
    <t>03-04-1990</t>
  </si>
  <si>
    <t>PDAM</t>
  </si>
  <si>
    <t>14053.001.1005.517</t>
  </si>
  <si>
    <t>14053.005.1005.520</t>
  </si>
  <si>
    <t>07-03-1982</t>
  </si>
  <si>
    <t>14053.001.1005.525</t>
  </si>
  <si>
    <t>01-11-1979</t>
  </si>
  <si>
    <t>RSAB SITI AISYAH</t>
  </si>
  <si>
    <t>14053.001.1005.526</t>
  </si>
  <si>
    <t>20-05-1947</t>
  </si>
  <si>
    <t>14053.006.1005.530</t>
  </si>
  <si>
    <t>20-04-1999</t>
  </si>
  <si>
    <t>14053.002.1005.531</t>
  </si>
  <si>
    <t>14053.001.1005.532</t>
  </si>
  <si>
    <t>18-05-1988</t>
  </si>
  <si>
    <t>14053.004.1005.535</t>
  </si>
  <si>
    <t>07-07-1990</t>
  </si>
  <si>
    <t>SARANA KOMUNIKASI DAN INFORMASI</t>
  </si>
  <si>
    <t>RADIO BLAMBANGAN FM</t>
  </si>
  <si>
    <t>14053.005.1005.540</t>
  </si>
  <si>
    <t>14053.005.1005.541</t>
  </si>
  <si>
    <t>30-08-1986</t>
  </si>
  <si>
    <t>PT INTI DRAGON SURYA</t>
  </si>
  <si>
    <t>14053.005.1005.549</t>
  </si>
  <si>
    <t>25-05-1983</t>
  </si>
  <si>
    <t>KRIAN</t>
  </si>
  <si>
    <t>14053.005.1005.550</t>
  </si>
  <si>
    <t>15-05-1958</t>
  </si>
  <si>
    <t xml:space="preserve">Mie Ayam </t>
  </si>
  <si>
    <t>14053.001.1005.553</t>
  </si>
  <si>
    <t>16-05-1963</t>
  </si>
  <si>
    <t>14053.005.1005.554</t>
  </si>
  <si>
    <t>18-11-1987</t>
  </si>
  <si>
    <t>14053.001.1005.558</t>
  </si>
  <si>
    <t>04-05-1959</t>
  </si>
  <si>
    <t>KEDUNGREJO I</t>
  </si>
  <si>
    <t>14053.004.1005.560</t>
  </si>
  <si>
    <t>22-10-1974</t>
  </si>
  <si>
    <t>14053.001.1005.564</t>
  </si>
  <si>
    <t>27-03-1982</t>
  </si>
  <si>
    <t>14053.003.1005.566</t>
  </si>
  <si>
    <t>27-01-1966</t>
  </si>
  <si>
    <t>14053.003.1005.570</t>
  </si>
  <si>
    <t>01-01-1955</t>
  </si>
  <si>
    <t>14053.003.1005.571</t>
  </si>
  <si>
    <t>09-07-1950</t>
  </si>
  <si>
    <t>14053.002.1005.579</t>
  </si>
  <si>
    <t>19-06-1973</t>
  </si>
  <si>
    <t>MTS NURUL QADIM</t>
  </si>
  <si>
    <t>14053.003.1005.590</t>
  </si>
  <si>
    <t>20-01-1977</t>
  </si>
  <si>
    <t>14053.001.1005.593</t>
  </si>
  <si>
    <t>KULI BANGUNAN</t>
  </si>
  <si>
    <t>TUKANG BATU</t>
  </si>
  <si>
    <t>14053.001.1005.594</t>
  </si>
  <si>
    <t>ADMIN KORAN PANTURA</t>
  </si>
  <si>
    <t>14053.005.1005.599</t>
  </si>
  <si>
    <t>22-04-1972</t>
  </si>
  <si>
    <t>TU SMA Tamsis</t>
  </si>
  <si>
    <t>14053.003.1005.604</t>
  </si>
  <si>
    <t>07-12-1973</t>
  </si>
  <si>
    <t>14053.002.1005.605</t>
  </si>
  <si>
    <t>20-01-1989</t>
  </si>
  <si>
    <t>14053.001.1005.623</t>
  </si>
  <si>
    <t>24-03-1982</t>
  </si>
  <si>
    <t>14053.003.1005.625</t>
  </si>
  <si>
    <t>10-05-1977</t>
  </si>
  <si>
    <t>14053.001.1005.629</t>
  </si>
  <si>
    <t>17-08-1987</t>
  </si>
  <si>
    <t>AIA FINACIAL PT</t>
  </si>
  <si>
    <t>14053.001.1005.635</t>
  </si>
  <si>
    <t>13-04-1972</t>
  </si>
  <si>
    <t>14053.003.1005.638</t>
  </si>
  <si>
    <t>01-05-1989</t>
  </si>
  <si>
    <t>14053.001.1005.640</t>
  </si>
  <si>
    <t>SDN KEDUNGREJO 1</t>
  </si>
  <si>
    <t>14053.004.1005.646</t>
  </si>
  <si>
    <t>08-08-1968</t>
  </si>
  <si>
    <t>14053.004.1005.647</t>
  </si>
  <si>
    <t>11-08-1969</t>
  </si>
  <si>
    <t>14053.001.1005.650</t>
  </si>
  <si>
    <t>09-05-1959</t>
  </si>
  <si>
    <t>14053.001.1005.661</t>
  </si>
  <si>
    <t>27-09-1975</t>
  </si>
  <si>
    <t>14053.002.1005.666</t>
  </si>
  <si>
    <t>14-07-1978</t>
  </si>
  <si>
    <t>14053.001.1005.667</t>
  </si>
  <si>
    <t>14053.002.1005.670</t>
  </si>
  <si>
    <t>TK PERMATA HATI BALI</t>
  </si>
  <si>
    <t>14053.004.1005.672</t>
  </si>
  <si>
    <t>02-11-1957</t>
  </si>
  <si>
    <t>14053.004.1005.673</t>
  </si>
  <si>
    <t>12-05-1957</t>
  </si>
  <si>
    <t>14053.004.1005.674</t>
  </si>
  <si>
    <t>29-06-2003</t>
  </si>
  <si>
    <t>14053.003.1005.679</t>
  </si>
  <si>
    <t>09-03-1987</t>
  </si>
  <si>
    <t>14053.003.1005.682</t>
  </si>
  <si>
    <t>17-09-1956</t>
  </si>
  <si>
    <t>13-12-1972</t>
  </si>
  <si>
    <t>14053.003.1005.685</t>
  </si>
  <si>
    <t>03-07-1986</t>
  </si>
  <si>
    <t>14053.003.1005.689</t>
  </si>
  <si>
    <t>12-11-1976</t>
  </si>
  <si>
    <t>14053.001.1005.691</t>
  </si>
  <si>
    <t>29-03-1980</t>
  </si>
  <si>
    <t>14053.003.1005.700</t>
  </si>
  <si>
    <t>27-07-1966</t>
  </si>
  <si>
    <t>14053.001.1005.701</t>
  </si>
  <si>
    <t>10-10-1977</t>
  </si>
  <si>
    <t>SALON ASRI</t>
  </si>
  <si>
    <t>14053.002.1005.703</t>
  </si>
  <si>
    <t>26-09-1972</t>
  </si>
  <si>
    <t>PT SIEMENS INDONESIA</t>
  </si>
  <si>
    <t>14053.003.1005.705</t>
  </si>
  <si>
    <t>02-10-1971</t>
  </si>
  <si>
    <t>14053.006.1005.716</t>
  </si>
  <si>
    <t>20-02-1977</t>
  </si>
  <si>
    <t>PENYIAR RADIO</t>
  </si>
  <si>
    <t>14053.001.1005.717</t>
  </si>
  <si>
    <t>24-02-1981</t>
  </si>
  <si>
    <t>PEDAGANG CILOK</t>
  </si>
  <si>
    <t>14053.003.1005.722</t>
  </si>
  <si>
    <t>14053.002.1005.726</t>
  </si>
  <si>
    <t>03-04-1972</t>
  </si>
  <si>
    <t>14053.001.1005.736</t>
  </si>
  <si>
    <t>21-12-1968</t>
  </si>
  <si>
    <t>PT CJI</t>
  </si>
  <si>
    <t>LEASING</t>
  </si>
  <si>
    <t>14053.001.1005.742</t>
  </si>
  <si>
    <t>06-06-1967</t>
  </si>
  <si>
    <t>SEMBAKO</t>
  </si>
  <si>
    <t>14053.003.1005.745</t>
  </si>
  <si>
    <t>29-09-1971</t>
  </si>
  <si>
    <t>14053.001.1005.746</t>
  </si>
  <si>
    <t>21-04-1976</t>
  </si>
  <si>
    <t>14053.003.1005.747</t>
  </si>
  <si>
    <t>18-04-1973</t>
  </si>
  <si>
    <t>14053.006.1005.749</t>
  </si>
  <si>
    <t>14053.001.1005.750</t>
  </si>
  <si>
    <t>08-05-1979</t>
  </si>
  <si>
    <t>Perangkat Desa</t>
  </si>
  <si>
    <t>PERANGKAT DESA</t>
  </si>
  <si>
    <t>14053.001.1005.754</t>
  </si>
  <si>
    <t>18-04-1991</t>
  </si>
  <si>
    <t>PT KERAMIK PAOLO</t>
  </si>
  <si>
    <t>14053.004.1005.756</t>
  </si>
  <si>
    <t>03-07-1998</t>
  </si>
  <si>
    <t>MITRA INTEGRASI INFORMATIKA</t>
  </si>
  <si>
    <t>14053.003.1005.758</t>
  </si>
  <si>
    <t>23-03-1986</t>
  </si>
  <si>
    <t>14053.003.1005.759</t>
  </si>
  <si>
    <t>29-05-1982</t>
  </si>
  <si>
    <t>14053.001.1005.775</t>
  </si>
  <si>
    <t>14-09-1988</t>
  </si>
  <si>
    <t>KWARTIR PRAMUKA</t>
  </si>
  <si>
    <t>14053.001.1005.778</t>
  </si>
  <si>
    <t>20-02-2003</t>
  </si>
  <si>
    <t>14053.001.1005.780</t>
  </si>
  <si>
    <t>10-11-1948</t>
  </si>
  <si>
    <t>14053.003.1005.782</t>
  </si>
  <si>
    <t>22-09-1959</t>
  </si>
  <si>
    <t>14053.001.1005.784</t>
  </si>
  <si>
    <t>24-11-1991</t>
  </si>
  <si>
    <t>14053.003.1005.789</t>
  </si>
  <si>
    <t>01-01-1974</t>
  </si>
  <si>
    <t>14053.001.1005.791</t>
  </si>
  <si>
    <t>12-09-1979</t>
  </si>
  <si>
    <t>ARSITEK</t>
  </si>
  <si>
    <t>14053.004.1005.793</t>
  </si>
  <si>
    <t>20-09-1989</t>
  </si>
  <si>
    <t>TOKO KELONTONG DAN DAGING SAPI</t>
  </si>
  <si>
    <t>PASAR PUJASERA</t>
  </si>
  <si>
    <t>25-05-1982</t>
  </si>
  <si>
    <t>14053.001.1005.803</t>
  </si>
  <si>
    <t>22-04-1956</t>
  </si>
  <si>
    <t>14053.001.1005.806</t>
  </si>
  <si>
    <t>11-10-1974</t>
  </si>
  <si>
    <t>14053.005.1005.808</t>
  </si>
  <si>
    <t>30-11-1990</t>
  </si>
  <si>
    <t>Rental Mobil</t>
  </si>
  <si>
    <t>14053.005.1005.809</t>
  </si>
  <si>
    <t>29-07-1968</t>
  </si>
  <si>
    <t>14053.001.1005.812</t>
  </si>
  <si>
    <t>31-07-1977</t>
  </si>
  <si>
    <t>TUKANG PIJAT BAYI</t>
  </si>
  <si>
    <t>IBU RUMAH TANGGA, TUKANG PIJAT</t>
  </si>
  <si>
    <t>14053.005.1005.813</t>
  </si>
  <si>
    <t>05-03-1957</t>
  </si>
  <si>
    <t>14053.001.1005.816</t>
  </si>
  <si>
    <t>29-01-1964</t>
  </si>
  <si>
    <t>14053.004.1005.818</t>
  </si>
  <si>
    <t>11-05-1952</t>
  </si>
  <si>
    <t>14053.001.1005.821</t>
  </si>
  <si>
    <t>07-11-1974</t>
  </si>
  <si>
    <t>08-06-1979</t>
  </si>
  <si>
    <t>14053.001.1005.825</t>
  </si>
  <si>
    <t>05-10-1950</t>
  </si>
  <si>
    <t>TENAGA PROFESIONAL KEDOKTERAN</t>
  </si>
  <si>
    <t>14053.001.1005.829</t>
  </si>
  <si>
    <t>TOKO ATK</t>
  </si>
  <si>
    <t>RANGGA - COMP, JUAL ATK</t>
  </si>
  <si>
    <t>14053.005.1005.830</t>
  </si>
  <si>
    <t>14053.001.1005.835</t>
  </si>
  <si>
    <t>17-12-1987</t>
  </si>
  <si>
    <t>14053.003.1005.837</t>
  </si>
  <si>
    <t>08-04-1986</t>
  </si>
  <si>
    <t>14053.004.1005.840</t>
  </si>
  <si>
    <t>03-08-1973</t>
  </si>
  <si>
    <t>JASA / BENGKEL MOBIL</t>
  </si>
  <si>
    <t>BENGKEL PAK SAD</t>
  </si>
  <si>
    <t>14053.005.1005.849</t>
  </si>
  <si>
    <t>16-03-1964</t>
  </si>
  <si>
    <t>RENTAL MOBIL</t>
  </si>
  <si>
    <t>14053.001.1005.851</t>
  </si>
  <si>
    <t>26-04-1975</t>
  </si>
  <si>
    <t>OJEK ONLINE</t>
  </si>
  <si>
    <t>14053.004.1005.862</t>
  </si>
  <si>
    <t>08-02-1967</t>
  </si>
  <si>
    <t>14053.003.1005.867</t>
  </si>
  <si>
    <t>26-02-1994</t>
  </si>
  <si>
    <t>Jual Peyek</t>
  </si>
  <si>
    <t>14053.005.1005.870</t>
  </si>
  <si>
    <t>27-02-1971</t>
  </si>
  <si>
    <t>14053.001.1005.871</t>
  </si>
  <si>
    <t>20-03-1991</t>
  </si>
  <si>
    <t>14053.005.1005.873</t>
  </si>
  <si>
    <t>18-07-1966</t>
  </si>
  <si>
    <t>14053.003.1005.879</t>
  </si>
  <si>
    <t>21-07-1994</t>
  </si>
  <si>
    <t>14053.003.1005.880</t>
  </si>
  <si>
    <t>03-04-1991</t>
  </si>
  <si>
    <t>14053.006.1005.881</t>
  </si>
  <si>
    <t>26-10-1962</t>
  </si>
  <si>
    <t>14053.005.1005.882</t>
  </si>
  <si>
    <t>RS GATOEL</t>
  </si>
  <si>
    <t>14053.003.1005.883</t>
  </si>
  <si>
    <t>14053.002.1005.884</t>
  </si>
  <si>
    <t>23-08-1983</t>
  </si>
  <si>
    <t>TOKO BATIK</t>
  </si>
  <si>
    <t>14053.001.1005.888</t>
  </si>
  <si>
    <t>09-05-1974</t>
  </si>
  <si>
    <t>DEVELOPMENT</t>
  </si>
  <si>
    <t>14053.001.1005.894</t>
  </si>
  <si>
    <t>22-08-1980</t>
  </si>
  <si>
    <t>14053.003.1005.900</t>
  </si>
  <si>
    <t>17-11-1957</t>
  </si>
  <si>
    <t>14053.006.1005.901</t>
  </si>
  <si>
    <t>01-08-1979</t>
  </si>
  <si>
    <t>14053.003.1005.904</t>
  </si>
  <si>
    <t>14053.004.1005.909</t>
  </si>
  <si>
    <t>30-09-1993</t>
  </si>
  <si>
    <t>14053.005.1005.912</t>
  </si>
  <si>
    <t>14053.001.1005.913</t>
  </si>
  <si>
    <t>11-01-1972</t>
  </si>
  <si>
    <t>14053.001.1005.921</t>
  </si>
  <si>
    <t>29-03-1987</t>
  </si>
  <si>
    <t>14053.001.1005.936</t>
  </si>
  <si>
    <t>14053.003.1005.945</t>
  </si>
  <si>
    <t>12-08-1954</t>
  </si>
  <si>
    <t>14053.002.1005.948</t>
  </si>
  <si>
    <t>07-07-1969</t>
  </si>
  <si>
    <t>AJB BUMI PUTRA1912</t>
  </si>
  <si>
    <t>14053.002.1005.955</t>
  </si>
  <si>
    <t>14053.001.1005.958</t>
  </si>
  <si>
    <t>18-07-1981</t>
  </si>
  <si>
    <t>SDN KEBONSARI KULON 2</t>
  </si>
  <si>
    <t>14053.001.1005.959</t>
  </si>
  <si>
    <t>06-07-1987</t>
  </si>
  <si>
    <t>TELEKOMUNIKASI</t>
  </si>
  <si>
    <t>PT TELKOM</t>
  </si>
  <si>
    <t>14053.001.1005.960</t>
  </si>
  <si>
    <t>CV CITRA NUSA PERSADA</t>
  </si>
  <si>
    <t>14053.001.1005.961</t>
  </si>
  <si>
    <t>10-07-1986</t>
  </si>
  <si>
    <t>JASA KECANTIKAN</t>
  </si>
  <si>
    <t>11-11-1965</t>
  </si>
  <si>
    <t>14053.001.1005.970</t>
  </si>
  <si>
    <t>SMAN 2 PROBOLINGGO</t>
  </si>
  <si>
    <t>14053.006.1005.972</t>
  </si>
  <si>
    <t>23-09-1970</t>
  </si>
  <si>
    <t>PABRIK ROTI</t>
  </si>
  <si>
    <t>14053.001.1005.974</t>
  </si>
  <si>
    <t>30-04-1972</t>
  </si>
  <si>
    <t>ANDA JAYA</t>
  </si>
  <si>
    <t>14053.005.1006.025</t>
  </si>
  <si>
    <t>26-05-1975</t>
  </si>
  <si>
    <t>14053.001.1006.031</t>
  </si>
  <si>
    <t>15-06-1996</t>
  </si>
  <si>
    <t>KEUANGAN</t>
  </si>
  <si>
    <t>14053.003.1006.033</t>
  </si>
  <si>
    <t>26-03-1978</t>
  </si>
  <si>
    <t>14053.001.1006.034</t>
  </si>
  <si>
    <t>PRT MARTINA  MARIA</t>
  </si>
  <si>
    <t>14053.004.1006.036</t>
  </si>
  <si>
    <t>01-05-1985</t>
  </si>
  <si>
    <t>PASAR CUNGKING</t>
  </si>
  <si>
    <t>14053.002.1006.037</t>
  </si>
  <si>
    <t>04-08-1980</t>
  </si>
  <si>
    <t>14053.001.1006.038</t>
  </si>
  <si>
    <t>UPT SD DAN PAUD KEC</t>
  </si>
  <si>
    <t>14053.002.1006.043</t>
  </si>
  <si>
    <t>15-04-1980</t>
  </si>
  <si>
    <t>14053.001.1006.045</t>
  </si>
  <si>
    <t>20-11-1995</t>
  </si>
  <si>
    <t>14053.002.1006.046</t>
  </si>
  <si>
    <t>04-03-1981</t>
  </si>
  <si>
    <t>14053.001.1006.048</t>
  </si>
  <si>
    <t>26-07-1977</t>
  </si>
  <si>
    <t>14053.001.1006.049</t>
  </si>
  <si>
    <t>12-12-1996</t>
  </si>
  <si>
    <t>CV BAKI JAJAR</t>
  </si>
  <si>
    <t>14053.001.1006.050</t>
  </si>
  <si>
    <t>02-05-1955</t>
  </si>
  <si>
    <t>JUAL SAYUR</t>
  </si>
  <si>
    <t>14053.006.1006.052</t>
  </si>
  <si>
    <t>07-11-1981</t>
  </si>
  <si>
    <t>14053.006.1006.053</t>
  </si>
  <si>
    <t>08-01-1977</t>
  </si>
  <si>
    <t>14053.006.1006.065</t>
  </si>
  <si>
    <t>03-04-1998</t>
  </si>
  <si>
    <t>21-02-1995</t>
  </si>
  <si>
    <t>14053.003.1006.076</t>
  </si>
  <si>
    <t>03-12-1975</t>
  </si>
  <si>
    <t>14053.001.1006.078</t>
  </si>
  <si>
    <t>14-09-1969</t>
  </si>
  <si>
    <t>14053.006.1006.090</t>
  </si>
  <si>
    <t>22-10-1971</t>
  </si>
  <si>
    <t>GEREJA KRISTEN</t>
  </si>
  <si>
    <t>14053.001.1006.092</t>
  </si>
  <si>
    <t>08-08-1986</t>
  </si>
  <si>
    <t>14053.003.1006.093</t>
  </si>
  <si>
    <t>08-08-1965</t>
  </si>
  <si>
    <t>14053.001.1006.097</t>
  </si>
  <si>
    <t>TOKO UNGGAS JAYA (TOKO PAKAN TERNAK</t>
  </si>
  <si>
    <t>14053.001.1006.098</t>
  </si>
  <si>
    <t>19-06-1976</t>
  </si>
  <si>
    <t>14053.006.1006.116</t>
  </si>
  <si>
    <t>05-10-1981</t>
  </si>
  <si>
    <t>14053.003.1006.120</t>
  </si>
  <si>
    <t>09-10-1987</t>
  </si>
  <si>
    <t>14053.005.1006.123</t>
  </si>
  <si>
    <t>20-03-1955</t>
  </si>
  <si>
    <t>14053.004.1006.125</t>
  </si>
  <si>
    <t>29-09-1979</t>
  </si>
  <si>
    <t>Tentara Nasional Indonesia</t>
  </si>
  <si>
    <t>TBI AD</t>
  </si>
  <si>
    <t>14053.001.1006.130</t>
  </si>
  <si>
    <t>09-11-1970</t>
  </si>
  <si>
    <t>14053.001.1006.131</t>
  </si>
  <si>
    <t>27-10-1980</t>
  </si>
  <si>
    <t xml:space="preserve">MINIPOM </t>
  </si>
  <si>
    <t>14053.001.1006.140</t>
  </si>
  <si>
    <t>17-08-1969</t>
  </si>
  <si>
    <t>CATERING (ALUN ALUN)</t>
  </si>
  <si>
    <t>LOUNDRY</t>
  </si>
  <si>
    <t>14053.006.1006.144</t>
  </si>
  <si>
    <t>17-10-1987</t>
  </si>
  <si>
    <t>14053.001.1006.154</t>
  </si>
  <si>
    <t>24-06-1986</t>
  </si>
  <si>
    <t>14053.004.1006.157</t>
  </si>
  <si>
    <t>19-01-1987</t>
  </si>
  <si>
    <t>14053.001.1006.167</t>
  </si>
  <si>
    <t>13-02-1982</t>
  </si>
  <si>
    <t>SDN KADEMANGAN II</t>
  </si>
  <si>
    <t>14053.001.1006.168</t>
  </si>
  <si>
    <t>27-04-1976</t>
  </si>
  <si>
    <t>SALES JASA/BARANG</t>
  </si>
  <si>
    <t>14053.001.1006.169</t>
  </si>
  <si>
    <t>23-08-1986</t>
  </si>
  <si>
    <t>SMK TAMAN SISWA 1</t>
  </si>
  <si>
    <t>14053.005.1006.171</t>
  </si>
  <si>
    <t>22-09-1969</t>
  </si>
  <si>
    <t>14053.006.1006.173</t>
  </si>
  <si>
    <t>25-05-1961</t>
  </si>
  <si>
    <t>TOKO  HANDOKO KLONTONG</t>
  </si>
  <si>
    <t>14053.001.1006.174</t>
  </si>
  <si>
    <t>01-07-1974</t>
  </si>
  <si>
    <t>14053.005.1006.176</t>
  </si>
  <si>
    <t>05-09-1977</t>
  </si>
  <si>
    <t>FASION</t>
  </si>
  <si>
    <t>FAZZA COLLECTION</t>
  </si>
  <si>
    <t>14053.001.1006.181</t>
  </si>
  <si>
    <t>08-08-1987</t>
  </si>
  <si>
    <t>14053.001.1006.185</t>
  </si>
  <si>
    <t>20-02-1981</t>
  </si>
  <si>
    <t>14053.001.1006.190</t>
  </si>
  <si>
    <t>24-03-1975</t>
  </si>
  <si>
    <t>14053.006.1006.192</t>
  </si>
  <si>
    <t>04-09-1972</t>
  </si>
  <si>
    <t>14053.006.1006.193</t>
  </si>
  <si>
    <t>03-10-1980</t>
  </si>
  <si>
    <t>14053.006.1006.199</t>
  </si>
  <si>
    <t>22-08-1974</t>
  </si>
  <si>
    <t>SMK WIYASA</t>
  </si>
  <si>
    <t>14053.003.1006.202</t>
  </si>
  <si>
    <t>30-05-1957</t>
  </si>
  <si>
    <t>14053.006.1006.203</t>
  </si>
  <si>
    <t>15-11-1938</t>
  </si>
  <si>
    <t>14053.001.1006.205</t>
  </si>
  <si>
    <t>03-07-1982</t>
  </si>
  <si>
    <t>14053.002.1006.207</t>
  </si>
  <si>
    <t>10-02-1975</t>
  </si>
  <si>
    <t>APOTEK ROME 07</t>
  </si>
  <si>
    <t>14053.003.1006.208</t>
  </si>
  <si>
    <t>02-07-2007</t>
  </si>
  <si>
    <t>SMPK PETRUS</t>
  </si>
  <si>
    <t>14053.001.1006.213</t>
  </si>
  <si>
    <t>14053.002.1006.215</t>
  </si>
  <si>
    <t>26-09-1982</t>
  </si>
  <si>
    <t>14053.003.1006.217</t>
  </si>
  <si>
    <t>19-06-1975</t>
  </si>
  <si>
    <t>14053.002.1006.223</t>
  </si>
  <si>
    <t>14053.001.1006.227</t>
  </si>
  <si>
    <t>25-07-1982</t>
  </si>
  <si>
    <t>14053.001.1006.228</t>
  </si>
  <si>
    <t>04-01-1965</t>
  </si>
  <si>
    <t>09-07-1967</t>
  </si>
  <si>
    <t>14053.001.1006.241</t>
  </si>
  <si>
    <t>20-03-1972</t>
  </si>
  <si>
    <t>PT. APU</t>
  </si>
  <si>
    <t>14053.003.1006.244</t>
  </si>
  <si>
    <t>12-11-1981</t>
  </si>
  <si>
    <t>14053.001.1006.246</t>
  </si>
  <si>
    <t>03-09-1964</t>
  </si>
  <si>
    <t>14053.001.1006.253</t>
  </si>
  <si>
    <t>03-02-1981</t>
  </si>
  <si>
    <t>DISTRIBUTOR SARI ROTI</t>
  </si>
  <si>
    <t>SARI ROTI</t>
  </si>
  <si>
    <t>14053.006.1006.258</t>
  </si>
  <si>
    <t>26-06-1959</t>
  </si>
  <si>
    <t>14053.001.1006.261</t>
  </si>
  <si>
    <t>20-05-1973</t>
  </si>
  <si>
    <t>WARUNG NASI, CATERING</t>
  </si>
  <si>
    <t>14053.001.1006.267</t>
  </si>
  <si>
    <t>13-05-1988</t>
  </si>
  <si>
    <t>KOSTER GEREJA</t>
  </si>
  <si>
    <t>GEREJA KATOLIK LUMAJANG</t>
  </si>
  <si>
    <t>14053.001.1006.268</t>
  </si>
  <si>
    <t>06-03-1992</t>
  </si>
  <si>
    <t>14053.003.1006.273</t>
  </si>
  <si>
    <t>14-05-1983</t>
  </si>
  <si>
    <t>14053.001.1006.276</t>
  </si>
  <si>
    <t>02-03-1971</t>
  </si>
  <si>
    <t>14053.003.1006.280</t>
  </si>
  <si>
    <t>14053.002.1006.285</t>
  </si>
  <si>
    <t>23-12-1993</t>
  </si>
  <si>
    <t>IKUT ORANG TUA</t>
  </si>
  <si>
    <t>PMI KRAKSAAN</t>
  </si>
  <si>
    <t>14053.003.1006.286</t>
  </si>
  <si>
    <t>28-09-1956</t>
  </si>
  <si>
    <t>14053.001.1006.289</t>
  </si>
  <si>
    <t>24-09-1983</t>
  </si>
  <si>
    <t>KONTER HP</t>
  </si>
  <si>
    <t>COUNTER</t>
  </si>
  <si>
    <t>14053.001.1006.293</t>
  </si>
  <si>
    <t>05-04-1974</t>
  </si>
  <si>
    <t>14053.005.1006.298</t>
  </si>
  <si>
    <t>14-11-1950</t>
  </si>
  <si>
    <t>RS REKSO WALUYO</t>
  </si>
  <si>
    <t>14053.003.1006.299</t>
  </si>
  <si>
    <t>05-04-1991</t>
  </si>
  <si>
    <t>HOTEL MERDEKA</t>
  </si>
  <si>
    <t>14053.001.1006.300</t>
  </si>
  <si>
    <t>15-04-1971</t>
  </si>
  <si>
    <t>14053.003.1006.308</t>
  </si>
  <si>
    <t>08-04-1995</t>
  </si>
  <si>
    <t>14053.005.1006.314</t>
  </si>
  <si>
    <t>12-03-1978</t>
  </si>
  <si>
    <t>14053.001.1006.315</t>
  </si>
  <si>
    <t>10-04-1993</t>
  </si>
  <si>
    <t>14053.005.1006.316</t>
  </si>
  <si>
    <t>14-11-1971</t>
  </si>
  <si>
    <t>TOKO SURYA MANGGALA</t>
  </si>
  <si>
    <t>14053.004.1006.317</t>
  </si>
  <si>
    <t>01-08-1988</t>
  </si>
  <si>
    <t>H: FOOD LAND CATERING</t>
  </si>
  <si>
    <t>14053.001.1006.325</t>
  </si>
  <si>
    <t>02-08-1968</t>
  </si>
  <si>
    <t>14053.005.1006.331</t>
  </si>
  <si>
    <t>18-06-1964</t>
  </si>
  <si>
    <t>14053.001.1006.335</t>
  </si>
  <si>
    <t>23-02-1990</t>
  </si>
  <si>
    <t>14053.003.1006.344</t>
  </si>
  <si>
    <t>14053.001.1006.346</t>
  </si>
  <si>
    <t>17-06-1994</t>
  </si>
  <si>
    <t>KDS</t>
  </si>
  <si>
    <t>14053.001.1006.347</t>
  </si>
  <si>
    <t>05-04-1979</t>
  </si>
  <si>
    <t>14053.001.1006.348</t>
  </si>
  <si>
    <t>10-06-1979</t>
  </si>
  <si>
    <t>PT JAVA PRIMA ABADI</t>
  </si>
  <si>
    <t>14053.003.1006.350</t>
  </si>
  <si>
    <t>16-08-1980</t>
  </si>
  <si>
    <t xml:space="preserve">SALES </t>
  </si>
  <si>
    <t>14053.001.1006.352</t>
  </si>
  <si>
    <t>24-02-1995</t>
  </si>
  <si>
    <t>BENGKEL KAPAL MAYANGAN</t>
  </si>
  <si>
    <t>14053.001.1006.357</t>
  </si>
  <si>
    <t>15-05-1982</t>
  </si>
  <si>
    <t>14053.005.1006.358</t>
  </si>
  <si>
    <t>16-06-1994</t>
  </si>
  <si>
    <t>14053.001.1006.373</t>
  </si>
  <si>
    <t>21-12-1976</t>
  </si>
  <si>
    <t>14053.003.1006.374</t>
  </si>
  <si>
    <t>27-12-1979</t>
  </si>
  <si>
    <t>JUAL NASI GORENG</t>
  </si>
  <si>
    <t>14053.001.1006.375</t>
  </si>
  <si>
    <t>03-05-1985</t>
  </si>
  <si>
    <t>14053.003.1006.376</t>
  </si>
  <si>
    <t>17-10-1991</t>
  </si>
  <si>
    <t>14053.003.1006.377</t>
  </si>
  <si>
    <t>14053.003.1006.378</t>
  </si>
  <si>
    <t>10-10-1969</t>
  </si>
  <si>
    <t>14053.004.1006.381</t>
  </si>
  <si>
    <t>14-03-1970</t>
  </si>
  <si>
    <t>14053.006.1006.384</t>
  </si>
  <si>
    <t>DISTRIBUTOR KOSMETIK</t>
  </si>
  <si>
    <t>08-06-1969</t>
  </si>
  <si>
    <t>14053.006.1006.403</t>
  </si>
  <si>
    <t>09-02-1979</t>
  </si>
  <si>
    <t>14053.002.1006.412</t>
  </si>
  <si>
    <t>01-03-1972</t>
  </si>
  <si>
    <t>14053.006.1006.418</t>
  </si>
  <si>
    <t>18-02-1966</t>
  </si>
  <si>
    <t>14053.002.1006.419</t>
  </si>
  <si>
    <t>12-12-1964</t>
  </si>
  <si>
    <t>TOKO BANGUNAN</t>
  </si>
  <si>
    <t>14053.001.1006.420</t>
  </si>
  <si>
    <t>01-04-1980</t>
  </si>
  <si>
    <t>14053.001.1006.425</t>
  </si>
  <si>
    <t>31-05-1954</t>
  </si>
  <si>
    <t>14053.001.1006.426</t>
  </si>
  <si>
    <t>11-07-1986</t>
  </si>
  <si>
    <t>14053.004.1006.431</t>
  </si>
  <si>
    <t>05-05-1984</t>
  </si>
  <si>
    <t>14053.001.1006.436</t>
  </si>
  <si>
    <t>07-01-1995</t>
  </si>
  <si>
    <t>14053.001.1006.437</t>
  </si>
  <si>
    <t>01-03-1971</t>
  </si>
  <si>
    <t>14053.001.1006.440</t>
  </si>
  <si>
    <t>16-10-2005</t>
  </si>
  <si>
    <t>SMPN 1 PROBOLINGGO</t>
  </si>
  <si>
    <t>14053.001.1006.444</t>
  </si>
  <si>
    <t>19-03-1993</t>
  </si>
  <si>
    <t>TEKNISI</t>
  </si>
  <si>
    <t>INDIHOME</t>
  </si>
  <si>
    <t>14053.001.1006.445</t>
  </si>
  <si>
    <t>21-04-1981</t>
  </si>
  <si>
    <t>GURU SDN JATI 5</t>
  </si>
  <si>
    <t>14053.005.1006.447</t>
  </si>
  <si>
    <t>SMPN 06</t>
  </si>
  <si>
    <t>14053.004.1006.449</t>
  </si>
  <si>
    <t>29-12-1954</t>
  </si>
  <si>
    <t>ESTHEK TAILOR</t>
  </si>
  <si>
    <t>ESTHER TAILOR</t>
  </si>
  <si>
    <t>14053.001.1006.453</t>
  </si>
  <si>
    <t>08-10-1985</t>
  </si>
  <si>
    <t>14053.003.1006.454</t>
  </si>
  <si>
    <t>14-03-1982</t>
  </si>
  <si>
    <t>14053.001.1006.460</t>
  </si>
  <si>
    <t>CAFE POP CITY</t>
  </si>
  <si>
    <t>14053.001.1006.461</t>
  </si>
  <si>
    <t>15-07-1967</t>
  </si>
  <si>
    <t>14053.001.1006.468</t>
  </si>
  <si>
    <t>14053.006.1006.479</t>
  </si>
  <si>
    <t>01-01-1950</t>
  </si>
  <si>
    <t>JUAL NASI RAMES</t>
  </si>
  <si>
    <t>14053.005.1006.485</t>
  </si>
  <si>
    <t>27-07-1997</t>
  </si>
  <si>
    <t>HOTEL MIRAH BANYUWANGI</t>
  </si>
  <si>
    <t>14053.006.1006.490</t>
  </si>
  <si>
    <t>12-12-1957</t>
  </si>
  <si>
    <t>SOTO SEMARANG PAKDI</t>
  </si>
  <si>
    <t>14053.006.1006.491</t>
  </si>
  <si>
    <t>21-05-2000</t>
  </si>
  <si>
    <t>14053.001.1006.492</t>
  </si>
  <si>
    <t>12-03-1976</t>
  </si>
  <si>
    <t>DINAS PEKERJAAN UMUM</t>
  </si>
  <si>
    <t>14053.001.1006.496</t>
  </si>
  <si>
    <t>06-09-1986</t>
  </si>
  <si>
    <t>14053.005.1006.497</t>
  </si>
  <si>
    <t>14053.003.1006.502</t>
  </si>
  <si>
    <t>24-02-1989</t>
  </si>
  <si>
    <t>14053.001.1006.504</t>
  </si>
  <si>
    <t>15-01-1973</t>
  </si>
  <si>
    <t>14053.004.1006.505</t>
  </si>
  <si>
    <t>27-07-1974</t>
  </si>
  <si>
    <t>14053.001.1006.511</t>
  </si>
  <si>
    <t>07-05-1965</t>
  </si>
  <si>
    <t>14053.006.1006.515</t>
  </si>
  <si>
    <t>21-04-1960</t>
  </si>
  <si>
    <t>14053.003.1006.520</t>
  </si>
  <si>
    <t>14053.003.1006.525</t>
  </si>
  <si>
    <t>06-07-1971</t>
  </si>
  <si>
    <t>14053.003.1006.526</t>
  </si>
  <si>
    <t>14053.001.1006.527</t>
  </si>
  <si>
    <t>PERIKANAN</t>
  </si>
  <si>
    <t>TAMBAK UDANG</t>
  </si>
  <si>
    <t>14053.004.1006.529</t>
  </si>
  <si>
    <t>17-11-1986</t>
  </si>
  <si>
    <t>DINAS PENDAPATAN UPTD PROVINSI BANY</t>
  </si>
  <si>
    <t>14053.003.1006.533</t>
  </si>
  <si>
    <t>14053.001.1006.536</t>
  </si>
  <si>
    <t>01-07-1975</t>
  </si>
  <si>
    <t>14053.002.1006.541</t>
  </si>
  <si>
    <t>14-12-1986</t>
  </si>
  <si>
    <t>PAKAIAN</t>
  </si>
  <si>
    <t>14053.001.1006.543</t>
  </si>
  <si>
    <t>04-11-1949</t>
  </si>
  <si>
    <t>14053.001.1006.549</t>
  </si>
  <si>
    <t>GURU SDN SUKOHARJO 2 PROB</t>
  </si>
  <si>
    <t>14053.001.1006.556</t>
  </si>
  <si>
    <t>24-05-1986</t>
  </si>
  <si>
    <t>KESENIAN</t>
  </si>
  <si>
    <t>PENARI</t>
  </si>
  <si>
    <t>14053.001.1006.557</t>
  </si>
  <si>
    <t>06-03-1995</t>
  </si>
  <si>
    <t>SENIMAN</t>
  </si>
  <si>
    <t>14053.001.1006.558</t>
  </si>
  <si>
    <t>21-09-1970</t>
  </si>
  <si>
    <t>14053.001.1006.559</t>
  </si>
  <si>
    <t>24-01-1990</t>
  </si>
  <si>
    <t>14053.006.1006.564</t>
  </si>
  <si>
    <t>08-09-1990</t>
  </si>
  <si>
    <t>14053.001.1006.573</t>
  </si>
  <si>
    <t>17-01-1989</t>
  </si>
  <si>
    <t>TNI</t>
  </si>
  <si>
    <t>14053.001.1006.581</t>
  </si>
  <si>
    <t>10-10-1957</t>
  </si>
  <si>
    <t>14053.003.1006.583</t>
  </si>
  <si>
    <t>02-02-1982</t>
  </si>
  <si>
    <t>14053.003.1006.584</t>
  </si>
  <si>
    <t>11-12-1980</t>
  </si>
  <si>
    <t>14053.006.1006.591</t>
  </si>
  <si>
    <t>14-06-1973</t>
  </si>
  <si>
    <t>JUAL SOTO KUDUS</t>
  </si>
  <si>
    <t>14053.001.1006.594</t>
  </si>
  <si>
    <t>18-05-1975</t>
  </si>
  <si>
    <t>14053.003.1006.600</t>
  </si>
  <si>
    <t>15-08-1984</t>
  </si>
  <si>
    <t>UNICARM MOMMY POKO</t>
  </si>
  <si>
    <t>14053.001.1006.602</t>
  </si>
  <si>
    <t>26-05-1955</t>
  </si>
  <si>
    <t>14053.001.1006.603</t>
  </si>
  <si>
    <t>26-01-1971</t>
  </si>
  <si>
    <t>TK KUNCUP HARAPAN LECES</t>
  </si>
  <si>
    <t>14053.003.1006.609</t>
  </si>
  <si>
    <t>11-04-1984</t>
  </si>
  <si>
    <t>14053.001.1006.611</t>
  </si>
  <si>
    <t>04-09-1976</t>
  </si>
  <si>
    <t>14053.006.1006.613</t>
  </si>
  <si>
    <t>20-02-1962</t>
  </si>
  <si>
    <t>PIJAT</t>
  </si>
  <si>
    <t>14053.006.1006.619</t>
  </si>
  <si>
    <t>23-03-1966</t>
  </si>
  <si>
    <t>14053.001.1006.631</t>
  </si>
  <si>
    <t>15-10-1977</t>
  </si>
  <si>
    <t>NAHKODA KAPAL LAUT</t>
  </si>
  <si>
    <t>KAPAL LAUT</t>
  </si>
  <si>
    <t>14053.001.1006.637</t>
  </si>
  <si>
    <t>16-01-1967</t>
  </si>
  <si>
    <t>14053.001.1006.639</t>
  </si>
  <si>
    <t>27-12-1955</t>
  </si>
  <si>
    <t>PARKIR</t>
  </si>
  <si>
    <t>14053.004.1006.640</t>
  </si>
  <si>
    <t>15-09-1995</t>
  </si>
  <si>
    <t>PT BUMI SARI</t>
  </si>
  <si>
    <t>14053.003.1006.646</t>
  </si>
  <si>
    <t>11-08-1981</t>
  </si>
  <si>
    <t>14053.001.1006.651</t>
  </si>
  <si>
    <t>23-08-1985</t>
  </si>
  <si>
    <t>14053.002.1006.669</t>
  </si>
  <si>
    <t>03-05-1980</t>
  </si>
  <si>
    <t>RS GRAHA SEHAT KRAKSAAN</t>
  </si>
  <si>
    <t>14053.003.1006.672</t>
  </si>
  <si>
    <t>14053.003.1006.674</t>
  </si>
  <si>
    <t>14053.001.1006.676</t>
  </si>
  <si>
    <t>21-04-1991</t>
  </si>
  <si>
    <t>TENAGA MEDIS</t>
  </si>
  <si>
    <t>PERAWAT RSUD DR SALEH</t>
  </si>
  <si>
    <t>14053.002.1006.679</t>
  </si>
  <si>
    <t>17-12-1974</t>
  </si>
  <si>
    <t>14053.001.1006.685</t>
  </si>
  <si>
    <t>06-07-1969</t>
  </si>
  <si>
    <t>TAPE, AIR ISI ULANG</t>
  </si>
  <si>
    <t>14053.003.1006.686</t>
  </si>
  <si>
    <t>11-02-1978</t>
  </si>
  <si>
    <t>14053.003.1006.694</t>
  </si>
  <si>
    <t>08-12-1979</t>
  </si>
  <si>
    <t>14053.005.1006.695</t>
  </si>
  <si>
    <t>06-03-1968</t>
  </si>
  <si>
    <t>WARUNG SUMARTINI</t>
  </si>
  <si>
    <t>14053.001.1006.703</t>
  </si>
  <si>
    <t>21-02-1973</t>
  </si>
  <si>
    <t>UD DUNIA MOTOR</t>
  </si>
  <si>
    <t>14053.001.1006.704</t>
  </si>
  <si>
    <t>12-03-1984</t>
  </si>
  <si>
    <t>14053.003.1006.705</t>
  </si>
  <si>
    <t>17-09-1987</t>
  </si>
  <si>
    <t>14053.001.1006.708</t>
  </si>
  <si>
    <t>18-08-1983</t>
  </si>
  <si>
    <t>14053.001.1006.717</t>
  </si>
  <si>
    <t>16-04-1968</t>
  </si>
  <si>
    <t>BAKWAN BRAK LUMAYAN</t>
  </si>
  <si>
    <t>14053.005.1006.718</t>
  </si>
  <si>
    <t>07-04-1990</t>
  </si>
  <si>
    <t>14053.001.1006.732</t>
  </si>
  <si>
    <t>10-10-1970</t>
  </si>
  <si>
    <t>14053.006.1006.735</t>
  </si>
  <si>
    <t>27-10-2002</t>
  </si>
  <si>
    <t>14053.005.1006.751</t>
  </si>
  <si>
    <t>01-12-1967</t>
  </si>
  <si>
    <t>Toko peracangan</t>
  </si>
  <si>
    <t>14053.003.1006.753</t>
  </si>
  <si>
    <t>21-06-1976</t>
  </si>
  <si>
    <t>14053.006.1006.763</t>
  </si>
  <si>
    <t>26-03-1985</t>
  </si>
  <si>
    <t>NOTARIS R GIARDI</t>
  </si>
  <si>
    <t>14053.006.1006.768</t>
  </si>
  <si>
    <t>26-05-1984</t>
  </si>
  <si>
    <t>TRIO PLASA</t>
  </si>
  <si>
    <t>14053.001.1006.773</t>
  </si>
  <si>
    <t>07-07-1980</t>
  </si>
  <si>
    <t>CV PUTRA JAGAT MANDIRI</t>
  </si>
  <si>
    <t>14053.001.1006.774</t>
  </si>
  <si>
    <t>14053.001.1006.776</t>
  </si>
  <si>
    <t>23-01-1968</t>
  </si>
  <si>
    <t>14053.004.1006.777</t>
  </si>
  <si>
    <t>SMPSLB</t>
  </si>
  <si>
    <t>14053.001.1006.780</t>
  </si>
  <si>
    <t>14053.005.1006.782</t>
  </si>
  <si>
    <t>11-07-1976</t>
  </si>
  <si>
    <t>14053.005.1006.784</t>
  </si>
  <si>
    <t>11-12-1977</t>
  </si>
  <si>
    <t>PT Tjiwi Kimia</t>
  </si>
  <si>
    <t>14053.001.1006.788</t>
  </si>
  <si>
    <t>01-05-1984</t>
  </si>
  <si>
    <t>14053.001.1006.790</t>
  </si>
  <si>
    <t>16-09-1991</t>
  </si>
  <si>
    <t>PT KAI</t>
  </si>
  <si>
    <t>14053.001.1006.791</t>
  </si>
  <si>
    <t>20-04-1978</t>
  </si>
  <si>
    <t>SMKN 1</t>
  </si>
  <si>
    <t>14053.001.1006.792</t>
  </si>
  <si>
    <t>05-04-1965</t>
  </si>
  <si>
    <t>14053.002.1006.810</t>
  </si>
  <si>
    <t>TOKO PERANCANGAN</t>
  </si>
  <si>
    <t>14053.001.1006.813</t>
  </si>
  <si>
    <t>26-05-1983</t>
  </si>
  <si>
    <t>14053.005.1006.815</t>
  </si>
  <si>
    <t>20-06-2003</t>
  </si>
  <si>
    <t>14053.003.1006.818</t>
  </si>
  <si>
    <t>14053.001.1006.820</t>
  </si>
  <si>
    <t>10-06-1973</t>
  </si>
  <si>
    <t>SALES</t>
  </si>
  <si>
    <t>14053.003.1006.829</t>
  </si>
  <si>
    <t>28-09-1971</t>
  </si>
  <si>
    <t>Dosen</t>
  </si>
  <si>
    <t>14053.002.1006.837</t>
  </si>
  <si>
    <t>23-05-1978</t>
  </si>
  <si>
    <t>NOTARIS/PPAT</t>
  </si>
  <si>
    <t>14053.001.1006.843</t>
  </si>
  <si>
    <t>19-03-2002</t>
  </si>
  <si>
    <t>14053.005.1006.844</t>
  </si>
  <si>
    <t>14053.002.1006.850</t>
  </si>
  <si>
    <t>22-10-1979</t>
  </si>
  <si>
    <t>KANTOR NOTARIS I MADE BAGUS DARMAWA</t>
  </si>
  <si>
    <t>14053.001.1006.853</t>
  </si>
  <si>
    <t>Pelaut</t>
  </si>
  <si>
    <t>PELAUT</t>
  </si>
  <si>
    <t>14053.003.1006.858</t>
  </si>
  <si>
    <t>08-05-1973</t>
  </si>
  <si>
    <t>14053.001.1006.862</t>
  </si>
  <si>
    <t>16-10-1981</t>
  </si>
  <si>
    <t>14053.006.1006.867</t>
  </si>
  <si>
    <t>JASA MAINAN</t>
  </si>
  <si>
    <t>14053.001.1006.874</t>
  </si>
  <si>
    <t>28-10-1967</t>
  </si>
  <si>
    <t>14053.004.1006.884</t>
  </si>
  <si>
    <t>24-10-1966</t>
  </si>
  <si>
    <t>14053.003.1006.885</t>
  </si>
  <si>
    <t>01-12-1987</t>
  </si>
  <si>
    <t>GENERALI</t>
  </si>
  <si>
    <t>14053.003.1006.886</t>
  </si>
  <si>
    <t>14053.001.1006.887</t>
  </si>
  <si>
    <t>26-12-1979</t>
  </si>
  <si>
    <t>14053.001.1006.897</t>
  </si>
  <si>
    <t>04-05-1980</t>
  </si>
  <si>
    <t>14053.004.1006.902</t>
  </si>
  <si>
    <t>01-04-1979</t>
  </si>
  <si>
    <t>TAT USAHA</t>
  </si>
  <si>
    <t>14053.003.1006.904</t>
  </si>
  <si>
    <t>09-09-1987</t>
  </si>
  <si>
    <t>14053.001.1006.907</t>
  </si>
  <si>
    <t>13-10-1993</t>
  </si>
  <si>
    <t>TOKO KERAMIK</t>
  </si>
  <si>
    <t>14053.004.1006.911</t>
  </si>
  <si>
    <t>PRODUK BAYI</t>
  </si>
  <si>
    <t>PENYERBANGAN</t>
  </si>
  <si>
    <t>14053.001.1006.920</t>
  </si>
  <si>
    <t>14053.001.1006.927</t>
  </si>
  <si>
    <t>JUAL MIE AYAM</t>
  </si>
  <si>
    <t>14053.003.1006.935</t>
  </si>
  <si>
    <t>14053.006.1006.937</t>
  </si>
  <si>
    <t>20-05-2001</t>
  </si>
  <si>
    <t>Pembuat kue</t>
  </si>
  <si>
    <t>14053.003.1006.947</t>
  </si>
  <si>
    <t>14053.001.1006.953</t>
  </si>
  <si>
    <t>20-02-1989</t>
  </si>
  <si>
    <t>PALANG MERAH INDONESIA</t>
  </si>
  <si>
    <t>PMI KOTA PROB</t>
  </si>
  <si>
    <t>14053.001.1006.957</t>
  </si>
  <si>
    <t>09-12-1963</t>
  </si>
  <si>
    <t>14053.001.1006.962</t>
  </si>
  <si>
    <t>27-06-1988</t>
  </si>
  <si>
    <t>PT BANK DANAMON TBK</t>
  </si>
  <si>
    <t>14053.001.1006.963</t>
  </si>
  <si>
    <t>23-07-1981</t>
  </si>
  <si>
    <t>SMA 4 PASURUAN</t>
  </si>
  <si>
    <t>14053.001.1006.965</t>
  </si>
  <si>
    <t>18-10-1960</t>
  </si>
  <si>
    <t>14053.001.1006.972</t>
  </si>
  <si>
    <t>14053.001.1006.973</t>
  </si>
  <si>
    <t>19-05-1965</t>
  </si>
  <si>
    <t>14053.001.1006.983</t>
  </si>
  <si>
    <t>28-05-1989</t>
  </si>
  <si>
    <t>NOVEL PABRIK OBAT</t>
  </si>
  <si>
    <t>14053.004.1006.984</t>
  </si>
  <si>
    <t>23-12-1977</t>
  </si>
  <si>
    <t>TOKO 88</t>
  </si>
  <si>
    <t>14053.003.1006.986</t>
  </si>
  <si>
    <t>11-12-1957</t>
  </si>
  <si>
    <t>14053.002.1006.988</t>
  </si>
  <si>
    <t>14053.001.1006.996</t>
  </si>
  <si>
    <t>13-01-1985</t>
  </si>
  <si>
    <t>14053.006.1006.999</t>
  </si>
  <si>
    <t>05-07-1967</t>
  </si>
  <si>
    <t>14053.006.1007.006</t>
  </si>
  <si>
    <t>23-10-1980</t>
  </si>
  <si>
    <t>JUS BUAH</t>
  </si>
  <si>
    <t>14053.006.1007.007</t>
  </si>
  <si>
    <t>15-12-1977</t>
  </si>
  <si>
    <t>SAYUR MATANGAN</t>
  </si>
  <si>
    <t>14053.001.1007.010</t>
  </si>
  <si>
    <t>11-12-1985</t>
  </si>
  <si>
    <t>14053.001.1007.011</t>
  </si>
  <si>
    <t>14053.001.1007.014</t>
  </si>
  <si>
    <t>08-09-1956</t>
  </si>
  <si>
    <t>BENGKEL JAYA ABADI</t>
  </si>
  <si>
    <t>14053.002.1007.016</t>
  </si>
  <si>
    <t>28-12-1966</t>
  </si>
  <si>
    <t>14053.005.1007.019</t>
  </si>
  <si>
    <t>01-06-1970</t>
  </si>
  <si>
    <t xml:space="preserve">KESEHATAN </t>
  </si>
  <si>
    <t>14053.001.1007.021</t>
  </si>
  <si>
    <t>15-12-1991</t>
  </si>
  <si>
    <t>PT DJARUM</t>
  </si>
  <si>
    <t>14053.004.1007.025</t>
  </si>
  <si>
    <t>01-10-1988</t>
  </si>
  <si>
    <t>NUSANTARA PLASTIK</t>
  </si>
  <si>
    <t>14053.006.1007.030</t>
  </si>
  <si>
    <t>14053.001.1007.033</t>
  </si>
  <si>
    <t>11-03-1969</t>
  </si>
  <si>
    <t>JASA TRANSPORTASI, LAUNDRY</t>
  </si>
  <si>
    <t>SEMERU TRAVEL, LAUNDRY, AIR ISI ULA</t>
  </si>
  <si>
    <t>14053.001.1007.038</t>
  </si>
  <si>
    <t>01-11-1976</t>
  </si>
  <si>
    <t>UD TIBA JAYA</t>
  </si>
  <si>
    <t>14053.001.1007.039</t>
  </si>
  <si>
    <t>18-05-1986</t>
  </si>
  <si>
    <t>RETAIL</t>
  </si>
  <si>
    <t>TOSERBA GRAHA MULIA</t>
  </si>
  <si>
    <t>14053.005.1007.043</t>
  </si>
  <si>
    <t>31-10-1971</t>
  </si>
  <si>
    <t xml:space="preserve">Pembuat kue </t>
  </si>
  <si>
    <t>14053.005.1007.044</t>
  </si>
  <si>
    <t>26-07-1989</t>
  </si>
  <si>
    <t>14053.004.1007.045</t>
  </si>
  <si>
    <t>02-12-1989</t>
  </si>
  <si>
    <t>SMP PGRI BANYUWANGI</t>
  </si>
  <si>
    <t>14053.001.1007.049</t>
  </si>
  <si>
    <t>01-01-1987</t>
  </si>
  <si>
    <t>OLSHOP, PERACANGAN</t>
  </si>
  <si>
    <t>14053.006.1007.056</t>
  </si>
  <si>
    <t>22-09-1968</t>
  </si>
  <si>
    <t>TERNAK SEMUT</t>
  </si>
  <si>
    <t>14053.001.1007.061</t>
  </si>
  <si>
    <t>13-07-1987</t>
  </si>
  <si>
    <t>SDN MAYANGAN 2</t>
  </si>
  <si>
    <t>14053.004.1007.062</t>
  </si>
  <si>
    <t>16-04-1969</t>
  </si>
  <si>
    <t>KELONTONG, LAUNDY</t>
  </si>
  <si>
    <t>14053.003.1007.065</t>
  </si>
  <si>
    <t>01-11-1989</t>
  </si>
  <si>
    <t>14053.003.1007.072</t>
  </si>
  <si>
    <t>04-06-2007</t>
  </si>
  <si>
    <t>14053.003.1007.073</t>
  </si>
  <si>
    <t>14053.003.1007.079</t>
  </si>
  <si>
    <t>14053.001.1007.082</t>
  </si>
  <si>
    <t>24-06-1981</t>
  </si>
  <si>
    <t>PUSAKA MOTOR</t>
  </si>
  <si>
    <t>14053.001.1007.084</t>
  </si>
  <si>
    <t>17-07-1977</t>
  </si>
  <si>
    <t>14053.003.1007.087</t>
  </si>
  <si>
    <t>13-03-1983</t>
  </si>
  <si>
    <t>14053.003.1007.089</t>
  </si>
  <si>
    <t>10-06-1988</t>
  </si>
  <si>
    <t>14053.001.1007.095</t>
  </si>
  <si>
    <t>09-06-1995</t>
  </si>
  <si>
    <t>14053.005.1007.096</t>
  </si>
  <si>
    <t>06-11-1969</t>
  </si>
  <si>
    <t>BPR</t>
  </si>
  <si>
    <t>14053.001.1007.107</t>
  </si>
  <si>
    <t>23-05-1977</t>
  </si>
  <si>
    <t>14053.004.1007.114</t>
  </si>
  <si>
    <t>30-06-1975</t>
  </si>
  <si>
    <t>14053.005.1007.119</t>
  </si>
  <si>
    <t>14053.005.1007.125</t>
  </si>
  <si>
    <t>14-04-1979</t>
  </si>
  <si>
    <t>14053.001.1007.129</t>
  </si>
  <si>
    <t>24-11-1972</t>
  </si>
  <si>
    <t>TAMBAL BAN</t>
  </si>
  <si>
    <t>14053.002.1007.136</t>
  </si>
  <si>
    <t>31-08-1980</t>
  </si>
  <si>
    <t>14053.001.1007.144</t>
  </si>
  <si>
    <t>10-08-1983</t>
  </si>
  <si>
    <t>14053.001.1007.151</t>
  </si>
  <si>
    <t>07-04-1971</t>
  </si>
  <si>
    <t>14053.002.1007.153</t>
  </si>
  <si>
    <t>16-09-1978</t>
  </si>
  <si>
    <t>14053.003.1007.158</t>
  </si>
  <si>
    <t>18-02-1968</t>
  </si>
  <si>
    <t>14053.003.1007.162</t>
  </si>
  <si>
    <t>JUAL ULAT SUTRA</t>
  </si>
  <si>
    <t>14053.001.1007.165</t>
  </si>
  <si>
    <t>04-12-1970</t>
  </si>
  <si>
    <t>14053.003.1007.167</t>
  </si>
  <si>
    <t>14-04-1971</t>
  </si>
  <si>
    <t>14053.004.1007.168</t>
  </si>
  <si>
    <t>24-05-1985</t>
  </si>
  <si>
    <t>FOTO COPY</t>
  </si>
  <si>
    <t>14053.002.1007.172</t>
  </si>
  <si>
    <t>27-12-1996</t>
  </si>
  <si>
    <t>14053.001.1007.175</t>
  </si>
  <si>
    <t>29-09-1977</t>
  </si>
  <si>
    <t>PAUD WIJAYA KUSUMA</t>
  </si>
  <si>
    <t>14053.003.1007.178</t>
  </si>
  <si>
    <t>02-02-1974</t>
  </si>
  <si>
    <t>14053.001.1007.181</t>
  </si>
  <si>
    <t>08-06-1944</t>
  </si>
  <si>
    <t>14053.006.1007.186</t>
  </si>
  <si>
    <t>17-12-1999</t>
  </si>
  <si>
    <t>14053.001.1007.187</t>
  </si>
  <si>
    <t>05-04-1977</t>
  </si>
  <si>
    <t>14053.003.1007.190</t>
  </si>
  <si>
    <t>19-07-1986</t>
  </si>
  <si>
    <t>BPR NUSAMBA</t>
  </si>
  <si>
    <t>14053.001.1007.191</t>
  </si>
  <si>
    <t>16-11-1986</t>
  </si>
  <si>
    <t>SDN SUKABUMI 9</t>
  </si>
  <si>
    <t>14053.006.1007.193</t>
  </si>
  <si>
    <t>10-02-1981</t>
  </si>
  <si>
    <t>14053.006.1007.195</t>
  </si>
  <si>
    <t>29-09-1969</t>
  </si>
  <si>
    <t>PEMBIBITAN</t>
  </si>
  <si>
    <t>14053.004.1007.203</t>
  </si>
  <si>
    <t>01-07-1997</t>
  </si>
  <si>
    <t>14053.006.1007.209</t>
  </si>
  <si>
    <t>09-08-1985</t>
  </si>
  <si>
    <t>NOTARIS R. GIARDI</t>
  </si>
  <si>
    <t>14053.001.1007.215</t>
  </si>
  <si>
    <t>12-07-1989</t>
  </si>
  <si>
    <t>14053.003.1007.217</t>
  </si>
  <si>
    <t>10-05-1975</t>
  </si>
  <si>
    <t>14053.001.1007.220</t>
  </si>
  <si>
    <t>27-05-1985</t>
  </si>
  <si>
    <t>14053.001.1007.221</t>
  </si>
  <si>
    <t>05-07-1977</t>
  </si>
  <si>
    <t>14053.001.1007.223</t>
  </si>
  <si>
    <t>10-11-1972</t>
  </si>
  <si>
    <t>14053.001.1007.224</t>
  </si>
  <si>
    <t>10-06-1970</t>
  </si>
  <si>
    <t>14053.002.1007.225</t>
  </si>
  <si>
    <t>07-10-1981</t>
  </si>
  <si>
    <t>14053.001.1007.238</t>
  </si>
  <si>
    <t>20-07-1988</t>
  </si>
  <si>
    <t>14053.006.1007.239</t>
  </si>
  <si>
    <t>01-05-1967</t>
  </si>
  <si>
    <t>NASI RAMES</t>
  </si>
  <si>
    <t>14053.001.1007.240</t>
  </si>
  <si>
    <t>21-01-1983</t>
  </si>
  <si>
    <t>14053.006.1007.246</t>
  </si>
  <si>
    <t>04-06-1959</t>
  </si>
  <si>
    <t>14053.006.1007.247</t>
  </si>
  <si>
    <t>12-07-1974</t>
  </si>
  <si>
    <t>MARTABAK MANIS DAN ROTI BAKAR</t>
  </si>
  <si>
    <t>14053.001.1007.248</t>
  </si>
  <si>
    <t>PEDAGANG IKAN HIAS</t>
  </si>
  <si>
    <t>14053.001.1007.249</t>
  </si>
  <si>
    <t>21-11-1982</t>
  </si>
  <si>
    <t>PEDAGANG BAWANG</t>
  </si>
  <si>
    <t>14053.004.1007.253</t>
  </si>
  <si>
    <t>01-01-1978</t>
  </si>
  <si>
    <t>14053.002.1007.255</t>
  </si>
  <si>
    <t>14053.001.1007.257</t>
  </si>
  <si>
    <t>22-06-1978</t>
  </si>
  <si>
    <t>14053.005.1007.258</t>
  </si>
  <si>
    <t>15-10-1970</t>
  </si>
  <si>
    <t>SMP TAMAN SISWA</t>
  </si>
  <si>
    <t>14053.001.1007.265</t>
  </si>
  <si>
    <t>14053.006.1007.268</t>
  </si>
  <si>
    <t>03-09-2000</t>
  </si>
  <si>
    <t>14053.005.1007.270</t>
  </si>
  <si>
    <t>06-11-1984</t>
  </si>
  <si>
    <t>14053.005.1007.281</t>
  </si>
  <si>
    <t>14053.002.1007.282</t>
  </si>
  <si>
    <t>21-12-1970</t>
  </si>
  <si>
    <t>14053.001.1007.287</t>
  </si>
  <si>
    <t>MENGURUS RUMAH TANGGA, JUALAN BAJU</t>
  </si>
  <si>
    <t>14053.001.1007.292</t>
  </si>
  <si>
    <t>10-10-1963</t>
  </si>
  <si>
    <t>14053.001.1007.293</t>
  </si>
  <si>
    <t>13-04-1982</t>
  </si>
  <si>
    <t>14053.001.1007.296</t>
  </si>
  <si>
    <t>SUZAN ROTI</t>
  </si>
  <si>
    <t>14053.001.1007.297</t>
  </si>
  <si>
    <t>27-09-1991</t>
  </si>
  <si>
    <t>PT GLOBAL MULTI SOLUSI</t>
  </si>
  <si>
    <t>14053.005.1007.298</t>
  </si>
  <si>
    <t>04-07-1965</t>
  </si>
  <si>
    <t>PEDAGANG LOAK SEPEDA MOTOR</t>
  </si>
  <si>
    <t>14053.001.1007.299</t>
  </si>
  <si>
    <t>Peternak</t>
  </si>
  <si>
    <t>TERNAK AYAM POTONG</t>
  </si>
  <si>
    <t>14053.002.1007.308</t>
  </si>
  <si>
    <t>07-07-1983</t>
  </si>
  <si>
    <t>14053.002.1007.312</t>
  </si>
  <si>
    <t>05-03-1971</t>
  </si>
  <si>
    <t>14053.001.1007.322</t>
  </si>
  <si>
    <t>24-06-1977</t>
  </si>
  <si>
    <t>14053.006.1007.333</t>
  </si>
  <si>
    <t>05-12-1982</t>
  </si>
  <si>
    <t>14053.003.1007.334</t>
  </si>
  <si>
    <t>13-03-1979</t>
  </si>
  <si>
    <t>14053.001.1007.344</t>
  </si>
  <si>
    <t>31-05-1970</t>
  </si>
  <si>
    <t>PENDETA</t>
  </si>
  <si>
    <t>GBI BUKIT SION</t>
  </si>
  <si>
    <t>14053.001.1007.345</t>
  </si>
  <si>
    <t>15-12-1966</t>
  </si>
  <si>
    <t>ARJUNA JAYA-SARI POKAK</t>
  </si>
  <si>
    <t>14053.003.1007.346</t>
  </si>
  <si>
    <t>14053.005.1007.347</t>
  </si>
  <si>
    <t>15-04-1972</t>
  </si>
  <si>
    <t>PT TJIWI KIMIA</t>
  </si>
  <si>
    <t>14053.001.1007.349</t>
  </si>
  <si>
    <t>14053.006.1007.352</t>
  </si>
  <si>
    <t>14053.001.1007.354</t>
  </si>
  <si>
    <t>08-12-1994</t>
  </si>
  <si>
    <t>TK PERMATA</t>
  </si>
  <si>
    <t>14053.006.1007.356</t>
  </si>
  <si>
    <t>02-03-1980</t>
  </si>
  <si>
    <t>PABRIK KAYU LAPIS TENMANGGUNG</t>
  </si>
  <si>
    <t>14053.005.1007.357</t>
  </si>
  <si>
    <t>29-12-1974</t>
  </si>
  <si>
    <t>PT YAKULT INDONESIA PERSADA</t>
  </si>
  <si>
    <t>14053.003.1007.359</t>
  </si>
  <si>
    <t>13-02-1987</t>
  </si>
  <si>
    <t>14053.006.1007.361</t>
  </si>
  <si>
    <t>11-07-1966</t>
  </si>
  <si>
    <t>14053.001.1007.365</t>
  </si>
  <si>
    <t>23-07-1986</t>
  </si>
  <si>
    <t>14053.002.1007.370</t>
  </si>
  <si>
    <t>03-03-1978</t>
  </si>
  <si>
    <t>14053.003.1007.383</t>
  </si>
  <si>
    <t>07-04-1969</t>
  </si>
  <si>
    <t>14053.001.1007.386</t>
  </si>
  <si>
    <t>23-04-1968</t>
  </si>
  <si>
    <t>SMAK MGR SUGIYOPRANOTO LUMAJANG</t>
  </si>
  <si>
    <t>14053.003.1007.387</t>
  </si>
  <si>
    <t>13-06-1993</t>
  </si>
  <si>
    <t>14053.001.1007.391</t>
  </si>
  <si>
    <t>10-08-1981</t>
  </si>
  <si>
    <t>SOSIAL</t>
  </si>
  <si>
    <t>14053.001.1007.396</t>
  </si>
  <si>
    <t>14-05-1984</t>
  </si>
  <si>
    <t>14053.003.1007.398</t>
  </si>
  <si>
    <t>22-03-1989</t>
  </si>
  <si>
    <t>14053.001.1007.406</t>
  </si>
  <si>
    <t>21-11-1983</t>
  </si>
  <si>
    <t>14053.001.1007.407</t>
  </si>
  <si>
    <t>21-08-1983</t>
  </si>
  <si>
    <t>14053.001.1007.414</t>
  </si>
  <si>
    <t>13-01-1962</t>
  </si>
  <si>
    <t>POLISI</t>
  </si>
  <si>
    <t>14053.001.1007.417</t>
  </si>
  <si>
    <t>27-05-1987</t>
  </si>
  <si>
    <t>CV ANKA</t>
  </si>
  <si>
    <t>14053.002.1007.421</t>
  </si>
  <si>
    <t>27-12-1987</t>
  </si>
  <si>
    <t>SMAN I PAITON</t>
  </si>
  <si>
    <t>14053.001.1007.428</t>
  </si>
  <si>
    <t>11-05-1978</t>
  </si>
  <si>
    <t>14053.003.1007.430</t>
  </si>
  <si>
    <t>22-11-1980</t>
  </si>
  <si>
    <t>14053.006.1007.446</t>
  </si>
  <si>
    <t>15-03-1970</t>
  </si>
  <si>
    <t>PAUD BHAKTI HUSADA</t>
  </si>
  <si>
    <t>14053.005.1007.449</t>
  </si>
  <si>
    <t>26-12-1969</t>
  </si>
  <si>
    <t>Pedagang nasi goreng</t>
  </si>
  <si>
    <t>14053.003.1007.450</t>
  </si>
  <si>
    <t>14053.003.1007.455</t>
  </si>
  <si>
    <t>10-09-1986</t>
  </si>
  <si>
    <t>14053.006.1007.457</t>
  </si>
  <si>
    <t>19-09-1948</t>
  </si>
  <si>
    <t>14053.002.1007.461</t>
  </si>
  <si>
    <t>SDN KALIBUNTU II</t>
  </si>
  <si>
    <t>14053.001.1007.464</t>
  </si>
  <si>
    <t>02-05-1965</t>
  </si>
  <si>
    <t>14053.003.1007.467</t>
  </si>
  <si>
    <t>29-11-1992</t>
  </si>
  <si>
    <t>ADMIN RUMAH SAKIT</t>
  </si>
  <si>
    <t>14053.002.1007.471</t>
  </si>
  <si>
    <t>SELES</t>
  </si>
  <si>
    <t>14053.005.1007.472</t>
  </si>
  <si>
    <t>17-08-1976</t>
  </si>
  <si>
    <t>14053.005.1007.474</t>
  </si>
  <si>
    <t>08-01-1995</t>
  </si>
  <si>
    <t>14053.001.1007.477</t>
  </si>
  <si>
    <t>18-06-1989</t>
  </si>
  <si>
    <t>RENTAL CAR</t>
  </si>
  <si>
    <t>NUSA INDAH RENTAL CAR</t>
  </si>
  <si>
    <t>14053.001.1007.482</t>
  </si>
  <si>
    <t>25-05-1970</t>
  </si>
  <si>
    <t>14053.003.1007.484</t>
  </si>
  <si>
    <t>14053.005.1007.486</t>
  </si>
  <si>
    <t>14053.006.1007.487</t>
  </si>
  <si>
    <t>21-08-1967</t>
  </si>
  <si>
    <t>NOTARIS DAN PPAT GIARDI</t>
  </si>
  <si>
    <t>14053.001.1007.488</t>
  </si>
  <si>
    <t>14-12-1971</t>
  </si>
  <si>
    <t>CV AUSZAC INDONESIA</t>
  </si>
  <si>
    <t>14053.004.1007.489</t>
  </si>
  <si>
    <t>24-06-1956</t>
  </si>
  <si>
    <t>24-11-1989</t>
  </si>
  <si>
    <t>14053.001.1007.490</t>
  </si>
  <si>
    <t>14053.001.1007.496</t>
  </si>
  <si>
    <t>05-01-1973</t>
  </si>
  <si>
    <t>CV SUMBER SETIA</t>
  </si>
  <si>
    <t>14053.003.1007.497</t>
  </si>
  <si>
    <t>13-09-1979</t>
  </si>
  <si>
    <t>JUAL IKAN ASIN</t>
  </si>
  <si>
    <t>14053.003.1007.500</t>
  </si>
  <si>
    <t>03-07-1992</t>
  </si>
  <si>
    <t>14053.002.1007.505</t>
  </si>
  <si>
    <t>27-07-1983</t>
  </si>
  <si>
    <t>PLTU PAITON UNIT 09</t>
  </si>
  <si>
    <t>14053.004.1007.508</t>
  </si>
  <si>
    <t>23-11-1944</t>
  </si>
  <si>
    <t>14053.005.1007.510</t>
  </si>
  <si>
    <t>14053.001.1007.511</t>
  </si>
  <si>
    <t>24-02-1980</t>
  </si>
  <si>
    <t>RSUD DR MOCH SALEH</t>
  </si>
  <si>
    <t>14053.001.1007.517</t>
  </si>
  <si>
    <t>17-02-1982</t>
  </si>
  <si>
    <t>14053.003.1007.522</t>
  </si>
  <si>
    <t>25-04-1981</t>
  </si>
  <si>
    <t>14053.002.1007.526</t>
  </si>
  <si>
    <t>14053.006.1007.529</t>
  </si>
  <si>
    <t>15-04-1977</t>
  </si>
  <si>
    <t>KULINER WARUNG MAKAN</t>
  </si>
  <si>
    <t>14053.003.1007.531</t>
  </si>
  <si>
    <t>27-02-1979</t>
  </si>
  <si>
    <t>14053.004.1007.535</t>
  </si>
  <si>
    <t>06-05-1994</t>
  </si>
  <si>
    <t>GARMEND KULIT</t>
  </si>
  <si>
    <t>14053.001.1007.542</t>
  </si>
  <si>
    <t>14-07-1974</t>
  </si>
  <si>
    <t>KECAMATAN KADEMANGAN</t>
  </si>
  <si>
    <t>14053.001.1007.543</t>
  </si>
  <si>
    <t>20-03-1962</t>
  </si>
  <si>
    <t>PT SABAMAS BANGUNMEGA</t>
  </si>
  <si>
    <t>14053.001.1007.545</t>
  </si>
  <si>
    <t>21-11-1994</t>
  </si>
  <si>
    <t>HIBURAN</t>
  </si>
  <si>
    <t>HERO GAME ONLINE</t>
  </si>
  <si>
    <t>14053.001.1007.557</t>
  </si>
  <si>
    <t>25-12-1968</t>
  </si>
  <si>
    <t>14053.002.1007.561</t>
  </si>
  <si>
    <t>13-02-1971</t>
  </si>
  <si>
    <t>14053.002.1007.566</t>
  </si>
  <si>
    <t>13-06-1986</t>
  </si>
  <si>
    <t>SDN SUMUR DALAM</t>
  </si>
  <si>
    <t>14053.006.1007.567</t>
  </si>
  <si>
    <t>26-09-1977</t>
  </si>
  <si>
    <t>14053.003.1007.568</t>
  </si>
  <si>
    <t>19-11-1962</t>
  </si>
  <si>
    <t>14053.002.1007.578</t>
  </si>
  <si>
    <t>13-05-1973</t>
  </si>
  <si>
    <t>PEGAWAI NEGERI SIPIL</t>
  </si>
  <si>
    <t>PT. PJB UP PAITON</t>
  </si>
  <si>
    <t>14053.001.1007.581</t>
  </si>
  <si>
    <t>20-10-1940</t>
  </si>
  <si>
    <t>14053.001.1007.585</t>
  </si>
  <si>
    <t>15-07-1973</t>
  </si>
  <si>
    <t>PT WANA CAHAYA NUGRAHA</t>
  </si>
  <si>
    <t>14053.001.1007.592</t>
  </si>
  <si>
    <t>14-07-1990</t>
  </si>
  <si>
    <t xml:space="preserve">BABY SHOP </t>
  </si>
  <si>
    <t>14053.001.1007.597</t>
  </si>
  <si>
    <t>07-04-1998</t>
  </si>
  <si>
    <t>BPR WILIS</t>
  </si>
  <si>
    <t>14053.001.1007.601</t>
  </si>
  <si>
    <t>15-03-1990</t>
  </si>
  <si>
    <t>NAYS CRISPY AND ICE</t>
  </si>
  <si>
    <t>14053.001.1007.605</t>
  </si>
  <si>
    <t>30-11-1982</t>
  </si>
  <si>
    <t>14053.001.1007.607</t>
  </si>
  <si>
    <t>14053.001.1007.610</t>
  </si>
  <si>
    <t>18-09-1989</t>
  </si>
  <si>
    <t>TK CERIA</t>
  </si>
  <si>
    <t>14053.006.1007.613</t>
  </si>
  <si>
    <t>22-03-1986</t>
  </si>
  <si>
    <t>14053.002.1007.614</t>
  </si>
  <si>
    <t>06-06-1971</t>
  </si>
  <si>
    <t>14053.001.1007.618</t>
  </si>
  <si>
    <t>14053.001.1007.619</t>
  </si>
  <si>
    <t>09-12-1961</t>
  </si>
  <si>
    <t>PEREKONOMIAN DAN PEMBANGUNAN PEMKOT</t>
  </si>
  <si>
    <t>14053.001.1007.621</t>
  </si>
  <si>
    <t>10-05-1997</t>
  </si>
  <si>
    <t>14053.002.1007.622</t>
  </si>
  <si>
    <t>23-09-1977</t>
  </si>
  <si>
    <t>14053.001.1007.627</t>
  </si>
  <si>
    <t>06-05-1977</t>
  </si>
  <si>
    <t>14053.003.1007.636</t>
  </si>
  <si>
    <t>09-07-1982</t>
  </si>
  <si>
    <t>14053.002.1007.641</t>
  </si>
  <si>
    <t>14-04-1991</t>
  </si>
  <si>
    <t>14053.001.1007.643</t>
  </si>
  <si>
    <t>SK CATERING</t>
  </si>
  <si>
    <t>14053.001.1007.655</t>
  </si>
  <si>
    <t>12-04-1986</t>
  </si>
  <si>
    <t>14053.004.1007.658</t>
  </si>
  <si>
    <t>18-06-1977</t>
  </si>
  <si>
    <t>RESTU IBU ADVERTISING</t>
  </si>
  <si>
    <t>14053.002.1007.661</t>
  </si>
  <si>
    <t>21-04-1986</t>
  </si>
  <si>
    <t>SECURITY PAITON</t>
  </si>
  <si>
    <t>14053.001.1007.663</t>
  </si>
  <si>
    <t>23-03-1993</t>
  </si>
  <si>
    <t>SINAR TERANG SUPERMARKET</t>
  </si>
  <si>
    <t>14053.004.1007.666</t>
  </si>
  <si>
    <t>01-11-1973</t>
  </si>
  <si>
    <t>14053.006.1007.668</t>
  </si>
  <si>
    <t>14053.001.1007.669</t>
  </si>
  <si>
    <t>10-05-1988</t>
  </si>
  <si>
    <t>14053.001.1007.670</t>
  </si>
  <si>
    <t>16-09-2002</t>
  </si>
  <si>
    <t>06-03-1986</t>
  </si>
  <si>
    <t>14053.006.1007.676</t>
  </si>
  <si>
    <t>02-06-1978</t>
  </si>
  <si>
    <t>14053.003.1007.677</t>
  </si>
  <si>
    <t>14053.006.1007.679</t>
  </si>
  <si>
    <t>03-06-1987</t>
  </si>
  <si>
    <t>NOTARIS GIARDI</t>
  </si>
  <si>
    <t>14053.001.1007.689</t>
  </si>
  <si>
    <t>05-02-1981</t>
  </si>
  <si>
    <t>14053.001.1007.697</t>
  </si>
  <si>
    <t>14-04-1983</t>
  </si>
  <si>
    <t>14053.005.1007.705</t>
  </si>
  <si>
    <t>14-11-1987</t>
  </si>
  <si>
    <t>14053.003.1007.708</t>
  </si>
  <si>
    <t>23-12-1962</t>
  </si>
  <si>
    <t>14053.003.1007.711</t>
  </si>
  <si>
    <t>06-06-1987</t>
  </si>
  <si>
    <t>14053.006.1007.712</t>
  </si>
  <si>
    <t>16-07-1991</t>
  </si>
  <si>
    <t>PENGISIAN ULANG GAS LPG</t>
  </si>
  <si>
    <t>14053.001.1007.713</t>
  </si>
  <si>
    <t>05-10-1954</t>
  </si>
  <si>
    <t>14053.003.1007.716</t>
  </si>
  <si>
    <t>16-08-1983</t>
  </si>
  <si>
    <t>BIMASAN PRIMA</t>
  </si>
  <si>
    <t>14053.003.1007.718</t>
  </si>
  <si>
    <t>25-03-1984</t>
  </si>
  <si>
    <t>karyawan Panti Asuhan</t>
  </si>
  <si>
    <t>Panti Asuhan Bhakti Luhur</t>
  </si>
  <si>
    <t>14053.003.1007.719</t>
  </si>
  <si>
    <t>26-02-1982</t>
  </si>
  <si>
    <t>PANTI ASUHAN BAKTI LUHUR</t>
  </si>
  <si>
    <t>14053.003.1007.728</t>
  </si>
  <si>
    <t>20-12-1975</t>
  </si>
  <si>
    <t>PERCETAKAN DAN FOTOCOPY</t>
  </si>
  <si>
    <t>14053.006.1007.729</t>
  </si>
  <si>
    <t>26-09-1987</t>
  </si>
  <si>
    <t>01-12-1976</t>
  </si>
  <si>
    <t>14053.001.1007.745</t>
  </si>
  <si>
    <t>12-06-1991</t>
  </si>
  <si>
    <t>BAPPEDA</t>
  </si>
  <si>
    <t>14053.001.1007.746</t>
  </si>
  <si>
    <t>07-11-1985</t>
  </si>
  <si>
    <t>14053.003.1007.750</t>
  </si>
  <si>
    <t>14053.006.1007.751</t>
  </si>
  <si>
    <t>17-08-1981</t>
  </si>
  <si>
    <t>COUNTER PULSA</t>
  </si>
  <si>
    <t>14053.002.1007.752</t>
  </si>
  <si>
    <t>27-10-1989</t>
  </si>
  <si>
    <t>RUMAH CANTIK ANGELINA</t>
  </si>
  <si>
    <t>14053.001.1007.755</t>
  </si>
  <si>
    <t>19-02-1977</t>
  </si>
  <si>
    <t>PL PROBOLINGGO PT DUNAS</t>
  </si>
  <si>
    <t>14053.006.1007.756</t>
  </si>
  <si>
    <t>18-05-1954</t>
  </si>
  <si>
    <t>14053.003.1007.759</t>
  </si>
  <si>
    <t>30-07-1983</t>
  </si>
  <si>
    <t>TK</t>
  </si>
  <si>
    <t>14053.001.1007.767</t>
  </si>
  <si>
    <t>24-05-1979</t>
  </si>
  <si>
    <t>14053.003.1007.770</t>
  </si>
  <si>
    <t>10-02-1967</t>
  </si>
  <si>
    <t>14053.005.1007.774</t>
  </si>
  <si>
    <t>19-03-1976</t>
  </si>
  <si>
    <t>Toko Peracangan</t>
  </si>
  <si>
    <t>14053.002.1007.775</t>
  </si>
  <si>
    <t>23-08-1982</t>
  </si>
  <si>
    <t>LIZ SALON</t>
  </si>
  <si>
    <t>14053.001.1007.785</t>
  </si>
  <si>
    <t>12-10-1972</t>
  </si>
  <si>
    <t>14053.001.1007.789</t>
  </si>
  <si>
    <t>04-04-2003</t>
  </si>
  <si>
    <t>UNIBRA</t>
  </si>
  <si>
    <t>14053.006.1007.792</t>
  </si>
  <si>
    <t>KANTIN RSJ</t>
  </si>
  <si>
    <t>14053.001.1007.794</t>
  </si>
  <si>
    <t>17-09-1954</t>
  </si>
  <si>
    <t>TOKO OLAHRAGA</t>
  </si>
  <si>
    <t>TOKO JAYA MULYA</t>
  </si>
  <si>
    <t>14053.001.1007.797</t>
  </si>
  <si>
    <t>20-03-1975</t>
  </si>
  <si>
    <t>14053.004.1007.804</t>
  </si>
  <si>
    <t>08-04-1971</t>
  </si>
  <si>
    <t>04-11-1968</t>
  </si>
  <si>
    <t>14053.001.1007.806</t>
  </si>
  <si>
    <t>13-11-1981</t>
  </si>
  <si>
    <t>SMA TAMAN MADYA</t>
  </si>
  <si>
    <t>14053.001.1007.812</t>
  </si>
  <si>
    <t>25-02-1982</t>
  </si>
  <si>
    <t>14053.001.1007.813</t>
  </si>
  <si>
    <t>14-08-1992</t>
  </si>
  <si>
    <t>14053.003.1007.814</t>
  </si>
  <si>
    <t>18-01-1981</t>
  </si>
  <si>
    <t>14053.001.1007.815</t>
  </si>
  <si>
    <t>01-08-1984</t>
  </si>
  <si>
    <t>14053.006.1007.819</t>
  </si>
  <si>
    <t>25-10-1995</t>
  </si>
  <si>
    <t>INDOMART</t>
  </si>
  <si>
    <t>17-06-1991</t>
  </si>
  <si>
    <t>14053.003.1007.822</t>
  </si>
  <si>
    <t>06-01-1971</t>
  </si>
  <si>
    <t>14053.005.1007.830</t>
  </si>
  <si>
    <t>17-06-1981</t>
  </si>
  <si>
    <t>14053.003.1007.835</t>
  </si>
  <si>
    <t>06-04-1997</t>
  </si>
  <si>
    <t>14053.003.1007.836</t>
  </si>
  <si>
    <t>22-02-1998</t>
  </si>
  <si>
    <t>14053.001.1007.838</t>
  </si>
  <si>
    <t>APOTEK SUROPATI</t>
  </si>
  <si>
    <t>14053.001.1007.847</t>
  </si>
  <si>
    <t>20-03-1963</t>
  </si>
  <si>
    <t>14053.001.1007.848</t>
  </si>
  <si>
    <t>12-06-1983</t>
  </si>
  <si>
    <t>MENGURUS RUMAH TANGGA,JASA KONVEKSI</t>
  </si>
  <si>
    <t>PERUSAHAAN GARMEN</t>
  </si>
  <si>
    <t>14053.002.1007.849</t>
  </si>
  <si>
    <t>28-10-1979</t>
  </si>
  <si>
    <t>14053.001.1007.853</t>
  </si>
  <si>
    <t>01-01-1970</t>
  </si>
  <si>
    <t>14053.006.1007.859</t>
  </si>
  <si>
    <t>15-10-1952</t>
  </si>
  <si>
    <t>TOKO NORI JEWELRY</t>
  </si>
  <si>
    <t>14053.001.1007.862</t>
  </si>
  <si>
    <t>01-09-1974</t>
  </si>
  <si>
    <t>14053.001.1007.866</t>
  </si>
  <si>
    <t>10-03-1975</t>
  </si>
  <si>
    <t>RUMAH SAKIT AMANAH</t>
  </si>
  <si>
    <t>14053.003.1007.867</t>
  </si>
  <si>
    <t>06-02-1975</t>
  </si>
  <si>
    <t>14053.005.1007.869</t>
  </si>
  <si>
    <t>12-12-2003</t>
  </si>
  <si>
    <t>POLITEKNIK TAMANSISWA</t>
  </si>
  <si>
    <t>14053.004.1007.872</t>
  </si>
  <si>
    <t>10-02-1985</t>
  </si>
  <si>
    <t>PT DHARMA KUMALA UTAMA</t>
  </si>
  <si>
    <t>07-03-1970</t>
  </si>
  <si>
    <t>14053.001.1007.875</t>
  </si>
  <si>
    <t>25-01-1970</t>
  </si>
  <si>
    <t>PROPINSIALAT SUSTERAN PROBOLINGGO</t>
  </si>
  <si>
    <t>14053.004.1007.878</t>
  </si>
  <si>
    <t>05-06-1967</t>
  </si>
  <si>
    <t>14053.001.1007.883</t>
  </si>
  <si>
    <t>09-03-1988</t>
  </si>
  <si>
    <t>PT SHS INTERNATIONAL</t>
  </si>
  <si>
    <t>14053.001.1007.892</t>
  </si>
  <si>
    <t>14053.001.1007.894</t>
  </si>
  <si>
    <t>PEMKOT(KELURAHAN SUMBERTAMAN)`</t>
  </si>
  <si>
    <t>14053.006.1007.896</t>
  </si>
  <si>
    <t>15-04-1999</t>
  </si>
  <si>
    <t>14053.001.1007.907</t>
  </si>
  <si>
    <t>24-11-1960</t>
  </si>
  <si>
    <t>14053.006.1007.913</t>
  </si>
  <si>
    <t>10-08-1974</t>
  </si>
  <si>
    <t>14053.001.1007.917</t>
  </si>
  <si>
    <t>28-06-1956</t>
  </si>
  <si>
    <t>14053.002.1007.918</t>
  </si>
  <si>
    <t>05-08-1963</t>
  </si>
  <si>
    <t>DEPOT LEZAT</t>
  </si>
  <si>
    <t>14053.001.1007.919</t>
  </si>
  <si>
    <t>25-05-1986</t>
  </si>
  <si>
    <t>14053.001.1007.920</t>
  </si>
  <si>
    <t>07-06-1994</t>
  </si>
  <si>
    <t>14053.001.1007.923</t>
  </si>
  <si>
    <t>21-08-1990</t>
  </si>
  <si>
    <t>14053.001.1007.924</t>
  </si>
  <si>
    <t>21-05-1950</t>
  </si>
  <si>
    <t>14053.001.1007.934</t>
  </si>
  <si>
    <t>05-02-1958</t>
  </si>
  <si>
    <t>CATERING BU HERI</t>
  </si>
  <si>
    <t>14053.001.1007.947</t>
  </si>
  <si>
    <t>14-08-1973</t>
  </si>
  <si>
    <t>PEDAGANG ASONGAN</t>
  </si>
  <si>
    <t>PEDAGANG DI ALUN-ALUN</t>
  </si>
  <si>
    <t>14053.003.1007.954</t>
  </si>
  <si>
    <t>02-11-1961</t>
  </si>
  <si>
    <t>PENSIUNAN TNI</t>
  </si>
  <si>
    <t>14053.003.1007.971</t>
  </si>
  <si>
    <t>14-12-1969</t>
  </si>
  <si>
    <t>JEMBER KLINIK</t>
  </si>
  <si>
    <t>14053.004.1007.975</t>
  </si>
  <si>
    <t>29-09-1985</t>
  </si>
  <si>
    <t>14053.001.1007.982</t>
  </si>
  <si>
    <t>20-10-1985</t>
  </si>
  <si>
    <t>14053.001.1007.987</t>
  </si>
  <si>
    <t>14-07-1979</t>
  </si>
  <si>
    <t>14053.001.1007.990</t>
  </si>
  <si>
    <t>14053.001.1007.994</t>
  </si>
  <si>
    <t>07-10-1980</t>
  </si>
  <si>
    <t>MAHAMERU TRANSPORT</t>
  </si>
  <si>
    <t>14053.001.1007.996</t>
  </si>
  <si>
    <t>TKK SANTA MARIA LUMAJANG</t>
  </si>
  <si>
    <t>14053.001.1008.007</t>
  </si>
  <si>
    <t>19-07-1952</t>
  </si>
  <si>
    <t>14053.001.1008.011</t>
  </si>
  <si>
    <t>21-05-1997</t>
  </si>
  <si>
    <t>INDOMARET</t>
  </si>
  <si>
    <t>14053.001.1008.018</t>
  </si>
  <si>
    <t>01-02-1988</t>
  </si>
  <si>
    <t>14053.001.1008.022</t>
  </si>
  <si>
    <t>RS UMUM DR SALEH</t>
  </si>
  <si>
    <t>14053.001.1008.024</t>
  </si>
  <si>
    <t>14053.001.1008.026</t>
  </si>
  <si>
    <t>01-02-1989</t>
  </si>
  <si>
    <t>WARUNG BERKAT</t>
  </si>
  <si>
    <t>14053.001.1008.028</t>
  </si>
  <si>
    <t>13-03-1995</t>
  </si>
  <si>
    <t>14053.001.1008.029</t>
  </si>
  <si>
    <t>04-03-1984</t>
  </si>
  <si>
    <t>14053.005.1008.030</t>
  </si>
  <si>
    <t>27-01-1970</t>
  </si>
  <si>
    <t>KOPERASI</t>
  </si>
  <si>
    <t>KOPERASI Kota Mojokerto</t>
  </si>
  <si>
    <t>14053.001.1008.038</t>
  </si>
  <si>
    <t>14-11-1967</t>
  </si>
  <si>
    <t>14053.002.1008.043</t>
  </si>
  <si>
    <t>BAKSO</t>
  </si>
  <si>
    <t>14053.001.1008.047</t>
  </si>
  <si>
    <t>14053.003.1008.052</t>
  </si>
  <si>
    <t>02-01-1993</t>
  </si>
  <si>
    <t>14053.001.1008.056</t>
  </si>
  <si>
    <t>01-06-1987</t>
  </si>
  <si>
    <t>BNI 46 (KARYAWAN LEPAS0</t>
  </si>
  <si>
    <t>14053.003.1008.057</t>
  </si>
  <si>
    <t>01-01-1993</t>
  </si>
  <si>
    <t>14053.003.1008.058</t>
  </si>
  <si>
    <t>10-01-1976</t>
  </si>
  <si>
    <t>14053.001.1008.059</t>
  </si>
  <si>
    <t>21-04-1964</t>
  </si>
  <si>
    <t>JUAL KETAN</t>
  </si>
  <si>
    <t>14053.004.1008.060</t>
  </si>
  <si>
    <t>14053.006.1008.066</t>
  </si>
  <si>
    <t>14-06-1983</t>
  </si>
  <si>
    <t>JASA BENGKEL</t>
  </si>
  <si>
    <t>14053.003.1008.068</t>
  </si>
  <si>
    <t>01-08-1963</t>
  </si>
  <si>
    <t>14053.003.1008.070</t>
  </si>
  <si>
    <t>26-10-1990</t>
  </si>
  <si>
    <t>14053.003.1008.075</t>
  </si>
  <si>
    <t>10-09-1974</t>
  </si>
  <si>
    <t>14053.005.1008.080</t>
  </si>
  <si>
    <t>14053.006.1008.084</t>
  </si>
  <si>
    <t>14053.003.1008.085</t>
  </si>
  <si>
    <t>15-08-1980</t>
  </si>
  <si>
    <t>14053.001.1008.098</t>
  </si>
  <si>
    <t>23-12-1988</t>
  </si>
  <si>
    <t>NOTARIS ENTJIK MAMAD</t>
  </si>
  <si>
    <t>14053.001.1008.099</t>
  </si>
  <si>
    <t>02-06-1991</t>
  </si>
  <si>
    <t>WARUNG MESAM-MESEM</t>
  </si>
  <si>
    <t>14053.001.1008.103</t>
  </si>
  <si>
    <t>10-12-1942</t>
  </si>
  <si>
    <t>14053.001.1008.114</t>
  </si>
  <si>
    <t>09-03-1954</t>
  </si>
  <si>
    <t>PENJUAL MINUMAN</t>
  </si>
  <si>
    <t>14053.006.1008.125</t>
  </si>
  <si>
    <t>14053.006.1008.128</t>
  </si>
  <si>
    <t>20-07-1979</t>
  </si>
  <si>
    <t>SNACK MINUMAN</t>
  </si>
  <si>
    <t>14053.001.1008.131</t>
  </si>
  <si>
    <t>06-07-1980</t>
  </si>
  <si>
    <t>AGEN SOSIS</t>
  </si>
  <si>
    <t>14053.001.1008.136</t>
  </si>
  <si>
    <t>30-12-1973</t>
  </si>
  <si>
    <t xml:space="preserve">KANTOR NOTARIS </t>
  </si>
  <si>
    <t>KANTOR NOTARIS ENTJIK MAMAD ABRUR S</t>
  </si>
  <si>
    <t>14053.001.1008.137</t>
  </si>
  <si>
    <t>14-09-1965</t>
  </si>
  <si>
    <t>14053.003.1008.138</t>
  </si>
  <si>
    <t>05-07-1994</t>
  </si>
  <si>
    <t>DRIVER</t>
  </si>
  <si>
    <t>PABRIK TEH</t>
  </si>
  <si>
    <t>14053.001.1008.143</t>
  </si>
  <si>
    <t>07-05-1982</t>
  </si>
  <si>
    <t>JUALAN GORENGAN DI DEPAN SEC</t>
  </si>
  <si>
    <t>14053.001.1008.145</t>
  </si>
  <si>
    <t>20-08-1965</t>
  </si>
  <si>
    <t>14053.001.1008.146</t>
  </si>
  <si>
    <t>15-02-1968</t>
  </si>
  <si>
    <t>14053.001.1008.150</t>
  </si>
  <si>
    <t>16-12-1978</t>
  </si>
  <si>
    <t>14053.001.1008.156</t>
  </si>
  <si>
    <t>07-07-1998</t>
  </si>
  <si>
    <t>14053.003.1008.157</t>
  </si>
  <si>
    <t>01-08-1985</t>
  </si>
  <si>
    <t>14053.003.1008.159</t>
  </si>
  <si>
    <t>24-11-1973</t>
  </si>
  <si>
    <t>14053.003.1008.161</t>
  </si>
  <si>
    <t>14-02-1979</t>
  </si>
  <si>
    <t>14053.006.1008.177</t>
  </si>
  <si>
    <t>11-01-1966</t>
  </si>
  <si>
    <t>14053.001.1008.178</t>
  </si>
  <si>
    <t>14053.003.1008.183</t>
  </si>
  <si>
    <t>12-05-1982</t>
  </si>
  <si>
    <t>14053.003.1008.185</t>
  </si>
  <si>
    <t>07-07-1991</t>
  </si>
  <si>
    <t>14053.001.1008.191</t>
  </si>
  <si>
    <t>22-03-1971</t>
  </si>
  <si>
    <t>14053.001.1008.198</t>
  </si>
  <si>
    <t>15-06-1964</t>
  </si>
  <si>
    <t>CILOK</t>
  </si>
  <si>
    <t>14053.005.1008.201</t>
  </si>
  <si>
    <t>31-08-1977</t>
  </si>
  <si>
    <t>14053.001.1008.203</t>
  </si>
  <si>
    <t>29-12-1961</t>
  </si>
  <si>
    <t>BAKESBANPOL DAN LINMAS</t>
  </si>
  <si>
    <t>14053.001.1008.204</t>
  </si>
  <si>
    <t>05-07-1972</t>
  </si>
  <si>
    <t>14053.001.1008.206</t>
  </si>
  <si>
    <t>15-03-1964</t>
  </si>
  <si>
    <t>DPR</t>
  </si>
  <si>
    <t>14053.001.1008.210</t>
  </si>
  <si>
    <t>24-07-1984</t>
  </si>
  <si>
    <t>14053.004.1008.211</t>
  </si>
  <si>
    <t>31-05-1978</t>
  </si>
  <si>
    <t>JUALAN NASI BUNGKUS</t>
  </si>
  <si>
    <t>14053.003.1008.217</t>
  </si>
  <si>
    <t>14053.002.1008.219</t>
  </si>
  <si>
    <t>11-01-1988</t>
  </si>
  <si>
    <t>BANK JATIM</t>
  </si>
  <si>
    <t>14053.006.1008.223</t>
  </si>
  <si>
    <t>18-10-1991</t>
  </si>
  <si>
    <t>PEDAGANG TELUR</t>
  </si>
  <si>
    <t>14053.006.1008.227</t>
  </si>
  <si>
    <t>10-07-2004</t>
  </si>
  <si>
    <t>14053.001.1008.228</t>
  </si>
  <si>
    <t>17-12-1988</t>
  </si>
  <si>
    <t>TOKO ATIM</t>
  </si>
  <si>
    <t>14053.003.1008.230</t>
  </si>
  <si>
    <t>21-10-1997</t>
  </si>
  <si>
    <t>GROSIR SNACK</t>
  </si>
  <si>
    <t>14053.001.1008.235</t>
  </si>
  <si>
    <t>05-01-1984</t>
  </si>
  <si>
    <t>DINAS KESEHATAN KABUPATEN PROBOLING</t>
  </si>
  <si>
    <t>14053.001.1008.249</t>
  </si>
  <si>
    <t>18-08-1974</t>
  </si>
  <si>
    <t>TOKO PARAHIYANGAN</t>
  </si>
  <si>
    <t>14053.005.1008.252</t>
  </si>
  <si>
    <t>26-04-1960</t>
  </si>
  <si>
    <t>14053.003.1008.254</t>
  </si>
  <si>
    <t>15-11-1949</t>
  </si>
  <si>
    <t>14053.003.1008.256</t>
  </si>
  <si>
    <t>20-10-1937</t>
  </si>
  <si>
    <t>14053.001.1008.262</t>
  </si>
  <si>
    <t>29-05-1986</t>
  </si>
  <si>
    <t>TOKO FROZEN FOOD</t>
  </si>
  <si>
    <t>14053.001.1008.263</t>
  </si>
  <si>
    <t>24-06-1997</t>
  </si>
  <si>
    <t>14053.002.1008.285</t>
  </si>
  <si>
    <t>22-08-1998</t>
  </si>
  <si>
    <t>MAHASISWA/I</t>
  </si>
  <si>
    <t>14053.002.1008.288</t>
  </si>
  <si>
    <t>01-07-1956</t>
  </si>
  <si>
    <t>14053.002.1008.302</t>
  </si>
  <si>
    <t>19-05-1983</t>
  </si>
  <si>
    <t>14053.002.1008.303</t>
  </si>
  <si>
    <t>28-04-1977</t>
  </si>
  <si>
    <t>14053.001.1008.304</t>
  </si>
  <si>
    <t>03-03-1991</t>
  </si>
  <si>
    <t>14053.005.1008.305</t>
  </si>
  <si>
    <t>14053.002.1008.308</t>
  </si>
  <si>
    <t>26-06-1966</t>
  </si>
  <si>
    <t>14053.001.1008.309</t>
  </si>
  <si>
    <t>25-04-1986</t>
  </si>
  <si>
    <t>PT ADIRA DINAMIKA MULTI FINANCE</t>
  </si>
  <si>
    <t>14053.005.1008.311</t>
  </si>
  <si>
    <t>30-11-1993</t>
  </si>
  <si>
    <t>AKUNTAN</t>
  </si>
  <si>
    <t>PT SUN PAPER SOURCE</t>
  </si>
  <si>
    <t>14053.001.1008.319</t>
  </si>
  <si>
    <t>13-05-1984</t>
  </si>
  <si>
    <t>14053.003.1008.324</t>
  </si>
  <si>
    <t>10-09-1970</t>
  </si>
  <si>
    <t>14053.003.1008.330</t>
  </si>
  <si>
    <t>01-10-1985</t>
  </si>
  <si>
    <t>TK BENIH HARAPAN</t>
  </si>
  <si>
    <t>14053.001.1008.332</t>
  </si>
  <si>
    <t>19-11-1971</t>
  </si>
  <si>
    <t>14053.001.1008.334</t>
  </si>
  <si>
    <t>SURABAYA</t>
  </si>
  <si>
    <t>14053.001.1008.338</t>
  </si>
  <si>
    <t>18-05-1978</t>
  </si>
  <si>
    <t>KOPERASI BINA MANDIRI</t>
  </si>
  <si>
    <t>14053.001.1008.339</t>
  </si>
  <si>
    <t>06-10-1970</t>
  </si>
  <si>
    <t>UMKM</t>
  </si>
  <si>
    <t>14053.001.1008.343</t>
  </si>
  <si>
    <t>15-04-1995</t>
  </si>
  <si>
    <t>CV PUTRA ROZI</t>
  </si>
  <si>
    <t>14053.001.1008.350</t>
  </si>
  <si>
    <t>03-01-1963</t>
  </si>
  <si>
    <t>14053.001.1008.362</t>
  </si>
  <si>
    <t>SMPK MATER DEI PROBOLINGGO</t>
  </si>
  <si>
    <t>14053.001.1008.366</t>
  </si>
  <si>
    <t>ANGKUTAN MATERIAL</t>
  </si>
  <si>
    <t>14053.001.1008.368</t>
  </si>
  <si>
    <t>KOPDIT CU MANDIRI</t>
  </si>
  <si>
    <t>14053.001.1008.373</t>
  </si>
  <si>
    <t>18-08-1987</t>
  </si>
  <si>
    <t>14053.003.1008.380</t>
  </si>
  <si>
    <t>14053.001.1008.381</t>
  </si>
  <si>
    <t>PT BFI</t>
  </si>
  <si>
    <t>14053.001.1008.384</t>
  </si>
  <si>
    <t>SMPN 3 PROBOLINGGO</t>
  </si>
  <si>
    <t>14053.002.1008.386</t>
  </si>
  <si>
    <t>21-07-1962</t>
  </si>
  <si>
    <t>14053.001.1008.389</t>
  </si>
  <si>
    <t>10-08-1957</t>
  </si>
  <si>
    <t>PERSEWAAN TENDA</t>
  </si>
  <si>
    <t>PENYEWAAN TENDA</t>
  </si>
  <si>
    <t>14053.001.1008.392</t>
  </si>
  <si>
    <t>20-04-1961</t>
  </si>
  <si>
    <t>BPPKB KOTA PROBOLINGGO</t>
  </si>
  <si>
    <t>14053.003.1008.394</t>
  </si>
  <si>
    <t>27-11-1992</t>
  </si>
  <si>
    <t>14053.001.1008.401</t>
  </si>
  <si>
    <t>12-05-1974</t>
  </si>
  <si>
    <t>14053.006.1008.402</t>
  </si>
  <si>
    <t>16-03-1957</t>
  </si>
  <si>
    <t>14053.006.1008.415</t>
  </si>
  <si>
    <t>20-04-1991</t>
  </si>
  <si>
    <t>14053.001.1008.426</t>
  </si>
  <si>
    <t>25-06-1983</t>
  </si>
  <si>
    <t>KDS DEPARTMENT STORE</t>
  </si>
  <si>
    <t>14053.001.1008.429</t>
  </si>
  <si>
    <t>26-01-1984</t>
  </si>
  <si>
    <t>DOKTER RS GRAHA SEHAT</t>
  </si>
  <si>
    <t>14053.002.1008.430</t>
  </si>
  <si>
    <t>13-08-1969</t>
  </si>
  <si>
    <t>SMKN I KRAKSAAN</t>
  </si>
  <si>
    <t>14053.001.1008.431</t>
  </si>
  <si>
    <t>07-09-1962</t>
  </si>
  <si>
    <t>14053.001.1008.433</t>
  </si>
  <si>
    <t>01-03-1983</t>
  </si>
  <si>
    <t>KONFEKSI GARMEN</t>
  </si>
  <si>
    <t>14053.003.1008.435</t>
  </si>
  <si>
    <t>08-07-1980</t>
  </si>
  <si>
    <t>14053.003.1008.436</t>
  </si>
  <si>
    <t>28-01-2002</t>
  </si>
  <si>
    <t>14053.001.1008.438</t>
  </si>
  <si>
    <t>29-06-1978</t>
  </si>
  <si>
    <t>PT LANGKAH  JAYA</t>
  </si>
  <si>
    <t>14053.004.1008.443</t>
  </si>
  <si>
    <t>14053.002.1008.453</t>
  </si>
  <si>
    <t>14053.001.1008.455</t>
  </si>
  <si>
    <t>17-07-1949</t>
  </si>
  <si>
    <t>14053.003.1008.460</t>
  </si>
  <si>
    <t>03-11-1964</t>
  </si>
  <si>
    <t>14053.001.1008.461</t>
  </si>
  <si>
    <t>14053.001.1008.468</t>
  </si>
  <si>
    <t>21-06-1954</t>
  </si>
  <si>
    <t>14053.001.1008.469</t>
  </si>
  <si>
    <t>14-01-1978</t>
  </si>
  <si>
    <t>14053.002.1008.479</t>
  </si>
  <si>
    <t>01-01-1986</t>
  </si>
  <si>
    <t>PT IPMOMI</t>
  </si>
  <si>
    <t>14053.001.1008.488</t>
  </si>
  <si>
    <t>01-07-1951</t>
  </si>
  <si>
    <t>Ustadz/Mubaligh</t>
  </si>
  <si>
    <t>USTAD</t>
  </si>
  <si>
    <t>14053.006.1008.490</t>
  </si>
  <si>
    <t>01-02-1961</t>
  </si>
  <si>
    <t>14053.001.1008.491</t>
  </si>
  <si>
    <t>16-02-1974</t>
  </si>
  <si>
    <t>PRAKTEK DR BUDI</t>
  </si>
  <si>
    <t>14053.001.1008.494</t>
  </si>
  <si>
    <t>11-11-2001</t>
  </si>
  <si>
    <t>14053.001.1008.495</t>
  </si>
  <si>
    <t>28-09-1985</t>
  </si>
  <si>
    <t>INDUSTRI PAKAN AYAM</t>
  </si>
  <si>
    <t>PT JAPFA COMFEED</t>
  </si>
  <si>
    <t>14053.001.1008.500</t>
  </si>
  <si>
    <t>02-05-1980</t>
  </si>
  <si>
    <t>14053.001.1008.505</t>
  </si>
  <si>
    <t>28-07-1981</t>
  </si>
  <si>
    <t>14053.003.1008.509</t>
  </si>
  <si>
    <t>21-04-1967</t>
  </si>
  <si>
    <t>14053.003.1008.510</t>
  </si>
  <si>
    <t>19-01-1998</t>
  </si>
  <si>
    <t>14053.003.1008.512</t>
  </si>
  <si>
    <t>23-10-2003</t>
  </si>
  <si>
    <t>14053.001.1008.513</t>
  </si>
  <si>
    <t>27-08-1974</t>
  </si>
  <si>
    <t>14053.001.1008.516</t>
  </si>
  <si>
    <t>04-05-1958</t>
  </si>
  <si>
    <t>SDN TISNONEGARAN 1</t>
  </si>
  <si>
    <t>14053.001.1008.518</t>
  </si>
  <si>
    <t>27-07-1959</t>
  </si>
  <si>
    <t>14053.005.1008.524</t>
  </si>
  <si>
    <t>31-08-1972</t>
  </si>
  <si>
    <t>PERSEWAAN SUMBER HIDUP</t>
  </si>
  <si>
    <t>14053.003.1008.528</t>
  </si>
  <si>
    <t>23-06-1979</t>
  </si>
  <si>
    <t>14053.003.1008.529</t>
  </si>
  <si>
    <t>14-08-1985</t>
  </si>
  <si>
    <t>14053.002.1008.531</t>
  </si>
  <si>
    <t>26-08-1983</t>
  </si>
  <si>
    <t>14053.001.1008.533</t>
  </si>
  <si>
    <t>08-03-1943</t>
  </si>
  <si>
    <t>STIA BAYUANGGA</t>
  </si>
  <si>
    <t>14053.002.1008.540</t>
  </si>
  <si>
    <t>10-12-1980</t>
  </si>
  <si>
    <t>14053.004.1008.541</t>
  </si>
  <si>
    <t>14053.001.1008.547</t>
  </si>
  <si>
    <t>13-07-1995</t>
  </si>
  <si>
    <t>14053.005.1008.555</t>
  </si>
  <si>
    <t>14053.001.1008.556</t>
  </si>
  <si>
    <t>01-07-1954</t>
  </si>
  <si>
    <t>14053.004.1008.560</t>
  </si>
  <si>
    <t>17-10-1985</t>
  </si>
  <si>
    <t>14053.003.1008.563</t>
  </si>
  <si>
    <t>02-04-1988</t>
  </si>
  <si>
    <t>PABRIK TEMBAKAU</t>
  </si>
  <si>
    <t>14053.001.1008.571</t>
  </si>
  <si>
    <t>19-04-1979</t>
  </si>
  <si>
    <t>14053.003.1008.575</t>
  </si>
  <si>
    <t>20-04-1983</t>
  </si>
  <si>
    <t>PENATA RIAS</t>
  </si>
  <si>
    <t>14053.001.1008.584</t>
  </si>
  <si>
    <t>09-04-1983</t>
  </si>
  <si>
    <t>14053.002.1008.585</t>
  </si>
  <si>
    <t>07-06-1982</t>
  </si>
  <si>
    <t>14053.001.1008.592</t>
  </si>
  <si>
    <t>06-08-2000</t>
  </si>
  <si>
    <t>SMKN 1 PROBOLINGGO</t>
  </si>
  <si>
    <t>14053.004.1008.599</t>
  </si>
  <si>
    <t>28-06-1966</t>
  </si>
  <si>
    <t>14053.004.1008.604</t>
  </si>
  <si>
    <t>17-07-2005</t>
  </si>
  <si>
    <t>14053.006.1008.607</t>
  </si>
  <si>
    <t>28-08-1979</t>
  </si>
  <si>
    <t>USAHA JASA GOJEK</t>
  </si>
  <si>
    <t>28-06-1971</t>
  </si>
  <si>
    <t>14053.001.1008.616</t>
  </si>
  <si>
    <t>31-05-1972</t>
  </si>
  <si>
    <t>14053.001.1008.621</t>
  </si>
  <si>
    <t>11-05-1995</t>
  </si>
  <si>
    <t>PRAMUSAJI</t>
  </si>
  <si>
    <t>14053.001.1008.624</t>
  </si>
  <si>
    <t>20-04-1969</t>
  </si>
  <si>
    <t>COOKIES</t>
  </si>
  <si>
    <t>14053.001.1008.627</t>
  </si>
  <si>
    <t>14-02-1997</t>
  </si>
  <si>
    <t>KANTOR POS</t>
  </si>
  <si>
    <t>14053.001.1008.629</t>
  </si>
  <si>
    <t>14053.001.1008.633</t>
  </si>
  <si>
    <t>16-11-1990</t>
  </si>
  <si>
    <t>AKSESORIS RUMAH (BANTAL KARAKTER)</t>
  </si>
  <si>
    <t>14053.001.1008.635</t>
  </si>
  <si>
    <t>INDUSTRI MAKANAN OLAHAN</t>
  </si>
  <si>
    <t>PT SOUTHERN MARINE</t>
  </si>
  <si>
    <t>14053.003.1008.645</t>
  </si>
  <si>
    <t>25-04-2000</t>
  </si>
  <si>
    <t>JAF PARFUM</t>
  </si>
  <si>
    <t>14053.006.1008.647</t>
  </si>
  <si>
    <t>12-03-1982</t>
  </si>
  <si>
    <t>14053.001.1008.652</t>
  </si>
  <si>
    <t>10-07-1946</t>
  </si>
  <si>
    <t>14053.002.1008.653</t>
  </si>
  <si>
    <t>14-12-1983</t>
  </si>
  <si>
    <t>14053.001.1008.657</t>
  </si>
  <si>
    <t>18-11-1966</t>
  </si>
  <si>
    <t>PEDAGANG SAYUR &amp; PRACANGAN</t>
  </si>
  <si>
    <t>14053.001.1008.665</t>
  </si>
  <si>
    <t>09-09-1988</t>
  </si>
  <si>
    <t>MANAJEMEN GEDUNG</t>
  </si>
  <si>
    <t>14053.001.1008.672</t>
  </si>
  <si>
    <t>14053.001.1008.673</t>
  </si>
  <si>
    <t>PT FIF GROUP</t>
  </si>
  <si>
    <t>14053.002.1008.676</t>
  </si>
  <si>
    <t>14053.002.1008.677</t>
  </si>
  <si>
    <t>14053.003.1008.685</t>
  </si>
  <si>
    <t>15-06-1961</t>
  </si>
  <si>
    <t>14053.003.1008.697</t>
  </si>
  <si>
    <t>04-09-1986</t>
  </si>
  <si>
    <t xml:space="preserve">PACKAGING </t>
  </si>
  <si>
    <t>ASINAN BUAH</t>
  </si>
  <si>
    <t>14053.005.1008.699</t>
  </si>
  <si>
    <t>03-04-1978</t>
  </si>
  <si>
    <t>TENAGA USAHA (TU)</t>
  </si>
  <si>
    <t>14053.001.1008.709</t>
  </si>
  <si>
    <t>12-02-1964</t>
  </si>
  <si>
    <t>SOUND SYSTEM</t>
  </si>
  <si>
    <t>PROMUSIC</t>
  </si>
  <si>
    <t>14053.001.1008.711</t>
  </si>
  <si>
    <t>14053.001.1008.712</t>
  </si>
  <si>
    <t>01-07-1970</t>
  </si>
  <si>
    <t>14053.001.1008.727</t>
  </si>
  <si>
    <t>15-08-1972</t>
  </si>
  <si>
    <t>14053.003.1008.729</t>
  </si>
  <si>
    <t>16-08-1958</t>
  </si>
  <si>
    <t>RUMAH SAKIT BONDOWOSO</t>
  </si>
  <si>
    <t>14053.002.1008.733</t>
  </si>
  <si>
    <t>25-05-1980</t>
  </si>
  <si>
    <t>14053.001.1008.734</t>
  </si>
  <si>
    <t>09-12-1980</t>
  </si>
  <si>
    <t>SMK TAMANSISWA</t>
  </si>
  <si>
    <t>14053.001.1008.736</t>
  </si>
  <si>
    <t>03-10-1984</t>
  </si>
  <si>
    <t>SMK 1 TAMAN SISWA</t>
  </si>
  <si>
    <t>14053.004.1008.739</t>
  </si>
  <si>
    <t>31-10-1953</t>
  </si>
  <si>
    <t>14053.005.1008.741</t>
  </si>
  <si>
    <t>01-06-1979</t>
  </si>
  <si>
    <t>PENDAMPING DESA</t>
  </si>
  <si>
    <t>14053.005.1008.742</t>
  </si>
  <si>
    <t>20-02-1979</t>
  </si>
  <si>
    <t>14053.005.1008.743</t>
  </si>
  <si>
    <t>22-04-1999</t>
  </si>
  <si>
    <t>14053.001.1008.744</t>
  </si>
  <si>
    <t>16-01-1969</t>
  </si>
  <si>
    <t>14053.005.1008.746</t>
  </si>
  <si>
    <t>02-05-1972</t>
  </si>
  <si>
    <t>14053.001.1008.748</t>
  </si>
  <si>
    <t>11-10-1959</t>
  </si>
  <si>
    <t>14053.001.1008.749</t>
  </si>
  <si>
    <t>28-01-1968</t>
  </si>
  <si>
    <t>JUAL KUE BASAH</t>
  </si>
  <si>
    <t>14053.003.1008.760</t>
  </si>
  <si>
    <t>27-05-1994</t>
  </si>
  <si>
    <t>14053.001.1008.763</t>
  </si>
  <si>
    <t>19-04-1939</t>
  </si>
  <si>
    <t>14053.004.1008.765</t>
  </si>
  <si>
    <t>22-11-1948</t>
  </si>
  <si>
    <t>14053.004.1008.766</t>
  </si>
  <si>
    <t>28-04-1982</t>
  </si>
  <si>
    <t>14053.001.1008.769</t>
  </si>
  <si>
    <t>19-01-1982</t>
  </si>
  <si>
    <t>14053.001.1008.771</t>
  </si>
  <si>
    <t>14-05-1966</t>
  </si>
  <si>
    <t>14053.001.1008.772</t>
  </si>
  <si>
    <t>14053.002.1008.776</t>
  </si>
  <si>
    <t>08-03-1993</t>
  </si>
  <si>
    <t>TOKO PERTANIAN</t>
  </si>
  <si>
    <t>14053.001.1008.780</t>
  </si>
  <si>
    <t>29-08-1994</t>
  </si>
  <si>
    <t>14053.003.1008.785</t>
  </si>
  <si>
    <t>17-02-1989</t>
  </si>
  <si>
    <t>14053.001.1008.787</t>
  </si>
  <si>
    <t>28-06-1977</t>
  </si>
  <si>
    <t>SHALOOM EDUCATION CENTRE</t>
  </si>
  <si>
    <t>14053.001.1008.789</t>
  </si>
  <si>
    <t>09-08-1997</t>
  </si>
  <si>
    <t>14053.003.1008.791</t>
  </si>
  <si>
    <t>06-12-1973</t>
  </si>
  <si>
    <t>16-04-1966</t>
  </si>
  <si>
    <t>06-02-1990</t>
  </si>
  <si>
    <t>14053.001.1008.799</t>
  </si>
  <si>
    <t>18-09-1964</t>
  </si>
  <si>
    <t>14053.001.1008.807</t>
  </si>
  <si>
    <t>14053.001.1008.808</t>
  </si>
  <si>
    <t>20-09-1966</t>
  </si>
  <si>
    <t>14053.001.1008.809</t>
  </si>
  <si>
    <t>22-07-1964</t>
  </si>
  <si>
    <t>PT. DWI PUTRA SAKTI</t>
  </si>
  <si>
    <t>14053.001.1008.815</t>
  </si>
  <si>
    <t>14053.004.1008.816</t>
  </si>
  <si>
    <t>30-04-1984</t>
  </si>
  <si>
    <t>14053.003.1008.818</t>
  </si>
  <si>
    <t>25-09-1970</t>
  </si>
  <si>
    <t>14053.001.1008.820</t>
  </si>
  <si>
    <t>24-06-1970</t>
  </si>
  <si>
    <t>PANCAMARGA</t>
  </si>
  <si>
    <t>14053.006.1008.821</t>
  </si>
  <si>
    <t>02-06-1992</t>
  </si>
  <si>
    <t>ROTI</t>
  </si>
  <si>
    <t>ROTI TAWAR BANDUNG USARIPUDIN</t>
  </si>
  <si>
    <t>14053.001.1008.822</t>
  </si>
  <si>
    <t>19-03-1986</t>
  </si>
  <si>
    <t>14053.001.1008.823</t>
  </si>
  <si>
    <t>01-11-1992</t>
  </si>
  <si>
    <t>14053.001.1008.826</t>
  </si>
  <si>
    <t>03-10-1973</t>
  </si>
  <si>
    <t>HOUSKEEPING</t>
  </si>
  <si>
    <t>14053.001.1008.827</t>
  </si>
  <si>
    <t>05-12-1993</t>
  </si>
  <si>
    <t>KUSUMA KITCHEN</t>
  </si>
  <si>
    <t>14053.001.1008.834</t>
  </si>
  <si>
    <t>04-04-1993</t>
  </si>
  <si>
    <t>KORAN KOMBES PAGI</t>
  </si>
  <si>
    <t>14053.001.1008.836</t>
  </si>
  <si>
    <t>28-01-1960</t>
  </si>
  <si>
    <t>14-04-1965</t>
  </si>
  <si>
    <t>14053.005.1008.844</t>
  </si>
  <si>
    <t>30-03-1997</t>
  </si>
  <si>
    <t>14053.002.1008.849</t>
  </si>
  <si>
    <t>08-03-1983</t>
  </si>
  <si>
    <t>GOLD INK SURABAYA</t>
  </si>
  <si>
    <t>14053.003.1008.850</t>
  </si>
  <si>
    <t>11-05-1989</t>
  </si>
  <si>
    <t>14053.005.1008.851</t>
  </si>
  <si>
    <t>13-03-1975</t>
  </si>
  <si>
    <t>RS REKSA WALUYO</t>
  </si>
  <si>
    <t>14053.001.1008.866</t>
  </si>
  <si>
    <t>01-09-1989</t>
  </si>
  <si>
    <t>INDUSTRI BAN</t>
  </si>
  <si>
    <t>PABRIK BAN GEMPOL</t>
  </si>
  <si>
    <t>14053.001.1008.867</t>
  </si>
  <si>
    <t>TK DEWI SARTIKA</t>
  </si>
  <si>
    <t>14053.001.1008.887</t>
  </si>
  <si>
    <t>CV BINTANG KARYA UTAMA</t>
  </si>
  <si>
    <t>14053.001.1008.888</t>
  </si>
  <si>
    <t>16-08-1963</t>
  </si>
  <si>
    <t>14053.001.1008.902</t>
  </si>
  <si>
    <t>16-07-1968</t>
  </si>
  <si>
    <t>14053.001.1008.909</t>
  </si>
  <si>
    <t>17-04-1970</t>
  </si>
  <si>
    <t>14053.001.1008.914</t>
  </si>
  <si>
    <t>13-12-1951</t>
  </si>
  <si>
    <t>14053.001.1008.917</t>
  </si>
  <si>
    <t>08-06-1997</t>
  </si>
  <si>
    <t>14053.001.1008.931</t>
  </si>
  <si>
    <t>05-10-1963</t>
  </si>
  <si>
    <t>PG GENDING</t>
  </si>
  <si>
    <t>14053.001.1008.932</t>
  </si>
  <si>
    <t>02-11-1976</t>
  </si>
  <si>
    <t>14053.003.1008.934</t>
  </si>
  <si>
    <t>01-08-1997</t>
  </si>
  <si>
    <t>14053.002.1008.942</t>
  </si>
  <si>
    <t>22-05-1980</t>
  </si>
  <si>
    <t>SMKK SYEKH ABDUL QODIR JAILANI</t>
  </si>
  <si>
    <t>14053.002.1008.945</t>
  </si>
  <si>
    <t>22-05-1989</t>
  </si>
  <si>
    <t>TK CAHAYA PESISIR</t>
  </si>
  <si>
    <t>14053.003.1008.946</t>
  </si>
  <si>
    <t>10-10-1994</t>
  </si>
  <si>
    <t>14053.003.1008.950</t>
  </si>
  <si>
    <t>27-09-1985</t>
  </si>
  <si>
    <t>14053.001.1008.956</t>
  </si>
  <si>
    <t>06-06-1981</t>
  </si>
  <si>
    <t>14053.002.1008.962</t>
  </si>
  <si>
    <t>31-10-1985</t>
  </si>
  <si>
    <t>14053.002.1008.963</t>
  </si>
  <si>
    <t>14053.005.1008.965</t>
  </si>
  <si>
    <t>27-04-2006</t>
  </si>
  <si>
    <t>14053.005.1008.966</t>
  </si>
  <si>
    <t>06-11-2001</t>
  </si>
  <si>
    <t>14053.002.1008.967</t>
  </si>
  <si>
    <t>21-02-1967</t>
  </si>
  <si>
    <t>14053.002.1008.972</t>
  </si>
  <si>
    <t>23-05-1956</t>
  </si>
  <si>
    <t>14053.001.1008.974</t>
  </si>
  <si>
    <t>25-04-1984</t>
  </si>
  <si>
    <t>CV KARYA SAMUDRA</t>
  </si>
  <si>
    <t>14053.001.1008.975</t>
  </si>
  <si>
    <t>18-05-1995</t>
  </si>
  <si>
    <t>14053.001.1008.988</t>
  </si>
  <si>
    <t>18-07-1979</t>
  </si>
  <si>
    <t>BURUH TANI</t>
  </si>
  <si>
    <t>14053.001.1008.989</t>
  </si>
  <si>
    <t>03-09-1962</t>
  </si>
  <si>
    <t>14053.001.1008.992</t>
  </si>
  <si>
    <t>24-09-1974</t>
  </si>
  <si>
    <t>14053.003.1008.993</t>
  </si>
  <si>
    <t>20-01-1985</t>
  </si>
  <si>
    <t>14053.001.1008.995</t>
  </si>
  <si>
    <t>01-07-1985</t>
  </si>
  <si>
    <t>14053.001.1009.010</t>
  </si>
  <si>
    <t>07-03-1985</t>
  </si>
  <si>
    <t>14053.001.1009.012</t>
  </si>
  <si>
    <t>25-06-1990</t>
  </si>
  <si>
    <t>14053.001.1009.015</t>
  </si>
  <si>
    <t>07-04-1991</t>
  </si>
  <si>
    <t>14053.001.1009.016</t>
  </si>
  <si>
    <t>PEDAGANG SAYUR</t>
  </si>
  <si>
    <t>14053.003.1009.023</t>
  </si>
  <si>
    <t>14-10-1966</t>
  </si>
  <si>
    <t>TENAGA USAHA</t>
  </si>
  <si>
    <t>14053.003.1009.025</t>
  </si>
  <si>
    <t>10-12-1962</t>
  </si>
  <si>
    <t>14053.003.1009.026</t>
  </si>
  <si>
    <t>14053.003.1009.027</t>
  </si>
  <si>
    <t>14053.004.1009.032</t>
  </si>
  <si>
    <t>14053.001.1009.038</t>
  </si>
  <si>
    <t>06-04-1986</t>
  </si>
  <si>
    <t>PTPN</t>
  </si>
  <si>
    <t>PG WONOLANGAN IX</t>
  </si>
  <si>
    <t>14053.001.1009.042</t>
  </si>
  <si>
    <t>24-11-1975</t>
  </si>
  <si>
    <t>AGEN SUSU BATU (KSB)</t>
  </si>
  <si>
    <t>14053.006.1009.044</t>
  </si>
  <si>
    <t>27-09-1974</t>
  </si>
  <si>
    <t>TKK ST MARIA</t>
  </si>
  <si>
    <t>14053.001.1009.045</t>
  </si>
  <si>
    <t>09-04-1978</t>
  </si>
  <si>
    <t>GORENGAN,KOPI, DAN BAKSO</t>
  </si>
  <si>
    <t>14053.005.1009.055</t>
  </si>
  <si>
    <t>14053.004.1009.057</t>
  </si>
  <si>
    <t>15-08-1992</t>
  </si>
  <si>
    <t>DEPAG</t>
  </si>
  <si>
    <t>14053.005.1009.060</t>
  </si>
  <si>
    <t>18-01-1976</t>
  </si>
  <si>
    <t>14053.003.1009.061</t>
  </si>
  <si>
    <t>07-02-1953</t>
  </si>
  <si>
    <t>14053.005.1009.062</t>
  </si>
  <si>
    <t>26-06-1977</t>
  </si>
  <si>
    <t>RS CITRA MEDIKA</t>
  </si>
  <si>
    <t>14053.005.1009.068</t>
  </si>
  <si>
    <t>20-03-2004</t>
  </si>
  <si>
    <t>14053.001.1009.071</t>
  </si>
  <si>
    <t>10-04-1998</t>
  </si>
  <si>
    <t>14053.001.1009.074</t>
  </si>
  <si>
    <t>14053.005.1009.075</t>
  </si>
  <si>
    <t>05-08-1992</t>
  </si>
  <si>
    <t>14053.001.1009.078</t>
  </si>
  <si>
    <t>05-02-1968</t>
  </si>
  <si>
    <t>BAKSO KURNIA</t>
  </si>
  <si>
    <t>14053.001.1009.082</t>
  </si>
  <si>
    <t>14-03-1981</t>
  </si>
  <si>
    <t>14053.005.1009.088</t>
  </si>
  <si>
    <t>14-03-1988</t>
  </si>
  <si>
    <t>14053.005.1009.090</t>
  </si>
  <si>
    <t>15-07-1980</t>
  </si>
  <si>
    <t>DM COMPUTER</t>
  </si>
  <si>
    <t>14053.003.1009.092</t>
  </si>
  <si>
    <t>JUAL ES DEGAN</t>
  </si>
  <si>
    <t>14053.001.1009.096</t>
  </si>
  <si>
    <t>05-07-1963</t>
  </si>
  <si>
    <t>SDN MALASAN KULON 1</t>
  </si>
  <si>
    <t>14053.002.1009.109</t>
  </si>
  <si>
    <t>17-05-1990</t>
  </si>
  <si>
    <t>14053.005.1009.121</t>
  </si>
  <si>
    <t>VILLA HERMON</t>
  </si>
  <si>
    <t>14053.001.1009.124</t>
  </si>
  <si>
    <t>PELATIH MUSIK</t>
  </si>
  <si>
    <t>14053.001.1009.127</t>
  </si>
  <si>
    <t>11-01-1971</t>
  </si>
  <si>
    <t>14053.001.1009.128</t>
  </si>
  <si>
    <t>05-03-1985</t>
  </si>
  <si>
    <t>14053.003.1009.129</t>
  </si>
  <si>
    <t>17-05-1976</t>
  </si>
  <si>
    <t>14053.002.1009.132</t>
  </si>
  <si>
    <t>26-03-1975</t>
  </si>
  <si>
    <t>PERHUTANI TPK KRAKSAAN</t>
  </si>
  <si>
    <t>14053.001.1009.136</t>
  </si>
  <si>
    <t>23-09-1984</t>
  </si>
  <si>
    <t>14053.001.1009.137</t>
  </si>
  <si>
    <t>01-05-1957</t>
  </si>
  <si>
    <t>14053.001.1009.141</t>
  </si>
  <si>
    <t>16-07-1967</t>
  </si>
  <si>
    <t>PEDAGANG NASI</t>
  </si>
  <si>
    <t>14053.001.1009.143</t>
  </si>
  <si>
    <t>30-05-1953</t>
  </si>
  <si>
    <t>14053.001.1009.148</t>
  </si>
  <si>
    <t>11-05-1988</t>
  </si>
  <si>
    <t>PT. BERDIKARI JAYA BERSAMA</t>
  </si>
  <si>
    <t>14053.005.1009.150</t>
  </si>
  <si>
    <t>18-05-1981</t>
  </si>
  <si>
    <t>14053.006.1009.151</t>
  </si>
  <si>
    <t>20-04-1989</t>
  </si>
  <si>
    <t>ONDERDIL</t>
  </si>
  <si>
    <t>14053.001.1009.153</t>
  </si>
  <si>
    <t>06-08-1957</t>
  </si>
  <si>
    <t xml:space="preserve">INDUSTRI MAKANAN </t>
  </si>
  <si>
    <t>PABRIK MIE CAP MI TAWON</t>
  </si>
  <si>
    <t>14053.005.1009.158</t>
  </si>
  <si>
    <t>03-03-1975</t>
  </si>
  <si>
    <t>14053.005.1009.159</t>
  </si>
  <si>
    <t>12-08-1976</t>
  </si>
  <si>
    <t>14053.005.1009.162</t>
  </si>
  <si>
    <t>14053.005.1009.163</t>
  </si>
  <si>
    <t>28-09-2006</t>
  </si>
  <si>
    <t>14053.001.1009.167</t>
  </si>
  <si>
    <t>05-07-1989</t>
  </si>
  <si>
    <t>14053.002.1009.168</t>
  </si>
  <si>
    <t>16-06-1963</t>
  </si>
  <si>
    <t>14053.001.1009.169</t>
  </si>
  <si>
    <t>20-01-1964</t>
  </si>
  <si>
    <t>SMA NEGERI 2 PROBOLINGGO</t>
  </si>
  <si>
    <t>14053.002.1009.175</t>
  </si>
  <si>
    <t>11-03-1988</t>
  </si>
  <si>
    <t>14053.001.1009.184</t>
  </si>
  <si>
    <t>03-08-1991</t>
  </si>
  <si>
    <t>RSUD PROBOLINGGO</t>
  </si>
  <si>
    <t>14053.001.1009.189</t>
  </si>
  <si>
    <t>06-10-1988</t>
  </si>
  <si>
    <t>PULSA DAN SEPREI</t>
  </si>
  <si>
    <t>14053.001.1009.193</t>
  </si>
  <si>
    <t>22-04-1990</t>
  </si>
  <si>
    <t>14053.006.1009.199</t>
  </si>
  <si>
    <t>22-08-1975</t>
  </si>
  <si>
    <t>14053.005.1009.200</t>
  </si>
  <si>
    <t>14053.001.1009.203</t>
  </si>
  <si>
    <t>10-10-1962</t>
  </si>
  <si>
    <t>14053.001.1009.207</t>
  </si>
  <si>
    <t>05-07-1978</t>
  </si>
  <si>
    <t>14053.001.1009.215</t>
  </si>
  <si>
    <t>01-07-1967</t>
  </si>
  <si>
    <t>14053.001.1009.218</t>
  </si>
  <si>
    <t>27-06-1989</t>
  </si>
  <si>
    <t>PT KUTAI TIMBER INDONESIA</t>
  </si>
  <si>
    <t>14053.001.1009.219</t>
  </si>
  <si>
    <t>08-01-1963</t>
  </si>
  <si>
    <t>14053.003.1009.224</t>
  </si>
  <si>
    <t>28-07-1980</t>
  </si>
  <si>
    <t>14053.001.1009.227</t>
  </si>
  <si>
    <t>18-04-1986</t>
  </si>
  <si>
    <t>14053.003.1009.233</t>
  </si>
  <si>
    <t>28-04-1993</t>
  </si>
  <si>
    <t>14053.002.1009.234</t>
  </si>
  <si>
    <t>10-07-1992</t>
  </si>
  <si>
    <t>14053.005.1009.238</t>
  </si>
  <si>
    <t>14053.005.1009.244</t>
  </si>
  <si>
    <t>14053.001.1009.251</t>
  </si>
  <si>
    <t>NOTARIS + PPAT</t>
  </si>
  <si>
    <t>14053.002.1009.253</t>
  </si>
  <si>
    <t>12-11-1982</t>
  </si>
  <si>
    <t>14053.003.1009.254</t>
  </si>
  <si>
    <t>28-12-1973</t>
  </si>
  <si>
    <t>JUAL KERUPUK</t>
  </si>
  <si>
    <t>14053.001.1009.255</t>
  </si>
  <si>
    <t>14053.001.1009.256</t>
  </si>
  <si>
    <t>17-01-1993</t>
  </si>
  <si>
    <t>14053.001.1009.257</t>
  </si>
  <si>
    <t>14-10-1990</t>
  </si>
  <si>
    <t>14053.003.1009.261</t>
  </si>
  <si>
    <t>14053.001.1009.263</t>
  </si>
  <si>
    <t>20-04-1982</t>
  </si>
  <si>
    <t>14053.001.1009.264</t>
  </si>
  <si>
    <t>09-04-1974</t>
  </si>
  <si>
    <t>14053.001.1009.265</t>
  </si>
  <si>
    <t>05-07-1976</t>
  </si>
  <si>
    <t>14053.003.1009.273</t>
  </si>
  <si>
    <t>12-12-1969</t>
  </si>
  <si>
    <t>PENJAHIT KURNIA</t>
  </si>
  <si>
    <t>14053.001.1009.276</t>
  </si>
  <si>
    <t>01-11-1964</t>
  </si>
  <si>
    <t>DEPOT LENNY</t>
  </si>
  <si>
    <t>14053.001.1009.288</t>
  </si>
  <si>
    <t>25-11-1992</t>
  </si>
  <si>
    <t>14053.001.1009.296</t>
  </si>
  <si>
    <t>26-09-1970</t>
  </si>
  <si>
    <t>14053.001.1009.297</t>
  </si>
  <si>
    <t>RUMAH MAKAN PADANG BEJAY</t>
  </si>
  <si>
    <t>14053.006.1009.304</t>
  </si>
  <si>
    <t>18-07-1982</t>
  </si>
  <si>
    <t>TK STAR KIDS</t>
  </si>
  <si>
    <t>14053.002.1009.307</t>
  </si>
  <si>
    <t>10-07-1987</t>
  </si>
  <si>
    <t>BANK MANDIRI</t>
  </si>
  <si>
    <t>14053.006.1009.311</t>
  </si>
  <si>
    <t>03-09-1969</t>
  </si>
  <si>
    <t>GAS LPG</t>
  </si>
  <si>
    <t>14053.006.1009.312</t>
  </si>
  <si>
    <t>04-09-1982</t>
  </si>
  <si>
    <t>14053.001.1009.317</t>
  </si>
  <si>
    <t>03-01-1960</t>
  </si>
  <si>
    <t>KPU KOTA</t>
  </si>
  <si>
    <t>14053.006.1009.320</t>
  </si>
  <si>
    <t>10-04-1989</t>
  </si>
  <si>
    <t>14053.001.1009.321</t>
  </si>
  <si>
    <t>14053.001.1009.324</t>
  </si>
  <si>
    <t>17-10-1954</t>
  </si>
  <si>
    <t>14053.001.1009.327</t>
  </si>
  <si>
    <t>19-08-1991</t>
  </si>
  <si>
    <t>14053.001.1009.330</t>
  </si>
  <si>
    <t>14053.004.1009.338</t>
  </si>
  <si>
    <t>08-06-1974</t>
  </si>
  <si>
    <t>14053.001.1009.341</t>
  </si>
  <si>
    <t>02-02-1981</t>
  </si>
  <si>
    <t>SMPN 4 WONOMERTO</t>
  </si>
  <si>
    <t>14053.001.1009.349</t>
  </si>
  <si>
    <t>23-07-1998</t>
  </si>
  <si>
    <t>14053.001.1009.352</t>
  </si>
  <si>
    <t>21-05-1998</t>
  </si>
  <si>
    <t>15-04-1953</t>
  </si>
  <si>
    <t>14053.001.1009.357</t>
  </si>
  <si>
    <t>11-08-1973</t>
  </si>
  <si>
    <t>14053.003.1009.360</t>
  </si>
  <si>
    <t>16-08-1993</t>
  </si>
  <si>
    <t>14053.001.1009.393</t>
  </si>
  <si>
    <t>14053.001.1009.398</t>
  </si>
  <si>
    <t>30-06-1983</t>
  </si>
  <si>
    <t>14053.001.1009.404</t>
  </si>
  <si>
    <t>06-10-1978</t>
  </si>
  <si>
    <t>14053.001.1009.406</t>
  </si>
  <si>
    <t>09-02-1996</t>
  </si>
  <si>
    <t>14053.003.1009.409</t>
  </si>
  <si>
    <t>19-09-1986</t>
  </si>
  <si>
    <t>SDK MARIA FATIMA</t>
  </si>
  <si>
    <t>14053.006.1009.415</t>
  </si>
  <si>
    <t>16-04-1972</t>
  </si>
  <si>
    <t>14053.005.1009.417</t>
  </si>
  <si>
    <t>02-08-1973</t>
  </si>
  <si>
    <t>14053.001.1009.418</t>
  </si>
  <si>
    <t>16-01-1963</t>
  </si>
  <si>
    <t>14053.001.1009.422</t>
  </si>
  <si>
    <t>30-03-1963</t>
  </si>
  <si>
    <t>WAKER</t>
  </si>
  <si>
    <t>JAGA RUMAH DI BELAKANG RSUD</t>
  </si>
  <si>
    <t>14053.001.1009.429</t>
  </si>
  <si>
    <t>15-04-1990</t>
  </si>
  <si>
    <t>14053.005.1009.430</t>
  </si>
  <si>
    <t xml:space="preserve">RS Gatoel </t>
  </si>
  <si>
    <t>14053.002.1009.434</t>
  </si>
  <si>
    <t>16-05-1980</t>
  </si>
  <si>
    <t>14053.001.1009.444</t>
  </si>
  <si>
    <t>30-01-1989</t>
  </si>
  <si>
    <t>CLOTHING, KOST</t>
  </si>
  <si>
    <t>NINE HOOPS</t>
  </si>
  <si>
    <t>14053.003.1009.446</t>
  </si>
  <si>
    <t>14-06-1966</t>
  </si>
  <si>
    <t xml:space="preserve">TK </t>
  </si>
  <si>
    <t>14053.001.1009.447</t>
  </si>
  <si>
    <t>15-05-1989</t>
  </si>
  <si>
    <t>SDN JATI 5</t>
  </si>
  <si>
    <t>14053.001.1009.455</t>
  </si>
  <si>
    <t>06-09-1978</t>
  </si>
  <si>
    <t>14053.001.1009.465</t>
  </si>
  <si>
    <t>30-09-1978</t>
  </si>
  <si>
    <t>14053.005.1009.479</t>
  </si>
  <si>
    <t>28-06-1984</t>
  </si>
  <si>
    <t>06-03-1993</t>
  </si>
  <si>
    <t>14053.006.1009.482</t>
  </si>
  <si>
    <t>14053.003.1009.487</t>
  </si>
  <si>
    <t>31-03-1974</t>
  </si>
  <si>
    <t>14053.001.1009.490</t>
  </si>
  <si>
    <t>29-09-1983</t>
  </si>
  <si>
    <t>14053.003.1009.494</t>
  </si>
  <si>
    <t>08-06-1982</t>
  </si>
  <si>
    <t>14053.001.1009.498</t>
  </si>
  <si>
    <t>04-04-1975</t>
  </si>
  <si>
    <t>SINAR TERANG</t>
  </si>
  <si>
    <t>14053.001.1009.501</t>
  </si>
  <si>
    <t>31-07-1995</t>
  </si>
  <si>
    <t>14053.005.1009.503</t>
  </si>
  <si>
    <t>04-07-1978</t>
  </si>
  <si>
    <t>14053.001.1009.509</t>
  </si>
  <si>
    <t>09-04-1981</t>
  </si>
  <si>
    <t>14053.001.1009.514</t>
  </si>
  <si>
    <t>11-06-1960</t>
  </si>
  <si>
    <t>14053.001.1009.517</t>
  </si>
  <si>
    <t>GURU SEC</t>
  </si>
  <si>
    <t>14053.003.1009.521</t>
  </si>
  <si>
    <t>24-03-1981</t>
  </si>
  <si>
    <t>PT ANUGERAH PARMINDO LESTARI</t>
  </si>
  <si>
    <t>14053.001.1009.525</t>
  </si>
  <si>
    <t>25-03-1981</t>
  </si>
  <si>
    <t>14053.006.1009.529</t>
  </si>
  <si>
    <t>14-07-1996</t>
  </si>
  <si>
    <t>14053.001.1009.530</t>
  </si>
  <si>
    <t>23-11-1966</t>
  </si>
  <si>
    <t>14053.001.1009.532</t>
  </si>
  <si>
    <t>25-11-1988</t>
  </si>
  <si>
    <t>SOPIR DAMTREK</t>
  </si>
  <si>
    <t>14053.002.1009.540</t>
  </si>
  <si>
    <t>12-02-1986</t>
  </si>
  <si>
    <t>PT GAS</t>
  </si>
  <si>
    <t>14053.001.1009.546</t>
  </si>
  <si>
    <t>06-09-1988</t>
  </si>
  <si>
    <t>14053.002.1009.547</t>
  </si>
  <si>
    <t>17-03-1966</t>
  </si>
  <si>
    <t>MEUBEL PLAZA</t>
  </si>
  <si>
    <t>14053.001.1009.551</t>
  </si>
  <si>
    <t>01-01-1971</t>
  </si>
  <si>
    <t>ES DURIAN</t>
  </si>
  <si>
    <t>14053.004.1009.553</t>
  </si>
  <si>
    <t>14053.001.1009.555</t>
  </si>
  <si>
    <t>13-02-1960</t>
  </si>
  <si>
    <t>14053.002.1009.562</t>
  </si>
  <si>
    <t>04-01-1990</t>
  </si>
  <si>
    <t>PT GAS PLTU PAITON</t>
  </si>
  <si>
    <t>14053.003.1009.563</t>
  </si>
  <si>
    <t>01-01-1998</t>
  </si>
  <si>
    <t>14053.001.1009.565</t>
  </si>
  <si>
    <t>14053.001.1009.570</t>
  </si>
  <si>
    <t>21-08-1966</t>
  </si>
  <si>
    <t>14053.001.1009.572</t>
  </si>
  <si>
    <t>22-07-1986</t>
  </si>
  <si>
    <t>14053.001.1009.573</t>
  </si>
  <si>
    <t>22-03-1972</t>
  </si>
  <si>
    <t>14053.006.1009.578</t>
  </si>
  <si>
    <t>14053.001.1009.580</t>
  </si>
  <si>
    <t>23-03-1950</t>
  </si>
  <si>
    <t>14053.001.1009.582</t>
  </si>
  <si>
    <t>17-03-1992</t>
  </si>
  <si>
    <t>LALAPAN</t>
  </si>
  <si>
    <t>14053.001.1009.583</t>
  </si>
  <si>
    <t>14053.001.1009.607</t>
  </si>
  <si>
    <t>21-05-1982</t>
  </si>
  <si>
    <t>14053.001.1009.608</t>
  </si>
  <si>
    <t>19-07-1959</t>
  </si>
  <si>
    <t>14053.001.1009.611</t>
  </si>
  <si>
    <t>14053.001.1009.615</t>
  </si>
  <si>
    <t>09-12-1979</t>
  </si>
  <si>
    <t>SALES CIMORY</t>
  </si>
  <si>
    <t>CIMORY</t>
  </si>
  <si>
    <t>14053.002.1009.618</t>
  </si>
  <si>
    <t>18-04-1982</t>
  </si>
  <si>
    <t>TEMPE</t>
  </si>
  <si>
    <t>14053.002.1009.619</t>
  </si>
  <si>
    <t>13-11-1983</t>
  </si>
  <si>
    <t>14053.003.1009.630</t>
  </si>
  <si>
    <t>06-07-1952</t>
  </si>
  <si>
    <t>14053.003.1009.631</t>
  </si>
  <si>
    <t>14053.006.1009.636</t>
  </si>
  <si>
    <t>16-08-1979</t>
  </si>
  <si>
    <t xml:space="preserve"> ROTI</t>
  </si>
  <si>
    <t>14053.002.1009.637</t>
  </si>
  <si>
    <t>06-05-1978</t>
  </si>
  <si>
    <t>PEDAGANG AYAM</t>
  </si>
  <si>
    <t>14053.001.1009.638</t>
  </si>
  <si>
    <t>KELOMPOK BERMAIN SUMBER PACAR</t>
  </si>
  <si>
    <t>14053.001.1009.640</t>
  </si>
  <si>
    <t>14053.002.1009.649</t>
  </si>
  <si>
    <t>24-05-1994</t>
  </si>
  <si>
    <t>14053.003.1009.654</t>
  </si>
  <si>
    <t>22-06-1993</t>
  </si>
  <si>
    <t>GURU LES PRIVATE</t>
  </si>
  <si>
    <t>14053.002.1009.663</t>
  </si>
  <si>
    <t>22-11-1999</t>
  </si>
  <si>
    <t>14053.001.1009.668</t>
  </si>
  <si>
    <t>23-01-1977</t>
  </si>
  <si>
    <t>INDI GROUP</t>
  </si>
  <si>
    <t>14053.001.1009.673</t>
  </si>
  <si>
    <t>23-11-1962</t>
  </si>
  <si>
    <t>STIKES BHAKTI BANGSA</t>
  </si>
  <si>
    <t>14053.002.1009.677</t>
  </si>
  <si>
    <t>15-03-1969</t>
  </si>
  <si>
    <t>GAS</t>
  </si>
  <si>
    <t>14053.001.1009.682</t>
  </si>
  <si>
    <t>22-06-1972</t>
  </si>
  <si>
    <t>14053.001.1009.689</t>
  </si>
  <si>
    <t>07-09-1960</t>
  </si>
  <si>
    <t>12-08-1981</t>
  </si>
  <si>
    <t>14053.003.1009.699</t>
  </si>
  <si>
    <t>10-12-1961</t>
  </si>
  <si>
    <t>14053.001.1009.702</t>
  </si>
  <si>
    <t>19-01-1976</t>
  </si>
  <si>
    <t>14053.002.1009.704</t>
  </si>
  <si>
    <t>27-03-1989</t>
  </si>
  <si>
    <t>14053.002.1009.705</t>
  </si>
  <si>
    <t>03-06-1990</t>
  </si>
  <si>
    <t>14053.003.1009.711</t>
  </si>
  <si>
    <t>29-08-1969</t>
  </si>
  <si>
    <t>14053.001.1009.715</t>
  </si>
  <si>
    <t>22-01-1969</t>
  </si>
  <si>
    <t>14053.001.1009.716</t>
  </si>
  <si>
    <t>20-03-1960</t>
  </si>
  <si>
    <t>TOKO SINAR BROMO</t>
  </si>
  <si>
    <t>14053.001.1009.717</t>
  </si>
  <si>
    <t>23-10-1981</t>
  </si>
  <si>
    <t>PT UNIRAMA DUTA NIAGA</t>
  </si>
  <si>
    <t>14053.001.1009.723</t>
  </si>
  <si>
    <t>30-07-1971</t>
  </si>
  <si>
    <t>14053.002.1009.724</t>
  </si>
  <si>
    <t>01-07-1982</t>
  </si>
  <si>
    <t>BPR ANTAR PARAMA</t>
  </si>
  <si>
    <t>14053.004.1009.732</t>
  </si>
  <si>
    <t>08-07-1995</t>
  </si>
  <si>
    <t>14053.001.1009.738</t>
  </si>
  <si>
    <t>16-12-1964</t>
  </si>
  <si>
    <t>14053.001.1009.755</t>
  </si>
  <si>
    <t>01-07-1988</t>
  </si>
  <si>
    <t>14053.001.1009.761</t>
  </si>
  <si>
    <t>27-12-1982</t>
  </si>
  <si>
    <t>14053.001.1009.762</t>
  </si>
  <si>
    <t>11-12-1969</t>
  </si>
  <si>
    <t>RT KANIGARAN</t>
  </si>
  <si>
    <t>14053.003.1009.765</t>
  </si>
  <si>
    <t>14053.002.1009.767</t>
  </si>
  <si>
    <t>14053.001.1009.768</t>
  </si>
  <si>
    <t>24-09-1985</t>
  </si>
  <si>
    <t>SEC</t>
  </si>
  <si>
    <t>14053.001.1009.769</t>
  </si>
  <si>
    <t>12-11-2004</t>
  </si>
  <si>
    <t>SMPN 1 NGULING</t>
  </si>
  <si>
    <t>14053.001.1009.783</t>
  </si>
  <si>
    <t>04-02-1993</t>
  </si>
  <si>
    <t>14053.002.1009.784</t>
  </si>
  <si>
    <t>10-04-1997</t>
  </si>
  <si>
    <t>MI TARBIYATUL WATHAN</t>
  </si>
  <si>
    <t>14053.003.1009.789</t>
  </si>
  <si>
    <t>06-04-1987</t>
  </si>
  <si>
    <t>03-04-1988</t>
  </si>
  <si>
    <t>14053.001.1009.791</t>
  </si>
  <si>
    <t>25-12-1979</t>
  </si>
  <si>
    <t>PAUD SRI KUSUMA</t>
  </si>
  <si>
    <t>14053.003.1009.803</t>
  </si>
  <si>
    <t>05-07-1990</t>
  </si>
  <si>
    <t>14053.003.1009.806</t>
  </si>
  <si>
    <t>29-11-1977</t>
  </si>
  <si>
    <t>14053.001.1009.807</t>
  </si>
  <si>
    <t>27-11-1981</t>
  </si>
  <si>
    <t>14053.001.1009.808</t>
  </si>
  <si>
    <t>14053.002.1009.809</t>
  </si>
  <si>
    <t>JUAL BELI TANAH</t>
  </si>
  <si>
    <t>14053.001.1009.810</t>
  </si>
  <si>
    <t>11-03-1968</t>
  </si>
  <si>
    <t>RIAS PENGANTIN</t>
  </si>
  <si>
    <t>14053.002.1009.815</t>
  </si>
  <si>
    <t>16-03-1974</t>
  </si>
  <si>
    <t>14053.002.1009.816</t>
  </si>
  <si>
    <t>14053.002.1009.817</t>
  </si>
  <si>
    <t>11-10-1983</t>
  </si>
  <si>
    <t>14053.006.1009.819</t>
  </si>
  <si>
    <t>14-06-1984</t>
  </si>
  <si>
    <t>14053.006.1009.820</t>
  </si>
  <si>
    <t>25-01-1964</t>
  </si>
  <si>
    <t>14053.003.1009.823</t>
  </si>
  <si>
    <t>JUAL MPON MPON</t>
  </si>
  <si>
    <t>14053.001.1009.824</t>
  </si>
  <si>
    <t>18-07-1967</t>
  </si>
  <si>
    <t>14053.003.1009.828</t>
  </si>
  <si>
    <t>17-01-1956</t>
  </si>
  <si>
    <t>14053.006.1009.830</t>
  </si>
  <si>
    <t>24-04-1998</t>
  </si>
  <si>
    <t>STAN</t>
  </si>
  <si>
    <t>14053.002.1009.836</t>
  </si>
  <si>
    <t>01-07-1980</t>
  </si>
  <si>
    <t>14053.001.1009.838</t>
  </si>
  <si>
    <t>21-12-1992</t>
  </si>
  <si>
    <t>14053.006.1009.841</t>
  </si>
  <si>
    <t>14053.002.1009.843</t>
  </si>
  <si>
    <t>14053.006.1009.846</t>
  </si>
  <si>
    <t>30-05-1972</t>
  </si>
  <si>
    <t>14053.001.1009.848</t>
  </si>
  <si>
    <t>13-09-1971</t>
  </si>
  <si>
    <t>PAUD DARUSALAM</t>
  </si>
  <si>
    <t>14053.001.1009.850</t>
  </si>
  <si>
    <t>20-04-1986</t>
  </si>
  <si>
    <t>14053.001.1009.854</t>
  </si>
  <si>
    <t>01-10-1990</t>
  </si>
  <si>
    <t>14053.001.1009.859</t>
  </si>
  <si>
    <t>13-12-1976</t>
  </si>
  <si>
    <t>14053.001.1009.869</t>
  </si>
  <si>
    <t>22-08-1999</t>
  </si>
  <si>
    <t>14053.005.1009.873</t>
  </si>
  <si>
    <t>14053.003.1009.878</t>
  </si>
  <si>
    <t>14053.001.1009.879</t>
  </si>
  <si>
    <t>02-04-1977</t>
  </si>
  <si>
    <t>07-04-1974</t>
  </si>
  <si>
    <t>14053.003.1009.882</t>
  </si>
  <si>
    <t>14053.001.1009.883</t>
  </si>
  <si>
    <t>04-07-1968</t>
  </si>
  <si>
    <t>WARUNG DI PELABUHAN</t>
  </si>
  <si>
    <t>17-09-1996</t>
  </si>
  <si>
    <t>14053.001.1009.890</t>
  </si>
  <si>
    <t>17-06-1988</t>
  </si>
  <si>
    <t>PT SLAMET MOTOR</t>
  </si>
  <si>
    <t>14053.003.1009.891</t>
  </si>
  <si>
    <t>06-08-1992</t>
  </si>
  <si>
    <t>14053.002.1009.897</t>
  </si>
  <si>
    <t>14053.001.1009.899</t>
  </si>
  <si>
    <t>29-12-1960</t>
  </si>
  <si>
    <t>14053.002.1009.901</t>
  </si>
  <si>
    <t>14-05-1974</t>
  </si>
  <si>
    <t>SDN TANJUNG</t>
  </si>
  <si>
    <t>14053.002.1009.902</t>
  </si>
  <si>
    <t>PUSKESMAS MARON</t>
  </si>
  <si>
    <t>14053.001.1009.906</t>
  </si>
  <si>
    <t>15-11-1984</t>
  </si>
  <si>
    <t>PT RODA SAKTI SURYA MEGAH</t>
  </si>
  <si>
    <t>14053.001.1009.907</t>
  </si>
  <si>
    <t>13-05-1976</t>
  </si>
  <si>
    <t>14053.001.1009.909</t>
  </si>
  <si>
    <t>14053.002.1009.911</t>
  </si>
  <si>
    <t>25-07-1962</t>
  </si>
  <si>
    <t>14053.002.1009.912</t>
  </si>
  <si>
    <t>14053.001.1009.923</t>
  </si>
  <si>
    <t>GEREJA KRISTEN JAWI WETAN</t>
  </si>
  <si>
    <t>14053.002.1009.924</t>
  </si>
  <si>
    <t>26-06-1983</t>
  </si>
  <si>
    <t>MA. NU KRAKSAAN</t>
  </si>
  <si>
    <t>12-05-1981</t>
  </si>
  <si>
    <t>14053.001.1009.929</t>
  </si>
  <si>
    <t>31-08-1963</t>
  </si>
  <si>
    <t>14053.002.1009.934</t>
  </si>
  <si>
    <t>26-09-1986</t>
  </si>
  <si>
    <t>14053.002.1009.935</t>
  </si>
  <si>
    <t>KERUDUNG, JILBAB</t>
  </si>
  <si>
    <t>14053.005.1009.937</t>
  </si>
  <si>
    <t>14053.001.1009.939</t>
  </si>
  <si>
    <t>PEDAGANG KUE BASAH</t>
  </si>
  <si>
    <t>14053.001.1009.943</t>
  </si>
  <si>
    <t>10-05-1972</t>
  </si>
  <si>
    <t>14053.002.1009.944</t>
  </si>
  <si>
    <t>14053.001.1009.947</t>
  </si>
  <si>
    <t>16-08-1995</t>
  </si>
  <si>
    <t>14053.001.1009.950</t>
  </si>
  <si>
    <t>KANTOR NOTARIS IKA</t>
  </si>
  <si>
    <t>14053.001.1009.955</t>
  </si>
  <si>
    <t>14-02-1969</t>
  </si>
  <si>
    <t>MITRA GOJEK</t>
  </si>
  <si>
    <t>GOJEK</t>
  </si>
  <si>
    <t>14053.001.1009.961</t>
  </si>
  <si>
    <t>12-04-1980</t>
  </si>
  <si>
    <t>14053.002.1009.963</t>
  </si>
  <si>
    <t>14-08-1991</t>
  </si>
  <si>
    <t>PT. MAHACEEL</t>
  </si>
  <si>
    <t>14053.003.1009.964</t>
  </si>
  <si>
    <t>02-07-1986</t>
  </si>
  <si>
    <t>14053.001.1009.971</t>
  </si>
  <si>
    <t>CBEZT FRIED CHIKEN</t>
  </si>
  <si>
    <t>14053.001.1009.972</t>
  </si>
  <si>
    <t>PT LIKYNDO ADI WARDANA</t>
  </si>
  <si>
    <t>14053.003.1009.974</t>
  </si>
  <si>
    <t>12-12-1961</t>
  </si>
  <si>
    <t>14053.001.1009.978</t>
  </si>
  <si>
    <t>PT INDOMARCO ADI PRIMA</t>
  </si>
  <si>
    <t>14053.001.1009.980</t>
  </si>
  <si>
    <t>19-08-1968</t>
  </si>
  <si>
    <t>14053.001.1009.982</t>
  </si>
  <si>
    <t>PT RUTAN</t>
  </si>
  <si>
    <t>14053.003.1009.983</t>
  </si>
  <si>
    <t>07-08-1976</t>
  </si>
  <si>
    <t>14053.001.1009.986</t>
  </si>
  <si>
    <t>10-01-1959</t>
  </si>
  <si>
    <t>SDN SUKABUMI 7</t>
  </si>
  <si>
    <t>14053.002.1009.990</t>
  </si>
  <si>
    <t>13-02-1993</t>
  </si>
  <si>
    <t>J &amp; T EXPRESS</t>
  </si>
  <si>
    <t>14053.005.1009.993</t>
  </si>
  <si>
    <t>12-07-1978</t>
  </si>
  <si>
    <t>29-01-1973</t>
  </si>
  <si>
    <t>14053.001.1010.003</t>
  </si>
  <si>
    <t>10-08-1978</t>
  </si>
  <si>
    <t>14053.001.1010.004</t>
  </si>
  <si>
    <t>24-09-1965</t>
  </si>
  <si>
    <t>14053.003.1010.009</t>
  </si>
  <si>
    <t>03-12-1997</t>
  </si>
  <si>
    <t>14053.001.1010.013</t>
  </si>
  <si>
    <t>01-12-1994</t>
  </si>
  <si>
    <t>14053.004.1010.014</t>
  </si>
  <si>
    <t>PENJUAL LELE</t>
  </si>
  <si>
    <t>14053.003.1010.028</t>
  </si>
  <si>
    <t>OPTIK</t>
  </si>
  <si>
    <t>OPTIK DUTA LENSA</t>
  </si>
  <si>
    <t>14053.001.1010.032</t>
  </si>
  <si>
    <t>14053.006.1010.033</t>
  </si>
  <si>
    <t>20-07-1989</t>
  </si>
  <si>
    <t>SPESIALIS GIGI</t>
  </si>
  <si>
    <t>14053.001.1010.051</t>
  </si>
  <si>
    <t>04-06-1991</t>
  </si>
  <si>
    <t>BPBD SITUBONDO</t>
  </si>
  <si>
    <t>14053.001.1010.053</t>
  </si>
  <si>
    <t>14053.005.1010.057</t>
  </si>
  <si>
    <t>PT WINGS SURYA</t>
  </si>
  <si>
    <t>14053.004.1010.058</t>
  </si>
  <si>
    <t>KETAPANG BANYUWANGI</t>
  </si>
  <si>
    <t>14053.004.1010.059</t>
  </si>
  <si>
    <t>16-04-1954</t>
  </si>
  <si>
    <t>14053.001.1010.060</t>
  </si>
  <si>
    <t>15-07-1995</t>
  </si>
  <si>
    <t>PENGASUH ANAK</t>
  </si>
  <si>
    <t>ASRAMA SANTO YOSEPH</t>
  </si>
  <si>
    <t>14053.003.1010.062</t>
  </si>
  <si>
    <t>09-05-1965</t>
  </si>
  <si>
    <t>14053.001.1010.066</t>
  </si>
  <si>
    <t>05-11-1993</t>
  </si>
  <si>
    <t>NOTARIS-PPAT IKA HANDAYANI, SH, MKN</t>
  </si>
  <si>
    <t>14053.001.1010.069</t>
  </si>
  <si>
    <t>09-12-1978</t>
  </si>
  <si>
    <t>KANTOR NOTARIS DAN PPAT IKA HANDAYANI, SH, MKN</t>
  </si>
  <si>
    <t>14053.003.1010.072</t>
  </si>
  <si>
    <t>14053.003.1010.073</t>
  </si>
  <si>
    <t>12-06-1966</t>
  </si>
  <si>
    <t>14053.003.1010.074</t>
  </si>
  <si>
    <t>16-07-1983</t>
  </si>
  <si>
    <t>14053.003.1010.076</t>
  </si>
  <si>
    <t>06-10-1996</t>
  </si>
  <si>
    <t>14053.003.1010.077</t>
  </si>
  <si>
    <t>15-12-1987</t>
  </si>
  <si>
    <t>14053.003.1010.084</t>
  </si>
  <si>
    <t>22-07-1963</t>
  </si>
  <si>
    <t>14053.003.1010.085</t>
  </si>
  <si>
    <t>SD ALETHEA</t>
  </si>
  <si>
    <t>14053.001.1010.086</t>
  </si>
  <si>
    <t>12-11-1962</t>
  </si>
  <si>
    <t>SDN JATI 5 PROBOLINGGO</t>
  </si>
  <si>
    <t>14053.002.1010.088</t>
  </si>
  <si>
    <t>05-03-1978</t>
  </si>
  <si>
    <t>14053.003.1010.100</t>
  </si>
  <si>
    <t>23-02-2001</t>
  </si>
  <si>
    <t>14053.003.1010.101</t>
  </si>
  <si>
    <t>21-01-1970</t>
  </si>
  <si>
    <t>KEBUN BIBIT JATI</t>
  </si>
  <si>
    <t>14053.003.1010.106</t>
  </si>
  <si>
    <t>30-12-1978</t>
  </si>
  <si>
    <t>PENJAGA TOKO</t>
  </si>
  <si>
    <t>PRIMADONA</t>
  </si>
  <si>
    <t>14053.003.1010.108</t>
  </si>
  <si>
    <t>14053.003.1010.109</t>
  </si>
  <si>
    <t>02-10-1988</t>
  </si>
  <si>
    <t>14053.002.1010.119</t>
  </si>
  <si>
    <t>20-11-1965</t>
  </si>
  <si>
    <t>14053.003.1010.122</t>
  </si>
  <si>
    <t>ROTI BAKAR DAN MARTABAK MANIS</t>
  </si>
  <si>
    <t>14053.003.1010.134</t>
  </si>
  <si>
    <t>11-08-1975</t>
  </si>
  <si>
    <t>14053.002.1010.136</t>
  </si>
  <si>
    <t>22-01-1975</t>
  </si>
  <si>
    <t>14053.005.1010.139</t>
  </si>
  <si>
    <t>29-04-1995</t>
  </si>
  <si>
    <t>VIVO SMARTPHONE</t>
  </si>
  <si>
    <t>14053.001.1010.140</t>
  </si>
  <si>
    <t>24-02-1979</t>
  </si>
  <si>
    <t>KULINER KERIPIK</t>
  </si>
  <si>
    <t>14053.001.1010.144</t>
  </si>
  <si>
    <t>18-01-1988</t>
  </si>
  <si>
    <t>INDUSTRI ELEKTRONIK</t>
  </si>
  <si>
    <t>PT HUAWEI</t>
  </si>
  <si>
    <t>14053.001.1010.146</t>
  </si>
  <si>
    <t>05-08-1975</t>
  </si>
  <si>
    <t>TKK MATERDEI</t>
  </si>
  <si>
    <t>14053.001.1010.152</t>
  </si>
  <si>
    <t>03-12-1974</t>
  </si>
  <si>
    <t>SDK MATERDEI</t>
  </si>
  <si>
    <t>14053.001.1010.153</t>
  </si>
  <si>
    <t>15-12-1982</t>
  </si>
  <si>
    <t>14053.001.1010.162</t>
  </si>
  <si>
    <t>07-07-1966</t>
  </si>
  <si>
    <t>14053.001.1010.165</t>
  </si>
  <si>
    <t>18-06-1984</t>
  </si>
  <si>
    <t>TK TUNAS BHAKTI</t>
  </si>
  <si>
    <t>14053.001.1010.167</t>
  </si>
  <si>
    <t>17-08-1972</t>
  </si>
  <si>
    <t>14053.001.1010.171</t>
  </si>
  <si>
    <t>13-08-1996</t>
  </si>
  <si>
    <t>24-09-2005</t>
  </si>
  <si>
    <t>PELAJAR</t>
  </si>
  <si>
    <t>14053.001.1010.181</t>
  </si>
  <si>
    <t>02-04-1975</t>
  </si>
  <si>
    <t>14053.001.1010.189</t>
  </si>
  <si>
    <t>22-12-1982</t>
  </si>
  <si>
    <t>TOKO KUNANG KUNANG</t>
  </si>
  <si>
    <t>14053.001.1010.200</t>
  </si>
  <si>
    <t>18-01-1968</t>
  </si>
  <si>
    <t>14053.001.1010.202</t>
  </si>
  <si>
    <t>13-12-1983</t>
  </si>
  <si>
    <t>14053.004.1010.208</t>
  </si>
  <si>
    <t>Cak Pay Racing</t>
  </si>
  <si>
    <t>14053.001.1010.217</t>
  </si>
  <si>
    <t>29-12-1959</t>
  </si>
  <si>
    <t>14053.005.1010.220</t>
  </si>
  <si>
    <t>12-07-2007</t>
  </si>
  <si>
    <t>14053.001.1010.226</t>
  </si>
  <si>
    <t>08-02-1992</t>
  </si>
  <si>
    <t>14053.001.1010.227</t>
  </si>
  <si>
    <t>27-06-1960</t>
  </si>
  <si>
    <t>Konsultan</t>
  </si>
  <si>
    <t>PERPAJAKAN</t>
  </si>
  <si>
    <t>KANTOR AKUNTAN PUBLIK</t>
  </si>
  <si>
    <t>14053.002.1010.230</t>
  </si>
  <si>
    <t>18-07-1973</t>
  </si>
  <si>
    <t>14053.001.1010.237</t>
  </si>
  <si>
    <t>28-07-1985</t>
  </si>
  <si>
    <t>RSUD DR MOCH SHALEH</t>
  </si>
  <si>
    <t>14053.001.1010.243</t>
  </si>
  <si>
    <t>12-03-1975</t>
  </si>
  <si>
    <t>PENTOL</t>
  </si>
  <si>
    <t>14053.001.1010.244</t>
  </si>
  <si>
    <t>15-01-1982</t>
  </si>
  <si>
    <t>KELURAHAN SUKOHARJO</t>
  </si>
  <si>
    <t>14053.001.1010.245</t>
  </si>
  <si>
    <t>12-03-1961</t>
  </si>
  <si>
    <t>TOUR &amp; TRAVEL</t>
  </si>
  <si>
    <t>KUSUMA TRAVEL</t>
  </si>
  <si>
    <t>30-07-1999</t>
  </si>
  <si>
    <t>14053.001.1010.249</t>
  </si>
  <si>
    <t>09-12-1991</t>
  </si>
  <si>
    <t>14053.001.1010.252</t>
  </si>
  <si>
    <t>17-07-1966</t>
  </si>
  <si>
    <t>DEPOT ANUGERAH</t>
  </si>
  <si>
    <t>14053.002.1010.261</t>
  </si>
  <si>
    <t>29-12-1997</t>
  </si>
  <si>
    <t>14053.004.1010.262</t>
  </si>
  <si>
    <t>PASANG TEROP</t>
  </si>
  <si>
    <t>14053.002.1010.263</t>
  </si>
  <si>
    <t>23-04-2003</t>
  </si>
  <si>
    <t>14053.003.1010.269</t>
  </si>
  <si>
    <t>27-06-1949</t>
  </si>
  <si>
    <t>14053.004.1010.270</t>
  </si>
  <si>
    <t>09-06-1992</t>
  </si>
  <si>
    <t>14053.001.1010.272</t>
  </si>
  <si>
    <t>14053.001.1010.275</t>
  </si>
  <si>
    <t>29-12-1981</t>
  </si>
  <si>
    <t>14053.003.1010.278</t>
  </si>
  <si>
    <t>04-03-1976</t>
  </si>
  <si>
    <t>14053.001.1010.284</t>
  </si>
  <si>
    <t>07-09-1995</t>
  </si>
  <si>
    <t>KSP BINTANG MANDIRI</t>
  </si>
  <si>
    <t>14053.003.1010.287</t>
  </si>
  <si>
    <t xml:space="preserve">SUSTERAN SPM </t>
  </si>
  <si>
    <t>14053.001.1010.294</t>
  </si>
  <si>
    <t>18-08-1994</t>
  </si>
  <si>
    <t>ANUGERAH MOTOR</t>
  </si>
  <si>
    <t>14053.003.1010.295</t>
  </si>
  <si>
    <t>23-01-1978</t>
  </si>
  <si>
    <t>14053.001.1010.298</t>
  </si>
  <si>
    <t>04-04-1972</t>
  </si>
  <si>
    <t>14053.001.1010.299</t>
  </si>
  <si>
    <t>28-03-1973</t>
  </si>
  <si>
    <t>14053.001.1010.301</t>
  </si>
  <si>
    <t>14053.001.1010.306</t>
  </si>
  <si>
    <t>05-06-1946</t>
  </si>
  <si>
    <t>14053.001.1010.316</t>
  </si>
  <si>
    <t>31-08-1988</t>
  </si>
  <si>
    <t>RAYA KARYA RAJAWALI</t>
  </si>
  <si>
    <t>14053.001.1010.322</t>
  </si>
  <si>
    <t>PENGADILAN NEGRI</t>
  </si>
  <si>
    <t>14053.003.1010.325</t>
  </si>
  <si>
    <t>06-03-1975</t>
  </si>
  <si>
    <t>14053.001.1010.330</t>
  </si>
  <si>
    <t>PEMKOT PROBOLINGGO</t>
  </si>
  <si>
    <t>14053.002.1010.331</t>
  </si>
  <si>
    <t>14053.001.1010.340</t>
  </si>
  <si>
    <t>08-08-1966</t>
  </si>
  <si>
    <t>14053.003.1010.341</t>
  </si>
  <si>
    <t>06-11-1955</t>
  </si>
  <si>
    <t>PENSIUN</t>
  </si>
  <si>
    <t>PUSLIT KAKAO</t>
  </si>
  <si>
    <t>14053.001.1010.343</t>
  </si>
  <si>
    <t>14053.001.1010.344</t>
  </si>
  <si>
    <t>04-09-1997</t>
  </si>
  <si>
    <t>14053.002.1010.347</t>
  </si>
  <si>
    <t>14053.001.1010.350</t>
  </si>
  <si>
    <t>07-01-1998</t>
  </si>
  <si>
    <t>14053.001.1010.355</t>
  </si>
  <si>
    <t>04-11-1990</t>
  </si>
  <si>
    <t>DINAS LINGKUNGAN HIDUP</t>
  </si>
  <si>
    <t>14053.003.1010.356</t>
  </si>
  <si>
    <t>12-08-1995</t>
  </si>
  <si>
    <t>14053.001.1010.358</t>
  </si>
  <si>
    <t>16-02-1963</t>
  </si>
  <si>
    <t>KEAGAMAAN</t>
  </si>
  <si>
    <t>GEREJA KRISTEN GPIB</t>
  </si>
  <si>
    <t>14053.001.1010.363</t>
  </si>
  <si>
    <t>RIAS, SEWA BAJU DAN KOSMETIK</t>
  </si>
  <si>
    <t>14053.005.1010.369</t>
  </si>
  <si>
    <t>18-06-1996</t>
  </si>
  <si>
    <t>30-11-1974</t>
  </si>
  <si>
    <t>MUSIK</t>
  </si>
  <si>
    <t>14053.006.1010.375</t>
  </si>
  <si>
    <t>21-11-1988</t>
  </si>
  <si>
    <t>PAUD STAR KIDS</t>
  </si>
  <si>
    <t>14053.001.1010.376</t>
  </si>
  <si>
    <t>17-04-1980</t>
  </si>
  <si>
    <t>14053.001.1010.379</t>
  </si>
  <si>
    <t>27-08-1983</t>
  </si>
  <si>
    <t>18-06-1968</t>
  </si>
  <si>
    <t>14053.001.1010.386</t>
  </si>
  <si>
    <t>04-05-1984</t>
  </si>
  <si>
    <t>CV SINAR TERANG</t>
  </si>
  <si>
    <t>14053.001.1010.393</t>
  </si>
  <si>
    <t>18-09-1969</t>
  </si>
  <si>
    <t>14053.002.1010.400</t>
  </si>
  <si>
    <t>25-09-1984</t>
  </si>
  <si>
    <t>TEKNOLOGI</t>
  </si>
  <si>
    <t>14053.001.1010.405</t>
  </si>
  <si>
    <t>23-06-1971</t>
  </si>
  <si>
    <t>14053.006.1010.408</t>
  </si>
  <si>
    <t>18-03-1977</t>
  </si>
  <si>
    <t>AIR MINERAL</t>
  </si>
  <si>
    <t>14053.006.1010.410</t>
  </si>
  <si>
    <t>08-07-1981</t>
  </si>
  <si>
    <t>14053.006.1010.411</t>
  </si>
  <si>
    <t>14-10-1959</t>
  </si>
  <si>
    <t>SERAYU GRAFIKA</t>
  </si>
  <si>
    <t>14053.001.1010.413</t>
  </si>
  <si>
    <t>06-09-1998</t>
  </si>
  <si>
    <t>14053.001.1010.416</t>
  </si>
  <si>
    <t xml:space="preserve">CLOTHING </t>
  </si>
  <si>
    <t>14053.001.1010.418</t>
  </si>
  <si>
    <t>14053.001.1010.419</t>
  </si>
  <si>
    <t>26-08-1991</t>
  </si>
  <si>
    <t>SMPK SANTA MARIA MALANG 1</t>
  </si>
  <si>
    <t>04-06-1979</t>
  </si>
  <si>
    <t>14053.001.1010.426</t>
  </si>
  <si>
    <t>03-04-1979</t>
  </si>
  <si>
    <t>14053.001.1010.428</t>
  </si>
  <si>
    <t>25-09-1998</t>
  </si>
  <si>
    <t>POLITEKNIK NEGERI JEMBER</t>
  </si>
  <si>
    <t>14053.001.1010.431</t>
  </si>
  <si>
    <t>21-11-1977</t>
  </si>
  <si>
    <t>14053.001.1010.435</t>
  </si>
  <si>
    <t>22-09-1971</t>
  </si>
  <si>
    <t>14053.006.1010.440</t>
  </si>
  <si>
    <t>27-07-1976</t>
  </si>
  <si>
    <t>14053.004.1010.451</t>
  </si>
  <si>
    <t>02-11-1982</t>
  </si>
  <si>
    <t>WARUNG KOPI HO</t>
  </si>
  <si>
    <t>14053.002.1010.452</t>
  </si>
  <si>
    <t>11-03-1994</t>
  </si>
  <si>
    <t>PT PLTU</t>
  </si>
  <si>
    <t>14053.001.1010.454</t>
  </si>
  <si>
    <t>05-02-1980</t>
  </si>
  <si>
    <t>14053.005.1010.472</t>
  </si>
  <si>
    <t>27-10-1970</t>
  </si>
  <si>
    <t>CV FERTILINDO AGROLESTARI</t>
  </si>
  <si>
    <t>14053.005.1010.475</t>
  </si>
  <si>
    <t>11-03-1977</t>
  </si>
  <si>
    <t>14053.001.1010.479</t>
  </si>
  <si>
    <t>30-04-1978</t>
  </si>
  <si>
    <t>KWARTIR CABANG GERAKAN PRAMUKA</t>
  </si>
  <si>
    <t>14053.003.1010.485</t>
  </si>
  <si>
    <t>01-01-1965</t>
  </si>
  <si>
    <t>14053.002.1010.487</t>
  </si>
  <si>
    <t>14053.001.1010.488</t>
  </si>
  <si>
    <t>21-04-1992</t>
  </si>
  <si>
    <t>SATWA</t>
  </si>
  <si>
    <t>RENECO</t>
  </si>
  <si>
    <t>14053.003.1010.493</t>
  </si>
  <si>
    <t>10-11-1984</t>
  </si>
  <si>
    <t>14053.001.1010.496</t>
  </si>
  <si>
    <t>13-03-1985</t>
  </si>
  <si>
    <t>KWARCAB PRAMUKA</t>
  </si>
  <si>
    <t>14053.002.1010.498</t>
  </si>
  <si>
    <t>14053.001.1010.499</t>
  </si>
  <si>
    <t>19-08-1992</t>
  </si>
  <si>
    <t>MINUMAN</t>
  </si>
  <si>
    <t>JUAL MINUMAN ES BERSAMA BU NUR FITRIA</t>
  </si>
  <si>
    <t>14053.006.1010.500</t>
  </si>
  <si>
    <t xml:space="preserve">SERAYU </t>
  </si>
  <si>
    <t>14053.002.1010.505</t>
  </si>
  <si>
    <t>22-04-1965</t>
  </si>
  <si>
    <t>KELURAHAN KANDANG JATI KULON</t>
  </si>
  <si>
    <t>14053.001.1010.512</t>
  </si>
  <si>
    <t>15-02-1981</t>
  </si>
  <si>
    <t>14053.001.1010.520</t>
  </si>
  <si>
    <t>08-06-1986</t>
  </si>
  <si>
    <t>TK PKK KUNCUP HARAPAN</t>
  </si>
  <si>
    <t>14053.003.1010.524</t>
  </si>
  <si>
    <t>25-08-1973</t>
  </si>
  <si>
    <t>DEPOT VIVI</t>
  </si>
  <si>
    <t>DEPOT NEW VIVI</t>
  </si>
  <si>
    <t>14053.004.1010.527</t>
  </si>
  <si>
    <t>18-09-2005</t>
  </si>
  <si>
    <t>14053.001.1010.531</t>
  </si>
  <si>
    <t>15-03-1988</t>
  </si>
  <si>
    <t>14053.001.1010.535</t>
  </si>
  <si>
    <t>15-03-1989</t>
  </si>
  <si>
    <t>14053.001.1010.537</t>
  </si>
  <si>
    <t>14053.001.1010.538</t>
  </si>
  <si>
    <t>18-03-1962</t>
  </si>
  <si>
    <t>CAFE BELL BAR</t>
  </si>
  <si>
    <t>14053.004.1010.541</t>
  </si>
  <si>
    <t>07-09-1989</t>
  </si>
  <si>
    <t>27-08-1997</t>
  </si>
  <si>
    <t>WAROENG KENCUR</t>
  </si>
  <si>
    <t>14053.001.1010.545</t>
  </si>
  <si>
    <t>SINAR JAYA</t>
  </si>
  <si>
    <t>14053.001.1010.550</t>
  </si>
  <si>
    <t>26-02-1986</t>
  </si>
  <si>
    <t>14053.005.1010.553</t>
  </si>
  <si>
    <t>05-04-2004</t>
  </si>
  <si>
    <t>14053.005.1010.554</t>
  </si>
  <si>
    <t>28-05-1969</t>
  </si>
  <si>
    <t>14053.006.1016.319</t>
  </si>
  <si>
    <t>06-03-1976</t>
  </si>
  <si>
    <t>01-06-1971</t>
  </si>
  <si>
    <t>12-05-1958</t>
  </si>
  <si>
    <t>14053.001.1016.752</t>
  </si>
  <si>
    <t>20-08-1998</t>
  </si>
  <si>
    <t>14053.002.1016.755</t>
  </si>
  <si>
    <t>TANI</t>
  </si>
  <si>
    <t>14053.001.1016.756</t>
  </si>
  <si>
    <t>14053.001.1016.762</t>
  </si>
  <si>
    <t>14-12-1997</t>
  </si>
  <si>
    <t>BIRO JASA</t>
  </si>
  <si>
    <t>14053.002.1016.765</t>
  </si>
  <si>
    <t>14053.001.1016.773</t>
  </si>
  <si>
    <t>08-09-1957</t>
  </si>
  <si>
    <t>14053.001.1016.775</t>
  </si>
  <si>
    <t>28-08-1985</t>
  </si>
  <si>
    <t>PROGRAM KELUARGA HARAPAN</t>
  </si>
  <si>
    <t>14053.001.1016.777</t>
  </si>
  <si>
    <t>05-12-1972</t>
  </si>
  <si>
    <t>14053.001.1016.779</t>
  </si>
  <si>
    <t>15-06-1995</t>
  </si>
  <si>
    <t>14053.003.1016.779</t>
  </si>
  <si>
    <t>21-05-1984</t>
  </si>
  <si>
    <t>14053.001.1016.784</t>
  </si>
  <si>
    <t>09-04-1989</t>
  </si>
  <si>
    <t>14053.002.1016.793</t>
  </si>
  <si>
    <t>13-04-1988</t>
  </si>
  <si>
    <t>DINAS PENDIDIKAN SMPN 4</t>
  </si>
  <si>
    <t>14053.006.1016.796</t>
  </si>
  <si>
    <t>20-10-1942</t>
  </si>
  <si>
    <t>14053.001.1016.893</t>
  </si>
  <si>
    <t>14053.001.1016.894</t>
  </si>
  <si>
    <t>16-07-1951</t>
  </si>
  <si>
    <t>14053.001.1016.896</t>
  </si>
  <si>
    <t>06-08-1982</t>
  </si>
  <si>
    <t>TOKO PONSEL</t>
  </si>
  <si>
    <t>14053.003.1016.897</t>
  </si>
  <si>
    <t>14053.001.1016.898</t>
  </si>
  <si>
    <t>PT. G4S</t>
  </si>
  <si>
    <t>16-04-1973</t>
  </si>
  <si>
    <t>14053.006.1016.907</t>
  </si>
  <si>
    <t>19-11-1984</t>
  </si>
  <si>
    <t>14053.002.1016.908</t>
  </si>
  <si>
    <t>18-09-1991</t>
  </si>
  <si>
    <t>14053.006.1016.914</t>
  </si>
  <si>
    <t>25-08-1997</t>
  </si>
  <si>
    <t>14053.002.1016.918</t>
  </si>
  <si>
    <t>21-01-1978</t>
  </si>
  <si>
    <t>14053.003.1016.921</t>
  </si>
  <si>
    <t>30-08-1960</t>
  </si>
  <si>
    <t>JUAL TELA/UBI</t>
  </si>
  <si>
    <t>PASAR SABTUAN</t>
  </si>
  <si>
    <t>14053.006.1016.922</t>
  </si>
  <si>
    <t xml:space="preserve">SERAYU GRAFIKA </t>
  </si>
  <si>
    <t>14053.002.1016.924</t>
  </si>
  <si>
    <t>14053.004.1016.927</t>
  </si>
  <si>
    <t>06-03-1973</t>
  </si>
  <si>
    <t>MASJID BAITULLOH ROGOJAMPI</t>
  </si>
  <si>
    <t>14053.001.1016.931</t>
  </si>
  <si>
    <t>12-07-1976</t>
  </si>
  <si>
    <t>PERDAGANGAN PASIR</t>
  </si>
  <si>
    <t>14053.001.1016.932</t>
  </si>
  <si>
    <t>18-04-1990</t>
  </si>
  <si>
    <t>PT MAYORA GROUP</t>
  </si>
  <si>
    <t>14053.001.1016.938</t>
  </si>
  <si>
    <t>05-02-1988</t>
  </si>
  <si>
    <t>PABRIK TEKSTIL</t>
  </si>
  <si>
    <t>PT ERATEX DJAJA TBK</t>
  </si>
  <si>
    <t>14053.003.1016.940</t>
  </si>
  <si>
    <t>15-09-1987</t>
  </si>
  <si>
    <t>RS JEMBER KLINIK</t>
  </si>
  <si>
    <t>14053.001.1016.941</t>
  </si>
  <si>
    <t>16-06-1978</t>
  </si>
  <si>
    <t>JIMMY ELECTRONIC</t>
  </si>
  <si>
    <t>14053.001.1016.946</t>
  </si>
  <si>
    <t>01-10-1980</t>
  </si>
  <si>
    <t>14053.001.1016.947</t>
  </si>
  <si>
    <t>22-02-1969</t>
  </si>
  <si>
    <t>14053.001.1016.949</t>
  </si>
  <si>
    <t>23-09-1989</t>
  </si>
  <si>
    <t>MAKANAN DAN MINUMAN</t>
  </si>
  <si>
    <t>14053.006.1016.954</t>
  </si>
  <si>
    <t>08-06-1991</t>
  </si>
  <si>
    <t>14053.006.1016.956</t>
  </si>
  <si>
    <t>14053.003.1016.962</t>
  </si>
  <si>
    <t>14053.001.1016.965</t>
  </si>
  <si>
    <t>13-08-1964</t>
  </si>
  <si>
    <t>SMPN 1</t>
  </si>
  <si>
    <t>14053.001.1016.975</t>
  </si>
  <si>
    <t>20-03-1974</t>
  </si>
  <si>
    <t>EKONOMAT SPM</t>
  </si>
  <si>
    <t>PROVINSIALAT SPM</t>
  </si>
  <si>
    <t>14053.001.1016.977</t>
  </si>
  <si>
    <t>30-11-1969</t>
  </si>
  <si>
    <t>14053.001.1016.978</t>
  </si>
  <si>
    <t>12-10-1979</t>
  </si>
  <si>
    <t>14053.001.1016.980</t>
  </si>
  <si>
    <t>28-12-1989</t>
  </si>
  <si>
    <t>14053.003.1016.980</t>
  </si>
  <si>
    <t>10-12-1951</t>
  </si>
  <si>
    <t>MLIJO</t>
  </si>
  <si>
    <t>14053.004.1016.983</t>
  </si>
  <si>
    <t>PUSKESMAS SINGOTRUNAN</t>
  </si>
  <si>
    <t>14053.004.1016.984</t>
  </si>
  <si>
    <t>23-08-1984</t>
  </si>
  <si>
    <t>14053.002.1016.988</t>
  </si>
  <si>
    <t>SAREANG CELL</t>
  </si>
  <si>
    <t>14053.002.1016.990</t>
  </si>
  <si>
    <t>13-01-1959</t>
  </si>
  <si>
    <t>14053.002.1016.991</t>
  </si>
  <si>
    <t>13-12-1973</t>
  </si>
  <si>
    <t>DINAS AGAMA</t>
  </si>
  <si>
    <t>KANTOR URUSAN AGAMA</t>
  </si>
  <si>
    <t>14053.002.1016.992</t>
  </si>
  <si>
    <t>16-05-2005</t>
  </si>
  <si>
    <t>14053.003.1016.993</t>
  </si>
  <si>
    <t>01-10-1969</t>
  </si>
  <si>
    <t>14053.001.1017.001</t>
  </si>
  <si>
    <t>01-04-1976</t>
  </si>
  <si>
    <t>KINANTI CATERING</t>
  </si>
  <si>
    <t>14053.001.1017.002</t>
  </si>
  <si>
    <t>11-10-1979</t>
  </si>
  <si>
    <t>11-11-1995</t>
  </si>
  <si>
    <t>14053.001.1017.004</t>
  </si>
  <si>
    <t>25-04-1978</t>
  </si>
  <si>
    <t>14053.001.1017.007</t>
  </si>
  <si>
    <t>BETON</t>
  </si>
  <si>
    <t>UD KHARISMA</t>
  </si>
  <si>
    <t>14053.001.1017.010</t>
  </si>
  <si>
    <t>14053.001.1017.013</t>
  </si>
  <si>
    <t>31-08-1991</t>
  </si>
  <si>
    <t>14053.001.1017.018</t>
  </si>
  <si>
    <t>09-09-1958</t>
  </si>
  <si>
    <t>14053.001.1017.019</t>
  </si>
  <si>
    <t>29-11-1983</t>
  </si>
  <si>
    <t>14053.001.1017.020</t>
  </si>
  <si>
    <t>12-12-1970</t>
  </si>
  <si>
    <t>PEMPEK NONIK</t>
  </si>
  <si>
    <t>14053.003.1017.021</t>
  </si>
  <si>
    <t>20-11-1988</t>
  </si>
  <si>
    <t>PT BUMI MENTARI</t>
  </si>
  <si>
    <t>14053.001.1017.022</t>
  </si>
  <si>
    <t>21-07-1984</t>
  </si>
  <si>
    <t>BLH</t>
  </si>
  <si>
    <t>14053.001.1017.028</t>
  </si>
  <si>
    <t>27-10-1977</t>
  </si>
  <si>
    <t>14053.001.1017.041</t>
  </si>
  <si>
    <t>06-08-1990</t>
  </si>
  <si>
    <t>14053.003.1017.042</t>
  </si>
  <si>
    <t>20-08-1972</t>
  </si>
  <si>
    <t>TERNAK BABI</t>
  </si>
  <si>
    <t>14053.001.1017.043</t>
  </si>
  <si>
    <t>PT PUSAKA JAYA WISATA ( PJP )</t>
  </si>
  <si>
    <t>14053.001.1017.045</t>
  </si>
  <si>
    <t>10-03-1970</t>
  </si>
  <si>
    <t>14053.001.1017.046</t>
  </si>
  <si>
    <t>14053.001.1017.048</t>
  </si>
  <si>
    <t>06-08-1986</t>
  </si>
  <si>
    <t>SUPERMARKET SINAR TERANG</t>
  </si>
  <si>
    <t>14053.003.1017.050</t>
  </si>
  <si>
    <t>PT SINARMAS FORESTRY (PT MSK)</t>
  </si>
  <si>
    <t>14053.001.1017.052</t>
  </si>
  <si>
    <t>WAKUL REMPAH JAWA (RAWA)</t>
  </si>
  <si>
    <t>14053.005.1017.055</t>
  </si>
  <si>
    <t>PT. Indomarco Adi Prima Malang</t>
  </si>
  <si>
    <t>14053.001.1017.064</t>
  </si>
  <si>
    <t>14053.005.1017.065</t>
  </si>
  <si>
    <t>02-03-1987</t>
  </si>
  <si>
    <t>MAINAN</t>
  </si>
  <si>
    <t>14053.001.1017.065</t>
  </si>
  <si>
    <t>SMP</t>
  </si>
  <si>
    <t>14053.003.1017.069</t>
  </si>
  <si>
    <t>19-02-1971</t>
  </si>
  <si>
    <t>14053.001.1017.071</t>
  </si>
  <si>
    <t>13-04-1993</t>
  </si>
  <si>
    <t>14053.001.1017.073</t>
  </si>
  <si>
    <t>KREDIT BARANG</t>
  </si>
  <si>
    <t>14053.002.1017.076</t>
  </si>
  <si>
    <t>04-04-1985</t>
  </si>
  <si>
    <t>14053.005.1017.080</t>
  </si>
  <si>
    <t>09-07-2007</t>
  </si>
  <si>
    <t>14053.005.1017.081</t>
  </si>
  <si>
    <t>14-07-2007</t>
  </si>
  <si>
    <t>05-12-1985</t>
  </si>
  <si>
    <t>14053.002.1017.086</t>
  </si>
  <si>
    <t>20-07-1959</t>
  </si>
  <si>
    <t>14053.001.1017.093</t>
  </si>
  <si>
    <t>06-06-1994</t>
  </si>
  <si>
    <t>PROVIDER INTERNET</t>
  </si>
  <si>
    <t>PT RAJASA MEDIA INTERNET</t>
  </si>
  <si>
    <t>14053.001.1017.094</t>
  </si>
  <si>
    <t>31-12-1969</t>
  </si>
  <si>
    <t>14053.002.1017.107</t>
  </si>
  <si>
    <t>13-01-1991</t>
  </si>
  <si>
    <t>14053.002.1017.108</t>
  </si>
  <si>
    <t>25-08-1989</t>
  </si>
  <si>
    <t>14053.001.1017.114</t>
  </si>
  <si>
    <t>14053.004.1017.119</t>
  </si>
  <si>
    <t>11-02-1980</t>
  </si>
  <si>
    <t>14053.004.1017.120</t>
  </si>
  <si>
    <t>14053.004.1017.126</t>
  </si>
  <si>
    <t>14-09-2004</t>
  </si>
  <si>
    <t>14053.001.1017.131</t>
  </si>
  <si>
    <t>01-01-1967</t>
  </si>
  <si>
    <t>14053.001.1017.137</t>
  </si>
  <si>
    <t>04-04-1971</t>
  </si>
  <si>
    <t>14053.001.1017.138</t>
  </si>
  <si>
    <t>14053.003.1017.139</t>
  </si>
  <si>
    <t>09-11-1968</t>
  </si>
  <si>
    <t>SMP 9 JEMBER</t>
  </si>
  <si>
    <t>14053.001.1017.146</t>
  </si>
  <si>
    <t>13-07-1974</t>
  </si>
  <si>
    <t>CV. ANEKA KARYA UNGGUL</t>
  </si>
  <si>
    <t>14053.003.1017.147</t>
  </si>
  <si>
    <t>01-06-1985</t>
  </si>
  <si>
    <t>14053.001.1017.150</t>
  </si>
  <si>
    <t>02-11-1988</t>
  </si>
  <si>
    <t>14053.002.1017.152</t>
  </si>
  <si>
    <t>07-06-1985</t>
  </si>
  <si>
    <t>14053.003.1017.154</t>
  </si>
  <si>
    <t>07-07-1970</t>
  </si>
  <si>
    <t>14053.001.1017.155</t>
  </si>
  <si>
    <t>PT AFU</t>
  </si>
  <si>
    <t>14053.001.1017.158</t>
  </si>
  <si>
    <t>PT PUSAKA</t>
  </si>
  <si>
    <t>14053.003.1017.162</t>
  </si>
  <si>
    <t>06-11-1997</t>
  </si>
  <si>
    <t>14053.001.1017.164</t>
  </si>
  <si>
    <t>17-09-1986</t>
  </si>
  <si>
    <t>PT BROMO TIRTA LESTARI</t>
  </si>
  <si>
    <t>14053.003.1017.165</t>
  </si>
  <si>
    <t>15-03-1994</t>
  </si>
  <si>
    <t>RS WILLIAM BOOTH</t>
  </si>
  <si>
    <t>14053.006.1017.166</t>
  </si>
  <si>
    <t>07-03-1993</t>
  </si>
  <si>
    <t>14053.006.1017.171</t>
  </si>
  <si>
    <t>08-06-1959</t>
  </si>
  <si>
    <t>14053.001.1017.175</t>
  </si>
  <si>
    <t>27-05-1998</t>
  </si>
  <si>
    <t>14053.001.1017.181</t>
  </si>
  <si>
    <t>14053.006.1017.186</t>
  </si>
  <si>
    <t>21-05-1959</t>
  </si>
  <si>
    <t>14053.001.1017.189</t>
  </si>
  <si>
    <t>09-07-1984</t>
  </si>
  <si>
    <t>14053.001.1017.192</t>
  </si>
  <si>
    <t>22-05-1966</t>
  </si>
  <si>
    <t>14053.003.1017.193</t>
  </si>
  <si>
    <t>05-01-1983</t>
  </si>
  <si>
    <t>14053.001.1017.197</t>
  </si>
  <si>
    <t>14053.003.1017.198</t>
  </si>
  <si>
    <t>28-08-1958</t>
  </si>
  <si>
    <t>HOTEL JEMBER INDAH</t>
  </si>
  <si>
    <t>14053.001.1017.206</t>
  </si>
  <si>
    <t>03-07-1994</t>
  </si>
  <si>
    <t>OLSHOP</t>
  </si>
  <si>
    <t>14053.001.1017.207</t>
  </si>
  <si>
    <t>31-10-1998</t>
  </si>
  <si>
    <t>ADMINISTRASI</t>
  </si>
  <si>
    <t>14053.002.1017.208</t>
  </si>
  <si>
    <t>14053.001.1017.209</t>
  </si>
  <si>
    <t>07-09-1975</t>
  </si>
  <si>
    <t>SD MUHAMMADIYAH PENDIL</t>
  </si>
  <si>
    <t>14053.002.1017.214</t>
  </si>
  <si>
    <t>27-03-1993</t>
  </si>
  <si>
    <t>DHILAN CELL</t>
  </si>
  <si>
    <t>14053.003.1017.215</t>
  </si>
  <si>
    <t>16-05-1993</t>
  </si>
  <si>
    <t xml:space="preserve">TKK INDRIYASANA TANGGUL </t>
  </si>
  <si>
    <t>14053.001.1017.218</t>
  </si>
  <si>
    <t>14-03-1989</t>
  </si>
  <si>
    <t>14053.001.1017.223</t>
  </si>
  <si>
    <t>22-01-1982</t>
  </si>
  <si>
    <t>14053.005.1017.224</t>
  </si>
  <si>
    <t>12-05-1976</t>
  </si>
  <si>
    <t>14053.005.1017.233</t>
  </si>
  <si>
    <t>14-07-1965</t>
  </si>
  <si>
    <t>14053.001.1017.234</t>
  </si>
  <si>
    <t>11-01-1987</t>
  </si>
  <si>
    <t>ANDI MOTOR BALANCE SPOORING</t>
  </si>
  <si>
    <t>14053.002.1017.239</t>
  </si>
  <si>
    <t>KLINIK ANAK GAYAZA</t>
  </si>
  <si>
    <t>14053.002.1017.240</t>
  </si>
  <si>
    <t>15-04-1981</t>
  </si>
  <si>
    <t>14053.001.1017.245</t>
  </si>
  <si>
    <t>14053.001.1017.252</t>
  </si>
  <si>
    <t>03-08-1964</t>
  </si>
  <si>
    <t>14053.003.1017.254</t>
  </si>
  <si>
    <t>15-05-2007</t>
  </si>
  <si>
    <t>SDK MARAI FATIMA III</t>
  </si>
  <si>
    <t>14053.001.1017.257</t>
  </si>
  <si>
    <t>06-09-1973</t>
  </si>
  <si>
    <t>CU HARAPAN KITA MEDAN</t>
  </si>
  <si>
    <t>14053.001.1017.258</t>
  </si>
  <si>
    <t>31-10-1983</t>
  </si>
  <si>
    <t>CU HARAPAN KITA</t>
  </si>
  <si>
    <t>14053.001.1017.259</t>
  </si>
  <si>
    <t>27-04-1985</t>
  </si>
  <si>
    <t>14053.001.1017.260</t>
  </si>
  <si>
    <t>08-05-1989</t>
  </si>
  <si>
    <t>SPM</t>
  </si>
  <si>
    <t>14053.001.1017.264</t>
  </si>
  <si>
    <t>14053.001.1017.271</t>
  </si>
  <si>
    <t>14053.003.1017.272</t>
  </si>
  <si>
    <t>14053.003.1017.273</t>
  </si>
  <si>
    <t>17-09-1994</t>
  </si>
  <si>
    <t>ISI ULANG AIR MINUM</t>
  </si>
  <si>
    <t>CEMPAKA ISI ULANG</t>
  </si>
  <si>
    <t>14053.001.1017.277</t>
  </si>
  <si>
    <t>09-03-1965</t>
  </si>
  <si>
    <t>14053.004.1017.278</t>
  </si>
  <si>
    <t>04-02-1957</t>
  </si>
  <si>
    <t>14053.001.1017.279</t>
  </si>
  <si>
    <t>12-06-1977</t>
  </si>
  <si>
    <t>14053.001.1017.282</t>
  </si>
  <si>
    <t>TOKO SETIO</t>
  </si>
  <si>
    <t>14053.005.1017.332</t>
  </si>
  <si>
    <t>09-03-1992</t>
  </si>
  <si>
    <t>14053.001.1017.333</t>
  </si>
  <si>
    <t>30-01-1979</t>
  </si>
  <si>
    <t>SMPN 2 PROBOLINGGO</t>
  </si>
  <si>
    <t>14053.002.1017.339</t>
  </si>
  <si>
    <t>10-09-1972</t>
  </si>
  <si>
    <t>SMA 1 MARON</t>
  </si>
  <si>
    <t>14053.001.1017.343</t>
  </si>
  <si>
    <t>16-06-1981</t>
  </si>
  <si>
    <t>14053.005.1017.349</t>
  </si>
  <si>
    <t>21-05-1979</t>
  </si>
  <si>
    <t>14053.003.1017.353</t>
  </si>
  <si>
    <t>30-11-1981</t>
  </si>
  <si>
    <t>CV BOLDA JAYA</t>
  </si>
  <si>
    <t>14053.001.1017.357</t>
  </si>
  <si>
    <t>17-05-1991</t>
  </si>
  <si>
    <t>PABRIK GARMEN</t>
  </si>
  <si>
    <t>ERA CITRA PRIMA</t>
  </si>
  <si>
    <t>14053.004.1017.358</t>
  </si>
  <si>
    <t>25-02-1991</t>
  </si>
  <si>
    <t>PT NUTRIFOOD INDONESIA</t>
  </si>
  <si>
    <t>14053.003.1017.359</t>
  </si>
  <si>
    <t>27-10-1997</t>
  </si>
  <si>
    <t>14053.001.1017.360</t>
  </si>
  <si>
    <t>08-07-1998</t>
  </si>
  <si>
    <t>14053.001.1017.364</t>
  </si>
  <si>
    <t>12-11-1984</t>
  </si>
  <si>
    <t>14053.001.1017.365</t>
  </si>
  <si>
    <t>14053.005.1017.374</t>
  </si>
  <si>
    <t>RKZ surabaya</t>
  </si>
  <si>
    <t>14053.002.1017.380</t>
  </si>
  <si>
    <t>KARTIKA 3</t>
  </si>
  <si>
    <t>14053.001.1017.384</t>
  </si>
  <si>
    <t>Akuntan</t>
  </si>
  <si>
    <t>AKUNTING</t>
  </si>
  <si>
    <t>14053.001.1017.385</t>
  </si>
  <si>
    <t>11-11-1958</t>
  </si>
  <si>
    <t>14053.003.1017.386</t>
  </si>
  <si>
    <t>ELEKTRONIK</t>
  </si>
  <si>
    <t>PT MASPION I DIVISI MAXIM</t>
  </si>
  <si>
    <t>14053.001.1017.387</t>
  </si>
  <si>
    <t>14053.001.1017.388</t>
  </si>
  <si>
    <t>24-04-1996</t>
  </si>
  <si>
    <t>TOKO AKSESORIS</t>
  </si>
  <si>
    <t>FISA ACCECORIES</t>
  </si>
  <si>
    <t>14053.002.1017.394</t>
  </si>
  <si>
    <t>11-10-1991</t>
  </si>
  <si>
    <t>MI KHAIRIYAH</t>
  </si>
  <si>
    <t>14053.004.1017.395</t>
  </si>
  <si>
    <t>AYAM BETUTU</t>
  </si>
  <si>
    <t>14053.001.1017.397</t>
  </si>
  <si>
    <t>18-02-1969</t>
  </si>
  <si>
    <t>14053.004.1017.400</t>
  </si>
  <si>
    <t>10-11-1970</t>
  </si>
  <si>
    <t>SMPN 4 BANYUWANGI</t>
  </si>
  <si>
    <t>14053.001.1017.403</t>
  </si>
  <si>
    <t>11-12-1983</t>
  </si>
  <si>
    <t>14053.001.1017.407</t>
  </si>
  <si>
    <t>14053.006.1017.408</t>
  </si>
  <si>
    <t>09-04-1979</t>
  </si>
  <si>
    <t>SD KRISTEN INDONESIA</t>
  </si>
  <si>
    <t>14053.001.1017.412</t>
  </si>
  <si>
    <t>23-03-1977</t>
  </si>
  <si>
    <t>PT BPR ANTAR PARAMA</t>
  </si>
  <si>
    <t>14053.006.1017.413</t>
  </si>
  <si>
    <t>24-02-1983</t>
  </si>
  <si>
    <t>PEDAGANG SIKAT</t>
  </si>
  <si>
    <t>14053.001.1017.415</t>
  </si>
  <si>
    <t>04-12-1993</t>
  </si>
  <si>
    <t>SMP NAMIRA</t>
  </si>
  <si>
    <t>14053.001.1017.417</t>
  </si>
  <si>
    <t>CAFE DAN RESTO DBELLPEPPER</t>
  </si>
  <si>
    <t>14053.004.1017.419</t>
  </si>
  <si>
    <t>07-08-1970</t>
  </si>
  <si>
    <t xml:space="preserve">SEKTOR INFORMAL </t>
  </si>
  <si>
    <t>14053.001.1017.434</t>
  </si>
  <si>
    <t>14053.001.1017.435</t>
  </si>
  <si>
    <t>06-06-1942</t>
  </si>
  <si>
    <t>14053.001.1017.436</t>
  </si>
  <si>
    <t>17-09-1948</t>
  </si>
  <si>
    <t>14053.001.1017.439</t>
  </si>
  <si>
    <t>14053.001.1017.445</t>
  </si>
  <si>
    <t>10-02-1962</t>
  </si>
  <si>
    <t>PUSKESMAS KEDOPOK</t>
  </si>
  <si>
    <t>14053.001.1017.447</t>
  </si>
  <si>
    <t>14053.003.1017.450</t>
  </si>
  <si>
    <t>09-10-1988</t>
  </si>
  <si>
    <t>14053.002.1017.454</t>
  </si>
  <si>
    <t>22-11-1978</t>
  </si>
  <si>
    <t>14053.002.1017.457</t>
  </si>
  <si>
    <t>17-03-1963</t>
  </si>
  <si>
    <t>14053.001.1017.466</t>
  </si>
  <si>
    <t>PANDU NASRUL NUGROHO</t>
  </si>
  <si>
    <t>15-08-1994</t>
  </si>
  <si>
    <t>14053.004.1017.468</t>
  </si>
  <si>
    <t>18-07-1997</t>
  </si>
  <si>
    <t>14053.001.1017.469</t>
  </si>
  <si>
    <t>13-05-1993</t>
  </si>
  <si>
    <t>14053.001.1017.476</t>
  </si>
  <si>
    <t>09-06-1994</t>
  </si>
  <si>
    <t>14053.002.1017.477</t>
  </si>
  <si>
    <t>UBLIK PRINT</t>
  </si>
  <si>
    <t>14053.001.1017.483</t>
  </si>
  <si>
    <t>BFI</t>
  </si>
  <si>
    <t>14053.001.1017.489</t>
  </si>
  <si>
    <t>24-11-1986</t>
  </si>
  <si>
    <t>BPN KAB. PROBOLINGGO</t>
  </si>
  <si>
    <t>14053.001.1017.492</t>
  </si>
  <si>
    <t>14053.004.1017.493</t>
  </si>
  <si>
    <t>04-12-1981</t>
  </si>
  <si>
    <t>14053.001.1017.497</t>
  </si>
  <si>
    <t>05-07-1965</t>
  </si>
  <si>
    <t>14053.001.1017.498</t>
  </si>
  <si>
    <t>14053.001.1017.499</t>
  </si>
  <si>
    <t>01-04-2001</t>
  </si>
  <si>
    <t>14053.001.1017.500</t>
  </si>
  <si>
    <t>29-03-1999</t>
  </si>
  <si>
    <t>14053.001.1017.501</t>
  </si>
  <si>
    <t>06-01-1992</t>
  </si>
  <si>
    <t>14053.001.1017.502</t>
  </si>
  <si>
    <t>07-07-1978</t>
  </si>
  <si>
    <t>14053.006.1017.505</t>
  </si>
  <si>
    <t>25-04-1992</t>
  </si>
  <si>
    <t>KLINIK ST MARIA</t>
  </si>
  <si>
    <t>14053.002.1017.507</t>
  </si>
  <si>
    <t>14-02-1971</t>
  </si>
  <si>
    <t>14053.001.1017.508</t>
  </si>
  <si>
    <t>10-05-1993</t>
  </si>
  <si>
    <t>14053.006.1017.514</t>
  </si>
  <si>
    <t>13-11-1976</t>
  </si>
  <si>
    <t>14053.001.1017.516</t>
  </si>
  <si>
    <t>22-04-1987</t>
  </si>
  <si>
    <t>14053.001.1017.517</t>
  </si>
  <si>
    <t>13-04-1979</t>
  </si>
  <si>
    <t>ABON IKAN, AYAM</t>
  </si>
  <si>
    <t>14053.001.1017.526</t>
  </si>
  <si>
    <t>14-03-1963</t>
  </si>
  <si>
    <t>14053.001.1017.531</t>
  </si>
  <si>
    <t>12-10-1955</t>
  </si>
  <si>
    <t>14053.001.1017.535</t>
  </si>
  <si>
    <t>14053.001.1017.536</t>
  </si>
  <si>
    <t>16-11-1984</t>
  </si>
  <si>
    <t>14053.001.1017.537</t>
  </si>
  <si>
    <t>14053.001.1017.541</t>
  </si>
  <si>
    <t>23-10-1997</t>
  </si>
  <si>
    <t>PIA, OPAK</t>
  </si>
  <si>
    <t>14053.001.1017.542</t>
  </si>
  <si>
    <t>22-12-1953</t>
  </si>
  <si>
    <t>14053.001.1017.543</t>
  </si>
  <si>
    <t>14053.001.1017.544</t>
  </si>
  <si>
    <t>11-05-1982</t>
  </si>
  <si>
    <t>14053.001.1017.553</t>
  </si>
  <si>
    <t>09-02-1976</t>
  </si>
  <si>
    <t>TOKO AGUNG ASIA</t>
  </si>
  <si>
    <t>14053.001.1017.556</t>
  </si>
  <si>
    <t>19-10-1984</t>
  </si>
  <si>
    <t>14053.001.1017.561</t>
  </si>
  <si>
    <t>10-06-1976</t>
  </si>
  <si>
    <t>14053.001.1017.566</t>
  </si>
  <si>
    <t>18-08-1979</t>
  </si>
  <si>
    <t>14053.001.1017.569</t>
  </si>
  <si>
    <t>21-07-1970</t>
  </si>
  <si>
    <t>14053.001.1017.570</t>
  </si>
  <si>
    <t>10-09-1973</t>
  </si>
  <si>
    <t>14053.003.1017.573</t>
  </si>
  <si>
    <t>02-06-1976</t>
  </si>
  <si>
    <t>14053.001.1017.574</t>
  </si>
  <si>
    <t>30-04-1961</t>
  </si>
  <si>
    <t>14053.001.1017.575</t>
  </si>
  <si>
    <t>07-09-1980</t>
  </si>
  <si>
    <t>SMAN 3 PROBOLINGGO</t>
  </si>
  <si>
    <t>14053.001.1017.576</t>
  </si>
  <si>
    <t>14-03-1983</t>
  </si>
  <si>
    <t>14053.001.1017.577</t>
  </si>
  <si>
    <t>18-12-1977</t>
  </si>
  <si>
    <t>14053.001.1017.578</t>
  </si>
  <si>
    <t>19-06-1987</t>
  </si>
  <si>
    <t>14053.002.1017.584</t>
  </si>
  <si>
    <t>16-06-1957</t>
  </si>
  <si>
    <t>SAMSAT KRAKSAAN</t>
  </si>
  <si>
    <t>14053.001.1017.588</t>
  </si>
  <si>
    <t>07-04-1942</t>
  </si>
  <si>
    <t>KEHUTANAN</t>
  </si>
  <si>
    <t>PERUM PERHUTANI</t>
  </si>
  <si>
    <t>12-02-1977</t>
  </si>
  <si>
    <t>14053.001.1017.595</t>
  </si>
  <si>
    <t>12-11-1987</t>
  </si>
  <si>
    <t>14053.002.1017.597</t>
  </si>
  <si>
    <t>14053.006.1017.609</t>
  </si>
  <si>
    <t>14053.003.1017.611</t>
  </si>
  <si>
    <t>TK AMELIA</t>
  </si>
  <si>
    <t>14053.001.1017.615</t>
  </si>
  <si>
    <t>03-01-1977</t>
  </si>
  <si>
    <t>14053.006.1017.624</t>
  </si>
  <si>
    <t>SUSTERAN SPM PROBOLINGGO</t>
  </si>
  <si>
    <t>14053.001.1017.631</t>
  </si>
  <si>
    <t>11-10-1969</t>
  </si>
  <si>
    <t>14053.006.1017.634</t>
  </si>
  <si>
    <t>05-02-1979</t>
  </si>
  <si>
    <t>14053.003.1017.635</t>
  </si>
  <si>
    <t>30-01-1986</t>
  </si>
  <si>
    <t>14053.002.1017.640</t>
  </si>
  <si>
    <t>02-08-1980</t>
  </si>
  <si>
    <t>14053.002.1017.649</t>
  </si>
  <si>
    <t>17-07-1986</t>
  </si>
  <si>
    <t>14053.001.1017.650</t>
  </si>
  <si>
    <t>26-08-1960</t>
  </si>
  <si>
    <t>BPR ARTATAMA SEJAHTERA</t>
  </si>
  <si>
    <t>14053.001.1017.653</t>
  </si>
  <si>
    <t>07-08-1984</t>
  </si>
  <si>
    <t>14053.001.1017.654</t>
  </si>
  <si>
    <t>26-07-1998</t>
  </si>
  <si>
    <t>DISTRIBUTOR DPP</t>
  </si>
  <si>
    <t>ALVOCADO</t>
  </si>
  <si>
    <t>14053.001.1017.655</t>
  </si>
  <si>
    <t>09-08-1990</t>
  </si>
  <si>
    <t>14053.001.1017.719</t>
  </si>
  <si>
    <t>25-06-1950</t>
  </si>
  <si>
    <t>22-10-1985</t>
  </si>
  <si>
    <t>14053.005.1017.723</t>
  </si>
  <si>
    <t>TUKANG SAYUR</t>
  </si>
  <si>
    <t>14053.003.1017.724</t>
  </si>
  <si>
    <t>14053.001.1017.726</t>
  </si>
  <si>
    <t>12-03-1973</t>
  </si>
  <si>
    <t>14053.001.1017.730</t>
  </si>
  <si>
    <t>01-02-1990</t>
  </si>
  <si>
    <t>14053.002.1017.734</t>
  </si>
  <si>
    <t>17-10-1988</t>
  </si>
  <si>
    <t>14053.003.1017.737</t>
  </si>
  <si>
    <t>24-10-1970</t>
  </si>
  <si>
    <t>14053.001.1017.739</t>
  </si>
  <si>
    <t>14-11-1979</t>
  </si>
  <si>
    <t>14053.001.1017.746</t>
  </si>
  <si>
    <t>22-03-1993</t>
  </si>
  <si>
    <t>KPRI EKA KAPTI</t>
  </si>
  <si>
    <t>14053.001.1017.747</t>
  </si>
  <si>
    <t>20-06-1992</t>
  </si>
  <si>
    <t>DISNAKER KOTA PROBOLINGGO</t>
  </si>
  <si>
    <t>14053.006.1017.750</t>
  </si>
  <si>
    <t>29-03-1996</t>
  </si>
  <si>
    <t>14053.001.1017.752</t>
  </si>
  <si>
    <t>26-02-1976</t>
  </si>
  <si>
    <t>14053.002.1017.755</t>
  </si>
  <si>
    <t>14053.001.1017.757</t>
  </si>
  <si>
    <t>19-04-1974</t>
  </si>
  <si>
    <t>DINAS PERTANIAN DAN KP</t>
  </si>
  <si>
    <t>14053.002.1017.760</t>
  </si>
  <si>
    <t>13-06-1987</t>
  </si>
  <si>
    <t>NOTARIS NUR KHOLIS MUSLIM</t>
  </si>
  <si>
    <t>14053.001.1017.761</t>
  </si>
  <si>
    <t>10-06-1985</t>
  </si>
  <si>
    <t>14053.001.1017.768</t>
  </si>
  <si>
    <t>09-10-1991</t>
  </si>
  <si>
    <t>RSUD MOH SALEH</t>
  </si>
  <si>
    <t>20-10-1991</t>
  </si>
  <si>
    <t>14053.001.1017.771</t>
  </si>
  <si>
    <t>09-11-1990</t>
  </si>
  <si>
    <t>14053.001.1017.776</t>
  </si>
  <si>
    <t>01-09-1963</t>
  </si>
  <si>
    <t>BPBD KOTA PROBOLINGGO</t>
  </si>
  <si>
    <t>14053.006.1017.778</t>
  </si>
  <si>
    <t>24-01-1980</t>
  </si>
  <si>
    <t>ONLINE SHOP (PAKAIAN DLL)</t>
  </si>
  <si>
    <t>14053.006.1017.780</t>
  </si>
  <si>
    <t>LITBANG KOMPAS</t>
  </si>
  <si>
    <t>KOMPAS</t>
  </si>
  <si>
    <t>14053.005.1017.782</t>
  </si>
  <si>
    <t>14-10-1993</t>
  </si>
  <si>
    <t>14053.001.1017.786</t>
  </si>
  <si>
    <t>02-10-1999</t>
  </si>
  <si>
    <t>ADVERTISING</t>
  </si>
  <si>
    <t>RAJA ADVERTISING</t>
  </si>
  <si>
    <t>14053.001.1017.795</t>
  </si>
  <si>
    <t>18-07-1995</t>
  </si>
  <si>
    <t>PT KOSMETIKAMA (INEZ KOSMETIK)</t>
  </si>
  <si>
    <t>14053.001.1017.798</t>
  </si>
  <si>
    <t>14053.001.1017.800</t>
  </si>
  <si>
    <t>04-06-1971</t>
  </si>
  <si>
    <t>14053.001.1017.803</t>
  </si>
  <si>
    <t>27-02-1967</t>
  </si>
  <si>
    <t>14053.001.1017.804</t>
  </si>
  <si>
    <t>04-05-1960</t>
  </si>
  <si>
    <t>14053.001.1017.805</t>
  </si>
  <si>
    <t>16-07-1994</t>
  </si>
  <si>
    <t>14053.005.1017.807</t>
  </si>
  <si>
    <t>08-10-1953</t>
  </si>
  <si>
    <t>14053.001.1017.811</t>
  </si>
  <si>
    <t>15-05-1979</t>
  </si>
  <si>
    <t>14053.001.1017.814</t>
  </si>
  <si>
    <t>31-12-1982</t>
  </si>
  <si>
    <t>PT. NENGGALA KREATIF INDONESIA</t>
  </si>
  <si>
    <t>14053.002.1017.825</t>
  </si>
  <si>
    <t>15-02-1997</t>
  </si>
  <si>
    <t>14053.001.1017.831</t>
  </si>
  <si>
    <t>29-08-1964</t>
  </si>
  <si>
    <t>SMUK MARIA MEDIATRIX</t>
  </si>
  <si>
    <t>14053.001.1017.837</t>
  </si>
  <si>
    <t>25-05-1971</t>
  </si>
  <si>
    <t>14053.001.1017.843</t>
  </si>
  <si>
    <t>PABRIK ASBES</t>
  </si>
  <si>
    <t>14053.006.1017.847</t>
  </si>
  <si>
    <t>11-02-1988</t>
  </si>
  <si>
    <t>BOLU KERING</t>
  </si>
  <si>
    <t>14053.001.1017.848</t>
  </si>
  <si>
    <t>11-08-1960</t>
  </si>
  <si>
    <t>14053.002.1017.849</t>
  </si>
  <si>
    <t>08-04-1990</t>
  </si>
  <si>
    <t>14053.002.1017.851</t>
  </si>
  <si>
    <t>10-05-1981</t>
  </si>
  <si>
    <t>14053.003.1017.855</t>
  </si>
  <si>
    <t>14053.001.1017.860</t>
  </si>
  <si>
    <t>02-06-1999</t>
  </si>
  <si>
    <t>14053.001.1017.862</t>
  </si>
  <si>
    <t>14053.001.1017.865</t>
  </si>
  <si>
    <t>14053.001.1017.867</t>
  </si>
  <si>
    <t>14053.001.1017.869</t>
  </si>
  <si>
    <t>14053.001.1017.878</t>
  </si>
  <si>
    <t>14053.004.1017.880</t>
  </si>
  <si>
    <t>04-12-1974</t>
  </si>
  <si>
    <t>14053.003.1017.882</t>
  </si>
  <si>
    <t>25-03-1976</t>
  </si>
  <si>
    <t>BIARAWATI CARMEL</t>
  </si>
  <si>
    <t>14053.003.1017.884</t>
  </si>
  <si>
    <t>14053.006.1017.890</t>
  </si>
  <si>
    <t>27-12-2002</t>
  </si>
  <si>
    <t>14053.001.1017.891</t>
  </si>
  <si>
    <t>11-06-1992</t>
  </si>
  <si>
    <t>14053.001.1017.892</t>
  </si>
  <si>
    <t>01-05-1977</t>
  </si>
  <si>
    <t>SMA NEGERI 3 KOTA PROBOLINGGO</t>
  </si>
  <si>
    <t>14053.001.1017.896</t>
  </si>
  <si>
    <t>14053.001.1017.898</t>
  </si>
  <si>
    <t>27-10-1984</t>
  </si>
  <si>
    <t>PABRIK CAT</t>
  </si>
  <si>
    <t>JAVA PARAGON</t>
  </si>
  <si>
    <t>14053.006.1017.899</t>
  </si>
  <si>
    <t>22-10-2001</t>
  </si>
  <si>
    <t>14053.004.1017.901</t>
  </si>
  <si>
    <t>12-11-1992</t>
  </si>
  <si>
    <t>14053.001.1017.903</t>
  </si>
  <si>
    <t>14053.001.1017.904</t>
  </si>
  <si>
    <t>13-10-1957</t>
  </si>
  <si>
    <t>14053.001.1017.910</t>
  </si>
  <si>
    <t>10-12-1993</t>
  </si>
  <si>
    <t>14053.002.1017.911</t>
  </si>
  <si>
    <t>14053.003.1017.912</t>
  </si>
  <si>
    <t>27-09-1976</t>
  </si>
  <si>
    <t>14053.002.1017.924</t>
  </si>
  <si>
    <t>28-09-1996</t>
  </si>
  <si>
    <t>14053.002.1017.925</t>
  </si>
  <si>
    <t>14053.002.1017.928</t>
  </si>
  <si>
    <t>14053.002.1017.931</t>
  </si>
  <si>
    <t>11-08-1983</t>
  </si>
  <si>
    <t>14053.001.1017.932</t>
  </si>
  <si>
    <t>02-03-1982</t>
  </si>
  <si>
    <t>TK ABA V</t>
  </si>
  <si>
    <t>14053.003.1017.933</t>
  </si>
  <si>
    <t>27-07-1978</t>
  </si>
  <si>
    <t>PT DARMA HENWA TBK</t>
  </si>
  <si>
    <t>14053.002.1017.935</t>
  </si>
  <si>
    <t>03-01-1984</t>
  </si>
  <si>
    <t>SMP PLUS AL MASHDUQIAH</t>
  </si>
  <si>
    <t>14053.003.1017.938</t>
  </si>
  <si>
    <t>05-04-1986</t>
  </si>
  <si>
    <t>PT INDOCAFE</t>
  </si>
  <si>
    <t>14053.003.1017.940</t>
  </si>
  <si>
    <t>27-06-1984</t>
  </si>
  <si>
    <t>14053.001.1017.943</t>
  </si>
  <si>
    <t>10-02-1996</t>
  </si>
  <si>
    <t>14053.002.1017.944</t>
  </si>
  <si>
    <t>30-06-1982</t>
  </si>
  <si>
    <t>14053.002.1017.948</t>
  </si>
  <si>
    <t>13-04-1970</t>
  </si>
  <si>
    <t>14053.001.1017.953</t>
  </si>
  <si>
    <t>10-12-1981</t>
  </si>
  <si>
    <t>14053.001.1017.954</t>
  </si>
  <si>
    <t>11-04-1989</t>
  </si>
  <si>
    <t>14053.001.1017.956</t>
  </si>
  <si>
    <t>28-08-1981</t>
  </si>
  <si>
    <t>14053.003.1017.957</t>
  </si>
  <si>
    <t>24-06-1982</t>
  </si>
  <si>
    <t>14053.002.1017.960</t>
  </si>
  <si>
    <t>21-07-1990</t>
  </si>
  <si>
    <t>14053.001.1017.963</t>
  </si>
  <si>
    <t>DINAS PENDIDIKAN PEMUDA DAN OLAHRAGA</t>
  </si>
  <si>
    <t>14053.003.1017.964</t>
  </si>
  <si>
    <t>10-01-1961</t>
  </si>
  <si>
    <t>14053.001.1017.970</t>
  </si>
  <si>
    <t>12-03-1990</t>
  </si>
  <si>
    <t>14053.004.1017.971</t>
  </si>
  <si>
    <t>20-03-1985</t>
  </si>
  <si>
    <t>14053.006.1017.972</t>
  </si>
  <si>
    <t>DEALER MOTOR</t>
  </si>
  <si>
    <t>BONANZA MOTOR</t>
  </si>
  <si>
    <t>14053.005.1017.973</t>
  </si>
  <si>
    <t>14053.001.1017.975</t>
  </si>
  <si>
    <t>17-08-2000</t>
  </si>
  <si>
    <t>14053.002.1017.982</t>
  </si>
  <si>
    <t>INSPEKTORAT KRAKSAAN</t>
  </si>
  <si>
    <t>14053.005.1017.984</t>
  </si>
  <si>
    <t>14053.001.1017.985</t>
  </si>
  <si>
    <t>15-01-1991</t>
  </si>
  <si>
    <t>SMPK SANTO YUSUP</t>
  </si>
  <si>
    <t>14053.001.1017.986</t>
  </si>
  <si>
    <t>09-05-1989</t>
  </si>
  <si>
    <t>14053.001.1017.988</t>
  </si>
  <si>
    <t>SEKOLAH MUHAMADIYAH</t>
  </si>
  <si>
    <t>14053.001.1017.990</t>
  </si>
  <si>
    <t>19-12-1986</t>
  </si>
  <si>
    <t>14053.001.1017.994</t>
  </si>
  <si>
    <t>22-01-1973</t>
  </si>
  <si>
    <t>PENSIUNAN BCA</t>
  </si>
  <si>
    <t>PT BCA</t>
  </si>
  <si>
    <t>14053.001.1017.995</t>
  </si>
  <si>
    <t>PT TIRTA KENCANA TATAWARNA</t>
  </si>
  <si>
    <t>14053.001.1017.996</t>
  </si>
  <si>
    <t>14053.004.1017.999</t>
  </si>
  <si>
    <t>TOKO EMAS</t>
  </si>
  <si>
    <t>14053.001.1018.007</t>
  </si>
  <si>
    <t>01-07-1984</t>
  </si>
  <si>
    <t>14053.003.1018.008</t>
  </si>
  <si>
    <t>18-09-1999</t>
  </si>
  <si>
    <t>OB</t>
  </si>
  <si>
    <t>14053.004.1018.009</t>
  </si>
  <si>
    <t>PT TUNA INDONESIA MANDIRI</t>
  </si>
  <si>
    <t>14053.001.1018.011</t>
  </si>
  <si>
    <t>08-02-1987</t>
  </si>
  <si>
    <t>VAPOR PRO</t>
  </si>
  <si>
    <t>14053.004.1018.013</t>
  </si>
  <si>
    <t>02-01-1985</t>
  </si>
  <si>
    <t>WIYA SUVENIR</t>
  </si>
  <si>
    <t>14053.001.1018.016</t>
  </si>
  <si>
    <t>14053.004.1018.018</t>
  </si>
  <si>
    <t>28-01-1979</t>
  </si>
  <si>
    <t>13-06-1968</t>
  </si>
  <si>
    <t>14053.006.1018.026</t>
  </si>
  <si>
    <t>08-10-1965</t>
  </si>
  <si>
    <t>SATPAM (DR. RAHMALENA ) RINGINANOM</t>
  </si>
  <si>
    <t>14053.001.1018.032</t>
  </si>
  <si>
    <t>14053.001.1018.033</t>
  </si>
  <si>
    <t>14053.003.1018.040</t>
  </si>
  <si>
    <t>05-05-1991</t>
  </si>
  <si>
    <t>KANTOR NOTARIS DAN PPAT IS HARIYANTO IS SH</t>
  </si>
  <si>
    <t>14053.001.1018.041</t>
  </si>
  <si>
    <t>29-01-1998</t>
  </si>
  <si>
    <t>TEKNOLOGI INFORMASI</t>
  </si>
  <si>
    <t>PT SKK</t>
  </si>
  <si>
    <t>14053.001.1018.043</t>
  </si>
  <si>
    <t>10-08-1989</t>
  </si>
  <si>
    <t>KLINIK BAYI TABUNG</t>
  </si>
  <si>
    <t>14053.001.1018.044</t>
  </si>
  <si>
    <t>28-11-1972</t>
  </si>
  <si>
    <t>14053.001.1018.045</t>
  </si>
  <si>
    <t>09-06-1970</t>
  </si>
  <si>
    <t>14053.001.1018.046</t>
  </si>
  <si>
    <t>23-12-1996</t>
  </si>
  <si>
    <t>PROYEK JALAN TOL</t>
  </si>
  <si>
    <t>14053.001.1018.047</t>
  </si>
  <si>
    <t>07-10-1942</t>
  </si>
  <si>
    <t>14053.001.1018.049</t>
  </si>
  <si>
    <t>19-12-1991</t>
  </si>
  <si>
    <t>14053.001.1018.051</t>
  </si>
  <si>
    <t>22-06-1983</t>
  </si>
  <si>
    <t>14053.003.1018.053</t>
  </si>
  <si>
    <t>17-06-2000</t>
  </si>
  <si>
    <t>KARYAWAN TOKO</t>
  </si>
  <si>
    <t>14053.001.1018.054</t>
  </si>
  <si>
    <t>14053.003.1018.058</t>
  </si>
  <si>
    <t>04-06-1986</t>
  </si>
  <si>
    <t>14053.004.1018.059</t>
  </si>
  <si>
    <t>PEMBUATAN PLAT NOMOR</t>
  </si>
  <si>
    <t>14053.003.1018.060</t>
  </si>
  <si>
    <t>31-08-1948</t>
  </si>
  <si>
    <t>14053.002.1018.070</t>
  </si>
  <si>
    <t>24-09-1977</t>
  </si>
  <si>
    <t>14053.005.1018.072</t>
  </si>
  <si>
    <t>01-10-1979</t>
  </si>
  <si>
    <t>14053.001.1018.074</t>
  </si>
  <si>
    <t>14053.001.1018.080</t>
  </si>
  <si>
    <t>14053.006.1018.082</t>
  </si>
  <si>
    <t>14053.002.1018.083</t>
  </si>
  <si>
    <t>20-01-1998</t>
  </si>
  <si>
    <t>14053.001.1018.085</t>
  </si>
  <si>
    <t>28-05-1958</t>
  </si>
  <si>
    <t>14053.001.1018.086</t>
  </si>
  <si>
    <t>08-08-1972</t>
  </si>
  <si>
    <t>14053.003.1018.092</t>
  </si>
  <si>
    <t>17-11-1983</t>
  </si>
  <si>
    <t>14053.001.1018.098</t>
  </si>
  <si>
    <t>08-08-1985</t>
  </si>
  <si>
    <t>14053.004.1018.100</t>
  </si>
  <si>
    <t>14053.001.1018.108</t>
  </si>
  <si>
    <t>13-11-1986</t>
  </si>
  <si>
    <t>RESTO &amp; CAFE DBELLPEPPER</t>
  </si>
  <si>
    <t>14053.001.1018.110</t>
  </si>
  <si>
    <t>RM WAROENG KENTJOER</t>
  </si>
  <si>
    <t>14053.001.1018.113</t>
  </si>
  <si>
    <t>29-09-1988</t>
  </si>
  <si>
    <t>JASA TELEKOMUNIKASI</t>
  </si>
  <si>
    <t>14053.001.1018.114</t>
  </si>
  <si>
    <t>14053.004.1018.118</t>
  </si>
  <si>
    <t>11-07-1963</t>
  </si>
  <si>
    <t>14053.001.1018.121</t>
  </si>
  <si>
    <t>09-04-1968</t>
  </si>
  <si>
    <t>14053.001.1018.126</t>
  </si>
  <si>
    <t>14-02-1976</t>
  </si>
  <si>
    <t>14053.001.1018.128</t>
  </si>
  <si>
    <t>28-02-1974</t>
  </si>
  <si>
    <t>14053.002.1018.129</t>
  </si>
  <si>
    <t>10-08-1970</t>
  </si>
  <si>
    <t>14053.003.1018.134</t>
  </si>
  <si>
    <t>07-03-1989</t>
  </si>
  <si>
    <t>14053.006.1018.138</t>
  </si>
  <si>
    <t>04-02-1997</t>
  </si>
  <si>
    <t>14053.001.1018.142</t>
  </si>
  <si>
    <t>10-08-1968</t>
  </si>
  <si>
    <t>MI NUR AZIZ</t>
  </si>
  <si>
    <t>14053.001.1018.145</t>
  </si>
  <si>
    <t>DISPORA PARBUD</t>
  </si>
  <si>
    <t>14053.001.1018.158</t>
  </si>
  <si>
    <t>22-04-1989</t>
  </si>
  <si>
    <t>14053.003.1018.165</t>
  </si>
  <si>
    <t>03-07-1939</t>
  </si>
  <si>
    <t>14053.004.1018.166</t>
  </si>
  <si>
    <t>10-11-1981</t>
  </si>
  <si>
    <t>14053.004.1018.167</t>
  </si>
  <si>
    <t>14-10-1984</t>
  </si>
  <si>
    <t>14053.004.1018.170</t>
  </si>
  <si>
    <t>05-12-1986</t>
  </si>
  <si>
    <t>14053.004.1018.173</t>
  </si>
  <si>
    <t>30-05-1976</t>
  </si>
  <si>
    <t>PENJUAL IKAN</t>
  </si>
  <si>
    <t>14053.001.1018.174</t>
  </si>
  <si>
    <t>02-05-1991</t>
  </si>
  <si>
    <t>14053.001.1018.178</t>
  </si>
  <si>
    <t>22-01-1986</t>
  </si>
  <si>
    <t>JUALAN NASI JAGUNG</t>
  </si>
  <si>
    <t>14053.001.1018.179</t>
  </si>
  <si>
    <t>16-03-1991</t>
  </si>
  <si>
    <t>GODWINS PLAYGROUP AND KINDERGARTEN SCHOOL</t>
  </si>
  <si>
    <t>14053.001.1018.185</t>
  </si>
  <si>
    <t>18-10-1988</t>
  </si>
  <si>
    <t>14053.001.1018.187</t>
  </si>
  <si>
    <t>PT BPR SENTRAL ARTA JAYA</t>
  </si>
  <si>
    <t>14053.001.1018.188</t>
  </si>
  <si>
    <t>14053.001.1018.189</t>
  </si>
  <si>
    <t>13-08-1986</t>
  </si>
  <si>
    <t>CV SELAMAT PAGI SEMESTA</t>
  </si>
  <si>
    <t>14053.003.1018.195</t>
  </si>
  <si>
    <t>14053.006.1018.196</t>
  </si>
  <si>
    <t>14053.001.1018.200</t>
  </si>
  <si>
    <t>09-07-1998</t>
  </si>
  <si>
    <t>14053.002.1018.204</t>
  </si>
  <si>
    <t>28-07-1989</t>
  </si>
  <si>
    <t>14053.001.1018.205</t>
  </si>
  <si>
    <t>06-06-1985</t>
  </si>
  <si>
    <t>14053.001.1018.207</t>
  </si>
  <si>
    <t>09-04-1991</t>
  </si>
  <si>
    <t>14053.001.1018.240</t>
  </si>
  <si>
    <t>04-02-1984</t>
  </si>
  <si>
    <t>14053.001.1018.241</t>
  </si>
  <si>
    <t>PT CMWI</t>
  </si>
  <si>
    <t>14053.001.1018.244</t>
  </si>
  <si>
    <t>16-02-1985</t>
  </si>
  <si>
    <t>JINGGO FRIED CHICKEN</t>
  </si>
  <si>
    <t>14053.002.1018.249</t>
  </si>
  <si>
    <t>13-04-1969</t>
  </si>
  <si>
    <t>14053.003.1018.258</t>
  </si>
  <si>
    <t>13-11-1990</t>
  </si>
  <si>
    <t>YAMAHA CENTRAL</t>
  </si>
  <si>
    <t>14053.002.1018.259</t>
  </si>
  <si>
    <t>14053.003.1018.263</t>
  </si>
  <si>
    <t>02-10-1970</t>
  </si>
  <si>
    <t>14053.003.1018.264</t>
  </si>
  <si>
    <t>07-02-1975</t>
  </si>
  <si>
    <t>14053.001.1018.266</t>
  </si>
  <si>
    <t>22-09-1983</t>
  </si>
  <si>
    <t>14053.001.1018.267</t>
  </si>
  <si>
    <t>10-11-1993</t>
  </si>
  <si>
    <t>14053.001.1018.268</t>
  </si>
  <si>
    <t>04-10-1999</t>
  </si>
  <si>
    <t>TOKO KAM</t>
  </si>
  <si>
    <t>14053.001.1018.269</t>
  </si>
  <si>
    <t>18-01-1999</t>
  </si>
  <si>
    <t>14053.001.1018.272</t>
  </si>
  <si>
    <t>25-10-1969</t>
  </si>
  <si>
    <t>10-04-2003</t>
  </si>
  <si>
    <t>14053.001.1018.278</t>
  </si>
  <si>
    <t>13-08-1989</t>
  </si>
  <si>
    <t>14053.001.1018.283</t>
  </si>
  <si>
    <t>SDN KANIGARAN 1</t>
  </si>
  <si>
    <t>14053.006.1018.285</t>
  </si>
  <si>
    <t>08-11-1975</t>
  </si>
  <si>
    <t>MAHKOTA</t>
  </si>
  <si>
    <t>14053.001.1018.288</t>
  </si>
  <si>
    <t>26-03-1990</t>
  </si>
  <si>
    <t>14053.001.1018.299</t>
  </si>
  <si>
    <t>28-01-1973</t>
  </si>
  <si>
    <t>PELAYARAN</t>
  </si>
  <si>
    <t>PELNI</t>
  </si>
  <si>
    <t>14053.004.1018.302</t>
  </si>
  <si>
    <t>06-04-1999</t>
  </si>
  <si>
    <t>PT GERBANG SAMUDRA</t>
  </si>
  <si>
    <t>14053.001.1018.307</t>
  </si>
  <si>
    <t>28-10-1995</t>
  </si>
  <si>
    <t>14053.003.1018.308</t>
  </si>
  <si>
    <t>20-01-1974</t>
  </si>
  <si>
    <t>PLN</t>
  </si>
  <si>
    <t>GARDU INDUK PLN</t>
  </si>
  <si>
    <t>14053.001.1018.309</t>
  </si>
  <si>
    <t>15-03-1987</t>
  </si>
  <si>
    <t>14053.001.1018.314</t>
  </si>
  <si>
    <t>CV KAPINIS</t>
  </si>
  <si>
    <t>14053.003.1018.315</t>
  </si>
  <si>
    <t>16-08-1950</t>
  </si>
  <si>
    <t>14053.002.1018.316</t>
  </si>
  <si>
    <t>01-07-1959</t>
  </si>
  <si>
    <t>14053.002.1018.320</t>
  </si>
  <si>
    <t>24-12-1995</t>
  </si>
  <si>
    <t>14053.001.1018.322</t>
  </si>
  <si>
    <t>12-07-1984</t>
  </si>
  <si>
    <t>WARUNG SOTO, PENJAHIT</t>
  </si>
  <si>
    <t>WARUNG SOTO</t>
  </si>
  <si>
    <t>14053.001.1018.326</t>
  </si>
  <si>
    <t>14053.001.1018.329</t>
  </si>
  <si>
    <t>NASI GORENG + MLIJO KELILING</t>
  </si>
  <si>
    <t>14053.006.1018.333</t>
  </si>
  <si>
    <t>25-10-1976</t>
  </si>
  <si>
    <t>14053.001.1018.336</t>
  </si>
  <si>
    <t>14053.004.1018.337</t>
  </si>
  <si>
    <t>06-09-1981</t>
  </si>
  <si>
    <t>TUKANG LAS</t>
  </si>
  <si>
    <t>14053.002.1018.343</t>
  </si>
  <si>
    <t>04-03-1982</t>
  </si>
  <si>
    <t>14053.001.1018.345</t>
  </si>
  <si>
    <t>MI MUHAMMADIYAH</t>
  </si>
  <si>
    <t>14053.001.1018.351</t>
  </si>
  <si>
    <t>21-10-1983</t>
  </si>
  <si>
    <t>PT SUKSES MAKMUR ABADI JAYA</t>
  </si>
  <si>
    <t>14053.001.1018.352</t>
  </si>
  <si>
    <t>27-08-1988</t>
  </si>
  <si>
    <t>PT BERLIAN PERSADA GEMILANG</t>
  </si>
  <si>
    <t>14053.001.1018.356</t>
  </si>
  <si>
    <t>09-01-1992</t>
  </si>
  <si>
    <t>14053.001.1018.357</t>
  </si>
  <si>
    <t>26-05-1993</t>
  </si>
  <si>
    <t>14053.001.1018.360</t>
  </si>
  <si>
    <t>SDN CURAHSAWO</t>
  </si>
  <si>
    <t>14053.001.1018.362</t>
  </si>
  <si>
    <t>29-11-1951</t>
  </si>
  <si>
    <t>14053.005.1018.365</t>
  </si>
  <si>
    <t>Online shop</t>
  </si>
  <si>
    <t>14053.006.1018.372</t>
  </si>
  <si>
    <t>14-07-1975</t>
  </si>
  <si>
    <t>14053.001.1018.373</t>
  </si>
  <si>
    <t>30-01-1972</t>
  </si>
  <si>
    <t>14053.006.1018.375</t>
  </si>
  <si>
    <t>06-08-1976</t>
  </si>
  <si>
    <t>14053.001.1018.385</t>
  </si>
  <si>
    <t>PT MEKARSARI HUTAMA SEJAHTERA</t>
  </si>
  <si>
    <t>14053.001.1018.389</t>
  </si>
  <si>
    <t>04-09-1984</t>
  </si>
  <si>
    <t>14053.002.1018.392</t>
  </si>
  <si>
    <t>23-09-1976</t>
  </si>
  <si>
    <t>14053.001.1018.393</t>
  </si>
  <si>
    <t>25-06-1994</t>
  </si>
  <si>
    <t>14053.001.1018.397</t>
  </si>
  <si>
    <t>02-06-1987</t>
  </si>
  <si>
    <t>KARYAWAN KOPERASI KTI</t>
  </si>
  <si>
    <t>KOPERASI SATYA BAKTI</t>
  </si>
  <si>
    <t>14053.001.1018.398</t>
  </si>
  <si>
    <t>05-01-1993</t>
  </si>
  <si>
    <t>14053.006.1018.405</t>
  </si>
  <si>
    <t>JUALAN ONLINE</t>
  </si>
  <si>
    <t>14053.001.1018.406</t>
  </si>
  <si>
    <t>JUAL BELI ALAT ELEKTRONIK</t>
  </si>
  <si>
    <t>14053.001.1018.407</t>
  </si>
  <si>
    <t>04-06-1997</t>
  </si>
  <si>
    <t>14053.002.1018.408</t>
  </si>
  <si>
    <t>23-01-1992</t>
  </si>
  <si>
    <t>14053.001.1018.410</t>
  </si>
  <si>
    <t>24-04-1981</t>
  </si>
  <si>
    <t>14053.001.1018.411</t>
  </si>
  <si>
    <t>TOKO SELEP JAYA</t>
  </si>
  <si>
    <t>14053.001.1018.412</t>
  </si>
  <si>
    <t>20-08-1974</t>
  </si>
  <si>
    <t>14053.001.1018.415</t>
  </si>
  <si>
    <t>14053.001.1018.418</t>
  </si>
  <si>
    <t>11-04-1969</t>
  </si>
  <si>
    <t>ROHANIWATI</t>
  </si>
  <si>
    <t>PERKUMPULAN DHARMA PUTRI</t>
  </si>
  <si>
    <t>14053.005.1018.420</t>
  </si>
  <si>
    <t>30-01-1982</t>
  </si>
  <si>
    <t>14053.001.1018.421</t>
  </si>
  <si>
    <t>30-06-1964</t>
  </si>
  <si>
    <t>14053.001.1018.426</t>
  </si>
  <si>
    <t>12-09-1984</t>
  </si>
  <si>
    <t>14053.001.1018.427</t>
  </si>
  <si>
    <t>DEALER</t>
  </si>
  <si>
    <t>WULING ARISTA DJAYA LESTARI PROBOLINGGO</t>
  </si>
  <si>
    <t>14053.001.1018.428</t>
  </si>
  <si>
    <t>14053.002.1018.429</t>
  </si>
  <si>
    <t>11-08-1998</t>
  </si>
  <si>
    <t>14053.003.1018.430</t>
  </si>
  <si>
    <t>11-07-1980</t>
  </si>
  <si>
    <t>JUAL BANTAL DAN GULING</t>
  </si>
  <si>
    <t>14053.001.1018.432</t>
  </si>
  <si>
    <t>22-08-1979</t>
  </si>
  <si>
    <t>14053.001.1018.433</t>
  </si>
  <si>
    <t>14053.001.1018.434</t>
  </si>
  <si>
    <t>DINAS PERTANIAN, KETAHANAN PANGAN DAN PERIKANAN</t>
  </si>
  <si>
    <t>14053.001.1018.435</t>
  </si>
  <si>
    <t>13-04-1968</t>
  </si>
  <si>
    <t>14053.002.1018.436</t>
  </si>
  <si>
    <t>02-08-1971</t>
  </si>
  <si>
    <t>PT JEL</t>
  </si>
  <si>
    <t>14053.001.1018.441</t>
  </si>
  <si>
    <t>21-09-1989</t>
  </si>
  <si>
    <t>14053.003.1018.525</t>
  </si>
  <si>
    <t>12-12-1949</t>
  </si>
  <si>
    <t>14053.003.1018.526</t>
  </si>
  <si>
    <t>12-01-1995</t>
  </si>
  <si>
    <t>OPTIK MELAWAI</t>
  </si>
  <si>
    <t>14053.001.1018.530</t>
  </si>
  <si>
    <t>14-12-1963</t>
  </si>
  <si>
    <t>14053.001.1018.531</t>
  </si>
  <si>
    <t>05-06-1971</t>
  </si>
  <si>
    <t>14053.001.1018.543</t>
  </si>
  <si>
    <t>06-01-2001</t>
  </si>
  <si>
    <t>KDS DEPT STORE</t>
  </si>
  <si>
    <t>14053.003.1018.544</t>
  </si>
  <si>
    <t>14053.001.1018.545</t>
  </si>
  <si>
    <t>17-04-1979</t>
  </si>
  <si>
    <t>LITBANG</t>
  </si>
  <si>
    <t>BAPPEDA LITBANG</t>
  </si>
  <si>
    <t>14053.001.1018.547</t>
  </si>
  <si>
    <t>05-08-1985</t>
  </si>
  <si>
    <t>14053.001.1018.548</t>
  </si>
  <si>
    <t>05-04-1995</t>
  </si>
  <si>
    <t>WARUNG REMPAH JAWA</t>
  </si>
  <si>
    <t>14053.001.1018.558</t>
  </si>
  <si>
    <t>ARINI FAMILY PIJAT REFLEKSI</t>
  </si>
  <si>
    <t>14053.003.1018.559</t>
  </si>
  <si>
    <t>09-12-1951</t>
  </si>
  <si>
    <t>14053.006.1018.561</t>
  </si>
  <si>
    <t>14053.001.1018.562</t>
  </si>
  <si>
    <t>24-10-1975</t>
  </si>
  <si>
    <t xml:space="preserve">KPRI PRASTIWI </t>
  </si>
  <si>
    <t>14053.001.1018.563</t>
  </si>
  <si>
    <t>06-01-1977</t>
  </si>
  <si>
    <t>14053.001.1018.565</t>
  </si>
  <si>
    <t>16-09-1955</t>
  </si>
  <si>
    <t>09-01-1979</t>
  </si>
  <si>
    <t>14053.002.1018.569</t>
  </si>
  <si>
    <t>PT GRAHA SEHAT</t>
  </si>
  <si>
    <t>14053.001.1018.571</t>
  </si>
  <si>
    <t>19-11-1990</t>
  </si>
  <si>
    <t>RSUD TONGAS</t>
  </si>
  <si>
    <t>14053.001.1018.575</t>
  </si>
  <si>
    <t>PT PAI</t>
  </si>
  <si>
    <t>14053.005.1018.576</t>
  </si>
  <si>
    <t>16-12-1975</t>
  </si>
  <si>
    <t>14053.002.1018.578</t>
  </si>
  <si>
    <t>28-08-1980</t>
  </si>
  <si>
    <t>14053.005.1018.581</t>
  </si>
  <si>
    <t>18-06-1951</t>
  </si>
  <si>
    <t>14053.001.1018.582</t>
  </si>
  <si>
    <t>06-11-1979</t>
  </si>
  <si>
    <t>14053.001.1018.587</t>
  </si>
  <si>
    <t>14053.006.1018.588</t>
  </si>
  <si>
    <t>10-06-1964</t>
  </si>
  <si>
    <t>14053.004.1018.590</t>
  </si>
  <si>
    <t>31-10-1965</t>
  </si>
  <si>
    <t>PELAYANAN</t>
  </si>
  <si>
    <t>14053.004.1018.591</t>
  </si>
  <si>
    <t>09-04-1990</t>
  </si>
  <si>
    <t>14053.001.1018.592</t>
  </si>
  <si>
    <t>06-07-1984</t>
  </si>
  <si>
    <t>PUSKESMAS WONOASIH</t>
  </si>
  <si>
    <t>14053.001.1018.596</t>
  </si>
  <si>
    <t>30-07-1990</t>
  </si>
  <si>
    <t>14053.001.1018.597</t>
  </si>
  <si>
    <t>13-12-1995</t>
  </si>
  <si>
    <t>14053.003.1018.598</t>
  </si>
  <si>
    <t>17-11-1994</t>
  </si>
  <si>
    <t>AGEN ISI ULANG</t>
  </si>
  <si>
    <t>06-01-1980</t>
  </si>
  <si>
    <t>14053.001.1018.602</t>
  </si>
  <si>
    <t>25-08-1995</t>
  </si>
  <si>
    <t>14053.001.1018.603</t>
  </si>
  <si>
    <t>26-08-1986</t>
  </si>
  <si>
    <t>INFORMAL</t>
  </si>
  <si>
    <t>SUSTERAN SPM LUMAJANG</t>
  </si>
  <si>
    <t>14053.001.1018.608</t>
  </si>
  <si>
    <t>17-02-1998</t>
  </si>
  <si>
    <t>SYALOM EDUCATION CENTER</t>
  </si>
  <si>
    <t>14053.003.1018.610</t>
  </si>
  <si>
    <t>14-09-1985</t>
  </si>
  <si>
    <t>PERKEBUNAN EDUKASI</t>
  </si>
  <si>
    <t>14053.003.1018.611</t>
  </si>
  <si>
    <t>29-03-1979</t>
  </si>
  <si>
    <t>14053.004.1018.615</t>
  </si>
  <si>
    <t>26-05-1989</t>
  </si>
  <si>
    <t>14053.001.1018.619</t>
  </si>
  <si>
    <t>27-05-1986</t>
  </si>
  <si>
    <t>14053.001.1018.620</t>
  </si>
  <si>
    <t>21-07-1991</t>
  </si>
  <si>
    <t>SDN MANGUNHARJO 1</t>
  </si>
  <si>
    <t>14053.002.1018.624</t>
  </si>
  <si>
    <t>23-09-1994</t>
  </si>
  <si>
    <t>SD MUHAMADIYAH KREATIF</t>
  </si>
  <si>
    <t>14053.001.1018.625</t>
  </si>
  <si>
    <t>14053.001.1018.627</t>
  </si>
  <si>
    <t>06-06-1968</t>
  </si>
  <si>
    <t>14053.006.1018.628</t>
  </si>
  <si>
    <t>17-07-1989</t>
  </si>
  <si>
    <t>14053.001.1018.629</t>
  </si>
  <si>
    <t>23-07-1966</t>
  </si>
  <si>
    <t>HOMESTAY HADI</t>
  </si>
  <si>
    <t>14053.003.1018.630</t>
  </si>
  <si>
    <t>08-03-1997</t>
  </si>
  <si>
    <t>PT GRAMEDIA</t>
  </si>
  <si>
    <t>14053.006.1018.632</t>
  </si>
  <si>
    <t>05-05-1996</t>
  </si>
  <si>
    <t>14053.003.1018.633</t>
  </si>
  <si>
    <t>17-04-1987</t>
  </si>
  <si>
    <t>14053.001.1018.634</t>
  </si>
  <si>
    <t>26-07-1955</t>
  </si>
  <si>
    <t>14053.006.1018.637</t>
  </si>
  <si>
    <t>28-12-1975</t>
  </si>
  <si>
    <t>14053.001.1018.641</t>
  </si>
  <si>
    <t>07-12-1978</t>
  </si>
  <si>
    <t>RSUD DR MOH. SALEH</t>
  </si>
  <si>
    <t>14053.002.1018.643</t>
  </si>
  <si>
    <t>23-03-1999</t>
  </si>
  <si>
    <t>JE`BING CAFE</t>
  </si>
  <si>
    <t>14053.005.1018.644</t>
  </si>
  <si>
    <t>08-08-1999</t>
  </si>
  <si>
    <t>14053.001.1018.645</t>
  </si>
  <si>
    <t>14053.003.1018.648</t>
  </si>
  <si>
    <t>20-10-1968</t>
  </si>
  <si>
    <t>14053.004.1018.652</t>
  </si>
  <si>
    <t>20-06-1973</t>
  </si>
  <si>
    <t>MIN 1 BWI</t>
  </si>
  <si>
    <t>14053.006.1018.653</t>
  </si>
  <si>
    <t>22-05-1963</t>
  </si>
  <si>
    <t>14053.004.1018.655</t>
  </si>
  <si>
    <t>SDN 2 TUKANGKAYU</t>
  </si>
  <si>
    <t>14053.001.1018.659</t>
  </si>
  <si>
    <t>20-08-1984</t>
  </si>
  <si>
    <t>EKSPEDISI JAWA POS</t>
  </si>
  <si>
    <t>14053.003.1018.661</t>
  </si>
  <si>
    <t>24-06-1990</t>
  </si>
  <si>
    <t>14053.001.1018.664</t>
  </si>
  <si>
    <t>16-07-1997</t>
  </si>
  <si>
    <t>PABRIK GARMENT</t>
  </si>
  <si>
    <t>14053.001.1018.665</t>
  </si>
  <si>
    <t>29-06-1972</t>
  </si>
  <si>
    <t>14053.003.1018.666</t>
  </si>
  <si>
    <t>19-08-1953</t>
  </si>
  <si>
    <t>14053.004.1018.667</t>
  </si>
  <si>
    <t>CV SPS</t>
  </si>
  <si>
    <t>14053.001.1018.668</t>
  </si>
  <si>
    <t>14053.001.1018.669</t>
  </si>
  <si>
    <t>15-05-1987</t>
  </si>
  <si>
    <t>JUAL KOPI</t>
  </si>
  <si>
    <t>14053.003.1018.670</t>
  </si>
  <si>
    <t>14-02-1992</t>
  </si>
  <si>
    <t>TK TIGA BAHASA</t>
  </si>
  <si>
    <t>Tukang Kayu</t>
  </si>
  <si>
    <t>14053.004.1018.673</t>
  </si>
  <si>
    <t>21-10-2005</t>
  </si>
  <si>
    <t>14053.004.1018.676</t>
  </si>
  <si>
    <t>21-11-1969</t>
  </si>
  <si>
    <t>14053.006.1018.677</t>
  </si>
  <si>
    <t>20-07-1963</t>
  </si>
  <si>
    <t>14053.003.1018.679</t>
  </si>
  <si>
    <t>24-09-1999</t>
  </si>
  <si>
    <t>14053.001.1018.680</t>
  </si>
  <si>
    <t>05-11-1989</t>
  </si>
  <si>
    <t>14053.001.1018.682</t>
  </si>
  <si>
    <t>14053.006.1018.684</t>
  </si>
  <si>
    <t>08-09-1989</t>
  </si>
  <si>
    <t>14053.006.1018.685</t>
  </si>
  <si>
    <t>15-10-1983</t>
  </si>
  <si>
    <t>14053.005.1018.687</t>
  </si>
  <si>
    <t>09-11-1996</t>
  </si>
  <si>
    <t>14053.001.1018.692</t>
  </si>
  <si>
    <t>14053.006.1018.693</t>
  </si>
  <si>
    <t>13-10-1978</t>
  </si>
  <si>
    <t>14053.004.1018.694</t>
  </si>
  <si>
    <t>12-05-1996</t>
  </si>
  <si>
    <t>online shop</t>
  </si>
  <si>
    <t>14053.001.1018.695</t>
  </si>
  <si>
    <t>27-01-1997</t>
  </si>
  <si>
    <t>14053.003.1018.696</t>
  </si>
  <si>
    <t>06-07-1959</t>
  </si>
  <si>
    <t>14053.003.1018.698</t>
  </si>
  <si>
    <t>21-07-1998</t>
  </si>
  <si>
    <t>PANTI ASUHAN BHAKTI LUHUR</t>
  </si>
  <si>
    <t>14053.001.1018.699</t>
  </si>
  <si>
    <t>25-09-1993</t>
  </si>
  <si>
    <t>ASRAMA  ST. JAN</t>
  </si>
  <si>
    <t>14053.001.1018.701</t>
  </si>
  <si>
    <t>23-06-1998</t>
  </si>
  <si>
    <t>14053.001.1018.702</t>
  </si>
  <si>
    <t>11-03-1962</t>
  </si>
  <si>
    <t>14053.001.1018.703</t>
  </si>
  <si>
    <t>14-09-1995</t>
  </si>
  <si>
    <t>PABRIK IKAN</t>
  </si>
  <si>
    <t>BEEJAY FOOD</t>
  </si>
  <si>
    <t>14053.001.1018.704</t>
  </si>
  <si>
    <t>21-06-1999</t>
  </si>
  <si>
    <t>14053.003.1018.708</t>
  </si>
  <si>
    <t>05-07-1985</t>
  </si>
  <si>
    <t>SAFIA</t>
  </si>
  <si>
    <t>14053.001.1018.709</t>
  </si>
  <si>
    <t>11-12-2000</t>
  </si>
  <si>
    <t>14053.001.1018.710</t>
  </si>
  <si>
    <t>21-01-1999</t>
  </si>
  <si>
    <t>RUANG GURU</t>
  </si>
  <si>
    <t>14053.001.1018.711</t>
  </si>
  <si>
    <t>09-04-2001</t>
  </si>
  <si>
    <t>14053.006.1018.712</t>
  </si>
  <si>
    <t>17-09-1980</t>
  </si>
  <si>
    <t>14053.004.1018.714</t>
  </si>
  <si>
    <t>28-07-1991</t>
  </si>
  <si>
    <t>14053.004.1018.715</t>
  </si>
  <si>
    <t>26-08-1988</t>
  </si>
  <si>
    <t>SMPK PONOROGO</t>
  </si>
  <si>
    <t>14053.004.1018.718</t>
  </si>
  <si>
    <t>11-02-1981</t>
  </si>
  <si>
    <t>14053.001.1018.720</t>
  </si>
  <si>
    <t>06-12-1994</t>
  </si>
  <si>
    <t>PT WORLD INNOVATIVE TELECOMMUNICATION</t>
  </si>
  <si>
    <t>14053.003.1018.721</t>
  </si>
  <si>
    <t>21-04-1970</t>
  </si>
  <si>
    <t>14053.004.1018.723</t>
  </si>
  <si>
    <t>20-09-1961</t>
  </si>
  <si>
    <t>14053.002.1018.725</t>
  </si>
  <si>
    <t>14053.001.1018.728</t>
  </si>
  <si>
    <t>11-04-1959</t>
  </si>
  <si>
    <t>14053.004.1018.730</t>
  </si>
  <si>
    <t>RADIO MANDALA</t>
  </si>
  <si>
    <t>14053.002.1018.732</t>
  </si>
  <si>
    <t>14053.004.1018.734</t>
  </si>
  <si>
    <t>14053.006.1018.735</t>
  </si>
  <si>
    <t>02-12-1998</t>
  </si>
  <si>
    <t>14053.001.1018.738</t>
  </si>
  <si>
    <t>27-07-1990</t>
  </si>
  <si>
    <t>14053.006.1018.740</t>
  </si>
  <si>
    <t>14053.001.1018.741</t>
  </si>
  <si>
    <t>ASRAMA</t>
  </si>
  <si>
    <t>ASRAMA ST. YOSEPH</t>
  </si>
  <si>
    <t>14053.003.1018.743</t>
  </si>
  <si>
    <t>14053.001.1018.744</t>
  </si>
  <si>
    <t>22-05-1975</t>
  </si>
  <si>
    <t>14053.002.1018.745</t>
  </si>
  <si>
    <t>BPSDM DAN PEMBERDAYAAN MASYARAKAT DESA, DTT KEMENDESA</t>
  </si>
  <si>
    <t>14053.001.1018.746</t>
  </si>
  <si>
    <t>02-10-1980</t>
  </si>
  <si>
    <t>MEUBEL SUMBER HIDUP, NOTARIS</t>
  </si>
  <si>
    <t>14053.001.1018.748</t>
  </si>
  <si>
    <t>16-12-1976</t>
  </si>
  <si>
    <t>14053.002.1018.750</t>
  </si>
  <si>
    <t>10-02-1998</t>
  </si>
  <si>
    <t>KLINIK TAMBAK REJO</t>
  </si>
  <si>
    <t>14053.001.1018.754</t>
  </si>
  <si>
    <t>MERPATI MOTOR</t>
  </si>
  <si>
    <t>14053.002.1018.755</t>
  </si>
  <si>
    <t>11-01-2000</t>
  </si>
  <si>
    <t>DISTRIBUTOR GAS ELPIGI</t>
  </si>
  <si>
    <t>14053.005.1018.756</t>
  </si>
  <si>
    <t>03-05-1978</t>
  </si>
  <si>
    <t>LAPAK MAMAO (MAKANAN)</t>
  </si>
  <si>
    <t>14053.003.1018.757</t>
  </si>
  <si>
    <t>30-11-1971</t>
  </si>
  <si>
    <t>GURU SMPK SIDOREJO</t>
  </si>
  <si>
    <t>14053.006.1018.758</t>
  </si>
  <si>
    <t>18-10-1969</t>
  </si>
  <si>
    <t>14053.001.1018.761</t>
  </si>
  <si>
    <t>28-02-1983</t>
  </si>
  <si>
    <t>14053.001.1018.762</t>
  </si>
  <si>
    <t>03-12-1987</t>
  </si>
  <si>
    <t>SLB SINAR HARAPAN</t>
  </si>
  <si>
    <t>14053.001.1018.763</t>
  </si>
  <si>
    <t>11-02-1984</t>
  </si>
  <si>
    <t>14053.006.1018.764</t>
  </si>
  <si>
    <t>24-09-1989</t>
  </si>
  <si>
    <t>14053.003.1018.765</t>
  </si>
  <si>
    <t>14-06-2000</t>
  </si>
  <si>
    <t>PS TANJUNG</t>
  </si>
  <si>
    <t>14053.006.1018.766</t>
  </si>
  <si>
    <t>14053.004.1018.769</t>
  </si>
  <si>
    <t>14053.001.1018.770</t>
  </si>
  <si>
    <t>01-08-1995</t>
  </si>
  <si>
    <t>PET SHOP</t>
  </si>
  <si>
    <t>VON CROWN PITS</t>
  </si>
  <si>
    <t>14053.002.1018.771</t>
  </si>
  <si>
    <t>14053.001.1018.772</t>
  </si>
  <si>
    <t>DAGANG AYAM DAN SAYUR</t>
  </si>
  <si>
    <t>14053.001.1018.773</t>
  </si>
  <si>
    <t>27-01-1981</t>
  </si>
  <si>
    <t>WARUNG LESEHAN</t>
  </si>
  <si>
    <t>WARUNG CAK SALIM</t>
  </si>
  <si>
    <t>14053.003.1018.776</t>
  </si>
  <si>
    <t>12-11-1979</t>
  </si>
  <si>
    <t>14053.002.1018.779</t>
  </si>
  <si>
    <t>30-03-2000</t>
  </si>
  <si>
    <t>TEKNIS</t>
  </si>
  <si>
    <t>PT MAS (TELKOM)</t>
  </si>
  <si>
    <t>14053.006.1018.780</t>
  </si>
  <si>
    <t>15-01-1979</t>
  </si>
  <si>
    <t>14053.001.1018.783</t>
  </si>
  <si>
    <t>07-05-1993</t>
  </si>
  <si>
    <t>KINDERLAND</t>
  </si>
  <si>
    <t>14053.001.1018.784</t>
  </si>
  <si>
    <t>14053.003.1018.788</t>
  </si>
  <si>
    <t>26-11-1997</t>
  </si>
  <si>
    <t>14053.003.1018.789</t>
  </si>
  <si>
    <t>14053.001.1018.790</t>
  </si>
  <si>
    <t>14-05-1999</t>
  </si>
  <si>
    <t>14053.001.1018.791</t>
  </si>
  <si>
    <t>05-10-1995</t>
  </si>
  <si>
    <t>14053.001.1018.792</t>
  </si>
  <si>
    <t>06-12-1989</t>
  </si>
  <si>
    <t>14053.001.1018.795</t>
  </si>
  <si>
    <t>20-05-1984</t>
  </si>
  <si>
    <t>14053.001.1018.797</t>
  </si>
  <si>
    <t>30-08-1998</t>
  </si>
  <si>
    <t>14053.001.1018.798</t>
  </si>
  <si>
    <t>02-04-1995</t>
  </si>
  <si>
    <t>14053.001.1018.799</t>
  </si>
  <si>
    <t>06-04-1983</t>
  </si>
  <si>
    <t>VIE OLSHOP, DUNIA POT</t>
  </si>
  <si>
    <t>14053.006.1018.801</t>
  </si>
  <si>
    <t>21-10-1999</t>
  </si>
  <si>
    <t>14053.001.1018.803</t>
  </si>
  <si>
    <t>16-11-1980</t>
  </si>
  <si>
    <t>TOKO AL HIKMAH</t>
  </si>
  <si>
    <t>18-03-1992</t>
  </si>
  <si>
    <t>14053.001.1018.807</t>
  </si>
  <si>
    <t>17-04-1984</t>
  </si>
  <si>
    <t>STC INDONESIA, PT</t>
  </si>
  <si>
    <t>14053.001.1018.808</t>
  </si>
  <si>
    <t>02-02-1989</t>
  </si>
  <si>
    <t>SDN KANIGARAN 6</t>
  </si>
  <si>
    <t>14053.003.1018.810</t>
  </si>
  <si>
    <t>05-03-1961</t>
  </si>
  <si>
    <t>14053.001.1018.812</t>
  </si>
  <si>
    <t>20-12-1973</t>
  </si>
  <si>
    <t xml:space="preserve">INFORMAL </t>
  </si>
  <si>
    <t>14053.001.1018.815</t>
  </si>
  <si>
    <t>DLLAJ PROPINSI</t>
  </si>
  <si>
    <t>14053.005.1018.816</t>
  </si>
  <si>
    <t>PISANG AROMA</t>
  </si>
  <si>
    <t>14053.001.1018.817</t>
  </si>
  <si>
    <t>29-01-1967</t>
  </si>
  <si>
    <t>14053.001.1018.818</t>
  </si>
  <si>
    <t>09-08-1970</t>
  </si>
  <si>
    <t>ALLIANZ</t>
  </si>
  <si>
    <t>14053.006.1018.819</t>
  </si>
  <si>
    <t>22-09-1970</t>
  </si>
  <si>
    <t>14053.003.1018.822</t>
  </si>
  <si>
    <t>31-05-1988</t>
  </si>
  <si>
    <t>14053.001.1018.823</t>
  </si>
  <si>
    <t>24-07-1993</t>
  </si>
  <si>
    <t>14053.001.1018.826</t>
  </si>
  <si>
    <t>26-06-1978</t>
  </si>
  <si>
    <t>14053.003.1018.827</t>
  </si>
  <si>
    <t>07-07-2000</t>
  </si>
  <si>
    <t>HOUSE OF DONATELLO</t>
  </si>
  <si>
    <t>14053.006.1018.830</t>
  </si>
  <si>
    <t>16-04-1997</t>
  </si>
  <si>
    <t>14053.001.1018.832</t>
  </si>
  <si>
    <t>14053.001.1018.833</t>
  </si>
  <si>
    <t>07-02-1987</t>
  </si>
  <si>
    <t>14053.006.1018.835</t>
  </si>
  <si>
    <t>14053.003.1018.836</t>
  </si>
  <si>
    <t>15-04-1994</t>
  </si>
  <si>
    <t>14053.003.1018.837</t>
  </si>
  <si>
    <t>12-10-1999</t>
  </si>
  <si>
    <t>DMO</t>
  </si>
  <si>
    <t>14053.001.1018.841</t>
  </si>
  <si>
    <t>REPARASI MULYO JOYO</t>
  </si>
  <si>
    <t>14053.006.1018.842</t>
  </si>
  <si>
    <t>11-12-1982</t>
  </si>
  <si>
    <t>14053.004.1018.845</t>
  </si>
  <si>
    <t>01-02-1968</t>
  </si>
  <si>
    <t>14053.001.1018.846</t>
  </si>
  <si>
    <t xml:space="preserve">USAHA TRANSPORTASI </t>
  </si>
  <si>
    <t>14053.002.1018.847</t>
  </si>
  <si>
    <t>20-11-1990</t>
  </si>
  <si>
    <t>14053.001.1018.848</t>
  </si>
  <si>
    <t>02-01-1960</t>
  </si>
  <si>
    <t>KOST, CAFE</t>
  </si>
  <si>
    <t>KOST GRIYA LESTANTO</t>
  </si>
  <si>
    <t>02-06-1989</t>
  </si>
  <si>
    <t>14053.001.1018.850</t>
  </si>
  <si>
    <t>PT LAYAR MAS INDONESIA</t>
  </si>
  <si>
    <t>14053.005.1018.853</t>
  </si>
  <si>
    <t>14053.002.1018.856</t>
  </si>
  <si>
    <t>20-05-1983</t>
  </si>
  <si>
    <t>HILMI KDS</t>
  </si>
  <si>
    <t>14053.002.1018.857</t>
  </si>
  <si>
    <t>13-12-1982</t>
  </si>
  <si>
    <t>SDN BULU</t>
  </si>
  <si>
    <t>14053.001.1018.858</t>
  </si>
  <si>
    <t>14053.001.1018.859</t>
  </si>
  <si>
    <t>10-11-1976</t>
  </si>
  <si>
    <t>14053.001.1018.860</t>
  </si>
  <si>
    <t>01-03-1976</t>
  </si>
  <si>
    <t>14053.001.1018.861</t>
  </si>
  <si>
    <t>07-07-1976</t>
  </si>
  <si>
    <t>14053.001.1018.862</t>
  </si>
  <si>
    <t>14053.004.1018.863</t>
  </si>
  <si>
    <t>11-07-1974</t>
  </si>
  <si>
    <t>14053.003.1018.865</t>
  </si>
  <si>
    <t>16-04-1979</t>
  </si>
  <si>
    <t>14053.002.1018.866</t>
  </si>
  <si>
    <t>14053.001.1018.867</t>
  </si>
  <si>
    <t>14053.003.1018.870</t>
  </si>
  <si>
    <t>28-10-1980</t>
  </si>
  <si>
    <t>14053.002.1018.871</t>
  </si>
  <si>
    <t>20-11-1964</t>
  </si>
  <si>
    <t xml:space="preserve">TOKO PERACANGAN </t>
  </si>
  <si>
    <t>14053.003.1018.872</t>
  </si>
  <si>
    <t>23-12-1937</t>
  </si>
  <si>
    <t xml:space="preserve">PENDIDIKAN </t>
  </si>
  <si>
    <t>14053.002.1018.876</t>
  </si>
  <si>
    <t>14053.001.1018.877</t>
  </si>
  <si>
    <t>11-11-1973</t>
  </si>
  <si>
    <t>14053.004.1018.879</t>
  </si>
  <si>
    <t>25-12-1974</t>
  </si>
  <si>
    <t>14053.006.1018.880</t>
  </si>
  <si>
    <t>05-05-1995</t>
  </si>
  <si>
    <t>14053.005.1018.882</t>
  </si>
  <si>
    <t>02-03-1965</t>
  </si>
  <si>
    <t>14053.003.1018.883</t>
  </si>
  <si>
    <t>17-07-1987</t>
  </si>
  <si>
    <t>SMK 2 PANCASILA JEMBER</t>
  </si>
  <si>
    <t>14053.002.1018.886</t>
  </si>
  <si>
    <t>GARMENT</t>
  </si>
  <si>
    <t>14053.001.1018.889</t>
  </si>
  <si>
    <t>26-11-1977</t>
  </si>
  <si>
    <t>PRIMA PUTRA GARMENT (PPG)</t>
  </si>
  <si>
    <t>14053.001.1018.891</t>
  </si>
  <si>
    <t>11-01-1994</t>
  </si>
  <si>
    <t>KANTOR NOTARIS JOVITA SONIA PRIANTO</t>
  </si>
  <si>
    <t>14053.001.1018.893</t>
  </si>
  <si>
    <t>17-04-1977</t>
  </si>
  <si>
    <t>14053.001.1018.894</t>
  </si>
  <si>
    <t>21-02-1999</t>
  </si>
  <si>
    <t>14053.001.1018.899</t>
  </si>
  <si>
    <t>26-04-2004</t>
  </si>
  <si>
    <t>14053.002.1018.900</t>
  </si>
  <si>
    <t>18-08-1961</t>
  </si>
  <si>
    <t>DAMIA SAMBEL</t>
  </si>
  <si>
    <t>14053.003.1018.903</t>
  </si>
  <si>
    <t>23-09-1978</t>
  </si>
  <si>
    <t>14053.003.1018.904</t>
  </si>
  <si>
    <t>02-09-1996</t>
  </si>
  <si>
    <t>14053.001.1018.906</t>
  </si>
  <si>
    <t>15-04-1985</t>
  </si>
  <si>
    <t>14053.003.1018.908</t>
  </si>
  <si>
    <t>14053.005.1018.910</t>
  </si>
  <si>
    <t>08-09-1982</t>
  </si>
  <si>
    <t>14053.001.1018.913</t>
  </si>
  <si>
    <t>21-08-2003</t>
  </si>
  <si>
    <t>14053.001.1018.915</t>
  </si>
  <si>
    <t>16-04-2000</t>
  </si>
  <si>
    <t>14053.002.1018.916</t>
  </si>
  <si>
    <t>14053.001.1018.917</t>
  </si>
  <si>
    <t>05-05-1969</t>
  </si>
  <si>
    <t>14053.002.1018.919</t>
  </si>
  <si>
    <t>14053.003.1018.920</t>
  </si>
  <si>
    <t>14053.002.1018.921</t>
  </si>
  <si>
    <t>14053.003.1018.922</t>
  </si>
  <si>
    <t>14-09-1956</t>
  </si>
  <si>
    <t>14053.001.1018.925</t>
  </si>
  <si>
    <t>16-05-1983</t>
  </si>
  <si>
    <t>14053.003.1018.926</t>
  </si>
  <si>
    <t>18-07-1976</t>
  </si>
  <si>
    <t>14053.001.1018.931</t>
  </si>
  <si>
    <t>12-03-1981</t>
  </si>
  <si>
    <t>14053.006.1018.934</t>
  </si>
  <si>
    <t>01-06-1993</t>
  </si>
  <si>
    <t>14053.001.1018.935</t>
  </si>
  <si>
    <t>18-05-1976</t>
  </si>
  <si>
    <t>KINDERHOME SKA</t>
  </si>
  <si>
    <t>14053.006.1018.936</t>
  </si>
  <si>
    <t>10-04-1984</t>
  </si>
  <si>
    <t>14053.001.1018.937</t>
  </si>
  <si>
    <t>15-03-2000</t>
  </si>
  <si>
    <t>CV LAUTAN BERLIAN</t>
  </si>
  <si>
    <t>14053.006.1018.939</t>
  </si>
  <si>
    <t>03-06-1976</t>
  </si>
  <si>
    <t>14053.001.1018.942</t>
  </si>
  <si>
    <t>12-09-1970</t>
  </si>
  <si>
    <t>14053.005.1018.944</t>
  </si>
  <si>
    <t>SEKOLAH MUSIK PURWACARAKA</t>
  </si>
  <si>
    <t>14053.001.1018.945</t>
  </si>
  <si>
    <t>16-08-1972</t>
  </si>
  <si>
    <t>KESEKRETARIATAN</t>
  </si>
  <si>
    <t>POLRES KABUPATEN</t>
  </si>
  <si>
    <t>14053.001.1018.946</t>
  </si>
  <si>
    <t>10-03-1995</t>
  </si>
  <si>
    <t>SABHARA</t>
  </si>
  <si>
    <t>POLRES KABUPATEN PROBOLINGGO</t>
  </si>
  <si>
    <t>14053.001.1018.947</t>
  </si>
  <si>
    <t>26-01-2001</t>
  </si>
  <si>
    <t>14053.001.1018.949</t>
  </si>
  <si>
    <t>07-05-1983</t>
  </si>
  <si>
    <t>14053.002.1018.951</t>
  </si>
  <si>
    <t>16-12-1986</t>
  </si>
  <si>
    <t>14053.003.1018.952</t>
  </si>
  <si>
    <t>02-02-1993</t>
  </si>
  <si>
    <t>14053.005.1018.953</t>
  </si>
  <si>
    <t>28-06-1997</t>
  </si>
  <si>
    <t>14053.001.1018.954</t>
  </si>
  <si>
    <t>07-09-1986</t>
  </si>
  <si>
    <t>14053.002.1018.955</t>
  </si>
  <si>
    <t>22-07-1993</t>
  </si>
  <si>
    <t>14053.002.1018.956</t>
  </si>
  <si>
    <t>14053.002.1018.957</t>
  </si>
  <si>
    <t>05-09-1997</t>
  </si>
  <si>
    <t>14053.002.1018.958</t>
  </si>
  <si>
    <t>27-08-1990</t>
  </si>
  <si>
    <t>14053.003.1018.960</t>
  </si>
  <si>
    <t>19-02-1986</t>
  </si>
  <si>
    <t>RS PERKEBUNAN JEMBER KLINIK</t>
  </si>
  <si>
    <t>14053.002.1018.961</t>
  </si>
  <si>
    <t>01-01-1997</t>
  </si>
  <si>
    <t>PERUMAHAN TIARA RESIDENCE</t>
  </si>
  <si>
    <t>14053.001.1018.962</t>
  </si>
  <si>
    <t>14053.001.1018.963</t>
  </si>
  <si>
    <t>22-08-1991</t>
  </si>
  <si>
    <t>13-02-1975</t>
  </si>
  <si>
    <t>14053.003.1018.967</t>
  </si>
  <si>
    <t>PT NOVELL</t>
  </si>
  <si>
    <t>02-01-1996</t>
  </si>
  <si>
    <t>14053.002.1018.969</t>
  </si>
  <si>
    <t>14053.001.1018.970</t>
  </si>
  <si>
    <t>21-08-1969</t>
  </si>
  <si>
    <t>14053.001.1018.972</t>
  </si>
  <si>
    <t>11-03-1974</t>
  </si>
  <si>
    <t>JASA PENYEDIA MAKANAN DAN MINUMAN</t>
  </si>
  <si>
    <t>PT AGRO PRIMA SEJAHTERA</t>
  </si>
  <si>
    <t>14053.004.1018.973</t>
  </si>
  <si>
    <t>19-08-1985</t>
  </si>
  <si>
    <t>KUE</t>
  </si>
  <si>
    <t>14053.006.1018.975</t>
  </si>
  <si>
    <t>09-06-1962</t>
  </si>
  <si>
    <t>14053.003.1018.977</t>
  </si>
  <si>
    <t>11-11-1994</t>
  </si>
  <si>
    <t>14053.004.1018.978</t>
  </si>
  <si>
    <t>02-09-1976</t>
  </si>
  <si>
    <t>14053.001.1018.979</t>
  </si>
  <si>
    <t>10-12-1947</t>
  </si>
  <si>
    <t>14053.001.1018.980</t>
  </si>
  <si>
    <t>01-01-1972</t>
  </si>
  <si>
    <t>BIMBLE KUMON</t>
  </si>
  <si>
    <t>14053.003.1018.981</t>
  </si>
  <si>
    <t>24-01-1983</t>
  </si>
  <si>
    <t>INSPEKTORAT KAB BONDOWOSO</t>
  </si>
  <si>
    <t>14053.003.1018.982</t>
  </si>
  <si>
    <t>10-03-1992</t>
  </si>
  <si>
    <t>14053.001.1018.985</t>
  </si>
  <si>
    <t>30-09-1996</t>
  </si>
  <si>
    <t>14053.001.1018.986</t>
  </si>
  <si>
    <t>14-08-1979</t>
  </si>
  <si>
    <t>SDK SANG TIMUR PASURUAN</t>
  </si>
  <si>
    <t>14053.003.1019.224</t>
  </si>
  <si>
    <t>14-12-2001</t>
  </si>
  <si>
    <t>14053.001.1019.234</t>
  </si>
  <si>
    <t>12-03-2001</t>
  </si>
  <si>
    <t>14053.006.1019.235</t>
  </si>
  <si>
    <t>14053.001.1019.235</t>
  </si>
  <si>
    <t>25-08-1998</t>
  </si>
  <si>
    <t>14053.001.1019.236</t>
  </si>
  <si>
    <t>23-03-1994</t>
  </si>
  <si>
    <t>14053.001.1019.237</t>
  </si>
  <si>
    <t>11-10-2002</t>
  </si>
  <si>
    <t>14053.001.1019.238</t>
  </si>
  <si>
    <t>15-12-2001</t>
  </si>
  <si>
    <t>FORMAL</t>
  </si>
  <si>
    <t>14053.006.1019.240</t>
  </si>
  <si>
    <t>14053.001.1019.241</t>
  </si>
  <si>
    <t>21-10-1956</t>
  </si>
  <si>
    <t>14053.003.1019.242</t>
  </si>
  <si>
    <t>14053.003.1019.243</t>
  </si>
  <si>
    <t>08-06-1973</t>
  </si>
  <si>
    <t>14053.001.1019.244</t>
  </si>
  <si>
    <t>14053.001.1019.247</t>
  </si>
  <si>
    <t>29-07-1995</t>
  </si>
  <si>
    <t>14053.001.1019.248</t>
  </si>
  <si>
    <t>29-02-2000</t>
  </si>
  <si>
    <t>14053.001.1019.249</t>
  </si>
  <si>
    <t>15-04-1998</t>
  </si>
  <si>
    <t>14053.001.1019.251</t>
  </si>
  <si>
    <t>28-03-1992</t>
  </si>
  <si>
    <t>RS MOCH SALEH PROBOLINGGO</t>
  </si>
  <si>
    <t>20-08-1988</t>
  </si>
  <si>
    <t>14053.006.1019.254</t>
  </si>
  <si>
    <t>11-03-1972</t>
  </si>
  <si>
    <t>14053.003.1019.256</t>
  </si>
  <si>
    <t>04-07-1976</t>
  </si>
  <si>
    <t>14053.001.1019.258</t>
  </si>
  <si>
    <t>04-04-1992</t>
  </si>
  <si>
    <t>14053.001.1019.259</t>
  </si>
  <si>
    <t>27-04-1999</t>
  </si>
  <si>
    <t>14053.001.1019.260</t>
  </si>
  <si>
    <t>01-07-1992</t>
  </si>
  <si>
    <t>14053.002.1019.261</t>
  </si>
  <si>
    <t>30-01-1990</t>
  </si>
  <si>
    <t>20-10-1997</t>
  </si>
  <si>
    <t>25-05-1987</t>
  </si>
  <si>
    <t>14053.003.1019.267</t>
  </si>
  <si>
    <t>09-09-1977</t>
  </si>
  <si>
    <t>14053.001.1019.269</t>
  </si>
  <si>
    <t>30-12-1979</t>
  </si>
  <si>
    <t>14053.001.1019.271</t>
  </si>
  <si>
    <t>25-04-1987</t>
  </si>
  <si>
    <t>14053.004.1019.273</t>
  </si>
  <si>
    <t>14053.003.1019.274</t>
  </si>
  <si>
    <t>10-01-1987</t>
  </si>
  <si>
    <t>14053.004.1019.276</t>
  </si>
  <si>
    <t>14053.005.1019.277</t>
  </si>
  <si>
    <t>08-01-2004</t>
  </si>
  <si>
    <t>14053.003.1019.278</t>
  </si>
  <si>
    <t>25-09-1969</t>
  </si>
  <si>
    <t>PT ASIAN HYBRID SEEDS TECHNOLOGIES INDONESIA</t>
  </si>
  <si>
    <t>14053.001.1019.282</t>
  </si>
  <si>
    <t>04-05-1971</t>
  </si>
  <si>
    <t>14053.006.1019.283</t>
  </si>
  <si>
    <t>14053.001.1019.284</t>
  </si>
  <si>
    <t>25-07-1985</t>
  </si>
  <si>
    <t>KONTRUKSI BESI &amp; BAJA</t>
  </si>
  <si>
    <t>14053.001.1019.285</t>
  </si>
  <si>
    <t>03-08-1987</t>
  </si>
  <si>
    <t>SMKN 1 WONOMERTO</t>
  </si>
  <si>
    <t>14053.003.1019.286</t>
  </si>
  <si>
    <t>14053.004.1019.289</t>
  </si>
  <si>
    <t>PENGAJAR</t>
  </si>
  <si>
    <t>14053.001.1019.290</t>
  </si>
  <si>
    <t>20-01-1961</t>
  </si>
  <si>
    <t>14053.001.1019.293</t>
  </si>
  <si>
    <t>31-05-1990</t>
  </si>
  <si>
    <t>14053.001.1019.294</t>
  </si>
  <si>
    <t>03-11-1996</t>
  </si>
  <si>
    <t>14053.006.1019.296</t>
  </si>
  <si>
    <t>24-10-1974</t>
  </si>
  <si>
    <t>14053.001.1019.297</t>
  </si>
  <si>
    <t>06-10-1999</t>
  </si>
  <si>
    <t>18-07-1978</t>
  </si>
  <si>
    <t>14053.001.1019.303</t>
  </si>
  <si>
    <t>14053.003.1019.305</t>
  </si>
  <si>
    <t>23-06-1963</t>
  </si>
  <si>
    <t>14053.006.1019.307</t>
  </si>
  <si>
    <t>27-07-1972</t>
  </si>
  <si>
    <t>14053.003.1019.308</t>
  </si>
  <si>
    <t>01-06-1984</t>
  </si>
  <si>
    <t>JUAL MAKANAN DAN KUE BASAH</t>
  </si>
  <si>
    <t>14053.003.1019.309</t>
  </si>
  <si>
    <t>30-06-1962</t>
  </si>
  <si>
    <t>14053.006.1019.310</t>
  </si>
  <si>
    <t>21-03-1988</t>
  </si>
  <si>
    <t>14053.004.1019.311</t>
  </si>
  <si>
    <t>23-05-1994</t>
  </si>
  <si>
    <t>14053.002.1019.313</t>
  </si>
  <si>
    <t>17-08-1995</t>
  </si>
  <si>
    <t>14053.003.1019.314</t>
  </si>
  <si>
    <t>20-09-1997</t>
  </si>
  <si>
    <t>JUAL BAKPAU</t>
  </si>
  <si>
    <t>14053.001.1019.315</t>
  </si>
  <si>
    <t>06-07-2003</t>
  </si>
  <si>
    <t>14053.001.1019.316</t>
  </si>
  <si>
    <t>28-04-1948</t>
  </si>
  <si>
    <t>14053.002.1019.317</t>
  </si>
  <si>
    <t>20-08-1990</t>
  </si>
  <si>
    <t>14053.001.1019.318</t>
  </si>
  <si>
    <t>14053.001.1019.319</t>
  </si>
  <si>
    <t>14053.002.1019.321</t>
  </si>
  <si>
    <t>14053.001.1019.322</t>
  </si>
  <si>
    <t>14053.001.1019.324</t>
  </si>
  <si>
    <t>12-12-1971</t>
  </si>
  <si>
    <t>PERHUTANI</t>
  </si>
  <si>
    <t>14053.006.1019.325</t>
  </si>
  <si>
    <t>23-11-1985</t>
  </si>
  <si>
    <t>14053.002.1019.327</t>
  </si>
  <si>
    <t>16-12-1991</t>
  </si>
  <si>
    <t>14053.001.1019.328</t>
  </si>
  <si>
    <t>29-07-1999</t>
  </si>
  <si>
    <t>14053.001.1019.329</t>
  </si>
  <si>
    <t>PT DAMAI SENTOSA DISTRIBUSI</t>
  </si>
  <si>
    <t>14053.003.1019.332</t>
  </si>
  <si>
    <t>BATIK COLLECTION</t>
  </si>
  <si>
    <t>14053.001.1019.333</t>
  </si>
  <si>
    <t>05-06-1996</t>
  </si>
  <si>
    <t>14053.001.1019.334</t>
  </si>
  <si>
    <t>25-11-1997</t>
  </si>
  <si>
    <t>14053.001.1019.336</t>
  </si>
  <si>
    <t>14053.001.1019.337</t>
  </si>
  <si>
    <t>07-07-1993</t>
  </si>
  <si>
    <t>ARV DIGITAL PRINTING</t>
  </si>
  <si>
    <t>14053.001.1019.338</t>
  </si>
  <si>
    <t>31-01-1979</t>
  </si>
  <si>
    <t>14053.001.1019.339</t>
  </si>
  <si>
    <t>27-10-2000</t>
  </si>
  <si>
    <t>14053.001.1019.340</t>
  </si>
  <si>
    <t>25-03-1963</t>
  </si>
  <si>
    <t>SDN TRIWUNG LOR 3</t>
  </si>
  <si>
    <t>14053.006.1019.341</t>
  </si>
  <si>
    <t>23-12-1997</t>
  </si>
  <si>
    <t>14053.001.1019.342</t>
  </si>
  <si>
    <t>24-11-1967</t>
  </si>
  <si>
    <t>PENSIUNAN BTPN</t>
  </si>
  <si>
    <t>14053.001.1019.343</t>
  </si>
  <si>
    <t>14053.001.1019.344</t>
  </si>
  <si>
    <t>26-09-1971</t>
  </si>
  <si>
    <t>SDN SKJ 1</t>
  </si>
  <si>
    <t>14053.001.1019.345</t>
  </si>
  <si>
    <t>10-03-1998</t>
  </si>
  <si>
    <t xml:space="preserve">PT WORLD INNOVATIVE TELECOMMUNICATION </t>
  </si>
  <si>
    <t>14053.001.1019.348</t>
  </si>
  <si>
    <t>DINAS LINGKUNGAN HIDUP KOTA PROBOLINGGO</t>
  </si>
  <si>
    <t>14053.004.1019.351</t>
  </si>
  <si>
    <t>14053.001.1019.353</t>
  </si>
  <si>
    <t>27-11-1963</t>
  </si>
  <si>
    <t>KOPOSTRA</t>
  </si>
  <si>
    <t>14053.001.1019.355</t>
  </si>
  <si>
    <t>26-06-1987</t>
  </si>
  <si>
    <t>PRODUKSI DAN PENGOLAHAN PAKAN TERNA</t>
  </si>
  <si>
    <t>PT CHAROEN POKPHAND</t>
  </si>
  <si>
    <t>14053.001.1019.358</t>
  </si>
  <si>
    <t>13-03-1997</t>
  </si>
  <si>
    <t>14053.005.1019.359</t>
  </si>
  <si>
    <t>16-08-1984</t>
  </si>
  <si>
    <t>14053.001.1019.360</t>
  </si>
  <si>
    <t>07-11-1996</t>
  </si>
  <si>
    <t>DESTINASI PARIWISATA</t>
  </si>
  <si>
    <t>DINAS KEBUDAYAAN &amp; PARIWISATA PROV JATIM</t>
  </si>
  <si>
    <t>14053.001.1019.361</t>
  </si>
  <si>
    <t>22-02-1986</t>
  </si>
  <si>
    <t>14053.001.1019.362</t>
  </si>
  <si>
    <t>31-12-2002</t>
  </si>
  <si>
    <t>UNIVERSITAS PETRA</t>
  </si>
  <si>
    <t>14053.005.1019.363</t>
  </si>
  <si>
    <t>10-06-2002</t>
  </si>
  <si>
    <t>14053.001.1019.364</t>
  </si>
  <si>
    <t>02-05-1992</t>
  </si>
  <si>
    <t>KEPERAWATAN</t>
  </si>
  <si>
    <t>RS  JAKARTA</t>
  </si>
  <si>
    <t>14053.003.1019.365</t>
  </si>
  <si>
    <t>13-12-1980</t>
  </si>
  <si>
    <t>JUAL MAKANAN DAN MINUMAN</t>
  </si>
  <si>
    <t>14053.006.1019.366</t>
  </si>
  <si>
    <t>14053.001.1019.367</t>
  </si>
  <si>
    <t>SEWA GEDUNG</t>
  </si>
  <si>
    <t>GEDUNG WIDYA HARJA</t>
  </si>
  <si>
    <t>14053.003.1019.371</t>
  </si>
  <si>
    <t>12-08-1983</t>
  </si>
  <si>
    <t>14053.004.1019.372</t>
  </si>
  <si>
    <t>06-08-1975</t>
  </si>
  <si>
    <t>MI YAMIN SEMARANG</t>
  </si>
  <si>
    <t>14053.001.1019.373</t>
  </si>
  <si>
    <t>08-03-2003</t>
  </si>
  <si>
    <t>14053.004.1019.374</t>
  </si>
  <si>
    <t>30-06-1995</t>
  </si>
  <si>
    <t>PT INDOSAT TBK</t>
  </si>
  <si>
    <t>14053.004.1019.377</t>
  </si>
  <si>
    <t>08-02-1996</t>
  </si>
  <si>
    <t>PENYIAR</t>
  </si>
  <si>
    <t>14053.004.1019.378</t>
  </si>
  <si>
    <t>23-08-1995</t>
  </si>
  <si>
    <t>14053.004.1019.379</t>
  </si>
  <si>
    <t>11-05-2000</t>
  </si>
  <si>
    <t>TILU CAFE</t>
  </si>
  <si>
    <t>14053.004.1019.380</t>
  </si>
  <si>
    <t>28-08-1971</t>
  </si>
  <si>
    <t>JUAL NASI BUNGKUS</t>
  </si>
  <si>
    <t>14053.004.1019.382</t>
  </si>
  <si>
    <t>14053.004.1019.384</t>
  </si>
  <si>
    <t>14-02-1993</t>
  </si>
  <si>
    <t>SMPN 4</t>
  </si>
  <si>
    <t>14053.004.1019.385</t>
  </si>
  <si>
    <t>29-06-1997</t>
  </si>
  <si>
    <t>14053.004.1019.386</t>
  </si>
  <si>
    <t>05-04-1997</t>
  </si>
  <si>
    <t>14053.004.1019.387</t>
  </si>
  <si>
    <t>07-03-1992</t>
  </si>
  <si>
    <t>14053.002.1019.389</t>
  </si>
  <si>
    <t>PT ATALIAN GLOBAL CERVICE</t>
  </si>
  <si>
    <t>14053.006.1019.390</t>
  </si>
  <si>
    <t>14053.001.1019.391</t>
  </si>
  <si>
    <t>31-10-1996</t>
  </si>
  <si>
    <t>14053.001.1019.392</t>
  </si>
  <si>
    <t>25-03-2004</t>
  </si>
  <si>
    <t>14053.006.1019.394</t>
  </si>
  <si>
    <t>19-03-1970</t>
  </si>
  <si>
    <t>14053.003.1019.395</t>
  </si>
  <si>
    <t>PERHUBUNGAN</t>
  </si>
  <si>
    <t>14053.006.1019.397</t>
  </si>
  <si>
    <t>02-10-1987</t>
  </si>
  <si>
    <t>14053.006.1019.399</t>
  </si>
  <si>
    <t>20-07-1967</t>
  </si>
  <si>
    <t>14053.001.1019.400</t>
  </si>
  <si>
    <t>28-12-1970</t>
  </si>
  <si>
    <t>THALITHA LAUNDRY</t>
  </si>
  <si>
    <t>14053.001.1019.401</t>
  </si>
  <si>
    <t>WARUNG SIMPANG 4 JAYA</t>
  </si>
  <si>
    <t>14053.001.1019.402</t>
  </si>
  <si>
    <t>KLINIK GRADITAMA</t>
  </si>
  <si>
    <t>14053.003.1019.403</t>
  </si>
  <si>
    <t>09-05-2008</t>
  </si>
  <si>
    <t>14053.003.1019.405</t>
  </si>
  <si>
    <t>21-04-2005</t>
  </si>
  <si>
    <t>14053.001.1019.408</t>
  </si>
  <si>
    <t>10-12-1984</t>
  </si>
  <si>
    <t>BKPSDM</t>
  </si>
  <si>
    <t>14053.005.1019.411</t>
  </si>
  <si>
    <t>13-11-1987</t>
  </si>
  <si>
    <t>KEPALA TEKNISI</t>
  </si>
  <si>
    <t>SURYA PATRIA CRANE</t>
  </si>
  <si>
    <t>14053.003.1019.412</t>
  </si>
  <si>
    <t>14053.004.1019.413</t>
  </si>
  <si>
    <t>22-04-1995</t>
  </si>
  <si>
    <t>14053.001.1019.414</t>
  </si>
  <si>
    <t>27-10-1985</t>
  </si>
  <si>
    <t>14053.001.1019.415</t>
  </si>
  <si>
    <t>10-01-1988</t>
  </si>
  <si>
    <t>14053.003.1019.417</t>
  </si>
  <si>
    <t>28-02-1987</t>
  </si>
  <si>
    <t>RETAIL ONLINE</t>
  </si>
  <si>
    <t>14053.003.1019.418</t>
  </si>
  <si>
    <t>21-12-1999</t>
  </si>
  <si>
    <t>14053.001.1019.419</t>
  </si>
  <si>
    <t>28-09-1991</t>
  </si>
  <si>
    <t>BARBER SHOP</t>
  </si>
  <si>
    <t>EXITO BARBERSHOP</t>
  </si>
  <si>
    <t>14053.002.1019.421</t>
  </si>
  <si>
    <t>29-09-1998</t>
  </si>
  <si>
    <t>14053.002.1019.423</t>
  </si>
  <si>
    <t>03-09-1988</t>
  </si>
  <si>
    <t>KUA PAJARAKAN</t>
  </si>
  <si>
    <t>14053.001.1019.424</t>
  </si>
  <si>
    <t>08-04-1994</t>
  </si>
  <si>
    <t>14053.001.1019.425</t>
  </si>
  <si>
    <t>31-12-1967</t>
  </si>
  <si>
    <t>14053.001.1019.426</t>
  </si>
  <si>
    <t>14053.001.1019.427</t>
  </si>
  <si>
    <t>07-03-1975</t>
  </si>
  <si>
    <t>14053.001.1019.428</t>
  </si>
  <si>
    <t>04-01-1977</t>
  </si>
  <si>
    <t>PT ARIA</t>
  </si>
  <si>
    <t>14053.001.1019.430</t>
  </si>
  <si>
    <t>19-07-1992</t>
  </si>
  <si>
    <t>PT PEMBANGUNAN JAWA BALI</t>
  </si>
  <si>
    <t>14053.001.1019.431</t>
  </si>
  <si>
    <t>29-12-1969</t>
  </si>
  <si>
    <t>SDN PILANG 2</t>
  </si>
  <si>
    <t>14053.001.1019.432</t>
  </si>
  <si>
    <t>12-08-1989</t>
  </si>
  <si>
    <t>14053.001.1019.433</t>
  </si>
  <si>
    <t>30-04-2001</t>
  </si>
  <si>
    <t>14053.001.1019.434</t>
  </si>
  <si>
    <t>27-06-2001</t>
  </si>
  <si>
    <t>GURU LES</t>
  </si>
  <si>
    <t>14053.002.1019.436</t>
  </si>
  <si>
    <t>12-04-1977</t>
  </si>
  <si>
    <t xml:space="preserve">USAHA JUAL MAKANAN </t>
  </si>
  <si>
    <t>14053.001.1019.437</t>
  </si>
  <si>
    <t>14053.001.1019.438</t>
  </si>
  <si>
    <t>25-03-1960</t>
  </si>
  <si>
    <t>SERVICE KENDARAAN</t>
  </si>
  <si>
    <t>PRATAMA JAYA VARIASI</t>
  </si>
  <si>
    <t>14053.003.1019.439</t>
  </si>
  <si>
    <t>14053.001.1019.440</t>
  </si>
  <si>
    <t>13-05-1997</t>
  </si>
  <si>
    <t>14053.003.1019.441</t>
  </si>
  <si>
    <t>14053.004.1019.442</t>
  </si>
  <si>
    <t>15-03-1975</t>
  </si>
  <si>
    <t>WARKOP</t>
  </si>
  <si>
    <t>14053.004.1019.443</t>
  </si>
  <si>
    <t>17-09-1972</t>
  </si>
  <si>
    <t>14053.001.1019.444</t>
  </si>
  <si>
    <t>RS WONOLANGAN</t>
  </si>
  <si>
    <t>14053.002.1019.445</t>
  </si>
  <si>
    <t>08-08-1981</t>
  </si>
  <si>
    <t>14053.003.1019.446</t>
  </si>
  <si>
    <t>14053.004.1019.447</t>
  </si>
  <si>
    <t>08-10-1988</t>
  </si>
  <si>
    <t>14053.006.1019.448</t>
  </si>
  <si>
    <t>31-12-1953</t>
  </si>
  <si>
    <t>14053.001.1019.449</t>
  </si>
  <si>
    <t>13-02-1984</t>
  </si>
  <si>
    <t>14053.001.1019.450</t>
  </si>
  <si>
    <t>KARYAWAN KDS DEPT. STORE</t>
  </si>
  <si>
    <t>14053.006.1019.451</t>
  </si>
  <si>
    <t>24-12-1977</t>
  </si>
  <si>
    <t>14053.006.1019.452</t>
  </si>
  <si>
    <t>25-12-1977</t>
  </si>
  <si>
    <t>14053.006.1019.453</t>
  </si>
  <si>
    <t>16-11-1972</t>
  </si>
  <si>
    <t>14053.003.1019.454</t>
  </si>
  <si>
    <t>08-03-1981</t>
  </si>
  <si>
    <t>14053.003.1019.455</t>
  </si>
  <si>
    <t>08-07-1971</t>
  </si>
  <si>
    <t>KOPETEL</t>
  </si>
  <si>
    <t>14053.001.1019.456</t>
  </si>
  <si>
    <t>03-06-2005</t>
  </si>
  <si>
    <t>14053.001.1019.458</t>
  </si>
  <si>
    <t>12-04-1995</t>
  </si>
  <si>
    <t>PT AGRI MAKMUR PERTIWI</t>
  </si>
  <si>
    <t>14053.001.1019.459</t>
  </si>
  <si>
    <t>26-04-1985</t>
  </si>
  <si>
    <t>14053.001.1019.460</t>
  </si>
  <si>
    <t>20-06-1961</t>
  </si>
  <si>
    <t>14053.001.1019.461</t>
  </si>
  <si>
    <t>14053.001.1019.463</t>
  </si>
  <si>
    <t>01-06-2001</t>
  </si>
  <si>
    <t>LIBELE</t>
  </si>
  <si>
    <t>14053.003.1019.464</t>
  </si>
  <si>
    <t>20-09-1958</t>
  </si>
  <si>
    <t>14053.001.1019.465</t>
  </si>
  <si>
    <t>14-09-1994</t>
  </si>
  <si>
    <t>14053.006.1019.466</t>
  </si>
  <si>
    <t>14053.001.1019.467</t>
  </si>
  <si>
    <t>17-01-2002</t>
  </si>
  <si>
    <t>ALFAMART</t>
  </si>
  <si>
    <t>14053.001.1019.468</t>
  </si>
  <si>
    <t>04-07-1999</t>
  </si>
  <si>
    <t>07-12-1967</t>
  </si>
  <si>
    <t>14053.003.1019.471</t>
  </si>
  <si>
    <t>14053.003.1019.472</t>
  </si>
  <si>
    <t>07-04-1994</t>
  </si>
  <si>
    <t>MIE KOPYOK</t>
  </si>
  <si>
    <t>14053.001.1019.473</t>
  </si>
  <si>
    <t>TK. ABBA 5</t>
  </si>
  <si>
    <t>14053.006.1019.474</t>
  </si>
  <si>
    <t>14053.001.1019.475</t>
  </si>
  <si>
    <t>01-06-1990</t>
  </si>
  <si>
    <t>14053.003.1019.478</t>
  </si>
  <si>
    <t>30-01-1977</t>
  </si>
  <si>
    <t>14053.004.1019.480</t>
  </si>
  <si>
    <t>03-10-1974</t>
  </si>
  <si>
    <t>KANTOR PEMDA</t>
  </si>
  <si>
    <t>PEMDA</t>
  </si>
  <si>
    <t>14053.004.1019.481</t>
  </si>
  <si>
    <t>27-01-1994</t>
  </si>
  <si>
    <t>14053.001.1019.484</t>
  </si>
  <si>
    <t>29-10-1978</t>
  </si>
  <si>
    <t>OTOMOTIF</t>
  </si>
  <si>
    <t>TOKO VARIASI MOTOR</t>
  </si>
  <si>
    <t>14053.001.1019.485</t>
  </si>
  <si>
    <t>04-06-1985</t>
  </si>
  <si>
    <t>14053.001.1019.486</t>
  </si>
  <si>
    <t>21-01-1984</t>
  </si>
  <si>
    <t>KURNIA LAUNDRY</t>
  </si>
  <si>
    <t>14053.001.1019.487</t>
  </si>
  <si>
    <t>11-06-1989</t>
  </si>
  <si>
    <t>14053.001.1019.489</t>
  </si>
  <si>
    <t>17-01-1983</t>
  </si>
  <si>
    <t>DAGANG</t>
  </si>
  <si>
    <t>TOKO MENTARI</t>
  </si>
  <si>
    <t>14053.001.1019.490</t>
  </si>
  <si>
    <t>11-03-1982</t>
  </si>
  <si>
    <t>PT. ANGKASARIA INDAH ABADI</t>
  </si>
  <si>
    <t>14053.001.1019.491</t>
  </si>
  <si>
    <t>02-04-1972</t>
  </si>
  <si>
    <t>PT. KUTAI TIMBER INDONESIA</t>
  </si>
  <si>
    <t>14053.001.1019.492</t>
  </si>
  <si>
    <t>28-02-2001</t>
  </si>
  <si>
    <t>meubel</t>
  </si>
  <si>
    <t>miracle meuble</t>
  </si>
  <si>
    <t>14053.001.1019.493</t>
  </si>
  <si>
    <t>15-10-1993</t>
  </si>
  <si>
    <t>UD MODERN III</t>
  </si>
  <si>
    <t>14053.001.1019.494</t>
  </si>
  <si>
    <t>16-02-1990</t>
  </si>
  <si>
    <t>14053.001.1019.496</t>
  </si>
  <si>
    <t>05-02-1992</t>
  </si>
  <si>
    <t>14053.001.1019.497</t>
  </si>
  <si>
    <t>09-05-1988</t>
  </si>
  <si>
    <t>14053.001.1019.498</t>
  </si>
  <si>
    <t>30-03-1989</t>
  </si>
  <si>
    <t>SMPN 1 KOTA PROBOLINGGO</t>
  </si>
  <si>
    <t>14053.001.1019.499</t>
  </si>
  <si>
    <t>03-09-1986</t>
  </si>
  <si>
    <t>14053.001.1019.500</t>
  </si>
  <si>
    <t>27-09-1978</t>
  </si>
  <si>
    <t>MIDIA TAYLOR</t>
  </si>
  <si>
    <t>14053.002.1019.501</t>
  </si>
  <si>
    <t>17-07-1972</t>
  </si>
  <si>
    <t>PJB PLTU PAITON</t>
  </si>
  <si>
    <t>14053.001.1019.503</t>
  </si>
  <si>
    <t>03-05-1986</t>
  </si>
  <si>
    <t>14053.001.1019.504</t>
  </si>
  <si>
    <t>29-04-1986</t>
  </si>
  <si>
    <t>14053.001.1019.506</t>
  </si>
  <si>
    <t>31-10-1977</t>
  </si>
  <si>
    <t>TOKO SUMBAWA</t>
  </si>
  <si>
    <t>14053.001.1019.507</t>
  </si>
  <si>
    <t>02-03-1989</t>
  </si>
  <si>
    <t>14053.006.1019.508</t>
  </si>
  <si>
    <t>20-03-1961</t>
  </si>
  <si>
    <t>14053.001.1019.509</t>
  </si>
  <si>
    <t>19-09-1954</t>
  </si>
  <si>
    <t>14053.003.1019.510</t>
  </si>
  <si>
    <t>14053.001.1019.514</t>
  </si>
  <si>
    <t>14053.003.1019.515</t>
  </si>
  <si>
    <t>25-10-2003</t>
  </si>
  <si>
    <t>LOS BANANAS</t>
  </si>
  <si>
    <t>14053.001.1019.517</t>
  </si>
  <si>
    <t>19-11-1985</t>
  </si>
  <si>
    <t>14053.001.1019.519</t>
  </si>
  <si>
    <t>14053.004.1019.520</t>
  </si>
  <si>
    <t>14-03-1986</t>
  </si>
  <si>
    <t>SMP PGRI</t>
  </si>
  <si>
    <t>14053.003.1019.521</t>
  </si>
  <si>
    <t>09-05-1987</t>
  </si>
  <si>
    <t>SIANTAR GROUP</t>
  </si>
  <si>
    <t>14053.004.1019.523</t>
  </si>
  <si>
    <t>ONLINE</t>
  </si>
  <si>
    <t>14053.001.1019.524</t>
  </si>
  <si>
    <t>14-01-1989</t>
  </si>
  <si>
    <t>14053.001.1019.526</t>
  </si>
  <si>
    <t>13-10-1999</t>
  </si>
  <si>
    <t>TEXTILE</t>
  </si>
  <si>
    <t>PT. ERATEX DJAJA</t>
  </si>
  <si>
    <t>14053.001.1019.527</t>
  </si>
  <si>
    <t>BAKWAN BRAK</t>
  </si>
  <si>
    <t>14053.003.1019.530</t>
  </si>
  <si>
    <t>PRODUKSI REMPEYEK</t>
  </si>
  <si>
    <t>14053.003.1019.531</t>
  </si>
  <si>
    <t>13-01-1992</t>
  </si>
  <si>
    <t>14053.003.1019.532</t>
  </si>
  <si>
    <t>01-01-1984</t>
  </si>
  <si>
    <t>IRT</t>
  </si>
  <si>
    <t>14053.001.1019.535</t>
  </si>
  <si>
    <t>18-04-1985</t>
  </si>
  <si>
    <t>14053.001.1019.536</t>
  </si>
  <si>
    <t>18-12-1997</t>
  </si>
  <si>
    <t>14053.001.1019.538</t>
  </si>
  <si>
    <t>14053.002.1019.540</t>
  </si>
  <si>
    <t>14053.001.1019.542</t>
  </si>
  <si>
    <t>14-04-1964</t>
  </si>
  <si>
    <t xml:space="preserve">SDN PAJURANGAN </t>
  </si>
  <si>
    <t>14053.001.1019.544</t>
  </si>
  <si>
    <t>27-12-1970</t>
  </si>
  <si>
    <t>14053.001.1019.545</t>
  </si>
  <si>
    <t>TOKO KOMPUTER</t>
  </si>
  <si>
    <t>SINAGA COMPUTER</t>
  </si>
  <si>
    <t>14053.006.1019.546</t>
  </si>
  <si>
    <t>21-03-1980</t>
  </si>
  <si>
    <t>PEDAGANG ONLINE</t>
  </si>
  <si>
    <t>14053.004.1019.549</t>
  </si>
  <si>
    <t>14053.004.1019.550</t>
  </si>
  <si>
    <t>14053.003.1019.552</t>
  </si>
  <si>
    <t>18-09-1984</t>
  </si>
  <si>
    <t>14053.001.1019.554</t>
  </si>
  <si>
    <t>29-04-1990</t>
  </si>
  <si>
    <t>14053.001.1019.555</t>
  </si>
  <si>
    <t>20-02-1968</t>
  </si>
  <si>
    <t>14053.001.1019.556</t>
  </si>
  <si>
    <t>25-05-1969</t>
  </si>
  <si>
    <t>POLKES 050917</t>
  </si>
  <si>
    <t>14053.001.1019.557</t>
  </si>
  <si>
    <t>WARUNG KACONG</t>
  </si>
  <si>
    <t>14053.006.1019.558</t>
  </si>
  <si>
    <t>RS. HARAPAN MAGELANG</t>
  </si>
  <si>
    <t>14053.001.1019.559</t>
  </si>
  <si>
    <t>19-08-1966</t>
  </si>
  <si>
    <t>KULINER KUE</t>
  </si>
  <si>
    <t>14053.006.1019.561</t>
  </si>
  <si>
    <t>02-03-1975</t>
  </si>
  <si>
    <t>14053.001.1019.563</t>
  </si>
  <si>
    <t>13-09-1969</t>
  </si>
  <si>
    <t>14053.001.1019.564</t>
  </si>
  <si>
    <t>21-01-1987</t>
  </si>
  <si>
    <t>14053.001.1019.566</t>
  </si>
  <si>
    <t>14053.005.1019.567</t>
  </si>
  <si>
    <t>14053.002.1019.568</t>
  </si>
  <si>
    <t>12-05-1988</t>
  </si>
  <si>
    <t>14053.003.1019.569</t>
  </si>
  <si>
    <t>18-04-1998</t>
  </si>
  <si>
    <t>14053.001.1019.571</t>
  </si>
  <si>
    <t>14053.001.1019.572</t>
  </si>
  <si>
    <t>23-10-1987</t>
  </si>
  <si>
    <t>BAKSO MANTEP</t>
  </si>
  <si>
    <t>14053.001.1019.573</t>
  </si>
  <si>
    <t>03-10-1985</t>
  </si>
  <si>
    <t>14053.001.1019.574</t>
  </si>
  <si>
    <t>14-06-1986</t>
  </si>
  <si>
    <t>14053.003.1019.575</t>
  </si>
  <si>
    <t>09-04-1987</t>
  </si>
  <si>
    <t>14053.001.1019.576</t>
  </si>
  <si>
    <t>14053.006.1019.577</t>
  </si>
  <si>
    <t>02-01-1965</t>
  </si>
  <si>
    <t>14053.002.1019.578</t>
  </si>
  <si>
    <t>19-03-1977</t>
  </si>
  <si>
    <t>DINAS PENDIDIKAN DAN KEBUDAYAAN</t>
  </si>
  <si>
    <t>14053.003.1019.579</t>
  </si>
  <si>
    <t>06-06-1986</t>
  </si>
  <si>
    <t>KEBONSARI CONVENTION HALL</t>
  </si>
  <si>
    <t>14053.006.1019.580</t>
  </si>
  <si>
    <t>24-04-1968</t>
  </si>
  <si>
    <t>14053.001.1019.581</t>
  </si>
  <si>
    <t>02-02-1983</t>
  </si>
  <si>
    <t>14053.004.1019.582</t>
  </si>
  <si>
    <t>14053.004.1019.583</t>
  </si>
  <si>
    <t>18-04-1968</t>
  </si>
  <si>
    <t>smpn 4</t>
  </si>
  <si>
    <t>14053.001.1019.584</t>
  </si>
  <si>
    <t>04-09-1990</t>
  </si>
  <si>
    <t>SD BINTANG HARAPAN</t>
  </si>
  <si>
    <t>14053.001.1019.585</t>
  </si>
  <si>
    <t>16-09-1971</t>
  </si>
  <si>
    <t>14053.001.1019.586</t>
  </si>
  <si>
    <t>30-10-1967</t>
  </si>
  <si>
    <t>SDN KEDUNGDALEM</t>
  </si>
  <si>
    <t>14053.001.1019.587</t>
  </si>
  <si>
    <t>29-09-1981</t>
  </si>
  <si>
    <t>14053.001.1019.588</t>
  </si>
  <si>
    <t>14053.001.1019.589</t>
  </si>
  <si>
    <t>26-05-2001</t>
  </si>
  <si>
    <t>14053.004.1019.590</t>
  </si>
  <si>
    <t>19-07-1999</t>
  </si>
  <si>
    <t>14053.006.1019.591</t>
  </si>
  <si>
    <t>06-04-1996</t>
  </si>
  <si>
    <t>14053.001.1019.592</t>
  </si>
  <si>
    <t>02-11-1977</t>
  </si>
  <si>
    <t>14053.001.1019.593</t>
  </si>
  <si>
    <t>22-11-1975</t>
  </si>
  <si>
    <t>14053.003.1019.594</t>
  </si>
  <si>
    <t>06-12-1983</t>
  </si>
  <si>
    <t>14053.003.1019.595</t>
  </si>
  <si>
    <t>05-05-1992</t>
  </si>
  <si>
    <t>PECEL 2 RASA</t>
  </si>
  <si>
    <t>14053.004.1019.596</t>
  </si>
  <si>
    <t>15-01-2000</t>
  </si>
  <si>
    <t>KAOS POLOS</t>
  </si>
  <si>
    <t>14053.001.1019.597</t>
  </si>
  <si>
    <t>14053.001.1019.598</t>
  </si>
  <si>
    <t>24-10-1994</t>
  </si>
  <si>
    <t>14053.006.1019.600</t>
  </si>
  <si>
    <t>04-05-1998</t>
  </si>
  <si>
    <t>14053.004.1019.601</t>
  </si>
  <si>
    <t>30-06-1978</t>
  </si>
  <si>
    <t>UMKM GOR TAWANGALUN</t>
  </si>
  <si>
    <t>14053.004.1019.602</t>
  </si>
  <si>
    <t>15-06-1972</t>
  </si>
  <si>
    <t>KANTIN SDN MOJOPANGGUNG</t>
  </si>
  <si>
    <t>25-12-1997</t>
  </si>
  <si>
    <t>14053.001.1019.604</t>
  </si>
  <si>
    <t>21-03-1952</t>
  </si>
  <si>
    <t>14053.004.1019.605</t>
  </si>
  <si>
    <t>JURAGAN TELUR 99</t>
  </si>
  <si>
    <t>14053.003.1019.606</t>
  </si>
  <si>
    <t>14053.004.1019.607</t>
  </si>
  <si>
    <t>ASEGGAF</t>
  </si>
  <si>
    <t>14053.003.1019.608</t>
  </si>
  <si>
    <t>15-09-1989</t>
  </si>
  <si>
    <t>14053.003.1019.609</t>
  </si>
  <si>
    <t>07-04-1989</t>
  </si>
  <si>
    <t>14053.001.1019.610</t>
  </si>
  <si>
    <t>12-01-1992</t>
  </si>
  <si>
    <t>D BELLPEPPER CAFE</t>
  </si>
  <si>
    <t>14053.001.1019.611</t>
  </si>
  <si>
    <t>14053.001.1019.612</t>
  </si>
  <si>
    <t>10-03-1991</t>
  </si>
  <si>
    <t>14053.004.1019.613</t>
  </si>
  <si>
    <t>19-03-1971</t>
  </si>
  <si>
    <t>SDN TUKANG KAYU</t>
  </si>
  <si>
    <t>14053.004.1019.614</t>
  </si>
  <si>
    <t>22-06-1994</t>
  </si>
  <si>
    <t>gadai mas kertosari</t>
  </si>
  <si>
    <t>14053.003.1019.615</t>
  </si>
  <si>
    <t>02-01-1971</t>
  </si>
  <si>
    <t>14053.002.1019.616</t>
  </si>
  <si>
    <t>28-11-1994</t>
  </si>
  <si>
    <t>PT MARITIM BATUBARA PERTAMA</t>
  </si>
  <si>
    <t>30-04-1997</t>
  </si>
  <si>
    <t>14053.004.1019.620</t>
  </si>
  <si>
    <t>17-06-1997</t>
  </si>
  <si>
    <t>POCOYO</t>
  </si>
  <si>
    <t>14053.003.1019.621</t>
  </si>
  <si>
    <t>14053.006.1019.622</t>
  </si>
  <si>
    <t>14053.004.1019.623</t>
  </si>
  <si>
    <t>ALPUKAT KOCOK</t>
  </si>
  <si>
    <t>14053.001.1019.624</t>
  </si>
  <si>
    <t>30-07-1986</t>
  </si>
  <si>
    <t>14053.003.1019.626</t>
  </si>
  <si>
    <t>27-02-1974</t>
  </si>
  <si>
    <t>METAL FOTO</t>
  </si>
  <si>
    <t>14053.001.1019.627</t>
  </si>
  <si>
    <t>09-08-1983</t>
  </si>
  <si>
    <t>14053.001.1019.628</t>
  </si>
  <si>
    <t>04-03-1955</t>
  </si>
  <si>
    <t>KOS KOSAN</t>
  </si>
  <si>
    <t>BANG DJOO</t>
  </si>
  <si>
    <t>14053.005.1019.629</t>
  </si>
  <si>
    <t>05-02-1993</t>
  </si>
  <si>
    <t>14053.004.1019.630</t>
  </si>
  <si>
    <t>18-08-1992</t>
  </si>
  <si>
    <t>HASBI FOOD</t>
  </si>
  <si>
    <t>14053.003.1019.631</t>
  </si>
  <si>
    <t>14053.006.1019.632</t>
  </si>
  <si>
    <t>02-04-1984</t>
  </si>
  <si>
    <t>14053.005.1019.633</t>
  </si>
  <si>
    <t>14053.005.1019.635</t>
  </si>
  <si>
    <t>14053.001.1019.636</t>
  </si>
  <si>
    <t>13-08-1974</t>
  </si>
  <si>
    <t>14053.001.1019.637</t>
  </si>
  <si>
    <t>05-05-1960</t>
  </si>
  <si>
    <t xml:space="preserve">DBELLPEPPER CAFE </t>
  </si>
  <si>
    <t>14053.001.1019.638</t>
  </si>
  <si>
    <t>06-06-1993</t>
  </si>
  <si>
    <t>14053.002.1019.639</t>
  </si>
  <si>
    <t>03-03-1993</t>
  </si>
  <si>
    <t>14053.004.1019.641</t>
  </si>
  <si>
    <t>27-09-1999</t>
  </si>
  <si>
    <t>PONYO BOBA</t>
  </si>
  <si>
    <t>14053.004.1019.642</t>
  </si>
  <si>
    <t>10-06-1962</t>
  </si>
  <si>
    <t>ES TELLER KETAPANG</t>
  </si>
  <si>
    <t>14053.001.1019.643</t>
  </si>
  <si>
    <t>02-04-2004</t>
  </si>
  <si>
    <t>BROMO PARK</t>
  </si>
  <si>
    <t>14053.001.1019.644</t>
  </si>
  <si>
    <t>16-07-1998</t>
  </si>
  <si>
    <t>14053.001.1019.645</t>
  </si>
  <si>
    <t>29-07-1992</t>
  </si>
  <si>
    <t xml:space="preserve">SMKN 2 PROBOLINGGO </t>
  </si>
  <si>
    <t>14053.001.1019.646</t>
  </si>
  <si>
    <t>16-04-1960</t>
  </si>
  <si>
    <t>D &amp; C CAFE</t>
  </si>
  <si>
    <t>14053.001.1019.647</t>
  </si>
  <si>
    <t>17-03-1976</t>
  </si>
  <si>
    <t xml:space="preserve">GEPREK BROMO </t>
  </si>
  <si>
    <t>14053.004.1019.648</t>
  </si>
  <si>
    <t>04-07-1984</t>
  </si>
  <si>
    <t>KEDAI TASYA</t>
  </si>
  <si>
    <t>14053.004.1019.649</t>
  </si>
  <si>
    <t>16-08-1968</t>
  </si>
  <si>
    <t>14053.001.1019.650</t>
  </si>
  <si>
    <t>14053.006.1019.652</t>
  </si>
  <si>
    <t>29-04-2003</t>
  </si>
  <si>
    <t>14053.001.1019.653</t>
  </si>
  <si>
    <t>18-12-1990</t>
  </si>
  <si>
    <t>LABORATIUM</t>
  </si>
  <si>
    <t xml:space="preserve">RSUD DR MOH SALEH </t>
  </si>
  <si>
    <t>14053.001.1019.654</t>
  </si>
  <si>
    <t>06-02-1995</t>
  </si>
  <si>
    <t>ATLET</t>
  </si>
  <si>
    <t>KONI JATIM</t>
  </si>
  <si>
    <t>14053.002.1019.655</t>
  </si>
  <si>
    <t>26-11-2003</t>
  </si>
  <si>
    <t>14053.002.1019.656</t>
  </si>
  <si>
    <t>24-05-1981</t>
  </si>
  <si>
    <t>14053.003.1019.657</t>
  </si>
  <si>
    <t>13-04-1983</t>
  </si>
  <si>
    <t>14053.003.1019.658</t>
  </si>
  <si>
    <t>10-04-1996</t>
  </si>
  <si>
    <t>14053.001.1019.659</t>
  </si>
  <si>
    <t>04-04-1991</t>
  </si>
  <si>
    <t>14053.001.1019.660</t>
  </si>
  <si>
    <t>06-10-1987</t>
  </si>
  <si>
    <t>14053.001.1019.661</t>
  </si>
  <si>
    <t>24-07-1977</t>
  </si>
  <si>
    <t>KOST</t>
  </si>
  <si>
    <t>KOST 54</t>
  </si>
  <si>
    <t>14053.003.1019.662</t>
  </si>
  <si>
    <t>24-02-1965</t>
  </si>
  <si>
    <t>14053.003.1019.663</t>
  </si>
  <si>
    <t>04-05-1978</t>
  </si>
  <si>
    <t>TUKANG CUCI BAJU</t>
  </si>
  <si>
    <t>14053.003.1019.664</t>
  </si>
  <si>
    <t>22-08-1992</t>
  </si>
  <si>
    <t>AHMAD CELL</t>
  </si>
  <si>
    <t>14053.003.1019.665</t>
  </si>
  <si>
    <t>14053.003.1019.666</t>
  </si>
  <si>
    <t>10-10-1992</t>
  </si>
  <si>
    <t>JUAL KRUPUK</t>
  </si>
  <si>
    <t>14053.003.1019.668</t>
  </si>
  <si>
    <t>01-03-1999</t>
  </si>
  <si>
    <t>RS CITRA HUSADA</t>
  </si>
  <si>
    <t>14053.002.1019.669</t>
  </si>
  <si>
    <t>28-01-1996</t>
  </si>
  <si>
    <t>14053.004.1019.670</t>
  </si>
  <si>
    <t>27-05-2000</t>
  </si>
  <si>
    <t>TOKO FEBY</t>
  </si>
  <si>
    <t>14053.004.1019.671</t>
  </si>
  <si>
    <t>12-05-1998</t>
  </si>
  <si>
    <t>SPG SIPLAH</t>
  </si>
  <si>
    <t>14053.003.1019.672</t>
  </si>
  <si>
    <t>17-02-1953</t>
  </si>
  <si>
    <t>14053.003.1019.673</t>
  </si>
  <si>
    <t>14053.004.1019.674</t>
  </si>
  <si>
    <t>29-08-1990</t>
  </si>
  <si>
    <t>PANTAI BOOM</t>
  </si>
  <si>
    <t>14053.001.1019.675</t>
  </si>
  <si>
    <t>30-04-2002</t>
  </si>
  <si>
    <t>14053.001.1019.676</t>
  </si>
  <si>
    <t xml:space="preserve">RUNG E </t>
  </si>
  <si>
    <t>14053.001.1019.677</t>
  </si>
  <si>
    <t>01-06-1983</t>
  </si>
  <si>
    <t>PERGUDANGAN SURI MULIA</t>
  </si>
  <si>
    <t>14053.001.1019.678</t>
  </si>
  <si>
    <t>06-01-1982</t>
  </si>
  <si>
    <t>14053.006.1019.679</t>
  </si>
  <si>
    <t>14053.003.1019.680</t>
  </si>
  <si>
    <t>09-06-1983</t>
  </si>
  <si>
    <t>TKI</t>
  </si>
  <si>
    <t>14053.001.1019.681</t>
  </si>
  <si>
    <t xml:space="preserve">distributor </t>
  </si>
  <si>
    <t xml:space="preserve">PT LIVIA MANDIRI SEJATI </t>
  </si>
  <si>
    <t>14053.005.1019.682</t>
  </si>
  <si>
    <t>11-01-1999</t>
  </si>
  <si>
    <t>14053.005.1019.683</t>
  </si>
  <si>
    <t>30-01-1997</t>
  </si>
  <si>
    <t>21-03-1993</t>
  </si>
  <si>
    <t>10-07-2007</t>
  </si>
  <si>
    <t>02-06-2006</t>
  </si>
  <si>
    <t>23-10-2007</t>
  </si>
  <si>
    <t>12-11-2006</t>
  </si>
  <si>
    <t>28-02-2000</t>
  </si>
  <si>
    <t>20-05-2009</t>
  </si>
  <si>
    <t>07-08-2004</t>
  </si>
  <si>
    <t>25-09-2005</t>
  </si>
  <si>
    <t>06-11-2002</t>
  </si>
  <si>
    <t>18-10-2006</t>
  </si>
  <si>
    <t>04-12-2012</t>
  </si>
  <si>
    <t>29-10-2008</t>
  </si>
  <si>
    <t>WIRAUSAHA</t>
  </si>
  <si>
    <t>16-08-2007</t>
  </si>
  <si>
    <t>16-06-2000</t>
  </si>
  <si>
    <t>29-03-2003</t>
  </si>
  <si>
    <t>13-10-2003</t>
  </si>
  <si>
    <t>16-05-2006</t>
  </si>
  <si>
    <t>08-06-2004</t>
  </si>
  <si>
    <t>03-03-2007</t>
  </si>
  <si>
    <t>12-12-1997</t>
  </si>
  <si>
    <t>12-09-2007</t>
  </si>
  <si>
    <t>13-12-2004</t>
  </si>
  <si>
    <t>24-12-2006</t>
  </si>
  <si>
    <t>01-12-2009</t>
  </si>
  <si>
    <t>06-04-1994</t>
  </si>
  <si>
    <t>15-04-2007</t>
  </si>
  <si>
    <t>01-07-2006</t>
  </si>
  <si>
    <t>23-07-2008</t>
  </si>
  <si>
    <t>SMA</t>
  </si>
  <si>
    <t>25-05-2000</t>
  </si>
  <si>
    <t>21-08-2008</t>
  </si>
  <si>
    <t>19-10-2007</t>
  </si>
  <si>
    <t>17-02-2005</t>
  </si>
  <si>
    <t>26-02-2006</t>
  </si>
  <si>
    <t>01-09-2003</t>
  </si>
  <si>
    <t>14-07-2002</t>
  </si>
  <si>
    <t>04-04-2004</t>
  </si>
  <si>
    <t>23-06-2002</t>
  </si>
  <si>
    <t>09-11-1997</t>
  </si>
  <si>
    <t>17-11-2005</t>
  </si>
  <si>
    <t>27-11-2006</t>
  </si>
  <si>
    <t>17-06-2004</t>
  </si>
  <si>
    <t>22-11-1991</t>
  </si>
  <si>
    <t>20-09-2009</t>
  </si>
  <si>
    <t>10-08-1999</t>
  </si>
  <si>
    <t>24-08-2008</t>
  </si>
  <si>
    <t>09-04-1999</t>
  </si>
  <si>
    <t>MI NURUL JADIT PAITON</t>
  </si>
  <si>
    <t>04-09-2008</t>
  </si>
  <si>
    <t>SDK MATER DEI PROBOLINGGO</t>
  </si>
  <si>
    <t>23-08-2002</t>
  </si>
  <si>
    <t>05-12-2005</t>
  </si>
  <si>
    <t>05-10-2005</t>
  </si>
  <si>
    <t>17-03-2004</t>
  </si>
  <si>
    <t>10-12-2001</t>
  </si>
  <si>
    <t>08-02-2003</t>
  </si>
  <si>
    <t>08-01-1998</t>
  </si>
  <si>
    <t>10-02-2008</t>
  </si>
  <si>
    <t>27-03-2004</t>
  </si>
  <si>
    <t>08-03-2006</t>
  </si>
  <si>
    <t>06-12-1997</t>
  </si>
  <si>
    <t>27-01-2004</t>
  </si>
  <si>
    <t>26-02-2009</t>
  </si>
  <si>
    <t>07-09-2004</t>
  </si>
  <si>
    <t>21-08-2000</t>
  </si>
  <si>
    <t>20-06-2002</t>
  </si>
  <si>
    <t>25-11-2000</t>
  </si>
  <si>
    <t>SDN KADEMANGAN 1</t>
  </si>
  <si>
    <t>12-10-2008</t>
  </si>
  <si>
    <t>12-09-2005</t>
  </si>
  <si>
    <t>16-07-2003</t>
  </si>
  <si>
    <t>15-08-1996</t>
  </si>
  <si>
    <t>26-08-1999</t>
  </si>
  <si>
    <t>04-07-2002</t>
  </si>
  <si>
    <t>19-10-2008</t>
  </si>
  <si>
    <t>20-04-2003</t>
  </si>
  <si>
    <t>SMK GAJAH MADA</t>
  </si>
  <si>
    <t>15-05-2002</t>
  </si>
  <si>
    <t>05-02-2008</t>
  </si>
  <si>
    <t>01-11-1996</t>
  </si>
  <si>
    <t>26-07-2005</t>
  </si>
  <si>
    <t>19-04-2004</t>
  </si>
  <si>
    <t>23-09-2002</t>
  </si>
  <si>
    <t>22-10-2005</t>
  </si>
  <si>
    <t>30-09-1994</t>
  </si>
  <si>
    <t>15-06-2006</t>
  </si>
  <si>
    <t>21-03-2001</t>
  </si>
  <si>
    <t>22-08-2000</t>
  </si>
  <si>
    <t>02-06-2003</t>
  </si>
  <si>
    <t>08-12-1998</t>
  </si>
  <si>
    <t>23-08-1999</t>
  </si>
  <si>
    <t>07-09-2006</t>
  </si>
  <si>
    <t>23-09-2004</t>
  </si>
  <si>
    <t>26-12-2006</t>
  </si>
  <si>
    <t>16-11-2005</t>
  </si>
  <si>
    <t>20-11-2007</t>
  </si>
  <si>
    <t>13-09-2006</t>
  </si>
  <si>
    <t>20-04-2002</t>
  </si>
  <si>
    <t>22-11-2008</t>
  </si>
  <si>
    <t>30-09-2008</t>
  </si>
  <si>
    <t>09-04-2006</t>
  </si>
  <si>
    <t>21-04-2002</t>
  </si>
  <si>
    <t>01-05-1993</t>
  </si>
  <si>
    <t>16-04-2002</t>
  </si>
  <si>
    <t>29-01-2008</t>
  </si>
  <si>
    <t>14-09-2005</t>
  </si>
  <si>
    <t>UNIVERSITAS NEGERI MALANG</t>
  </si>
  <si>
    <t>19-03-1999</t>
  </si>
  <si>
    <t>20-03-2000</t>
  </si>
  <si>
    <t>23-07-1999</t>
  </si>
  <si>
    <t>26-03-2003</t>
  </si>
  <si>
    <t>16-02-2008</t>
  </si>
  <si>
    <t>13-03-2008</t>
  </si>
  <si>
    <t>05-03-2007</t>
  </si>
  <si>
    <t>12-04-2004</t>
  </si>
  <si>
    <t>02-01-2003</t>
  </si>
  <si>
    <t>29-05-2008</t>
  </si>
  <si>
    <t>SMA DRINGU PROBOLINGGO</t>
  </si>
  <si>
    <t>22-09-1999</t>
  </si>
  <si>
    <t>14-07-1995</t>
  </si>
  <si>
    <t>22-01-2009</t>
  </si>
  <si>
    <t>11-05-2002</t>
  </si>
  <si>
    <t>10-12-2007</t>
  </si>
  <si>
    <t>23-10-2001</t>
  </si>
  <si>
    <t>22-09-2006</t>
  </si>
  <si>
    <t>11-06-2004</t>
  </si>
  <si>
    <t>21-03-2006</t>
  </si>
  <si>
    <t>24-10-2004</t>
  </si>
  <si>
    <t>08-03-2007</t>
  </si>
  <si>
    <t>03-11-2002</t>
  </si>
  <si>
    <t>10-09-2000</t>
  </si>
  <si>
    <t>04-06-2004</t>
  </si>
  <si>
    <t>31-10-2004</t>
  </si>
  <si>
    <t>16-05-2003</t>
  </si>
  <si>
    <t>07-10-2006</t>
  </si>
  <si>
    <t>02-05-2007</t>
  </si>
  <si>
    <t>04-06-1999</t>
  </si>
  <si>
    <t>12-09-1998</t>
  </si>
  <si>
    <t>02-02-1997</t>
  </si>
  <si>
    <t>05-01-2003</t>
  </si>
  <si>
    <t>14-01-2006</t>
  </si>
  <si>
    <t>15-09-2008</t>
  </si>
  <si>
    <t>09-07-2004</t>
  </si>
  <si>
    <t>SDN MENADO</t>
  </si>
  <si>
    <t>14-08-2006</t>
  </si>
  <si>
    <t>SMPN SEMBORO JEMBER</t>
  </si>
  <si>
    <t>16-11-2003</t>
  </si>
  <si>
    <t>SMPN 1 SEMBORO</t>
  </si>
  <si>
    <t>17-07-2004</t>
  </si>
  <si>
    <t>17-02-2006</t>
  </si>
  <si>
    <t>14-01-2007</t>
  </si>
  <si>
    <t>04-08-2009</t>
  </si>
  <si>
    <t>26-05-2009</t>
  </si>
  <si>
    <t>06-06-2008</t>
  </si>
  <si>
    <t>18-07-2008</t>
  </si>
  <si>
    <t>28-05-2008</t>
  </si>
  <si>
    <t>20-01-2006</t>
  </si>
  <si>
    <t>15-11-2003</t>
  </si>
  <si>
    <t>28-03-2008</t>
  </si>
  <si>
    <t>01-12-2007</t>
  </si>
  <si>
    <t>16-12-2007</t>
  </si>
  <si>
    <t>12-12-2006</t>
  </si>
  <si>
    <t>13-05-2004</t>
  </si>
  <si>
    <t>08-10-2002</t>
  </si>
  <si>
    <t>SEMINARI</t>
  </si>
  <si>
    <t>01-05-2000</t>
  </si>
  <si>
    <t>03-11-2007</t>
  </si>
  <si>
    <t>23-09-2007</t>
  </si>
  <si>
    <t>02-09-2005</t>
  </si>
  <si>
    <t>SD INTEGRAL</t>
  </si>
  <si>
    <t>26-09-2007</t>
  </si>
  <si>
    <t>01-08-2007</t>
  </si>
  <si>
    <t>02-11-2001</t>
  </si>
  <si>
    <t>23-01-2001</t>
  </si>
  <si>
    <t>27-11-2005</t>
  </si>
  <si>
    <t>14-12-2004</t>
  </si>
  <si>
    <t>19-06-2007</t>
  </si>
  <si>
    <t>30-10-1994</t>
  </si>
  <si>
    <t>20-02-2000</t>
  </si>
  <si>
    <t>06-04-2005</t>
  </si>
  <si>
    <t>29-08-2006</t>
  </si>
  <si>
    <t>24-09-2004</t>
  </si>
  <si>
    <t>11-03-2007</t>
  </si>
  <si>
    <t>SMP YOSOWILANGON 1</t>
  </si>
  <si>
    <t>12-05-2002</t>
  </si>
  <si>
    <t>19-10-2006</t>
  </si>
  <si>
    <t>24-02-2006</t>
  </si>
  <si>
    <t>22-03-2003</t>
  </si>
  <si>
    <t>09-05-1999</t>
  </si>
  <si>
    <t>28-03-1993</t>
  </si>
  <si>
    <t>19-07-2004</t>
  </si>
  <si>
    <t>09-09-2000</t>
  </si>
  <si>
    <t>19-12-2001</t>
  </si>
  <si>
    <t>23-05-2004</t>
  </si>
  <si>
    <t>21-08-2001</t>
  </si>
  <si>
    <t>09-05-2000</t>
  </si>
  <si>
    <t>04-04-1998</t>
  </si>
  <si>
    <t>Tenaga Pengajar</t>
  </si>
  <si>
    <t>USIA</t>
  </si>
  <si>
    <t>Tenaga Ahli</t>
  </si>
  <si>
    <t>Karyawan</t>
  </si>
  <si>
    <t>Lain-Lain</t>
  </si>
  <si>
    <t>Aparatur Negara</t>
  </si>
  <si>
    <t>Pemuka Agama</t>
  </si>
  <si>
    <t>PROFESI</t>
  </si>
  <si>
    <t>Petani/Pekebun/Nelayan/Peternak</t>
  </si>
  <si>
    <t>Belum/Tidak bekerja</t>
  </si>
  <si>
    <t>Usia</t>
  </si>
  <si>
    <t>Jml Agt</t>
  </si>
  <si>
    <t>&lt; 17</t>
  </si>
  <si>
    <t>17 - 23</t>
  </si>
  <si>
    <t>24 - 60</t>
  </si>
  <si>
    <t>&gt; 60</t>
  </si>
  <si>
    <t>JML</t>
  </si>
  <si>
    <t>Data Kosong</t>
  </si>
  <si>
    <t>%</t>
  </si>
  <si>
    <t>Profesi</t>
  </si>
  <si>
    <t>JUMLAH</t>
  </si>
  <si>
    <t>Laporan Saldo Pinjaman Anggota</t>
  </si>
  <si>
    <t>Per Tanggal 2023-12-31</t>
  </si>
  <si>
    <t>Semua Produk Pinjaman</t>
  </si>
  <si>
    <t>Semua TP</t>
  </si>
  <si>
    <t>No</t>
  </si>
  <si>
    <t>No Anggota</t>
  </si>
  <si>
    <t>Produk</t>
  </si>
  <si>
    <t>No Rek</t>
  </si>
  <si>
    <t>Tgl. Pinjam</t>
  </si>
  <si>
    <t>Tgl. Angsur</t>
  </si>
  <si>
    <t>Nilai Pinjaman</t>
  </si>
  <si>
    <t>Jangka</t>
  </si>
  <si>
    <t>Suku Bunga (%)</t>
  </si>
  <si>
    <t>Jns. Angsuran</t>
  </si>
  <si>
    <t>SPP/SPK</t>
  </si>
  <si>
    <t>Tujuan</t>
  </si>
  <si>
    <t>Kategori</t>
  </si>
  <si>
    <t>Saldo Pinjaman</t>
  </si>
  <si>
    <t>Terakhir</t>
  </si>
  <si>
    <t>Waktu</t>
  </si>
  <si>
    <t>PINJAMAN MULTIGUNA</t>
  </si>
  <si>
    <t>Efektif</t>
  </si>
  <si>
    <t>KONSUMTIF</t>
  </si>
  <si>
    <t>PINJAMAN UMUM</t>
  </si>
  <si>
    <t>KESEJAHTERAAN</t>
  </si>
  <si>
    <t>Anuitas</t>
  </si>
  <si>
    <t>BIAYA KULIAH ANAK</t>
  </si>
  <si>
    <t>PUMA</t>
  </si>
  <si>
    <t>PRODUKTIF</t>
  </si>
  <si>
    <t>PEMBELIAN HP</t>
  </si>
  <si>
    <t>P01.4635</t>
  </si>
  <si>
    <t>8942/P01.4635/P01/10/2023</t>
  </si>
  <si>
    <t>RENOVASI RUMAH</t>
  </si>
  <si>
    <t>MODAL PERTANIAN</t>
  </si>
  <si>
    <t>BIAYA PERNIKAHAN ANAK</t>
  </si>
  <si>
    <t>PENDIDIKAN ANAK</t>
  </si>
  <si>
    <t>PRIMA</t>
  </si>
  <si>
    <t>PINJAMAN PRIMA</t>
  </si>
  <si>
    <t>01.2.11.00023</t>
  </si>
  <si>
    <t>PINJAMAN PENGADAAN LAPTOP/NOTEBOOK</t>
  </si>
  <si>
    <t>PEMBELIAN LAPTOP</t>
  </si>
  <si>
    <t>PERBAIKAN MOTOR</t>
  </si>
  <si>
    <t>01.2.17.00670</t>
  </si>
  <si>
    <t>RENOVASI DAPUR</t>
  </si>
  <si>
    <t>P03.2045</t>
  </si>
  <si>
    <t>6843/P03.2045/P03/02/2022</t>
  </si>
  <si>
    <t>P01.2372</t>
  </si>
  <si>
    <t>3914/P01.2372/P01/03/2020</t>
  </si>
  <si>
    <t>BIAYA PENDIDIKAN ANAK</t>
  </si>
  <si>
    <t>MEMBELI RUMAH</t>
  </si>
  <si>
    <t>DITABUNG</t>
  </si>
  <si>
    <t>P04.515</t>
  </si>
  <si>
    <t>1047/P04.515/P04/10/2019</t>
  </si>
  <si>
    <t>MEMBANGUN RUMAH</t>
  </si>
  <si>
    <t>01.2.09.00001</t>
  </si>
  <si>
    <t>DEPOSITO</t>
  </si>
  <si>
    <t>TAMBAHAN MODAL USAHA</t>
  </si>
  <si>
    <t>P04.557</t>
  </si>
  <si>
    <t>8640/P04.557/P04/08/2023</t>
  </si>
  <si>
    <t>PEMBANGUNAN RUMAH</t>
  </si>
  <si>
    <t>BIAYA SEKOLAH ANAK</t>
  </si>
  <si>
    <t>Flat</t>
  </si>
  <si>
    <t>UNTUK TAMBAHAN MODAL USAHA</t>
  </si>
  <si>
    <t>P01.3704</t>
  </si>
  <si>
    <t>7194/P01.3704/P01/04/2022</t>
  </si>
  <si>
    <t>PEMBELIAN MOBIL</t>
  </si>
  <si>
    <t>TAMBAHAN MODAL PRACANGAN</t>
  </si>
  <si>
    <t>P01.4555</t>
  </si>
  <si>
    <t>8820/P01.4555/P01/09/2023</t>
  </si>
  <si>
    <t>P01.4237</t>
  </si>
  <si>
    <t>8212/P01.4237/P01/03/2023</t>
  </si>
  <si>
    <t>MEMPERPANJANG JANGKA WAKTU DAN TAMBAHAN MODAL USAHA ANGKRINGAN</t>
  </si>
  <si>
    <t>PEMBELIAN SMARTPHONE</t>
  </si>
  <si>
    <t>01.2.13.00051</t>
  </si>
  <si>
    <t>PERBAIKAN RUMAH</t>
  </si>
  <si>
    <t>PINJAMAN PENGADAAN SMARTPHONE</t>
  </si>
  <si>
    <t>P01.2510</t>
  </si>
  <si>
    <t>4688/P01.2510/P01/06/2020</t>
  </si>
  <si>
    <t>PERBAIKAN PAGAR DAN ROLLING DOOR ATAP POM MINI</t>
  </si>
  <si>
    <t>TAMBAHAN MODAL JUALAN</t>
  </si>
  <si>
    <t>PERBAIKAN DAPUR</t>
  </si>
  <si>
    <t>P01.4656</t>
  </si>
  <si>
    <t>9017/P01.4656/P01/11/2023</t>
  </si>
  <si>
    <t>PEMBELIAN LAPTOP DAN HP</t>
  </si>
  <si>
    <t>MANTU</t>
  </si>
  <si>
    <t>TAMBAHAN MODAL USAHA TOKO</t>
  </si>
  <si>
    <t>01.2.18.00193</t>
  </si>
  <si>
    <t>P01.4201</t>
  </si>
  <si>
    <t>8136/P01.4201/P01/02/2023</t>
  </si>
  <si>
    <t>PPKB</t>
  </si>
  <si>
    <t>PEMBELIAN SEPEDA MOTOR</t>
  </si>
  <si>
    <t>P04.539</t>
  </si>
  <si>
    <t>5706/P04.539/P04/03/2021</t>
  </si>
  <si>
    <t>P04.541</t>
  </si>
  <si>
    <t>5574/P04.541/P04/03/2021</t>
  </si>
  <si>
    <t>P01.2222</t>
  </si>
  <si>
    <t>4006/P01.2222/P01/02/2020</t>
  </si>
  <si>
    <t>MEMBELI TANAH</t>
  </si>
  <si>
    <t>P01.4346</t>
  </si>
  <si>
    <t>8436/P01.4346/P01/05/2023</t>
  </si>
  <si>
    <t>TAMBAHAN MODAL USAHA TOKO PRACANGAN</t>
  </si>
  <si>
    <t>P01.934</t>
  </si>
  <si>
    <t>1256/P01.934/P01/12/2018</t>
  </si>
  <si>
    <t>PERNIKAHAN ANAK</t>
  </si>
  <si>
    <t>P01.4160</t>
  </si>
  <si>
    <t>8059/P01.4160/P01/01/2023</t>
  </si>
  <si>
    <t>MEMPERPANJANG JANGKA WAKTU DAN MEMPERKECIL ANGSURAN</t>
  </si>
  <si>
    <t>P01.2981</t>
  </si>
  <si>
    <t>5673/P01.2981/P01/03/2021</t>
  </si>
  <si>
    <t>UNTUK RENOVASI RUMAH</t>
  </si>
  <si>
    <t>P01.4674</t>
  </si>
  <si>
    <t>9033/P01.4674/P01/11/2023</t>
  </si>
  <si>
    <t>PEMBANGUNAN TERAS UNTUK USAHA</t>
  </si>
  <si>
    <t>P04.503</t>
  </si>
  <si>
    <t>2565/P04.503/P04/08/2019</t>
  </si>
  <si>
    <t>01.2.16.00011</t>
  </si>
  <si>
    <t>MEMPERPANJANG JANGKA WAKTU PINJAMAN (RESTRUCTURING)</t>
  </si>
  <si>
    <t>MEMBELI MOBIL</t>
  </si>
  <si>
    <t>P03.2024</t>
  </si>
  <si>
    <t>6744/P03.2024/P03/01/2022</t>
  </si>
  <si>
    <t>tambahan modal usaha dan renovasi rumah</t>
  </si>
  <si>
    <t>P04.520</t>
  </si>
  <si>
    <t>3345/P04.520/P04/12/2019</t>
  </si>
  <si>
    <t>MEMBUAT RUMAH</t>
  </si>
  <si>
    <t>P04.534</t>
  </si>
  <si>
    <t>5100/P04.534/P04/10/2020</t>
  </si>
  <si>
    <t>MELANJUTKAN PEMBANGUNAN RUMAH</t>
  </si>
  <si>
    <t>P04.537</t>
  </si>
  <si>
    <t>5376/P04.537/P04/01/2021</t>
  </si>
  <si>
    <t>TAKE OVER KPR BTN</t>
  </si>
  <si>
    <t>P01.4427</t>
  </si>
  <si>
    <t>8600/P01.4427/P01/07/2023</t>
  </si>
  <si>
    <t>PENDIDIKAN (BIAYA KULIAH SUAMI)</t>
  </si>
  <si>
    <t>P01.606</t>
  </si>
  <si>
    <t>775/P01.606/P01/08/2</t>
  </si>
  <si>
    <t>reschedule</t>
  </si>
  <si>
    <t>P03.2407</t>
  </si>
  <si>
    <t>8211/P03.2407/P03/03/2023</t>
  </si>
  <si>
    <t>TAMBAHAN MODAL USAHA KONSTRUKSI</t>
  </si>
  <si>
    <t>PERBAIKAN ATAP RUMAH</t>
  </si>
  <si>
    <t>P01.1670</t>
  </si>
  <si>
    <t>2683/P01.1670/P01/07/2019</t>
  </si>
  <si>
    <t>TAMBAHAN MODAL USAHA SEMBAKO</t>
  </si>
  <si>
    <t>P01.3788</t>
  </si>
  <si>
    <t>7334/P01.3788/P01/06/2022</t>
  </si>
  <si>
    <t>BIAYA MASUK SEKOLAH DAN TAMBAHAN MODAL CATRING</t>
  </si>
  <si>
    <t>P01.3428</t>
  </si>
  <si>
    <t>6613/P01.3428/P01/12/2021</t>
  </si>
  <si>
    <t>BUAT KANOPI</t>
  </si>
  <si>
    <t>01.2.12.00025</t>
  </si>
  <si>
    <t>P01.4572</t>
  </si>
  <si>
    <t>8861/P01.4572/P01/09/2023</t>
  </si>
  <si>
    <t>BIAYA KULIAH YOSEF</t>
  </si>
  <si>
    <t>BIAYA PERNIKAHAN</t>
  </si>
  <si>
    <t>01.2.17.00264</t>
  </si>
  <si>
    <t>TAMBAHAN MODAL USAHA TOKO PERACANGAN</t>
  </si>
  <si>
    <t>MODAL USAHA</t>
  </si>
  <si>
    <t>PEMBELIAN MESIN CUCI</t>
  </si>
  <si>
    <t>BIAYA SEKOLAH</t>
  </si>
  <si>
    <t>P01.2167</t>
  </si>
  <si>
    <t>3674/P01.2167/P01/01/2020</t>
  </si>
  <si>
    <t>TAMBAHAN MODAL WARUNG</t>
  </si>
  <si>
    <t>P01.3574</t>
  </si>
  <si>
    <t>6792/P01.3574/P01/03/2022</t>
  </si>
  <si>
    <t>MEMBANGUN PONDASI RUMAH</t>
  </si>
  <si>
    <t>P01.4522</t>
  </si>
  <si>
    <t>8759/P01.4522/P01/08/2023</t>
  </si>
  <si>
    <t>PERPANJANGAN JANGKA WAKTU DAN MEMPERKECIL ANGSURAN</t>
  </si>
  <si>
    <t>P01.3007</t>
  </si>
  <si>
    <t>5787/P01.3007/P01/03/2021</t>
  </si>
  <si>
    <t>PEMBAHARUAN PINJAMAN</t>
  </si>
  <si>
    <t>TAMBAHAN MODAL</t>
  </si>
  <si>
    <t>01.2.15.00099</t>
  </si>
  <si>
    <t>P01.4383</t>
  </si>
  <si>
    <t>8502/P01.4383/P01/06/2023</t>
  </si>
  <si>
    <t>BIAYA PENDIDIKAN DAN MODAL USAHA</t>
  </si>
  <si>
    <t>P05.120</t>
  </si>
  <si>
    <t>8713/P05.120/P05/08/2023</t>
  </si>
  <si>
    <t>BIAYA WISUDA ANAK</t>
  </si>
  <si>
    <t>MEMBELI LAPTOP</t>
  </si>
  <si>
    <t>P04.498</t>
  </si>
  <si>
    <t>2390/P04.498/P04/05/2019</t>
  </si>
  <si>
    <t>P01.4421</t>
  </si>
  <si>
    <t>8445/P01.4421/P01/07/2023</t>
  </si>
  <si>
    <t>BIAYA KULIAH SUAMI</t>
  </si>
  <si>
    <t>P01.1995</t>
  </si>
  <si>
    <t>3269/P01.1995/P01/11/2019</t>
  </si>
  <si>
    <t>BIAYA BEROBAT</t>
  </si>
  <si>
    <t>P01.4002</t>
  </si>
  <si>
    <t>7717/P01.4002/P01/10/2022</t>
  </si>
  <si>
    <t>PENGURUSAN SERTIPIKAT TANAH</t>
  </si>
  <si>
    <t>PERSIAPAN PERNIKAHAN</t>
  </si>
  <si>
    <t>P01.4390</t>
  </si>
  <si>
    <t>8532/P01.4390/P01/06/2023</t>
  </si>
  <si>
    <t>TAMBAHAN MODAL KONTER</t>
  </si>
  <si>
    <t>01.2.17.01016</t>
  </si>
  <si>
    <t>BIAYA KULIAH</t>
  </si>
  <si>
    <t>01.2.17.00845</t>
  </si>
  <si>
    <t>TAMBAHAN MODAL USAHA TUPPERWARE</t>
  </si>
  <si>
    <t>P05.110</t>
  </si>
  <si>
    <t>8182/P05.110/P05/03/2023</t>
  </si>
  <si>
    <t>PEMBELIAN SEPEDA MOTOR BARU HONDA SCOOPY</t>
  </si>
  <si>
    <t>BIAYA PENDIDIKAN</t>
  </si>
  <si>
    <t>KEPERLUAN RUMAH TANGGA</t>
  </si>
  <si>
    <t>P01.3897</t>
  </si>
  <si>
    <t>7567/P01.3897/P01/08/2022</t>
  </si>
  <si>
    <t>P03.889</t>
  </si>
  <si>
    <t>2592/P03.889/P03/07/2019</t>
  </si>
  <si>
    <t>MODAL PROYEK PERUMAHAN</t>
  </si>
  <si>
    <t>P01.4161</t>
  </si>
  <si>
    <t>8060/P01.4161/P01/01/2023</t>
  </si>
  <si>
    <t>P04.510</t>
  </si>
  <si>
    <t>3117/P04.510/P04/09/2019</t>
  </si>
  <si>
    <t>P01.2031</t>
  </si>
  <si>
    <t>3548/P01.2031/P01/12/2019</t>
  </si>
  <si>
    <t>PENYELESAIAN PINJAMAN</t>
  </si>
  <si>
    <t>P04.506</t>
  </si>
  <si>
    <t>2758/P04.506/P04/08/2019</t>
  </si>
  <si>
    <t>MEMBELI TANAH DAN MEMBANGUN RUMAH</t>
  </si>
  <si>
    <t>P04.554</t>
  </si>
  <si>
    <t>7871/P04.554/P04/01/2023</t>
  </si>
  <si>
    <t>PEMBELIAN TANAH DAN PEMBANGUNAN</t>
  </si>
  <si>
    <t>TAMBAHAN MODAL USAHA KULINER</t>
  </si>
  <si>
    <t>TAMBAHAN MODAL USAHA AYAM POTONG</t>
  </si>
  <si>
    <t>P01.1517</t>
  </si>
  <si>
    <t>2339/P01.1517/P01/05/2019</t>
  </si>
  <si>
    <t>MODAL STUDIO FOTO DAN VIDIOGRAFI</t>
  </si>
  <si>
    <t>P03.1471</t>
  </si>
  <si>
    <t>4747/P03.1471/P03/07/2020</t>
  </si>
  <si>
    <t>USAHA SPERPART</t>
  </si>
  <si>
    <t>P01.3125</t>
  </si>
  <si>
    <t>6045/P01.3125/P01/05/2021</t>
  </si>
  <si>
    <t>P01.4695</t>
  </si>
  <si>
    <t>9076/P01.4695/P01/12/2023</t>
  </si>
  <si>
    <t>UNTUK DISIMPAN</t>
  </si>
  <si>
    <t>P01.4738</t>
  </si>
  <si>
    <t>9189/P01.4738/P01/12/2023</t>
  </si>
  <si>
    <t>PEMBUATAN PAGAR RUMAH</t>
  </si>
  <si>
    <t>P04.522</t>
  </si>
  <si>
    <t>3662/P04.522/P04/01/2020</t>
  </si>
  <si>
    <t>P01.3581</t>
  </si>
  <si>
    <t>6819/P01.3581/P01/03/2022</t>
  </si>
  <si>
    <t>MELUNASI PINJAMAN ORANGTUA</t>
  </si>
  <si>
    <t>P01.4339</t>
  </si>
  <si>
    <t>8386/P01.4339/P01/05/2023</t>
  </si>
  <si>
    <t>BIAYA PENGOBATAN ADIK</t>
  </si>
  <si>
    <t>01.2.17.00272</t>
  </si>
  <si>
    <t>P01.4469</t>
  </si>
  <si>
    <t>8664/P01.4468/P01/08/2023</t>
  </si>
  <si>
    <t>DANA PERNIKAHAN</t>
  </si>
  <si>
    <t>01.2.17.00937</t>
  </si>
  <si>
    <t>P01.4052</t>
  </si>
  <si>
    <t>7813/P01.4052/P01/11/2022</t>
  </si>
  <si>
    <t>MODAL USAHA BAJU</t>
  </si>
  <si>
    <t>MODAL USAHA KUE</t>
  </si>
  <si>
    <t>P03.1896</t>
  </si>
  <si>
    <t>6268/P03.1896/P03/08/2021</t>
  </si>
  <si>
    <t>MODAL JUAL TAS DAN BAJU</t>
  </si>
  <si>
    <t>P01.4356</t>
  </si>
  <si>
    <t>8295/P01.4356/P01/05/2023</t>
  </si>
  <si>
    <t>BAYAR KEKURANGAN BERANGKAT HAJI</t>
  </si>
  <si>
    <t>P03.1380</t>
  </si>
  <si>
    <t>4444/P03.1380/P03/04/2020</t>
  </si>
  <si>
    <t>TANAM BAWANG MERAH</t>
  </si>
  <si>
    <t>P03.2165</t>
  </si>
  <si>
    <t>7252/P03.2165/P03/05/2022</t>
  </si>
  <si>
    <t>MODAL TERNAH AYAM PETELOR</t>
  </si>
  <si>
    <t>01.2.17.00749</t>
  </si>
  <si>
    <t>P05.99</t>
  </si>
  <si>
    <t>7273/P05.99/P05/06/2022</t>
  </si>
  <si>
    <t>PEMBELIAN SEPEDA MOTOR BARU</t>
  </si>
  <si>
    <t>P03.638</t>
  </si>
  <si>
    <t>1434/P03.638/P03/12/2018</t>
  </si>
  <si>
    <t>TAMBAHAN MODAL USAHA SNACK DAN SOSIS</t>
  </si>
  <si>
    <t>P04.483</t>
  </si>
  <si>
    <t>1073/P04.483/P04/10/2018</t>
  </si>
  <si>
    <t>PEMBELIAN RUMAH</t>
  </si>
  <si>
    <t>TAMBAHAN MODAL USAHA BENGKEL</t>
  </si>
  <si>
    <t>P04.548</t>
  </si>
  <si>
    <t>6758/P04.548/P04/01/2022</t>
  </si>
  <si>
    <t>BIAYA ANAK KULIAH</t>
  </si>
  <si>
    <t>P04.489</t>
  </si>
  <si>
    <t>1785/P04.489/P04/03/2019</t>
  </si>
  <si>
    <t>PINJAMAN PUMA</t>
  </si>
  <si>
    <t>01.2.17.00035</t>
  </si>
  <si>
    <t>REHAB RUMAH</t>
  </si>
  <si>
    <t>P04.527</t>
  </si>
  <si>
    <t>4266/P04.527/P04/03/2020</t>
  </si>
  <si>
    <t>BANGUN RUMAH</t>
  </si>
  <si>
    <t>MEMBELI MOTOR</t>
  </si>
  <si>
    <t>P04.500</t>
  </si>
  <si>
    <t>2482/P04.500/P04/06/2019</t>
  </si>
  <si>
    <t>P01.1303</t>
  </si>
  <si>
    <t>1965/P01.1303/P01/04/2019</t>
  </si>
  <si>
    <t>KONTRAK WARUNG</t>
  </si>
  <si>
    <t>TAMBAHAN MODAL MEUBEL</t>
  </si>
  <si>
    <t>MEMBELI HP</t>
  </si>
  <si>
    <t>P03.2198</t>
  </si>
  <si>
    <t>7335/P03.2198/P03/07/2022</t>
  </si>
  <si>
    <t>KULAKAN BARANG</t>
  </si>
  <si>
    <t>P04.532</t>
  </si>
  <si>
    <t>4731/P04.532/P04/09/2020</t>
  </si>
  <si>
    <t>P05.107</t>
  </si>
  <si>
    <t>8080/P05.107/P05/02/2023</t>
  </si>
  <si>
    <t>MEMBELI SEPEDA MOTOR</t>
  </si>
  <si>
    <t>P01.3517</t>
  </si>
  <si>
    <t>6771/P01.3517/P01/01/2022</t>
  </si>
  <si>
    <t>renovasi rumah</t>
  </si>
  <si>
    <t>TAMBAHAN MODAL USAHA BENGKEL LAS</t>
  </si>
  <si>
    <t>BAYAR SEKOLAH ANAK</t>
  </si>
  <si>
    <t>P04.523</t>
  </si>
  <si>
    <t>3647/P04.523/P04/02/2020</t>
  </si>
  <si>
    <t>P03.2342</t>
  </si>
  <si>
    <t>8005/P03.2342/P03/01/2023</t>
  </si>
  <si>
    <t>SEWA TOKO DI PASAR</t>
  </si>
  <si>
    <t>P03.1077</t>
  </si>
  <si>
    <t>3348/P03.1077/P03/11/2019</t>
  </si>
  <si>
    <t>MODAL RIAS PENGANTIN DAN LAUNDRY</t>
  </si>
  <si>
    <t>P03.1168</t>
  </si>
  <si>
    <t>3702/P03.1168/P03/01/2020</t>
  </si>
  <si>
    <t>MEBELI MESIN CUCI UNTUK LAUNDRY</t>
  </si>
  <si>
    <t>UNTUK BIAYA KULIAH ANAK</t>
  </si>
  <si>
    <t>P01.676</t>
  </si>
  <si>
    <t>828/P01.676/P01/09/2</t>
  </si>
  <si>
    <t>membeli tanah kavling</t>
  </si>
  <si>
    <t>P03.2343</t>
  </si>
  <si>
    <t>7994/P03.2343/P03/01/2023</t>
  </si>
  <si>
    <t>TAMBAHAN MODAL TOKO SEMBAKO</t>
  </si>
  <si>
    <t>01.2.18.00076</t>
  </si>
  <si>
    <t>MEMPERBAIKI RUMAH</t>
  </si>
  <si>
    <t>DANA PENDIDIKAN ANAK</t>
  </si>
  <si>
    <t>P03.2338</t>
  </si>
  <si>
    <t>7963/P03.2337/P03/01/2023</t>
  </si>
  <si>
    <t>TAMBAHAN MODAL KANTIN</t>
  </si>
  <si>
    <t>P03.1452</t>
  </si>
  <si>
    <t>4708/P03.1452/P03/06/2020</t>
  </si>
  <si>
    <t>MODAL USAHA NILA DAN LELE</t>
  </si>
  <si>
    <t>P02.669</t>
  </si>
  <si>
    <t>2100/P02.669/P02/04/2019</t>
  </si>
  <si>
    <t>RENOFASI RUMAH</t>
  </si>
  <si>
    <t>P01.607</t>
  </si>
  <si>
    <t>773/P01.607/P01/08/2</t>
  </si>
  <si>
    <t>Take Over pinjaman cu amanah</t>
  </si>
  <si>
    <t>BIAYA RENOVASI RUMAH</t>
  </si>
  <si>
    <t>P04.556</t>
  </si>
  <si>
    <t>8506/P04.556/P04/06/2023</t>
  </si>
  <si>
    <t>P01.755</t>
  </si>
  <si>
    <t>1042/P01.755/P01/10/2018</t>
  </si>
  <si>
    <t>beli truck untuk usaha</t>
  </si>
  <si>
    <t>P03.2363</t>
  </si>
  <si>
    <t>8068/P03.2363/P03/02/2023</t>
  </si>
  <si>
    <t>TAMBAHAN MODAL USAHA TRANSPORTASI</t>
  </si>
  <si>
    <t>P01.4624</t>
  </si>
  <si>
    <t>8919/P01.4624/P01/10/2023</t>
  </si>
  <si>
    <t>P03.1535</t>
  </si>
  <si>
    <t>4955/P03.1535/P03/09/2020</t>
  </si>
  <si>
    <t>MODAL USAHA ANGKUTAN TRUCK</t>
  </si>
  <si>
    <t>P04.538</t>
  </si>
  <si>
    <t>5377/P04.538/P04/01/2021</t>
  </si>
  <si>
    <t>P01.4048</t>
  </si>
  <si>
    <t>7798/P01.4048/P01/11/2022</t>
  </si>
  <si>
    <t>P03.1175</t>
  </si>
  <si>
    <t>3677/P03.1175/P03/01/2020</t>
  </si>
  <si>
    <t>USAHA CUCIAN MOTOR</t>
  </si>
  <si>
    <t>P04.514</t>
  </si>
  <si>
    <t>3055/P04.514/P04/10/2019</t>
  </si>
  <si>
    <t>MODAL USAHA WARUNG</t>
  </si>
  <si>
    <t>P01.1841</t>
  </si>
  <si>
    <t>3122/P01.1841/P01/09/2019</t>
  </si>
  <si>
    <t>P04.511</t>
  </si>
  <si>
    <t>3182/P04.511/P04/10/2019</t>
  </si>
  <si>
    <t>TAMBAHAN MODAL USAHA MEBEL</t>
  </si>
  <si>
    <t>P03.1514</t>
  </si>
  <si>
    <t>4926/P03.1513/P03/08/2020</t>
  </si>
  <si>
    <t>MODAL JUAL NASI JAGUNG</t>
  </si>
  <si>
    <t>TAMBAHAN MODAL CATERING</t>
  </si>
  <si>
    <t>SERVIS MOTOR</t>
  </si>
  <si>
    <t>P05.124</t>
  </si>
  <si>
    <t>9185/P05.124/P05/12/2023</t>
  </si>
  <si>
    <t>P04.542</t>
  </si>
  <si>
    <t>5948/P04.542/P04/05/2021</t>
  </si>
  <si>
    <t>TAMBAHAN MODAL WARUNG KOPI</t>
  </si>
  <si>
    <t>PENDIDIKAN CUCU</t>
  </si>
  <si>
    <t>P05.119</t>
  </si>
  <si>
    <t>8665/P05.119/P05/08/2023</t>
  </si>
  <si>
    <t>PEMBELIAN SEPEDA MOTOR RODA DUA</t>
  </si>
  <si>
    <t>P03.2348</t>
  </si>
  <si>
    <t>8028/P03.2348/P03/01/2023</t>
  </si>
  <si>
    <t>MODAL USAHA JUALAN BAWANG GORENG</t>
  </si>
  <si>
    <t>P01.4645</t>
  </si>
  <si>
    <t>8978/P01.4645/P01/11/2023</t>
  </si>
  <si>
    <t>P01.4619</t>
  </si>
  <si>
    <t>8953/P01.4619/P01/10/2023</t>
  </si>
  <si>
    <t>MEMBANTU MAMA DAN PELUNASAN PPS</t>
  </si>
  <si>
    <t>P01.4150</t>
  </si>
  <si>
    <t>8031/P01.4150/P01/01/2023</t>
  </si>
  <si>
    <t>MELUNASI PINJAMAN ORANG TUA NYA A/N JUMAIDI NBA. 1.628</t>
  </si>
  <si>
    <t>P01.4205</t>
  </si>
  <si>
    <t>8178/P01.4205/P01/02/2023</t>
  </si>
  <si>
    <t>P05.112</t>
  </si>
  <si>
    <t>8279/P05.112/P05/03/2023</t>
  </si>
  <si>
    <t>P01.4661</t>
  </si>
  <si>
    <t>9021/P01.4661/P01/11/2023</t>
  </si>
  <si>
    <t>TAKEOVER PINJAMAN DI TEMPAT LAIN</t>
  </si>
  <si>
    <t>P01.4508</t>
  </si>
  <si>
    <t>8750/P01.4508/P01/08/2023</t>
  </si>
  <si>
    <t>MENERUSKAN PEMBANGUNAN</t>
  </si>
  <si>
    <t>MENAMBAH MODAL USAHA</t>
  </si>
  <si>
    <t>PELUNASAN PINJAMAN</t>
  </si>
  <si>
    <t>P01.4568</t>
  </si>
  <si>
    <t>8855/P01.4568/P01/09/2023</t>
  </si>
  <si>
    <t>RENOVASI</t>
  </si>
  <si>
    <t>P01.4179</t>
  </si>
  <si>
    <t>8100/P01.4178/P01/02/2023</t>
  </si>
  <si>
    <t>keperluan keluarga</t>
  </si>
  <si>
    <t>P04.531</t>
  </si>
  <si>
    <t>4379/P04.531/P04/09/2020</t>
  </si>
  <si>
    <t>P01.4688</t>
  </si>
  <si>
    <t>9085/P01.4688/P01/11/2023</t>
  </si>
  <si>
    <t>UNTUK PEMBAYARAN SW DAN TABUNGAN</t>
  </si>
  <si>
    <t>02.2.11.00012</t>
  </si>
  <si>
    <t>02.2.14.00016</t>
  </si>
  <si>
    <t>P03.750</t>
  </si>
  <si>
    <t>1948/P03.750/P03/03/2019</t>
  </si>
  <si>
    <t>MODAL KUE MENJELANG LEBARAN</t>
  </si>
  <si>
    <t>02.2.16.00229</t>
  </si>
  <si>
    <t>TAMBAHAN MODAL USAHA TANI</t>
  </si>
  <si>
    <t>P03.1552</t>
  </si>
  <si>
    <t>5063/P03.1552/P03/09/2020</t>
  </si>
  <si>
    <t>P01.4364</t>
  </si>
  <si>
    <t>8478/P01.4364/P01/06/2023</t>
  </si>
  <si>
    <t>Biaya Mudik Ke Flores</t>
  </si>
  <si>
    <t>02.2.10.00004</t>
  </si>
  <si>
    <t>P01.4578</t>
  </si>
  <si>
    <t>8858/P01.4578/P01/09/2023</t>
  </si>
  <si>
    <t>Penutupan Pinjaman</t>
  </si>
  <si>
    <t>TAMBAHAN MODAL TOKO</t>
  </si>
  <si>
    <t>02.2.07.00008</t>
  </si>
  <si>
    <t>02.2.14.00071</t>
  </si>
  <si>
    <t>P01.4190</t>
  </si>
  <si>
    <t>8016/P01.4190/P01/02/2023</t>
  </si>
  <si>
    <t>P03.2604</t>
  </si>
  <si>
    <t>9153/P03.2604/P03/12/2023</t>
  </si>
  <si>
    <t>TAMBAHAN MODAL TERNAK SAPI</t>
  </si>
  <si>
    <t>Tambahan Modal</t>
  </si>
  <si>
    <t>02.2.13.00022</t>
  </si>
  <si>
    <t>P04.533</t>
  </si>
  <si>
    <t>4840/P04.533/P04/09/2020</t>
  </si>
  <si>
    <t>pembangunan rumah</t>
  </si>
  <si>
    <t>Biaya Pendidikan Anak</t>
  </si>
  <si>
    <t>02.2.08.00006</t>
  </si>
  <si>
    <t>PEMBELIAN HANDPHONE</t>
  </si>
  <si>
    <t>P03.1914</t>
  </si>
  <si>
    <t>6244/P03.1914/P03/09/2021</t>
  </si>
  <si>
    <t>TAMBAHAN MODAL USAHA TV KABEL</t>
  </si>
  <si>
    <t>P03.994</t>
  </si>
  <si>
    <t>3052/P03.994/P03/09/2019</t>
  </si>
  <si>
    <t>PENGEMBANGAN USAHA PONDOK JUS</t>
  </si>
  <si>
    <t>02.2.16.00167</t>
  </si>
  <si>
    <t>P03.2016</t>
  </si>
  <si>
    <t>6674/P03.2016/P03/01/2022</t>
  </si>
  <si>
    <t>TAMBAHAN MODAL USAHA APOTIK</t>
  </si>
  <si>
    <t>Renovasi Rumah</t>
  </si>
  <si>
    <t>P03.805</t>
  </si>
  <si>
    <t>2197/P03.805/P03/05/2019</t>
  </si>
  <si>
    <t>P03.918</t>
  </si>
  <si>
    <t>2738/P03.918/P03/07/2019</t>
  </si>
  <si>
    <t>MODAL CAFE</t>
  </si>
  <si>
    <t>P03.2347</t>
  </si>
  <si>
    <t>7970/P03.2347/P03/01/2023</t>
  </si>
  <si>
    <t>Pembelian Pick Up</t>
  </si>
  <si>
    <t>Tambahan Modal Usaha</t>
  </si>
  <si>
    <t>P01.4152</t>
  </si>
  <si>
    <t>8002/P01.4152/P01/01/2023</t>
  </si>
  <si>
    <t>P03.2022</t>
  </si>
  <si>
    <t>6706/P03.2022/P03/01/2022</t>
  </si>
  <si>
    <t>Tambahan Modal usaha</t>
  </si>
  <si>
    <t>P02.1296</t>
  </si>
  <si>
    <t>7643/P02.1296/P02/09/2022</t>
  </si>
  <si>
    <t>tambah modal</t>
  </si>
  <si>
    <t>P01.908</t>
  </si>
  <si>
    <t>1292/P01.908/P01/11/2018</t>
  </si>
  <si>
    <t>BELI GADEN SAWAH</t>
  </si>
  <si>
    <t>TAMBAHAN MODAL TOKO PERACANGAN</t>
  </si>
  <si>
    <t>02.2.17.00301</t>
  </si>
  <si>
    <t>P03.2120</t>
  </si>
  <si>
    <t>7055/P03.2120/P03/04/2022</t>
  </si>
  <si>
    <t>Tambahan Modal Usaha Baju</t>
  </si>
  <si>
    <t>P01.3523</t>
  </si>
  <si>
    <t>6778/P01.3523/P01/02/2022</t>
  </si>
  <si>
    <t>tambahan modal dan biaya pendidikan anak</t>
  </si>
  <si>
    <t>P04.535</t>
  </si>
  <si>
    <t>5067/P04.535/P04/12/2020</t>
  </si>
  <si>
    <t>KEPEMILIKAN RUMAH</t>
  </si>
  <si>
    <t>P01.4641</t>
  </si>
  <si>
    <t>8956/P01.4641/P01/11/2023</t>
  </si>
  <si>
    <t>P04.552</t>
  </si>
  <si>
    <t>6992/P04.552/P04/04/2022</t>
  </si>
  <si>
    <t>P03.2581</t>
  </si>
  <si>
    <t>9042/P03.2581/P03/11/2023</t>
  </si>
  <si>
    <t>TAMBAHAN MODAL ROTI</t>
  </si>
  <si>
    <t>P01.2440</t>
  </si>
  <si>
    <t>4504/P01.2440/P01/04/2020</t>
  </si>
  <si>
    <t>PEMBELIAN SAWAH</t>
  </si>
  <si>
    <t>02.2.18.00078</t>
  </si>
  <si>
    <t>P01.3498</t>
  </si>
  <si>
    <t>6724/P01.3497/P01/01/2022</t>
  </si>
  <si>
    <t>P01.3230</t>
  </si>
  <si>
    <t>6142/P01.3230/P01/08/2021</t>
  </si>
  <si>
    <t>PEMBANGUNAN KOS KOSAN</t>
  </si>
  <si>
    <t>02.2.18.00118</t>
  </si>
  <si>
    <t>P03.527</t>
  </si>
  <si>
    <t>886/P03.527/P03/09/2</t>
  </si>
  <si>
    <t>MODAL USAHA KATERING</t>
  </si>
  <si>
    <t>P02.621</t>
  </si>
  <si>
    <t>1652/P02.621/P02/02/2019</t>
  </si>
  <si>
    <t>MODAL KATERING</t>
  </si>
  <si>
    <t>P01.2892</t>
  </si>
  <si>
    <t>5419/P01.2892/P01/01/2021</t>
  </si>
  <si>
    <t>NEBUS MOBIL</t>
  </si>
  <si>
    <t>02.2.16.00080</t>
  </si>
  <si>
    <t>P02.1026</t>
  </si>
  <si>
    <t>5339/P02.1026/P02/12/2020</t>
  </si>
  <si>
    <t>BIAYA SELAMETAN MERTUA</t>
  </si>
  <si>
    <t>P01.1445</t>
  </si>
  <si>
    <t>2310/P01.1445/P01/05/2019</t>
  </si>
  <si>
    <t>MELUNASI HUTANG ORTU</t>
  </si>
  <si>
    <t>P03.807</t>
  </si>
  <si>
    <t>2314/P03.807/P03/05/2019</t>
  </si>
  <si>
    <t>PEMBELIAN BEDAK DAGANG DI PASAR</t>
  </si>
  <si>
    <t>02.2.18.00179</t>
  </si>
  <si>
    <t>02.2.17.00238</t>
  </si>
  <si>
    <t>P01.3398</t>
  </si>
  <si>
    <t>6572/P01.3398/P01/11/2021</t>
  </si>
  <si>
    <t>Tambahan Pembangunan Rumah</t>
  </si>
  <si>
    <t>P01.2692</t>
  </si>
  <si>
    <t>4964/P01.2692/P01/09/2020</t>
  </si>
  <si>
    <t>biaya pernikahan anak</t>
  </si>
  <si>
    <t>P01.3495</t>
  </si>
  <si>
    <t>6721/P01.3495/P01/01/2022</t>
  </si>
  <si>
    <t>Untuk Renovasi Rumah</t>
  </si>
  <si>
    <t>02.2.18.00219</t>
  </si>
  <si>
    <t>PEMBANGUNAN DAPUR</t>
  </si>
  <si>
    <t>P01.4506</t>
  </si>
  <si>
    <t>8743/P01.4506/P01/08/2023</t>
  </si>
  <si>
    <t>Tambahan modal dan renovasi rumah</t>
  </si>
  <si>
    <t>KEBUTUHAN KELUARGA</t>
  </si>
  <si>
    <t>P03.2395</t>
  </si>
  <si>
    <t>8093/P03.2395/P03/03/2023</t>
  </si>
  <si>
    <t>Tambahan Modal Usaha Bebek</t>
  </si>
  <si>
    <t>P01.4728</t>
  </si>
  <si>
    <t>9147/P01.4728/P01/12/2023</t>
  </si>
  <si>
    <t>BIAYA PENDIDIKAN DAN TAMBAHAN MODAL</t>
  </si>
  <si>
    <t>TAMBAHAN MODAL USAHA LAUNDRY</t>
  </si>
  <si>
    <t>P04.560</t>
  </si>
  <si>
    <t>9077/P04.560/P04/12/2023</t>
  </si>
  <si>
    <t>P03.1795</t>
  </si>
  <si>
    <t>5799/P03.1795/P03/04/2021</t>
  </si>
  <si>
    <t>TAMBAH MODAL USAHA PARFUM</t>
  </si>
  <si>
    <t>KEBUTUHAN RUMAH TANGGA</t>
  </si>
  <si>
    <t>P03.2379</t>
  </si>
  <si>
    <t>8099/P03.2379/P03/02/2023</t>
  </si>
  <si>
    <t>TAMBHAN MODAL BUKET</t>
  </si>
  <si>
    <t>P03.2154</t>
  </si>
  <si>
    <t>7203/P03.2153/P03/04/2022</t>
  </si>
  <si>
    <t>Tambahan Modal Usaha Potong Sapi</t>
  </si>
  <si>
    <t>P01.3440</t>
  </si>
  <si>
    <t>6639/P01.3440/P01/12/2021</t>
  </si>
  <si>
    <t>P03.1797</t>
  </si>
  <si>
    <t>5878/P03.1797/P03/04/2021</t>
  </si>
  <si>
    <t>TAMBAH MODAL USAHA</t>
  </si>
  <si>
    <t>P03.2169</t>
  </si>
  <si>
    <t>7167/P03.2169/P03/05/2022</t>
  </si>
  <si>
    <t>P03.2179</t>
  </si>
  <si>
    <t>7140/P03.2179/P03/06/2022</t>
  </si>
  <si>
    <t>P03.2211</t>
  </si>
  <si>
    <t>7386/P03.2211/P03/07/2022</t>
  </si>
  <si>
    <t>P03.1683</t>
  </si>
  <si>
    <t>5568/P03.1683/P03/02/2021</t>
  </si>
  <si>
    <t>MODAL PEMBELIAN AYAM</t>
  </si>
  <si>
    <t>P03.1688</t>
  </si>
  <si>
    <t>5577/P03.1688/P03/02/2021</t>
  </si>
  <si>
    <t>GADAI SAWAH</t>
  </si>
  <si>
    <t>P03.2404</t>
  </si>
  <si>
    <t>8022/P03.2404/P03/03/2023</t>
  </si>
  <si>
    <t>Tambahan Modal Mebel</t>
  </si>
  <si>
    <t>P03.2239</t>
  </si>
  <si>
    <t>7535/P03.2239/P03/08/2022</t>
  </si>
  <si>
    <t>Tambahan Modal jual Solar</t>
  </si>
  <si>
    <t>TABUNGAN</t>
  </si>
  <si>
    <t>P03.1992</t>
  </si>
  <si>
    <t>6665/P03.1992/P03/12/2021</t>
  </si>
  <si>
    <t>TAMBAHAN MODAL USAHA DEPOT</t>
  </si>
  <si>
    <t>P04.559</t>
  </si>
  <si>
    <t>8808/P04.559/P04/10/2023</t>
  </si>
  <si>
    <t>P04.544</t>
  </si>
  <si>
    <t>6457/P04.544/P04/10/2021</t>
  </si>
  <si>
    <t>03.2.12.00002</t>
  </si>
  <si>
    <t>03.2.13.00032</t>
  </si>
  <si>
    <t>P03.2588</t>
  </si>
  <si>
    <t>9023/P03.2588/P03/11/2023</t>
  </si>
  <si>
    <t>TAMBAHAN MODAL USAHA KOS</t>
  </si>
  <si>
    <t>03.2.18.00063</t>
  </si>
  <si>
    <t>UNTUK BELI RUMAH</t>
  </si>
  <si>
    <t>P01.4130</t>
  </si>
  <si>
    <t>7960/P01.4130/P01/01/2023</t>
  </si>
  <si>
    <t>03.2.12.00016</t>
  </si>
  <si>
    <t>P03.2091</t>
  </si>
  <si>
    <t>6972/P03.2091/P03/03/2022</t>
  </si>
  <si>
    <t>TAMBAHAN MODAL DAN PEMBANGUNAN TOKO</t>
  </si>
  <si>
    <t>03.2.15.00072</t>
  </si>
  <si>
    <t>TAMBAHAN MODAL USAHA WARUNG MAKAN</t>
  </si>
  <si>
    <t>03.2.15.00014</t>
  </si>
  <si>
    <t>03.2.17.00136</t>
  </si>
  <si>
    <t>P01.3994</t>
  </si>
  <si>
    <t>7693/P01.3994/P01/10/2022</t>
  </si>
  <si>
    <t>RENOVASI RUMAH DAN TAMBAHAN MODAL JAMU</t>
  </si>
  <si>
    <t>03.2.15.00187</t>
  </si>
  <si>
    <t>03.2.18.00001</t>
  </si>
  <si>
    <t>P03.2254</t>
  </si>
  <si>
    <t>7546/P03.2254/P03/09/2022</t>
  </si>
  <si>
    <t>TAMBAHAN MODAL KULAKAN BARANG</t>
  </si>
  <si>
    <t>03.2.13.00017</t>
  </si>
  <si>
    <t>03.2.16.00245</t>
  </si>
  <si>
    <t>03.2.17.00071</t>
  </si>
  <si>
    <t>TAMBAHAN MODAL USAHA SABLON</t>
  </si>
  <si>
    <t>03.2.18.00019</t>
  </si>
  <si>
    <t>03.2.14.00049</t>
  </si>
  <si>
    <t>03.2.14.00086</t>
  </si>
  <si>
    <t>03.2.18.00127</t>
  </si>
  <si>
    <t>03.2.18.00127/KSP-CU</t>
  </si>
  <si>
    <t>PELUNASAN PINJAMAN DI BAPURI</t>
  </si>
  <si>
    <t>Biaya perbaikan rumah</t>
  </si>
  <si>
    <t>03.2.17.00024</t>
  </si>
  <si>
    <t>P01.4602</t>
  </si>
  <si>
    <t>8880/P01.4602/P01/10/2023</t>
  </si>
  <si>
    <t>TAMBAHAN MODAL USAHA KUE</t>
  </si>
  <si>
    <t>P05.108</t>
  </si>
  <si>
    <t>8037/P05.108/P05/02/2023</t>
  </si>
  <si>
    <t>PEMBELIAN SEPEDA MOTOR VARIO 125</t>
  </si>
  <si>
    <t>P03.968</t>
  </si>
  <si>
    <t>2949/P03.968/P03/09/2019</t>
  </si>
  <si>
    <t>Tamabahan Modal Depo Air</t>
  </si>
  <si>
    <t>03.2.15.00298</t>
  </si>
  <si>
    <t>03.2.15.00174</t>
  </si>
  <si>
    <t>03.2.15.00189</t>
  </si>
  <si>
    <t>P03.2611</t>
  </si>
  <si>
    <t>9177/P03.2611/P03/12/2023</t>
  </si>
  <si>
    <t>03.2.17.00242</t>
  </si>
  <si>
    <t>P03.2482</t>
  </si>
  <si>
    <t>8601/P03.2482/P03/07/2023</t>
  </si>
  <si>
    <t>TAMBAHAN MODAL KULAK IKAN ASIN</t>
  </si>
  <si>
    <t>P03.2383</t>
  </si>
  <si>
    <t>8123/P03.2383/P03/02/2023</t>
  </si>
  <si>
    <t>Untuk tambahan modal usaha sawah</t>
  </si>
  <si>
    <t>BIAYA KESEHATAN</t>
  </si>
  <si>
    <t>KEPENTINGAN KELUARGA</t>
  </si>
  <si>
    <t>TAMBAHAN MODAL USAHA JUAL SAYUR</t>
  </si>
  <si>
    <t>P03.2441</t>
  </si>
  <si>
    <t>8400/P03.2441/P03/05/2023</t>
  </si>
  <si>
    <t>TAMBAHAN MODAL TERNAK</t>
  </si>
  <si>
    <t>P03.2513</t>
  </si>
  <si>
    <t>8755/P03.2513/P03/08/2023</t>
  </si>
  <si>
    <t>TAMBAHAN MODAL JUAL GAS LPG</t>
  </si>
  <si>
    <t>P04.558</t>
  </si>
  <si>
    <t>8643/P04.558/P04/09/2023</t>
  </si>
  <si>
    <t>P03.2264</t>
  </si>
  <si>
    <t>7609/P03.2264/P03/09/2022</t>
  </si>
  <si>
    <t>TAMBAHAN MODAL USAHA JUAL LALAPAN</t>
  </si>
  <si>
    <t>P05.123</t>
  </si>
  <si>
    <t>9007/P05.123/P05/11/2023</t>
  </si>
  <si>
    <t>PEMBELIAN SEPEDA MOTOR MIO M3 125 CW</t>
  </si>
  <si>
    <t>P03.1945</t>
  </si>
  <si>
    <t>6474/P03.1945/P03/10/2021</t>
  </si>
  <si>
    <t>TAMBAHAN MODAL MPON-MPON</t>
  </si>
  <si>
    <t>P01.4224</t>
  </si>
  <si>
    <t>8220/P01.4224/P01/03/2023</t>
  </si>
  <si>
    <t>BIAYA PERBAIKAN RUMAH</t>
  </si>
  <si>
    <t>P01.3946</t>
  </si>
  <si>
    <t>7641/P01.3946/P01/09/2022</t>
  </si>
  <si>
    <t>BIAYA PENGURUSAN TANAH</t>
  </si>
  <si>
    <t>TAMBAHAN MODAL MENJAHIT</t>
  </si>
  <si>
    <t>P03.2502</t>
  </si>
  <si>
    <t>8685/P03.2502/P03/08/2023</t>
  </si>
  <si>
    <t>TAMBAHAN MODAL USAHA JUAL KOPI</t>
  </si>
  <si>
    <t>TAMBAHAN MODAL ONLINE SHOP</t>
  </si>
  <si>
    <t>P05.122</t>
  </si>
  <si>
    <t>8898/P05.122/P05/10/2023</t>
  </si>
  <si>
    <t>PEMBELIAN SEPEDA MOTOR VARIO 160CC</t>
  </si>
  <si>
    <t>pendidikan anak</t>
  </si>
  <si>
    <t>MODAL USAHA PRACANGAN</t>
  </si>
  <si>
    <t>04.2.13.00021</t>
  </si>
  <si>
    <t>MEMBANTU SAUDARA</t>
  </si>
  <si>
    <t>P01.4218</t>
  </si>
  <si>
    <t>8214/P01.4218/P01/03/2023</t>
  </si>
  <si>
    <t>04.2.12.00009</t>
  </si>
  <si>
    <t>04.2.07.00001</t>
  </si>
  <si>
    <t>04.2.12.00008</t>
  </si>
  <si>
    <t>P04.488</t>
  </si>
  <si>
    <t>1721/P04.488/P04/02/2019</t>
  </si>
  <si>
    <t>04.2.17.00254</t>
  </si>
  <si>
    <t>04.2.15.00200</t>
  </si>
  <si>
    <t>04.2.15.00050</t>
  </si>
  <si>
    <t>P01.4746</t>
  </si>
  <si>
    <t>9196/P01.4746/P01/12/2023</t>
  </si>
  <si>
    <t>Reschedule pinjaman ortu</t>
  </si>
  <si>
    <t>PERSIAPAN LEBARAN</t>
  </si>
  <si>
    <t>P03.1250</t>
  </si>
  <si>
    <t>3962/P03.1250/P03/02/2020</t>
  </si>
  <si>
    <t>USAHA DI PASAR</t>
  </si>
  <si>
    <t>P01.3455</t>
  </si>
  <si>
    <t>6653/P01.3455/P01/12/2021</t>
  </si>
  <si>
    <t>UNTUK MEMBELI KEBUN JERUK</t>
  </si>
  <si>
    <t>P03.997</t>
  </si>
  <si>
    <t>3123/P03.997/P03/09/2019</t>
  </si>
  <si>
    <t>TAMBAHAN MODAL USAHA WARUNG</t>
  </si>
  <si>
    <t>P01.2917</t>
  </si>
  <si>
    <t>5508/P01.2917/P01/02/2021</t>
  </si>
  <si>
    <t>RENOVASI RUKO</t>
  </si>
  <si>
    <t>P03.2609</t>
  </si>
  <si>
    <t>9053/P03.2609/P03/12/2023</t>
  </si>
  <si>
    <t>modal usaha jahit</t>
  </si>
  <si>
    <t>P04.512</t>
  </si>
  <si>
    <t>2856/P04.512/P04/10/2019</t>
  </si>
  <si>
    <t>P01.4241</t>
  </si>
  <si>
    <t>8247/P01.4241/P01/03/2023</t>
  </si>
  <si>
    <t>Biaya masuk pelayaran</t>
  </si>
  <si>
    <t>TAMBAHAN MODAL USAHA KUE KERING</t>
  </si>
  <si>
    <t>USAHA ONLINE</t>
  </si>
  <si>
    <t>P03.633</t>
  </si>
  <si>
    <t>1437/P03.633/P03/12/2018</t>
  </si>
  <si>
    <t>TAMBAHAN SEWA WARUNG</t>
  </si>
  <si>
    <t>PENGOBATAN SUAMI</t>
  </si>
  <si>
    <t>P03.2619</t>
  </si>
  <si>
    <t>9155/P03.2619/P03/12/2023</t>
  </si>
  <si>
    <t>biaya pendidikan anak</t>
  </si>
  <si>
    <t>P01.4659</t>
  </si>
  <si>
    <t>9027/P01.4659/P01/11/2023</t>
  </si>
  <si>
    <t>PEMBELIAN MOTOR BARU</t>
  </si>
  <si>
    <t>P03.1521</t>
  </si>
  <si>
    <t>4973/P03.1521/P03/08/2020</t>
  </si>
  <si>
    <t>untuk tambahan modal warung</t>
  </si>
  <si>
    <t>P03.1211</t>
  </si>
  <si>
    <t>P01.2255</t>
  </si>
  <si>
    <t>4105/P01.2255/P01/02/2020</t>
  </si>
  <si>
    <t>P01.2254</t>
  </si>
  <si>
    <t>4106/P01.2254/P01/02/2020</t>
  </si>
  <si>
    <t>P03.1274</t>
  </si>
  <si>
    <t>4102/P03.1274/P03/02/2020</t>
  </si>
  <si>
    <t>P01.2258</t>
  </si>
  <si>
    <t>4101/P01.2258/P01/02/2020</t>
  </si>
  <si>
    <t>P03.2584</t>
  </si>
  <si>
    <t>9025/P03.2584/P03/11/2023</t>
  </si>
  <si>
    <t>MODAL USAHA KUE ISTRI</t>
  </si>
  <si>
    <t>P03.1857</t>
  </si>
  <si>
    <t>6101/P03.1857/P03/06/2021</t>
  </si>
  <si>
    <t>UNTUK PEMBELIAN MOBIL OPERASIONAL USAHA SUAMI</t>
  </si>
  <si>
    <t>P03.1873</t>
  </si>
  <si>
    <t>6201/P03.1873/P03/07/2021</t>
  </si>
  <si>
    <t>UNTUK TAMBAH MODAL ONLINESHOP</t>
  </si>
  <si>
    <t>P01.3652</t>
  </si>
  <si>
    <t>6960/P01.3652/P01/04/2022</t>
  </si>
  <si>
    <t>PEMBELIAN RUMAH (MENAMBAH ASET)</t>
  </si>
  <si>
    <t>membantu saudara</t>
  </si>
  <si>
    <t>modal usaha kue</t>
  </si>
  <si>
    <t>BAYAR KULIAH</t>
  </si>
  <si>
    <t>biaya kuliah</t>
  </si>
  <si>
    <t>Konsumtif</t>
  </si>
  <si>
    <t>P03.2485</t>
  </si>
  <si>
    <t>8626/P03.2485/P03/07/2023</t>
  </si>
  <si>
    <t>MODAL JUALAN ES DEGAN</t>
  </si>
  <si>
    <t>P03.2531</t>
  </si>
  <si>
    <t>8847/P03.2531/P03/09/2023</t>
  </si>
  <si>
    <t>JUAL CILOK</t>
  </si>
  <si>
    <t>P01.4655</t>
  </si>
  <si>
    <t>9020/P01.4655/P01/11/2023</t>
  </si>
  <si>
    <t>usaha kuliner</t>
  </si>
  <si>
    <t>PINJAMAN CALANG</t>
  </si>
  <si>
    <t>04.2.15.00143</t>
  </si>
  <si>
    <t>P01.4436</t>
  </si>
  <si>
    <t>8598/P01.4436/P01/07/2023</t>
  </si>
  <si>
    <t>P04.549</t>
  </si>
  <si>
    <t>6839/P04.549/P04/02/2022</t>
  </si>
  <si>
    <t>Pembelian rumah huni</t>
  </si>
  <si>
    <t>P01.4464</t>
  </si>
  <si>
    <t>8656/P01.4464/P01/08/2023</t>
  </si>
  <si>
    <t>05.2.15.00087</t>
  </si>
  <si>
    <t>P01.3157</t>
  </si>
  <si>
    <t>5904/P01.3157/P01/06/2021</t>
  </si>
  <si>
    <t>Perbaikan rumah</t>
  </si>
  <si>
    <t>P01.2469</t>
  </si>
  <si>
    <t>4383/P01.2469/P01/05/2020</t>
  </si>
  <si>
    <t>Pelunasan pinjaman dan perbaikan rumah</t>
  </si>
  <si>
    <t>P01.4259</t>
  </si>
  <si>
    <t>8188/P01.4259/P01/03/2023</t>
  </si>
  <si>
    <t>05.2.13.00004</t>
  </si>
  <si>
    <t>P01.4472</t>
  </si>
  <si>
    <t>8678/P01.4472/P01/08/2023</t>
  </si>
  <si>
    <t>P01.4670</t>
  </si>
  <si>
    <t>9048/P01.4670/P01/11/2023</t>
  </si>
  <si>
    <t>P04.545</t>
  </si>
  <si>
    <t>6413/P04.545/P04/10/2021</t>
  </si>
  <si>
    <t>Pembelian rumah</t>
  </si>
  <si>
    <t>P01.2220</t>
  </si>
  <si>
    <t>3906/P01.2220/P01/02/2020</t>
  </si>
  <si>
    <t>Biaya pelunasan sekolah</t>
  </si>
  <si>
    <t>P01.3846</t>
  </si>
  <si>
    <t>7438/P01.3846/P01/07/2022</t>
  </si>
  <si>
    <t>P01.1238</t>
  </si>
  <si>
    <t>1609/P01.1238/P01/03/2019</t>
  </si>
  <si>
    <t>Takeoffer pinjaman dan perbaikan bangunan</t>
  </si>
  <si>
    <t>P04.521</t>
  </si>
  <si>
    <t>3508/P04.521/P04/12/2019</t>
  </si>
  <si>
    <t>pembelian rumah</t>
  </si>
  <si>
    <t>P01.1035</t>
  </si>
  <si>
    <t>1507/P01.1035/P01/01/2019</t>
  </si>
  <si>
    <t>biaya sekolah anak</t>
  </si>
  <si>
    <t>P01.1968</t>
  </si>
  <si>
    <t>3372/P01.1968/P01/11/2019</t>
  </si>
  <si>
    <t>Biaya pendidikan anak</t>
  </si>
  <si>
    <t>05.2.17.00020</t>
  </si>
  <si>
    <t>P01.4415</t>
  </si>
  <si>
    <t>8570/P01.4415/P01/07/2023</t>
  </si>
  <si>
    <t>05.2.18.00073</t>
  </si>
  <si>
    <t>melanjutkan pembangunan rumah</t>
  </si>
  <si>
    <t>P01.3675</t>
  </si>
  <si>
    <t>7109/P01.3675/P01/04/2022</t>
  </si>
  <si>
    <t>P01.2277</t>
  </si>
  <si>
    <t>3907/P01.2277/P01/02/2020</t>
  </si>
  <si>
    <t>P05.103</t>
  </si>
  <si>
    <t>7698/P05.103/P05/10/2022</t>
  </si>
  <si>
    <t>P03.935</t>
  </si>
  <si>
    <t>2752/P03.935/P03/08/2019</t>
  </si>
  <si>
    <t>Kulak dagang snack</t>
  </si>
  <si>
    <t>P01.2248</t>
  </si>
  <si>
    <t>4095/P01.2248/P01/02/2020</t>
  </si>
  <si>
    <t>KEPERLUAN KELUARGA</t>
  </si>
  <si>
    <t>P04.524</t>
  </si>
  <si>
    <t>4096/P04.524/P04/02/2020</t>
  </si>
  <si>
    <t>P01.4711</t>
  </si>
  <si>
    <t>9100/P01.4711/P01/12/2023</t>
  </si>
  <si>
    <t>06.2.18.00006</t>
  </si>
  <si>
    <t>P01.4245</t>
  </si>
  <si>
    <t>8234/P01.4245/P01/03/2023</t>
  </si>
  <si>
    <t>06.2.15.00178</t>
  </si>
  <si>
    <t>06.2.15.00032</t>
  </si>
  <si>
    <t>BAYAR KULIAH ANAK</t>
  </si>
  <si>
    <t>P01.4282</t>
  </si>
  <si>
    <t>8303/P01.4282/P01/04/2023</t>
  </si>
  <si>
    <t>P01.4315</t>
  </si>
  <si>
    <t>8380/P01.4315/P01/05/2023</t>
  </si>
  <si>
    <t>ACARA KELUARGA</t>
  </si>
  <si>
    <t>P03.2512</t>
  </si>
  <si>
    <t>8766/P03.2512/P03/08/2023</t>
  </si>
  <si>
    <t>KULAKAN ROKOK</t>
  </si>
  <si>
    <t>06.2.15.00156</t>
  </si>
  <si>
    <t>P03.1176</t>
  </si>
  <si>
    <t>3780/P03.1176/P03/01/2020</t>
  </si>
  <si>
    <t>belanja accu dan laker truk</t>
  </si>
  <si>
    <t>P01.806</t>
  </si>
  <si>
    <t>1126/P01.806/P01/10/2018</t>
  </si>
  <si>
    <t>TAMABAHAN MODAL DAGANG BERAS</t>
  </si>
  <si>
    <t>P01.1533</t>
  </si>
  <si>
    <t>2378/P01.1533/P01/05/2019</t>
  </si>
  <si>
    <t>TAMBAHAN MODAL BELI BEBEK 200 EKOR</t>
  </si>
  <si>
    <t>P03.1031</t>
  </si>
  <si>
    <t>3251/P03.1031/P03/10/2019</t>
  </si>
  <si>
    <t>PERPANJANG SEWA KIOS</t>
  </si>
  <si>
    <t>P01.3743</t>
  </si>
  <si>
    <t>7261/P01.3743/P01/05/2022</t>
  </si>
  <si>
    <t>TINDAKAN OPERASI</t>
  </si>
  <si>
    <t>06.2.12.00004</t>
  </si>
  <si>
    <t>P04.551</t>
  </si>
  <si>
    <t>6878/P04.551/P04/04/2022</t>
  </si>
  <si>
    <t>PEMBELIAN RUMAH &amp; TANAH</t>
  </si>
  <si>
    <t>P01.3085</t>
  </si>
  <si>
    <t>5984/P01.3085/P01/05/2021</t>
  </si>
  <si>
    <t>BAYAR SEKOLAH</t>
  </si>
  <si>
    <t>P01.4112</t>
  </si>
  <si>
    <t>7950/P01.4112/P01/12/2022</t>
  </si>
  <si>
    <t>BELI BIBIT CABE</t>
  </si>
  <si>
    <t>06.2.15.00098</t>
  </si>
  <si>
    <t>06.2.15.00172</t>
  </si>
  <si>
    <t>06.2.16.00064</t>
  </si>
  <si>
    <t>P01.4197</t>
  </si>
  <si>
    <t>8156/P01.4197/P01/02/2023</t>
  </si>
  <si>
    <t>P01.3416</t>
  </si>
  <si>
    <t>6598/P01.3416/P01/11/2021</t>
  </si>
  <si>
    <t>TAMBAH MODAL TOKO KELONTONG</t>
  </si>
  <si>
    <t>06.2.16.00119</t>
  </si>
  <si>
    <t>P01.4574</t>
  </si>
  <si>
    <t>8864/P01.4574/P01/09/2023</t>
  </si>
  <si>
    <t>MERINGANKAN ANGSURAN PINJAMAN</t>
  </si>
  <si>
    <t>P01.4425</t>
  </si>
  <si>
    <t>8479/P01.4425/P01/07/2023</t>
  </si>
  <si>
    <t>06.2.17.00187</t>
  </si>
  <si>
    <t>P01.2003</t>
  </si>
  <si>
    <t>3476/P01.2003/P01/11/2019</t>
  </si>
  <si>
    <t>PELUNASAN PINJAMAN TEMPAT LAIN</t>
  </si>
  <si>
    <t>P01.4596</t>
  </si>
  <si>
    <t>8914/P01.4596/P01/10/2023</t>
  </si>
  <si>
    <t>P01.4581</t>
  </si>
  <si>
    <t>8812/P01.4581/P01/09/2023</t>
  </si>
  <si>
    <t>BELI LEMARI ES</t>
  </si>
  <si>
    <t>P01.3160</t>
  </si>
  <si>
    <t>6116/P01.3160/P01/06/2021</t>
  </si>
  <si>
    <t>P01.3826</t>
  </si>
  <si>
    <t>7426/P01.3826/P01/07/2022</t>
  </si>
  <si>
    <t>TAMBAHAN MODAL USAHA JAMUR</t>
  </si>
  <si>
    <t>KEBUTUHAN LEBARAN</t>
  </si>
  <si>
    <t>P01.3423</t>
  </si>
  <si>
    <t>6611/P01.3423/P01/11/2021</t>
  </si>
  <si>
    <t>TAMBAHAN MODAL KELONTONG</t>
  </si>
  <si>
    <t>P01.4693</t>
  </si>
  <si>
    <t>9037/P01.4693/P01/12/2023</t>
  </si>
  <si>
    <t>TAKE OVER PINJAMAN</t>
  </si>
  <si>
    <t>BELI MOTOR</t>
  </si>
  <si>
    <t>KONTRAK RUMAH</t>
  </si>
  <si>
    <t>P01.4742</t>
  </si>
  <si>
    <t>9134/P01.4742/P01/12/2023</t>
  </si>
  <si>
    <t>INVESTASI TANAH</t>
  </si>
  <si>
    <t>PEMBELIAN MOTOR</t>
  </si>
  <si>
    <t>BELI TANAH</t>
  </si>
  <si>
    <t>P08.213</t>
  </si>
  <si>
    <t>6985/P08.213/P08/03/2022</t>
  </si>
  <si>
    <t>BELI HP</t>
  </si>
  <si>
    <t>MODAL USAHA LOMBOK</t>
  </si>
  <si>
    <t>P03.2589</t>
  </si>
  <si>
    <t>9066/P03.2589/P03/11/2023</t>
  </si>
  <si>
    <t>MODAL USAHA BAWANG</t>
  </si>
  <si>
    <t>MODAL</t>
  </si>
  <si>
    <t>MODAL USAHA AYAM</t>
  </si>
  <si>
    <t>P01.4358</t>
  </si>
  <si>
    <t>8471/P01.4358/P01/05/2023</t>
  </si>
  <si>
    <t>RESCEDULE</t>
  </si>
  <si>
    <t>P01.4745</t>
  </si>
  <si>
    <t>9212/P01.4745/P01/12/2023</t>
  </si>
  <si>
    <t>Total</t>
  </si>
  <si>
    <t>DATA KOSONG</t>
  </si>
  <si>
    <t>NBA</t>
  </si>
  <si>
    <t>REK PJMN</t>
  </si>
  <si>
    <t>KATEGORI</t>
  </si>
  <si>
    <t>KLASIFIKASI USIA ANGGOTA</t>
  </si>
  <si>
    <t>KLASIFIKASI PROFESI ANGGOTA</t>
  </si>
  <si>
    <t>KLASIFIKASI TUJUAN PINJAMAN BERDASAR USIA PEMINJAM</t>
  </si>
  <si>
    <t>KLASIFIKASI TUJUAN PINJAMAN BERDASAR PROFESI PEMINJAM</t>
  </si>
  <si>
    <t>KLASIFIKASI PROFESI &amp; USIA ANGGOTA</t>
  </si>
  <si>
    <t>&lt; =23</t>
  </si>
  <si>
    <t>KLASIFIKASI USIA PEMINJAM</t>
  </si>
  <si>
    <t>KLASIFIKASI TUJUAN PINJAMAN</t>
  </si>
  <si>
    <t>&lt;= 23</t>
  </si>
  <si>
    <t>Laporan Simpanan Anggota</t>
  </si>
  <si>
    <t>Produk SIJATRA ANGGOTA - SJTA</t>
  </si>
  <si>
    <t>ID</t>
  </si>
  <si>
    <t>No. Anggota</t>
  </si>
  <si>
    <t>No. Rek</t>
  </si>
  <si>
    <t>Tgl. Buka</t>
  </si>
  <si>
    <t>Jangka Waktu</t>
  </si>
  <si>
    <t>Saldo Minimum</t>
  </si>
  <si>
    <t>Bunga</t>
  </si>
  <si>
    <t>Transaksi Terakhir</t>
  </si>
  <si>
    <t>Perpanjang</t>
  </si>
  <si>
    <t>✔</t>
  </si>
  <si>
    <t>SJTA.2198</t>
  </si>
  <si>
    <t>SJTA.998</t>
  </si>
  <si>
    <t>SJTA.1778</t>
  </si>
  <si>
    <t>SJTA.1798</t>
  </si>
  <si>
    <t>SJTA.1860</t>
  </si>
  <si>
    <t>01.3.05.00111</t>
  </si>
  <si>
    <t>SJTA.1382</t>
  </si>
  <si>
    <t>01.3.05.00480</t>
  </si>
  <si>
    <t>SJTA.1088</t>
  </si>
  <si>
    <t>SJTA.1995</t>
  </si>
  <si>
    <t>01.3.05.00493</t>
  </si>
  <si>
    <t>SJTA.1226</t>
  </si>
  <si>
    <t>SJTA.2038</t>
  </si>
  <si>
    <t>01.3.05.00520</t>
  </si>
  <si>
    <t>SJTA.1303</t>
  </si>
  <si>
    <t>SJTA.738</t>
  </si>
  <si>
    <t>01.3.05.00529</t>
  </si>
  <si>
    <t>SJTA.1316</t>
  </si>
  <si>
    <t>SJTA.934</t>
  </si>
  <si>
    <t>01.3.05.00564</t>
  </si>
  <si>
    <t>SJTA.1404</t>
  </si>
  <si>
    <t>SJTA.953</t>
  </si>
  <si>
    <t>01.3.05.00565</t>
  </si>
  <si>
    <t>SJTA.1424</t>
  </si>
  <si>
    <t>SJTA.981</t>
  </si>
  <si>
    <t>01.3.05.00566</t>
  </si>
  <si>
    <t>SJTA.1516</t>
  </si>
  <si>
    <t>01.3.05.00567</t>
  </si>
  <si>
    <t>SJTA.1542</t>
  </si>
  <si>
    <t>01.3.05.00604</t>
  </si>
  <si>
    <t>SJTA.1562</t>
  </si>
  <si>
    <t>01.3.05.00605</t>
  </si>
  <si>
    <t>SJTA.1635</t>
  </si>
  <si>
    <t>SJTA.1693</t>
  </si>
  <si>
    <t>01.3.05.00094</t>
  </si>
  <si>
    <t>SJTA.1733</t>
  </si>
  <si>
    <t>01.3.05.00624</t>
  </si>
  <si>
    <t>SJTA.1769</t>
  </si>
  <si>
    <t>01.3.05.00212</t>
  </si>
  <si>
    <t>01.3.05.00625</t>
  </si>
  <si>
    <t>SJTA.1821</t>
  </si>
  <si>
    <t>01.3.05.00428</t>
  </si>
  <si>
    <t>01.3.05.00626</t>
  </si>
  <si>
    <t>SJTA.1947</t>
  </si>
  <si>
    <t>01.3.05.00448</t>
  </si>
  <si>
    <t>SJTA.1003</t>
  </si>
  <si>
    <t>SJTA.1982</t>
  </si>
  <si>
    <t>01.3.05.00167</t>
  </si>
  <si>
    <t>01.3.05.00168</t>
  </si>
  <si>
    <t>01.3.05.00389</t>
  </si>
  <si>
    <t>SJTA.2156</t>
  </si>
  <si>
    <t>SJTA.2157</t>
  </si>
  <si>
    <t>SJTA.2159</t>
  </si>
  <si>
    <t>SJTA.1407</t>
  </si>
  <si>
    <t>SJTA.2027</t>
  </si>
  <si>
    <t>01.3.05.00089</t>
  </si>
  <si>
    <t>01.3.05.00102</t>
  </si>
  <si>
    <t>01.3.05.00235</t>
  </si>
  <si>
    <t>01.3.05.00252</t>
  </si>
  <si>
    <t>SJTA.1108</t>
  </si>
  <si>
    <t>SJTA.1362</t>
  </si>
  <si>
    <t>SJTA.1714</t>
  </si>
  <si>
    <t>SJTA.2145</t>
  </si>
  <si>
    <t>01.3.05.00004</t>
  </si>
  <si>
    <t>SJTA.1249</t>
  </si>
  <si>
    <t>SJTA.1979</t>
  </si>
  <si>
    <t>SJTA.1291</t>
  </si>
  <si>
    <t>SJTA.1549</t>
  </si>
  <si>
    <t>SJTA.1802</t>
  </si>
  <si>
    <t>SJTA.2056</t>
  </si>
  <si>
    <t>SJTA.2113</t>
  </si>
  <si>
    <t>SJTA.1556</t>
  </si>
  <si>
    <t>SJTA.1587</t>
  </si>
  <si>
    <t>SJTA.1643</t>
  </si>
  <si>
    <t>SJTA.1681</t>
  </si>
  <si>
    <t>SJTA.1720</t>
  </si>
  <si>
    <t>SJTA.1743</t>
  </si>
  <si>
    <t>SJTA.1750</t>
  </si>
  <si>
    <t>SJTA.1892</t>
  </si>
  <si>
    <t>SJTA.1174</t>
  </si>
  <si>
    <t>SJTA.1406</t>
  </si>
  <si>
    <t>SJTA.2155</t>
  </si>
  <si>
    <t>SJTA.2177</t>
  </si>
  <si>
    <t>01.3.05.00430</t>
  </si>
  <si>
    <t>SJTA.1812</t>
  </si>
  <si>
    <t>SJTA.2196</t>
  </si>
  <si>
    <t>SJTA.1634</t>
  </si>
  <si>
    <t>SJTA.1009</t>
  </si>
  <si>
    <t>SJTA.1584</t>
  </si>
  <si>
    <t>SJTA.1015</t>
  </si>
  <si>
    <t>SJTA.1645</t>
  </si>
  <si>
    <t>SJTA.1114</t>
  </si>
  <si>
    <t>SJTA.1754</t>
  </si>
  <si>
    <t>01.3.05.00070</t>
  </si>
  <si>
    <t>SJTA.1169</t>
  </si>
  <si>
    <t>SJTA.1934</t>
  </si>
  <si>
    <t>SJTA.1183</t>
  </si>
  <si>
    <t>SJTA.2128</t>
  </si>
  <si>
    <t>01.3.05.00311</t>
  </si>
  <si>
    <t>SJTA.1234</t>
  </si>
  <si>
    <t>SJTA.2178</t>
  </si>
  <si>
    <t>01.3.05.00439</t>
  </si>
  <si>
    <t>SJTA.1260</t>
  </si>
  <si>
    <t>SJTA.1290</t>
  </si>
  <si>
    <t>SJTA.1396</t>
  </si>
  <si>
    <t>SJTA.1449</t>
  </si>
  <si>
    <t>SJTA.1478</t>
  </si>
  <si>
    <t>01.3.05.00554</t>
  </si>
  <si>
    <t>SJTA.1508</t>
  </si>
  <si>
    <t>01.3.05.00587</t>
  </si>
  <si>
    <t>SJTA.1519</t>
  </si>
  <si>
    <t>SJTA.1746</t>
  </si>
  <si>
    <t>SJTA.1825</t>
  </si>
  <si>
    <t>SJTA.1022</t>
  </si>
  <si>
    <t>SJTA.1822</t>
  </si>
  <si>
    <t>SJTA.1876</t>
  </si>
  <si>
    <t>SJTA.1649</t>
  </si>
  <si>
    <t>SJTA.1875</t>
  </si>
  <si>
    <t>SJTA.2078</t>
  </si>
  <si>
    <t>01.3.05.00008</t>
  </si>
  <si>
    <t>SJTA.2110</t>
  </si>
  <si>
    <t>01.3.05.00010</t>
  </si>
  <si>
    <t>SJTA.2165</t>
  </si>
  <si>
    <t>SJTA.2195</t>
  </si>
  <si>
    <t>01.3.05.00420</t>
  </si>
  <si>
    <t>SJTA.2016</t>
  </si>
  <si>
    <t>SJTA.963</t>
  </si>
  <si>
    <t>01.3.05.00698</t>
  </si>
  <si>
    <t>01.3.05.00351</t>
  </si>
  <si>
    <t>01.3.05.00495</t>
  </si>
  <si>
    <t>SJTA.1077</t>
  </si>
  <si>
    <t>SJTA.1330</t>
  </si>
  <si>
    <t>SJTA.1808</t>
  </si>
  <si>
    <t>SJTA.1970</t>
  </si>
  <si>
    <t>SJTA.1514</t>
  </si>
  <si>
    <t>01.3.05.00005</t>
  </si>
  <si>
    <t>01.3.05.00016</t>
  </si>
  <si>
    <t>01.3.09.00001</t>
  </si>
  <si>
    <t>SJTA.1329</t>
  </si>
  <si>
    <t>SJTA.2173</t>
  </si>
  <si>
    <t>SJTA.1579</t>
  </si>
  <si>
    <t>SJTA.2079</t>
  </si>
  <si>
    <t>01.3.05.00152</t>
  </si>
  <si>
    <t>01.3.05.00161</t>
  </si>
  <si>
    <t>SJTA.1160</t>
  </si>
  <si>
    <t>SJTA.1849</t>
  </si>
  <si>
    <t>01.3.05.00342</t>
  </si>
  <si>
    <t>01.3.05.00343</t>
  </si>
  <si>
    <t>01.3.05.00620</t>
  </si>
  <si>
    <t>01.3.05.00621</t>
  </si>
  <si>
    <t>01.3.05.00164</t>
  </si>
  <si>
    <t>01.3.05.00166</t>
  </si>
  <si>
    <t>01.3.05.00619</t>
  </si>
  <si>
    <t>01.3.05.00090</t>
  </si>
  <si>
    <t>SJTA.1105</t>
  </si>
  <si>
    <t>SJTA.1364</t>
  </si>
  <si>
    <t>SJTA.1379</t>
  </si>
  <si>
    <t>SJTA.1630</t>
  </si>
  <si>
    <t>SJTA.2057</t>
  </si>
  <si>
    <t>SJTA.2058</t>
  </si>
  <si>
    <t>03.3.05.00122</t>
  </si>
  <si>
    <t>03.3.05.00123</t>
  </si>
  <si>
    <t>03.3.05.00126</t>
  </si>
  <si>
    <t>SJTA.1933</t>
  </si>
  <si>
    <t>03.3.05.00127</t>
  </si>
  <si>
    <t>SJTA.1958</t>
  </si>
  <si>
    <t>03.3.05.00128</t>
  </si>
  <si>
    <t>SJTA.1420</t>
  </si>
  <si>
    <t>SJTA.1421</t>
  </si>
  <si>
    <t>03.3.05.00175</t>
  </si>
  <si>
    <t>03.3.05.00071</t>
  </si>
  <si>
    <t>03.3.05.00203</t>
  </si>
  <si>
    <t>03.3.05.00104</t>
  </si>
  <si>
    <t>SJTA.1142</t>
  </si>
  <si>
    <t>SJTA.1257</t>
  </si>
  <si>
    <t>SJTA.1521</t>
  </si>
  <si>
    <t>SJTA.1767</t>
  </si>
  <si>
    <t>SJTA.2054</t>
  </si>
  <si>
    <t>03.3.05.00062</t>
  </si>
  <si>
    <t>03.3.05.00134</t>
  </si>
  <si>
    <t>03.3.05.00135</t>
  </si>
  <si>
    <t>03.3.05.00136</t>
  </si>
  <si>
    <t>03.3.05.00137</t>
  </si>
  <si>
    <t>03.3.05.00243</t>
  </si>
  <si>
    <t>03.3.05.00244</t>
  </si>
  <si>
    <t>SJTA.1152</t>
  </si>
  <si>
    <t>03.3.05.00022</t>
  </si>
  <si>
    <t>03.3.05.00072</t>
  </si>
  <si>
    <t>03.3.05.00207</t>
  </si>
  <si>
    <t>03.3.05.00208</t>
  </si>
  <si>
    <t>03.3.05.00209</t>
  </si>
  <si>
    <t>SJTA.1320</t>
  </si>
  <si>
    <t>SJTA.1800</t>
  </si>
  <si>
    <t>03.3.05.00230</t>
  </si>
  <si>
    <t>SJTA.721</t>
  </si>
  <si>
    <t>03.3.05.00240</t>
  </si>
  <si>
    <t>SJTA.1400</t>
  </si>
  <si>
    <t>03.3.05.00253</t>
  </si>
  <si>
    <t>SJTA.1417</t>
  </si>
  <si>
    <t>03.3.05.00138</t>
  </si>
  <si>
    <t>03.3.05.00150</t>
  </si>
  <si>
    <t>SJTA.1057</t>
  </si>
  <si>
    <t>SJTA.1930</t>
  </si>
  <si>
    <t>SJTA.1086</t>
  </si>
  <si>
    <t>SJTA.1106</t>
  </si>
  <si>
    <t>SJTA.1515</t>
  </si>
  <si>
    <t>SJTA.1107</t>
  </si>
  <si>
    <t>SJTA.1130</t>
  </si>
  <si>
    <t>SJTA.1151</t>
  </si>
  <si>
    <t>03.3.05.00200</t>
  </si>
  <si>
    <t>SJTA.2064</t>
  </si>
  <si>
    <t>03.3.05.00204</t>
  </si>
  <si>
    <t>SJTA.1245</t>
  </si>
  <si>
    <t>03.3.05.00214</t>
  </si>
  <si>
    <t>SJTA.1782</t>
  </si>
  <si>
    <t>03.3.05.00167</t>
  </si>
  <si>
    <t>03.3.05.00195</t>
  </si>
  <si>
    <t>SJTA.1945</t>
  </si>
  <si>
    <t>SJTA.2143</t>
  </si>
  <si>
    <t>01.3.05.00303</t>
  </si>
  <si>
    <t>01.3.05.00002</t>
  </si>
  <si>
    <t>03.3.05.00109</t>
  </si>
  <si>
    <t>SJTA.749</t>
  </si>
  <si>
    <t>SJTA.1868</t>
  </si>
  <si>
    <t>SJTA.1679</t>
  </si>
  <si>
    <t>SJTA.1834</t>
  </si>
  <si>
    <t>SJTA.2019</t>
  </si>
  <si>
    <t>01.3.05.00023</t>
  </si>
  <si>
    <t>01.3.05.00033</t>
  </si>
  <si>
    <t>01.3.05.00352</t>
  </si>
  <si>
    <t>SJTA.1843</t>
  </si>
  <si>
    <t>SJTA.1586</t>
  </si>
  <si>
    <t>03.3.05.00172</t>
  </si>
  <si>
    <t>SJTA.1832</t>
  </si>
  <si>
    <t>SJTA.740</t>
  </si>
  <si>
    <t>SJTA.1842</t>
  </si>
  <si>
    <t>SJTA.739</t>
  </si>
  <si>
    <t>03.3.05.00174</t>
  </si>
  <si>
    <t>SJTA.2139</t>
  </si>
  <si>
    <t>03.3.05.00171</t>
  </si>
  <si>
    <t>SJTA.1426</t>
  </si>
  <si>
    <t>SJTA.1931</t>
  </si>
  <si>
    <t>SJTA.1949</t>
  </si>
  <si>
    <t>SJTA.2124</t>
  </si>
  <si>
    <t>SJTA.1660</t>
  </si>
  <si>
    <t>SJTA.1893</t>
  </si>
  <si>
    <t>SJTA.2136</t>
  </si>
  <si>
    <t>SJTA.760</t>
  </si>
  <si>
    <t>01.3.05.00383</t>
  </si>
  <si>
    <t>SJTA.766</t>
  </si>
  <si>
    <t>01.3.05.00078</t>
  </si>
  <si>
    <t>SJTA.2100</t>
  </si>
  <si>
    <t>03.3.05.00003</t>
  </si>
  <si>
    <t>01.3.05.00139</t>
  </si>
  <si>
    <t>SJTA.2162</t>
  </si>
  <si>
    <t>02.3.05.00027</t>
  </si>
  <si>
    <t>01.3.05.00655</t>
  </si>
  <si>
    <t>01.3.05.00001</t>
  </si>
  <si>
    <t>SJTA.1691</t>
  </si>
  <si>
    <t>SJTA.1932</t>
  </si>
  <si>
    <t>SJTA.2055</t>
  </si>
  <si>
    <t>04.3.05.00016</t>
  </si>
  <si>
    <t>SJTA.723</t>
  </si>
  <si>
    <t>SJTA.1994</t>
  </si>
  <si>
    <t>03.3.05.00231</t>
  </si>
  <si>
    <t>03.3.05.00169</t>
  </si>
  <si>
    <t>03.3.05.00249</t>
  </si>
  <si>
    <t>SJTA.2151</t>
  </si>
  <si>
    <t>04.3.05.00046</t>
  </si>
  <si>
    <t>SJTA.1955</t>
  </si>
  <si>
    <t>SJTA.2161</t>
  </si>
  <si>
    <t>SJTA.1978</t>
  </si>
  <si>
    <t>03.3.05.00178</t>
  </si>
  <si>
    <t>SJTA.1235</t>
  </si>
  <si>
    <t>03.3.05.00084</t>
  </si>
  <si>
    <t>03.3.05.00232</t>
  </si>
  <si>
    <t>SJTA.1470</t>
  </si>
  <si>
    <t>SJTA.1597</t>
  </si>
  <si>
    <t>SJTA.1950</t>
  </si>
  <si>
    <t>SJTA.1472</t>
  </si>
  <si>
    <t>SJTA.1951</t>
  </si>
  <si>
    <t>SJTA.1969</t>
  </si>
  <si>
    <t>01.3.05.00461</t>
  </si>
  <si>
    <t>SJTA.2024</t>
  </si>
  <si>
    <t>SJTA.1577</t>
  </si>
  <si>
    <t>SJTA.1578</t>
  </si>
  <si>
    <t>SJTA.1637</t>
  </si>
  <si>
    <t>SJTA.2097</t>
  </si>
  <si>
    <t>03.3.05.00019</t>
  </si>
  <si>
    <t>03.3.05.00025</t>
  </si>
  <si>
    <t>SJTA.1975</t>
  </si>
  <si>
    <t>SJTA.988</t>
  </si>
  <si>
    <t>03.3.05.00165</t>
  </si>
  <si>
    <t>SJTA.1927</t>
  </si>
  <si>
    <t>SJTA.1157</t>
  </si>
  <si>
    <t>01.3.05.00135</t>
  </si>
  <si>
    <t>SJTA.1355</t>
  </si>
  <si>
    <t>SJTA.1924</t>
  </si>
  <si>
    <t>SJTA.1810</t>
  </si>
  <si>
    <t>SJTA.1811</t>
  </si>
  <si>
    <t>03.3.05.00038</t>
  </si>
  <si>
    <t>SJTA.1236</t>
  </si>
  <si>
    <t>SJTA.1306</t>
  </si>
  <si>
    <t>01.3.05.00067</t>
  </si>
  <si>
    <t>SJTA.2062</t>
  </si>
  <si>
    <t>SJTA.965</t>
  </si>
  <si>
    <t>04.3.05.00030</t>
  </si>
  <si>
    <t>04.3.05.00032</t>
  </si>
  <si>
    <t>04.3.05.00047</t>
  </si>
  <si>
    <t>04.3.05.00048</t>
  </si>
  <si>
    <t>SJTA.754</t>
  </si>
  <si>
    <t>SJTA.1005</t>
  </si>
  <si>
    <t>SJTA.2082</t>
  </si>
  <si>
    <t>SJTA.1966</t>
  </si>
  <si>
    <t>SJTA.1435</t>
  </si>
  <si>
    <t>SJTA.1806</t>
  </si>
  <si>
    <t>01.3.05.00182</t>
  </si>
  <si>
    <t>01.3.05.00198</t>
  </si>
  <si>
    <t>01.3.05.00183</t>
  </si>
  <si>
    <t>01.3.05.00199</t>
  </si>
  <si>
    <t>01.3.05.00200</t>
  </si>
  <si>
    <t>01.3.05.00184</t>
  </si>
  <si>
    <t>01.3.05.00201</t>
  </si>
  <si>
    <t>01.3.05.00185</t>
  </si>
  <si>
    <t>01.3.05.00202</t>
  </si>
  <si>
    <t>01.3.05.00186</t>
  </si>
  <si>
    <t>01.3.05.00203</t>
  </si>
  <si>
    <t>01.3.05.00187</t>
  </si>
  <si>
    <t>SJTA.1304</t>
  </si>
  <si>
    <t>01.3.05.00188</t>
  </si>
  <si>
    <t>01.3.05.00189</t>
  </si>
  <si>
    <t>01.3.05.00190</t>
  </si>
  <si>
    <t>01.3.05.00175</t>
  </si>
  <si>
    <t>01.3.05.00191</t>
  </si>
  <si>
    <t>01.3.05.00176</t>
  </si>
  <si>
    <t>01.3.05.00192</t>
  </si>
  <si>
    <t>01.3.05.00177</t>
  </si>
  <si>
    <t>01.3.05.00193</t>
  </si>
  <si>
    <t>01.3.05.00178</t>
  </si>
  <si>
    <t>01.3.05.00194</t>
  </si>
  <si>
    <t>01.3.05.00179</t>
  </si>
  <si>
    <t>01.3.05.00195</t>
  </si>
  <si>
    <t>01.3.05.00180</t>
  </si>
  <si>
    <t>01.3.05.00196</t>
  </si>
  <si>
    <t>01.3.05.00181</t>
  </si>
  <si>
    <t>01.3.05.00197</t>
  </si>
  <si>
    <t>SJTA.2017</t>
  </si>
  <si>
    <t>SJTA.1205</t>
  </si>
  <si>
    <t>SJTA.2167</t>
  </si>
  <si>
    <t>01.3.05.00291</t>
  </si>
  <si>
    <t>01.3.05.00525</t>
  </si>
  <si>
    <t>SJTA.1928</t>
  </si>
  <si>
    <t>SJTA.1499</t>
  </si>
  <si>
    <t>SJTA.1500</t>
  </si>
  <si>
    <t>SJTA.1501</t>
  </si>
  <si>
    <t>SJTA.1502</t>
  </si>
  <si>
    <t>SJTA.1503</t>
  </si>
  <si>
    <t>SJTA.1504</t>
  </si>
  <si>
    <t>SJTA.2012</t>
  </si>
  <si>
    <t>SJTA.1079</t>
  </si>
  <si>
    <t>SJTA.1145</t>
  </si>
  <si>
    <t>SJTA.1335</t>
  </si>
  <si>
    <t>SJTA.1414</t>
  </si>
  <si>
    <t>SJTA.1492</t>
  </si>
  <si>
    <t>SJTA.1565</t>
  </si>
  <si>
    <t>SJTA.1568</t>
  </si>
  <si>
    <t>SJTA.1590</t>
  </si>
  <si>
    <t>SJTA.1668</t>
  </si>
  <si>
    <t>SJTA.1717</t>
  </si>
  <si>
    <t>SJTA.1783</t>
  </si>
  <si>
    <t>SJTA.1232</t>
  </si>
  <si>
    <t>01.3.05.00237</t>
  </si>
  <si>
    <t>01.3.05.00510</t>
  </si>
  <si>
    <t>01.3.05.00433</t>
  </si>
  <si>
    <t>SJTA.1354</t>
  </si>
  <si>
    <t>SJTA.1925</t>
  </si>
  <si>
    <t>SJTA.1461</t>
  </si>
  <si>
    <t>SJTA.1666</t>
  </si>
  <si>
    <t>SJTA.1753</t>
  </si>
  <si>
    <t>SJTA.1787</t>
  </si>
  <si>
    <t>SJTA.2032</t>
  </si>
  <si>
    <t>SJTA.2093</t>
  </si>
  <si>
    <t>SJTA.2095</t>
  </si>
  <si>
    <t>SJTA.2005</t>
  </si>
  <si>
    <t>SJTA.1698</t>
  </si>
  <si>
    <t>SJTA.1697</t>
  </si>
  <si>
    <t>01.3.05.00645</t>
  </si>
  <si>
    <t>SJTA.1725</t>
  </si>
  <si>
    <t>SJTA.1726</t>
  </si>
  <si>
    <t>SJTA.1827</t>
  </si>
  <si>
    <t>SJTA.1828</t>
  </si>
  <si>
    <t>SJTA.1829</t>
  </si>
  <si>
    <t>01.3.05.00307</t>
  </si>
  <si>
    <t>SJTA.2011</t>
  </si>
  <si>
    <t>01.3.05.00206</t>
  </si>
  <si>
    <t>01.3.05.00323</t>
  </si>
  <si>
    <t>01.3.05.00204</t>
  </si>
  <si>
    <t>05.3.05.00091</t>
  </si>
  <si>
    <t>01.3.05.00026</t>
  </si>
  <si>
    <t>01.3.05.00027</t>
  </si>
  <si>
    <t>01.3.05.00042</t>
  </si>
  <si>
    <t>SJTA.1147</t>
  </si>
  <si>
    <t>SJTA.2105</t>
  </si>
  <si>
    <t>SJTA.1445</t>
  </si>
  <si>
    <t>01.3.05.00324</t>
  </si>
  <si>
    <t>01.3.05.00584</t>
  </si>
  <si>
    <t>01.3.05.00585</t>
  </si>
  <si>
    <t>SJTA.2166</t>
  </si>
  <si>
    <t>SJTA.1699</t>
  </si>
  <si>
    <t>SJTA.1792</t>
  </si>
  <si>
    <t>SJTA.1968</t>
  </si>
  <si>
    <t>SJTA.1977</t>
  </si>
  <si>
    <t>SJTA.1980</t>
  </si>
  <si>
    <t>SJTA.1996</t>
  </si>
  <si>
    <t>SJTA.2045</t>
  </si>
  <si>
    <t>SJTA.2015</t>
  </si>
  <si>
    <t>03.3.05.00216</t>
  </si>
  <si>
    <t>04.3.05.00031</t>
  </si>
  <si>
    <t>04.3.05.00033</t>
  </si>
  <si>
    <t>SJTA.722</t>
  </si>
  <si>
    <t>05.3.05.00006</t>
  </si>
  <si>
    <t>05.3.05.00007</t>
  </si>
  <si>
    <t>05.3.05.00102</t>
  </si>
  <si>
    <t>SJTA.1520</t>
  </si>
  <si>
    <t>SJTA.1567</t>
  </si>
  <si>
    <t>SJTA.1911</t>
  </si>
  <si>
    <t>SJTA.1912</t>
  </si>
  <si>
    <t>SJTA.1913</t>
  </si>
  <si>
    <t>SJTA.1381</t>
  </si>
  <si>
    <t>SJTA.1415</t>
  </si>
  <si>
    <t>SJTA.1572</t>
  </si>
  <si>
    <t>SJTA.1877</t>
  </si>
  <si>
    <t>SJTA.1914</t>
  </si>
  <si>
    <t>SJTA.2063</t>
  </si>
  <si>
    <t>SJTA.1300</t>
  </si>
  <si>
    <t>SJTA.1448</t>
  </si>
  <si>
    <t>SJTA.1953</t>
  </si>
  <si>
    <t>01.3.05.00115</t>
  </si>
  <si>
    <t>SJTA.1757</t>
  </si>
  <si>
    <t>01.3.05.00213</t>
  </si>
  <si>
    <t>01.3.05.00401</t>
  </si>
  <si>
    <t>SJTA.1011</t>
  </si>
  <si>
    <t>SJTA.1176</t>
  </si>
  <si>
    <t>SJTA.1178</t>
  </si>
  <si>
    <t>01.3.05.00580</t>
  </si>
  <si>
    <t>SJTA.1292</t>
  </si>
  <si>
    <t>SJTA.2074</t>
  </si>
  <si>
    <t>SJTA.1356</t>
  </si>
  <si>
    <t>SJTA.1926</t>
  </si>
  <si>
    <t>SJTA.1688</t>
  </si>
  <si>
    <t>SJTA.1986</t>
  </si>
  <si>
    <t>SJTA.1395</t>
  </si>
  <si>
    <t>SJTA.2102</t>
  </si>
  <si>
    <t>SJTA.2117</t>
  </si>
  <si>
    <t>SJTA.1261</t>
  </si>
  <si>
    <t>SJTA.1707</t>
  </si>
  <si>
    <t>SJTA.2068</t>
  </si>
  <si>
    <t>SJTA.2069</t>
  </si>
  <si>
    <t>03.3.05.00202</t>
  </si>
  <si>
    <t>05.3.05.00085</t>
  </si>
  <si>
    <t>05.3.05.00086</t>
  </si>
  <si>
    <t>SJTA.1271</t>
  </si>
  <si>
    <t>SJTA.1920</t>
  </si>
  <si>
    <t>SJTA.2001</t>
  </si>
  <si>
    <t>SJTA.2002</t>
  </si>
  <si>
    <t>05.3.05.00084</t>
  </si>
  <si>
    <t>SJTA.1831</t>
  </si>
  <si>
    <t>SJTA.1901</t>
  </si>
  <si>
    <t>01.3.05.00631</t>
  </si>
  <si>
    <t>SJTA.1615</t>
  </si>
  <si>
    <t>SJTA.1546</t>
  </si>
  <si>
    <t>01.3.05.00447</t>
  </si>
  <si>
    <t>SJTA.1954</t>
  </si>
  <si>
    <t>SJTA.1221</t>
  </si>
  <si>
    <t>03.3.05.00259</t>
  </si>
  <si>
    <t>SJTA.1905</t>
  </si>
  <si>
    <t>SJTA.2184</t>
  </si>
  <si>
    <t>SJTA.1518</t>
  </si>
  <si>
    <t>SJTA.1480</t>
  </si>
  <si>
    <t>SJTA.1481</t>
  </si>
  <si>
    <t>SJTA.1482</t>
  </si>
  <si>
    <t>SJTA.1483</t>
  </si>
  <si>
    <t>SJTA.1484</t>
  </si>
  <si>
    <t>01.3.05.00462</t>
  </si>
  <si>
    <t>01.3.05.00680</t>
  </si>
  <si>
    <t>SJTA.982</t>
  </si>
  <si>
    <t>01.3.05.00317</t>
  </si>
  <si>
    <t>SJTA.2034</t>
  </si>
  <si>
    <t>03.3.05.00250</t>
  </si>
  <si>
    <t>SJTA.1072</t>
  </si>
  <si>
    <t>SJTA.1173</t>
  </si>
  <si>
    <t>SJTA.1282</t>
  </si>
  <si>
    <t>SJTA.2197</t>
  </si>
  <si>
    <t>05.3.05.00045</t>
  </si>
  <si>
    <t>05.3.05.00046</t>
  </si>
  <si>
    <t>05.3.05.00079</t>
  </si>
  <si>
    <t>SJTA.2129</t>
  </si>
  <si>
    <t>SJTA.1745</t>
  </si>
  <si>
    <t>SJTA.2172</t>
  </si>
  <si>
    <t>SJTA.1939</t>
  </si>
  <si>
    <t>SJTA.2041</t>
  </si>
  <si>
    <t>SJTA.1467</t>
  </si>
  <si>
    <t>SJTA.1468</t>
  </si>
  <si>
    <t>SJTA.1506</t>
  </si>
  <si>
    <t>01.3.05.00485</t>
  </si>
  <si>
    <t>01.3.05.00598</t>
  </si>
  <si>
    <t>01.3.05.00602</t>
  </si>
  <si>
    <t>SJTA.1078</t>
  </si>
  <si>
    <t>SJTA.1331</t>
  </si>
  <si>
    <t>SJTA.1559</t>
  </si>
  <si>
    <t>SJTA.1848</t>
  </si>
  <si>
    <t>SJTA.1899</t>
  </si>
  <si>
    <t>01.3.05.00327</t>
  </si>
  <si>
    <t>01.3.05.00597</t>
  </si>
  <si>
    <t>SJTA.2009</t>
  </si>
  <si>
    <t>SJTA.2107</t>
  </si>
  <si>
    <t>SJTA.2144</t>
  </si>
  <si>
    <t>SJTA.2179</t>
  </si>
  <si>
    <t>SJTA.2180</t>
  </si>
  <si>
    <t>SJTA.1551</t>
  </si>
  <si>
    <t>SJTA.1776</t>
  </si>
  <si>
    <t>SJTA.1777</t>
  </si>
  <si>
    <t>SJTA.1820</t>
  </si>
  <si>
    <t>SJTA.1983</t>
  </si>
  <si>
    <t>SJTA.1993</t>
  </si>
  <si>
    <t>04.3.05.00043</t>
  </si>
  <si>
    <t>SJTA.1418</t>
  </si>
  <si>
    <t>01.3.05.00418</t>
  </si>
  <si>
    <t>SJTA.1125</t>
  </si>
  <si>
    <t>02.3.05.00036</t>
  </si>
  <si>
    <t>SJTA.1307</t>
  </si>
  <si>
    <t>SJTA.1358</t>
  </si>
  <si>
    <t>SJTA.1855</t>
  </si>
  <si>
    <t>SJTA.2008</t>
  </si>
  <si>
    <t>SJTA.2108</t>
  </si>
  <si>
    <t>SJTA.2182</t>
  </si>
  <si>
    <t>SJTA.1729</t>
  </si>
  <si>
    <t>SJTA.2042</t>
  </si>
  <si>
    <t>01.3.05.00613</t>
  </si>
  <si>
    <t>01.3.05.00398</t>
  </si>
  <si>
    <t>01.3.05.00491</t>
  </si>
  <si>
    <t>SJTA.1018</t>
  </si>
  <si>
    <t>01.3.05.00517</t>
  </si>
  <si>
    <t>01.3.05.00518</t>
  </si>
  <si>
    <t>01.3.05.00519</t>
  </si>
  <si>
    <t>01.3.05.00516</t>
  </si>
  <si>
    <t>SJTA.1727</t>
  </si>
  <si>
    <t>SJTA.1403</t>
  </si>
  <si>
    <t>01.3.05.00575</t>
  </si>
  <si>
    <t>SJTA.1109</t>
  </si>
  <si>
    <t>SJTA.1718</t>
  </si>
  <si>
    <t>SJTA.2003</t>
  </si>
  <si>
    <t>SJTA.2004</t>
  </si>
  <si>
    <t>SJTA.1228</t>
  </si>
  <si>
    <t>04.3.05.00044</t>
  </si>
  <si>
    <t>SJTA.1272</t>
  </si>
  <si>
    <t>01.3.05.00634</t>
  </si>
  <si>
    <t>01.3.05.00640</t>
  </si>
  <si>
    <t>03.3.05.00247</t>
  </si>
  <si>
    <t>SJTA.1749</t>
  </si>
  <si>
    <t>SJTA.2133</t>
  </si>
  <si>
    <t>SJTA.1601</t>
  </si>
  <si>
    <t>SJTA.1721</t>
  </si>
  <si>
    <t>SJTA.2089</t>
  </si>
  <si>
    <t>SJTA.1608</t>
  </si>
  <si>
    <t>SJTA.1747</t>
  </si>
  <si>
    <t>SJTA.2088</t>
  </si>
  <si>
    <t>SJTA.1609</t>
  </si>
  <si>
    <t>SJTA.1735</t>
  </si>
  <si>
    <t>SJTA.1610</t>
  </si>
  <si>
    <t>SJTA.2086</t>
  </si>
  <si>
    <t>SJTA.2135</t>
  </si>
  <si>
    <t>SJTA.1603</t>
  </si>
  <si>
    <t>SJTA.1748</t>
  </si>
  <si>
    <t>SJTA.1402</t>
  </si>
  <si>
    <t>SJTA.1437</t>
  </si>
  <si>
    <t>SJTA.1665</t>
  </si>
  <si>
    <t>SJTA.1037</t>
  </si>
  <si>
    <t>SJTA.2142</t>
  </si>
  <si>
    <t>SJTA.1308</t>
  </si>
  <si>
    <t>SJTA.1357</t>
  </si>
  <si>
    <t>SJTA.1854</t>
  </si>
  <si>
    <t>SJTA.1859</t>
  </si>
  <si>
    <t>SJTA.2007</t>
  </si>
  <si>
    <t>SJTA.2109</t>
  </si>
  <si>
    <t>SJTA.2181</t>
  </si>
  <si>
    <t>SJTA.2187</t>
  </si>
  <si>
    <t>SJTA.1585</t>
  </si>
  <si>
    <t>SJTA.1851</t>
  </si>
  <si>
    <t>SJTA.1220</t>
  </si>
  <si>
    <t>SJTA.1393</t>
  </si>
  <si>
    <t>SJTA.1835</t>
  </si>
  <si>
    <t>SJTA.1946</t>
  </si>
  <si>
    <t>SJTA.1443</t>
  </si>
  <si>
    <t>SJTA.1985</t>
  </si>
  <si>
    <t>SJTA.2036</t>
  </si>
  <si>
    <t>SJTA.1836</t>
  </si>
  <si>
    <t>SJTA.1580</t>
  </si>
  <si>
    <t>SJTA.1882</t>
  </si>
  <si>
    <t>SJTA.1764</t>
  </si>
  <si>
    <t>SJTA.1765</t>
  </si>
  <si>
    <t>SJTA.1592</t>
  </si>
  <si>
    <t>SJTA.1593</t>
  </si>
  <si>
    <t>SJTA.1763</t>
  </si>
  <si>
    <t>SJTA.1602</t>
  </si>
  <si>
    <t>SJTA.1722</t>
  </si>
  <si>
    <t>SJTA.2134</t>
  </si>
  <si>
    <t>SJTA.1723</t>
  </si>
  <si>
    <t>SJTA.2090</t>
  </si>
  <si>
    <t>SJTA.1959</t>
  </si>
  <si>
    <t>SJTA.2160</t>
  </si>
  <si>
    <t>SJTA.2176</t>
  </si>
  <si>
    <t>SJTA.1751</t>
  </si>
  <si>
    <t>SJTA.2132</t>
  </si>
  <si>
    <t>SJTA.2065</t>
  </si>
  <si>
    <t>SJTA.1853</t>
  </si>
  <si>
    <t>SJTA.1838</t>
  </si>
  <si>
    <t>SJTA.1839</t>
  </si>
  <si>
    <t>SJTA.1840</t>
  </si>
  <si>
    <t>SJTA.1841</t>
  </si>
  <si>
    <t>SJTA.1857</t>
  </si>
  <si>
    <t>SJTA.1999</t>
  </si>
  <si>
    <t>SJTA.2168</t>
  </si>
  <si>
    <t>SJTA.2125</t>
  </si>
  <si>
    <t>SJTA.2188</t>
  </si>
  <si>
    <t>SJTA.2189</t>
  </si>
  <si>
    <t>SJTA.2030</t>
  </si>
  <si>
    <t>SJTA.2047</t>
  </si>
  <si>
    <t>SJTA.2070</t>
  </si>
  <si>
    <t>SJTA.2026</t>
  </si>
  <si>
    <t>SJTA.2067</t>
  </si>
  <si>
    <t>SJTA.1168</t>
  </si>
  <si>
    <t>SJTA.2140</t>
  </si>
  <si>
    <t>14053.001.3107.179</t>
  </si>
  <si>
    <t>01.3.06.00007</t>
  </si>
  <si>
    <t>14053.006.3114.797</t>
  </si>
  <si>
    <t>06.3.08.00011</t>
  </si>
  <si>
    <t>T O T A L</t>
  </si>
  <si>
    <t>06.3.04.00019</t>
  </si>
  <si>
    <t>06.3.08.00010</t>
  </si>
  <si>
    <t>14053.006.3114.502</t>
  </si>
  <si>
    <t>06.3.08.00008</t>
  </si>
  <si>
    <t>14053.006.3112.583</t>
  </si>
  <si>
    <t>06.3.04.00009</t>
  </si>
  <si>
    <t>14053.006.3107.402</t>
  </si>
  <si>
    <t>01.3.02.00009</t>
  </si>
  <si>
    <t>SSKA.6415</t>
  </si>
  <si>
    <t>SSKA.6291</t>
  </si>
  <si>
    <t>SSKA.6381</t>
  </si>
  <si>
    <t>SSKA.6266</t>
  </si>
  <si>
    <t>SSKA.6360</t>
  </si>
  <si>
    <t>SSKA.6139</t>
  </si>
  <si>
    <t>SSKA.6383</t>
  </si>
  <si>
    <t>SSKA.6235</t>
  </si>
  <si>
    <t>SSKA.6130</t>
  </si>
  <si>
    <t>SSKA.6305</t>
  </si>
  <si>
    <t>SSKA.5868</t>
  </si>
  <si>
    <t>SSKA.5714</t>
  </si>
  <si>
    <t>SSKA.5712</t>
  </si>
  <si>
    <t>SSKA.6135</t>
  </si>
  <si>
    <t>SSKA.6341</t>
  </si>
  <si>
    <t>SSKA.6293</t>
  </si>
  <si>
    <t>SSKA.5470</t>
  </si>
  <si>
    <t>SSKA.4937</t>
  </si>
  <si>
    <t>SSKA.4936</t>
  </si>
  <si>
    <t>SSKA.4935</t>
  </si>
  <si>
    <t>SSKA.4934</t>
  </si>
  <si>
    <t>SSKA.5873</t>
  </si>
  <si>
    <t>SSKA.4905</t>
  </si>
  <si>
    <t>SSKA.4460</t>
  </si>
  <si>
    <t>SSKA.5893</t>
  </si>
  <si>
    <t>SSKA.5239</t>
  </si>
  <si>
    <t>SSKA.4393</t>
  </si>
  <si>
    <t>SSKA.5826</t>
  </si>
  <si>
    <t>SSKA.5625</t>
  </si>
  <si>
    <t>SSKA.5184</t>
  </si>
  <si>
    <t>SSKA.5924</t>
  </si>
  <si>
    <t>SSKA.5990</t>
  </si>
  <si>
    <t>SSKA.5874</t>
  </si>
  <si>
    <t>SSKA.5635</t>
  </si>
  <si>
    <t>SSKA.3351</t>
  </si>
  <si>
    <t>SSKA.3208</t>
  </si>
  <si>
    <t>SSKA.3207</t>
  </si>
  <si>
    <t>SSKA.3392</t>
  </si>
  <si>
    <t>SSKA.3316</t>
  </si>
  <si>
    <t>SSKA.4371</t>
  </si>
  <si>
    <t>SSKA.3748</t>
  </si>
  <si>
    <t>SSKA.4156</t>
  </si>
  <si>
    <t>SSKA.3505</t>
  </si>
  <si>
    <t>SSKA.6202</t>
  </si>
  <si>
    <t>SSKA.6158</t>
  </si>
  <si>
    <t>SSKA.5897</t>
  </si>
  <si>
    <t>SSKA.4658</t>
  </si>
  <si>
    <t>SSKA.4470</t>
  </si>
  <si>
    <t>SSKA.4023</t>
  </si>
  <si>
    <t>SSKA.5662</t>
  </si>
  <si>
    <t>SSKA.5617</t>
  </si>
  <si>
    <t>SSKA.4274</t>
  </si>
  <si>
    <t>SSKA.4105</t>
  </si>
  <si>
    <t>SSKA.6433</t>
  </si>
  <si>
    <t>SSKA.6027</t>
  </si>
  <si>
    <t>SSKA.5837</t>
  </si>
  <si>
    <t>SSKA.4488</t>
  </si>
  <si>
    <t>SSKA.5000</t>
  </si>
  <si>
    <t>SSKA.4653</t>
  </si>
  <si>
    <t>SSKA.3655</t>
  </si>
  <si>
    <t>SSKA.3643</t>
  </si>
  <si>
    <t>SSKA.2750</t>
  </si>
  <si>
    <t>SSKA.2389</t>
  </si>
  <si>
    <t>SSKA.5418</t>
  </si>
  <si>
    <t>SSKA.4962</t>
  </si>
  <si>
    <t>SSKA.4561</t>
  </si>
  <si>
    <t>SSKA.3782</t>
  </si>
  <si>
    <t>SSKA.6351</t>
  </si>
  <si>
    <t>SSKA.5314</t>
  </si>
  <si>
    <t>SSKA.5095</t>
  </si>
  <si>
    <t>SSKA.1752</t>
  </si>
  <si>
    <t>SSKA.6212</t>
  </si>
  <si>
    <t>SSKA.4549</t>
  </si>
  <si>
    <t>03.3.01.00471</t>
  </si>
  <si>
    <t>03.3.01.00470</t>
  </si>
  <si>
    <t>SSKA.3365</t>
  </si>
  <si>
    <t>SSKA.3078</t>
  </si>
  <si>
    <t>SSKA.6015</t>
  </si>
  <si>
    <t>SSKA.5598</t>
  </si>
  <si>
    <t>SSKA.2154</t>
  </si>
  <si>
    <t>SSKA.4394</t>
  </si>
  <si>
    <t>SSKA.5950</t>
  </si>
  <si>
    <t>SSKA.5523</t>
  </si>
  <si>
    <t>01.3.01.01441</t>
  </si>
  <si>
    <t>01.3.01.01443</t>
  </si>
  <si>
    <t>01.3.01.01442</t>
  </si>
  <si>
    <t>01.3.01.01490</t>
  </si>
  <si>
    <t>SSKA.4456</t>
  </si>
  <si>
    <t>SSKA.3882</t>
  </si>
  <si>
    <t>SSKA.3265</t>
  </si>
  <si>
    <t>01.3.01.01449</t>
  </si>
  <si>
    <t>SSKA.3162</t>
  </si>
  <si>
    <t>SSKA.4463</t>
  </si>
  <si>
    <t>SSKA.5385</t>
  </si>
  <si>
    <t>SSKA.1972</t>
  </si>
  <si>
    <t>01.3.01.01602</t>
  </si>
  <si>
    <t>SSKA.6153</t>
  </si>
  <si>
    <t>SSKA.8895</t>
  </si>
  <si>
    <t>SSKA.5232</t>
  </si>
  <si>
    <t>SSKA.2948</t>
  </si>
  <si>
    <t>01.3.01.01846</t>
  </si>
  <si>
    <t>SSKA.6204</t>
  </si>
  <si>
    <t>SSKA.4871</t>
  </si>
  <si>
    <t>SSKA.5226</t>
  </si>
  <si>
    <t>SSKA.6377</t>
  </si>
  <si>
    <t>SSKA.5051</t>
  </si>
  <si>
    <t>SSKA.5947</t>
  </si>
  <si>
    <t>SSKA.6085</t>
  </si>
  <si>
    <t>06.3.03.00113</t>
  </si>
  <si>
    <t>06.3.03.00110</t>
  </si>
  <si>
    <t>SSKA.6088</t>
  </si>
  <si>
    <t>01.3.01.02010</t>
  </si>
  <si>
    <t>03.3.01.00327</t>
  </si>
  <si>
    <t>SSKA.5940</t>
  </si>
  <si>
    <t>SSKA.5431</t>
  </si>
  <si>
    <t>SSKA.5238</t>
  </si>
  <si>
    <t>SSKA.5038</t>
  </si>
  <si>
    <t>SSKA.3610</t>
  </si>
  <si>
    <t>SSKA.3070</t>
  </si>
  <si>
    <t>SSKA.2915</t>
  </si>
  <si>
    <t>01.3.01.00924</t>
  </si>
  <si>
    <t>03.3.01.00474</t>
  </si>
  <si>
    <t>SSKA.2740</t>
  </si>
  <si>
    <t>SSKA.2508</t>
  </si>
  <si>
    <t>01.3.01.01428</t>
  </si>
  <si>
    <t>SSKA.3059</t>
  </si>
  <si>
    <t>01.3.01.02073</t>
  </si>
  <si>
    <t>01.3.01.01858</t>
  </si>
  <si>
    <t>SSKA.4521</t>
  </si>
  <si>
    <t>SSKA.2096</t>
  </si>
  <si>
    <t>02.3.01.00247</t>
  </si>
  <si>
    <t>SSKA.5255</t>
  </si>
  <si>
    <t>SSKA.3131</t>
  </si>
  <si>
    <t>01.3.01.01696</t>
  </si>
  <si>
    <t>SSKA.5838</t>
  </si>
  <si>
    <t>SSKA.5839</t>
  </si>
  <si>
    <t>SSKA.5254</t>
  </si>
  <si>
    <t>SSKA.3130</t>
  </si>
  <si>
    <t>01.3.01.01695</t>
  </si>
  <si>
    <t>SSKA.5491</t>
  </si>
  <si>
    <t>SSKA.5328</t>
  </si>
  <si>
    <t>SSKA.5272</t>
  </si>
  <si>
    <t>SSKA.5271</t>
  </si>
  <si>
    <t>01.3.01.01215</t>
  </si>
  <si>
    <t>SSKA.6423</t>
  </si>
  <si>
    <t>SSKA.2550</t>
  </si>
  <si>
    <t>SSKA.3346</t>
  </si>
  <si>
    <t>01.3.01.01685</t>
  </si>
  <si>
    <t>SSKA.4691</t>
  </si>
  <si>
    <t>SSKA.4690</t>
  </si>
  <si>
    <t>SSKA.4964</t>
  </si>
  <si>
    <t>SSKA.3111</t>
  </si>
  <si>
    <t>SSKA.4478</t>
  </si>
  <si>
    <t>01.3.01.00963</t>
  </si>
  <si>
    <t>SSKA.3229</t>
  </si>
  <si>
    <t>SSKA.3044</t>
  </si>
  <si>
    <t>SSKA.2967</t>
  </si>
  <si>
    <t>SSKA.2896</t>
  </si>
  <si>
    <t>SSKA.2492</t>
  </si>
  <si>
    <t>SSKA.3671</t>
  </si>
  <si>
    <t>SSKA.4896</t>
  </si>
  <si>
    <t>SSKA.8934</t>
  </si>
  <si>
    <t>SSKA.4884</t>
  </si>
  <si>
    <t>SSKA.6413</t>
  </si>
  <si>
    <t>SSKA.4065</t>
  </si>
  <si>
    <t>SSKA.6396</t>
  </si>
  <si>
    <t>SSKA.4064</t>
  </si>
  <si>
    <t>SSKA.6313</t>
  </si>
  <si>
    <t>SSKA.3814</t>
  </si>
  <si>
    <t>03.3.01.00118</t>
  </si>
  <si>
    <t>SSKA.6312</t>
  </si>
  <si>
    <t>SSKA.3813</t>
  </si>
  <si>
    <t>SSKA.6311</t>
  </si>
  <si>
    <t>SSKA.3721</t>
  </si>
  <si>
    <t>SSKA.3697</t>
  </si>
  <si>
    <t>SSKA.3608</t>
  </si>
  <si>
    <t>SSKA.5633</t>
  </si>
  <si>
    <t>SSKA.2985</t>
  </si>
  <si>
    <t>SSKA.5435</t>
  </si>
  <si>
    <t>SSKA.5162</t>
  </si>
  <si>
    <t>03.3.01.00505</t>
  </si>
  <si>
    <t>SSKA.5161</t>
  </si>
  <si>
    <t>SSKA.5160</t>
  </si>
  <si>
    <t>SSKA.5159</t>
  </si>
  <si>
    <t>03.3.01.00239</t>
  </si>
  <si>
    <t>SSKA.4242</t>
  </si>
  <si>
    <t>02.3.01.00241</t>
  </si>
  <si>
    <t>SSKA.5951</t>
  </si>
  <si>
    <t>SSKA.6142</t>
  </si>
  <si>
    <t>SSKA.5724</t>
  </si>
  <si>
    <t>SSKA.6352</t>
  </si>
  <si>
    <t>SSKA.5065</t>
  </si>
  <si>
    <t>SSKA.4325</t>
  </si>
  <si>
    <t>SSKA.5377</t>
  </si>
  <si>
    <t>05.3.01.00251</t>
  </si>
  <si>
    <t>03.3.01.00426</t>
  </si>
  <si>
    <t>SSKA.2591</t>
  </si>
  <si>
    <t>06.3.03.00043</t>
  </si>
  <si>
    <t>06.3.03.00034</t>
  </si>
  <si>
    <t>SSKA.4440</t>
  </si>
  <si>
    <t>SSKA.3254</t>
  </si>
  <si>
    <t>SSKA.3862</t>
  </si>
  <si>
    <t>SSKA.4942</t>
  </si>
  <si>
    <t>SSKA.4844</t>
  </si>
  <si>
    <t>SSKA.4746</t>
  </si>
  <si>
    <t>SSKA.5465</t>
  </si>
  <si>
    <t>SSKA.3857</t>
  </si>
  <si>
    <t>SSKA.3793</t>
  </si>
  <si>
    <t>SSKA.3754</t>
  </si>
  <si>
    <t>SSKA.2136</t>
  </si>
  <si>
    <t>SSKA.1981</t>
  </si>
  <si>
    <t>01.3.01.01754</t>
  </si>
  <si>
    <t>01.3.01.01164</t>
  </si>
  <si>
    <t>SSKA.5690</t>
  </si>
  <si>
    <t>SSKA.6087</t>
  </si>
  <si>
    <t>SSKA.4147</t>
  </si>
  <si>
    <t>SSKA.3982</t>
  </si>
  <si>
    <t>06.3.03.00029</t>
  </si>
  <si>
    <t>01.3.01.01208</t>
  </si>
  <si>
    <t>01.3.01.00118</t>
  </si>
  <si>
    <t>SSKA.5180</t>
  </si>
  <si>
    <t>01.3.01.01513</t>
  </si>
  <si>
    <t>01.3.01.00156</t>
  </si>
  <si>
    <t>SSKA.2763</t>
  </si>
  <si>
    <t>06.3.03.00064</t>
  </si>
  <si>
    <t>SSKA.2764</t>
  </si>
  <si>
    <t>06.3.03.00065</t>
  </si>
  <si>
    <t>01.3.01.00108</t>
  </si>
  <si>
    <t>01.3.01.01158</t>
  </si>
  <si>
    <t>01.3.01.01589</t>
  </si>
  <si>
    <t>01.3.01.00144</t>
  </si>
  <si>
    <t>SSKA.4125</t>
  </si>
  <si>
    <t>SSKA.6262</t>
  </si>
  <si>
    <t>SSKA.4127</t>
  </si>
  <si>
    <t>SSKA.5341</t>
  </si>
  <si>
    <t>01.3.01.00104</t>
  </si>
  <si>
    <t>SSKA.5708</t>
  </si>
  <si>
    <t>SSKA.6439</t>
  </si>
  <si>
    <t>SSKA.3263</t>
  </si>
  <si>
    <t>SSKA.5710</t>
  </si>
  <si>
    <t>SSKA.5614</t>
  </si>
  <si>
    <t>SSKA.5538</t>
  </si>
  <si>
    <t>SSKA.5261</t>
  </si>
  <si>
    <t>SSKA.5044</t>
  </si>
  <si>
    <t>SSKA.3927</t>
  </si>
  <si>
    <t>SSKA.3902</t>
  </si>
  <si>
    <t>SSKA.6200</t>
  </si>
  <si>
    <t>SSKA.6199</t>
  </si>
  <si>
    <t>SSKA.5807</t>
  </si>
  <si>
    <t>SSKA.5774</t>
  </si>
  <si>
    <t>SSKA.5852</t>
  </si>
  <si>
    <t>SSKA.5222</t>
  </si>
  <si>
    <t>01.3.01.00145</t>
  </si>
  <si>
    <t>01.3.01.00069</t>
  </si>
  <si>
    <t>SSKA.3632</t>
  </si>
  <si>
    <t>SSKA.5312</t>
  </si>
  <si>
    <t>SSKA.3206</t>
  </si>
  <si>
    <t>01.3.01.00646</t>
  </si>
  <si>
    <t>01.3.01.00541</t>
  </si>
  <si>
    <t>SSKA.6445</t>
  </si>
  <si>
    <t>01.3.07.00054</t>
  </si>
  <si>
    <t>01.3.01.00078</t>
  </si>
  <si>
    <t>SSKA.4396</t>
  </si>
  <si>
    <t>SSKA.6343</t>
  </si>
  <si>
    <t>04.3.01.00174</t>
  </si>
  <si>
    <t>SSKA.3134</t>
  </si>
  <si>
    <t>SSKA.3011</t>
  </si>
  <si>
    <t>01.3.01.01748</t>
  </si>
  <si>
    <t>01.3.01.01747</t>
  </si>
  <si>
    <t>01.3.01.01746</t>
  </si>
  <si>
    <t>01.3.01.01744</t>
  </si>
  <si>
    <t>01.3.01.01743</t>
  </si>
  <si>
    <t>03.3.01.00451</t>
  </si>
  <si>
    <t>SSKA.3845</t>
  </si>
  <si>
    <t>SSKA.3844</t>
  </si>
  <si>
    <t>SSKA.2264</t>
  </si>
  <si>
    <t>01.3.01.01610</t>
  </si>
  <si>
    <t>SSKA.2112</t>
  </si>
  <si>
    <t>SSKA.6292</t>
  </si>
  <si>
    <t>SSKA.6247</t>
  </si>
  <si>
    <t>SSKA.6006</t>
  </si>
  <si>
    <t>SSKA.1941</t>
  </si>
  <si>
    <t>01.3.01.01286</t>
  </si>
  <si>
    <t>SSKA.5987</t>
  </si>
  <si>
    <t>SSKA.1893</t>
  </si>
  <si>
    <t>SSKA.5780</t>
  </si>
  <si>
    <t>01.3.01.01191</t>
  </si>
  <si>
    <t>SSKA.5752</t>
  </si>
  <si>
    <t>SSKA.1817</t>
  </si>
  <si>
    <t>01.3.01.01149</t>
  </si>
  <si>
    <t>SSKA.5745</t>
  </si>
  <si>
    <t>SSKA.5691</t>
  </si>
  <si>
    <t>SSKA.5630</t>
  </si>
  <si>
    <t>01.3.01.00754</t>
  </si>
  <si>
    <t>SSKA.5600</t>
  </si>
  <si>
    <t>01.3.01.01723</t>
  </si>
  <si>
    <t>01.3.01.01704</t>
  </si>
  <si>
    <t>SSKA.2333</t>
  </si>
  <si>
    <t>01.3.01.01674</t>
  </si>
  <si>
    <t>SSKA.5408</t>
  </si>
  <si>
    <t>01.3.01.01383</t>
  </si>
  <si>
    <t>01.3.01.01098</t>
  </si>
  <si>
    <t>01.3.01.00883</t>
  </si>
  <si>
    <t>SSKA.6022</t>
  </si>
  <si>
    <t>SSKA.5573</t>
  </si>
  <si>
    <t>SSKA.4963</t>
  </si>
  <si>
    <t>SSKA.4560</t>
  </si>
  <si>
    <t>SSKA.3118</t>
  </si>
  <si>
    <t>SSKA.3074</t>
  </si>
  <si>
    <t>01.3.01.01477</t>
  </si>
  <si>
    <t>SSKA.3243</t>
  </si>
  <si>
    <t>01.3.01.00082</t>
  </si>
  <si>
    <t>SSKA.5178</t>
  </si>
  <si>
    <t>03.3.01.00011</t>
  </si>
  <si>
    <t>03.3.01.00010</t>
  </si>
  <si>
    <t>03.3.01.00006</t>
  </si>
  <si>
    <t>SSKA.2162</t>
  </si>
  <si>
    <t>SSKA.2161</t>
  </si>
  <si>
    <t>03.3.01.00030</t>
  </si>
  <si>
    <t>SSKA.4207</t>
  </si>
  <si>
    <t>01.3.01.00130</t>
  </si>
  <si>
    <t>SSKA.3240</t>
  </si>
  <si>
    <t>SSKA.3237</t>
  </si>
  <si>
    <t>SSKA.4724</t>
  </si>
  <si>
    <t>SSKA.4544</t>
  </si>
  <si>
    <t>SSKA.4049</t>
  </si>
  <si>
    <t>SSKA.6440</t>
  </si>
  <si>
    <t>SSKA.6361</t>
  </si>
  <si>
    <t>SSKA.3433</t>
  </si>
  <si>
    <t>SSKA.5930</t>
  </si>
  <si>
    <t>SSKA.5536</t>
  </si>
  <si>
    <t>SSKA.5535</t>
  </si>
  <si>
    <t>SSKA.5515</t>
  </si>
  <si>
    <t>SSKA.5152</t>
  </si>
  <si>
    <t>SSKA.4224</t>
  </si>
  <si>
    <t>SSKA.5339</t>
  </si>
  <si>
    <t>06.3.03.00018</t>
  </si>
  <si>
    <t>SSKA.5509</t>
  </si>
  <si>
    <t>06.3.03.00006</t>
  </si>
  <si>
    <t>SSKA.5394</t>
  </si>
  <si>
    <t>03.3.01.00060</t>
  </si>
  <si>
    <t>03.3.01.00042</t>
  </si>
  <si>
    <t>03.3.01.00026</t>
  </si>
  <si>
    <t>03.3.01.00002</t>
  </si>
  <si>
    <t>SSKA.5856</t>
  </si>
  <si>
    <t>SSKA.6084</t>
  </si>
  <si>
    <t>SSKA.4171</t>
  </si>
  <si>
    <t>SSKA.4169</t>
  </si>
  <si>
    <t>SSKA.4168</t>
  </si>
  <si>
    <t>SSKA.4167</t>
  </si>
  <si>
    <t>SSKA.4166</t>
  </si>
  <si>
    <t>SSKA.3960</t>
  </si>
  <si>
    <t>SSKA.3959</t>
  </si>
  <si>
    <t>SSKA.6354</t>
  </si>
  <si>
    <t>SSKA.6111</t>
  </si>
  <si>
    <t>SSKA.5231</t>
  </si>
  <si>
    <t>SSKA.5230</t>
  </si>
  <si>
    <t>SSKA.2062</t>
  </si>
  <si>
    <t>SSKA.4474</t>
  </si>
  <si>
    <t>SSKA.6406</t>
  </si>
  <si>
    <t>SSKA.6263</t>
  </si>
  <si>
    <t>SSKA.3742</t>
  </si>
  <si>
    <t>SSKA.3603</t>
  </si>
  <si>
    <t>SSKA.4989</t>
  </si>
  <si>
    <t>SSKA.6228</t>
  </si>
  <si>
    <t>SSKA.4917</t>
  </si>
  <si>
    <t>SSKA.4459</t>
  </si>
  <si>
    <t>SSKA.2393</t>
  </si>
  <si>
    <t>03.3.01.00381</t>
  </si>
  <si>
    <t>03.3.01.00276</t>
  </si>
  <si>
    <t>SSKA.6299</t>
  </si>
  <si>
    <t>SSKA.5442</t>
  </si>
  <si>
    <t>SSKA.4296</t>
  </si>
  <si>
    <t>SSKA.3912</t>
  </si>
  <si>
    <t>SSKA.5643</t>
  </si>
  <si>
    <t>SSKA.5274</t>
  </si>
  <si>
    <t>SSKA.3087</t>
  </si>
  <si>
    <t>03.3.01.00049</t>
  </si>
  <si>
    <t>SSKA.5928</t>
  </si>
  <si>
    <t>01.3.01.00690</t>
  </si>
  <si>
    <t>01.3.01.00070</t>
  </si>
  <si>
    <t>SSKA.3234</t>
  </si>
  <si>
    <t>SSKA.5671</t>
  </si>
  <si>
    <t>04.3.01.00007</t>
  </si>
  <si>
    <t>SSKA.6295</t>
  </si>
  <si>
    <t>SSKA.5895</t>
  </si>
  <si>
    <t>SSKA.5894</t>
  </si>
  <si>
    <t>SSKA.2073</t>
  </si>
  <si>
    <t>SSKA.6286</t>
  </si>
  <si>
    <t>SSKA.6285</t>
  </si>
  <si>
    <t>SSKA.6284</t>
  </si>
  <si>
    <t>SSKA.2055</t>
  </si>
  <si>
    <t>SSKA.2048</t>
  </si>
  <si>
    <t>04.3.01.00008</t>
  </si>
  <si>
    <t>06.3.03.00004</t>
  </si>
  <si>
    <t>02.3.07.00002</t>
  </si>
  <si>
    <t>SSKA.3003</t>
  </si>
  <si>
    <t>SSKA.2746</t>
  </si>
  <si>
    <t>SSKA.2090</t>
  </si>
  <si>
    <t>01.3.01.00030</t>
  </si>
  <si>
    <t>01.3.01.00029</t>
  </si>
  <si>
    <t>SSKA.6241</t>
  </si>
  <si>
    <t>SSKA.6307</t>
  </si>
  <si>
    <t>01.3.01.00087</t>
  </si>
  <si>
    <t>SSKA.5638</t>
  </si>
  <si>
    <t>SSKA.4053</t>
  </si>
  <si>
    <t>03.3.01.00289</t>
  </si>
  <si>
    <t>SSKA.4258</t>
  </si>
  <si>
    <t>03.3.01.00009</t>
  </si>
  <si>
    <t>SSKA.5556</t>
  </si>
  <si>
    <t>SSKA.5555</t>
  </si>
  <si>
    <t>SSKA.5553</t>
  </si>
  <si>
    <t>SSKA.5550</t>
  </si>
  <si>
    <t>SSKA.5561</t>
  </si>
  <si>
    <t>SSKA.5560</t>
  </si>
  <si>
    <t>SSKA.5559</t>
  </si>
  <si>
    <t>SSKA.4508</t>
  </si>
  <si>
    <t>06.3.03.00008</t>
  </si>
  <si>
    <t>06.3.03.00001</t>
  </si>
  <si>
    <t>SSKA.2766</t>
  </si>
  <si>
    <t>SSKA.5059</t>
  </si>
  <si>
    <t>01.3.01.01740</t>
  </si>
  <si>
    <t>SSKA.5845</t>
  </si>
  <si>
    <t>SSKA.3180</t>
  </si>
  <si>
    <t>SSKA.6382</t>
  </si>
  <si>
    <t>SSKA.3884</t>
  </si>
  <si>
    <t>02.3.11.00009</t>
  </si>
  <si>
    <t>02.3.11.00007</t>
  </si>
  <si>
    <t>02.3.11.00004</t>
  </si>
  <si>
    <t>02.3.11.00001</t>
  </si>
  <si>
    <t>SSKA.3903</t>
  </si>
  <si>
    <t>SSKA.6441</t>
  </si>
  <si>
    <t>SSKA.6173</t>
  </si>
  <si>
    <t>SSKA.6147</t>
  </si>
  <si>
    <t>SSKA.5896</t>
  </si>
  <si>
    <t>SSKA.5791</t>
  </si>
  <si>
    <t>SSKA.6400</t>
  </si>
  <si>
    <t>SSKA.3487</t>
  </si>
  <si>
    <t>SSKA.5546</t>
  </si>
  <si>
    <t>SSKA.5013</t>
  </si>
  <si>
    <t>SSKA.2706</t>
  </si>
  <si>
    <t>SSKA.4737</t>
  </si>
  <si>
    <t>SSKA.4458</t>
  </si>
  <si>
    <t>SSKA.4457</t>
  </si>
  <si>
    <t>SSKA.4287</t>
  </si>
  <si>
    <t>03.3.01.00086</t>
  </si>
  <si>
    <t>SSKA.4056</t>
  </si>
  <si>
    <t>SSKA.3665</t>
  </si>
  <si>
    <t>03.3.01.00017</t>
  </si>
  <si>
    <t>SSKA.3463</t>
  </si>
  <si>
    <t>03.3.01.00003</t>
  </si>
  <si>
    <t>SSKA.3337</t>
  </si>
  <si>
    <t>SSKA.3230</t>
  </si>
  <si>
    <t>SSKA.3122</t>
  </si>
  <si>
    <t>SSKA.4212</t>
  </si>
  <si>
    <t>SSKA.4211</t>
  </si>
  <si>
    <t>SSKA.4602</t>
  </si>
  <si>
    <t>SSKA.8904</t>
  </si>
  <si>
    <t>SSKA.2240</t>
  </si>
  <si>
    <t>SSKA.2595</t>
  </si>
  <si>
    <t>SSKA.6273</t>
  </si>
  <si>
    <t>01.3.01.00871</t>
  </si>
  <si>
    <t>SSKA.5519</t>
  </si>
  <si>
    <t>05.3.01.00262</t>
  </si>
  <si>
    <t>05.3.01.00118</t>
  </si>
  <si>
    <t>05.3.01.00115</t>
  </si>
  <si>
    <t>05.3.01.00099</t>
  </si>
  <si>
    <t>SSKA.5521</t>
  </si>
  <si>
    <t>SSKA.5522</t>
  </si>
  <si>
    <t>03.3.01.00001</t>
  </si>
  <si>
    <t>SSKA.6154</t>
  </si>
  <si>
    <t>SSKA.5590</t>
  </si>
  <si>
    <t>SSKA.6210</t>
  </si>
  <si>
    <t>SSKA.6103</t>
  </si>
  <si>
    <t>SSKA.4702</t>
  </si>
  <si>
    <t>SSKA.4090</t>
  </si>
  <si>
    <t>SSKA.3542</t>
  </si>
  <si>
    <t>SSKA.3202</t>
  </si>
  <si>
    <t>02.3.01.00321</t>
  </si>
  <si>
    <t>01.3.01.01735</t>
  </si>
  <si>
    <t>01.3.01.00578</t>
  </si>
  <si>
    <t>01.3.01.00114</t>
  </si>
  <si>
    <t>01.3.01.00089</t>
  </si>
  <si>
    <t>SSKA.5100</t>
  </si>
  <si>
    <t>SSKA.5099</t>
  </si>
  <si>
    <t>SSKA.5098</t>
  </si>
  <si>
    <t>SSKA.5097</t>
  </si>
  <si>
    <t>03.3.01.00099</t>
  </si>
  <si>
    <t>03.3.01.00005</t>
  </si>
  <si>
    <t>SSKA.4019</t>
  </si>
  <si>
    <t>SSKA.3353</t>
  </si>
  <si>
    <t>SSKA.5796</t>
  </si>
  <si>
    <t>SSKA.5795</t>
  </si>
  <si>
    <t>SSKA.5303</t>
  </si>
  <si>
    <t>02.3.01.00324</t>
  </si>
  <si>
    <t>SSKA.5106</t>
  </si>
  <si>
    <t>SSKA.2545</t>
  </si>
  <si>
    <t>SSKA.8900</t>
  </si>
  <si>
    <t>SSKA.4796</t>
  </si>
  <si>
    <t>02.3.01.00157</t>
  </si>
  <si>
    <t>SSKA.4573</t>
  </si>
  <si>
    <t>SSKA.2001</t>
  </si>
  <si>
    <t>SSKA.5542</t>
  </si>
  <si>
    <t>SSKA.4542</t>
  </si>
  <si>
    <t>SSKA.4241</t>
  </si>
  <si>
    <t>01.3.01.00014</t>
  </si>
  <si>
    <t>01.3.01.00012</t>
  </si>
  <si>
    <t>01.3.01.00088</t>
  </si>
  <si>
    <t>01.3.01.00059</t>
  </si>
  <si>
    <t>01.3.01.00047</t>
  </si>
  <si>
    <t>01.3.01.00041</t>
  </si>
  <si>
    <t>01.3.01.00032</t>
  </si>
  <si>
    <t>01.3.01.00027</t>
  </si>
  <si>
    <t>01.3.01.00025</t>
  </si>
  <si>
    <t>01.3.01.00020</t>
  </si>
  <si>
    <t>01.3.01.00018</t>
  </si>
  <si>
    <t>01.3.01.00015</t>
  </si>
  <si>
    <t>SSKA.2618</t>
  </si>
  <si>
    <t>SSKA.2187</t>
  </si>
  <si>
    <t>01.3.01.01575</t>
  </si>
  <si>
    <t>01.3.01.00899</t>
  </si>
  <si>
    <t>01.3.01.00648</t>
  </si>
  <si>
    <t>01.3.01.00647</t>
  </si>
  <si>
    <t>01.3.01.00323</t>
  </si>
  <si>
    <t>06.3.03.00005</t>
  </si>
  <si>
    <t>SSKA.5474</t>
  </si>
  <si>
    <t>06.3.03.00002</t>
  </si>
  <si>
    <t>SSKA.6213</t>
  </si>
  <si>
    <t>SSKA.3667</t>
  </si>
  <si>
    <t>01.3.01.00097</t>
  </si>
  <si>
    <t>01.3.01.00085</t>
  </si>
  <si>
    <t>SSKA.5889</t>
  </si>
  <si>
    <t>SSKA.4303</t>
  </si>
  <si>
    <t>SSKA.4192</t>
  </si>
  <si>
    <t>SSKA.3866</t>
  </si>
  <si>
    <t>SSKA.4533</t>
  </si>
  <si>
    <t>SSKA.5545</t>
  </si>
  <si>
    <t>SSKA.5820</t>
  </si>
  <si>
    <t>SSKA.5252</t>
  </si>
  <si>
    <t>SSKA.5251</t>
  </si>
  <si>
    <t>01.3.01.00051</t>
  </si>
  <si>
    <t>SSKA.6126</t>
  </si>
  <si>
    <t>01.3.01.01464</t>
  </si>
  <si>
    <t>SSKA.2962</t>
  </si>
  <si>
    <t>SSKA.5284</t>
  </si>
  <si>
    <t>SSKA.4953</t>
  </si>
  <si>
    <t>SSKA.4091</t>
  </si>
  <si>
    <t>SSKA.3491</t>
  </si>
  <si>
    <t>SSKA.3490</t>
  </si>
  <si>
    <t>SSKA.5293</t>
  </si>
  <si>
    <t>SSKA.4679</t>
  </si>
  <si>
    <t>SSKA.4021</t>
  </si>
  <si>
    <t>01.3.01.01649</t>
  </si>
  <si>
    <t>SSKA.4221</t>
  </si>
  <si>
    <t>SSKA.4220</t>
  </si>
  <si>
    <t>SSKA.6101</t>
  </si>
  <si>
    <t>01.3.01.00021</t>
  </si>
  <si>
    <t>01.3.01.00019</t>
  </si>
  <si>
    <t>Produk SISUKA ANGGOTA - SSKA</t>
  </si>
  <si>
    <t>SMP.20</t>
  </si>
  <si>
    <t>SMP.6</t>
  </si>
  <si>
    <t>SMP.15</t>
  </si>
  <si>
    <t>SMP.14</t>
  </si>
  <si>
    <t>SMP.18</t>
  </si>
  <si>
    <t>SMP.17</t>
  </si>
  <si>
    <t>Produk SIMAPAN - SMP</t>
  </si>
  <si>
    <t>Produk SIPIJAR - SPJA</t>
  </si>
  <si>
    <t>01.1.10.00063</t>
  </si>
  <si>
    <t>01.1.10.00067</t>
  </si>
  <si>
    <t>01.1.10.00083</t>
  </si>
  <si>
    <t>01.1.10.00192</t>
  </si>
  <si>
    <t>01.1.10.00194</t>
  </si>
  <si>
    <t>01.1.10.00191</t>
  </si>
  <si>
    <t>01.1.10.00190</t>
  </si>
  <si>
    <t>01.1.10.00234</t>
  </si>
  <si>
    <t>SPJA.241</t>
  </si>
  <si>
    <t>SPJB.378</t>
  </si>
  <si>
    <t>SPJB.441</t>
  </si>
  <si>
    <t>SPJB.446</t>
  </si>
  <si>
    <t>SPJB.325</t>
  </si>
  <si>
    <t>SPJB.423</t>
  </si>
  <si>
    <t>SPJB.370</t>
  </si>
  <si>
    <t>03.1.10.00052</t>
  </si>
  <si>
    <t>SPJB.429</t>
  </si>
  <si>
    <t>SPJB.393</t>
  </si>
  <si>
    <t>SPJB.422</t>
  </si>
  <si>
    <t>SPJB.384</t>
  </si>
  <si>
    <t>SPJB.386</t>
  </si>
  <si>
    <t>SPJB.380</t>
  </si>
  <si>
    <t>SPJB.399</t>
  </si>
  <si>
    <t>SPJB.418</t>
  </si>
  <si>
    <t>SPJB.410</t>
  </si>
  <si>
    <t>SPJB.385</t>
  </si>
  <si>
    <t>SPJB.414</t>
  </si>
  <si>
    <t>SPJB.415</t>
  </si>
  <si>
    <t>SPJB.381</t>
  </si>
  <si>
    <t>SPJB.401</t>
  </si>
  <si>
    <t>SPJB.420</t>
  </si>
  <si>
    <t>SPJB.379</t>
  </si>
  <si>
    <t>SPJB.431</t>
  </si>
  <si>
    <t>SPJB.397</t>
  </si>
  <si>
    <t>SPJB.271</t>
  </si>
  <si>
    <t>SPJB.348</t>
  </si>
  <si>
    <t>SPJB.430</t>
  </si>
  <si>
    <t>SPJB.246</t>
  </si>
  <si>
    <t>SPJB.274</t>
  </si>
  <si>
    <t>SPJB.282</t>
  </si>
  <si>
    <t>SPJB.299</t>
  </si>
  <si>
    <t>SPJB.303</t>
  </si>
  <si>
    <t>SPJB.324</t>
  </si>
  <si>
    <t>SPJB.347</t>
  </si>
  <si>
    <t>SPJB.330</t>
  </si>
  <si>
    <t>SPJB.339</t>
  </si>
  <si>
    <t>SPJB.392</t>
  </si>
  <si>
    <t>SPJB.417</t>
  </si>
  <si>
    <t>SPJB.357</t>
  </si>
  <si>
    <t>SPJB.362</t>
  </si>
  <si>
    <t>SPJB.361</t>
  </si>
  <si>
    <t>SPJB.371</t>
  </si>
  <si>
    <t>SPJB.376</t>
  </si>
  <si>
    <t>SPJB.377</t>
  </si>
  <si>
    <t>SPJB.388</t>
  </si>
  <si>
    <t>SPJB.442</t>
  </si>
  <si>
    <t>SPJB.400</t>
  </si>
  <si>
    <t>SPJB.402</t>
  </si>
  <si>
    <t>SPJB.405</t>
  </si>
  <si>
    <t>SPJB.404</t>
  </si>
  <si>
    <t>SPJB.456</t>
  </si>
  <si>
    <t>SPJB.455</t>
  </si>
  <si>
    <t>SPJB.416</t>
  </si>
  <si>
    <t>SPJB.426</t>
  </si>
  <si>
    <t>SPJB.432</t>
  </si>
  <si>
    <t>SPJB.443</t>
  </si>
  <si>
    <t>SPJB.444</t>
  </si>
  <si>
    <t>SPJB.445</t>
  </si>
  <si>
    <t>JML REK</t>
  </si>
  <si>
    <t>KLASIFIKASI USIA PENABUNG</t>
  </si>
  <si>
    <t>SSKA</t>
  </si>
  <si>
    <t>SJTA</t>
  </si>
  <si>
    <t>SPJ</t>
  </si>
  <si>
    <t>SET /BLN</t>
  </si>
  <si>
    <t>SET/BLN</t>
  </si>
  <si>
    <t>KETERANGAN</t>
  </si>
  <si>
    <t>LANCAR</t>
  </si>
  <si>
    <t>KURANG LANCAR</t>
  </si>
  <si>
    <t>DIRAGUKAN</t>
  </si>
  <si>
    <t>MACET</t>
  </si>
  <si>
    <t>LALAI (X)</t>
  </si>
  <si>
    <t>4 - 6 BLN</t>
  </si>
  <si>
    <t>7 - 12 BLN</t>
  </si>
  <si>
    <t>Tenaga Medis</t>
  </si>
  <si>
    <t>0 - 3 BLN</t>
  </si>
  <si>
    <t>TUJUAN PINJAMAN</t>
  </si>
  <si>
    <t>KLASIFIKASI USIA KESELURUHAN ANGGOTA</t>
  </si>
  <si>
    <t>&lt;24 th</t>
  </si>
  <si>
    <t>&gt; 60 th</t>
  </si>
  <si>
    <t>TOTAL</t>
  </si>
  <si>
    <t>KLASIFIKASI ANGGOTA BERDASARKAN PROFESI</t>
  </si>
  <si>
    <t>Aparatur /Pejabat Negara</t>
  </si>
  <si>
    <t>Petani/Pekebun/Nelayan</t>
  </si>
  <si>
    <t>Lain-lain</t>
  </si>
  <si>
    <t>Kosong</t>
  </si>
  <si>
    <t>KLASIFIKASI PROFESI DAN USIA ANGGOTA</t>
  </si>
  <si>
    <t>Jumlah</t>
  </si>
  <si>
    <t>&lt;24 Th</t>
  </si>
  <si>
    <t>&gt;60 Th</t>
  </si>
  <si>
    <t>KLASIFIKASI USIA DIBANDING TUJUAN PINJAMAN</t>
  </si>
  <si>
    <t>Kesehatan</t>
  </si>
  <si>
    <t>Kesejahteraan</t>
  </si>
  <si>
    <t>Pendidikan</t>
  </si>
  <si>
    <t>Produktif</t>
  </si>
  <si>
    <t>data kosong</t>
  </si>
  <si>
    <t>KLASIFIKASI PROFESI DIBANDING TUJUAN PINJAMAN</t>
  </si>
  <si>
    <t>KLASIFIKASI USIA, PROFESI, DAN TUJUAN PINJAMAN</t>
  </si>
  <si>
    <t>KLASIFIKASI SIMPANAN DIBANDING USIA</t>
  </si>
  <si>
    <t>SISUKA</t>
  </si>
  <si>
    <t>SIJATRA</t>
  </si>
  <si>
    <t>SIPIJAR</t>
  </si>
  <si>
    <t>SIMAPAN</t>
  </si>
  <si>
    <t>KLASIFIKASI SIMPANAN DIBANDING PROFESI</t>
  </si>
  <si>
    <t>KLASIFIKASI USIA, PROFESI DAN SIMPANAN</t>
  </si>
  <si>
    <t>JUMLAH PINJAMAN</t>
  </si>
  <si>
    <t>&gt;12 BLN</t>
  </si>
  <si>
    <t>KLASIFIKASI TUJUAN PINJAMAN DIBANDING KATEGORI PEMBAYARAN ANGSURAN</t>
  </si>
  <si>
    <t>Aparatur/Pejabat Negara</t>
  </si>
  <si>
    <t xml:space="preserve">STELLA MARIS SURABAYA </t>
  </si>
  <si>
    <t xml:space="preserve">SDK MATER DEI </t>
  </si>
  <si>
    <t>MOO GEMOY</t>
  </si>
  <si>
    <t>14053.001.1000.338</t>
  </si>
  <si>
    <t>14053.001.1000.356</t>
  </si>
  <si>
    <t>14053.001.1000.357</t>
  </si>
  <si>
    <t>GURU PNS</t>
  </si>
  <si>
    <t xml:space="preserve">BERKEBUN </t>
  </si>
  <si>
    <t>14053.001.1000.530</t>
  </si>
  <si>
    <t>JUAL BAJU</t>
  </si>
  <si>
    <t>KREDIT BAJU</t>
  </si>
  <si>
    <t>TKK SISWA RINI I</t>
  </si>
  <si>
    <t>ANTAR JEMPUT  ANAK SEKOLAH</t>
  </si>
  <si>
    <t>OJEK</t>
  </si>
  <si>
    <t>WIRAUSAHA TOKO PERACANGAN</t>
  </si>
  <si>
    <t>CV OMEGA</t>
  </si>
  <si>
    <t>PERDAGANGAN OBAT</t>
  </si>
  <si>
    <t>APOTIK PARAMITA</t>
  </si>
  <si>
    <t>14053.001.1000.813</t>
  </si>
  <si>
    <t>14053.001.1000.854</t>
  </si>
  <si>
    <t>14053.001.1000.865</t>
  </si>
  <si>
    <t>JUAL ES BATU</t>
  </si>
  <si>
    <t>VTL VIETNAM</t>
  </si>
  <si>
    <t>TOKO PAK KATIMIN</t>
  </si>
  <si>
    <t>14053.003.1000.936</t>
  </si>
  <si>
    <t>14053.003.1000.938</t>
  </si>
  <si>
    <t>PT. ELODA MITRA</t>
  </si>
  <si>
    <t>PT PEGADAIAN</t>
  </si>
  <si>
    <t>14053.001.1001.063</t>
  </si>
  <si>
    <t>14053.003.1001.101</t>
  </si>
  <si>
    <t>14053.001.1001.114</t>
  </si>
  <si>
    <t>14053.001.1001.125</t>
  </si>
  <si>
    <t>CV INDRAMAYU</t>
  </si>
  <si>
    <t>YAYASAN SANTO PIUS</t>
  </si>
  <si>
    <t>14053.003.1001.157</t>
  </si>
  <si>
    <t>PONDOK PESANTREN NURUL JADID</t>
  </si>
  <si>
    <t>14053.003.1001.193</t>
  </si>
  <si>
    <t>14053.003.1001.194</t>
  </si>
  <si>
    <t>UNEJ</t>
  </si>
  <si>
    <t>PT BUDI JAYA AMENITIES</t>
  </si>
  <si>
    <t>PT KERAMIK PAOLO JAYA</t>
  </si>
  <si>
    <t xml:space="preserve">RUMAH SAKIT UMUM AROZI </t>
  </si>
  <si>
    <t>14053.001.1001.388</t>
  </si>
  <si>
    <t xml:space="preserve">SALON RAHAYU </t>
  </si>
  <si>
    <t>14053.006.1001.422</t>
  </si>
  <si>
    <t>14053.001.1001.450</t>
  </si>
  <si>
    <t>SMPK STELLA MARIS TANGERANG</t>
  </si>
  <si>
    <t>MITRA HOME BUILDING</t>
  </si>
  <si>
    <t>PT VADS INDONESIA</t>
  </si>
  <si>
    <t>28-04-1996</t>
  </si>
  <si>
    <t>PT SUMBER INTRA MAKMUR</t>
  </si>
  <si>
    <t>UPTD LABORATORIUM KESEHATAN DAN LINGKUNGAN</t>
  </si>
  <si>
    <t>14053.003.1001.601</t>
  </si>
  <si>
    <t>14053.003.1001.602</t>
  </si>
  <si>
    <t>14053.003.1001.603</t>
  </si>
  <si>
    <t>14053.006.1001.612</t>
  </si>
  <si>
    <t>14053.001.1001.621</t>
  </si>
  <si>
    <t xml:space="preserve">SMAK MATERDEI </t>
  </si>
  <si>
    <t>14053.001.1001.661</t>
  </si>
  <si>
    <t>14053.003.1001.720</t>
  </si>
  <si>
    <t>14053.003.1001.721</t>
  </si>
  <si>
    <t>14053.001.1001.789</t>
  </si>
  <si>
    <t>INDUSTRI KERTAS</t>
  </si>
  <si>
    <t>14053.001.1001.812</t>
  </si>
  <si>
    <t>14053.003.1001.816</t>
  </si>
  <si>
    <t>14053.003.1001.819</t>
  </si>
  <si>
    <t>14053.004.1001.943</t>
  </si>
  <si>
    <t>14053.004.1001.982</t>
  </si>
  <si>
    <t>14053.004.1001.990</t>
  </si>
  <si>
    <t>MARKETING PERUMAHAN</t>
  </si>
  <si>
    <t>PT BUMI MENTARI MEGAH</t>
  </si>
  <si>
    <t>14053.001.1002.057</t>
  </si>
  <si>
    <t>14053.002.1002.073</t>
  </si>
  <si>
    <t>14053.003.1002.106</t>
  </si>
  <si>
    <t>14053.006.1002.111</t>
  </si>
  <si>
    <t>14053.003.1002.119</t>
  </si>
  <si>
    <t>14053.003.1002.121</t>
  </si>
  <si>
    <t xml:space="preserve">PERAWAT NUSA INDAH </t>
  </si>
  <si>
    <t>KESENIAN-KREATIVITAS-BRANDING</t>
  </si>
  <si>
    <t>14053.001.1002.174</t>
  </si>
  <si>
    <t>14053.001.1002.184</t>
  </si>
  <si>
    <t>14053.006.1002.186</t>
  </si>
  <si>
    <t>SMP STELLA MARIS</t>
  </si>
  <si>
    <t>14053.005.1002.219</t>
  </si>
  <si>
    <t>14053.003.1002.237</t>
  </si>
  <si>
    <t>SANGGAR MELATI FLORIST</t>
  </si>
  <si>
    <t>14053.001.1002.262</t>
  </si>
  <si>
    <t xml:space="preserve">VETERAN </t>
  </si>
  <si>
    <t>MANTRI KESEHATAN</t>
  </si>
  <si>
    <t>RS WALUYO JATI</t>
  </si>
  <si>
    <t>DINAS PU KOTA PROBOLINGGO</t>
  </si>
  <si>
    <t>14053.001.1002.302</t>
  </si>
  <si>
    <t>BIARA SUSTER SPM</t>
  </si>
  <si>
    <t>14053.003.1002.358</t>
  </si>
  <si>
    <t>14053.003.1002.359</t>
  </si>
  <si>
    <t>14053.006.1002.368</t>
  </si>
  <si>
    <t>14053.003.1002.374</t>
  </si>
  <si>
    <t>EXPEDISI</t>
  </si>
  <si>
    <t>PT DEWI SRI</t>
  </si>
  <si>
    <t>TOKO LANGGENG</t>
  </si>
  <si>
    <t>14053.002.1002.425</t>
  </si>
  <si>
    <t>INDUSTRI PERPIPAAN</t>
  </si>
  <si>
    <t>RETAIL SEPEDA</t>
  </si>
  <si>
    <t>SDN WONOASIH 1</t>
  </si>
  <si>
    <t>MAHASISWA</t>
  </si>
  <si>
    <t>UNIVERSITAS</t>
  </si>
  <si>
    <t>14053.002.1002.627</t>
  </si>
  <si>
    <t>14053.001.1002.639</t>
  </si>
  <si>
    <t>14053.004.1002.656</t>
  </si>
  <si>
    <t>14053.004.1002.724</t>
  </si>
  <si>
    <t xml:space="preserve">PENJAGA KANTIN </t>
  </si>
  <si>
    <t xml:space="preserve">BUMBLE PETSHOP </t>
  </si>
  <si>
    <t>14053.005.1002.828</t>
  </si>
  <si>
    <t>14053.003.1002.861</t>
  </si>
  <si>
    <t>12-05-1980</t>
  </si>
  <si>
    <t>SD NEGERI PILANG 3</t>
  </si>
  <si>
    <t>14053.001.1002.901</t>
  </si>
  <si>
    <t>14053.001.1002.902</t>
  </si>
  <si>
    <t>14053.001.1002.903</t>
  </si>
  <si>
    <t>PENDIDIKAN (TATA USAHA)</t>
  </si>
  <si>
    <t>14053.001.1002.931</t>
  </si>
  <si>
    <t>14053.003.1002.935</t>
  </si>
  <si>
    <t>KUMON MANYAR KERTOADI</t>
  </si>
  <si>
    <t>14053.001.1002.955</t>
  </si>
  <si>
    <t>14053.006.1003.042</t>
  </si>
  <si>
    <t>14053.003.1003.055</t>
  </si>
  <si>
    <t>14053.003.1003.056</t>
  </si>
  <si>
    <t>GURU PJOK</t>
  </si>
  <si>
    <t>14053.003.1003.115</t>
  </si>
  <si>
    <t>14053.002.1003.146</t>
  </si>
  <si>
    <t>05-06-1982</t>
  </si>
  <si>
    <t>14053.001.1003.158</t>
  </si>
  <si>
    <t>FASHION</t>
  </si>
  <si>
    <t>NAILA SHOP</t>
  </si>
  <si>
    <t>14053.003.1003.211</t>
  </si>
  <si>
    <t>14053.003.1003.212</t>
  </si>
  <si>
    <t>14053.003.1003.213</t>
  </si>
  <si>
    <t>14053.003.1003.214</t>
  </si>
  <si>
    <t>WAROENG VARIASI MOTOR</t>
  </si>
  <si>
    <t>SDN SUKOHARJO 3</t>
  </si>
  <si>
    <t>14053.002.1003.342</t>
  </si>
  <si>
    <t>SELEB BUMBU DAN PERALATAN RT</t>
  </si>
  <si>
    <t>VIRA</t>
  </si>
  <si>
    <t>WAPO BOGA</t>
  </si>
  <si>
    <t>14053.003.1003.415</t>
  </si>
  <si>
    <t>WARUNG KITTY</t>
  </si>
  <si>
    <t xml:space="preserve">TOKO SEMBAKO </t>
  </si>
  <si>
    <t xml:space="preserve">TOKO ANUGRAH </t>
  </si>
  <si>
    <t>14053.006.1003.619</t>
  </si>
  <si>
    <t>14053.003.1003.660</t>
  </si>
  <si>
    <t>GEREJA PAROKI KAMBAJAWA</t>
  </si>
  <si>
    <t>NINAS KITCHEN</t>
  </si>
  <si>
    <t>SDN 2 JELBUK</t>
  </si>
  <si>
    <t>14053.004.1003.807</t>
  </si>
  <si>
    <t>14053.002.1003.828</t>
  </si>
  <si>
    <t>14053.003.1003.849</t>
  </si>
  <si>
    <t>GURU LES/GURU PRIVAT</t>
  </si>
  <si>
    <t>14053.001.1003.964</t>
  </si>
  <si>
    <t>14053.003.1003.994</t>
  </si>
  <si>
    <t>14053.002.1003.995</t>
  </si>
  <si>
    <t>14053.003.1004.065</t>
  </si>
  <si>
    <t>14053.003.1004.074</t>
  </si>
  <si>
    <t>14053.001.1004.159</t>
  </si>
  <si>
    <t>USAHA KOS-KOSAN</t>
  </si>
  <si>
    <t>14053.001.1004.201</t>
  </si>
  <si>
    <t>DAPUR SEDAP MANTAP</t>
  </si>
  <si>
    <t>14053.001.1004.253</t>
  </si>
  <si>
    <t>14053.001.1004.264</t>
  </si>
  <si>
    <t>14053.003.1004.322</t>
  </si>
  <si>
    <t>14-02-1966</t>
  </si>
  <si>
    <t>PTD SATDIK SDN KEPATIHAN 01</t>
  </si>
  <si>
    <t>PERAWAT PUSKESMAS TEGALSIWALAN</t>
  </si>
  <si>
    <t>14053.001.1004.440</t>
  </si>
  <si>
    <t>14053.002.1004.474</t>
  </si>
  <si>
    <t>14053.001.1004.509</t>
  </si>
  <si>
    <t>JAMU TRADISIONAL</t>
  </si>
  <si>
    <t>14053.001.1004.589</t>
  </si>
  <si>
    <t>14053.003.1004.607</t>
  </si>
  <si>
    <t>14053.003.1004.608</t>
  </si>
  <si>
    <t>TOKO MAINAN</t>
  </si>
  <si>
    <t>14053.001.1004.619</t>
  </si>
  <si>
    <t>14053.001.1004.620</t>
  </si>
  <si>
    <t>14053.003.1004.687</t>
  </si>
  <si>
    <t>PENDIDKAN</t>
  </si>
  <si>
    <t>SDN MANGUNHARJO 6</t>
  </si>
  <si>
    <t>WARUNG MAKAN BU FIRA</t>
  </si>
  <si>
    <t>14053.003.1004.750</t>
  </si>
  <si>
    <t xml:space="preserve">UNIVERSITY OF CHINA </t>
  </si>
  <si>
    <t>14053.001.1004.759</t>
  </si>
  <si>
    <t>BISNIS ONLINE</t>
  </si>
  <si>
    <t>14053.001.1004.910</t>
  </si>
  <si>
    <t>PT INDO PRATAMA JAYA PERKASA</t>
  </si>
  <si>
    <t>14053.001.1004.923</t>
  </si>
  <si>
    <t>14053.001.1004.960</t>
  </si>
  <si>
    <t>14053.003.1004.993</t>
  </si>
  <si>
    <t>14053.001.1005.049</t>
  </si>
  <si>
    <t>GARMEN DAN KOSMETIK</t>
  </si>
  <si>
    <t>ERATEX DAN BEAUTYCARE ONLINE SHOP</t>
  </si>
  <si>
    <t>14053.001.1005.084</t>
  </si>
  <si>
    <t>14053.001.1005.090</t>
  </si>
  <si>
    <t>03-04-1956</t>
  </si>
  <si>
    <t>KULINER &amp; TRANSPORTASI</t>
  </si>
  <si>
    <t>CAFE COLABORA &amp; TRANS UP</t>
  </si>
  <si>
    <t xml:space="preserve">YAYASAN MAHAMERU </t>
  </si>
  <si>
    <t>14053.003.1005.420</t>
  </si>
  <si>
    <t>14053.003.1005.421</t>
  </si>
  <si>
    <t>14053.001.1005.424</t>
  </si>
  <si>
    <t>14053.003.1005.463</t>
  </si>
  <si>
    <t>RS PANTI NIRMALA MALANG</t>
  </si>
  <si>
    <t>14053.001.1005.518</t>
  </si>
  <si>
    <t>14053.001.1005.519</t>
  </si>
  <si>
    <t>KEBERSIHAN (TENAGA PELAKSANA)</t>
  </si>
  <si>
    <t>14053.001.1005.619</t>
  </si>
  <si>
    <t>14053.001.1005.621</t>
  </si>
  <si>
    <t>14053.003.1005.693</t>
  </si>
  <si>
    <t>KOPSIS SEKLAH</t>
  </si>
  <si>
    <t>14053.001.1005.766</t>
  </si>
  <si>
    <t>09-10-1958</t>
  </si>
  <si>
    <t>14053.001.1005.767</t>
  </si>
  <si>
    <t>14053.006.1005.771</t>
  </si>
  <si>
    <t>TRANSPORTASI RENTAL MOBIL</t>
  </si>
  <si>
    <t>14053.001.1005.868</t>
  </si>
  <si>
    <t>14053.001.1005.869</t>
  </si>
  <si>
    <t>SMPK ST YUSUP</t>
  </si>
  <si>
    <t>14053.001.1005.911</t>
  </si>
  <si>
    <t>14053.001.1005.937</t>
  </si>
  <si>
    <t>14053.001.1005.939</t>
  </si>
  <si>
    <t>Paroki St Yosef</t>
  </si>
  <si>
    <t>14053.001.1006.087</t>
  </si>
  <si>
    <t>14053.006.1006.129</t>
  </si>
  <si>
    <t>14053.002.1006.149</t>
  </si>
  <si>
    <t>SALES LADRANG</t>
  </si>
  <si>
    <t>JL PATEMON</t>
  </si>
  <si>
    <t>PENJUAL AYAM KAMPUNG</t>
  </si>
  <si>
    <t>14053.006.1006.195</t>
  </si>
  <si>
    <t>JUAL FROZEN FOOD</t>
  </si>
  <si>
    <t>FROZEN FOOD</t>
  </si>
  <si>
    <t>14053.001.1006.222</t>
  </si>
  <si>
    <t>DATA ANALIS</t>
  </si>
  <si>
    <t>PT SUPARMA TBK</t>
  </si>
  <si>
    <t>14053.003.1006.230</t>
  </si>
  <si>
    <t>14053.001.1006.272</t>
  </si>
  <si>
    <t>14053.001.1006.292</t>
  </si>
  <si>
    <t>TOKO ALAT PERTANIAN</t>
  </si>
  <si>
    <t>14053.003.1006.361</t>
  </si>
  <si>
    <t>20-05-1974</t>
  </si>
  <si>
    <t>PABRIK SNACK</t>
  </si>
  <si>
    <t>14053.001.1006.571</t>
  </si>
  <si>
    <t>14053.001.1006.572</t>
  </si>
  <si>
    <t>14053.001.1006.578</t>
  </si>
  <si>
    <t>14053.002.1006.662</t>
  </si>
  <si>
    <t>14-09-1989</t>
  </si>
  <si>
    <t>14053.001.1006.699</t>
  </si>
  <si>
    <t>14053.002.1006.769</t>
  </si>
  <si>
    <t>14053.001.1006.775</t>
  </si>
  <si>
    <t>17-03-1988</t>
  </si>
  <si>
    <t>UNIVERSITAS TERBUKA</t>
  </si>
  <si>
    <t>14053.005.1006.845</t>
  </si>
  <si>
    <t>14053.005.1006.846</t>
  </si>
  <si>
    <t>11-12-2007</t>
  </si>
  <si>
    <t>WARUNG BU PENI</t>
  </si>
  <si>
    <t>14053.003.1006.905</t>
  </si>
  <si>
    <t>14053.003.1006.915</t>
  </si>
  <si>
    <t>14053.001.1007.022</t>
  </si>
  <si>
    <t>14053.001.1007.031</t>
  </si>
  <si>
    <t>14053.004.1007.048</t>
  </si>
  <si>
    <t>PEDAGANG WARKOP</t>
  </si>
  <si>
    <t>14053.001.1007.130</t>
  </si>
  <si>
    <t>ANAK PERUSAHAAN PERTAMINA</t>
  </si>
  <si>
    <t>PT PRATAMA MITRA SEJATI</t>
  </si>
  <si>
    <t>13-07-1989</t>
  </si>
  <si>
    <t>GARMEN</t>
  </si>
  <si>
    <t>11-09-1963</t>
  </si>
  <si>
    <t xml:space="preserve">DINAS PERIKANAN </t>
  </si>
  <si>
    <t>14053.001.1007.251</t>
  </si>
  <si>
    <t>14053.001.1007.310</t>
  </si>
  <si>
    <t>SDN Mangunharjo 4</t>
  </si>
  <si>
    <t>14053.001.1007.326</t>
  </si>
  <si>
    <t>JUAL RUJAK DAN GORENGAN</t>
  </si>
  <si>
    <t>14053.002.1007.371</t>
  </si>
  <si>
    <t>SD NEGERI BARATAN</t>
  </si>
  <si>
    <t>14053.002.1007.418</t>
  </si>
  <si>
    <t>JUALAN</t>
  </si>
  <si>
    <t>TRANSPORTASI RENTAL TRUCK</t>
  </si>
  <si>
    <t xml:space="preserve">SMA TARUNA HARAPAN </t>
  </si>
  <si>
    <t>JUAL DI KANTIN</t>
  </si>
  <si>
    <t>WARUNG MBOK SIMI</t>
  </si>
  <si>
    <t>14053.001.1007.558</t>
  </si>
  <si>
    <t>14053.001.1007.559</t>
  </si>
  <si>
    <t>15-04-1961</t>
  </si>
  <si>
    <t>DINAS PUPR PROBOLINGGO</t>
  </si>
  <si>
    <t>14053.001.1007.603</t>
  </si>
  <si>
    <t>NITROGEN</t>
  </si>
  <si>
    <t>CV NITROGEN</t>
  </si>
  <si>
    <t>14053.001.1007.779</t>
  </si>
  <si>
    <t>14053.001.1007.780</t>
  </si>
  <si>
    <t xml:space="preserve">OJEK </t>
  </si>
  <si>
    <t>SMPN 8 PROBOLINGGO</t>
  </si>
  <si>
    <t>WARUNG MIE AYAM PAK TO</t>
  </si>
  <si>
    <t>KOPERASI KOTA MOJOKERTO</t>
  </si>
  <si>
    <t>14053.003.1008.077</t>
  </si>
  <si>
    <t>14053.001.1008.091</t>
  </si>
  <si>
    <t>SMA CAHAYA KRISTEN</t>
  </si>
  <si>
    <t>14053.003.1008.173</t>
  </si>
  <si>
    <t>31-10-1984</t>
  </si>
  <si>
    <t>14053.005.1008.328</t>
  </si>
  <si>
    <t>TOKO BUKU</t>
  </si>
  <si>
    <t>Toko Buku Varia Santa</t>
  </si>
  <si>
    <t>14053.005.1008.329</t>
  </si>
  <si>
    <t>14053.002.1008.348</t>
  </si>
  <si>
    <t>15-05-1969</t>
  </si>
  <si>
    <t>14053.004.1008.361</t>
  </si>
  <si>
    <t>08-11-1959</t>
  </si>
  <si>
    <t>13-12-1988</t>
  </si>
  <si>
    <t>WIRAUSAHA BURUNG PERKUTUT</t>
  </si>
  <si>
    <t>14053.001.1008.457</t>
  </si>
  <si>
    <t>14053.003.1008.504</t>
  </si>
  <si>
    <t>14053.003.1008.511</t>
  </si>
  <si>
    <t>PERSEWAAN TENDA KURSI</t>
  </si>
  <si>
    <t>14053.005.1008.525</t>
  </si>
  <si>
    <t>14053.005.1008.527</t>
  </si>
  <si>
    <t>14053.002.1008.580</t>
  </si>
  <si>
    <t>14053.002.1008.614</t>
  </si>
  <si>
    <t>14053.002.1008.660</t>
  </si>
  <si>
    <t>26-02-1978</t>
  </si>
  <si>
    <t>PERANGKAT DESA KRAMATTEMENGGUNG</t>
  </si>
  <si>
    <t>14053.001.1008.861</t>
  </si>
  <si>
    <t>14053.001.1008.898</t>
  </si>
  <si>
    <t>14053.001.1008.899</t>
  </si>
  <si>
    <t>PROPERTY</t>
  </si>
  <si>
    <t>KULINER KUE SEMERU</t>
  </si>
  <si>
    <t>KUE SEMERU</t>
  </si>
  <si>
    <t>14053.005.1009.086</t>
  </si>
  <si>
    <t xml:space="preserve">TOKO KOMPUTER </t>
  </si>
  <si>
    <t>APOTEK SARINA</t>
  </si>
  <si>
    <t>Tukang Listrik</t>
  </si>
  <si>
    <t>INSTALASI LISTRIK</t>
  </si>
  <si>
    <t>16-07-2006</t>
  </si>
  <si>
    <t>JASA GULUNG DINAMO</t>
  </si>
  <si>
    <t>12-12-1951</t>
  </si>
  <si>
    <t>14053.004.1009.245</t>
  </si>
  <si>
    <t>14053.001.1009.474</t>
  </si>
  <si>
    <t>14053.002.1009.595</t>
  </si>
  <si>
    <t>14053.004.1009.622</t>
  </si>
  <si>
    <t>14053.003.1009.653</t>
  </si>
  <si>
    <t>14053.002.1009.777</t>
  </si>
  <si>
    <t>14053.001.1009.857</t>
  </si>
  <si>
    <t>14053.001.1009.870</t>
  </si>
  <si>
    <t>14053.001.1009.871</t>
  </si>
  <si>
    <t>BURUH</t>
  </si>
  <si>
    <t>14053.001.1009.921</t>
  </si>
  <si>
    <t>29-12-1985</t>
  </si>
  <si>
    <t xml:space="preserve">Pendidikan </t>
  </si>
  <si>
    <t>Sukabumi 4</t>
  </si>
  <si>
    <t>PONDOK PESANTREN DARUL QURAN</t>
  </si>
  <si>
    <t>PT. SUBUR MITRA SUKSES</t>
  </si>
  <si>
    <t>14053.002.1009.951</t>
  </si>
  <si>
    <t>21-12-1984</t>
  </si>
  <si>
    <t>PEMBUATAN PUPUK</t>
  </si>
  <si>
    <t>06-04-1970</t>
  </si>
  <si>
    <t>14053.003.1009.991</t>
  </si>
  <si>
    <t>28-02-1990</t>
  </si>
  <si>
    <t>14053.001.1009.992</t>
  </si>
  <si>
    <t>14053.002.1010.008</t>
  </si>
  <si>
    <t>TELUR GULUNG OMA</t>
  </si>
  <si>
    <t>14053.002.1010.030</t>
  </si>
  <si>
    <t>14053.004.1010.038</t>
  </si>
  <si>
    <t>14053.001.1010.063</t>
  </si>
  <si>
    <t>PT. ERATEX DJAJA TBK</t>
  </si>
  <si>
    <t>14053.003.1010.083</t>
  </si>
  <si>
    <t>14053.001.1010.120</t>
  </si>
  <si>
    <t>TOKO HP</t>
  </si>
  <si>
    <t>14053.001.1010.145</t>
  </si>
  <si>
    <t>14053.001.1010.177</t>
  </si>
  <si>
    <t>14053.001.1010.242</t>
  </si>
  <si>
    <t>09-12-1981</t>
  </si>
  <si>
    <t>KECANTIKAN</t>
  </si>
  <si>
    <t>PT HAMAMI</t>
  </si>
  <si>
    <t>14-10-1991</t>
  </si>
  <si>
    <t>14053.003.1010.273</t>
  </si>
  <si>
    <t>15-12-2004</t>
  </si>
  <si>
    <t>14053.003.1010.346</t>
  </si>
  <si>
    <t>INDAH WIE WEDDING</t>
  </si>
  <si>
    <t>14053.003.1010.525</t>
  </si>
  <si>
    <t>25-08-1992</t>
  </si>
  <si>
    <t>14053.003.1016.670</t>
  </si>
  <si>
    <t>14053.004.1016.781</t>
  </si>
  <si>
    <t>14053.003.1016.903</t>
  </si>
  <si>
    <t>SDN SEMPUSARI 2</t>
  </si>
  <si>
    <t>TOKO BERKAH</t>
  </si>
  <si>
    <t>14053.004.1017.051</t>
  </si>
  <si>
    <t>14053.004.1017.196</t>
  </si>
  <si>
    <t>14053.005.1017.235</t>
  </si>
  <si>
    <t>27-02-1975</t>
  </si>
  <si>
    <t>PEDAGANG TELUR AYAM</t>
  </si>
  <si>
    <t>14053.002.1017.251</t>
  </si>
  <si>
    <t>14-10-1979</t>
  </si>
  <si>
    <t>TOKO ROTI</t>
  </si>
  <si>
    <t>JAJANAN MAMA JON</t>
  </si>
  <si>
    <t>14053.001.1017.391</t>
  </si>
  <si>
    <t xml:space="preserve">PSIKOLOGI </t>
  </si>
  <si>
    <t>LIFE CONSULTAN PSYCHOLOGI</t>
  </si>
  <si>
    <t>14053.002.1017.471</t>
  </si>
  <si>
    <t>14053.001.1017.484</t>
  </si>
  <si>
    <t>PT PANGAN LESTARI</t>
  </si>
  <si>
    <t>BANGUNAN</t>
  </si>
  <si>
    <t>PT. WILCO BAJA LANGGENG CITRA</t>
  </si>
  <si>
    <t>14053.001.1017.533</t>
  </si>
  <si>
    <t>14053.001.1017.614</t>
  </si>
  <si>
    <t>13-11-2001</t>
  </si>
  <si>
    <t>14053.004.1017.630</t>
  </si>
  <si>
    <t>05-06-1989</t>
  </si>
  <si>
    <t>NARA LOUNDRY</t>
  </si>
  <si>
    <t>14053.001.1017.729</t>
  </si>
  <si>
    <t>14053.001.1017.731</t>
  </si>
  <si>
    <t>14053.001.1017.738</t>
  </si>
  <si>
    <t>14053.003.1017.764</t>
  </si>
  <si>
    <t>14053.001.1017.770</t>
  </si>
  <si>
    <t>PERINDUSTRIAN</t>
  </si>
  <si>
    <t>JL BASUKI RAHMAD NO 23</t>
  </si>
  <si>
    <t>ES PUTER</t>
  </si>
  <si>
    <t>RISOLE JENG EMY</t>
  </si>
  <si>
    <t>14053.005.1017.820</t>
  </si>
  <si>
    <t>14053.001.1017.856</t>
  </si>
  <si>
    <t>OPTIK GALAXY</t>
  </si>
  <si>
    <t>14053.001.1017.893</t>
  </si>
  <si>
    <t>14053.001.1017.894</t>
  </si>
  <si>
    <t>TPA-KBIT PERMATA</t>
  </si>
  <si>
    <t>14053.003.1018.020</t>
  </si>
  <si>
    <t>14053.004.1018.035</t>
  </si>
  <si>
    <t>14053.003.1018.062</t>
  </si>
  <si>
    <t>04-05-1989</t>
  </si>
  <si>
    <t>14053.004.1018.063</t>
  </si>
  <si>
    <t>14053.003.1018.066</t>
  </si>
  <si>
    <t>14053.006.1018.120</t>
  </si>
  <si>
    <t>14053.003.1018.151</t>
  </si>
  <si>
    <t>16-12-1988</t>
  </si>
  <si>
    <t>14053.003.1018.152</t>
  </si>
  <si>
    <t>24-07-1954</t>
  </si>
  <si>
    <t>14053.003.1018.153</t>
  </si>
  <si>
    <t>15-12-1959</t>
  </si>
  <si>
    <t>14053.001.1018.155</t>
  </si>
  <si>
    <t>14053.002.1018.248</t>
  </si>
  <si>
    <t>01-07-1989</t>
  </si>
  <si>
    <t>14053.002.1018.260</t>
  </si>
  <si>
    <t>05-06-1988</t>
  </si>
  <si>
    <t>14053.001.1018.297</t>
  </si>
  <si>
    <t>16-03-1997</t>
  </si>
  <si>
    <t xml:space="preserve">SEC </t>
  </si>
  <si>
    <t>14053.001.1018.310</t>
  </si>
  <si>
    <t>KULINER (BARISTA )</t>
  </si>
  <si>
    <t xml:space="preserve">BIJI KOPI </t>
  </si>
  <si>
    <t>14053.001.1018.359</t>
  </si>
  <si>
    <t>INDUSTRI BETON</t>
  </si>
  <si>
    <t>PT WIKA BETON TBK</t>
  </si>
  <si>
    <t>14053.004.1018.524</t>
  </si>
  <si>
    <t>14053.001.1018.542</t>
  </si>
  <si>
    <t>14053.001.1018.554</t>
  </si>
  <si>
    <t>LIDAH BUAYA GRUP</t>
  </si>
  <si>
    <t>14053.003.1018.612</t>
  </si>
  <si>
    <t>30-08-1989</t>
  </si>
  <si>
    <t>14053.004.1018.639</t>
  </si>
  <si>
    <t>14053.001.1018.672</t>
  </si>
  <si>
    <t>27-07-1996</t>
  </si>
  <si>
    <t>PT INDOMARCO ADIPRIMA</t>
  </si>
  <si>
    <t>14053.002.1018.690</t>
  </si>
  <si>
    <t>22-12-1989</t>
  </si>
  <si>
    <t>PEMKAB MAJENANG CILACAP</t>
  </si>
  <si>
    <t>KULINER KUE BASAH</t>
  </si>
  <si>
    <t>KULINER PISANG AROMA</t>
  </si>
  <si>
    <t>14053.002.1018.843</t>
  </si>
  <si>
    <t>TK KARTINI II</t>
  </si>
  <si>
    <t>TELKOM PASURUAN</t>
  </si>
  <si>
    <t>30-11-1963</t>
  </si>
  <si>
    <t>30-11-1992</t>
  </si>
  <si>
    <t>14053.003.1019.270</t>
  </si>
  <si>
    <t>02-09-1990</t>
  </si>
  <si>
    <t>MTS NEGERI 3 PROBOLINGGO</t>
  </si>
  <si>
    <t>14053.004.1019.301</t>
  </si>
  <si>
    <t>19-04-1975</t>
  </si>
  <si>
    <t>PEMPEK TJOKRO</t>
  </si>
  <si>
    <t>05-03-1965</t>
  </si>
  <si>
    <t>LAPAS</t>
  </si>
  <si>
    <t>14053.002.1019.356</t>
  </si>
  <si>
    <t>POM BENSIN</t>
  </si>
  <si>
    <t>INDUSTRI PANGAN</t>
  </si>
  <si>
    <t>PT. Daesang Ingredients Indonesia</t>
  </si>
  <si>
    <t>13-07-1967</t>
  </si>
  <si>
    <t>14053.001.1019.375</t>
  </si>
  <si>
    <t>14053.004.1019.376</t>
  </si>
  <si>
    <t>Pelajar</t>
  </si>
  <si>
    <t>SMA AL FURQON JEMBER</t>
  </si>
  <si>
    <t>14053.003.1019.406</t>
  </si>
  <si>
    <t>15-03-1978</t>
  </si>
  <si>
    <t>14053.003.1019.407</t>
  </si>
  <si>
    <t>21-05-1974</t>
  </si>
  <si>
    <t xml:space="preserve">WARUNG BU YATIK </t>
  </si>
  <si>
    <t>DAPUR MAMA NAYLA</t>
  </si>
  <si>
    <t xml:space="preserve">SD KEBONSARI KULON 3 </t>
  </si>
  <si>
    <t>PT. WINGS SURYA</t>
  </si>
  <si>
    <t>DRW SKINCARE</t>
  </si>
  <si>
    <t>PUPUK UREA</t>
  </si>
  <si>
    <t xml:space="preserve">KEUANGAN </t>
  </si>
  <si>
    <t>14053.004.1019.685</t>
  </si>
  <si>
    <t>14053.001.1019.686</t>
  </si>
  <si>
    <t>PETANI DAN WISATA</t>
  </si>
  <si>
    <t>14053.003.1019.687</t>
  </si>
  <si>
    <t>20-01-1968</t>
  </si>
  <si>
    <t>14053.001.1019.688</t>
  </si>
  <si>
    <t>20-11-2002</t>
  </si>
  <si>
    <t>TERAPI</t>
  </si>
  <si>
    <t>AROMATERAPI SPA</t>
  </si>
  <si>
    <t>14053.005.1019.689</t>
  </si>
  <si>
    <t>16-12-1997</t>
  </si>
  <si>
    <t>INDUTRI KARTON</t>
  </si>
  <si>
    <t>CV SUPRATEX</t>
  </si>
  <si>
    <t>TEKSTIL</t>
  </si>
  <si>
    <t>14053.001.1019.691</t>
  </si>
  <si>
    <t>25-09-1983</t>
  </si>
  <si>
    <t>14053.006.1019.692</t>
  </si>
  <si>
    <t>02-05-2006</t>
  </si>
  <si>
    <t>14053.001.1019.693</t>
  </si>
  <si>
    <t>15-08-1997</t>
  </si>
  <si>
    <t xml:space="preserve">PELAYARAN </t>
  </si>
  <si>
    <t>14053.001.1019.694</t>
  </si>
  <si>
    <t>07-12-1966</t>
  </si>
  <si>
    <t>14053.001.1019.695</t>
  </si>
  <si>
    <t>14053.001.1019.696</t>
  </si>
  <si>
    <t>AYAM GEPREK GOKER DAN RINDA</t>
  </si>
  <si>
    <t>14053.001.1019.697</t>
  </si>
  <si>
    <t>30-03-1982</t>
  </si>
  <si>
    <t>14053.005.1019.699</t>
  </si>
  <si>
    <t>26-05-2004</t>
  </si>
  <si>
    <t>14053.005.1019.700</t>
  </si>
  <si>
    <t>14053.001.1019.701</t>
  </si>
  <si>
    <t>14053.001.1019.702</t>
  </si>
  <si>
    <t>09-12-1982</t>
  </si>
  <si>
    <t xml:space="preserve">GORDEN </t>
  </si>
  <si>
    <t xml:space="preserve">TITIN GODEN </t>
  </si>
  <si>
    <t>14053.006.1019.703</t>
  </si>
  <si>
    <t>29-08-2003</t>
  </si>
  <si>
    <t>14053.006.1019.704</t>
  </si>
  <si>
    <t>14053.004.1019.705</t>
  </si>
  <si>
    <t>30-07-2000</t>
  </si>
  <si>
    <t>14053.002.1019.706</t>
  </si>
  <si>
    <t>13-07-1983</t>
  </si>
  <si>
    <t>14053.005.1019.707</t>
  </si>
  <si>
    <t>19-08-1989</t>
  </si>
  <si>
    <t>14053.003.1019.708</t>
  </si>
  <si>
    <t>26-06-1984</t>
  </si>
  <si>
    <t>14053.005.1019.709</t>
  </si>
  <si>
    <t>14053.005.1019.710</t>
  </si>
  <si>
    <t>08-11-1993</t>
  </si>
  <si>
    <t>14053.004.1019.711</t>
  </si>
  <si>
    <t>10-03-1986</t>
  </si>
  <si>
    <t>14053.002.1019.712</t>
  </si>
  <si>
    <t>21-03-1969</t>
  </si>
  <si>
    <t>14053.003.1019.713</t>
  </si>
  <si>
    <t>31-03-1994</t>
  </si>
  <si>
    <t>14053.001.1019.715</t>
  </si>
  <si>
    <t>29-11-1998</t>
  </si>
  <si>
    <t xml:space="preserve">TEKNOLOGI </t>
  </si>
  <si>
    <t xml:space="preserve">PT SKK </t>
  </si>
  <si>
    <t>14053.005.1019.716</t>
  </si>
  <si>
    <t>17-07-2007</t>
  </si>
  <si>
    <t>14053.002.1019.717</t>
  </si>
  <si>
    <t>07-06-2000</t>
  </si>
  <si>
    <t>14053.005.1019.718</t>
  </si>
  <si>
    <t>03-12-1996</t>
  </si>
  <si>
    <t>BSI PT. BPRS LANTABUR TEBUIRENG</t>
  </si>
  <si>
    <t>14053.001.1019.719</t>
  </si>
  <si>
    <t>26-05-1981</t>
  </si>
  <si>
    <t>14053.001.1019.720</t>
  </si>
  <si>
    <t>27-01-1968</t>
  </si>
  <si>
    <t>14053.001.1019.721</t>
  </si>
  <si>
    <t>19-08-1965</t>
  </si>
  <si>
    <t>14053.003.1019.722</t>
  </si>
  <si>
    <t>14053.001.1019.723</t>
  </si>
  <si>
    <t>19-11-1999</t>
  </si>
  <si>
    <t>SMA CITRA BERKAT SURABAYA</t>
  </si>
  <si>
    <t>14053.003.1019.724</t>
  </si>
  <si>
    <t>14053.002.1019.725</t>
  </si>
  <si>
    <t>22-12-1978</t>
  </si>
  <si>
    <t>14053.001.1019.726</t>
  </si>
  <si>
    <t>17-12-1977</t>
  </si>
  <si>
    <t xml:space="preserve">asuransi </t>
  </si>
  <si>
    <t xml:space="preserve">ASURANSI ALLIANZ </t>
  </si>
  <si>
    <t>14053.001.1019.727</t>
  </si>
  <si>
    <t>31-08-2001</t>
  </si>
  <si>
    <t xml:space="preserve">PUTERA TEDJA </t>
  </si>
  <si>
    <t>14053.001.1019.728</t>
  </si>
  <si>
    <t>14053.001.1019.729</t>
  </si>
  <si>
    <t>28-09-1978</t>
  </si>
  <si>
    <t>ENY CAKES</t>
  </si>
  <si>
    <t>14053.001.1019.730</t>
  </si>
  <si>
    <t>14053.001.1019.731</t>
  </si>
  <si>
    <t>14-11-1966</t>
  </si>
  <si>
    <t>DE BELLPEPPER</t>
  </si>
  <si>
    <t>14053.001.1019.732</t>
  </si>
  <si>
    <t>25-12-2002</t>
  </si>
  <si>
    <t>UNIVERSITAS CIPUTRA</t>
  </si>
  <si>
    <t>14053.001.1019.733</t>
  </si>
  <si>
    <t>18-03-1973</t>
  </si>
  <si>
    <t>14053.001.1019.734</t>
  </si>
  <si>
    <t>17-03-1997</t>
  </si>
  <si>
    <t xml:space="preserve">DE BRITTO </t>
  </si>
  <si>
    <t>14053.002.1019.735</t>
  </si>
  <si>
    <t>SOPIR BUS</t>
  </si>
  <si>
    <t>14053.004.1019.736</t>
  </si>
  <si>
    <t>28-04-1999</t>
  </si>
  <si>
    <t>CUCIAN MOTOR KUSUMA JAYA</t>
  </si>
  <si>
    <t>14053.003.1019.737</t>
  </si>
  <si>
    <t>02-02-1979</t>
  </si>
  <si>
    <t>MASAKAN MATANG DAN KUE</t>
  </si>
  <si>
    <t>14053.001.1019.739</t>
  </si>
  <si>
    <t>14053.001.1019.741</t>
  </si>
  <si>
    <t xml:space="preserve">WARUNG IKAN BAKAR REMPAH </t>
  </si>
  <si>
    <t>14053.001.1019.742</t>
  </si>
  <si>
    <t>05-05-2003</t>
  </si>
  <si>
    <t xml:space="preserve">GARMEN </t>
  </si>
  <si>
    <t>PT PUTRA TEDJA</t>
  </si>
  <si>
    <t>14053.005.1019.743</t>
  </si>
  <si>
    <t>25-01-1980</t>
  </si>
  <si>
    <t>14053.003.1019.745</t>
  </si>
  <si>
    <t>HANSEN SHOP</t>
  </si>
  <si>
    <t>14053.005.1019.746</t>
  </si>
  <si>
    <t>14053.003.1019.749</t>
  </si>
  <si>
    <t>25-01-2001</t>
  </si>
  <si>
    <t>TU</t>
  </si>
  <si>
    <t>UNIVERSITAS MUHAMADIYAH JEMBER</t>
  </si>
  <si>
    <t>14053.003.1019.750</t>
  </si>
  <si>
    <t>25-04-1967</t>
  </si>
  <si>
    <t>AUTO 2000</t>
  </si>
  <si>
    <t>14053.003.1019.752</t>
  </si>
  <si>
    <t>27-05-1989</t>
  </si>
  <si>
    <t>14053.001.1019.753</t>
  </si>
  <si>
    <t>05-06-1964</t>
  </si>
  <si>
    <t>KEDAI BU PUJI</t>
  </si>
  <si>
    <t>14053.005.1019.754</t>
  </si>
  <si>
    <t>INDUSTRI PENGOLAHAN MINYAK</t>
  </si>
  <si>
    <t>PT DORANG</t>
  </si>
  <si>
    <t>14053.004.1019.755</t>
  </si>
  <si>
    <t>02-08-1982</t>
  </si>
  <si>
    <t>14053.001.1019.756</t>
  </si>
  <si>
    <t>09-04-1984</t>
  </si>
  <si>
    <t>SDN KEBONSARI KULON 3</t>
  </si>
  <si>
    <t>14053.001.1019.757</t>
  </si>
  <si>
    <t>26-03-1981</t>
  </si>
  <si>
    <t xml:space="preserve">SUSTERAN </t>
  </si>
  <si>
    <t>14053.001.1019.758</t>
  </si>
  <si>
    <t>14053.005.1019.759</t>
  </si>
  <si>
    <t>18-11-1984</t>
  </si>
  <si>
    <t>14053.002.1019.760</t>
  </si>
  <si>
    <t>27-12-1980</t>
  </si>
  <si>
    <t>14053.004.1019.762</t>
  </si>
  <si>
    <t>08-12-2000</t>
  </si>
  <si>
    <t>PEMPEK BUJANG TUO</t>
  </si>
  <si>
    <t>14053.004.1019.763</t>
  </si>
  <si>
    <t>09-09-1964</t>
  </si>
  <si>
    <t>14053.006.1019.764</t>
  </si>
  <si>
    <t>05-08-1976</t>
  </si>
  <si>
    <t>14053.003.1019.765</t>
  </si>
  <si>
    <t>BENGKEL MOBIL</t>
  </si>
  <si>
    <t>BAROMETER</t>
  </si>
  <si>
    <t>14053.003.1019.766</t>
  </si>
  <si>
    <t>23-04-1962</t>
  </si>
  <si>
    <t>SDK MARFAT III</t>
  </si>
  <si>
    <t>14053.003.1019.767</t>
  </si>
  <si>
    <t>07-08-1974</t>
  </si>
  <si>
    <t>DAPUR MINI RUS</t>
  </si>
  <si>
    <t>14053.002.1019.768</t>
  </si>
  <si>
    <t>PJB UP PAITON</t>
  </si>
  <si>
    <t>14053.004.1019.770</t>
  </si>
  <si>
    <t>10-01-1979</t>
  </si>
  <si>
    <t>BATAGOR BANDUNG</t>
  </si>
  <si>
    <t>14053.002.1019.771</t>
  </si>
  <si>
    <t>27-03-1988</t>
  </si>
  <si>
    <t>SDN GEJUGAN</t>
  </si>
  <si>
    <t>14053.001.1019.772</t>
  </si>
  <si>
    <t>14053.004.1019.774</t>
  </si>
  <si>
    <t>02-08-2001</t>
  </si>
  <si>
    <t>SUMBER REJEKI</t>
  </si>
  <si>
    <t>14053.001.1019.775</t>
  </si>
  <si>
    <t>17-12-1995</t>
  </si>
  <si>
    <t xml:space="preserve">PT. ERATEX DJAJA TBK </t>
  </si>
  <si>
    <t>14053.006.1019.776</t>
  </si>
  <si>
    <t>03-12-1972</t>
  </si>
  <si>
    <t>CHATIME</t>
  </si>
  <si>
    <t>14053.002.1019.778</t>
  </si>
  <si>
    <t>14053.001.1019.779</t>
  </si>
  <si>
    <t xml:space="preserve">INDUSTRI </t>
  </si>
  <si>
    <t xml:space="preserve">KTI </t>
  </si>
  <si>
    <t>14053.001.1019.780</t>
  </si>
  <si>
    <t>09-05-1993</t>
  </si>
  <si>
    <t xml:space="preserve">YP SLB MALANG </t>
  </si>
  <si>
    <t>14053.001.1019.781</t>
  </si>
  <si>
    <t>14053.005.1019.783</t>
  </si>
  <si>
    <t>20-08-2005</t>
  </si>
  <si>
    <t>14053.005.1019.785</t>
  </si>
  <si>
    <t>27-04-1967</t>
  </si>
  <si>
    <t>PEDAGANG KESET</t>
  </si>
  <si>
    <t>14053.004.1019.786</t>
  </si>
  <si>
    <t>16-04-1967</t>
  </si>
  <si>
    <t>14053.005.1019.787</t>
  </si>
  <si>
    <t>05-09-1992</t>
  </si>
  <si>
    <t>KULINER (SEBLAK)</t>
  </si>
  <si>
    <t>14053.003.1019.788</t>
  </si>
  <si>
    <t>08-08-1991</t>
  </si>
  <si>
    <t>TOKO EMAS IKAN MAS</t>
  </si>
  <si>
    <t>14053.001.1019.789</t>
  </si>
  <si>
    <t>24-01-1981</t>
  </si>
  <si>
    <t>14053.001.1019.790</t>
  </si>
  <si>
    <t>14053.003.1019.791</t>
  </si>
  <si>
    <t>14053.004.1019.792</t>
  </si>
  <si>
    <t>29-10-1999</t>
  </si>
  <si>
    <t>POCOYO WUFLE</t>
  </si>
  <si>
    <t>14053.002.1019.793</t>
  </si>
  <si>
    <t>31-05-1986</t>
  </si>
  <si>
    <t>14053.002.1019.794</t>
  </si>
  <si>
    <t>14053.001.1019.795</t>
  </si>
  <si>
    <t xml:space="preserve">ADMINISTRASI </t>
  </si>
  <si>
    <t>KELURAHAN TAMAN SARI</t>
  </si>
  <si>
    <t>14053.001.1019.796</t>
  </si>
  <si>
    <t>14053.001.1019.797</t>
  </si>
  <si>
    <t>04-03-1975</t>
  </si>
  <si>
    <t xml:space="preserve">SMPN 3 </t>
  </si>
  <si>
    <t>14053.001.1019.798</t>
  </si>
  <si>
    <t>26-03-1974</t>
  </si>
  <si>
    <t>SMK AL-FALLAH</t>
  </si>
  <si>
    <t>14053.001.1019.799</t>
  </si>
  <si>
    <t>14053.004.1019.801</t>
  </si>
  <si>
    <t>MIE AYAM PANJOL</t>
  </si>
  <si>
    <t>14053.001.1019.802</t>
  </si>
  <si>
    <t>TOKO BERRY</t>
  </si>
  <si>
    <t>14053.001.1019.803</t>
  </si>
  <si>
    <t>27-10-1990</t>
  </si>
  <si>
    <t>14053.001.1019.805</t>
  </si>
  <si>
    <t>06-11-1981</t>
  </si>
  <si>
    <t>14053.003.1019.806</t>
  </si>
  <si>
    <t>16-02-1998</t>
  </si>
  <si>
    <t>TENAGA PEMBANTU</t>
  </si>
  <si>
    <t>14053.006.1019.807</t>
  </si>
  <si>
    <t>14-04-2000</t>
  </si>
  <si>
    <t>14053.003.1019.809</t>
  </si>
  <si>
    <t>25-08-1969</t>
  </si>
  <si>
    <t>SATPAM UNEJ</t>
  </si>
  <si>
    <t>14053.001.1019.810</t>
  </si>
  <si>
    <t>16-12-1970</t>
  </si>
  <si>
    <t xml:space="preserve">SHEN SOUVENIR </t>
  </si>
  <si>
    <t>14053.001.1019.811</t>
  </si>
  <si>
    <t>30-01-1993</t>
  </si>
  <si>
    <t>MI MIFTAHUL HUDA</t>
  </si>
  <si>
    <t>14053.005.1019.812</t>
  </si>
  <si>
    <t>14053.001.1019.813</t>
  </si>
  <si>
    <t>PT BANK CENTRAL ASIA</t>
  </si>
  <si>
    <t>14053.003.1019.814</t>
  </si>
  <si>
    <t>SMP KARTIKA</t>
  </si>
  <si>
    <t>14053.002.1019.815</t>
  </si>
  <si>
    <t>30-11-1965</t>
  </si>
  <si>
    <t>14053.005.1019.816</t>
  </si>
  <si>
    <t>15-12-1967</t>
  </si>
  <si>
    <t>FASHION (PAKAIAN)</t>
  </si>
  <si>
    <t>BANDUNG FASHION</t>
  </si>
  <si>
    <t>14053.001.1019.817</t>
  </si>
  <si>
    <t>14053.001.1019.818</t>
  </si>
  <si>
    <t>16-12-1961</t>
  </si>
  <si>
    <t xml:space="preserve">YAYASAN SPM </t>
  </si>
  <si>
    <t>14053.003.1019.819</t>
  </si>
  <si>
    <t>BINA SAN PRIMA</t>
  </si>
  <si>
    <t>14053.001.1019.820</t>
  </si>
  <si>
    <t>14-09-1963</t>
  </si>
  <si>
    <t>14053.001.1019.821</t>
  </si>
  <si>
    <t>15-01-1995</t>
  </si>
  <si>
    <t>14053.003.1019.822</t>
  </si>
  <si>
    <t>PRAKTIK PRIBADI</t>
  </si>
  <si>
    <t>14053.004.1019.823</t>
  </si>
  <si>
    <t>05-03-2004</t>
  </si>
  <si>
    <t>PONYO</t>
  </si>
  <si>
    <t>14053.002.1019.824</t>
  </si>
  <si>
    <t>14053.003.1019.825</t>
  </si>
  <si>
    <t>14053.001.1019.826</t>
  </si>
  <si>
    <t>03-09-1987</t>
  </si>
  <si>
    <t xml:space="preserve">DINAS PERTANIAN </t>
  </si>
  <si>
    <t>14053.004.1019.827</t>
  </si>
  <si>
    <t>SDN MANDAR</t>
  </si>
  <si>
    <t>14053.002.1019.829</t>
  </si>
  <si>
    <t xml:space="preserve">SATPAM </t>
  </si>
  <si>
    <t>14053.003.1019.830</t>
  </si>
  <si>
    <t>28-09-1976</t>
  </si>
  <si>
    <t>14053.003.1019.831</t>
  </si>
  <si>
    <t>SMA ADHIWIYATA</t>
  </si>
  <si>
    <t>14053.001.1019.833</t>
  </si>
  <si>
    <t>14053.001.1019.834</t>
  </si>
  <si>
    <t>30-01-1965</t>
  </si>
  <si>
    <t xml:space="preserve">SMPK KOLOSE SANTO YUSUP 1 </t>
  </si>
  <si>
    <t>14053.001.1019.835</t>
  </si>
  <si>
    <t>17-06-1993</t>
  </si>
  <si>
    <t xml:space="preserve">PT WORLDBRIDGE INDO JAYA </t>
  </si>
  <si>
    <t>14053.003.1019.836</t>
  </si>
  <si>
    <t>04-05-1977</t>
  </si>
  <si>
    <t>14053.002.1019.837</t>
  </si>
  <si>
    <t>03-10-1999</t>
  </si>
  <si>
    <t>14053.002.1019.838</t>
  </si>
  <si>
    <t>11-09-1996</t>
  </si>
  <si>
    <t>14053.005.1019.839</t>
  </si>
  <si>
    <t>14053.002.1019.840</t>
  </si>
  <si>
    <t>07-08-1985</t>
  </si>
  <si>
    <t>14053.003.1019.841</t>
  </si>
  <si>
    <t>24-06-1971</t>
  </si>
  <si>
    <t>14053.003.1019.842</t>
  </si>
  <si>
    <t>14053.003.1019.843</t>
  </si>
  <si>
    <t>KARYAWAN SUSTERAN</t>
  </si>
  <si>
    <t>14053.005.1019.844</t>
  </si>
  <si>
    <t>19-10-1987</t>
  </si>
  <si>
    <t>14053.002.1019.845</t>
  </si>
  <si>
    <t>14053.001.1019.846</t>
  </si>
  <si>
    <t>18-10-1990</t>
  </si>
  <si>
    <t xml:space="preserve">GEMAPALU </t>
  </si>
  <si>
    <t>14053.004.1019.847</t>
  </si>
  <si>
    <t>16-07-1977</t>
  </si>
  <si>
    <t>NOTARIS FANY</t>
  </si>
  <si>
    <t>14053.001.1019.848</t>
  </si>
  <si>
    <t>24-09-1993</t>
  </si>
  <si>
    <t>14053.001.1019.849</t>
  </si>
  <si>
    <t>06-05-1999</t>
  </si>
  <si>
    <t>14053.001.1019.850</t>
  </si>
  <si>
    <t>09-11-2001</t>
  </si>
  <si>
    <t>14053.003.1019.851</t>
  </si>
  <si>
    <t>RIZKY LAUNDRY</t>
  </si>
  <si>
    <t>14053.002.1019.852</t>
  </si>
  <si>
    <t>17-02-1978</t>
  </si>
  <si>
    <t>JUAL OTAK-OTAK DAN PENTOL TELUR</t>
  </si>
  <si>
    <t>14053.006.1019.853</t>
  </si>
  <si>
    <t xml:space="preserve">KONTRAKTOR </t>
  </si>
  <si>
    <t>ARMADA</t>
  </si>
  <si>
    <t>14053.001.1019.855</t>
  </si>
  <si>
    <t>02-05-1999</t>
  </si>
  <si>
    <t xml:space="preserve">YAYASAN AMANAH </t>
  </si>
  <si>
    <t>14053.001.1019.857</t>
  </si>
  <si>
    <t>05-04-1990</t>
  </si>
  <si>
    <t>14053.004.1019.858</t>
  </si>
  <si>
    <t>08-09-1999</t>
  </si>
  <si>
    <t xml:space="preserve">CV DEWI KENCANA </t>
  </si>
  <si>
    <t>14053.006.1019.859</t>
  </si>
  <si>
    <t>20-03-1977</t>
  </si>
  <si>
    <t>ALAT BERAT</t>
  </si>
  <si>
    <t>14053.005.1019.860</t>
  </si>
  <si>
    <t>22-09-1990</t>
  </si>
  <si>
    <t>14053.006.1019.861</t>
  </si>
  <si>
    <t>30-11-1985</t>
  </si>
  <si>
    <t>14053.001.1019.862</t>
  </si>
  <si>
    <t>25-11-1989</t>
  </si>
  <si>
    <t>PRATAMA MOTOR</t>
  </si>
  <si>
    <t>14053.004.1019.863</t>
  </si>
  <si>
    <t>14053.002.1019.864</t>
  </si>
  <si>
    <t>16-09-1964</t>
  </si>
  <si>
    <t>DINAS PERIJINAN</t>
  </si>
  <si>
    <t>14053.006.1019.865</t>
  </si>
  <si>
    <t>08-12-1992</t>
  </si>
  <si>
    <t>14053.006.1019.866</t>
  </si>
  <si>
    <t>14053.003.1019.867</t>
  </si>
  <si>
    <t>14053.005.1019.868</t>
  </si>
  <si>
    <t>24-03-1986</t>
  </si>
  <si>
    <t>14053.003.1019.869</t>
  </si>
  <si>
    <t>29-09-1975</t>
  </si>
  <si>
    <t>JUAL BENSIN</t>
  </si>
  <si>
    <t>14053.002.1019.870</t>
  </si>
  <si>
    <t>06-03-1997</t>
  </si>
  <si>
    <t>14053.001.1019.871</t>
  </si>
  <si>
    <t>WARUNG NUR</t>
  </si>
  <si>
    <t>14053.001.1019.872</t>
  </si>
  <si>
    <t>14053.001.1019.873</t>
  </si>
  <si>
    <t xml:space="preserve">MOVE ON MIE BAKSO </t>
  </si>
  <si>
    <t>14-08-1983</t>
  </si>
  <si>
    <t>14053.001.1019.876</t>
  </si>
  <si>
    <t>14053.001.1019.877</t>
  </si>
  <si>
    <t>23-03-1998</t>
  </si>
  <si>
    <t>14053.005.1019.878</t>
  </si>
  <si>
    <t>09-07-1969</t>
  </si>
  <si>
    <t>14053.001.1019.879</t>
  </si>
  <si>
    <t>21-05-2001</t>
  </si>
  <si>
    <t xml:space="preserve">FRIED CHIKEN </t>
  </si>
  <si>
    <t>14053.005.1019.880</t>
  </si>
  <si>
    <t>27-05-1971</t>
  </si>
  <si>
    <t>KUE MB SELLY</t>
  </si>
  <si>
    <t>14053.001.1019.881</t>
  </si>
  <si>
    <t>ASRAMA PUTRA</t>
  </si>
  <si>
    <t>14053.001.1019.882</t>
  </si>
  <si>
    <t>18-01-1962</t>
  </si>
  <si>
    <t xml:space="preserve">RASA </t>
  </si>
  <si>
    <t>14053.004.1019.883</t>
  </si>
  <si>
    <t>30-06-1969</t>
  </si>
  <si>
    <t>RUJAK MBOK DARMI</t>
  </si>
  <si>
    <t>14053.001.1019.884</t>
  </si>
  <si>
    <t>28-09-2004</t>
  </si>
  <si>
    <t>PT PUTRA TEEDJA</t>
  </si>
  <si>
    <t>14053.004.1019.885</t>
  </si>
  <si>
    <t>KESUSTERAN</t>
  </si>
  <si>
    <t>ASRAMA SUSTERAN</t>
  </si>
  <si>
    <t>14053.002.1019.886</t>
  </si>
  <si>
    <t>SALON DAN BAKO</t>
  </si>
  <si>
    <t>14053.004.1019.887</t>
  </si>
  <si>
    <t>PUSKESMAS SOBO</t>
  </si>
  <si>
    <t>14053.001.1019.888</t>
  </si>
  <si>
    <t>09-05-1986</t>
  </si>
  <si>
    <t>14053.002.1019.889</t>
  </si>
  <si>
    <t>JUAL JAMU TRADISIONAL</t>
  </si>
  <si>
    <t>14053.003.1019.890</t>
  </si>
  <si>
    <t>14053.001.1019.891</t>
  </si>
  <si>
    <t>08-06-1999</t>
  </si>
  <si>
    <t>14053.001.1019.892</t>
  </si>
  <si>
    <t>03-05-1996</t>
  </si>
  <si>
    <t>14053.001.1019.893</t>
  </si>
  <si>
    <t>PAUD KHODIJAH</t>
  </si>
  <si>
    <t>14053.002.1019.894</t>
  </si>
  <si>
    <t>APOTEKER RAJAWALI</t>
  </si>
  <si>
    <t>14053.001.1019.895</t>
  </si>
  <si>
    <t>29-03-1950</t>
  </si>
  <si>
    <t>14053.001.1019.896</t>
  </si>
  <si>
    <t>03-12-1986</t>
  </si>
  <si>
    <t xml:space="preserve">NASI PECEL BU NARGO </t>
  </si>
  <si>
    <t>14053.006.1019.897</t>
  </si>
  <si>
    <t>18-12-1973</t>
  </si>
  <si>
    <t>PABRIK ROTI NISSIN</t>
  </si>
  <si>
    <t>14053.001.1019.898</t>
  </si>
  <si>
    <t>20-09-1993</t>
  </si>
  <si>
    <t>14053.005.1019.899</t>
  </si>
  <si>
    <t>YAYASAN YOHANES GABRIEL</t>
  </si>
  <si>
    <t>14053.001.1019.900</t>
  </si>
  <si>
    <t>02-08-1997</t>
  </si>
  <si>
    <t xml:space="preserve">SINAR SEPATU </t>
  </si>
  <si>
    <t>14053.001.1019.901</t>
  </si>
  <si>
    <t>15-05-1977</t>
  </si>
  <si>
    <t>YAYASAN KRISTEN ALETHEIA</t>
  </si>
  <si>
    <t>14053.001.1019.902</t>
  </si>
  <si>
    <t>17-11-1962</t>
  </si>
  <si>
    <t>14053.002.1019.903</t>
  </si>
  <si>
    <t>14053.006.1019.905</t>
  </si>
  <si>
    <t>21-04-1996</t>
  </si>
  <si>
    <t>14053.001.1019.906</t>
  </si>
  <si>
    <t>14053.001.1019.907</t>
  </si>
  <si>
    <t>01-07-1960</t>
  </si>
  <si>
    <t>14053.001.1019.908</t>
  </si>
  <si>
    <t>26-05-2000</t>
  </si>
  <si>
    <t>14053.002.1019.909</t>
  </si>
  <si>
    <t>25-12-1996</t>
  </si>
  <si>
    <t>14053.001.1019.911</t>
  </si>
  <si>
    <t>TOKO CHIQUITA</t>
  </si>
  <si>
    <t>14053.001.1019.912</t>
  </si>
  <si>
    <t>14053.003.1019.913</t>
  </si>
  <si>
    <t>02-07-1987</t>
  </si>
  <si>
    <t>FRELINE</t>
  </si>
  <si>
    <t>14053.006.1019.914</t>
  </si>
  <si>
    <t>21-06-1981</t>
  </si>
  <si>
    <t>14053.001.1019.915</t>
  </si>
  <si>
    <t>07-02-1996</t>
  </si>
  <si>
    <t xml:space="preserve">RM SUMBER HIDUP </t>
  </si>
  <si>
    <t>14053.001.1019.916</t>
  </si>
  <si>
    <t>02-09-1983</t>
  </si>
  <si>
    <t>ETAWA</t>
  </si>
  <si>
    <t>14053.002.1019.917</t>
  </si>
  <si>
    <t>06-08-1974</t>
  </si>
  <si>
    <t>14053.006.1019.918</t>
  </si>
  <si>
    <t>14053.001.1019.919</t>
  </si>
  <si>
    <t>14053.001.1019.920</t>
  </si>
  <si>
    <t>21-10-1994</t>
  </si>
  <si>
    <t>14053.003.1019.921</t>
  </si>
  <si>
    <t>14053.001.1019.922</t>
  </si>
  <si>
    <t>14053.003.1019.923</t>
  </si>
  <si>
    <t>16-10-1983</t>
  </si>
  <si>
    <t>14053.001.1019.925</t>
  </si>
  <si>
    <t>11-05-1999</t>
  </si>
  <si>
    <t>14053.004.1019.927</t>
  </si>
  <si>
    <t>KANTIN TK KARTIKA</t>
  </si>
  <si>
    <t>14053.004.1019.928</t>
  </si>
  <si>
    <t>12-02-1995</t>
  </si>
  <si>
    <t>14053.001.1019.929</t>
  </si>
  <si>
    <t>14053.001.1019.930</t>
  </si>
  <si>
    <t>14053.001.1019.931</t>
  </si>
  <si>
    <t>03-12-1989</t>
  </si>
  <si>
    <t>14053.005.1019.932</t>
  </si>
  <si>
    <t>14053.001.1019.934</t>
  </si>
  <si>
    <t>16-06-2005</t>
  </si>
  <si>
    <t>CU MANDIRI PROBOLINGGO</t>
  </si>
  <si>
    <t>14053.001.1019.935</t>
  </si>
  <si>
    <t>06-02-2005</t>
  </si>
  <si>
    <t>JNT CARGO</t>
  </si>
  <si>
    <t>14053.002.1019.937</t>
  </si>
  <si>
    <t>GURU SLB</t>
  </si>
  <si>
    <t>14053.002.1019.938</t>
  </si>
  <si>
    <t>19-12-1987</t>
  </si>
  <si>
    <t>14053.003.1019.939</t>
  </si>
  <si>
    <t>01-04-1972</t>
  </si>
  <si>
    <t>14053.006.1019.940</t>
  </si>
  <si>
    <t>ANGKRINGAN</t>
  </si>
  <si>
    <t>14053.004.1019.942</t>
  </si>
  <si>
    <t>CIRENG GEMOY</t>
  </si>
  <si>
    <t>14053.001.1019.944</t>
  </si>
  <si>
    <t>14053.001.1019.946</t>
  </si>
  <si>
    <t>23-12-1985</t>
  </si>
  <si>
    <t>PT. DINAMIKA TEKNIK MESIN</t>
  </si>
  <si>
    <t>14053.001.1019.948</t>
  </si>
  <si>
    <t>23-08-1977</t>
  </si>
  <si>
    <t>PETRUK TAILOR</t>
  </si>
  <si>
    <t>14053.001.1019.949</t>
  </si>
  <si>
    <t>UBAYA</t>
  </si>
  <si>
    <t>14053.006.1019.950</t>
  </si>
  <si>
    <t>05-01-1980</t>
  </si>
  <si>
    <t>JASA WENTER</t>
  </si>
  <si>
    <t>14053.003.1019.951</t>
  </si>
  <si>
    <t>06-05-1962</t>
  </si>
  <si>
    <t>14053.001.1019.952</t>
  </si>
  <si>
    <t>25-01-1993</t>
  </si>
  <si>
    <t>14053.004.1019.953</t>
  </si>
  <si>
    <t>27-01-1992</t>
  </si>
  <si>
    <t>PUSKESMAS KABAT</t>
  </si>
  <si>
    <t>14053.003.1019.954</t>
  </si>
  <si>
    <t>04-08-1984</t>
  </si>
  <si>
    <t>14053.006.1019.956</t>
  </si>
  <si>
    <t>28-05-1974</t>
  </si>
  <si>
    <t>14053.003.1019.957</t>
  </si>
  <si>
    <t>29-04-1975</t>
  </si>
  <si>
    <t>PT UTOMODECK</t>
  </si>
  <si>
    <t>14053.006.1019.958</t>
  </si>
  <si>
    <t>30-12-1993</t>
  </si>
  <si>
    <t>UNGGAS</t>
  </si>
  <si>
    <t>14053.003.1019.959</t>
  </si>
  <si>
    <t>DRIVER DINAS KOPERASI UMKM</t>
  </si>
  <si>
    <t>14053.004.1019.960</t>
  </si>
  <si>
    <t>16-07-1978</t>
  </si>
  <si>
    <t xml:space="preserve">JUKIR DAN WAKER </t>
  </si>
  <si>
    <t xml:space="preserve">DISHUB </t>
  </si>
  <si>
    <t>14053.001.1019.961</t>
  </si>
  <si>
    <t>05-07-1983</t>
  </si>
  <si>
    <t>14053.001.1019.962</t>
  </si>
  <si>
    <t>26-09-1980</t>
  </si>
  <si>
    <t>14053.004.1019.963</t>
  </si>
  <si>
    <t>14053.001.1019.964</t>
  </si>
  <si>
    <t>14053.002.1019.965</t>
  </si>
  <si>
    <t>08-08-1995</t>
  </si>
  <si>
    <t>KSP RAJAWALI</t>
  </si>
  <si>
    <t>14053.001.1019.966</t>
  </si>
  <si>
    <t>15-03-1999</t>
  </si>
  <si>
    <t>HUMBLE FRIED CHICKEN</t>
  </si>
  <si>
    <t>14053.004.1019.967</t>
  </si>
  <si>
    <t>09-08-1980</t>
  </si>
  <si>
    <t xml:space="preserve">TOKO AYE </t>
  </si>
  <si>
    <t>14053.001.1019.968</t>
  </si>
  <si>
    <t>09-11-1998</t>
  </si>
  <si>
    <t>ANDI MOTOR BALANCE 5</t>
  </si>
  <si>
    <t>14053.001.1019.970</t>
  </si>
  <si>
    <t>28-10-1961</t>
  </si>
  <si>
    <t>14053.006.1019.971</t>
  </si>
  <si>
    <t>06-07-1975</t>
  </si>
  <si>
    <t>14053.003.1019.972</t>
  </si>
  <si>
    <t>KANTIN PONDOK DARUSSHOLAH</t>
  </si>
  <si>
    <t>14053.001.1019.973</t>
  </si>
  <si>
    <t>19-05-1977</t>
  </si>
  <si>
    <t>SUSI COLLECTION</t>
  </si>
  <si>
    <t>14053.001.1019.974</t>
  </si>
  <si>
    <t>09-02-1980</t>
  </si>
  <si>
    <t>SEKOLAH KRISTEN ALETHIA</t>
  </si>
  <si>
    <t>14053.004.1019.976</t>
  </si>
  <si>
    <t>13-03-1977</t>
  </si>
  <si>
    <t xml:space="preserve">SMPN 4 </t>
  </si>
  <si>
    <t>14053.004.1019.977</t>
  </si>
  <si>
    <t>14053.003.1019.978</t>
  </si>
  <si>
    <t>25-05-1960</t>
  </si>
  <si>
    <t>14053.004.1019.979</t>
  </si>
  <si>
    <t>14053.004.1019.980</t>
  </si>
  <si>
    <t>10-11-1983</t>
  </si>
  <si>
    <t xml:space="preserve">KEDAI BOOM </t>
  </si>
  <si>
    <t>14053.001.1019.981</t>
  </si>
  <si>
    <t>01-12-1993</t>
  </si>
  <si>
    <t>14053.002.1019.982</t>
  </si>
  <si>
    <t>15-03-1993</t>
  </si>
  <si>
    <t>AIRA AUDIO</t>
  </si>
  <si>
    <t>14053.003.1019.983</t>
  </si>
  <si>
    <t>25-06-1978</t>
  </si>
  <si>
    <t xml:space="preserve">CATERING </t>
  </si>
  <si>
    <t>14053.003.1019.984</t>
  </si>
  <si>
    <t>30-08-1964</t>
  </si>
  <si>
    <t>TOKO BAROKAH</t>
  </si>
  <si>
    <t>14053.001.1019.985</t>
  </si>
  <si>
    <t>03-04-2004</t>
  </si>
  <si>
    <t>CAFE DE BELLPEPPER</t>
  </si>
  <si>
    <t>14053.001.1019.986</t>
  </si>
  <si>
    <t>09-07-2003</t>
  </si>
  <si>
    <t>14053.001.1019.987</t>
  </si>
  <si>
    <t>11-04-2000</t>
  </si>
  <si>
    <t>14053.001.1019.988</t>
  </si>
  <si>
    <t>24-01-2000</t>
  </si>
  <si>
    <t>14053.001.1019.989</t>
  </si>
  <si>
    <t>14053.001.1019.990</t>
  </si>
  <si>
    <t>12-10-1994</t>
  </si>
  <si>
    <t>14053.001.1019.991</t>
  </si>
  <si>
    <t>07-09-1991</t>
  </si>
  <si>
    <t>14053.001.1019.992</t>
  </si>
  <si>
    <t>10-08-2006</t>
  </si>
  <si>
    <t>14053.001.1019.993</t>
  </si>
  <si>
    <t>15-08-1982</t>
  </si>
  <si>
    <t>14053.001.1019.994</t>
  </si>
  <si>
    <t>04-09-2004</t>
  </si>
  <si>
    <t>14053.003.1019.996</t>
  </si>
  <si>
    <t>15-01-2007</t>
  </si>
  <si>
    <t>SMAK SATYA CANDIKA</t>
  </si>
  <si>
    <t>14053.001.1019.997</t>
  </si>
  <si>
    <t>SD KEBRAON SURABAYA</t>
  </si>
  <si>
    <t>14053.001.1019.998</t>
  </si>
  <si>
    <t>KANTIN SDK MATER DEI PROBOLINGGO</t>
  </si>
  <si>
    <t>14053.001.1019.999</t>
  </si>
  <si>
    <t>07-06-2002</t>
  </si>
  <si>
    <t>FURNITURE</t>
  </si>
  <si>
    <t>PT. JAWA LILY FURNITURE</t>
  </si>
  <si>
    <t>14053.002.1020.000</t>
  </si>
  <si>
    <t>03-03-1984</t>
  </si>
  <si>
    <t>GURU P3K</t>
  </si>
  <si>
    <t>14053.001.1020.001</t>
  </si>
  <si>
    <t>17-11-1980</t>
  </si>
  <si>
    <t>14053.001.1020.002</t>
  </si>
  <si>
    <t>14-01-1994</t>
  </si>
  <si>
    <t>DEPOT NASI KARI 168</t>
  </si>
  <si>
    <t>14053.005.1020.003</t>
  </si>
  <si>
    <t>KULINER (KUE LUMPUR &amp; GABIN)</t>
  </si>
  <si>
    <t>14053.005.1020.005</t>
  </si>
  <si>
    <t>KULINER (BANDENG PRESTO)</t>
  </si>
  <si>
    <t>BANDENG PRESTO</t>
  </si>
  <si>
    <t>14053.004.1020.006</t>
  </si>
  <si>
    <t>22-05-1991</t>
  </si>
  <si>
    <t xml:space="preserve">PENJAHIT </t>
  </si>
  <si>
    <t>14053.001.1020.007</t>
  </si>
  <si>
    <t>14053.004.1020.008</t>
  </si>
  <si>
    <t>10-06-1968</t>
  </si>
  <si>
    <t>14053.001.1020.009</t>
  </si>
  <si>
    <t>FOOD AND BEVERAGE</t>
  </si>
  <si>
    <t>PT. LANGKAH JAYA</t>
  </si>
  <si>
    <t>14053.005.1020.010</t>
  </si>
  <si>
    <t>25-03-1975</t>
  </si>
  <si>
    <t>KULINER (KUE BASAH)</t>
  </si>
  <si>
    <t>14053.001.1020.011</t>
  </si>
  <si>
    <t>20-04-2006</t>
  </si>
  <si>
    <t>14053.007.1020.012</t>
  </si>
  <si>
    <t>14053.007.1020.013</t>
  </si>
  <si>
    <t>28-04-1981</t>
  </si>
  <si>
    <t>14053.007.1020.014</t>
  </si>
  <si>
    <t>14053.007.1020.015</t>
  </si>
  <si>
    <t>14053.007.1020.016</t>
  </si>
  <si>
    <t>30-11--0001</t>
  </si>
  <si>
    <t>14053.007.1020.018</t>
  </si>
  <si>
    <t>14053.007.1020.019</t>
  </si>
  <si>
    <t>20-08-1981</t>
  </si>
  <si>
    <t>14053.007.1020.020</t>
  </si>
  <si>
    <t>04-10-1982</t>
  </si>
  <si>
    <t>14053.007.1020.021</t>
  </si>
  <si>
    <t>14053.007.1020.022</t>
  </si>
  <si>
    <t>14053.007.1020.023</t>
  </si>
  <si>
    <t>14053.007.1020.024</t>
  </si>
  <si>
    <t>14053.007.1020.025</t>
  </si>
  <si>
    <t>17-10-1986</t>
  </si>
  <si>
    <t>14053.007.1020.026</t>
  </si>
  <si>
    <t>14053.007.1020.027</t>
  </si>
  <si>
    <t>14053.007.1020.028</t>
  </si>
  <si>
    <t>31-08-1967</t>
  </si>
  <si>
    <t>14053.007.1020.029</t>
  </si>
  <si>
    <t>14053.007.1020.030</t>
  </si>
  <si>
    <t>14053.007.1020.031</t>
  </si>
  <si>
    <t>14053.007.1020.032</t>
  </si>
  <si>
    <t>14053.007.1020.033</t>
  </si>
  <si>
    <t>14053.007.1020.034</t>
  </si>
  <si>
    <t>14053.007.1020.035</t>
  </si>
  <si>
    <t>23-05-1981</t>
  </si>
  <si>
    <t>14053.007.1020.036</t>
  </si>
  <si>
    <t>14-01-1972</t>
  </si>
  <si>
    <t>14053.007.1020.037</t>
  </si>
  <si>
    <t>14053.007.1020.038</t>
  </si>
  <si>
    <t>28-02-1980</t>
  </si>
  <si>
    <t>14053.007.1020.039</t>
  </si>
  <si>
    <t>14053.007.1020.040</t>
  </si>
  <si>
    <t>18-12-1976</t>
  </si>
  <si>
    <t>14053.007.1020.041</t>
  </si>
  <si>
    <t>14053.007.1020.042</t>
  </si>
  <si>
    <t>03-05-1984</t>
  </si>
  <si>
    <t>14053.007.1020.043</t>
  </si>
  <si>
    <t>09-09-1976</t>
  </si>
  <si>
    <t>14053.007.1020.044</t>
  </si>
  <si>
    <t>15-08-1986</t>
  </si>
  <si>
    <t>14053.007.1020.045</t>
  </si>
  <si>
    <t>14053.007.1020.046</t>
  </si>
  <si>
    <t>14053.007.1020.047</t>
  </si>
  <si>
    <t>10-10-1984</t>
  </si>
  <si>
    <t>14053.007.1020.048</t>
  </si>
  <si>
    <t>20-11-1981</t>
  </si>
  <si>
    <t>14053.007.1020.049</t>
  </si>
  <si>
    <t>01-12-1985</t>
  </si>
  <si>
    <t>14053.007.1020.050</t>
  </si>
  <si>
    <t>29-10-1981</t>
  </si>
  <si>
    <t>14053.007.1020.051</t>
  </si>
  <si>
    <t>14053.007.1020.052</t>
  </si>
  <si>
    <t>14053.007.1020.053</t>
  </si>
  <si>
    <t>25-02-1981</t>
  </si>
  <si>
    <t>14053.007.1020.054</t>
  </si>
  <si>
    <t>14053.007.1020.055</t>
  </si>
  <si>
    <t>08-02-1990</t>
  </si>
  <si>
    <t>14053.007.1020.057</t>
  </si>
  <si>
    <t>19-03-1985</t>
  </si>
  <si>
    <t>14053.007.1020.058</t>
  </si>
  <si>
    <t>30-10-1979</t>
  </si>
  <si>
    <t>14053.007.1020.059</t>
  </si>
  <si>
    <t>14053.007.1020.060</t>
  </si>
  <si>
    <t>17-11-1976</t>
  </si>
  <si>
    <t>14053.007.1020.061</t>
  </si>
  <si>
    <t>02-05-1978</t>
  </si>
  <si>
    <t>14053.007.1020.062</t>
  </si>
  <si>
    <t>30-11-1986</t>
  </si>
  <si>
    <t>14053.007.1020.063</t>
  </si>
  <si>
    <t>20-05-1982</t>
  </si>
  <si>
    <t>14053.007.1020.064</t>
  </si>
  <si>
    <t>18-08-1981</t>
  </si>
  <si>
    <t>14053.007.1020.065</t>
  </si>
  <si>
    <t>14053.007.1020.066</t>
  </si>
  <si>
    <t>20-10-1972</t>
  </si>
  <si>
    <t>14053.007.1020.067</t>
  </si>
  <si>
    <t>14053.007.1020.068</t>
  </si>
  <si>
    <t>14053.007.1020.069</t>
  </si>
  <si>
    <t>29-04-1979</t>
  </si>
  <si>
    <t>14053.007.1020.070</t>
  </si>
  <si>
    <t>07-02-1979</t>
  </si>
  <si>
    <t>14053.007.1020.071</t>
  </si>
  <si>
    <t>11-12-1987</t>
  </si>
  <si>
    <t>14053.007.1020.072</t>
  </si>
  <si>
    <t>20-05-1987</t>
  </si>
  <si>
    <t>14053.007.1020.073</t>
  </si>
  <si>
    <t>03-08-1975</t>
  </si>
  <si>
    <t>14053.007.1020.074</t>
  </si>
  <si>
    <t>19-10-1982</t>
  </si>
  <si>
    <t>14053.007.1020.075</t>
  </si>
  <si>
    <t>05-06-1983</t>
  </si>
  <si>
    <t>14053.007.1020.076</t>
  </si>
  <si>
    <t>03-10-1975</t>
  </si>
  <si>
    <t>14053.007.1020.077</t>
  </si>
  <si>
    <t>14-08-1984</t>
  </si>
  <si>
    <t>14053.007.1020.078</t>
  </si>
  <si>
    <t>14053.007.1020.079</t>
  </si>
  <si>
    <t>26-04-1986</t>
  </si>
  <si>
    <t>14053.007.1020.080</t>
  </si>
  <si>
    <t>14053.007.1020.081</t>
  </si>
  <si>
    <t>15-08-1983</t>
  </si>
  <si>
    <t>14053.007.1020.082</t>
  </si>
  <si>
    <t>14053.007.1020.083</t>
  </si>
  <si>
    <t>26-09-1985</t>
  </si>
  <si>
    <t>14053.007.1020.084</t>
  </si>
  <si>
    <t>14053.007.1020.085</t>
  </si>
  <si>
    <t>15-05-1978</t>
  </si>
  <si>
    <t>14053.007.1020.086</t>
  </si>
  <si>
    <t>14053.007.1020.087</t>
  </si>
  <si>
    <t>14053.007.1020.088</t>
  </si>
  <si>
    <t>16-03-1990</t>
  </si>
  <si>
    <t>14053.007.1020.089</t>
  </si>
  <si>
    <t>25-04-1974</t>
  </si>
  <si>
    <t>14053.007.1020.090</t>
  </si>
  <si>
    <t>08-03-1987</t>
  </si>
  <si>
    <t>14053.007.1020.091</t>
  </si>
  <si>
    <t>14053.007.1020.092</t>
  </si>
  <si>
    <t>02-10-1981</t>
  </si>
  <si>
    <t>14053.007.1020.093</t>
  </si>
  <si>
    <t>14053.007.1020.094</t>
  </si>
  <si>
    <t>14053.007.1020.095</t>
  </si>
  <si>
    <t>21-11-1973</t>
  </si>
  <si>
    <t>14053.007.1020.096</t>
  </si>
  <si>
    <t>14053.007.1020.097</t>
  </si>
  <si>
    <t>15-10-1979</t>
  </si>
  <si>
    <t>14053.007.1020.098</t>
  </si>
  <si>
    <t>14053.007.1020.099</t>
  </si>
  <si>
    <t>09-10-1962</t>
  </si>
  <si>
    <t>14053.007.1020.100</t>
  </si>
  <si>
    <t>28-11-1970</t>
  </si>
  <si>
    <t>14053.007.1020.101</t>
  </si>
  <si>
    <t>27-07-1979</t>
  </si>
  <si>
    <t>14053.007.1020.102</t>
  </si>
  <si>
    <t>18-11-1982</t>
  </si>
  <si>
    <t>14053.007.1020.103</t>
  </si>
  <si>
    <t>26-05-1978</t>
  </si>
  <si>
    <t>14053.007.1020.104</t>
  </si>
  <si>
    <t>14053.007.1020.105</t>
  </si>
  <si>
    <t>14053.007.1020.106</t>
  </si>
  <si>
    <t>14053.007.1020.107</t>
  </si>
  <si>
    <t>11-11-1985</t>
  </si>
  <si>
    <t>14053.007.1020.108</t>
  </si>
  <si>
    <t>14053.007.1020.109</t>
  </si>
  <si>
    <t>17-02-1984</t>
  </si>
  <si>
    <t>14053.007.1020.110</t>
  </si>
  <si>
    <t>28-05-1984</t>
  </si>
  <si>
    <t>14053.007.1020.111</t>
  </si>
  <si>
    <t>05-01-1978</t>
  </si>
  <si>
    <t>14053.007.1020.112</t>
  </si>
  <si>
    <t>16-10-1978</t>
  </si>
  <si>
    <t>14053.007.1020.113</t>
  </si>
  <si>
    <t>08-07-1986</t>
  </si>
  <si>
    <t>14053.007.1020.114</t>
  </si>
  <si>
    <t>02-09-1975</t>
  </si>
  <si>
    <t>14053.007.1020.115</t>
  </si>
  <si>
    <t>14053.007.1020.116</t>
  </si>
  <si>
    <t>14053.007.1020.117</t>
  </si>
  <si>
    <t>14053.007.1020.118</t>
  </si>
  <si>
    <t>19-12-1984</t>
  </si>
  <si>
    <t>14053.007.1020.119</t>
  </si>
  <si>
    <t>14053.007.1020.120</t>
  </si>
  <si>
    <t>14053.007.1020.121</t>
  </si>
  <si>
    <t>10-10-1982</t>
  </si>
  <si>
    <t>14053.007.1020.122</t>
  </si>
  <si>
    <t>14053.007.1020.123</t>
  </si>
  <si>
    <t>24-10-1979</t>
  </si>
  <si>
    <t>14053.007.1020.124</t>
  </si>
  <si>
    <t>22-10-1982</t>
  </si>
  <si>
    <t>14053.007.1020.125</t>
  </si>
  <si>
    <t>28-12-1983</t>
  </si>
  <si>
    <t>14053.007.1020.126</t>
  </si>
  <si>
    <t>14-12-1976</t>
  </si>
  <si>
    <t>14053.007.1020.127</t>
  </si>
  <si>
    <t>14053.007.1020.128</t>
  </si>
  <si>
    <t>21-10-1978</t>
  </si>
  <si>
    <t>14053.007.1020.129</t>
  </si>
  <si>
    <t>11-04-1979</t>
  </si>
  <si>
    <t>14053.007.1020.130</t>
  </si>
  <si>
    <t>02-06-1983</t>
  </si>
  <si>
    <t>14053.007.1020.131</t>
  </si>
  <si>
    <t>14053.007.1020.132</t>
  </si>
  <si>
    <t>08-04-1982</t>
  </si>
  <si>
    <t>14053.007.1020.133</t>
  </si>
  <si>
    <t>14053.007.1020.134</t>
  </si>
  <si>
    <t>07-12-1972</t>
  </si>
  <si>
    <t>14053.007.1020.135</t>
  </si>
  <si>
    <t>14053.007.1020.136</t>
  </si>
  <si>
    <t>04-12-1980</t>
  </si>
  <si>
    <t>14053.007.1020.137</t>
  </si>
  <si>
    <t>14053.007.1020.138</t>
  </si>
  <si>
    <t>05-10-1983</t>
  </si>
  <si>
    <t>14053.007.1020.139</t>
  </si>
  <si>
    <t>27-11-1984</t>
  </si>
  <si>
    <t>14053.007.1020.140</t>
  </si>
  <si>
    <t>06-01-1983</t>
  </si>
  <si>
    <t>14053.007.1020.141</t>
  </si>
  <si>
    <t>07-01-1981</t>
  </si>
  <si>
    <t>14053.007.1020.142</t>
  </si>
  <si>
    <t>14053.007.1020.143</t>
  </si>
  <si>
    <t>14053.007.1020.144</t>
  </si>
  <si>
    <t>07-12-1985</t>
  </si>
  <si>
    <t>14053.007.1020.145</t>
  </si>
  <si>
    <t>09-09-1985</t>
  </si>
  <si>
    <t>14053.007.1020.147</t>
  </si>
  <si>
    <t>09-08-1982</t>
  </si>
  <si>
    <t>14053.007.1020.148</t>
  </si>
  <si>
    <t>14053.007.1020.149</t>
  </si>
  <si>
    <t>14053.007.1020.150</t>
  </si>
  <si>
    <t>26-05-1988</t>
  </si>
  <si>
    <t>14053.007.1020.151</t>
  </si>
  <si>
    <t>14053.007.1020.152</t>
  </si>
  <si>
    <t>06-03-1987</t>
  </si>
  <si>
    <t>14053.007.1020.153</t>
  </si>
  <si>
    <t>07-01-1975</t>
  </si>
  <si>
    <t>14053.007.1020.154</t>
  </si>
  <si>
    <t>14053.007.1020.155</t>
  </si>
  <si>
    <t>14053.007.1020.156</t>
  </si>
  <si>
    <t>14053.007.1020.157</t>
  </si>
  <si>
    <t>14053.007.1020.158</t>
  </si>
  <si>
    <t>29-04-1978</t>
  </si>
  <si>
    <t>14053.007.1020.159</t>
  </si>
  <si>
    <t>08-11-1981</t>
  </si>
  <si>
    <t>14053.007.1020.160</t>
  </si>
  <si>
    <t>14053.007.1020.161</t>
  </si>
  <si>
    <t>14053.007.1020.162</t>
  </si>
  <si>
    <t>14053.007.1020.163</t>
  </si>
  <si>
    <t>06-05-1987</t>
  </si>
  <si>
    <t>14053.007.1020.164</t>
  </si>
  <si>
    <t>23-07-1980</t>
  </si>
  <si>
    <t>14053.007.1020.165</t>
  </si>
  <si>
    <t>14053.007.1020.166</t>
  </si>
  <si>
    <t>14053.007.1020.167</t>
  </si>
  <si>
    <t>14053.007.1020.168</t>
  </si>
  <si>
    <t>14053.007.1020.169</t>
  </si>
  <si>
    <t>07-08-1971</t>
  </si>
  <si>
    <t>14053.007.1020.170</t>
  </si>
  <si>
    <t>29-01-1985</t>
  </si>
  <si>
    <t>14053.007.1020.171</t>
  </si>
  <si>
    <t>24-07-1983</t>
  </si>
  <si>
    <t>14053.007.1020.172</t>
  </si>
  <si>
    <t>14053.007.1020.173</t>
  </si>
  <si>
    <t>14053.007.1020.174</t>
  </si>
  <si>
    <t>14053.007.1020.175</t>
  </si>
  <si>
    <t>14053.007.1020.176</t>
  </si>
  <si>
    <t>14053.007.1020.177</t>
  </si>
  <si>
    <t>14053.007.1020.178</t>
  </si>
  <si>
    <t>20-07-1981</t>
  </si>
  <si>
    <t>14053.007.1020.179</t>
  </si>
  <si>
    <t>10-08-1992</t>
  </si>
  <si>
    <t>14053.007.1020.180</t>
  </si>
  <si>
    <t>22-03-1976</t>
  </si>
  <si>
    <t>14053.007.1020.181</t>
  </si>
  <si>
    <t>21-09-1976</t>
  </si>
  <si>
    <t>14053.007.1020.182</t>
  </si>
  <si>
    <t>11-11-1982</t>
  </si>
  <si>
    <t>14053.007.1020.183</t>
  </si>
  <si>
    <t>14053.007.1020.184</t>
  </si>
  <si>
    <t>01-04-1994</t>
  </si>
  <si>
    <t>14053.007.1020.185</t>
  </si>
  <si>
    <t>12-01-1981</t>
  </si>
  <si>
    <t>14053.007.1020.186</t>
  </si>
  <si>
    <t>14053.007.1020.187</t>
  </si>
  <si>
    <t>15-01-1981</t>
  </si>
  <si>
    <t>14053.007.1020.188</t>
  </si>
  <si>
    <t>31-08-1976</t>
  </si>
  <si>
    <t>14053.007.1020.189</t>
  </si>
  <si>
    <t>14053.007.1020.190</t>
  </si>
  <si>
    <t>14053.007.1020.191</t>
  </si>
  <si>
    <t>14053.007.1020.192</t>
  </si>
  <si>
    <t>14053.007.1020.193</t>
  </si>
  <si>
    <t>01-02-1980</t>
  </si>
  <si>
    <t>14053.007.1020.194</t>
  </si>
  <si>
    <t>24-09-1988</t>
  </si>
  <si>
    <t>14053.007.1020.195</t>
  </si>
  <si>
    <t>14053.007.1020.196</t>
  </si>
  <si>
    <t>14053.007.1020.197</t>
  </si>
  <si>
    <t>14053.007.1020.198</t>
  </si>
  <si>
    <t>14053.001.1020.199</t>
  </si>
  <si>
    <t>14053.007.1020.200</t>
  </si>
  <si>
    <t>14053.006.1020.201</t>
  </si>
  <si>
    <t>14053.003.1020.202</t>
  </si>
  <si>
    <t>21-12-1969</t>
  </si>
  <si>
    <t>14053.001.1020.203</t>
  </si>
  <si>
    <t>07-01-1992</t>
  </si>
  <si>
    <t>KUMALA MODISTA</t>
  </si>
  <si>
    <t>14053.002.1020.204</t>
  </si>
  <si>
    <t>JUAL KUE</t>
  </si>
  <si>
    <t>14053.004.1020.206</t>
  </si>
  <si>
    <t>09-11-1967</t>
  </si>
  <si>
    <t>RENGGINANG</t>
  </si>
  <si>
    <t>14053.001.1020.207</t>
  </si>
  <si>
    <t>DAPUR MARMOYO</t>
  </si>
  <si>
    <t>14053.001.1020.208</t>
  </si>
  <si>
    <t>29-03-1985</t>
  </si>
  <si>
    <t>14053.002.1020.209</t>
  </si>
  <si>
    <t>12-02-1997</t>
  </si>
  <si>
    <t>14053.002.1020.210</t>
  </si>
  <si>
    <t>01-11-1983</t>
  </si>
  <si>
    <t>14053.001.1020.211</t>
  </si>
  <si>
    <t>03-03-1976</t>
  </si>
  <si>
    <t>DHENS MODESTE</t>
  </si>
  <si>
    <t>14053.007.1020.212</t>
  </si>
  <si>
    <t>25-04-1985</t>
  </si>
  <si>
    <t>SMPK MATER DEI PAMULANG</t>
  </si>
  <si>
    <t>14053.002.1020.213</t>
  </si>
  <si>
    <t>05-03-1969</t>
  </si>
  <si>
    <t>JUAL SANDAL</t>
  </si>
  <si>
    <t>14053.007.1020.214</t>
  </si>
  <si>
    <t>14053.001.1020.215</t>
  </si>
  <si>
    <t>14053.001.1020.216</t>
  </si>
  <si>
    <t>03-04-1982</t>
  </si>
  <si>
    <t>14053.003.1020.217</t>
  </si>
  <si>
    <t>GISAN SHOP</t>
  </si>
  <si>
    <t>14053.002.1020.218</t>
  </si>
  <si>
    <t>14053.004.1020.219</t>
  </si>
  <si>
    <t xml:space="preserve">PROPERTY </t>
  </si>
  <si>
    <t>14053.003.1020.220</t>
  </si>
  <si>
    <t>04-06-1973</t>
  </si>
  <si>
    <t>JOYBIZ</t>
  </si>
  <si>
    <t>PT JOYBIZ</t>
  </si>
  <si>
    <t>14053.003.1020.221</t>
  </si>
  <si>
    <t>14053.001.1020.222</t>
  </si>
  <si>
    <t>PT. ANINDYA</t>
  </si>
  <si>
    <t>14053.002.1020.223</t>
  </si>
  <si>
    <t>08-03-1991</t>
  </si>
  <si>
    <t>ULFI SHOP</t>
  </si>
  <si>
    <t>14053.002.1020.224</t>
  </si>
  <si>
    <t>14053.003.1020.226</t>
  </si>
  <si>
    <t>12-06-1968</t>
  </si>
  <si>
    <t>14053.007.1020.227</t>
  </si>
  <si>
    <t>12-02-1985</t>
  </si>
  <si>
    <t>14053.002.1020.228</t>
  </si>
  <si>
    <t>21-02-1974</t>
  </si>
  <si>
    <t>14053.001.1020.229</t>
  </si>
  <si>
    <t>28-01-1997</t>
  </si>
  <si>
    <t>GERAI ALAS RIMBA</t>
  </si>
  <si>
    <t>14053.007.1020.230</t>
  </si>
  <si>
    <t>03-07-1976</t>
  </si>
  <si>
    <t>14053.001.1020.231</t>
  </si>
  <si>
    <t>19-10-1980</t>
  </si>
  <si>
    <t>SDN PESISIR</t>
  </si>
  <si>
    <t>14053.002.1020.232</t>
  </si>
  <si>
    <t>19-08-1995</t>
  </si>
  <si>
    <t>14053.002.1020.233</t>
  </si>
  <si>
    <t>SDN NOGOSAREN 1</t>
  </si>
  <si>
    <t>14053.001.1020.234</t>
  </si>
  <si>
    <t>07-11-2004</t>
  </si>
  <si>
    <t xml:space="preserve">DAPUR MOVE ON </t>
  </si>
  <si>
    <t>14053.006.1020.235</t>
  </si>
  <si>
    <t>01-10-1960</t>
  </si>
  <si>
    <t>14053.001.1020.236</t>
  </si>
  <si>
    <t>11-11-2002</t>
  </si>
  <si>
    <t>14053.001.1020.237</t>
  </si>
  <si>
    <t>05-08-2003</t>
  </si>
  <si>
    <t>14053.001.1020.238</t>
  </si>
  <si>
    <t>21-03-1963</t>
  </si>
  <si>
    <t>14053.001.1020.240</t>
  </si>
  <si>
    <t>14-08-1971</t>
  </si>
  <si>
    <t>14053.001.1020.241</t>
  </si>
  <si>
    <t>14053.006.1020.242</t>
  </si>
  <si>
    <t>11-12-1995</t>
  </si>
  <si>
    <t>KLINIK ST.MARIA</t>
  </si>
  <si>
    <t>14053.004.1020.243</t>
  </si>
  <si>
    <t>01-01-1983</t>
  </si>
  <si>
    <t xml:space="preserve">GEDUNG WANITA </t>
  </si>
  <si>
    <t>14053.003.1020.244</t>
  </si>
  <si>
    <t>31-10-1961</t>
  </si>
  <si>
    <t>14053.003.1020.245</t>
  </si>
  <si>
    <t>01-10-1968</t>
  </si>
  <si>
    <t>WARUNG LAROS</t>
  </si>
  <si>
    <t>14053.002.1020.246</t>
  </si>
  <si>
    <t>29-06-1999</t>
  </si>
  <si>
    <t>PT SADHANA ARIF NUSA</t>
  </si>
  <si>
    <t>14053.001.1020.247</t>
  </si>
  <si>
    <t>08-10-2000</t>
  </si>
  <si>
    <t xml:space="preserve">TK IMANUEL SITUBONDO </t>
  </si>
  <si>
    <t>PT. ARIA</t>
  </si>
  <si>
    <t>14053.001.1020.249</t>
  </si>
  <si>
    <t>UPT LAPKESDA KAB. PROBOLINGGO</t>
  </si>
  <si>
    <t>14053.001.1020.250</t>
  </si>
  <si>
    <t xml:space="preserve">SMK 3 PROBOLINGGO </t>
  </si>
  <si>
    <t>14053.005.1020.251</t>
  </si>
  <si>
    <t>14053.001.1020.252</t>
  </si>
  <si>
    <t>PEYEK DAN ES DEGAN</t>
  </si>
  <si>
    <t>14053.001.1020.253</t>
  </si>
  <si>
    <t>05-05-2000</t>
  </si>
  <si>
    <t>DMO KULINER</t>
  </si>
  <si>
    <t>14053.003.1020.254</t>
  </si>
  <si>
    <t>DAPUR CANTIKA</t>
  </si>
  <si>
    <t>14053.002.1020.255</t>
  </si>
  <si>
    <t>14053.003.1020.256</t>
  </si>
  <si>
    <t>PAWON BENING</t>
  </si>
  <si>
    <t>14053.005.1020.257</t>
  </si>
  <si>
    <t>05-06-1966</t>
  </si>
  <si>
    <t>14053.001.1020.259</t>
  </si>
  <si>
    <t>29-10-1979</t>
  </si>
  <si>
    <t>DINAS PUPR KOTA PROBOLINGGO</t>
  </si>
  <si>
    <t>14053.001.1020.260</t>
  </si>
  <si>
    <t>05-02-1970</t>
  </si>
  <si>
    <t>KANTOR NOTARIS FENNY HERAWATI, SH</t>
  </si>
  <si>
    <t>14053.001.1020.261</t>
  </si>
  <si>
    <t>12-06-1979</t>
  </si>
  <si>
    <t>KEBUN TEBU</t>
  </si>
  <si>
    <t>14053.002.1020.262</t>
  </si>
  <si>
    <t>24-06-1983</t>
  </si>
  <si>
    <t>PRODUKSI KERUPUK SAMILER</t>
  </si>
  <si>
    <t>14053.004.1020.263</t>
  </si>
  <si>
    <t>30-06-1988</t>
  </si>
  <si>
    <t xml:space="preserve">WARKOP MBOK SITI </t>
  </si>
  <si>
    <t>14053.004.1020.265</t>
  </si>
  <si>
    <t>06-09-1996</t>
  </si>
  <si>
    <t>ES TEBU MBOK IKA</t>
  </si>
  <si>
    <t>14053.004.1020.266</t>
  </si>
  <si>
    <t>08-01-1988</t>
  </si>
  <si>
    <t xml:space="preserve">UD ARJUNA </t>
  </si>
  <si>
    <t>14053.001.1020.267</t>
  </si>
  <si>
    <t>14053.001.1020.268</t>
  </si>
  <si>
    <t>10-03-1997</t>
  </si>
  <si>
    <t>FREELANCE</t>
  </si>
  <si>
    <t>14053.003.1020.269</t>
  </si>
  <si>
    <t>JAGA KANTIN</t>
  </si>
  <si>
    <t>SMAN 3</t>
  </si>
  <si>
    <t>14053.002.1020.270</t>
  </si>
  <si>
    <t>08-10-1975</t>
  </si>
  <si>
    <t>TKO KAIN 56</t>
  </si>
  <si>
    <t>14053.003.1020.271</t>
  </si>
  <si>
    <t>PT JOY BUSINESS INTERNATIONAL</t>
  </si>
  <si>
    <t>14053.002.1020.272</t>
  </si>
  <si>
    <t>05-04-1996</t>
  </si>
  <si>
    <t>TOKO BAJU 055</t>
  </si>
  <si>
    <t>14053.001.1020.273</t>
  </si>
  <si>
    <t>DINAS PARIWISATA LUMAJANG</t>
  </si>
  <si>
    <t>14053.001.1020.275</t>
  </si>
  <si>
    <t>14053.006.1020.276</t>
  </si>
  <si>
    <t>04-01-1969</t>
  </si>
  <si>
    <t>WARUNG LOTEK MB PIPIK</t>
  </si>
  <si>
    <t>14053.001.1020.277</t>
  </si>
  <si>
    <t>22-06-1982</t>
  </si>
  <si>
    <t>14053.001.1020.278</t>
  </si>
  <si>
    <t>10-05-1963</t>
  </si>
  <si>
    <t>TRANSPORTASI OJEK</t>
  </si>
  <si>
    <t>14053.002.1020.279</t>
  </si>
  <si>
    <t>KERIPIK PISANG ENAK MBK ELIS</t>
  </si>
  <si>
    <t>14053.002.1020.280</t>
  </si>
  <si>
    <t>14053.004.1020.281</t>
  </si>
  <si>
    <t>11-03-1979</t>
  </si>
  <si>
    <t>14053.003.1020.282</t>
  </si>
  <si>
    <t>14053.001.1020.283</t>
  </si>
  <si>
    <t>07-02-1965</t>
  </si>
  <si>
    <t>GORENGAN WAHIDIN</t>
  </si>
  <si>
    <t>14053.003.1020.284</t>
  </si>
  <si>
    <t>14053.001.1020.286</t>
  </si>
  <si>
    <t>14-09-1970</t>
  </si>
  <si>
    <t>14053.001.1020.288</t>
  </si>
  <si>
    <t>05-07-2006</t>
  </si>
  <si>
    <t>14053.007.1020.289</t>
  </si>
  <si>
    <t>14053.001.1020.290</t>
  </si>
  <si>
    <t>BPS</t>
  </si>
  <si>
    <t xml:space="preserve">BADAN PUSAT STATISTIK </t>
  </si>
  <si>
    <t>14053.002.1020.291</t>
  </si>
  <si>
    <t>02-07-1989</t>
  </si>
  <si>
    <t>ASN PPPK</t>
  </si>
  <si>
    <t>SDN KEBONAGUNG 2</t>
  </si>
  <si>
    <t>14053.002.1020.292</t>
  </si>
  <si>
    <t>26-02-1966</t>
  </si>
  <si>
    <t>14053.005.1020.293</t>
  </si>
  <si>
    <t>08-04-1967</t>
  </si>
  <si>
    <t>14053.001.1020.295</t>
  </si>
  <si>
    <t>23-06-1994</t>
  </si>
  <si>
    <t xml:space="preserve">YAMAHA SIP </t>
  </si>
  <si>
    <t>14053.001.1020.296</t>
  </si>
  <si>
    <t>TK ANANDA 1</t>
  </si>
  <si>
    <t>14053.001.1020.297</t>
  </si>
  <si>
    <t>14053.001.1020.298</t>
  </si>
  <si>
    <t>14053.003.1020.299</t>
  </si>
  <si>
    <t>09-01-1996</t>
  </si>
  <si>
    <t>14053.004.1020.300</t>
  </si>
  <si>
    <t>04-12-1985</t>
  </si>
  <si>
    <t>KEDAI REFFIANDA</t>
  </si>
  <si>
    <t>14053.004.1020.301</t>
  </si>
  <si>
    <t>23-01-1979</t>
  </si>
  <si>
    <t>KEDAI DINY YUMMY</t>
  </si>
  <si>
    <t>14053.001.1020.302</t>
  </si>
  <si>
    <t>14053.001.1020.303</t>
  </si>
  <si>
    <t>18-11-1996</t>
  </si>
  <si>
    <t>14053.001.1020.304</t>
  </si>
  <si>
    <t>14053.001.1020.305</t>
  </si>
  <si>
    <t>14053.001.1020.306</t>
  </si>
  <si>
    <t>12-09-1964</t>
  </si>
  <si>
    <t xml:space="preserve">MABLE </t>
  </si>
  <si>
    <t xml:space="preserve">HOME INDUSTRI </t>
  </si>
  <si>
    <t>14053.004.1020.308</t>
  </si>
  <si>
    <t>07-10-1974</t>
  </si>
  <si>
    <t>BABY SHOP</t>
  </si>
  <si>
    <t>14053.005.1020.309</t>
  </si>
  <si>
    <t>14053.004.1020.310</t>
  </si>
  <si>
    <t>11-04-2003</t>
  </si>
  <si>
    <t>14053.006.1020.311</t>
  </si>
  <si>
    <t>14053.001.1020.312</t>
  </si>
  <si>
    <t>23-08-1958</t>
  </si>
  <si>
    <t>FOTOGRAFI</t>
  </si>
  <si>
    <t>14053.001.1020.313</t>
  </si>
  <si>
    <t>USAHA KUE DAN ORIFLAME</t>
  </si>
  <si>
    <t>14053.003.1020.314</t>
  </si>
  <si>
    <t>16-04-1992</t>
  </si>
  <si>
    <t>14053.002.1020.315</t>
  </si>
  <si>
    <t>JUAL BAJU SANDAL DAN TAS</t>
  </si>
  <si>
    <t>HILMYKDS</t>
  </si>
  <si>
    <t>14053.001.1020.316</t>
  </si>
  <si>
    <t>15-02-2005</t>
  </si>
  <si>
    <t xml:space="preserve">PNM </t>
  </si>
  <si>
    <t>14053.002.1020.317</t>
  </si>
  <si>
    <t>16-08-1985</t>
  </si>
  <si>
    <t xml:space="preserve">PT SAMPOERNA </t>
  </si>
  <si>
    <t>14053.004.1020.319</t>
  </si>
  <si>
    <t>26-11-1978</t>
  </si>
  <si>
    <t>WIKLERSADIK KEC BWI</t>
  </si>
  <si>
    <t>14053.001.1020.320</t>
  </si>
  <si>
    <t>25-05-1984</t>
  </si>
  <si>
    <t xml:space="preserve">SEMINARI MARIANUM </t>
  </si>
  <si>
    <t>14053.004.1020.321</t>
  </si>
  <si>
    <t>PT NESTLE</t>
  </si>
  <si>
    <t>14053.002.1020.322</t>
  </si>
  <si>
    <t>14053.001.1020.323</t>
  </si>
  <si>
    <t>TK TAMAN INDRIA 1</t>
  </si>
  <si>
    <t>14053.003.1020.324</t>
  </si>
  <si>
    <t>23-02-1972</t>
  </si>
  <si>
    <t>14053.006.1020.325</t>
  </si>
  <si>
    <t>14053.006.1020.326</t>
  </si>
  <si>
    <t>18-01-1972</t>
  </si>
  <si>
    <t>14053.005.1020.327</t>
  </si>
  <si>
    <t>30-05-1981</t>
  </si>
  <si>
    <t>KULINER WARKOP</t>
  </si>
  <si>
    <t>14053.001.1020.328</t>
  </si>
  <si>
    <t>14053.006.1020.329</t>
  </si>
  <si>
    <t>14053.002.1020.330</t>
  </si>
  <si>
    <t>19-06-1992</t>
  </si>
  <si>
    <t>14053.006.1020.331</t>
  </si>
  <si>
    <t>05-03-1981</t>
  </si>
  <si>
    <t>14053.001.1020.332</t>
  </si>
  <si>
    <t>25-12-1998</t>
  </si>
  <si>
    <t>BJBR</t>
  </si>
  <si>
    <t>14053.001.1020.333</t>
  </si>
  <si>
    <t>26-02-2005</t>
  </si>
  <si>
    <t xml:space="preserve">BJBR </t>
  </si>
  <si>
    <t>14053.001.1020.334</t>
  </si>
  <si>
    <t>22-09-1994</t>
  </si>
  <si>
    <t>SINGLESHOOT ID</t>
  </si>
  <si>
    <t>14053.002.1020.335</t>
  </si>
  <si>
    <t>14053.004.1020.336</t>
  </si>
  <si>
    <t>17-08-1989</t>
  </si>
  <si>
    <t>PABRIK BIBIT UDANG</t>
  </si>
  <si>
    <t>PT STP HC BANYUWANGI</t>
  </si>
  <si>
    <t>14053.002.1020.337</t>
  </si>
  <si>
    <t>14053.003.1020.338</t>
  </si>
  <si>
    <t>10-01-1990</t>
  </si>
  <si>
    <t>14053.005.1020.339</t>
  </si>
  <si>
    <t>14053.005.1020.340</t>
  </si>
  <si>
    <t>14053.002.1020.341</t>
  </si>
  <si>
    <t>SLB DHARMA ASIH</t>
  </si>
  <si>
    <t>14053.002.1020.342</t>
  </si>
  <si>
    <t>14053.003.1020.343</t>
  </si>
  <si>
    <t>14053.001.1020.344</t>
  </si>
  <si>
    <t>25-08-1987</t>
  </si>
  <si>
    <t>JD DONAT</t>
  </si>
  <si>
    <t>14053.001.1020.345</t>
  </si>
  <si>
    <t>CATERING MERISHA</t>
  </si>
  <si>
    <t>14053.003.1020.346</t>
  </si>
  <si>
    <t>14053.004.1020.347</t>
  </si>
  <si>
    <t>14053.004.1020.348</t>
  </si>
  <si>
    <t>16-05-2007</t>
  </si>
  <si>
    <t>14053.001.1020.349</t>
  </si>
  <si>
    <t>14053.006.1020.350</t>
  </si>
  <si>
    <t>SDK ST. MARIA SAWANGAN</t>
  </si>
  <si>
    <t>14053.001.1020.351</t>
  </si>
  <si>
    <t>27-12-1962</t>
  </si>
  <si>
    <t xml:space="preserve">LESTARI </t>
  </si>
  <si>
    <t>14053.001.1020.352</t>
  </si>
  <si>
    <t>23-06-1993</t>
  </si>
  <si>
    <t xml:space="preserve">PT ANGSARIA INDAH ABADI </t>
  </si>
  <si>
    <t>14053.003.1020.353</t>
  </si>
  <si>
    <t>14053.003.1020.355</t>
  </si>
  <si>
    <t>19-07-1998</t>
  </si>
  <si>
    <t>14053.003.1020.356</t>
  </si>
  <si>
    <t>29-01-1999</t>
  </si>
  <si>
    <t>14053.001.1020.357</t>
  </si>
  <si>
    <t>27-05-2001</t>
  </si>
  <si>
    <t>BUDIDAYA JAMUR</t>
  </si>
  <si>
    <t xml:space="preserve">BIARAWATI SPM </t>
  </si>
  <si>
    <t>14053.004.1020.358</t>
  </si>
  <si>
    <t>31-05-2000</t>
  </si>
  <si>
    <t>GURU OLAHRAGA</t>
  </si>
  <si>
    <t>14053.004.1020.359</t>
  </si>
  <si>
    <t>07-05-2006</t>
  </si>
  <si>
    <t>14053.001.1020.360</t>
  </si>
  <si>
    <t>03-01-1995</t>
  </si>
  <si>
    <t xml:space="preserve">KEAGAMAAN </t>
  </si>
  <si>
    <t xml:space="preserve">GBI SYALOM PROBOLINGGO </t>
  </si>
  <si>
    <t>14053.001.1020.362</t>
  </si>
  <si>
    <t>16-12-1972</t>
  </si>
  <si>
    <t xml:space="preserve">WARUNG KOPI MARAMIS </t>
  </si>
  <si>
    <t>14053.002.1020.363</t>
  </si>
  <si>
    <t>18-10-2002</t>
  </si>
  <si>
    <t>PARKIR MOTOR</t>
  </si>
  <si>
    <t>14053.003.1020.365</t>
  </si>
  <si>
    <t>14053.002.1020.366</t>
  </si>
  <si>
    <t>14053.003.1020.367</t>
  </si>
  <si>
    <t>14053.001.1020.368</t>
  </si>
  <si>
    <t>13-11-2003</t>
  </si>
  <si>
    <t xml:space="preserve">UNIVERSITAS BINUS </t>
  </si>
  <si>
    <t>14053.001.1020.369</t>
  </si>
  <si>
    <t xml:space="preserve">TOKO LESTAR </t>
  </si>
  <si>
    <t>14053.001.1020.370</t>
  </si>
  <si>
    <t>14053.001.1020.371</t>
  </si>
  <si>
    <t xml:space="preserve">WARUNG GATSU POJOK </t>
  </si>
  <si>
    <t>14053.001.1020.372</t>
  </si>
  <si>
    <t xml:space="preserve">TOUR WISATA </t>
  </si>
  <si>
    <t>BROMO AGENCY (PESONA ASIA)</t>
  </si>
  <si>
    <t>14053.002.1020.373</t>
  </si>
  <si>
    <t>TOKO BU MADE</t>
  </si>
  <si>
    <t>14053.001.1020.374</t>
  </si>
  <si>
    <t>21-12-1988</t>
  </si>
  <si>
    <t>BIDAN RSUD AR ROZY</t>
  </si>
  <si>
    <t>14053.005.1020.375</t>
  </si>
  <si>
    <t>14-05-1996</t>
  </si>
  <si>
    <t>14053.001.1020.376</t>
  </si>
  <si>
    <t>KANTOR NOTARIS DAN PPAT</t>
  </si>
  <si>
    <t>14053.001.1020.377</t>
  </si>
  <si>
    <t>26-06-1997</t>
  </si>
  <si>
    <t>14053.003.1020.378</t>
  </si>
  <si>
    <t>14053.003.1020.379</t>
  </si>
  <si>
    <t>09-01-1994</t>
  </si>
  <si>
    <t>SD KALISAT</t>
  </si>
  <si>
    <t>14053.002.1020.380</t>
  </si>
  <si>
    <t>30-11-1983</t>
  </si>
  <si>
    <t>UNHASA</t>
  </si>
  <si>
    <t>14053.006.1020.381</t>
  </si>
  <si>
    <t>14053.004.1020.382</t>
  </si>
  <si>
    <t>11-06-2007</t>
  </si>
  <si>
    <t>14053.001.1020.383</t>
  </si>
  <si>
    <t>14053.006.1020.384</t>
  </si>
  <si>
    <t>07-06-1997</t>
  </si>
  <si>
    <t>14053.001.1020.387</t>
  </si>
  <si>
    <t>14053.003.1020.388</t>
  </si>
  <si>
    <t>14053.003.1020.389</t>
  </si>
  <si>
    <t>08-11-1971</t>
  </si>
  <si>
    <t>PIA YUKABLE</t>
  </si>
  <si>
    <t>14053.004.1020.390</t>
  </si>
  <si>
    <t>UNTAQ</t>
  </si>
  <si>
    <t>14053.003.1020.391</t>
  </si>
  <si>
    <t>14-04-1985</t>
  </si>
  <si>
    <t>14053.004.1020.393</t>
  </si>
  <si>
    <t>08-01-1978</t>
  </si>
  <si>
    <t>KEDAI ES ANIDA</t>
  </si>
  <si>
    <t>14053.004.1020.394</t>
  </si>
  <si>
    <t>30-07-1966</t>
  </si>
  <si>
    <t>WARUNG MAK SRI</t>
  </si>
  <si>
    <t>14053.004.1020.396</t>
  </si>
  <si>
    <t>06-08-1994</t>
  </si>
  <si>
    <t>dagang baju</t>
  </si>
  <si>
    <t>14053.004.1020.397</t>
  </si>
  <si>
    <t>24-03-2004</t>
  </si>
  <si>
    <t>live shop</t>
  </si>
  <si>
    <t>14053.001.1020.398</t>
  </si>
  <si>
    <t xml:space="preserve">COCO KERAMIK </t>
  </si>
  <si>
    <t>14053.003.1020.399</t>
  </si>
  <si>
    <t>29-06-1980</t>
  </si>
  <si>
    <t>14053.006.1020.400</t>
  </si>
  <si>
    <t>13-09-1981</t>
  </si>
  <si>
    <t>SAYURAN / PANGAN</t>
  </si>
  <si>
    <t>14053.006.1020.401</t>
  </si>
  <si>
    <t>14053.001.1020.402</t>
  </si>
  <si>
    <t xml:space="preserve">KULINER </t>
  </si>
  <si>
    <t>LILY CATERING</t>
  </si>
  <si>
    <t>14053.004.1020.403</t>
  </si>
  <si>
    <t>17-07-1983</t>
  </si>
  <si>
    <t>TOKO KECANTIKAN</t>
  </si>
  <si>
    <t>14053.004.1020.404</t>
  </si>
  <si>
    <t>09-07-1996</t>
  </si>
  <si>
    <t>BETERSDORF INDONESIA</t>
  </si>
  <si>
    <t>14053.002.1020.405</t>
  </si>
  <si>
    <t>14053.001.1020.406</t>
  </si>
  <si>
    <t>01-07-1977</t>
  </si>
  <si>
    <t>14053.001.1020.407</t>
  </si>
  <si>
    <t>07-08-1980</t>
  </si>
  <si>
    <t>POSBAKUMADIN PROBOLINGGO</t>
  </si>
  <si>
    <t>14053.003.1020.408</t>
  </si>
  <si>
    <t>15-04-1987</t>
  </si>
  <si>
    <t>14053.001.1020.409</t>
  </si>
  <si>
    <t>23-09-1988</t>
  </si>
  <si>
    <t>14053.002.1020.411</t>
  </si>
  <si>
    <t>15-01-2005</t>
  </si>
  <si>
    <t>14053.001.1020.412</t>
  </si>
  <si>
    <t>14053.004.1020.413</t>
  </si>
  <si>
    <t>22-11-1998</t>
  </si>
  <si>
    <t>14053.001.1020.414</t>
  </si>
  <si>
    <t>14053.001.1020.415</t>
  </si>
  <si>
    <t>12-06-1971</t>
  </si>
  <si>
    <t>TK TUNAS HARAPAN</t>
  </si>
  <si>
    <t>14053.001.1020.416</t>
  </si>
  <si>
    <t>14-08-1989</t>
  </si>
  <si>
    <t>GEPREK VIDA</t>
  </si>
  <si>
    <t>14053.001.1020.417</t>
  </si>
  <si>
    <t>01-07-1990</t>
  </si>
  <si>
    <t>BATAGOR &amp; ES TEBU</t>
  </si>
  <si>
    <t>14053.001.1020.420</t>
  </si>
  <si>
    <t>REZA LAUNDRY</t>
  </si>
  <si>
    <t>14053.001.1020.422</t>
  </si>
  <si>
    <t>27-07-2005</t>
  </si>
  <si>
    <t>14053.001.1020.423</t>
  </si>
  <si>
    <t>04-02-2000</t>
  </si>
  <si>
    <t>14053.001.1020.424</t>
  </si>
  <si>
    <t>26-01-1983</t>
  </si>
  <si>
    <t>USAHA JUALAN DIKANTIN</t>
  </si>
  <si>
    <t>14053.004.1020.425</t>
  </si>
  <si>
    <t>27-05-2008</t>
  </si>
  <si>
    <t>14053.004.1020.426</t>
  </si>
  <si>
    <t>12-08-2003</t>
  </si>
  <si>
    <t>RS YASMIN</t>
  </si>
  <si>
    <t>14053.003.1020.427</t>
  </si>
  <si>
    <t>15-08-1990</t>
  </si>
  <si>
    <t>TEMBAKAU</t>
  </si>
  <si>
    <t>PT VILLIGER TOBACCO INDONESIA</t>
  </si>
  <si>
    <t>14053.004.1020.428</t>
  </si>
  <si>
    <t>23-05-1995</t>
  </si>
  <si>
    <t>SAMSAT BANYUWANGI</t>
  </si>
  <si>
    <t>14053.004.1020.429</t>
  </si>
  <si>
    <t>01-05-1968</t>
  </si>
  <si>
    <t>WARUNG KOPI UGRIK</t>
  </si>
  <si>
    <t>14053.004.1020.430</t>
  </si>
  <si>
    <t>04-10-2005</t>
  </si>
  <si>
    <t>POM BENSIN PLN</t>
  </si>
  <si>
    <t>14053.001.1020.431</t>
  </si>
  <si>
    <t>13-12-1977</t>
  </si>
  <si>
    <t>14053.001.1020.432</t>
  </si>
  <si>
    <t>22-05-1993</t>
  </si>
  <si>
    <t>SDN RESONGO 6 KAB PROB</t>
  </si>
  <si>
    <t>14053.001.1020.433</t>
  </si>
  <si>
    <t>15-01-1996</t>
  </si>
  <si>
    <t>PT SARANABHAKTI TIMUR</t>
  </si>
  <si>
    <t>14053.002.1020.434</t>
  </si>
  <si>
    <t>27-03-2002</t>
  </si>
  <si>
    <t>14053.004.1020.435</t>
  </si>
  <si>
    <t>PEDAGANG NASI GORENG</t>
  </si>
  <si>
    <t>14053.004.1020.436</t>
  </si>
  <si>
    <t>29-11-1997</t>
  </si>
  <si>
    <t>14053.004.1020.437</t>
  </si>
  <si>
    <t>18-11-2004</t>
  </si>
  <si>
    <t xml:space="preserve">PELAYARAN TUNA </t>
  </si>
  <si>
    <t>14053.002.1020.438</t>
  </si>
  <si>
    <t>08-06-2006</t>
  </si>
  <si>
    <t>14053.003.1020.439</t>
  </si>
  <si>
    <t>20-05-2000</t>
  </si>
  <si>
    <t>14053.004.1020.440</t>
  </si>
  <si>
    <t>08-06-1965</t>
  </si>
  <si>
    <t>WARUNG PAK PANUT</t>
  </si>
  <si>
    <t>14053.001.1020.441</t>
  </si>
  <si>
    <t>10-08-2004</t>
  </si>
  <si>
    <t>14053.001.1020.442</t>
  </si>
  <si>
    <t>RONDE &amp; MIE PANGSIT</t>
  </si>
  <si>
    <t>14053.006.1020.443</t>
  </si>
  <si>
    <t>26-08-1955</t>
  </si>
  <si>
    <t>14053.006.1020.444</t>
  </si>
  <si>
    <t>14053.001.1020.445</t>
  </si>
  <si>
    <t>02-10-1990</t>
  </si>
  <si>
    <t>TOKO PECAH BELAH KEDAUNG</t>
  </si>
  <si>
    <t>14053.003.1020.446</t>
  </si>
  <si>
    <t>SILOAM HOSPITAL</t>
  </si>
  <si>
    <t>14053.004.1020.447</t>
  </si>
  <si>
    <t>14053.001.1020.449</t>
  </si>
  <si>
    <t>SDN KEBONSARI WETAN 1</t>
  </si>
  <si>
    <t>14053.004.1020.450</t>
  </si>
  <si>
    <t>02-06-1982</t>
  </si>
  <si>
    <t>WARUNG ALENGKA</t>
  </si>
  <si>
    <t>14053.004.1020.451</t>
  </si>
  <si>
    <t>14-02-1989</t>
  </si>
  <si>
    <t>WARUNG ES DEGAN</t>
  </si>
  <si>
    <t>14053.001.1020.452</t>
  </si>
  <si>
    <t>24-07-1972</t>
  </si>
  <si>
    <t>14053.001.1020.453</t>
  </si>
  <si>
    <t>22-10-2000</t>
  </si>
  <si>
    <t xml:space="preserve">KUSUMA KITCHEN </t>
  </si>
  <si>
    <t>14053.001.1020.454</t>
  </si>
  <si>
    <t>23-04-1976</t>
  </si>
  <si>
    <t>14053.006.1020.455</t>
  </si>
  <si>
    <t>14053.006.1020.456</t>
  </si>
  <si>
    <t>14053.002.1020.457</t>
  </si>
  <si>
    <t>PT SADHANA (SAN)</t>
  </si>
  <si>
    <t>14053.003.1020.458</t>
  </si>
  <si>
    <t>28-03-1986</t>
  </si>
  <si>
    <t>14053.002.1020.459</t>
  </si>
  <si>
    <t>14053.002.1020.460</t>
  </si>
  <si>
    <t>APOTEK RAJAWALI</t>
  </si>
  <si>
    <t>14053.001.1020.461</t>
  </si>
  <si>
    <t>14-03-1993</t>
  </si>
  <si>
    <t xml:space="preserve">ANTAR JEMPUT </t>
  </si>
  <si>
    <t>14053.005.1020.462</t>
  </si>
  <si>
    <t>06-07-1992</t>
  </si>
  <si>
    <t>KULINER KUE BASAH DAN MIE AYAM</t>
  </si>
  <si>
    <t>14053.001.1020.463</t>
  </si>
  <si>
    <t>04-12-1988</t>
  </si>
  <si>
    <t xml:space="preserve">BANK MANDIRI </t>
  </si>
  <si>
    <t>14053.003.1020.464</t>
  </si>
  <si>
    <t>18-03-1991</t>
  </si>
  <si>
    <t>TERAS 51</t>
  </si>
  <si>
    <t>14053.003.1020.465</t>
  </si>
  <si>
    <t>14053.004.1020.467</t>
  </si>
  <si>
    <t>21-08-1988</t>
  </si>
  <si>
    <t>PENGEBORAN</t>
  </si>
  <si>
    <t>KanZwa bor</t>
  </si>
  <si>
    <t>14053.006.1020.468</t>
  </si>
  <si>
    <t>16-01-1981</t>
  </si>
  <si>
    <t>KENDARAAN</t>
  </si>
  <si>
    <t>SUMBER BARU MOBIL</t>
  </si>
  <si>
    <t>14053.001.1020.469</t>
  </si>
  <si>
    <t>28-08-1982</t>
  </si>
  <si>
    <t>PEMBANGKIT LISTRIK</t>
  </si>
  <si>
    <t>PT YTL JATIM</t>
  </si>
  <si>
    <t>14053.002.1020.470</t>
  </si>
  <si>
    <t>23-11-1976</t>
  </si>
  <si>
    <t>PT SURYA PUTERA EKA K</t>
  </si>
  <si>
    <t>14053.001.1020.471</t>
  </si>
  <si>
    <t>11-11-1992</t>
  </si>
  <si>
    <t>14053.002.1020.472</t>
  </si>
  <si>
    <t>12-03-1993</t>
  </si>
  <si>
    <t>14053.002.1020.473</t>
  </si>
  <si>
    <t>04-01-1979</t>
  </si>
  <si>
    <t>KEMENAG</t>
  </si>
  <si>
    <t>14053.001.1020.474</t>
  </si>
  <si>
    <t>27-06-2003</t>
  </si>
  <si>
    <t>14053.002.1020.475</t>
  </si>
  <si>
    <t>29-12-2002</t>
  </si>
  <si>
    <t>TOKO NOVA</t>
  </si>
  <si>
    <t>14053.003.1020.476</t>
  </si>
  <si>
    <t>SHEZA GAZALA</t>
  </si>
  <si>
    <t>14053.001.1020.477</t>
  </si>
  <si>
    <t>PT CIMORY CISARUA</t>
  </si>
  <si>
    <t>14053.001.1020.478</t>
  </si>
  <si>
    <t>29-05-1970</t>
  </si>
  <si>
    <t>14053.004.1020.479</t>
  </si>
  <si>
    <t>11-05-1977</t>
  </si>
  <si>
    <t>UNIBA</t>
  </si>
  <si>
    <t>14053.004.1020.480</t>
  </si>
  <si>
    <t>23-08-1979</t>
  </si>
  <si>
    <t>SPONS CAKE</t>
  </si>
  <si>
    <t>14053.001.1020.481</t>
  </si>
  <si>
    <t>10-01-1989</t>
  </si>
  <si>
    <t>PT INDHOPERIN JAYA</t>
  </si>
  <si>
    <t>14053.003.1020.482</t>
  </si>
  <si>
    <t>20-08-1959</t>
  </si>
  <si>
    <t>14053.001.1020.483</t>
  </si>
  <si>
    <t>14053.001.1020.484</t>
  </si>
  <si>
    <t>14053.001.1020.485</t>
  </si>
  <si>
    <t>06-12-2001</t>
  </si>
  <si>
    <t xml:space="preserve">JUAL SAYURAN </t>
  </si>
  <si>
    <t>14053.005.1020.486</t>
  </si>
  <si>
    <t>HOGS COFFE</t>
  </si>
  <si>
    <t>14053.002.1020.487</t>
  </si>
  <si>
    <t>14053.002.1020.488</t>
  </si>
  <si>
    <t>14053.006.1020.490</t>
  </si>
  <si>
    <t>26-12-1978</t>
  </si>
  <si>
    <t>14053.004.1020.491</t>
  </si>
  <si>
    <t>14053.003.1020.492</t>
  </si>
  <si>
    <t>11-10-1998</t>
  </si>
  <si>
    <t>EXTERNAL BANK</t>
  </si>
  <si>
    <t>14053.002.1020.493</t>
  </si>
  <si>
    <t>22-01-1993</t>
  </si>
  <si>
    <t>14053.001.1020.495</t>
  </si>
  <si>
    <t>14053.005.1020.496</t>
  </si>
  <si>
    <t>07-03-1966</t>
  </si>
  <si>
    <t>14053.001.1020.497</t>
  </si>
  <si>
    <t>04-02-1987</t>
  </si>
  <si>
    <t>TKW</t>
  </si>
  <si>
    <t>14053.001.1020.498</t>
  </si>
  <si>
    <t>14053.002.1020.499</t>
  </si>
  <si>
    <t>02-05-2000</t>
  </si>
  <si>
    <t>14053.001.1020.500</t>
  </si>
  <si>
    <t>02-02-1999</t>
  </si>
  <si>
    <t xml:space="preserve">SUMBER ALFARIA TRIJAYA </t>
  </si>
  <si>
    <t>14053.001.1020.502</t>
  </si>
  <si>
    <t>14053.003.1020.503</t>
  </si>
  <si>
    <t>18-08-1988</t>
  </si>
  <si>
    <t>14053.003.1020.504</t>
  </si>
  <si>
    <t>PT ALVA CAHAYA RAYA</t>
  </si>
  <si>
    <t>14053.006.1020.505</t>
  </si>
  <si>
    <t>05-05-2006</t>
  </si>
  <si>
    <t>14053.006.1020.506</t>
  </si>
  <si>
    <t>08-11-2003</t>
  </si>
  <si>
    <t>14053.001.1020.507</t>
  </si>
  <si>
    <t>14053.001.1020.508</t>
  </si>
  <si>
    <t>05-11-1967</t>
  </si>
  <si>
    <t>14053.001.1020.509</t>
  </si>
  <si>
    <t>12-05-2000</t>
  </si>
  <si>
    <t>14053.001.1020.510</t>
  </si>
  <si>
    <t>14053.001.1020.511</t>
  </si>
  <si>
    <t>10-05-1982</t>
  </si>
  <si>
    <t>EFB BHASA INGGRIS</t>
  </si>
  <si>
    <t>14053.003.1020.512</t>
  </si>
  <si>
    <t>26-11-1985</t>
  </si>
  <si>
    <t>14053.005.1020.513</t>
  </si>
  <si>
    <t>08-06-1981</t>
  </si>
  <si>
    <t>RIVER CRUISE HOTEL HOSPITALITY</t>
  </si>
  <si>
    <t>14053.006.1020.515</t>
  </si>
  <si>
    <t>01-11-1965</t>
  </si>
  <si>
    <t>14053.002.1020.516</t>
  </si>
  <si>
    <t>14053.006.1020.517</t>
  </si>
  <si>
    <t>23-08-1975</t>
  </si>
  <si>
    <t>14053.002.1020.518</t>
  </si>
  <si>
    <t>10-07-1978</t>
  </si>
  <si>
    <t>KABAG</t>
  </si>
  <si>
    <t>14053.002.1020.519</t>
  </si>
  <si>
    <t>30-10-1978</t>
  </si>
  <si>
    <t>14053.002.1020.520</t>
  </si>
  <si>
    <t>01-07-1986</t>
  </si>
  <si>
    <t>14053.002.1020.521</t>
  </si>
  <si>
    <t>14053.002.1020.522</t>
  </si>
  <si>
    <t>14053.001.1020.523</t>
  </si>
  <si>
    <t>14053.004.1020.524</t>
  </si>
  <si>
    <t>30-06-1952</t>
  </si>
  <si>
    <t>14053.001.1020.525</t>
  </si>
  <si>
    <t>30-05-1993</t>
  </si>
  <si>
    <t>ANGGITA ALL SHOP</t>
  </si>
  <si>
    <t>14053.002.1020.526</t>
  </si>
  <si>
    <t>12-09-1993</t>
  </si>
  <si>
    <t>14053.004.1020.527</t>
  </si>
  <si>
    <t>09-09-1984</t>
  </si>
  <si>
    <t>14053.004.1020.528</t>
  </si>
  <si>
    <t>14053.004.1020.529</t>
  </si>
  <si>
    <t>21-06-1962</t>
  </si>
  <si>
    <t>14053.003.1020.530</t>
  </si>
  <si>
    <t>02-03-1985</t>
  </si>
  <si>
    <t>BENIH HARAPAN</t>
  </si>
  <si>
    <t>14053.005.1020.532</t>
  </si>
  <si>
    <t>14053.002.1020.533</t>
  </si>
  <si>
    <t>14053.003.1020.534</t>
  </si>
  <si>
    <t>24-05-1997</t>
  </si>
  <si>
    <t>CITRA ARKA JAYA</t>
  </si>
  <si>
    <t>14053.005.1020.535</t>
  </si>
  <si>
    <t>LEKKER EWON</t>
  </si>
  <si>
    <t>14053.001.1020.536</t>
  </si>
  <si>
    <t>KULINER - CHEFF</t>
  </si>
  <si>
    <t>BEE JAY BAKAU RESORT</t>
  </si>
  <si>
    <t>14053.001.1020.537</t>
  </si>
  <si>
    <t>16-06-2002</t>
  </si>
  <si>
    <t>14053.002.1020.538</t>
  </si>
  <si>
    <t>18-05-1980</t>
  </si>
  <si>
    <t>14053.005.1020.539</t>
  </si>
  <si>
    <t>25-08-1961</t>
  </si>
  <si>
    <t>14053.005.1020.541</t>
  </si>
  <si>
    <t>09-05-1996</t>
  </si>
  <si>
    <t>14053.003.1020.542</t>
  </si>
  <si>
    <t>14-09-2001</t>
  </si>
  <si>
    <t>CARNIVAL</t>
  </si>
  <si>
    <t>14053.002.1020.543</t>
  </si>
  <si>
    <t>26-03-1987</t>
  </si>
  <si>
    <t>TOKO BU YULI</t>
  </si>
  <si>
    <t>14053.006.1020.544</t>
  </si>
  <si>
    <t>08-09-1985</t>
  </si>
  <si>
    <t>14053.001.1020.545</t>
  </si>
  <si>
    <t>18-11-1986</t>
  </si>
  <si>
    <t xml:space="preserve">CV SAHABAT MULIA </t>
  </si>
  <si>
    <t>14053.004.1020.546</t>
  </si>
  <si>
    <t>17-05-1974</t>
  </si>
  <si>
    <t>14053.005.1020.547</t>
  </si>
  <si>
    <t>14053.001.1020.548</t>
  </si>
  <si>
    <t>09-08-2007</t>
  </si>
  <si>
    <t>14053.001.1020.549</t>
  </si>
  <si>
    <t>12-04-1974</t>
  </si>
  <si>
    <t>14053.004.1020.551</t>
  </si>
  <si>
    <t>08-02-1984</t>
  </si>
  <si>
    <t>14053.005.1020.552</t>
  </si>
  <si>
    <t>17-04-2000</t>
  </si>
  <si>
    <t>PERKUMPULAN STRADA</t>
  </si>
  <si>
    <t>14053.004.1020.553</t>
  </si>
  <si>
    <t>09-06-2002</t>
  </si>
  <si>
    <t>14053.001.1020.555</t>
  </si>
  <si>
    <t>28-08-1992</t>
  </si>
  <si>
    <t>QUENSNEF</t>
  </si>
  <si>
    <t>14053.003.1020.556</t>
  </si>
  <si>
    <t>25-12-1999</t>
  </si>
  <si>
    <t>JUAL BELI MOTOR</t>
  </si>
  <si>
    <t>GARASI TRENDI</t>
  </si>
  <si>
    <t>14053.001.1020.557</t>
  </si>
  <si>
    <t>16-08-2005</t>
  </si>
  <si>
    <t>14053.002.1020.558</t>
  </si>
  <si>
    <t>14053.002.1020.559</t>
  </si>
  <si>
    <t>22-05-1984</t>
  </si>
  <si>
    <t>14053.002.1020.560</t>
  </si>
  <si>
    <t>14053.001.1020.561</t>
  </si>
  <si>
    <t>03-12-1991</t>
  </si>
  <si>
    <t>14053.001.1020.562</t>
  </si>
  <si>
    <t>23-08-2005</t>
  </si>
  <si>
    <t>14053.001.1020.563</t>
  </si>
  <si>
    <t>PT INDOMARCO PRISMATAMA</t>
  </si>
  <si>
    <t>14053.001.1020.564</t>
  </si>
  <si>
    <t>14053.001.1020.565</t>
  </si>
  <si>
    <t>03-03-2000</t>
  </si>
  <si>
    <t>14053.004.1020.566</t>
  </si>
  <si>
    <t>10-04-1992</t>
  </si>
  <si>
    <t>DUSUN MULYOSARI</t>
  </si>
  <si>
    <t>14053.004.1020.567</t>
  </si>
  <si>
    <t>14053.002.1020.568</t>
  </si>
  <si>
    <t>14-06-1993</t>
  </si>
  <si>
    <t>14053.004.1020.569</t>
  </si>
  <si>
    <t>27-09-1990</t>
  </si>
  <si>
    <t>14053.003.1020.570</t>
  </si>
  <si>
    <t>KURIR</t>
  </si>
  <si>
    <t>14053.001.1020.571</t>
  </si>
  <si>
    <t>14053.005.1020.572</t>
  </si>
  <si>
    <t>KULINER (JENANG JAGUNG)</t>
  </si>
  <si>
    <t>14053.002.1020.573</t>
  </si>
  <si>
    <t>14053.001.1020.574</t>
  </si>
  <si>
    <t>toko</t>
  </si>
  <si>
    <t>AJI STORE</t>
  </si>
  <si>
    <t>14053.005.1020.575</t>
  </si>
  <si>
    <t>23-12-2001</t>
  </si>
  <si>
    <t>14053.006.1020.576</t>
  </si>
  <si>
    <t>05-11-1965</t>
  </si>
  <si>
    <t>14053.003.1020.577</t>
  </si>
  <si>
    <t>27-07-1995</t>
  </si>
  <si>
    <t>14053.003.1020.578</t>
  </si>
  <si>
    <t>09-03-1983</t>
  </si>
  <si>
    <t>WARUNG LALAPAN</t>
  </si>
  <si>
    <t>14053.002.1020.579</t>
  </si>
  <si>
    <t>JAGAL</t>
  </si>
  <si>
    <t>14053.004.1020.580</t>
  </si>
  <si>
    <t>22-09-1986</t>
  </si>
  <si>
    <t>CONATO BAKERY</t>
  </si>
  <si>
    <t>14053.003.1020.581</t>
  </si>
  <si>
    <t>14053.003.1020.582</t>
  </si>
  <si>
    <t>28-05-1965</t>
  </si>
  <si>
    <t>14053.001.1020.583</t>
  </si>
  <si>
    <t>07-09-1987</t>
  </si>
  <si>
    <t>14053.001.1020.584</t>
  </si>
  <si>
    <t>20-02-1970</t>
  </si>
  <si>
    <t>14053.003.1020.585</t>
  </si>
  <si>
    <t>29-05-2001</t>
  </si>
  <si>
    <t>14053.001.1020.587</t>
  </si>
  <si>
    <t>Tidak Valid</t>
  </si>
  <si>
    <t xml:space="preserve">TOKO TANI MAKMUR </t>
  </si>
  <si>
    <t xml:space="preserve">PABRIK MINUMAN </t>
  </si>
  <si>
    <t xml:space="preserve">SIRUP IE IE </t>
  </si>
  <si>
    <t xml:space="preserve">SARI MAKMUR </t>
  </si>
  <si>
    <t>pensiunan</t>
  </si>
  <si>
    <t>KULINER DAN HIDROPONIK</t>
  </si>
  <si>
    <t xml:space="preserve">SMPN 7 PROBOLINGGO </t>
  </si>
  <si>
    <t>UNIVERSITAS BINUS</t>
  </si>
  <si>
    <t>TV KABEL</t>
  </si>
  <si>
    <t>PERCETAKAN RAJA BANNER</t>
  </si>
  <si>
    <t>ASN P3K</t>
  </si>
  <si>
    <t>FREELINE</t>
  </si>
  <si>
    <t>GORENGAN MBA REZA</t>
  </si>
  <si>
    <t>GKA A</t>
  </si>
  <si>
    <t xml:space="preserve">TOKO JAYA MANDIRI ELEKTRONIK </t>
  </si>
  <si>
    <t>17-05-2003</t>
  </si>
  <si>
    <t>SDK SANTO PIUS</t>
  </si>
  <si>
    <t xml:space="preserve">TK PGRI PILANG </t>
  </si>
  <si>
    <t>SMPN 3  PROBOLINGGO</t>
  </si>
  <si>
    <t>Kuliner</t>
  </si>
  <si>
    <t>Difa cake</t>
  </si>
  <si>
    <t>POTONG RAMBUT UNDERNOMO</t>
  </si>
  <si>
    <t>JUAL KERUPUK DAN MAKANAN</t>
  </si>
  <si>
    <t>WARUNG MBAK WATIK</t>
  </si>
  <si>
    <t>DAPUR NARINA</t>
  </si>
  <si>
    <t>JAMU POJOK</t>
  </si>
  <si>
    <t>MASJID AGUNG ROIDLATUL JANNAH</t>
  </si>
  <si>
    <t xml:space="preserve">- </t>
  </si>
  <si>
    <t xml:space="preserve">WARUNG MBOK GINUK </t>
  </si>
  <si>
    <t>07-06-1981</t>
  </si>
  <si>
    <t xml:space="preserve">SMA 4 </t>
  </si>
  <si>
    <t xml:space="preserve">SALON NOVA </t>
  </si>
  <si>
    <t>KESET</t>
  </si>
  <si>
    <t>12-11-1972</t>
  </si>
  <si>
    <t>SMAK MATERDEI</t>
  </si>
  <si>
    <t xml:space="preserve">CLEANER </t>
  </si>
  <si>
    <t>WARUNG KACUNG</t>
  </si>
  <si>
    <t>25-12-1978</t>
  </si>
  <si>
    <t>JASA TRANSPORTASI TRAVEL</t>
  </si>
  <si>
    <t>CEMAL CEMIL</t>
  </si>
  <si>
    <t>PT. YAKULT INDONESIA</t>
  </si>
  <si>
    <t>BELUM BEKERJA</t>
  </si>
  <si>
    <t>PUSKESMAS WINONGAN</t>
  </si>
  <si>
    <t>WARKOP JENK ANI</t>
  </si>
  <si>
    <t>13-08-1966</t>
  </si>
  <si>
    <t>SMPN 4 PROBOLINGGO</t>
  </si>
  <si>
    <t>CATRING</t>
  </si>
  <si>
    <t>PT ERLIMPEX/ PT SELARAS KUSUMA</t>
  </si>
  <si>
    <t>ROTI SISIR ALAMANDA</t>
  </si>
  <si>
    <t>LES PRIVATE</t>
  </si>
  <si>
    <t>PUSKESMAS GONDANGWETAN</t>
  </si>
  <si>
    <t>MI NAHDLATUL ULAMA</t>
  </si>
  <si>
    <t xml:space="preserve">KADER </t>
  </si>
  <si>
    <t>NANA PRINT</t>
  </si>
  <si>
    <t>AIR ISI ULANG</t>
  </si>
  <si>
    <t>HRB WATER</t>
  </si>
  <si>
    <t>SD KEDUNGSARI 5</t>
  </si>
  <si>
    <t xml:space="preserve">OWNER TIKET BIS KERAMAT JATI </t>
  </si>
  <si>
    <t xml:space="preserve">TNI </t>
  </si>
  <si>
    <t>30-05-1995</t>
  </si>
  <si>
    <t>PT SINAR NIAGA SEJAHTERA</t>
  </si>
  <si>
    <t>CATERING MBAK RATNA</t>
  </si>
  <si>
    <t>DAGANG SEMBAKO</t>
  </si>
  <si>
    <t xml:space="preserve"> TOKO ARTOMORO</t>
  </si>
  <si>
    <t>ANEKA JAJANAN</t>
  </si>
  <si>
    <t>SALON IMAH</t>
  </si>
  <si>
    <t>HOGS COFFEE</t>
  </si>
  <si>
    <t>MBAK SELLY CAKE</t>
  </si>
  <si>
    <t>PT EKA ARTHABUANA</t>
  </si>
  <si>
    <t>LESEHAN ANGKY</t>
  </si>
  <si>
    <t>KERIPIK PISANG</t>
  </si>
  <si>
    <t>MARISA (MARI SARAPAN)</t>
  </si>
  <si>
    <t>PT GRAHA LAKSANA UTAMA</t>
  </si>
  <si>
    <t>SDK MF I</t>
  </si>
  <si>
    <t>14053.006.1020.588</t>
  </si>
  <si>
    <t>01-01-2008</t>
  </si>
  <si>
    <t>14053.001.1020.589</t>
  </si>
  <si>
    <t>19-01-1955</t>
  </si>
  <si>
    <t>14053.006.1020.590</t>
  </si>
  <si>
    <t>14-03-2000</t>
  </si>
  <si>
    <t>TEKNIK</t>
  </si>
  <si>
    <t>CV. BUDI LUHUR</t>
  </si>
  <si>
    <t>14053.002.1020.591</t>
  </si>
  <si>
    <t>14053.001.1020.592</t>
  </si>
  <si>
    <t>06-02-1982</t>
  </si>
  <si>
    <t xml:space="preserve">PT BSP LOGISTIK </t>
  </si>
  <si>
    <t>14053.005.1020.593</t>
  </si>
  <si>
    <t>23-03-1955</t>
  </si>
  <si>
    <t>14053.004.1020.594</t>
  </si>
  <si>
    <t>09-12-1960</t>
  </si>
  <si>
    <t>14053.004.1020.595</t>
  </si>
  <si>
    <t>26-03-1982</t>
  </si>
  <si>
    <t>14053.003.1020.596</t>
  </si>
  <si>
    <t>11-11-1999</t>
  </si>
  <si>
    <t>14053.001.1020.597</t>
  </si>
  <si>
    <t>09-07-1968</t>
  </si>
  <si>
    <t>14053.003.1020.598</t>
  </si>
  <si>
    <t>08-01-1969</t>
  </si>
  <si>
    <t>14053.002.1020.599</t>
  </si>
  <si>
    <t>12-03-1974</t>
  </si>
  <si>
    <t>PT SPEK</t>
  </si>
  <si>
    <t>JABUNG CANDI PAITON</t>
  </si>
  <si>
    <t>14053.003.1020.600</t>
  </si>
  <si>
    <t>04-01-1989</t>
  </si>
  <si>
    <t>SD KEPATIHAN 4</t>
  </si>
  <si>
    <t>14053.001.1020.602</t>
  </si>
  <si>
    <t>15-12-1965</t>
  </si>
  <si>
    <t xml:space="preserve">JUAL RUJAK </t>
  </si>
  <si>
    <t>14053.001.1020.603</t>
  </si>
  <si>
    <t>14053.001.1020.604</t>
  </si>
  <si>
    <t>14-10-1974</t>
  </si>
  <si>
    <t xml:space="preserve">TOKO KELONTONG </t>
  </si>
  <si>
    <t>14053.001.1020.605</t>
  </si>
  <si>
    <t>14053.004.1020.606</t>
  </si>
  <si>
    <t>23-03-1983</t>
  </si>
  <si>
    <t>14053.001.1020.607</t>
  </si>
  <si>
    <t>28-01-2000</t>
  </si>
  <si>
    <t xml:space="preserve">ASRAMA PUTRA SINT JAN </t>
  </si>
  <si>
    <t>14053.006.1020.608</t>
  </si>
  <si>
    <t>01-05-2002</t>
  </si>
  <si>
    <t>14053.004.1020.609</t>
  </si>
  <si>
    <t>09-08-1975</t>
  </si>
  <si>
    <t>Nelayan/Perikanan</t>
  </si>
  <si>
    <t>14053.001.1020.610</t>
  </si>
  <si>
    <t>18-12-2002</t>
  </si>
  <si>
    <t>SHOPPE EXPRESS</t>
  </si>
  <si>
    <t>14053.005.1020.611</t>
  </si>
  <si>
    <t>08-12-1966</t>
  </si>
  <si>
    <t>TOKO BAGIO</t>
  </si>
  <si>
    <t>14053.002.1020.612</t>
  </si>
  <si>
    <t>02-09-1984</t>
  </si>
  <si>
    <t>JUAL AYAM POTONG</t>
  </si>
  <si>
    <t>14053.004.1020.613</t>
  </si>
  <si>
    <t>14053.001.1020.614</t>
  </si>
  <si>
    <t>01-12-1972</t>
  </si>
  <si>
    <t>14053.001.1020.615</t>
  </si>
  <si>
    <t>14053.003.1020.616</t>
  </si>
  <si>
    <t>13-03-1989</t>
  </si>
  <si>
    <t>14053.006.1020.617</t>
  </si>
  <si>
    <t>22-03-1966</t>
  </si>
  <si>
    <t>14053.001.1020.618</t>
  </si>
  <si>
    <t>18-02-1973</t>
  </si>
  <si>
    <t>14053.002.1020.619</t>
  </si>
  <si>
    <t>08-06-1990</t>
  </si>
  <si>
    <t>JUAL BELI MOTOR BEKAS</t>
  </si>
  <si>
    <t>14053.002.1020.620</t>
  </si>
  <si>
    <t>19-01-1957</t>
  </si>
  <si>
    <t>TOKO PLASTIK DAN AGEN LPG</t>
  </si>
  <si>
    <t>14053.002.1020.621</t>
  </si>
  <si>
    <t>22-02-1989</t>
  </si>
  <si>
    <t>METRO TV</t>
  </si>
  <si>
    <t>14053.001.1020.622</t>
  </si>
  <si>
    <t>21-04-1984</t>
  </si>
  <si>
    <t>AAA</t>
  </si>
  <si>
    <t>14053.005.1020.624</t>
  </si>
  <si>
    <t>14053.001.1020.625</t>
  </si>
  <si>
    <t>02-02-1971</t>
  </si>
  <si>
    <t>BIARAWATI SPM</t>
  </si>
  <si>
    <t>14053.001.1020.626</t>
  </si>
  <si>
    <t>14053.002.1020.627</t>
  </si>
  <si>
    <t>26-04-1976</t>
  </si>
  <si>
    <t>14053.004.1020.628</t>
  </si>
  <si>
    <t>11-07-1983</t>
  </si>
  <si>
    <t>UNIVERSITAS AIRLANGGA</t>
  </si>
  <si>
    <t>14053.001.1020.629</t>
  </si>
  <si>
    <t>27-12-1969</t>
  </si>
  <si>
    <t>SDK HATI KUDUS SAMARINDA</t>
  </si>
  <si>
    <t>14053.001.1020.630</t>
  </si>
  <si>
    <t>01-01-1976</t>
  </si>
  <si>
    <t>MITRA</t>
  </si>
  <si>
    <t>KARYA KOM.MANGKUPALAS</t>
  </si>
  <si>
    <t>14053.001.1020.631</t>
  </si>
  <si>
    <t>21-06-1969</t>
  </si>
  <si>
    <t xml:space="preserve">SDK HATI KUDUS </t>
  </si>
  <si>
    <t>14053.001.1020.632</t>
  </si>
  <si>
    <t>JASA LAS</t>
  </si>
  <si>
    <t>14053.002.1020.633</t>
  </si>
  <si>
    <t>14053.001.1020.634</t>
  </si>
  <si>
    <t>SD KETAPANG 1</t>
  </si>
  <si>
    <t>14053.001.1020.635</t>
  </si>
  <si>
    <t>15-04-1997</t>
  </si>
  <si>
    <t xml:space="preserve">PT INDOPRATAMA </t>
  </si>
  <si>
    <t>14053.001.1020.636</t>
  </si>
  <si>
    <t xml:space="preserve">CV SULUSI INOVASI </t>
  </si>
  <si>
    <t>14053.003.1020.639</t>
  </si>
  <si>
    <t>19-03-1979</t>
  </si>
  <si>
    <t>RA AHLAQUL KARIMAH</t>
  </si>
  <si>
    <t>14053.001.1020.640</t>
  </si>
  <si>
    <t>16-05-1984</t>
  </si>
  <si>
    <t>14053.001.1020.641</t>
  </si>
  <si>
    <t>16-01-1984</t>
  </si>
  <si>
    <t>14053.001.1020.642</t>
  </si>
  <si>
    <t>28-03-1967</t>
  </si>
  <si>
    <t>14053.004.1020.643</t>
  </si>
  <si>
    <t>03-06-1982</t>
  </si>
  <si>
    <t>14053.001.1020.644</t>
  </si>
  <si>
    <t>17-04-1974</t>
  </si>
  <si>
    <t xml:space="preserve">BAKWAN DAN MIE SANTUN </t>
  </si>
  <si>
    <t>14053.003.1020.645</t>
  </si>
  <si>
    <t>14053.001.1020.646</t>
  </si>
  <si>
    <t xml:space="preserve">SHOWROOM AROFAH </t>
  </si>
  <si>
    <t>14053.004.1020.647</t>
  </si>
  <si>
    <t>08-04-1989</t>
  </si>
  <si>
    <t>PUSTU MANDAR</t>
  </si>
  <si>
    <t>14053.002.1020.649</t>
  </si>
  <si>
    <t>12-06-1997</t>
  </si>
  <si>
    <t>MS GLOW</t>
  </si>
  <si>
    <t>14053.001.1020.650</t>
  </si>
  <si>
    <t>21-09-1977</t>
  </si>
  <si>
    <t xml:space="preserve">LKM MANDALA </t>
  </si>
  <si>
    <t>14053.001.1020.651</t>
  </si>
  <si>
    <t>14053.001.1020.652</t>
  </si>
  <si>
    <t>10-11-2003</t>
  </si>
  <si>
    <t xml:space="preserve">CU MANDIRI </t>
  </si>
  <si>
    <t>14053.001.1020.653</t>
  </si>
  <si>
    <t>29-06-2002</t>
  </si>
  <si>
    <t>14053.004.1020.654</t>
  </si>
  <si>
    <t>05-11-1991</t>
  </si>
  <si>
    <t>MERPATI LAS DAN ALUMUNIUM</t>
  </si>
  <si>
    <t>14053.004.1020.655</t>
  </si>
  <si>
    <t>01-08-1993</t>
  </si>
  <si>
    <t>BMS</t>
  </si>
  <si>
    <t>14053.003.1020.656</t>
  </si>
  <si>
    <t>30-04-1977</t>
  </si>
  <si>
    <t>14053.001.1020.657</t>
  </si>
  <si>
    <t>26-10-2005</t>
  </si>
  <si>
    <t xml:space="preserve">UNIVERSITAS BRAWIJAYA </t>
  </si>
  <si>
    <t>14053.002.1020.658</t>
  </si>
  <si>
    <t>14053.001.1020.659</t>
  </si>
  <si>
    <t xml:space="preserve">BUAT JAMU </t>
  </si>
  <si>
    <t>UTI LIS</t>
  </si>
  <si>
    <t>14053.002.1020.660</t>
  </si>
  <si>
    <t>14053.001.1020.661</t>
  </si>
  <si>
    <t xml:space="preserve">MIDIA TAILOR </t>
  </si>
  <si>
    <t>14053.001.1020.662</t>
  </si>
  <si>
    <t>24-08-1973</t>
  </si>
  <si>
    <t>14053.001.1020.663</t>
  </si>
  <si>
    <t>27-08-1984</t>
  </si>
  <si>
    <t>14053.001.1020.664</t>
  </si>
  <si>
    <t>03-10-1997</t>
  </si>
  <si>
    <t xml:space="preserve">SEBLAK OSUI </t>
  </si>
  <si>
    <t>14053.005.1020.665</t>
  </si>
  <si>
    <t>29-07-1963</t>
  </si>
  <si>
    <t>14053.001.1020.666</t>
  </si>
  <si>
    <t>26-04-2001</t>
  </si>
  <si>
    <t xml:space="preserve">DEPO AIR MINUM ISI ULANG </t>
  </si>
  <si>
    <t>14053.001.1020.667</t>
  </si>
  <si>
    <t>05-10-1972</t>
  </si>
  <si>
    <t xml:space="preserve">KABUPATEN PROBOLINGGO </t>
  </si>
  <si>
    <t>14053.003.1020.668</t>
  </si>
  <si>
    <t>11-04-1971</t>
  </si>
  <si>
    <t>14053.003.1020.669</t>
  </si>
  <si>
    <t>LALAPAN KING CHICKEN</t>
  </si>
  <si>
    <t>14053.001.1020.670</t>
  </si>
  <si>
    <t>14053.004.1020.671</t>
  </si>
  <si>
    <t>04-10-1992</t>
  </si>
  <si>
    <t>PERGUDANGAN</t>
  </si>
  <si>
    <t>PT ANUGRAH KEMASAN KREATIF</t>
  </si>
  <si>
    <t>14053.001.1020.672</t>
  </si>
  <si>
    <t>18-04-1970</t>
  </si>
  <si>
    <t>14053.003.1020.673</t>
  </si>
  <si>
    <t>10-10-1960</t>
  </si>
  <si>
    <t>ES LUMUT</t>
  </si>
  <si>
    <t>14053.004.1020.675</t>
  </si>
  <si>
    <t>03-04-1971</t>
  </si>
  <si>
    <t>Penata Rias</t>
  </si>
  <si>
    <t>14053.005.1020.676</t>
  </si>
  <si>
    <t>21-01-1977</t>
  </si>
  <si>
    <t>BENGKEL MANDIRI MOBIL MOJOKERTO</t>
  </si>
  <si>
    <t>14053.003.1020.677</t>
  </si>
  <si>
    <t>14-09-1971</t>
  </si>
  <si>
    <t>PASAR TANJUNG</t>
  </si>
  <si>
    <t>14053.003.1020.678</t>
  </si>
  <si>
    <t>05-02-1963</t>
  </si>
  <si>
    <t>14053.004.1020.679</t>
  </si>
  <si>
    <t>NADIA SALON</t>
  </si>
  <si>
    <t>14053.002.1020.680</t>
  </si>
  <si>
    <t>05-02-1975</t>
  </si>
  <si>
    <t>KONDIKTUR BUS</t>
  </si>
  <si>
    <t>14053.002.1020.681</t>
  </si>
  <si>
    <t>03-10-1967</t>
  </si>
  <si>
    <t>14053.002.1020.682</t>
  </si>
  <si>
    <t>15-05-1985</t>
  </si>
  <si>
    <t>14053.002.1020.683</t>
  </si>
  <si>
    <t>13-03-1984</t>
  </si>
  <si>
    <t>DESA SUKOKERTO</t>
  </si>
  <si>
    <t>14053.003.1020.684</t>
  </si>
  <si>
    <t>28-12-1992</t>
  </si>
  <si>
    <t>14053.002.1020.685</t>
  </si>
  <si>
    <t>29-11-1988</t>
  </si>
  <si>
    <t>14053.003.1020.686</t>
  </si>
  <si>
    <t>03-10-1962</t>
  </si>
  <si>
    <t>JUAL RENGGINANG</t>
  </si>
  <si>
    <t>14053.001.1020.687</t>
  </si>
  <si>
    <t>01-08-2003</t>
  </si>
  <si>
    <t>14053.001.1020.692</t>
  </si>
  <si>
    <t>28-02-2006</t>
  </si>
  <si>
    <t>14053.001.1020.693</t>
  </si>
  <si>
    <t>30-12-2003</t>
  </si>
  <si>
    <t>14053.001.1020.694</t>
  </si>
  <si>
    <t>05-06-1980</t>
  </si>
  <si>
    <t xml:space="preserve">SMPN 2 PROBOLINGGO </t>
  </si>
  <si>
    <t>14053.001.1020.695</t>
  </si>
  <si>
    <t>04-07-1985</t>
  </si>
  <si>
    <t xml:space="preserve">KANTIN BERKAT </t>
  </si>
  <si>
    <t>14053.001.1020.696</t>
  </si>
  <si>
    <t xml:space="preserve">BIDAN PRAKTEK MANDIRI VITA </t>
  </si>
  <si>
    <t>14053.001.1020.697</t>
  </si>
  <si>
    <t>29-10-1992</t>
  </si>
  <si>
    <t xml:space="preserve">SMKN 1 SUMBERASIH </t>
  </si>
  <si>
    <t>14053.001.1020.698</t>
  </si>
  <si>
    <t>04-04-2005</t>
  </si>
  <si>
    <t xml:space="preserve">POLITEKNIK NEGERI MALANG </t>
  </si>
  <si>
    <t>14053.006.1020.699</t>
  </si>
  <si>
    <t>25-02-1985</t>
  </si>
  <si>
    <t>14053.006.1020.700</t>
  </si>
  <si>
    <t>19-12-1970</t>
  </si>
  <si>
    <t>14053.003.1020.701</t>
  </si>
  <si>
    <t>02-12-1982</t>
  </si>
  <si>
    <t>14053.002.1020.702</t>
  </si>
  <si>
    <t>12-02-2002</t>
  </si>
  <si>
    <t>14053.003.1020.703</t>
  </si>
  <si>
    <t>16-06-1974</t>
  </si>
  <si>
    <t>MOORLIFE</t>
  </si>
  <si>
    <t>14053.003.1020.704</t>
  </si>
  <si>
    <t>10-06-1995</t>
  </si>
  <si>
    <t>SDN WIROLEGI</t>
  </si>
  <si>
    <t>14053.003.1020.705</t>
  </si>
  <si>
    <t>15-09-1990</t>
  </si>
  <si>
    <t>14053.001.1020.706</t>
  </si>
  <si>
    <t xml:space="preserve">KSP BINA MITRA SEJAHTERA </t>
  </si>
  <si>
    <t>14053.003.1020.707</t>
  </si>
  <si>
    <t>10-08-1982</t>
  </si>
  <si>
    <t>14053.001.1020.708</t>
  </si>
  <si>
    <t>26-02-2000</t>
  </si>
  <si>
    <t>14053.005.1020.709</t>
  </si>
  <si>
    <t>16-05-1962</t>
  </si>
  <si>
    <t>14053.001.1020.710</t>
  </si>
  <si>
    <t xml:space="preserve">GARMEN BRANTAS </t>
  </si>
  <si>
    <t>14053.004.1020.711</t>
  </si>
  <si>
    <t>17-10-2001</t>
  </si>
  <si>
    <t>14053.004.1020.712</t>
  </si>
  <si>
    <t>22-05-2003</t>
  </si>
  <si>
    <t>NINJA EXPRESS</t>
  </si>
  <si>
    <t>14053.001.1020.713</t>
  </si>
  <si>
    <t xml:space="preserve">PT TJIWULAN PUTRA MANDIRI </t>
  </si>
  <si>
    <t>14053.001.1020.714</t>
  </si>
  <si>
    <t>14-02-1998</t>
  </si>
  <si>
    <t xml:space="preserve">PLN </t>
  </si>
  <si>
    <t>14053.001.1020.715</t>
  </si>
  <si>
    <t>07-02-1968</t>
  </si>
  <si>
    <t>14053.003.1020.716</t>
  </si>
  <si>
    <t>17-07-1953</t>
  </si>
  <si>
    <t>14053.004.1020.717</t>
  </si>
  <si>
    <t>29-11-1979</t>
  </si>
  <si>
    <t>14053.003.1020.718</t>
  </si>
  <si>
    <t>12-04-1970</t>
  </si>
  <si>
    <t>14053.002.1020.719</t>
  </si>
  <si>
    <t>15-05-1990</t>
  </si>
  <si>
    <t>APOTIK  SEHAT FARMA</t>
  </si>
  <si>
    <t>14053.001.1020.720</t>
  </si>
  <si>
    <t>28-07-1977</t>
  </si>
  <si>
    <t xml:space="preserve">GOJEK </t>
  </si>
  <si>
    <t>14053.001.1020.721</t>
  </si>
  <si>
    <t>16-05-1979</t>
  </si>
  <si>
    <t xml:space="preserve">RSUD DR M SALEH </t>
  </si>
  <si>
    <t>14053.004.1020.722</t>
  </si>
  <si>
    <t>16-12-2001</t>
  </si>
  <si>
    <t>14053.001.1020.723</t>
  </si>
  <si>
    <t>12-04-1969</t>
  </si>
  <si>
    <t>14053.002.1020.724</t>
  </si>
  <si>
    <t>13-01-1978</t>
  </si>
  <si>
    <t>14053.005.1020.725</t>
  </si>
  <si>
    <t>07-10-1984</t>
  </si>
  <si>
    <t>KULINER SALAD BUAH</t>
  </si>
  <si>
    <t>14053.001.1020.726</t>
  </si>
  <si>
    <t>14053.004.1020.728</t>
  </si>
  <si>
    <t>22-01-1991</t>
  </si>
  <si>
    <t>INDORAYA</t>
  </si>
  <si>
    <t>14053.001.1020.729</t>
  </si>
  <si>
    <t>12-03-1999</t>
  </si>
  <si>
    <t>14053.001.1020.730</t>
  </si>
  <si>
    <t xml:space="preserve">KUR KERING </t>
  </si>
  <si>
    <t>14053.001.1020.731</t>
  </si>
  <si>
    <t>PENDIDIKAN P3K</t>
  </si>
  <si>
    <t xml:space="preserve">SDN SUKOHARJO 1 </t>
  </si>
  <si>
    <t>14053.005.1020.732</t>
  </si>
  <si>
    <t>06-04-2004</t>
  </si>
  <si>
    <t>14053.005.1020.733</t>
  </si>
  <si>
    <t>07-02-2006</t>
  </si>
  <si>
    <t>14053.005.1020.734</t>
  </si>
  <si>
    <t>01-07-2003</t>
  </si>
  <si>
    <t>14053.005.1020.735</t>
  </si>
  <si>
    <t>31-08-2002</t>
  </si>
  <si>
    <t>14053.004.1020.737</t>
  </si>
  <si>
    <t>22-12-1972</t>
  </si>
  <si>
    <t>14053.001.1020.738</t>
  </si>
  <si>
    <t>JURU PARKIR LIBELLE</t>
  </si>
  <si>
    <t>14053.004.1020.739</t>
  </si>
  <si>
    <t>07-04-2000</t>
  </si>
  <si>
    <t>AMARTHA</t>
  </si>
  <si>
    <t>14053.003.1020.740</t>
  </si>
  <si>
    <t>01-02-1969</t>
  </si>
  <si>
    <t>KOS-KOS AN</t>
  </si>
  <si>
    <t>KENCANA</t>
  </si>
  <si>
    <t>14053.001.1020.741</t>
  </si>
  <si>
    <t>16-04-2003</t>
  </si>
  <si>
    <t>14053.004.1020.742</t>
  </si>
  <si>
    <t>04-06-1970</t>
  </si>
  <si>
    <t>14053.005.1020.743</t>
  </si>
  <si>
    <t>14-05-1981</t>
  </si>
  <si>
    <t>14053.005.1020.744</t>
  </si>
  <si>
    <t>18-10-1975</t>
  </si>
  <si>
    <t>14053.001.1020.745</t>
  </si>
  <si>
    <t>14053.001.1020.746</t>
  </si>
  <si>
    <t>10-09-1964</t>
  </si>
  <si>
    <t xml:space="preserve"> TAHU WALIK </t>
  </si>
  <si>
    <t>14053.002.1020.747</t>
  </si>
  <si>
    <t>26-07-1982</t>
  </si>
  <si>
    <t>UPT METEOLOGI LEGAL</t>
  </si>
  <si>
    <t>14053.001.1020.748</t>
  </si>
  <si>
    <t>07-12-1984</t>
  </si>
  <si>
    <t>LANCAR REJEKI</t>
  </si>
  <si>
    <t>14053.001.1020.749</t>
  </si>
  <si>
    <t xml:space="preserve">DINAS KESEHATAN </t>
  </si>
  <si>
    <t>14053.005.1020.750</t>
  </si>
  <si>
    <t>03-04-1974</t>
  </si>
  <si>
    <t>SDK ST MARIA SURABAYA</t>
  </si>
  <si>
    <t>14053.001.1020.751</t>
  </si>
  <si>
    <t xml:space="preserve">PARIWISATA </t>
  </si>
  <si>
    <t>BEEJAY BAKAU RESORT</t>
  </si>
  <si>
    <t>14053.001.1020.752</t>
  </si>
  <si>
    <t>14053.005.1020.753</t>
  </si>
  <si>
    <t>28-02-1971</t>
  </si>
  <si>
    <t>AHYA SNACK</t>
  </si>
  <si>
    <t>14053.003.1020.754</t>
  </si>
  <si>
    <t>01-09-1977</t>
  </si>
  <si>
    <t>DISHUB</t>
  </si>
  <si>
    <t>14053.002.1020.755</t>
  </si>
  <si>
    <t>29-11-1985</t>
  </si>
  <si>
    <t>14053.001.1020.756</t>
  </si>
  <si>
    <t>13-01-1969</t>
  </si>
  <si>
    <t>14053.006.1020.757</t>
  </si>
  <si>
    <t>14053.004.1020.758</t>
  </si>
  <si>
    <t>18-03-1984</t>
  </si>
  <si>
    <t>14053.006.1020.759</t>
  </si>
  <si>
    <t>14053.001.1020.760</t>
  </si>
  <si>
    <t>KANTOR NOTARIKS DAN PPAT</t>
  </si>
  <si>
    <t>14053.001.1020.761</t>
  </si>
  <si>
    <t>28-12-1985</t>
  </si>
  <si>
    <t>14053.001.1020.762</t>
  </si>
  <si>
    <t>03-06-1993</t>
  </si>
  <si>
    <t>MAXIM</t>
  </si>
  <si>
    <t>14053.005.1020.763</t>
  </si>
  <si>
    <t>04-05-1986</t>
  </si>
  <si>
    <t>14053.001.1020.764</t>
  </si>
  <si>
    <t>14053.001.1020.765</t>
  </si>
  <si>
    <t>16-08-1970</t>
  </si>
  <si>
    <t>TOKO GROSIR</t>
  </si>
  <si>
    <t>TOKO LANCAR REJEKI</t>
  </si>
  <si>
    <t>14053.001.1020.766</t>
  </si>
  <si>
    <t>24-12-1994</t>
  </si>
  <si>
    <t xml:space="preserve">LANCAR REJEKI </t>
  </si>
  <si>
    <t>14053.001.1020.767</t>
  </si>
  <si>
    <t>30-12-2002</t>
  </si>
  <si>
    <t>CV BEEJAY BAKAU RESORT</t>
  </si>
  <si>
    <t>14053.006.1020.768</t>
  </si>
  <si>
    <t>20-02-1980</t>
  </si>
  <si>
    <t>14053.003.1020.769</t>
  </si>
  <si>
    <t>09-08-1986</t>
  </si>
  <si>
    <t>14053.002.1020.770</t>
  </si>
  <si>
    <t>14053.003.1020.771</t>
  </si>
  <si>
    <t>08-02-1969</t>
  </si>
  <si>
    <t>14053.001.1020.772</t>
  </si>
  <si>
    <t xml:space="preserve">MRS MAMAM </t>
  </si>
  <si>
    <t>14053.006.1020.773</t>
  </si>
  <si>
    <t>10-10-1998</t>
  </si>
  <si>
    <t>14053.001.1020.774</t>
  </si>
  <si>
    <t>10-02-2004</t>
  </si>
  <si>
    <t>UNIVERSITAS WARMADEWA</t>
  </si>
  <si>
    <t>14053.003.1020.775</t>
  </si>
  <si>
    <t>31-01-1993</t>
  </si>
  <si>
    <t>14053.002.1020.776</t>
  </si>
  <si>
    <t>01-04-1973</t>
  </si>
  <si>
    <t>14053.002.1020.777</t>
  </si>
  <si>
    <t>15-04-2001</t>
  </si>
  <si>
    <t>14053.002.1020.778</t>
  </si>
  <si>
    <t>24-04-1976</t>
  </si>
  <si>
    <t>14053.002.1020.779</t>
  </si>
  <si>
    <t>21-09-1980</t>
  </si>
  <si>
    <t>14053.002.1020.780</t>
  </si>
  <si>
    <t>14053.001.1020.781</t>
  </si>
  <si>
    <t xml:space="preserve">FNB </t>
  </si>
  <si>
    <t xml:space="preserve">CAFE SIMPOSIUM </t>
  </si>
  <si>
    <t>14053.005.1020.782</t>
  </si>
  <si>
    <t>01-11-1966</t>
  </si>
  <si>
    <t>WARUNG MAKAN KRATONAN</t>
  </si>
  <si>
    <t>14053.005.1020.783</t>
  </si>
  <si>
    <t>14053.005.1020.784</t>
  </si>
  <si>
    <t>22-11-1976</t>
  </si>
  <si>
    <t>14053.005.1020.785</t>
  </si>
  <si>
    <t>09-06-1977</t>
  </si>
  <si>
    <t>14053.005.1020.786</t>
  </si>
  <si>
    <t>14053.006.1020.787</t>
  </si>
  <si>
    <t>08-09-1970</t>
  </si>
  <si>
    <t>14053.006.1020.788</t>
  </si>
  <si>
    <t>20-03-1988</t>
  </si>
  <si>
    <t>14053.005.1020.789</t>
  </si>
  <si>
    <t>10-04-1980</t>
  </si>
  <si>
    <t>14053.005.1020.790</t>
  </si>
  <si>
    <t>14-03-1972</t>
  </si>
  <si>
    <t>14053.005.1020.791</t>
  </si>
  <si>
    <t>22-05-1970</t>
  </si>
  <si>
    <t>KULINER SERABI</t>
  </si>
  <si>
    <t>14053.001.1020.792</t>
  </si>
  <si>
    <t>14053.004.1020.793</t>
  </si>
  <si>
    <t>14053.001.1020.794</t>
  </si>
  <si>
    <t>30-10-1980</t>
  </si>
  <si>
    <t>SMP 1</t>
  </si>
  <si>
    <t>14053.005.1020.795</t>
  </si>
  <si>
    <t>14053.003.1020.796</t>
  </si>
  <si>
    <t>TKK SISWARINI 1</t>
  </si>
  <si>
    <t>14053.003.1020.797</t>
  </si>
  <si>
    <t>29-01-1994</t>
  </si>
  <si>
    <t>14053.001.1020.798</t>
  </si>
  <si>
    <t>14053.006.1020.799</t>
  </si>
  <si>
    <t>14053.006.1020.800</t>
  </si>
  <si>
    <t>01-04-1966</t>
  </si>
  <si>
    <t>14053.006.1020.801</t>
  </si>
  <si>
    <t>14053.006.1020.802</t>
  </si>
  <si>
    <t>25-05-1981</t>
  </si>
  <si>
    <t>14053.006.1020.803</t>
  </si>
  <si>
    <t>10-07-1968</t>
  </si>
  <si>
    <t>14053.006.1020.804</t>
  </si>
  <si>
    <t>10-02-1969</t>
  </si>
  <si>
    <t>14053.006.1020.805</t>
  </si>
  <si>
    <t>14053.002.1020.806</t>
  </si>
  <si>
    <t>10-06-1969</t>
  </si>
  <si>
    <t>SUPIR</t>
  </si>
  <si>
    <t>14053.004.1020.807</t>
  </si>
  <si>
    <t>25-03-1982</t>
  </si>
  <si>
    <t>PEMERINTAH KABUPATEN BANYUWANGI</t>
  </si>
  <si>
    <t>14053.004.1020.808</t>
  </si>
  <si>
    <t>13-08-1983</t>
  </si>
  <si>
    <t>14053.001.1020.809</t>
  </si>
  <si>
    <t>14053.001.1020.810</t>
  </si>
  <si>
    <t>TOKO VERA</t>
  </si>
  <si>
    <t>14053.001.1020.811</t>
  </si>
  <si>
    <t>28-02-1966</t>
  </si>
  <si>
    <t>Auditor</t>
  </si>
  <si>
    <t>PT AKIM</t>
  </si>
  <si>
    <t>14053.001.1020.812</t>
  </si>
  <si>
    <t>21-03-1974</t>
  </si>
  <si>
    <t>SUMBER BENING</t>
  </si>
  <si>
    <t>14053.002.1020.813</t>
  </si>
  <si>
    <t>20-08-1971</t>
  </si>
  <si>
    <t>PGP</t>
  </si>
  <si>
    <t>14053.005.1020.815</t>
  </si>
  <si>
    <t>18-12-2006</t>
  </si>
  <si>
    <t>14053.004.1020.816</t>
  </si>
  <si>
    <t>16-08-1992</t>
  </si>
  <si>
    <t>14053.001.1020.817</t>
  </si>
  <si>
    <t>19-09-1988</t>
  </si>
  <si>
    <t>DAPUR JOS</t>
  </si>
  <si>
    <t>14053.001.1020.818</t>
  </si>
  <si>
    <t>09-10-2001</t>
  </si>
  <si>
    <t xml:space="preserve">PT KANSAI </t>
  </si>
  <si>
    <t>14053.005.1020.819</t>
  </si>
  <si>
    <t>14-05-1978</t>
  </si>
  <si>
    <t>14053.006.1020.820</t>
  </si>
  <si>
    <t>18-10-1993</t>
  </si>
  <si>
    <t>14053.006.1020.821</t>
  </si>
  <si>
    <t>25-08-1986</t>
  </si>
  <si>
    <t>14053.005.1020.822</t>
  </si>
  <si>
    <t>23-03-2003</t>
  </si>
  <si>
    <t>14053.001.1020.823</t>
  </si>
  <si>
    <t>14053.001.1020.824</t>
  </si>
  <si>
    <t>27-09-1997</t>
  </si>
  <si>
    <t>14053.001.1020.825</t>
  </si>
  <si>
    <t>11-09-1997</t>
  </si>
  <si>
    <t>14053.001.1020.826</t>
  </si>
  <si>
    <t>28-11-2005</t>
  </si>
  <si>
    <t>14053.005.1020.827</t>
  </si>
  <si>
    <t>06-05-1975</t>
  </si>
  <si>
    <t>14053.004.1020.829</t>
  </si>
  <si>
    <t>04-02-2003</t>
  </si>
  <si>
    <t>14053.002.1020.831</t>
  </si>
  <si>
    <t>26-07-1996</t>
  </si>
  <si>
    <t>JUAL TEMPE</t>
  </si>
  <si>
    <t>14053.001.1020.832</t>
  </si>
  <si>
    <t>08-10-1969</t>
  </si>
  <si>
    <t>14053.004.1020.833</t>
  </si>
  <si>
    <t>30-08-1972</t>
  </si>
  <si>
    <t>loundry</t>
  </si>
  <si>
    <t>14053.004.1020.834</t>
  </si>
  <si>
    <t>24-09-1987</t>
  </si>
  <si>
    <t>MIE AYAM BAROKAH</t>
  </si>
  <si>
    <t>14053.002.1020.835</t>
  </si>
  <si>
    <t>14053.003.1020.836</t>
  </si>
  <si>
    <t>30-10-2002</t>
  </si>
  <si>
    <t>PUSKESMAS SUMBERSARI</t>
  </si>
  <si>
    <t>14053.002.1020.837</t>
  </si>
  <si>
    <t>TOKO FOTO COPY</t>
  </si>
  <si>
    <t>14053.002.1020.838</t>
  </si>
  <si>
    <t>05-01-2002</t>
  </si>
  <si>
    <t>14053.001.1020.839</t>
  </si>
  <si>
    <t>18-04-1971</t>
  </si>
  <si>
    <t>KABUPATEN PROBOLINGGO</t>
  </si>
  <si>
    <t>14053.001.1020.840</t>
  </si>
  <si>
    <t>02-09-1974</t>
  </si>
  <si>
    <t>14053.002.1020.841</t>
  </si>
  <si>
    <t>22-04-1992</t>
  </si>
  <si>
    <t>14053.003.1020.842</t>
  </si>
  <si>
    <t>03-04-1985</t>
  </si>
  <si>
    <t>14053.003.1020.843</t>
  </si>
  <si>
    <t>22-05-1985</t>
  </si>
  <si>
    <t>DAPUR CHANTIKA</t>
  </si>
  <si>
    <t>14053.003.1020.844</t>
  </si>
  <si>
    <t>14053.001.1020.845</t>
  </si>
  <si>
    <t>14-10-1954</t>
  </si>
  <si>
    <t>14053.001.1020.846</t>
  </si>
  <si>
    <t>02-07-1962</t>
  </si>
  <si>
    <t>14053.004.1020.847</t>
  </si>
  <si>
    <t>14053.004.1020.848</t>
  </si>
  <si>
    <t>14053.001.1020.849</t>
  </si>
  <si>
    <t>09-02-1995</t>
  </si>
  <si>
    <t xml:space="preserve">TOKO BANGUNAN </t>
  </si>
  <si>
    <t>ARTA JAYA SA</t>
  </si>
  <si>
    <t>14053.005.1020.850</t>
  </si>
  <si>
    <t>22-10-1977</t>
  </si>
  <si>
    <t>14053.004.1020.851</t>
  </si>
  <si>
    <t>09-02-1997</t>
  </si>
  <si>
    <t>WARUNG SEMBAKO</t>
  </si>
  <si>
    <t>14053.006.1020.853</t>
  </si>
  <si>
    <t>25-02-1987</t>
  </si>
  <si>
    <t>KONTRAKTOR</t>
  </si>
  <si>
    <t>14053.004.1020.855</t>
  </si>
  <si>
    <t>JASA PIJAT URUT</t>
  </si>
  <si>
    <t>14053.001.1020.856</t>
  </si>
  <si>
    <t>29-12-1983</t>
  </si>
  <si>
    <t>14053.001.1020.857</t>
  </si>
  <si>
    <t>14053.006.1020.858</t>
  </si>
  <si>
    <t>CV NIAGARA</t>
  </si>
  <si>
    <t>14053.001.1020.859</t>
  </si>
  <si>
    <t>15-09-1997</t>
  </si>
  <si>
    <t xml:space="preserve">BEEJAY BAKAU RESORT </t>
  </si>
  <si>
    <t>14053.003.1020.860</t>
  </si>
  <si>
    <t>27-09-1966</t>
  </si>
  <si>
    <t>14053.004.1020.861</t>
  </si>
  <si>
    <t>25-02-1975</t>
  </si>
  <si>
    <t>14053.002.1020.862</t>
  </si>
  <si>
    <t>KEMENAS KAB</t>
  </si>
  <si>
    <t>MIN 2 MARON</t>
  </si>
  <si>
    <t>14053.003.1020.863</t>
  </si>
  <si>
    <t>14053.002.1020.864</t>
  </si>
  <si>
    <t>14053.001.1020.865</t>
  </si>
  <si>
    <t>AKKAS</t>
  </si>
  <si>
    <t>14053.003.1020.866</t>
  </si>
  <si>
    <t>21-08-1992</t>
  </si>
  <si>
    <t>14053.003.1020.867</t>
  </si>
  <si>
    <t>14053.004.1020.868</t>
  </si>
  <si>
    <t>MPM MOTOR BANYUWANGI</t>
  </si>
  <si>
    <t>14053.004.1020.869</t>
  </si>
  <si>
    <t>14053.001.1020.870</t>
  </si>
  <si>
    <t>14053.002.1020.871</t>
  </si>
  <si>
    <t>16-08-1971</t>
  </si>
  <si>
    <t>14053.004.1020.872</t>
  </si>
  <si>
    <t>19-08-2006</t>
  </si>
  <si>
    <t>APOTEK</t>
  </si>
  <si>
    <t>14053.002.1020.873</t>
  </si>
  <si>
    <t>21-07-1981</t>
  </si>
  <si>
    <t>JUAL ES DAN GORENGAN</t>
  </si>
  <si>
    <t>14053.002.1020.874</t>
  </si>
  <si>
    <t>31-08-1970</t>
  </si>
  <si>
    <t>14053.005.1020.875</t>
  </si>
  <si>
    <t>23-09-1953</t>
  </si>
  <si>
    <t>14053.001.1020.876</t>
  </si>
  <si>
    <t xml:space="preserve">PENGADILAN NEGRI </t>
  </si>
  <si>
    <t>14053.001.1020.877</t>
  </si>
  <si>
    <t>14-03-1973</t>
  </si>
  <si>
    <t>SURYA KENCANA</t>
  </si>
  <si>
    <t>14053.001.1020.878</t>
  </si>
  <si>
    <t>27-11-1998</t>
  </si>
  <si>
    <t>14053.004.1020.879</t>
  </si>
  <si>
    <t>23-12-1983</t>
  </si>
  <si>
    <t>PT YAKULT</t>
  </si>
  <si>
    <t>14053.001.1020.880</t>
  </si>
  <si>
    <t>14053.001.1020.881</t>
  </si>
  <si>
    <t>19-11-2003</t>
  </si>
  <si>
    <t>14053.001.1020.882</t>
  </si>
  <si>
    <t>26-10-2003</t>
  </si>
  <si>
    <t>14053.003.1020.883</t>
  </si>
  <si>
    <t>17-05-1977</t>
  </si>
  <si>
    <t>KEDAI BU WIN</t>
  </si>
  <si>
    <t>14053.001.1020.884</t>
  </si>
  <si>
    <t>21-08-1989</t>
  </si>
  <si>
    <t>14053.001.1020.885</t>
  </si>
  <si>
    <t>14053.002.1020.886</t>
  </si>
  <si>
    <t>25-03-1988</t>
  </si>
  <si>
    <t>BERKAH ALUMUNIUM</t>
  </si>
  <si>
    <t>14053.002.1020.887</t>
  </si>
  <si>
    <t>27-10-1966</t>
  </si>
  <si>
    <t>KONVEKSI BU ANIK</t>
  </si>
  <si>
    <t>14053.001.1020.888</t>
  </si>
  <si>
    <t>19-03-1989</t>
  </si>
  <si>
    <t xml:space="preserve">SERVICE ELEKTRONIK </t>
  </si>
  <si>
    <t>14053.004.1020.889</t>
  </si>
  <si>
    <t>18-01-1991</t>
  </si>
  <si>
    <t>14053.001.1020.890</t>
  </si>
  <si>
    <t>26-08-1982</t>
  </si>
  <si>
    <t>14053.004.1020.891</t>
  </si>
  <si>
    <t>04-11-1986</t>
  </si>
  <si>
    <t>14053.001.1020.893</t>
  </si>
  <si>
    <t>21-11-2001</t>
  </si>
  <si>
    <t>14053.001.1020.894</t>
  </si>
  <si>
    <t>25-02-1995</t>
  </si>
  <si>
    <t>14053.001.1020.895</t>
  </si>
  <si>
    <t>14053.001.1020.897</t>
  </si>
  <si>
    <t>30-04-1983</t>
  </si>
  <si>
    <t>POLRESTA PROBOLINGGO</t>
  </si>
  <si>
    <t>14053.006.1020.899</t>
  </si>
  <si>
    <t>14053.004.1020.900</t>
  </si>
  <si>
    <t>07-10-1988</t>
  </si>
  <si>
    <t>14053.004.1020.901</t>
  </si>
  <si>
    <t>14053.004.1020.902</t>
  </si>
  <si>
    <t>15-06-2003</t>
  </si>
  <si>
    <t>14053.001.1020.903</t>
  </si>
  <si>
    <t>14-10-1992</t>
  </si>
  <si>
    <t xml:space="preserve">PT ARIA </t>
  </si>
  <si>
    <t>14053.003.1020.904</t>
  </si>
  <si>
    <t>06-04-1967</t>
  </si>
  <si>
    <t>14053.002.1020.905</t>
  </si>
  <si>
    <t>18-02-1943</t>
  </si>
  <si>
    <t>14053.003.1020.906</t>
  </si>
  <si>
    <t>20-07-1984</t>
  </si>
  <si>
    <t>14053.001.1020.907</t>
  </si>
  <si>
    <t>15-10-1975</t>
  </si>
  <si>
    <t>RAJA PETIS</t>
  </si>
  <si>
    <t>14053.003.1020.908</t>
  </si>
  <si>
    <t>09-09-1974</t>
  </si>
  <si>
    <t>14053.006.1020.909</t>
  </si>
  <si>
    <t>29-10-1982</t>
  </si>
  <si>
    <t>ASUH ANAK</t>
  </si>
  <si>
    <t>14053.001.1020.910</t>
  </si>
  <si>
    <t>09-06-1957</t>
  </si>
  <si>
    <t xml:space="preserve">SEWA WARUNG </t>
  </si>
  <si>
    <t>14053.003.1020.911</t>
  </si>
  <si>
    <t>14053.002.1020.912</t>
  </si>
  <si>
    <t>30-08-1976</t>
  </si>
  <si>
    <t>14053.002.1020.913</t>
  </si>
  <si>
    <t>24-10-1983</t>
  </si>
  <si>
    <t>14053.003.1020.914</t>
  </si>
  <si>
    <t>29-10-1990</t>
  </si>
  <si>
    <t>14053.004.1020.915</t>
  </si>
  <si>
    <t>05-10-2003</t>
  </si>
  <si>
    <t>14053.004.1020.916</t>
  </si>
  <si>
    <t>06-09-2002</t>
  </si>
  <si>
    <t>OFFICE BOY</t>
  </si>
  <si>
    <t>14053.005.1020.917</t>
  </si>
  <si>
    <t>13-10-1977</t>
  </si>
  <si>
    <t>KULINER (JUALAN ES)</t>
  </si>
  <si>
    <t>14053.005.1020.918</t>
  </si>
  <si>
    <t>08-01-1974</t>
  </si>
  <si>
    <t>14053.005.1020.919</t>
  </si>
  <si>
    <t>18-06-1958</t>
  </si>
  <si>
    <t>KULINER (NASI BUNGKUS, DAGING AYAM)</t>
  </si>
  <si>
    <t>14053.002.1020.920</t>
  </si>
  <si>
    <t>23-03-1960</t>
  </si>
  <si>
    <t>14053.005.1020.921</t>
  </si>
  <si>
    <t>14053.003.1020.922</t>
  </si>
  <si>
    <t>ES TEH JUMBO</t>
  </si>
  <si>
    <t>14053.001.1020.923</t>
  </si>
  <si>
    <t>12-12-1994</t>
  </si>
  <si>
    <t xml:space="preserve">WARUNG BUNDA </t>
  </si>
  <si>
    <t>14053.006.1020.924</t>
  </si>
  <si>
    <t>14053.005.1020.925</t>
  </si>
  <si>
    <t>27-07-1970</t>
  </si>
  <si>
    <t>KULINER (NASI SAMBELAN)</t>
  </si>
  <si>
    <t>14053.001.1020.926</t>
  </si>
  <si>
    <t>14053.001.1020.927</t>
  </si>
  <si>
    <t>08-01-1992</t>
  </si>
  <si>
    <t xml:space="preserve">SYALOM EDUCATION CENTER </t>
  </si>
  <si>
    <t>14053.001.1020.928</t>
  </si>
  <si>
    <t>29-01-1966</t>
  </si>
  <si>
    <t>UD AKAS (PABRIK BERAS)</t>
  </si>
  <si>
    <t>14053.005.1020.929</t>
  </si>
  <si>
    <t>15-02-1999</t>
  </si>
  <si>
    <t>KULINER DAN EKSPEDISI</t>
  </si>
  <si>
    <t>YO-YU</t>
  </si>
  <si>
    <t>14053.004.1020.930</t>
  </si>
  <si>
    <t>DAPUR UMAMA</t>
  </si>
  <si>
    <t>14053.002.1020.931</t>
  </si>
  <si>
    <t>06-04-1980</t>
  </si>
  <si>
    <t>SDN AL IRSYAD</t>
  </si>
  <si>
    <t>14053.004.1020.932</t>
  </si>
  <si>
    <t>22-06-2001</t>
  </si>
  <si>
    <t>FIF GROUP</t>
  </si>
  <si>
    <t>14053.001.1020.933</t>
  </si>
  <si>
    <t>31-12-1992</t>
  </si>
  <si>
    <t>14053.003.1020.934</t>
  </si>
  <si>
    <t>CITRA ABADI</t>
  </si>
  <si>
    <t>14053.002.1020.935</t>
  </si>
  <si>
    <t>SPBE GENDING</t>
  </si>
  <si>
    <t>14053.001.1020.936</t>
  </si>
  <si>
    <t>21-04-2003</t>
  </si>
  <si>
    <t>14053.001.1020.937</t>
  </si>
  <si>
    <t>14053.001.1020.938</t>
  </si>
  <si>
    <t>11-12-1979</t>
  </si>
  <si>
    <t>14053.004.1020.939</t>
  </si>
  <si>
    <t>01-05-1996</t>
  </si>
  <si>
    <t>14053.003.1020.940</t>
  </si>
  <si>
    <t>24-04-2005</t>
  </si>
  <si>
    <t>14053.001.1020.941</t>
  </si>
  <si>
    <t>NASI GORENG</t>
  </si>
  <si>
    <t>14053.001.1020.942</t>
  </si>
  <si>
    <t>30-03-2003</t>
  </si>
  <si>
    <t>14053.001.1020.944</t>
  </si>
  <si>
    <t xml:space="preserve">PENGEPUL RONGSOKAN </t>
  </si>
  <si>
    <t>14053.001.1020.945</t>
  </si>
  <si>
    <t>14053.004.1020.946</t>
  </si>
  <si>
    <t>HYDAR BARBERSHOP</t>
  </si>
  <si>
    <t>14053.001.1020.947</t>
  </si>
  <si>
    <t>27-06-1993</t>
  </si>
  <si>
    <t xml:space="preserve">VAPOR KING </t>
  </si>
  <si>
    <t>14053.004.1020.948</t>
  </si>
  <si>
    <t>05-05-2002</t>
  </si>
  <si>
    <t>WARNG SEAFOOD WES</t>
  </si>
  <si>
    <t>14053.002.1020.949</t>
  </si>
  <si>
    <t>08-05-1996</t>
  </si>
  <si>
    <t>14053.002.1020.950</t>
  </si>
  <si>
    <t>14053.001.1020.951</t>
  </si>
  <si>
    <t>05-01-1977</t>
  </si>
  <si>
    <t xml:space="preserve">WARUNG </t>
  </si>
  <si>
    <t>14053.001.1020.952</t>
  </si>
  <si>
    <t>20-04-2004</t>
  </si>
  <si>
    <t>JL PANJAITAN NO 62C</t>
  </si>
  <si>
    <t>14053.001.1020.953</t>
  </si>
  <si>
    <t>04-03-1996</t>
  </si>
  <si>
    <t>BANYAN TREE GROUP</t>
  </si>
  <si>
    <t>14053.001.1020.954</t>
  </si>
  <si>
    <t>07-01-1976</t>
  </si>
  <si>
    <t xml:space="preserve">PENJUALA SAYURAN </t>
  </si>
  <si>
    <t>14053.001.1020.955</t>
  </si>
  <si>
    <t>14053.001.1020.956</t>
  </si>
  <si>
    <t xml:space="preserve">PENJUAL KUE BASAH </t>
  </si>
  <si>
    <t>14053.001.1020.957</t>
  </si>
  <si>
    <t>15-10-1990</t>
  </si>
  <si>
    <t>14053.001.1020.958</t>
  </si>
  <si>
    <t>14053.005.1020.959</t>
  </si>
  <si>
    <t>KOMUNITAS KUBE</t>
  </si>
  <si>
    <t>14053.001.1020.960</t>
  </si>
  <si>
    <t>04-06-1975</t>
  </si>
  <si>
    <t>14053.001.1020.961</t>
  </si>
  <si>
    <t>02-06-1985</t>
  </si>
  <si>
    <t xml:space="preserve">GRAND VISION </t>
  </si>
  <si>
    <t>14053.001.1020.962</t>
  </si>
  <si>
    <t>GRAND VISION</t>
  </si>
  <si>
    <t>14053.003.1020.963</t>
  </si>
  <si>
    <t>14053.004.1020.964</t>
  </si>
  <si>
    <t>25-04-1995</t>
  </si>
  <si>
    <t>14053.005.1020.965</t>
  </si>
  <si>
    <t>14053.004.1020.966</t>
  </si>
  <si>
    <t>14053.004.1020.967</t>
  </si>
  <si>
    <t>WARUNG BU SUL</t>
  </si>
  <si>
    <t>14053.002.1020.968</t>
  </si>
  <si>
    <t>25-11-1993</t>
  </si>
  <si>
    <t>NOVA FASHION</t>
  </si>
  <si>
    <t>14053.004.1020.969</t>
  </si>
  <si>
    <t>30-06-1970</t>
  </si>
  <si>
    <t>WARUNG MAKANAN</t>
  </si>
  <si>
    <t>WARUNG JAMILA</t>
  </si>
  <si>
    <t>14053.001.1020.970</t>
  </si>
  <si>
    <t>26-08-2000</t>
  </si>
  <si>
    <t>PT GLOBAL MEDIKA DIGITAMA</t>
  </si>
  <si>
    <t>14053.003.1020.971</t>
  </si>
  <si>
    <t>14053.001.1020.972</t>
  </si>
  <si>
    <t>04-03-1970</t>
  </si>
  <si>
    <t xml:space="preserve">WARUNG KOPI </t>
  </si>
  <si>
    <t>14053.002.1020.973</t>
  </si>
  <si>
    <t>16-09-1976</t>
  </si>
  <si>
    <t>14053.004.1020.974</t>
  </si>
  <si>
    <t>02-01-1994</t>
  </si>
  <si>
    <t>INTERNET</t>
  </si>
  <si>
    <t>BANTENGNET</t>
  </si>
  <si>
    <t>14053.005.1020.975</t>
  </si>
  <si>
    <t>16-08-1969</t>
  </si>
  <si>
    <t>14053.003.1020.976</t>
  </si>
  <si>
    <t>03-02-1988</t>
  </si>
  <si>
    <t>RUMAH SAYUR</t>
  </si>
  <si>
    <t>14053.005.1020.977</t>
  </si>
  <si>
    <t>26-06-1967</t>
  </si>
  <si>
    <t>14053.005.1020.978</t>
  </si>
  <si>
    <t>10-09-1971</t>
  </si>
  <si>
    <t>14053.002.1020.979</t>
  </si>
  <si>
    <t>01-07-1966</t>
  </si>
  <si>
    <t>14053.001.1020.980</t>
  </si>
  <si>
    <t>28-09-1994</t>
  </si>
  <si>
    <t xml:space="preserve">PERIKANAN </t>
  </si>
  <si>
    <t xml:space="preserve">CV BAHARI JAYA MAKMUR MANDIRI </t>
  </si>
  <si>
    <t>14053.003.1020.981</t>
  </si>
  <si>
    <t>SDN KEPATIHAN 01</t>
  </si>
  <si>
    <t>14053.001.1020.982</t>
  </si>
  <si>
    <t>25-06-1974</t>
  </si>
  <si>
    <t>14053.003.1020.983</t>
  </si>
  <si>
    <t>14053.003.1020.984</t>
  </si>
  <si>
    <t>06-04-1966</t>
  </si>
  <si>
    <t>14053.001.1020.985</t>
  </si>
  <si>
    <t>18-12-1975</t>
  </si>
  <si>
    <t>14053.004.1020.986</t>
  </si>
  <si>
    <t>07-11-1991</t>
  </si>
  <si>
    <t>14053.001.1020.987</t>
  </si>
  <si>
    <t>20-03-1996</t>
  </si>
  <si>
    <t xml:space="preserve">TK PUSPORINI </t>
  </si>
  <si>
    <t>14053.004.1020.988</t>
  </si>
  <si>
    <t>21-07-1995</t>
  </si>
  <si>
    <t>PT BORWITA CITRA PRIMA</t>
  </si>
  <si>
    <t>14053.005.1020.989</t>
  </si>
  <si>
    <t>KERAJINAN DAN KULINER</t>
  </si>
  <si>
    <t>14053.001.1020.990</t>
  </si>
  <si>
    <t>23-04-1999</t>
  </si>
  <si>
    <t>14053.001.1020.991</t>
  </si>
  <si>
    <t>28-05-2004</t>
  </si>
  <si>
    <t>14053.001.1020.992</t>
  </si>
  <si>
    <t>25-10-1997</t>
  </si>
  <si>
    <t xml:space="preserve">TEKNISI </t>
  </si>
  <si>
    <t>14053.001.1020.993</t>
  </si>
  <si>
    <t xml:space="preserve">HARAPAN JAYA DIESEL </t>
  </si>
  <si>
    <t>14053.001.1020.994</t>
  </si>
  <si>
    <t>06-11-1983</t>
  </si>
  <si>
    <t xml:space="preserve">Warung kopi </t>
  </si>
  <si>
    <t>14053.002.1020.995</t>
  </si>
  <si>
    <t>26-12-1977</t>
  </si>
  <si>
    <t>14053.005.1020.996</t>
  </si>
  <si>
    <t>23-10-1975</t>
  </si>
  <si>
    <t>14053.001.1020.997</t>
  </si>
  <si>
    <t>14-01-1999</t>
  </si>
  <si>
    <t xml:space="preserve">GRAHA MULIA TOSERBA PROBOLINGGO </t>
  </si>
  <si>
    <t>14053.001.1020.998</t>
  </si>
  <si>
    <t>08-09-2004</t>
  </si>
  <si>
    <t>14053.001.1020.999</t>
  </si>
  <si>
    <t>26-10-2004</t>
  </si>
  <si>
    <t>14053.004.1021.000</t>
  </si>
  <si>
    <t>26-01-1996</t>
  </si>
  <si>
    <t>bakul mie</t>
  </si>
  <si>
    <t>14053.005.1021.001</t>
  </si>
  <si>
    <t>06-08-2001</t>
  </si>
  <si>
    <t>BUNGA SEGAR</t>
  </si>
  <si>
    <t>14053.001.1021.002</t>
  </si>
  <si>
    <t>06-05-1982</t>
  </si>
  <si>
    <t xml:space="preserve">PT BKM </t>
  </si>
  <si>
    <t>14053.001.1021.003</t>
  </si>
  <si>
    <t>16-02-2009</t>
  </si>
  <si>
    <t>14053.001.1021.004</t>
  </si>
  <si>
    <t>21-02-2004</t>
  </si>
  <si>
    <t xml:space="preserve">LAWEAN </t>
  </si>
  <si>
    <t>14053.004.1021.005</t>
  </si>
  <si>
    <t>14-04-1998</t>
  </si>
  <si>
    <t>warung 24 jam</t>
  </si>
  <si>
    <t>Warung 24 jam</t>
  </si>
  <si>
    <t>14053.001.1021.006</t>
  </si>
  <si>
    <t>14053.005.1021.007</t>
  </si>
  <si>
    <t>14053.005.1021.008</t>
  </si>
  <si>
    <t>26-09-1975</t>
  </si>
  <si>
    <t>14053.004.1021.009</t>
  </si>
  <si>
    <t>13-02-1986</t>
  </si>
  <si>
    <t>14053.002.1021.010</t>
  </si>
  <si>
    <t>02-01-1954</t>
  </si>
  <si>
    <t>LAPAS RUTAN</t>
  </si>
  <si>
    <t>14053.006.1021.011</t>
  </si>
  <si>
    <t>28-12-2002</t>
  </si>
  <si>
    <t>14053.001.1021.012</t>
  </si>
  <si>
    <t>13-05-1996</t>
  </si>
  <si>
    <t>14053.002.1021.013</t>
  </si>
  <si>
    <t>04-01-1980</t>
  </si>
  <si>
    <t>14053.003.1021.014</t>
  </si>
  <si>
    <t>STUDIO FOTO UDINESE</t>
  </si>
  <si>
    <t>14053.005.1021.015</t>
  </si>
  <si>
    <t>05-04-2006</t>
  </si>
  <si>
    <t>14053.001.1021.016</t>
  </si>
  <si>
    <t>14053.002.1021.017</t>
  </si>
  <si>
    <t>14053.006.1021.018</t>
  </si>
  <si>
    <t>14053.003.1021.019</t>
  </si>
  <si>
    <t>14053.001.1021.020</t>
  </si>
  <si>
    <t>21-04-1983</t>
  </si>
  <si>
    <t>PT ARIA INDAH ABADI</t>
  </si>
  <si>
    <t>14053.001.1021.021</t>
  </si>
  <si>
    <t>14053.004.1021.022</t>
  </si>
  <si>
    <t>21-07-1987</t>
  </si>
  <si>
    <t>PT ASTRA INTERNATIONAL</t>
  </si>
  <si>
    <t>14053.005.1021.023</t>
  </si>
  <si>
    <t>14053.002.1021.024</t>
  </si>
  <si>
    <t>14053.005.1021.025</t>
  </si>
  <si>
    <t>07-10-1973</t>
  </si>
  <si>
    <t>KOMUNITAS BU TRIANDARI</t>
  </si>
  <si>
    <t>14053.004.1021.026</t>
  </si>
  <si>
    <t>PT JAYATAMA</t>
  </si>
  <si>
    <t>14053.002.1021.027</t>
  </si>
  <si>
    <t>09-06-1981</t>
  </si>
  <si>
    <t>14053.006.1021.028</t>
  </si>
  <si>
    <t>14053.002.1021.029</t>
  </si>
  <si>
    <t>08-04-2008</t>
  </si>
  <si>
    <t>14053.005.1021.030</t>
  </si>
  <si>
    <t>17-09-1976</t>
  </si>
  <si>
    <t>14053.001.1021.031</t>
  </si>
  <si>
    <t>11-10-1987</t>
  </si>
  <si>
    <t xml:space="preserve">PT INOVASI TUMBUH INSKLUSIF </t>
  </si>
  <si>
    <t>14053.001.1021.032</t>
  </si>
  <si>
    <t>12-06-2005</t>
  </si>
  <si>
    <t xml:space="preserve">KARYAWAN SWASTA </t>
  </si>
  <si>
    <t xml:space="preserve">NIPPON PAINT </t>
  </si>
  <si>
    <t>14053.003.1021.033</t>
  </si>
  <si>
    <t>CUIMIE AYAM CELLO</t>
  </si>
  <si>
    <t>14053.001.1021.034</t>
  </si>
  <si>
    <t>12-02-1990</t>
  </si>
  <si>
    <t xml:space="preserve">AMANATUL UMMAH </t>
  </si>
  <si>
    <t>14053.003.1021.035</t>
  </si>
  <si>
    <t>18-06-1997</t>
  </si>
  <si>
    <t>YAMAHA</t>
  </si>
  <si>
    <t>14053.006.1021.036</t>
  </si>
  <si>
    <t>14053.001.1021.037</t>
  </si>
  <si>
    <t>10-07-1966</t>
  </si>
  <si>
    <t>APOTEK SUMBER BARU, JUAL SAMBAL GORENG KENTANG</t>
  </si>
  <si>
    <t>14053.001.1021.038</t>
  </si>
  <si>
    <t>22-07-2000</t>
  </si>
  <si>
    <t>14053.001.1021.039</t>
  </si>
  <si>
    <t>26-10-2000</t>
  </si>
  <si>
    <t>14053.001.1021.040</t>
  </si>
  <si>
    <t>24-09-2006</t>
  </si>
  <si>
    <t>14053.003.1021.041</t>
  </si>
  <si>
    <t>12-12-2007</t>
  </si>
  <si>
    <t>14053.001.1021.042</t>
  </si>
  <si>
    <t>BENGKEL MOTOR</t>
  </si>
  <si>
    <t>BENGKEL MOTOR PAK TONO</t>
  </si>
  <si>
    <t>14053.006.1021.043</t>
  </si>
  <si>
    <t>05-06-1970</t>
  </si>
  <si>
    <t>14053.001.1021.044</t>
  </si>
  <si>
    <t>14053.005.1021.045</t>
  </si>
  <si>
    <t>15-09-1991</t>
  </si>
  <si>
    <t>14053.001.1021.046</t>
  </si>
  <si>
    <t>14-04-1994</t>
  </si>
  <si>
    <t>NUSA INDAH TRANSPORT</t>
  </si>
  <si>
    <t>14053.001.1021.047</t>
  </si>
  <si>
    <t>13-04-2004</t>
  </si>
  <si>
    <t xml:space="preserve">BELPEPPER CAFE </t>
  </si>
  <si>
    <t>14053.001.1021.048</t>
  </si>
  <si>
    <t>30-11-1975</t>
  </si>
  <si>
    <t>PEDAGANG PASAR</t>
  </si>
  <si>
    <t>14053.001.1021.049</t>
  </si>
  <si>
    <t>TOKO KUE</t>
  </si>
  <si>
    <t>TOKO KUE SRI WULAN</t>
  </si>
  <si>
    <t>P03.3098</t>
  </si>
  <si>
    <t>10721/P03.3098/P03/12/2024</t>
  </si>
  <si>
    <t>PEMBELIAN 1 UNIT KOMPRESOR DAN ALAT PRES</t>
  </si>
  <si>
    <t>P01.5275</t>
  </si>
  <si>
    <t>10494/P01.5275/P01/10/2024</t>
  </si>
  <si>
    <t>PEMBELIAN KULKAS</t>
  </si>
  <si>
    <t>P01.5457</t>
  </si>
  <si>
    <t>10949/P01.5457/P01/01/2025</t>
  </si>
  <si>
    <t>PINJAM TABUNG</t>
  </si>
  <si>
    <t>P02.1567</t>
  </si>
  <si>
    <t>9621/P02.1567/P02/03/2024</t>
  </si>
  <si>
    <t>PEMBELIAN LAPTOP UNTUK SARANA KERJA</t>
  </si>
  <si>
    <t>P01.5139</t>
  </si>
  <si>
    <t>10163/P01.5139/P01/08/2024</t>
  </si>
  <si>
    <t>MEMBAYAR PINJAMAN DI TEMPAT LAIN</t>
  </si>
  <si>
    <t>P01.4863</t>
  </si>
  <si>
    <t>9526/P01.4863/P01/03/2024</t>
  </si>
  <si>
    <t>Modal USaha baju</t>
  </si>
  <si>
    <t>P01.4899</t>
  </si>
  <si>
    <t>9598/P01.4899/P01/03/2024</t>
  </si>
  <si>
    <t>DEPOSITO SIJATRA</t>
  </si>
  <si>
    <t>P02.1742</t>
  </si>
  <si>
    <t>11237/P02.1742/P02/03/2025</t>
  </si>
  <si>
    <t>P01.5240</t>
  </si>
  <si>
    <t>10387/P01.5240/P01/10/2024</t>
  </si>
  <si>
    <t>P02.1775</t>
  </si>
  <si>
    <t>11583/P02.1775/P02/05/2025</t>
  </si>
  <si>
    <t>P01.5605</t>
  </si>
  <si>
    <t>11370/P01.5605/P01/03/2025</t>
  </si>
  <si>
    <t>P01.4821</t>
  </si>
  <si>
    <t>9412/P01.4821/P01/02/2024</t>
  </si>
  <si>
    <t>P01.5351</t>
  </si>
  <si>
    <t>10693/P01.5351/P01/12/2024</t>
  </si>
  <si>
    <t>P01.5736</t>
  </si>
  <si>
    <t>11601/P01.5736/P01/05/2025</t>
  </si>
  <si>
    <t>PENGOBATAN SAUDARA</t>
  </si>
  <si>
    <t>P01.5612</t>
  </si>
  <si>
    <t>11349/P01.5612/P01/03/2025</t>
  </si>
  <si>
    <t>P01.5156</t>
  </si>
  <si>
    <t>10224/P01.5156/P01/08/2024</t>
  </si>
  <si>
    <t>P01.5314</t>
  </si>
  <si>
    <t>10498/P01.5314/P01/11/2024</t>
  </si>
  <si>
    <t>P03.3163</t>
  </si>
  <si>
    <t>10947/P03.3163/P03/01/2025</t>
  </si>
  <si>
    <t>PEMBELIAN ALAT CT SCAN</t>
  </si>
  <si>
    <t>P01.5421</t>
  </si>
  <si>
    <t>10896/P01.5421/P01/01/2025</t>
  </si>
  <si>
    <t>TRAVELING</t>
  </si>
  <si>
    <t>P01.4964</t>
  </si>
  <si>
    <t>9734/P01.4964/P01/04/2024</t>
  </si>
  <si>
    <t>P03.2963</t>
  </si>
  <si>
    <t>10375/P03.2963/P03/09/2024</t>
  </si>
  <si>
    <t>MENGEMBANGKAN USAHA BAHAN KIMIA</t>
  </si>
  <si>
    <t>P01.5630</t>
  </si>
  <si>
    <t>11392/P01.5630/P01/04/2025</t>
  </si>
  <si>
    <t>P01.4999</t>
  </si>
  <si>
    <t>9816/P01.4999/P01/05/2024</t>
  </si>
  <si>
    <t>UNTUK ACARA PERNIKAHAN</t>
  </si>
  <si>
    <t>P02.1506</t>
  </si>
  <si>
    <t>9265/P02.1506/P02/01/2024</t>
  </si>
  <si>
    <t>SEWA RUKO DI BALI</t>
  </si>
  <si>
    <t>P01.5615</t>
  </si>
  <si>
    <t>11387/P01.5615/P01/03/2025</t>
  </si>
  <si>
    <t>PERSIAPAN HARI RAYA</t>
  </si>
  <si>
    <t>P03.3289</t>
  </si>
  <si>
    <t>11236/P03.3289/P03/03/2025</t>
  </si>
  <si>
    <t>JAMINAN PINJAMAN 25 JUTA</t>
  </si>
  <si>
    <t>P03.2684</t>
  </si>
  <si>
    <t>9450/P03.2684/P03/02/2024</t>
  </si>
  <si>
    <t>P02.1777</t>
  </si>
  <si>
    <t>11606/P02.1777/P02/05/2025</t>
  </si>
  <si>
    <t>P02.1738</t>
  </si>
  <si>
    <t>11152/P02.1738/P02/02/2025</t>
  </si>
  <si>
    <t>P03.3125</t>
  </si>
  <si>
    <t>10821/P03.3125/P03/01/2025</t>
  </si>
  <si>
    <t>USAHA TOKO</t>
  </si>
  <si>
    <t>P01.5448</t>
  </si>
  <si>
    <t>10901/P01.5448/P01/01/2025</t>
  </si>
  <si>
    <t>P02.1687</t>
  </si>
  <si>
    <t>10656/P02.1687/P02/11/2024</t>
  </si>
  <si>
    <t>TAMBAHAN MODAL USAHA JUAL BAJU</t>
  </si>
  <si>
    <t>P02.1668</t>
  </si>
  <si>
    <t>10444/P02.1668/P02/10/2024</t>
  </si>
  <si>
    <t>P01.5015</t>
  </si>
  <si>
    <t>9846/P01.5015/P01/05/2024</t>
  </si>
  <si>
    <t>P01.5665</t>
  </si>
  <si>
    <t>11431/P01.5665/P01/05/2025</t>
  </si>
  <si>
    <t>UMROH</t>
  </si>
  <si>
    <t>P01.5327</t>
  </si>
  <si>
    <t>10625/P01.5327/P01/11/2024</t>
  </si>
  <si>
    <t>P01.5635</t>
  </si>
  <si>
    <t>11420/P01.5635/P01/04/2025</t>
  </si>
  <si>
    <t>HEALING (JALAN-JALAN)</t>
  </si>
  <si>
    <t>P02.1699</t>
  </si>
  <si>
    <t>10734/P02.1699/P02/12/2024</t>
  </si>
  <si>
    <t>PEMASANGAN BEHEL ANAK</t>
  </si>
  <si>
    <t>P01.5033</t>
  </si>
  <si>
    <t>9923/P01.5033/P01/06/2024</t>
  </si>
  <si>
    <t>PERSIAPAN IDUL ADHA</t>
  </si>
  <si>
    <t>P01.5803</t>
  </si>
  <si>
    <t>11739/P01.5803/P01/06/2025</t>
  </si>
  <si>
    <t>MUDIK KE MEDAN</t>
  </si>
  <si>
    <t>P04.565</t>
  </si>
  <si>
    <t>9834/P04.565/P04/06/2024</t>
  </si>
  <si>
    <t>P03.2813</t>
  </si>
  <si>
    <t>9869/P03.2813/P03/06/2024</t>
  </si>
  <si>
    <t>P01.4986</t>
  </si>
  <si>
    <t>9785/P01.4986/P01/05/2024</t>
  </si>
  <si>
    <t>RENOVASI KAMAR MANDI</t>
  </si>
  <si>
    <t>P01.5741</t>
  </si>
  <si>
    <t>11527/P01.5740/P01/06/2025</t>
  </si>
  <si>
    <t>P08.319</t>
  </si>
  <si>
    <t>11667/P08.319/P08/06/2025</t>
  </si>
  <si>
    <t>P03.3159</t>
  </si>
  <si>
    <t>10803/P03.3159/P03/01/2025</t>
  </si>
  <si>
    <t>RENOVASI (USAHA) DAN BELI TANAH</t>
  </si>
  <si>
    <t>P01.5168</t>
  </si>
  <si>
    <t>10221/P01.5168/P01/08/2024</t>
  </si>
  <si>
    <t>MENIKAHKAN ANAK</t>
  </si>
  <si>
    <t>P01.5395</t>
  </si>
  <si>
    <t>10809/P01.5395/P01/12/2024</t>
  </si>
  <si>
    <t>P03.2823</t>
  </si>
  <si>
    <t>9942/P03.2823/P03/06/2024</t>
  </si>
  <si>
    <t>P01.5373</t>
  </si>
  <si>
    <t>10739/P01.5373/P01/12/2024</t>
  </si>
  <si>
    <t>P03.2968</t>
  </si>
  <si>
    <t>10398/P03.2968/P03/10/2024</t>
  </si>
  <si>
    <t>P03.3330</t>
  </si>
  <si>
    <t>11322/P03.3330/P03/03/2025</t>
  </si>
  <si>
    <t>JUAL BELI TANAH URUKAN</t>
  </si>
  <si>
    <t>P05.165</t>
  </si>
  <si>
    <t>11393/P05.165/P05/04/2025</t>
  </si>
  <si>
    <t>P02.1786</t>
  </si>
  <si>
    <t>11659/P02.1786/P02/06/2025</t>
  </si>
  <si>
    <t>P03.3348</t>
  </si>
  <si>
    <t>11355/P03.3348/P03/03/2025</t>
  </si>
  <si>
    <t>P03.3109</t>
  </si>
  <si>
    <t>10758/P03.3109/P03/12/2024</t>
  </si>
  <si>
    <t>BUKA USAHA</t>
  </si>
  <si>
    <t>P01.5259</t>
  </si>
  <si>
    <t>10432/P01.5259/P01/10/2024</t>
  </si>
  <si>
    <t>P01.5110</t>
  </si>
  <si>
    <t>10084/P01.5110/P01/07/2024</t>
  </si>
  <si>
    <t>P03.2908</t>
  </si>
  <si>
    <t>10181/P03.2908/P03/08/2024</t>
  </si>
  <si>
    <t>SEWA SAWAH</t>
  </si>
  <si>
    <t>P01.5438</t>
  </si>
  <si>
    <t>10874/P01.5438/P01/01/2025</t>
  </si>
  <si>
    <t>UNTUK KEPENTINGAN KELUARGA</t>
  </si>
  <si>
    <t>P01.5494</t>
  </si>
  <si>
    <t>10991/P01.5494/P01/02/2025</t>
  </si>
  <si>
    <t>COCOK TANAM</t>
  </si>
  <si>
    <t>P01.5536</t>
  </si>
  <si>
    <t>11130/P01.5536/P01/02/2025</t>
  </si>
  <si>
    <t>P01.5385</t>
  </si>
  <si>
    <t>10778/P01.5385/P01/12/2024</t>
  </si>
  <si>
    <t>P01.4916</t>
  </si>
  <si>
    <t>9615/P01.4916/P01/03/2024</t>
  </si>
  <si>
    <t>P03.3371</t>
  </si>
  <si>
    <t>11450/P03.3371/P03/04/2025</t>
  </si>
  <si>
    <t>MENANAM JAGUNG</t>
  </si>
  <si>
    <t>P01.5504</t>
  </si>
  <si>
    <t>11043/P01.5504/P01/02/2025</t>
  </si>
  <si>
    <t>P03.3369</t>
  </si>
  <si>
    <t>11429/P03.3369/P03/04/2025</t>
  </si>
  <si>
    <t>INVESTASI PROPERTI</t>
  </si>
  <si>
    <t>P01.5521</t>
  </si>
  <si>
    <t>11121/P01.5520/P01/02/2025</t>
  </si>
  <si>
    <t>P01.5366</t>
  </si>
  <si>
    <t>10509/P01.5366/P01/12/2024</t>
  </si>
  <si>
    <t>P03.3386</t>
  </si>
  <si>
    <t>11539/P03.3386/P03/05/2025</t>
  </si>
  <si>
    <t>P01.5750</t>
  </si>
  <si>
    <t>11642/P01.5750/P01/06/2025</t>
  </si>
  <si>
    <t>P02.1776</t>
  </si>
  <si>
    <t>11581/P02.1776/P02/05/2025</t>
  </si>
  <si>
    <t>P01.4882</t>
  </si>
  <si>
    <t>9522/P01.4882/P01/03/2024</t>
  </si>
  <si>
    <t>P03.3012</t>
  </si>
  <si>
    <t>10520/P03.3012/P03/11/2024</t>
  </si>
  <si>
    <t>P02.1795</t>
  </si>
  <si>
    <t>11715/P02.1795/P02/06/2025</t>
  </si>
  <si>
    <t>P03.3092</t>
  </si>
  <si>
    <t>10691/P03.3092/P03/12/2024</t>
  </si>
  <si>
    <t>P02.1590</t>
  </si>
  <si>
    <t>9732/P02.1590/P02/04/2024</t>
  </si>
  <si>
    <t>DP MESIN</t>
  </si>
  <si>
    <t>P02.1684</t>
  </si>
  <si>
    <t>10630/P02.1684/P02/11/2024</t>
  </si>
  <si>
    <t>PEMBELIAN HP DAN TAMBAHAN MODAL TANI</t>
  </si>
  <si>
    <t>P01.5470</t>
  </si>
  <si>
    <t>10987/P01.5470/P01/01/2025</t>
  </si>
  <si>
    <t>PEMBAYARAN HUTANG</t>
  </si>
  <si>
    <t>P01.5158</t>
  </si>
  <si>
    <t>10214/P01.5158/P01/08/2024</t>
  </si>
  <si>
    <t>P01.5381</t>
  </si>
  <si>
    <t>10750/P01.5381/P01/12/2024</t>
  </si>
  <si>
    <t>MENGURUS SERTIFIKAT RUMAH</t>
  </si>
  <si>
    <t>P03.2837</t>
  </si>
  <si>
    <t>9937/P03.2837/P03/06/2024</t>
  </si>
  <si>
    <t>P01.5603</t>
  </si>
  <si>
    <t>11345/P01.5603/P01/03/2025</t>
  </si>
  <si>
    <t>P01.5369</t>
  </si>
  <si>
    <t>10736/P01.5369/P01/12/2024</t>
  </si>
  <si>
    <t>HAJATAN 7 BULAN ANAK</t>
  </si>
  <si>
    <t>P01.5683</t>
  </si>
  <si>
    <t>11496/P01.5683/P01/05/2025</t>
  </si>
  <si>
    <t>P03.3350</t>
  </si>
  <si>
    <t>11397/P03.3350/P03/04/2025</t>
  </si>
  <si>
    <t>TAMBAHAN MODAL USAHA ROTI</t>
  </si>
  <si>
    <t>P01.5260</t>
  </si>
  <si>
    <t>10435/P01.5260/P01/10/2024</t>
  </si>
  <si>
    <t>TAMBAHAN MEMBELI SEPEDA</t>
  </si>
  <si>
    <t>P01.5427</t>
  </si>
  <si>
    <t>10899/P01.5427/P01/01/2025</t>
  </si>
  <si>
    <t>DEPOSITO TAHUNAN</t>
  </si>
  <si>
    <t>P03.2819</t>
  </si>
  <si>
    <t>9893/P03.2819/P03/06/2024</t>
  </si>
  <si>
    <t>TAMBAHAN MODAL MEROMBAK WARUNG</t>
  </si>
  <si>
    <t>P01.5565</t>
  </si>
  <si>
    <t>11229/P01.5565/P01/03/2025</t>
  </si>
  <si>
    <t>P03.3204</t>
  </si>
  <si>
    <t>11068/P03.3204/P03/02/2025</t>
  </si>
  <si>
    <t>TAMBAHAN MODAL JAMU</t>
  </si>
  <si>
    <t>P01.5799</t>
  </si>
  <si>
    <t>11759/P01.5799/P01/06/2025</t>
  </si>
  <si>
    <t>P01.5302</t>
  </si>
  <si>
    <t>10563/P01.5302/P01/11/2024</t>
  </si>
  <si>
    <t>SERVIS SEPEDA MOTOR</t>
  </si>
  <si>
    <t>P03.2666</t>
  </si>
  <si>
    <t>9362/P03.2666/P03/01/2024</t>
  </si>
  <si>
    <t>P01.5511</t>
  </si>
  <si>
    <t>11088/P01.5511/P01/02/2025</t>
  </si>
  <si>
    <t>P03.3111</t>
  </si>
  <si>
    <t>10784/P03.3111/P03/12/2024</t>
  </si>
  <si>
    <t>KULAKAN EMPING</t>
  </si>
  <si>
    <t>P01.5201</t>
  </si>
  <si>
    <t>10306/P01.5201/P01/09/2024</t>
  </si>
  <si>
    <t>P02.1711</t>
  </si>
  <si>
    <t>10820/P02.1711/P02/01/2025</t>
  </si>
  <si>
    <t>P01.5659</t>
  </si>
  <si>
    <t>11472/P01.5659/P01/04/2025</t>
  </si>
  <si>
    <t>TAMBAHAN MODAL DAN BIAYA PENDIDIKAN</t>
  </si>
  <si>
    <t>P03.3440</t>
  </si>
  <si>
    <t>11660/P03.3440/P03/06/2025</t>
  </si>
  <si>
    <t>PEMBAYARAN KONTRAKAN WARUNG</t>
  </si>
  <si>
    <t>P02.1747</t>
  </si>
  <si>
    <t>11261/P02.1747/P02/03/2025</t>
  </si>
  <si>
    <t>P01.5017</t>
  </si>
  <si>
    <t>9821/P01.5016/P01/05/2024</t>
  </si>
  <si>
    <t>P01.5590</t>
  </si>
  <si>
    <t>11332/P01.5590/P01/03/2025</t>
  </si>
  <si>
    <t>UNTUK BELI ALAT KESEHATAN</t>
  </si>
  <si>
    <t>P01.5130</t>
  </si>
  <si>
    <t>10124/P01.5130/P01/07/2024</t>
  </si>
  <si>
    <t>P01.5491</t>
  </si>
  <si>
    <t>11040/P01.5491/P01/02/2025</t>
  </si>
  <si>
    <t>PEMBELIAN EMAS</t>
  </si>
  <si>
    <t>P01.5390</t>
  </si>
  <si>
    <t>10699/P01.5390/P01/12/2024</t>
  </si>
  <si>
    <t>P03.2718</t>
  </si>
  <si>
    <t>9508/P03.2718/P03/03/2024</t>
  </si>
  <si>
    <t>P01.5193</t>
  </si>
  <si>
    <t>10276/P01.5193/P01/09/2024</t>
  </si>
  <si>
    <t>P01.5515</t>
  </si>
  <si>
    <t>11069/P01.5514/P01/02/2025</t>
  </si>
  <si>
    <t>P01.5573</t>
  </si>
  <si>
    <t>11224/P01.5573/P01/03/2025</t>
  </si>
  <si>
    <t>P05.141</t>
  </si>
  <si>
    <t>10017/P05.141/P05/07/2024</t>
  </si>
  <si>
    <t>P01.5249</t>
  </si>
  <si>
    <t>10409/P01.5249/P01/10/2024</t>
  </si>
  <si>
    <t>UNTUK KEBUTUHAN RUMAH TANGGA</t>
  </si>
  <si>
    <t>P01.5480</t>
  </si>
  <si>
    <t>11016/P01.5480/P01/02/2025</t>
  </si>
  <si>
    <t>MODAL USAHA ONLINE</t>
  </si>
  <si>
    <t>TAMBAHAN MODAL USAHA CATERING</t>
  </si>
  <si>
    <t>P01.4778</t>
  </si>
  <si>
    <t>9260/P01.4778/P01/01/2024</t>
  </si>
  <si>
    <t>PEMBELIAN SEPEDA MOTOR BEKAS</t>
  </si>
  <si>
    <t>P01.5106</t>
  </si>
  <si>
    <t>10051/P01.5106/P01/07/2024</t>
  </si>
  <si>
    <t>BIAYA UNTUK ADEK</t>
  </si>
  <si>
    <t>P01.5223</t>
  </si>
  <si>
    <t>10344/P01.5223/P01/09/2024</t>
  </si>
  <si>
    <t>P01.5434</t>
  </si>
  <si>
    <t>10826/P01.5434/P01/01/2025</t>
  </si>
  <si>
    <t>TAMBAHAN PEMBELIAN TANAH</t>
  </si>
  <si>
    <t>P03.3301</t>
  </si>
  <si>
    <t>11234/P03.3301/P03/03/2025</t>
  </si>
  <si>
    <t>P05.166</t>
  </si>
  <si>
    <t>11440/P05.166/P05/04/2025</t>
  </si>
  <si>
    <t>TAMBAHAN DANA PEMBELIAN MOBIL</t>
  </si>
  <si>
    <t>P03.3383</t>
  </si>
  <si>
    <t>11482/P03.3383/P03/05/2025</t>
  </si>
  <si>
    <t>P01.5657</t>
  </si>
  <si>
    <t>11399/P01.5657/P01/04/2025</t>
  </si>
  <si>
    <t>P01.5795</t>
  </si>
  <si>
    <t>11728/P01.5795/P01/06/2025</t>
  </si>
  <si>
    <t>TAKE OVER DARI KSP PANDU DANA MEKAR USAHA</t>
  </si>
  <si>
    <t>P02.1731</t>
  </si>
  <si>
    <t>11057/P02.1731/P02/02/2025</t>
  </si>
  <si>
    <t>P01.4892</t>
  </si>
  <si>
    <t>9566/P01.4891/P01/03/2024</t>
  </si>
  <si>
    <t>P02.1752</t>
  </si>
  <si>
    <t>11289/P02.1752/P02/03/2025</t>
  </si>
  <si>
    <t>KEPERLUAN LEBARAN</t>
  </si>
  <si>
    <t>P01.5368</t>
  </si>
  <si>
    <t>10737/P01.5368/P01/12/2024</t>
  </si>
  <si>
    <t>TAMBAHAN MODAL SELEP KELAPA</t>
  </si>
  <si>
    <t>P01.5792</t>
  </si>
  <si>
    <t>11713/P01.5792/P01/06/2025</t>
  </si>
  <si>
    <t>P04.568</t>
  </si>
  <si>
    <t>10083/P04.568/P04/07/2024</t>
  </si>
  <si>
    <t>P01.5122</t>
  </si>
  <si>
    <t>10092/P01.5122/P01/07/2024</t>
  </si>
  <si>
    <t>MELANJUTKAN PENDIDIKAN S2</t>
  </si>
  <si>
    <t>P08.317</t>
  </si>
  <si>
    <t>11509/P08.317/P08/05/2025</t>
  </si>
  <si>
    <t>P01.4824</t>
  </si>
  <si>
    <t>9386/P01.4824/P01/02/2024</t>
  </si>
  <si>
    <t>MELUNASI PINJAMAN DI KOPERASI SEKOLAH</t>
  </si>
  <si>
    <t>P01.5703</t>
  </si>
  <si>
    <t>11576/P01.5703/P01/05/2025</t>
  </si>
  <si>
    <t>UNTUK BAYAR UANG KULIAH ANAK</t>
  </si>
  <si>
    <t>P03.3054</t>
  </si>
  <si>
    <t>10610/P03.3054/P03/11/2024</t>
  </si>
  <si>
    <t>KEPERLUAN USAHA</t>
  </si>
  <si>
    <t>P03.3147</t>
  </si>
  <si>
    <t>10884/P03.3147/P03/01/2025</t>
  </si>
  <si>
    <t>P01.5135</t>
  </si>
  <si>
    <t>10154/P01.5135/P01/08/2024</t>
  </si>
  <si>
    <t>BIAYA PERNIKAHAN KAKAK</t>
  </si>
  <si>
    <t>P05.159</t>
  </si>
  <si>
    <t>11256/P05.159/P05/03/2025</t>
  </si>
  <si>
    <t>P05.139</t>
  </si>
  <si>
    <t>9898/P05.139/P05/07/2024</t>
  </si>
  <si>
    <t>P03.3325</t>
  </si>
  <si>
    <t>11247/P03.3325/P03/03/2025</t>
  </si>
  <si>
    <t>P03.2771</t>
  </si>
  <si>
    <t>9748/P03.2771/P03/04/2024</t>
  </si>
  <si>
    <t>P01.5446</t>
  </si>
  <si>
    <t>10810/P01.5446/P01/01/2025</t>
  </si>
  <si>
    <t>P01.4991</t>
  </si>
  <si>
    <t>9802/P01.4991/P01/05/2024</t>
  </si>
  <si>
    <t>PENGOBATAN MATA DI UNDAAN SURABAYA</t>
  </si>
  <si>
    <t>P01.5759</t>
  </si>
  <si>
    <t>11690/P01.5759/P01/06/2025</t>
  </si>
  <si>
    <t>PEMBAYARAN BIAYA PENGURUSAN TANAH</t>
  </si>
  <si>
    <t>P03.2724</t>
  </si>
  <si>
    <t>9573/P03.2724/P03/03/2024</t>
  </si>
  <si>
    <t>TAMBAHAN MODAL USAHA KONTER</t>
  </si>
  <si>
    <t>P01.5353</t>
  </si>
  <si>
    <t>10697/P01.5353/P01/12/2024</t>
  </si>
  <si>
    <t>PEMBIAYAAN KULIAH ANAK</t>
  </si>
  <si>
    <t>P01.4935</t>
  </si>
  <si>
    <t>9682/P01.4935/P01/04/2024</t>
  </si>
  <si>
    <t>PEMBAYARAN ANAK SEKOLAH DAN KULIAH</t>
  </si>
  <si>
    <t>P01.4853</t>
  </si>
  <si>
    <t>9480/P01.4852/P01/02/2024</t>
  </si>
  <si>
    <t>P01.5266</t>
  </si>
  <si>
    <t>10447/P01.5266/P01/10/2024</t>
  </si>
  <si>
    <t>P02.1756</t>
  </si>
  <si>
    <t>11389/P02.1756/P02/04/2025</t>
  </si>
  <si>
    <t>P01.5298</t>
  </si>
  <si>
    <t>10556/P01.5298/P01/11/2024</t>
  </si>
  <si>
    <t>MEMPERBAIKI TALANG</t>
  </si>
  <si>
    <t>P01.5493</t>
  </si>
  <si>
    <t>11044/P01.5493/P01/02/2025</t>
  </si>
  <si>
    <t>P03.2691</t>
  </si>
  <si>
    <t>9459/P03.2691/P03/02/2024</t>
  </si>
  <si>
    <t>P01.5458</t>
  </si>
  <si>
    <t>10941/P01.5458/P01/01/2025</t>
  </si>
  <si>
    <t>BAYAR UJIAN KULIAH ANAK</t>
  </si>
  <si>
    <t>P03.2987</t>
  </si>
  <si>
    <t>10446/P03.2987/P03/10/2024</t>
  </si>
  <si>
    <t>P02.1757</t>
  </si>
  <si>
    <t>11361/P02.1757/P02/04/2025</t>
  </si>
  <si>
    <t>P02.1771</t>
  </si>
  <si>
    <t>11564/P02.1771/P02/05/2025</t>
  </si>
  <si>
    <t>P03.3279</t>
  </si>
  <si>
    <t>11235/P03.3279/P03/03/2025</t>
  </si>
  <si>
    <t>P03.3337</t>
  </si>
  <si>
    <t>11353/P03.3337/P03/03/2025</t>
  </si>
  <si>
    <t>P01.5531</t>
  </si>
  <si>
    <t>11137/P01.5531/P01/02/2025</t>
  </si>
  <si>
    <t>DP SEPEDA MOTOR</t>
  </si>
  <si>
    <t>P02.1772</t>
  </si>
  <si>
    <t>11563/P02.1772/P02/05/2025</t>
  </si>
  <si>
    <t>P03.3116</t>
  </si>
  <si>
    <t>10780/P03.3116/P03/12/2024</t>
  </si>
  <si>
    <t>BIAYA KULAKAN ROKO</t>
  </si>
  <si>
    <t>P08.315</t>
  </si>
  <si>
    <t>11376/P08.315/P08/03/2025</t>
  </si>
  <si>
    <t>P03.3082</t>
  </si>
  <si>
    <t>10669/P03.3082/P03/11/2024</t>
  </si>
  <si>
    <t>P02.1784</t>
  </si>
  <si>
    <t>11655/P02.1784/P02/06/2025</t>
  </si>
  <si>
    <t>P05.143</t>
  </si>
  <si>
    <t>10194/P05.143/P05/08/2024</t>
  </si>
  <si>
    <t>P01.5505</t>
  </si>
  <si>
    <t>11074/P01.5505/P01/02/2025</t>
  </si>
  <si>
    <t>P01.5213</t>
  </si>
  <si>
    <t>10320/P01.5213/P01/09/2024</t>
  </si>
  <si>
    <t>P01.5326</t>
  </si>
  <si>
    <t>10638/P01.5326/P01/11/2024</t>
  </si>
  <si>
    <t>PENDIDIKAN ANAK (SPP)</t>
  </si>
  <si>
    <t>P03.2826</t>
  </si>
  <si>
    <t>9902/P03.2826/P03/06/2024</t>
  </si>
  <si>
    <t>MENAMBAH UNIT KAMAR PADA RUMAH SINGGAH</t>
  </si>
  <si>
    <t>P01.5669</t>
  </si>
  <si>
    <t>11494/P01.5669/P01/05/2025</t>
  </si>
  <si>
    <t>PERBAIKAN KAMAR MANDI</t>
  </si>
  <si>
    <t>P01.5707</t>
  </si>
  <si>
    <t>11498/P01.5707/P01/05/2025</t>
  </si>
  <si>
    <t>P03.2959</t>
  </si>
  <si>
    <t>10353/P03.2959/P03/09/2024</t>
  </si>
  <si>
    <t>P01.4860</t>
  </si>
  <si>
    <t>9484/P01.4860/P01/02/2024</t>
  </si>
  <si>
    <t>P01.5542</t>
  </si>
  <si>
    <t>11131/P01.5542/P01/02/2025</t>
  </si>
  <si>
    <t>P03.3127</t>
  </si>
  <si>
    <t>10801/P03.3127/P03/01/2025</t>
  </si>
  <si>
    <t>P02.1758</t>
  </si>
  <si>
    <t>11391/P02.1758/P02/04/2025</t>
  </si>
  <si>
    <t>P03.3013</t>
  </si>
  <si>
    <t>10515/P03.3013/P03/11/2024</t>
  </si>
  <si>
    <t>P02.1672</t>
  </si>
  <si>
    <t>10474/P02.1672/P02/10/2024</t>
  </si>
  <si>
    <t>P02.1766</t>
  </si>
  <si>
    <t>11488/P02.1766/P02/05/2025</t>
  </si>
  <si>
    <t>P03.3448</t>
  </si>
  <si>
    <t>11709/P03.3448/P03/06/2025</t>
  </si>
  <si>
    <t>P03.2984</t>
  </si>
  <si>
    <t>10451/P03.2984/P03/10/2024</t>
  </si>
  <si>
    <t>P01.5409</t>
  </si>
  <si>
    <t>10841/P01.5409/P01/01/2025</t>
  </si>
  <si>
    <t>P01.5317</t>
  </si>
  <si>
    <t>10601/P01.5317/P01/11/2024</t>
  </si>
  <si>
    <t>PEMBELIAN TANAH</t>
  </si>
  <si>
    <t>P02.1734</t>
  </si>
  <si>
    <t>11136/P02.1734/P02/02/2025</t>
  </si>
  <si>
    <t>P01.4907</t>
  </si>
  <si>
    <t>9600/P01.4907/P01/03/2024</t>
  </si>
  <si>
    <t>P01.5641</t>
  </si>
  <si>
    <t>11411/P01.5641/P01/04/2025</t>
  </si>
  <si>
    <t>P01.5596</t>
  </si>
  <si>
    <t>11340/P01.5596/P01/03/2025</t>
  </si>
  <si>
    <t>BIAYA TAMBAHAN PENDIDIKAN ANAK</t>
  </si>
  <si>
    <t>P03.3258</t>
  </si>
  <si>
    <t>11167/P03.3258/P03/02/2025</t>
  </si>
  <si>
    <t>P02.1769</t>
  </si>
  <si>
    <t>11545/P02.1769/P02/05/2025</t>
  </si>
  <si>
    <t>P01.5575</t>
  </si>
  <si>
    <t>11272/P01.5575/P01/03/2025</t>
  </si>
  <si>
    <t>P03.3026</t>
  </si>
  <si>
    <t>10533/P03.3026/P03/11/2024</t>
  </si>
  <si>
    <t>P04.563</t>
  </si>
  <si>
    <t>9460/P04.563/P04/03/2024</t>
  </si>
  <si>
    <t>P02.1797</t>
  </si>
  <si>
    <t>11676/P02.1797/P02/06/2025</t>
  </si>
  <si>
    <t>P03.3179</t>
  </si>
  <si>
    <t>10998/P03.3179/P03/02/2025</t>
  </si>
  <si>
    <t>TANBAHAN MODAL USAHA</t>
  </si>
  <si>
    <t>P01.5442</t>
  </si>
  <si>
    <t>10893/P01.5442/P01/01/2025</t>
  </si>
  <si>
    <t>PERBAIKI RUMAH</t>
  </si>
  <si>
    <t>P03.3217</t>
  </si>
  <si>
    <t>11110/P03.3217/P03/02/2025</t>
  </si>
  <si>
    <t>P01.4820</t>
  </si>
  <si>
    <t>9405/P01.4820/P01/02/2024</t>
  </si>
  <si>
    <t>P01.5406</t>
  </si>
  <si>
    <t>10843/P01.5406/P01/01/2025</t>
  </si>
  <si>
    <t>P01.5710</t>
  </si>
  <si>
    <t>11605/P01.5710/P01/05/2025</t>
  </si>
  <si>
    <t>P02.1768</t>
  </si>
  <si>
    <t>11523/P02.1768/P02/05/2025</t>
  </si>
  <si>
    <t>BIAYA ANAK MASUK UNIVERSITAS</t>
  </si>
  <si>
    <t>TAMABAHAN MODAL USAHA</t>
  </si>
  <si>
    <t>P01.5776</t>
  </si>
  <si>
    <t>11729/P01.5776/P01/06/2025</t>
  </si>
  <si>
    <t>BIAYA KENAIKAN KELAS</t>
  </si>
  <si>
    <t>P03.2958</t>
  </si>
  <si>
    <t>10360/P03.2958/P03/09/2024</t>
  </si>
  <si>
    <t>TAMBAHAN MODAL USAHA PAMPERS</t>
  </si>
  <si>
    <t>P03.2673</t>
  </si>
  <si>
    <t>9357/P03.2673/P03/02/2024</t>
  </si>
  <si>
    <t>P01.5661</t>
  </si>
  <si>
    <t>11442/P01.5661/P01/05/2025</t>
  </si>
  <si>
    <t>PENGADAAN UNIT SEPEDA MOTOR BEKAS</t>
  </si>
  <si>
    <t>P01.4793</t>
  </si>
  <si>
    <t>9337/P01.4793/P01/01/2024</t>
  </si>
  <si>
    <t>P01.5727</t>
  </si>
  <si>
    <t>11524/P01.5727/P01/05/2025</t>
  </si>
  <si>
    <t>P01.5483</t>
  </si>
  <si>
    <t>10981/P01.5482/P01/02/2025</t>
  </si>
  <si>
    <t>TAMBAHAN THR</t>
  </si>
  <si>
    <t>P01.5402</t>
  </si>
  <si>
    <t>10830/P01.5402/P01/01/2025</t>
  </si>
  <si>
    <t>PENDIDIKAN ANAK MASUK SD DAN SMP</t>
  </si>
  <si>
    <t>P01.5285</t>
  </si>
  <si>
    <t>10513/P01.5285/P01/11/2024</t>
  </si>
  <si>
    <t>MEMBUAT KAMAR</t>
  </si>
  <si>
    <t>P01.5681</t>
  </si>
  <si>
    <t>11522/P01.5681/P01/05/2025</t>
  </si>
  <si>
    <t>P03.3090</t>
  </si>
  <si>
    <t>10682/P03.3090/P03/12/2024</t>
  </si>
  <si>
    <t>P01.5112</t>
  </si>
  <si>
    <t>10086/P01.5112/P01/07/2024</t>
  </si>
  <si>
    <t>P03.2920</t>
  </si>
  <si>
    <t>10198/P03.2920/P03/08/2024</t>
  </si>
  <si>
    <t>TAMBAHAN MODAL USAHA KAPAL</t>
  </si>
  <si>
    <t>P01.5675</t>
  </si>
  <si>
    <t>11443/P01.5675/P01/05/2025</t>
  </si>
  <si>
    <t>TAKE OVER BPKB MOBIL</t>
  </si>
  <si>
    <t>P02.1801</t>
  </si>
  <si>
    <t>11764/P02.1801/P02/06/2025</t>
  </si>
  <si>
    <t>P03.3356</t>
  </si>
  <si>
    <t>11409/P03.3356/P03/04/2025</t>
  </si>
  <si>
    <t>P01.5616</t>
  </si>
  <si>
    <t>11344/P01.5616/P01/03/2025</t>
  </si>
  <si>
    <t>P01.4890</t>
  </si>
  <si>
    <t>9563/P01.4889/P01/03/2024</t>
  </si>
  <si>
    <t>P01.5608</t>
  </si>
  <si>
    <t>11358/P01.5608/P01/03/2025</t>
  </si>
  <si>
    <t>UNTUK HARI RAYA</t>
  </si>
  <si>
    <t>P01.5463</t>
  </si>
  <si>
    <t>10962/P01.5463/P01/01/2025</t>
  </si>
  <si>
    <t>PEMBELIAN HP DAN PERPANJANG STNK</t>
  </si>
  <si>
    <t>P01.5462</t>
  </si>
  <si>
    <t>10863/P01.5462/P01/01/2025</t>
  </si>
  <si>
    <t>PEMBELIAN KENDARAAN</t>
  </si>
  <si>
    <t>P02.1794</t>
  </si>
  <si>
    <t>11710/P02.1794/P02/06/2025</t>
  </si>
  <si>
    <t>P01.4843</t>
  </si>
  <si>
    <t>9443/P01.4843/P01/02/2024</t>
  </si>
  <si>
    <t>P01.5568</t>
  </si>
  <si>
    <t>11258/P01.5568/P01/03/2025</t>
  </si>
  <si>
    <t>P01.4796</t>
  </si>
  <si>
    <t>9311/P01.4795/P01/01/2024</t>
  </si>
  <si>
    <t>P01.5030</t>
  </si>
  <si>
    <t>9897/P01.5030/P01/06/2024</t>
  </si>
  <si>
    <t>P01.5407</t>
  </si>
  <si>
    <t>10831/P01.5407/P01/01/2025</t>
  </si>
  <si>
    <t>P02.1743</t>
  </si>
  <si>
    <t>11227/P02.1743/P02/03/2025</t>
  </si>
  <si>
    <t>P03.2731</t>
  </si>
  <si>
    <t>9622/P03.2731/P03/03/2024</t>
  </si>
  <si>
    <t>TAMBAHAN MODAL LAS LISTRIK</t>
  </si>
  <si>
    <t>P02.1791</t>
  </si>
  <si>
    <t>11686/P02.1791/P02/06/2025</t>
  </si>
  <si>
    <t>P01.5473</t>
  </si>
  <si>
    <t>10968/P01.5473/P01/02/2025</t>
  </si>
  <si>
    <t>P01.5745</t>
  </si>
  <si>
    <t>11654/P01.5745/P01/06/2025</t>
  </si>
  <si>
    <t>DEPOSITO SISUKA</t>
  </si>
  <si>
    <t>P03.3346</t>
  </si>
  <si>
    <t>11374/P03.3346/P03/03/2025</t>
  </si>
  <si>
    <t>P01.5171</t>
  </si>
  <si>
    <t>10233/P01.5171/P01/08/2024</t>
  </si>
  <si>
    <t>PERBAIKAN RUKO DAN RUMAH (PENGECATAN DAN PERBAIKAN ATAP)</t>
  </si>
  <si>
    <t>P08.268</t>
  </si>
  <si>
    <t>9368/P08.268/P08/02/2024</t>
  </si>
  <si>
    <t>P01.4972</t>
  </si>
  <si>
    <t>9757/P01.4972/P01/04/2024</t>
  </si>
  <si>
    <t>PENDIDIKAN ANAK DAN RENOVASI RUMAH</t>
  </si>
  <si>
    <t>P05.140</t>
  </si>
  <si>
    <t>10001/P05.140/P05/07/2024</t>
  </si>
  <si>
    <t>PEMBELIAN MOTOR LISTRIK</t>
  </si>
  <si>
    <t>P01.5762</t>
  </si>
  <si>
    <t>11664/P01.5762/P01/06/2025</t>
  </si>
  <si>
    <t>MEMBELI BAHAN DAN PERALATAN PRAKTEK</t>
  </si>
  <si>
    <t>P08.294</t>
  </si>
  <si>
    <t>10122/P08.294/P08/07/2024</t>
  </si>
  <si>
    <t>P01.5781</t>
  </si>
  <si>
    <t>11730/P01.5781/P01/06/2025</t>
  </si>
  <si>
    <t>P01.4775</t>
  </si>
  <si>
    <t>9291/P01.4775/P01/01/2024</t>
  </si>
  <si>
    <t>P03.2965</t>
  </si>
  <si>
    <t>10330/P03.2965/P03/10/2024</t>
  </si>
  <si>
    <t>P03.2671</t>
  </si>
  <si>
    <t>9380/P03.2671/P03/02/2024</t>
  </si>
  <si>
    <t>TAMBAHAN MODAL PIARA KAMBING</t>
  </si>
  <si>
    <t>P01.5599</t>
  </si>
  <si>
    <t>11265/P01.5599/P01/03/2025</t>
  </si>
  <si>
    <t>P01.5806</t>
  </si>
  <si>
    <t>11778/P01.5806/P01/06/2025</t>
  </si>
  <si>
    <t>P03.3118</t>
  </si>
  <si>
    <t>10322/P03.3118/P03/12/2024</t>
  </si>
  <si>
    <t>MODAL USAHA RIAS PENGANTIN</t>
  </si>
  <si>
    <t>P01.5549</t>
  </si>
  <si>
    <t>11157/P01.5549/P01/02/2025</t>
  </si>
  <si>
    <t>P01.5372</t>
  </si>
  <si>
    <t>10551/P01.5372/P01/12/2024</t>
  </si>
  <si>
    <t>P05.157</t>
  </si>
  <si>
    <t>10971/P05.157/P05/02/2025</t>
  </si>
  <si>
    <t>PEMBELIAN MOTOR STYLO</t>
  </si>
  <si>
    <t>P01.5533</t>
  </si>
  <si>
    <t>10952/P01.5533/P01/02/2025</t>
  </si>
  <si>
    <t>P03.3272</t>
  </si>
  <si>
    <t>11214/P03.3272/P03/02/2025</t>
  </si>
  <si>
    <t>TAMBAHAN MODAL USAHA, PENUTUPAN PINJAMAN UMUM DAN PRESTASI</t>
  </si>
  <si>
    <t>P04.566</t>
  </si>
  <si>
    <t>9964/P04.566/P04/06/2024</t>
  </si>
  <si>
    <t>P01.5311</t>
  </si>
  <si>
    <t>10611/P01.5311/P01/11/2024</t>
  </si>
  <si>
    <t>P03.3145</t>
  </si>
  <si>
    <t>10844/P03.3145/P03/01/2025</t>
  </si>
  <si>
    <t>P02.1689</t>
  </si>
  <si>
    <t>10677/P02.1689/P02/11/2024</t>
  </si>
  <si>
    <t>P03.2721</t>
  </si>
  <si>
    <t>9567/P03.2721/P03/03/2024</t>
  </si>
  <si>
    <t>MODAL USAHA SAWAH</t>
  </si>
  <si>
    <t>P03.2780</t>
  </si>
  <si>
    <t>9824/P03.2780/P03/05/2024</t>
  </si>
  <si>
    <t>BIAYA MODAL KERJA (DANA TALANGAN). jaminan berupa : - Saham PT Sakti Kinerja Kolaborasindo yang s</t>
  </si>
  <si>
    <t>P03.2925</t>
  </si>
  <si>
    <t>10260/P03.2925/P03/08/2024</t>
  </si>
  <si>
    <t>P03.3200</t>
  </si>
  <si>
    <t>11052/P03.3200/P03/02/2025</t>
  </si>
  <si>
    <t>MODAL USAHA TOKO KELONTONG</t>
  </si>
  <si>
    <t>P08.318</t>
  </si>
  <si>
    <t>11666/P08.318/P08/06/2025</t>
  </si>
  <si>
    <t>P02.1714</t>
  </si>
  <si>
    <t>10848/P02.1714/P02/01/2025</t>
  </si>
  <si>
    <t>BIAYA PENDIDIDIKAN ANAK</t>
  </si>
  <si>
    <t>P01.5804</t>
  </si>
  <si>
    <t>11623/P01.5804/P01/06/2025</t>
  </si>
  <si>
    <t>P04.571</t>
  </si>
  <si>
    <t>10738/P04.571/P04/12/2024</t>
  </si>
  <si>
    <t>PEMBELIAN TANAH DAN RUMAH</t>
  </si>
  <si>
    <t>P01.5389</t>
  </si>
  <si>
    <t>10766/P01.5389/P01/12/2024</t>
  </si>
  <si>
    <t>P01.4957</t>
  </si>
  <si>
    <t>9720/P01.4955/P01/04/2024</t>
  </si>
  <si>
    <t>SELAMETAN</t>
  </si>
  <si>
    <t>P03.2926</t>
  </si>
  <si>
    <t>10251/P03.2926/P03/08/2024</t>
  </si>
  <si>
    <t>TAMBAHAN MODAL KULAKAN PUPUK</t>
  </si>
  <si>
    <t>P01.4780</t>
  </si>
  <si>
    <t>9310/P01.4780/P01/01/2024</t>
  </si>
  <si>
    <t>UNTUK DITABUNG</t>
  </si>
  <si>
    <t>P01.5580</t>
  </si>
  <si>
    <t>11240/P01.5580/P01/03/2025</t>
  </si>
  <si>
    <t>P01.5528</t>
  </si>
  <si>
    <t>11017/P01.5528/P01/02/2025</t>
  </si>
  <si>
    <t>P01.4810</t>
  </si>
  <si>
    <t>9385/P01.4810/P01/02/2024</t>
  </si>
  <si>
    <t>P03.3181</t>
  </si>
  <si>
    <t>10980/P03.3181/P03/02/2025</t>
  </si>
  <si>
    <t>P01.5726</t>
  </si>
  <si>
    <t>11631/P01.5725/P01/05/2025</t>
  </si>
  <si>
    <t>P01.4938</t>
  </si>
  <si>
    <t>9669/P01.4938/P01/04/2024</t>
  </si>
  <si>
    <t>TAMBAHAN BIAYA HAJI</t>
  </si>
  <si>
    <t>P01.5025</t>
  </si>
  <si>
    <t>9856/P01.5025/P01/06/2024</t>
  </si>
  <si>
    <t>BIAYA PENDIDIKAN SUAMI</t>
  </si>
  <si>
    <t>P01.5315</t>
  </si>
  <si>
    <t>10600/P01.5315/P01/11/2024</t>
  </si>
  <si>
    <t>P01.5005</t>
  </si>
  <si>
    <t>9844/P01.5005/P01/05/2024</t>
  </si>
  <si>
    <t>PEMBELIAN LAPTOP SECOND</t>
  </si>
  <si>
    <t>P01.5178</t>
  </si>
  <si>
    <t>10253/P01.5178/P01/08/2024</t>
  </si>
  <si>
    <t>RENOVASI RUMAH ANAK DI LUMAJANG</t>
  </si>
  <si>
    <t>P03.2772</t>
  </si>
  <si>
    <t>9782/P03.2772/P03/05/2024</t>
  </si>
  <si>
    <t>P03.2990</t>
  </si>
  <si>
    <t>10362/P03.2990/P03/10/2024</t>
  </si>
  <si>
    <t>TAMBAHAN MODAL JUAL KUE DAN NASI</t>
  </si>
  <si>
    <t>P03.3417</t>
  </si>
  <si>
    <t>11134/P03.3417/P03/05/2025</t>
  </si>
  <si>
    <t>PENGEMBANGAN USAHA BUDIDAYA LELE</t>
  </si>
  <si>
    <t>P01.5348</t>
  </si>
  <si>
    <t>10652/P01.5348/P01/11/2024</t>
  </si>
  <si>
    <t>MEMBAYAR KONTRAKAN</t>
  </si>
  <si>
    <t>P01.5620</t>
  </si>
  <si>
    <t>11385/P01.5620/P01/03/2025</t>
  </si>
  <si>
    <t>MODAL USAHA (MENYATUKAN PUMA DAN PM) KARENA KESULITAN KEUANGAN</t>
  </si>
  <si>
    <t>P01.5597</t>
  </si>
  <si>
    <t>11290/P01.5597/P01/03/2025</t>
  </si>
  <si>
    <t>BIAYA THR</t>
  </si>
  <si>
    <t>P03.2669</t>
  </si>
  <si>
    <t>9383/P03.2669/P03/02/2024</t>
  </si>
  <si>
    <t>JOIN USAHA KECANTIKAN</t>
  </si>
  <si>
    <t>P01.5447</t>
  </si>
  <si>
    <t>10953/P01.5447/P01/01/2025</t>
  </si>
  <si>
    <t>REKREASI ANAK</t>
  </si>
  <si>
    <t>P01.5481</t>
  </si>
  <si>
    <t>10939/P01.5481/P01/02/2025</t>
  </si>
  <si>
    <t>TAMBAHAN ONGKOS HAJI</t>
  </si>
  <si>
    <t>P01.5350</t>
  </si>
  <si>
    <t>10688/P01.5350/P01/12/2024</t>
  </si>
  <si>
    <t>PEMBELIAN BAHAN BANGUNAN DAN PEMBUATAN PONDASI RUMAH</t>
  </si>
  <si>
    <t>P03.3255</t>
  </si>
  <si>
    <t>11192/P03.3255/P03/02/2025</t>
  </si>
  <si>
    <t>USAHA GALON AQUA</t>
  </si>
  <si>
    <t>P03.3378</t>
  </si>
  <si>
    <t>11480/P03.3378/P03/05/2025</t>
  </si>
  <si>
    <t>GANTI RODA ROMBONG</t>
  </si>
  <si>
    <t>P05.148</t>
  </si>
  <si>
    <t>10545/P05.148/P05/11/2024</t>
  </si>
  <si>
    <t>P01.5309</t>
  </si>
  <si>
    <t>10578/P01.5309/P01/11/2024</t>
  </si>
  <si>
    <t>P01.5563</t>
  </si>
  <si>
    <t>11231/P01.5563/P01/03/2025</t>
  </si>
  <si>
    <t>P02.1703</t>
  </si>
  <si>
    <t>10749/P02.1703/P02/12/2024</t>
  </si>
  <si>
    <t>P01.5595</t>
  </si>
  <si>
    <t>11335/P01.5595/P01/03/2025</t>
  </si>
  <si>
    <t>P01.5576</t>
  </si>
  <si>
    <t>11273/P01.5576/P01/03/2025</t>
  </si>
  <si>
    <t>P03.2781</t>
  </si>
  <si>
    <t>9803/P03.2781/P03/05/2024</t>
  </si>
  <si>
    <t>P03.3205</t>
  </si>
  <si>
    <t>11066/P03.3205/P03/02/2025</t>
  </si>
  <si>
    <t>P03.3060</t>
  </si>
  <si>
    <t>10615/P03.3060/P03/11/2024</t>
  </si>
  <si>
    <t>MODAL USAHA ONLINE SHOP</t>
  </si>
  <si>
    <t>P03.3454</t>
  </si>
  <si>
    <t>11734/P03.3454/P03/06/2025</t>
  </si>
  <si>
    <t>P01.4994</t>
  </si>
  <si>
    <t>9819/P01.4994/P01/05/2024</t>
  </si>
  <si>
    <t>P01.5424</t>
  </si>
  <si>
    <t>10889/P01.5423/P01/01/2025</t>
  </si>
  <si>
    <t>PEMBAYARAN HUTANG DI TEMPAT LAIN</t>
  </si>
  <si>
    <t>P03.3241</t>
  </si>
  <si>
    <t>11168/P03.3241/P03/02/2025</t>
  </si>
  <si>
    <t>P01.4946</t>
  </si>
  <si>
    <t>9712/P01.4945/P01/04/2024</t>
  </si>
  <si>
    <t>BIAYA PENDIDIKAN ANAK SEKOLAH</t>
  </si>
  <si>
    <t>P01.5754</t>
  </si>
  <si>
    <t>11616/P01.5754/P01/06/2025</t>
  </si>
  <si>
    <t>P01.5624</t>
  </si>
  <si>
    <t>11375/P01.5624/P01/04/2025</t>
  </si>
  <si>
    <t>P03.2740</t>
  </si>
  <si>
    <t>9612/P03.2740/P03/03/2024</t>
  </si>
  <si>
    <t>TAMBAHAN MODAL USAHA EKSPEDISI</t>
  </si>
  <si>
    <t>P02.1605</t>
  </si>
  <si>
    <t>9855/P02.1605/P02/05/2024</t>
  </si>
  <si>
    <t>P01.5802</t>
  </si>
  <si>
    <t>11748/P01.5802/P01/06/2025</t>
  </si>
  <si>
    <t>P03.3345</t>
  </si>
  <si>
    <t>11373/P03.3345/P03/03/2025</t>
  </si>
  <si>
    <t>P03.2895</t>
  </si>
  <si>
    <t>10160/P03.2895/P03/08/2024</t>
  </si>
  <si>
    <t>P02.1718</t>
  </si>
  <si>
    <t>10891/P02.1718/P02/01/2025</t>
  </si>
  <si>
    <t>P01.5687</t>
  </si>
  <si>
    <t>11525/P01.5687/P01/05/2025</t>
  </si>
  <si>
    <t>MEMBANTU BIAYA DI RUMAH</t>
  </si>
  <si>
    <t>P03.2665</t>
  </si>
  <si>
    <t>9350/P03.2665/P03/01/2024</t>
  </si>
  <si>
    <t>TAMBAHAN MODAL DAGANG</t>
  </si>
  <si>
    <t>P05.135</t>
  </si>
  <si>
    <t>9779/P05.135/P05/05/2024</t>
  </si>
  <si>
    <t>P01.5655</t>
  </si>
  <si>
    <t>11473/P01.5655/P01/04/2025</t>
  </si>
  <si>
    <t>PEMBELIAN ELEKTRONIK</t>
  </si>
  <si>
    <t>P03.3096</t>
  </si>
  <si>
    <t>10723/P03.3096/P03/12/2024</t>
  </si>
  <si>
    <t>P03.3178</t>
  </si>
  <si>
    <t>10646/P03.3178/P03/02/2025</t>
  </si>
  <si>
    <t>USAHA GALON</t>
  </si>
  <si>
    <t>P02.1774</t>
  </si>
  <si>
    <t>11575/P02.1774/P02/05/2025</t>
  </si>
  <si>
    <t>PEMBELIAN TV</t>
  </si>
  <si>
    <t>P03.2709</t>
  </si>
  <si>
    <t>9548/P03.2709/P03/03/2024</t>
  </si>
  <si>
    <t>TAMBAHAN MODAL USAHA JUAL BAHAN BANGUNAN</t>
  </si>
  <si>
    <t>P03.2748</t>
  </si>
  <si>
    <t>9627/P03.2748/P03/03/2024</t>
  </si>
  <si>
    <t>TAMBAHAN MODAL USAHA ONLINE</t>
  </si>
  <si>
    <t>P03.2875</t>
  </si>
  <si>
    <t>GENERATED BY SYSTEM</t>
  </si>
  <si>
    <t>P01.5082</t>
  </si>
  <si>
    <t>10008/P01.5082/P01/07/2024</t>
  </si>
  <si>
    <t>P01.5356</t>
  </si>
  <si>
    <t>10692/P01.5356/P01/12/2024</t>
  </si>
  <si>
    <t>P01.5626</t>
  </si>
  <si>
    <t>11407/P01.5625/P01/04/2025</t>
  </si>
  <si>
    <t>P01.5733</t>
  </si>
  <si>
    <t>11627/P01.5733/P01/05/2025</t>
  </si>
  <si>
    <t>P01.5598</t>
  </si>
  <si>
    <t>11334/P01.5598/P01/03/2025</t>
  </si>
  <si>
    <t>P01.5699</t>
  </si>
  <si>
    <t>11470/P01.5699/P01/05/2025</t>
  </si>
  <si>
    <t>P01.4848</t>
  </si>
  <si>
    <t>9410/P01.4848/P01/02/2024</t>
  </si>
  <si>
    <t>P01.5680</t>
  </si>
  <si>
    <t>11461/P01.5680/P01/05/2025</t>
  </si>
  <si>
    <t>RENOVASI RUMAH BELAKANG</t>
  </si>
  <si>
    <t>P01.5032</t>
  </si>
  <si>
    <t>9864/P01.5032/P01/06/2024</t>
  </si>
  <si>
    <t>P03.3104</t>
  </si>
  <si>
    <t>10720/P03.3104/P03/12/2024</t>
  </si>
  <si>
    <t>TAMBAHAN MODAL JUALAN BAKSO</t>
  </si>
  <si>
    <t>P01.5689</t>
  </si>
  <si>
    <t>11542/P01.5689/P01/05/2025</t>
  </si>
  <si>
    <t>P08.316</t>
  </si>
  <si>
    <t>11468/P08.316/P08/04/2025</t>
  </si>
  <si>
    <t>P01.5257</t>
  </si>
  <si>
    <t>10430/P01.5257/P01/10/2024</t>
  </si>
  <si>
    <t>MENEBUS SEPEDA</t>
  </si>
  <si>
    <t>P04.564</t>
  </si>
  <si>
    <t>9800/P04.564/P04/06/2024</t>
  </si>
  <si>
    <t>P01.5718</t>
  </si>
  <si>
    <t>11611/P01.5718/P01/05/2025</t>
  </si>
  <si>
    <t>P05.128</t>
  </si>
  <si>
    <t>9335/P05.128/P05/01/2024</t>
  </si>
  <si>
    <t>PEMBELIAN SEPEDA MOTOR NNAX STANDAR 2024 BARU</t>
  </si>
  <si>
    <t>P09.56</t>
  </si>
  <si>
    <t>10487/P09.56/P09/10/2024</t>
  </si>
  <si>
    <t>SARANA KERJA</t>
  </si>
  <si>
    <t>P02.1773</t>
  </si>
  <si>
    <t>11559/P02.1773/P02/05/2025</t>
  </si>
  <si>
    <t>P01.5478</t>
  </si>
  <si>
    <t>10970/P01.5478/P01/02/2025</t>
  </si>
  <si>
    <t>P05.130</t>
  </si>
  <si>
    <t>9504/P05.130/P05/02/2024</t>
  </si>
  <si>
    <t>P01.5708</t>
  </si>
  <si>
    <t>11578/P01.5708/P01/05/2025</t>
  </si>
  <si>
    <t>MEMBUAT PONDASI</t>
  </si>
  <si>
    <t>P03.3062</t>
  </si>
  <si>
    <t>10614/P03.3062/P03/11/2024</t>
  </si>
  <si>
    <t>TAMBAHAN MODAL KERJA BENGKEL</t>
  </si>
  <si>
    <t>P01.5472</t>
  </si>
  <si>
    <t>10959/P01.5472/P01/02/2025</t>
  </si>
  <si>
    <t>P02.1780</t>
  </si>
  <si>
    <t>11622/P02.1780/P02/05/2025</t>
  </si>
  <si>
    <t>P03.2750</t>
  </si>
  <si>
    <t>9659/P03.2750/P03/03/2024</t>
  </si>
  <si>
    <t>BAYAR SEWA TEMPAT USAHA</t>
  </si>
  <si>
    <t>P01.5297</t>
  </si>
  <si>
    <t>10552/P01.5297/P01/11/2024</t>
  </si>
  <si>
    <t>P01.5166</t>
  </si>
  <si>
    <t>10236/P01.5166/P01/08/2024</t>
  </si>
  <si>
    <t>P01.5377</t>
  </si>
  <si>
    <t>10571/P01.5377/P01/12/2024</t>
  </si>
  <si>
    <t>MODAL PERTENAKAN KAMBING</t>
  </si>
  <si>
    <t>P03.3274</t>
  </si>
  <si>
    <t>11222/P03.3274/P03/03/2025</t>
  </si>
  <si>
    <t>P01.5367</t>
  </si>
  <si>
    <t>10726/P01.5367/P01/12/2024</t>
  </si>
  <si>
    <t>MEMBELI SEPEDA MOTOR (BEAT) DAN SEPEDA LISTRIK</t>
  </si>
  <si>
    <t>P03.3155</t>
  </si>
  <si>
    <t>10833/P03.3155/P03/01/2025</t>
  </si>
  <si>
    <t>TAMBAHAN MODAL USAHA PENGADAAN ATK SEKOLAH</t>
  </si>
  <si>
    <t>P03.3326</t>
  </si>
  <si>
    <t>11248/P03.3326/P03/03/2025</t>
  </si>
  <si>
    <t>P01.5224</t>
  </si>
  <si>
    <t>10337/P01.5224/P01/09/2024</t>
  </si>
  <si>
    <t>P01.5517</t>
  </si>
  <si>
    <t>11099/P01.5517/P01/02/2025</t>
  </si>
  <si>
    <t>BIAYA RENOVASI</t>
  </si>
  <si>
    <t>P01.5423</t>
  </si>
  <si>
    <t>10872/P01.5423/P01/01/2025</t>
  </si>
  <si>
    <t>MODAL LAMARAN</t>
  </si>
  <si>
    <t>P01.5420</t>
  </si>
  <si>
    <t>10886/P01.5420/P01/01/2025</t>
  </si>
  <si>
    <t>PERBAIKAN TALANG</t>
  </si>
  <si>
    <t>P08.312</t>
  </si>
  <si>
    <t>11161/P08.312/P08/02/2025</t>
  </si>
  <si>
    <t>P03.3059</t>
  </si>
  <si>
    <t>10583/P03.3059/P03/11/2024</t>
  </si>
  <si>
    <t>P01.5717</t>
  </si>
  <si>
    <t>11603/P01.5716/P01/05/2025</t>
  </si>
  <si>
    <t>P03.3427</t>
  </si>
  <si>
    <t>11628/P03.3427/P03/05/2025</t>
  </si>
  <si>
    <t>TAMBAHAN MODAL USAHA MIE</t>
  </si>
  <si>
    <t>P01.4846</t>
  </si>
  <si>
    <t>9471/P01.4846/P01/02/2024</t>
  </si>
  <si>
    <t>PELUNASAN PINJAMAN DI TEMPAT LAIN</t>
  </si>
  <si>
    <t>P01.5398</t>
  </si>
  <si>
    <t>10813/P01.5398/P01/12/2024</t>
  </si>
  <si>
    <t>P01.5497</t>
  </si>
  <si>
    <t>11042/P01.5497/P01/02/2025</t>
  </si>
  <si>
    <t>P05.127</t>
  </si>
  <si>
    <t>9314/P05.127/P05/01/2024</t>
  </si>
  <si>
    <t>P01.5413</t>
  </si>
  <si>
    <t>10868/P01.5413/P01/01/2025</t>
  </si>
  <si>
    <t>P01.5545</t>
  </si>
  <si>
    <t>11146/P01.5545/P01/02/2025</t>
  </si>
  <si>
    <t>P01.5711</t>
  </si>
  <si>
    <t>11573/P01.5711/P01/05/2025</t>
  </si>
  <si>
    <t>P05.162</t>
  </si>
  <si>
    <t>11279/P05.162/P05/03/2025</t>
  </si>
  <si>
    <t>P01.5714</t>
  </si>
  <si>
    <t>11594/P01.5714/P01/05/2025</t>
  </si>
  <si>
    <t>BIAYA PENDIDIKAN ADIK</t>
  </si>
  <si>
    <t>P01.4864</t>
  </si>
  <si>
    <t>9495/P01.4864/P01/03/2024</t>
  </si>
  <si>
    <t>PERSIAPAN PENDIDIKAN ANAK</t>
  </si>
  <si>
    <t>P01.5739</t>
  </si>
  <si>
    <t>11604/P01.5739/P01/05/2025</t>
  </si>
  <si>
    <t>PENDIDIKAN ANAK KULIAH</t>
  </si>
  <si>
    <t>P03.2701</t>
  </si>
  <si>
    <t>9496/P03.2701/P03/03/2024</t>
  </si>
  <si>
    <t>TAMBAHAN MODAL USAHA SOUND SYSTEM</t>
  </si>
  <si>
    <t>P03.3461</t>
  </si>
  <si>
    <t>11774/P03.3461/P03/06/2025</t>
  </si>
  <si>
    <t>P03.2725</t>
  </si>
  <si>
    <t>9592/P03.2725/P03/03/2024</t>
  </si>
  <si>
    <t>TAMBAHAN MODAL USAHA BUTIK</t>
  </si>
  <si>
    <t>P01.4926</t>
  </si>
  <si>
    <t>9649/P01.4926/P01/03/2024</t>
  </si>
  <si>
    <t>P03.2789</t>
  </si>
  <si>
    <t>9776/P03.2789/P03/05/2024</t>
  </si>
  <si>
    <t>TAMBAHAN MODAL DAN MEMBAYAR KONTRAKAN</t>
  </si>
  <si>
    <t>P03.2787</t>
  </si>
  <si>
    <t>9805/P03.2787/P03/05/2024</t>
  </si>
  <si>
    <t>P01.5756</t>
  </si>
  <si>
    <t>11680/P01.5756/P01/06/2025</t>
  </si>
  <si>
    <t>BIAYA ANAK SEKOLAH</t>
  </si>
  <si>
    <t>P01.5180</t>
  </si>
  <si>
    <t>10216/P01.5180/P01/08/2024</t>
  </si>
  <si>
    <t>P01.5053</t>
  </si>
  <si>
    <t>9947/P01.5053/P01/06/2024</t>
  </si>
  <si>
    <t>PEMBELIAN ASET. BERDASARKAN SURAT KEPUTUSAN NO. /KSP-CUM/A5/VI/2024 TENTANG ; PERSETUJUAN PERMOHO</t>
  </si>
  <si>
    <t>P03.3445</t>
  </si>
  <si>
    <t>11694/P03.3445/P03/06/2025</t>
  </si>
  <si>
    <t>P01.5550</t>
  </si>
  <si>
    <t>11198/P01.5550/P01/02/2025</t>
  </si>
  <si>
    <t>P01.5589</t>
  </si>
  <si>
    <t>11262/P01.5589/P01/03/2025</t>
  </si>
  <si>
    <t>PELUNASAN DI PEGADAIAN</t>
  </si>
  <si>
    <t>P03.3065</t>
  </si>
  <si>
    <t>10639/P03.3065/P03/11/2024</t>
  </si>
  <si>
    <t>P01.5160</t>
  </si>
  <si>
    <t>10227/P01.5160/P01/08/2024</t>
  </si>
  <si>
    <t>P03.3010</t>
  </si>
  <si>
    <t>10479/P03.3010/P03/11/2024</t>
  </si>
  <si>
    <t>P01.5489</t>
  </si>
  <si>
    <t>11009/P01.5489/P01/02/2025</t>
  </si>
  <si>
    <t>UNTUK BEROBAT</t>
  </si>
  <si>
    <t>P08.304</t>
  </si>
  <si>
    <t>10560/P08.304/P08/11/2024</t>
  </si>
  <si>
    <t>PEMBELIAN IPHONE</t>
  </si>
  <si>
    <t>P01.5383</t>
  </si>
  <si>
    <t>10763/P01.5383/P01/12/2024</t>
  </si>
  <si>
    <t>P01.5547</t>
  </si>
  <si>
    <t>11096/P01.5547/P01/02/2025</t>
  </si>
  <si>
    <t>MODAL EVENT</t>
  </si>
  <si>
    <t>P03.3443</t>
  </si>
  <si>
    <t>11687/P03.3443/P03/06/2025</t>
  </si>
  <si>
    <t>P01.5376</t>
  </si>
  <si>
    <t>10751/P01.5376/P01/12/2024</t>
  </si>
  <si>
    <t>PEMBAYARAN UKT KULIAH</t>
  </si>
  <si>
    <t>P03.3161</t>
  </si>
  <si>
    <t>10931/P03.3161/P03/01/2025</t>
  </si>
  <si>
    <t>P03.3014</t>
  </si>
  <si>
    <t>10517/P03.3014/P03/11/2024</t>
  </si>
  <si>
    <t>P03.3353</t>
  </si>
  <si>
    <t>11404/P03.3353/P03/04/2025</t>
  </si>
  <si>
    <t>TAMBAHAN MODAL ANGKRINGAN</t>
  </si>
  <si>
    <t>P01.5571</t>
  </si>
  <si>
    <t>11257/P01.5571/P01/03/2025</t>
  </si>
  <si>
    <t>P01.5558</t>
  </si>
  <si>
    <t>11204/P01.5558/P01/02/2025</t>
  </si>
  <si>
    <t>P03.3416</t>
  </si>
  <si>
    <t>11579/P03.3416/P03/05/2025</t>
  </si>
  <si>
    <t>P01.5500</t>
  </si>
  <si>
    <t>11055/P01.5500/P01/02/2025</t>
  </si>
  <si>
    <t>BIAYA SEKOLAH LANJUT</t>
  </si>
  <si>
    <t>P01.5688</t>
  </si>
  <si>
    <t>11529/P01.5688/P01/05/2025</t>
  </si>
  <si>
    <t>BIAYA KULIAH ADIK</t>
  </si>
  <si>
    <t>P03.3444</t>
  </si>
  <si>
    <t>11702/P03.3444/P03/06/2025</t>
  </si>
  <si>
    <t>TAMBAHAN MODAL TASO</t>
  </si>
  <si>
    <t>P08.309</t>
  </si>
  <si>
    <t>11018/P08.309/P08/02/2025</t>
  </si>
  <si>
    <t>P05.152</t>
  </si>
  <si>
    <t>10685/P05.152/P05/12/2024</t>
  </si>
  <si>
    <t>P01.5526</t>
  </si>
  <si>
    <t>11090/P01.5526/P01/02/2025</t>
  </si>
  <si>
    <t>P05.153</t>
  </si>
  <si>
    <t>10741/P05.153/P05/12/2024</t>
  </si>
  <si>
    <t>PEMBELIAN SEPEDA MOTOR PCX</t>
  </si>
  <si>
    <t>P01.5700</t>
  </si>
  <si>
    <t>11484/P01.5700/P01/05/2025</t>
  </si>
  <si>
    <t>RENOVASI TEMBOK RUMAH</t>
  </si>
  <si>
    <t>P03.3390</t>
  </si>
  <si>
    <t>11534/P03.3390/P03/05/2025</t>
  </si>
  <si>
    <t>P03.3388</t>
  </si>
  <si>
    <t>11536/P03.3388/P03/05/2025</t>
  </si>
  <si>
    <t>P03.3391</t>
  </si>
  <si>
    <t>11537/P03.3391/P03/05/2025</t>
  </si>
  <si>
    <t>P03.3389</t>
  </si>
  <si>
    <t>11538/P03.3389/P03/05/2025</t>
  </si>
  <si>
    <t>P01.5454</t>
  </si>
  <si>
    <t>10925/P01.5454/P01/01/2025</t>
  </si>
  <si>
    <t>P01.5417</t>
  </si>
  <si>
    <t>10888/P01.5417/P01/01/2025</t>
  </si>
  <si>
    <t>KEBUTUHAN SEHARI-HARI</t>
  </si>
  <si>
    <t>P01.5428</t>
  </si>
  <si>
    <t>10900/P01.5428/P01/01/2025</t>
  </si>
  <si>
    <t>BEKAL UMROH</t>
  </si>
  <si>
    <t>P01.5432</t>
  </si>
  <si>
    <t>10904/P01.5432/P01/01/2025</t>
  </si>
  <si>
    <t>BAYAR UKT ADIK</t>
  </si>
  <si>
    <t>P01.5667</t>
  </si>
  <si>
    <t>11499/P01.5667/P01/05/2025</t>
  </si>
  <si>
    <t>BIAYA PERJALANAN</t>
  </si>
  <si>
    <t>P01.5460</t>
  </si>
  <si>
    <t>10940/P01.5460/P01/01/2025</t>
  </si>
  <si>
    <t>P01.5444</t>
  </si>
  <si>
    <t>10926/P01.5444/P01/01/2025</t>
  </si>
  <si>
    <t>P01.5450</t>
  </si>
  <si>
    <t>10951/P01.5450/P01/01/2025</t>
  </si>
  <si>
    <t>P03.3167</t>
  </si>
  <si>
    <t>10957/P03.3167/P03/01/2025</t>
  </si>
  <si>
    <t>P01.5524</t>
  </si>
  <si>
    <t>11077/P01.5524/P01/02/2025</t>
  </si>
  <si>
    <t>P01.5751</t>
  </si>
  <si>
    <t>11668/P01.5751/P01/06/2025</t>
  </si>
  <si>
    <t>P03.3436</t>
  </si>
  <si>
    <t>11661/P03.3435/P03/06/2025</t>
  </si>
  <si>
    <t>MODAL USAHA KAMBING</t>
  </si>
  <si>
    <t>P01.5498</t>
  </si>
  <si>
    <t>11067/P01.5498/P01/02/2025</t>
  </si>
  <si>
    <t>P01.5544</t>
  </si>
  <si>
    <t>11109/P01.5544/P01/02/2025</t>
  </si>
  <si>
    <t>PEMBAYARAN PINJAMAN ORANG TUA</t>
  </si>
  <si>
    <t>P01.5525</t>
  </si>
  <si>
    <t>11132/P01.5525/P01/02/2025</t>
  </si>
  <si>
    <t>P01.5614</t>
  </si>
  <si>
    <t>11320/P01.5614/P01/03/2025</t>
  </si>
  <si>
    <t>P01.5530</t>
  </si>
  <si>
    <t>11144/P01.5530/P01/02/2025</t>
  </si>
  <si>
    <t>P05.158</t>
  </si>
  <si>
    <t>11162/P05.158/P05/03/2025</t>
  </si>
  <si>
    <t>P03.3256</t>
  </si>
  <si>
    <t>11203/P03.3256/P03/02/2025</t>
  </si>
  <si>
    <t>P01.5556</t>
  </si>
  <si>
    <t>11217/P01.5556/P01/02/2025</t>
  </si>
  <si>
    <t>P01.5566</t>
  </si>
  <si>
    <t>11254/P01.5566/P01/03/2025</t>
  </si>
  <si>
    <t>P01.5701</t>
  </si>
  <si>
    <t>11567/P01.5701/P01/05/2025</t>
  </si>
  <si>
    <t>P01.5578</t>
  </si>
  <si>
    <t>11293/P01.5578/P01/03/2025</t>
  </si>
  <si>
    <t>P01.5775</t>
  </si>
  <si>
    <t>11721/P01.5775/P01/06/2025</t>
  </si>
  <si>
    <t>BIAYA OPERASI</t>
  </si>
  <si>
    <t>P05.164</t>
  </si>
  <si>
    <t>11364/P05.164/P05/03/2025</t>
  </si>
  <si>
    <t>P01.5604</t>
  </si>
  <si>
    <t>11372/P01.5604/P01/03/2025</t>
  </si>
  <si>
    <t>P03.3338</t>
  </si>
  <si>
    <t>11377/P03.3338/P03/03/2025</t>
  </si>
  <si>
    <t>P01.5644</t>
  </si>
  <si>
    <t>11455/P01.5644/P01/04/2025</t>
  </si>
  <si>
    <t>P03.3392</t>
  </si>
  <si>
    <t>11540/P03.3392/P03/05/2025</t>
  </si>
  <si>
    <t>P01.5682</t>
  </si>
  <si>
    <t>11541/P01.5682/P01/05/2025</t>
  </si>
  <si>
    <t>P03.3399</t>
  </si>
  <si>
    <t>11552/P03.3399/P03/05/2025</t>
  </si>
  <si>
    <t>P03.3400</t>
  </si>
  <si>
    <t>11553/P03.3400/P03/05/2025</t>
  </si>
  <si>
    <t>P03.3402</t>
  </si>
  <si>
    <t>11554/P03.3402/P03/05/2025</t>
  </si>
  <si>
    <t>P03.3398</t>
  </si>
  <si>
    <t>11555/P03.3398/P03/05/2025</t>
  </si>
  <si>
    <t>P03.3401</t>
  </si>
  <si>
    <t>11556/P03.3401/P03/05/2025</t>
  </si>
  <si>
    <t>P03.3412</t>
  </si>
  <si>
    <t>11570/P03.3412/P03/05/2025</t>
  </si>
  <si>
    <t>MODAL USAHA KONVEKSI</t>
  </si>
  <si>
    <t>P01.5690</t>
  </si>
  <si>
    <t>11571/P01.5690/P01/05/2025</t>
  </si>
  <si>
    <t>P01.5691</t>
  </si>
  <si>
    <t>11572/P01.5691/P01/05/2025</t>
  </si>
  <si>
    <t>P03.3422</t>
  </si>
  <si>
    <t>11617/P03.3422/P03/05/2025</t>
  </si>
  <si>
    <t>P01.5719</t>
  </si>
  <si>
    <t>11614/P01.5719/P01/05/2025</t>
  </si>
  <si>
    <t>P01.5731</t>
  </si>
  <si>
    <t>11634/P01.5731/P01/05/2025</t>
  </si>
  <si>
    <t>P01.5748</t>
  </si>
  <si>
    <t>11651/P01.5748/P01/06/2025</t>
  </si>
  <si>
    <t>P01.5760</t>
  </si>
  <si>
    <t>11703/P01.5760/P01/06/2025</t>
  </si>
  <si>
    <t>MENUTUP PINJAMAN DI TEMPAT LAIN</t>
  </si>
  <si>
    <t>P03.3458</t>
  </si>
  <si>
    <t>11763/P03.3458/P03/06/2025</t>
  </si>
  <si>
    <t>PEMBELIAN PERALATAN USAHA</t>
  </si>
  <si>
    <t>P05.168</t>
  </si>
  <si>
    <t>11760/P05.168/P05/06/2025</t>
  </si>
  <si>
    <t>14053.001.5020.908</t>
  </si>
  <si>
    <t>P03.3357</t>
  </si>
  <si>
    <t>11432/P03.3357/P03/04/2025</t>
  </si>
  <si>
    <t>MODAL KERJA</t>
  </si>
  <si>
    <t>P01.5543</t>
  </si>
  <si>
    <t>11153/P01.5543/P01/02/2025</t>
  </si>
  <si>
    <t>PERBAIKAN MOBIL</t>
  </si>
  <si>
    <t>P01.5281</t>
  </si>
  <si>
    <t>10512/P01.5281/P01/10/2024</t>
  </si>
  <si>
    <t>P01.5120</t>
  </si>
  <si>
    <t>10116/P01.5120/P01/07/2024</t>
  </si>
  <si>
    <t>P03.2714</t>
  </si>
  <si>
    <t>9571/P03.2714/P03/03/2024</t>
  </si>
  <si>
    <t>P01.4832</t>
  </si>
  <si>
    <t>9439/P01.4832/P01/02/2024</t>
  </si>
  <si>
    <t>P03.3097</t>
  </si>
  <si>
    <t>10707/P03.3096/P03/12/2024</t>
  </si>
  <si>
    <t>TAMBAHAN MODAL USAHA TOKO BAHAN KUE</t>
  </si>
  <si>
    <t>P01.4871</t>
  </si>
  <si>
    <t>9542/P01.4871/P01/03/2024</t>
  </si>
  <si>
    <t>P03.2811</t>
  </si>
  <si>
    <t>9927/P03.2811/P03/06/2024</t>
  </si>
  <si>
    <t>TAMBAHAN MODAL USAHA TAMAN</t>
  </si>
  <si>
    <t>P03.2897</t>
  </si>
  <si>
    <t>10164/P03.2897/P03/08/2024</t>
  </si>
  <si>
    <t>P04.567</t>
  </si>
  <si>
    <t>9879/P04.567/P04/07/2024</t>
  </si>
  <si>
    <t>BELI RUMAH UNTUK BUKA CABANG WARTEG</t>
  </si>
  <si>
    <t>P03.2976</t>
  </si>
  <si>
    <t>10422/P03.2976/P03/10/2024</t>
  </si>
  <si>
    <t>TAMBAHAN MODAL TANI</t>
  </si>
  <si>
    <t>P03.2795</t>
  </si>
  <si>
    <t>9863/P03.2795/P03/06/2024</t>
  </si>
  <si>
    <t>TAMBAHAN MODAL UNTUK SEWA SAWAH</t>
  </si>
  <si>
    <t>P01.5371</t>
  </si>
  <si>
    <t>10678/P01.5371/P01/12/2024</t>
  </si>
  <si>
    <t>BELI KURSI PIJAT</t>
  </si>
  <si>
    <t>P03.3362</t>
  </si>
  <si>
    <t>11338/P03.3362/P03/04/2025</t>
  </si>
  <si>
    <t>TAMBAHAN MODAL USAHA SELEP</t>
  </si>
  <si>
    <t>P04.572</t>
  </si>
  <si>
    <t>10911/P04.572/P04/01/2025</t>
  </si>
  <si>
    <t>PEMBANGUNAN WARTEG</t>
  </si>
  <si>
    <t>P01.4876</t>
  </si>
  <si>
    <t>9558/P01.4876/P01/03/2024</t>
  </si>
  <si>
    <t>UNTUK PERSIAPAN HAJI</t>
  </si>
  <si>
    <t>P02.1662</t>
  </si>
  <si>
    <t>10392/P02.1662/P02/10/2024</t>
  </si>
  <si>
    <t>P03.3275</t>
  </si>
  <si>
    <t>11004/P03.3275/P03/03/2025</t>
  </si>
  <si>
    <t>P02.1783</t>
  </si>
  <si>
    <t>11513/P02.1783/P02/06/2025</t>
  </si>
  <si>
    <t>P01.4839</t>
  </si>
  <si>
    <t>9458/P01.4839/P01/02/2024</t>
  </si>
  <si>
    <t>P01.5107</t>
  </si>
  <si>
    <t>10094/P01.5107/P01/07/2024</t>
  </si>
  <si>
    <t>P03.3376</t>
  </si>
  <si>
    <t>11502/P03.3376/P03/05/2025</t>
  </si>
  <si>
    <t>P03.3253</t>
  </si>
  <si>
    <t>11196/P03.3253/P03/02/2025</t>
  </si>
  <si>
    <t>TAMBAHAN MODAL USAHA TOKO BANGUNAN</t>
  </si>
  <si>
    <t>P03.2854</t>
  </si>
  <si>
    <t>10061/P03.2854/P03/07/2024</t>
  </si>
  <si>
    <t>TAMBAHAN MODAL TANAM BAKO</t>
  </si>
  <si>
    <t>P03.2883</t>
  </si>
  <si>
    <t>10140/P03.2883/P03/07/2024</t>
  </si>
  <si>
    <t>TAMBAHAN MODAL WLIJO</t>
  </si>
  <si>
    <t>P03.2797</t>
  </si>
  <si>
    <t>9867/P03.2797/P03/05/2024</t>
  </si>
  <si>
    <t>P02.1778</t>
  </si>
  <si>
    <t>11598/P02.1778/P02/05/2025</t>
  </si>
  <si>
    <t>P01.5574</t>
  </si>
  <si>
    <t>11244/P01.5574/P01/03/2025</t>
  </si>
  <si>
    <t>P03.3324</t>
  </si>
  <si>
    <t>11327/P03.3324/P03/03/2025</t>
  </si>
  <si>
    <t>P02.1792</t>
  </si>
  <si>
    <t>11696/P02.1792/P02/06/2025</t>
  </si>
  <si>
    <t>P03.3367</t>
  </si>
  <si>
    <t>11449/P03.3367/P03/04/2025</t>
  </si>
  <si>
    <t>P01.5380</t>
  </si>
  <si>
    <t>10773/P01.5380/P01/12/2024</t>
  </si>
  <si>
    <t>P03.3415</t>
  </si>
  <si>
    <t>11597/P03.3415/P03/05/2025</t>
  </si>
  <si>
    <t>P01.5647</t>
  </si>
  <si>
    <t>11445/P01.5647/P01/04/2025</t>
  </si>
  <si>
    <t>P03.2775</t>
  </si>
  <si>
    <t>9798/P03.2775/P03/05/2024</t>
  </si>
  <si>
    <t>TAMBAHAN MODALJAMUR</t>
  </si>
  <si>
    <t>P01.5218</t>
  </si>
  <si>
    <t>10293/P01.5218/P01/09/2024</t>
  </si>
  <si>
    <t>P01.5093</t>
  </si>
  <si>
    <t>10045/P01.5093/P01/07/2024</t>
  </si>
  <si>
    <t>P03.2776</t>
  </si>
  <si>
    <t>9793/P03.2776/P03/05/2024</t>
  </si>
  <si>
    <t>P01.5244</t>
  </si>
  <si>
    <t>10407/P01.5244/P01/10/2024</t>
  </si>
  <si>
    <t>P01.5284</t>
  </si>
  <si>
    <t>10528/P01.5284/P01/11/2024</t>
  </si>
  <si>
    <t>P02.1750</t>
  </si>
  <si>
    <t>11135/P02.1750/P02/03/2025</t>
  </si>
  <si>
    <t>KEBUTUHAN HARI RAYA</t>
  </si>
  <si>
    <t>P03.2999</t>
  </si>
  <si>
    <t>10485/P03.2999/P03/10/2024</t>
  </si>
  <si>
    <t>P01.5794</t>
  </si>
  <si>
    <t>11754/P01.5794/P01/06/2025</t>
  </si>
  <si>
    <t>P02.1707</t>
  </si>
  <si>
    <t>10779/P02.1707/P02/12/2024</t>
  </si>
  <si>
    <t>BIAYA UKT</t>
  </si>
  <si>
    <t>P03.3459</t>
  </si>
  <si>
    <t>11766/P03.3459/P03/06/2025</t>
  </si>
  <si>
    <t>TAMBAHAN MODA TANI</t>
  </si>
  <si>
    <t>P01.5332</t>
  </si>
  <si>
    <t>10644/P01.5332/P01/11/2024</t>
  </si>
  <si>
    <t>P03.3435</t>
  </si>
  <si>
    <t>11649/P03.3435/P03/06/2025</t>
  </si>
  <si>
    <t>P01.4896</t>
  </si>
  <si>
    <t>9579/P01.4896/P01/03/2024</t>
  </si>
  <si>
    <t>PEMBELIAN SHOWCASE ATAU KULKAS UNTUK USAHA</t>
  </si>
  <si>
    <t>P02.1793</t>
  </si>
  <si>
    <t>11706/P02.1793/P02/06/2025</t>
  </si>
  <si>
    <t>P01.5036</t>
  </si>
  <si>
    <t>9926/P01.5036/P01/06/2024</t>
  </si>
  <si>
    <t>P01.5724</t>
  </si>
  <si>
    <t>11600/P01.5724/P01/05/2025</t>
  </si>
  <si>
    <t>P01.5142</t>
  </si>
  <si>
    <t>10170/P01.5142/P01/08/2024</t>
  </si>
  <si>
    <t>P03.2654</t>
  </si>
  <si>
    <t>9271/P03.2654/P03/01/2024</t>
  </si>
  <si>
    <t>SEWA SAWAH GADEN</t>
  </si>
  <si>
    <t>P01.5496</t>
  </si>
  <si>
    <t>11039/P01.5496/P01/02/2025</t>
  </si>
  <si>
    <t>P03.3166</t>
  </si>
  <si>
    <t>10950/P03.3166/P03/01/2025</t>
  </si>
  <si>
    <t>TAMBAHAN MDDAL USAHA GARAM</t>
  </si>
  <si>
    <t>P01.5663</t>
  </si>
  <si>
    <t>11422/P01.5663/P01/05/2025</t>
  </si>
  <si>
    <t>P01.5527</t>
  </si>
  <si>
    <t>11107/P01.5527/P01/02/2025</t>
  </si>
  <si>
    <t>P03.2983</t>
  </si>
  <si>
    <t>10342/P03.2983/P03/10/2024</t>
  </si>
  <si>
    <t>TAMBAHAN MODAL MEMBUAT KANDANG SAPI</t>
  </si>
  <si>
    <t>P01.4989</t>
  </si>
  <si>
    <t>9807/P01.4989/P01/05/2024</t>
  </si>
  <si>
    <t>P01.5109</t>
  </si>
  <si>
    <t>10095/P01.5109/P01/07/2024</t>
  </si>
  <si>
    <t>P01.5362</t>
  </si>
  <si>
    <t>10722/P01.5362/P01/12/2024</t>
  </si>
  <si>
    <t>P03.2708</t>
  </si>
  <si>
    <t>9529/P03.2708/P03/03/2024</t>
  </si>
  <si>
    <t>P03.3108</t>
  </si>
  <si>
    <t>10772/P03.3108/P03/12/2024</t>
  </si>
  <si>
    <t>TAMBAHAN MODAL LAUNDRY</t>
  </si>
  <si>
    <t>P03.2679</t>
  </si>
  <si>
    <t>9423/P03.2679/P03/02/2024</t>
  </si>
  <si>
    <t>PEMBELIAN SAPI</t>
  </si>
  <si>
    <t>P03.3368</t>
  </si>
  <si>
    <t>11471/P03.3368/P03/04/2025</t>
  </si>
  <si>
    <t>P01.5695</t>
  </si>
  <si>
    <t>11388/P01.5695/P01/05/2025</t>
  </si>
  <si>
    <t>P03.2687</t>
  </si>
  <si>
    <t>9457/P03.2687/P03/02/2024</t>
  </si>
  <si>
    <t>TAMBAHAN MODAL UNTUK BELI SAPI</t>
  </si>
  <si>
    <t>P01.5212</t>
  </si>
  <si>
    <t>10318/P01.5212/P01/09/2024</t>
  </si>
  <si>
    <t>AQIQAH ANAK</t>
  </si>
  <si>
    <t>P03.3157</t>
  </si>
  <si>
    <t>10915/P03.3157/P03/01/2025</t>
  </si>
  <si>
    <t>TAMBAHAN MODA USAHA PENGEPUL BEKICOT</t>
  </si>
  <si>
    <t>P01.5749</t>
  </si>
  <si>
    <t>11657/P01.5749/P01/06/2025</t>
  </si>
  <si>
    <t>P01.5261</t>
  </si>
  <si>
    <t>10434/P01.5261/P01/10/2024</t>
  </si>
  <si>
    <t>P02.1740</t>
  </si>
  <si>
    <t>11151/P02.1740/P02/02/2025</t>
  </si>
  <si>
    <t>tambahan modal tani</t>
  </si>
  <si>
    <t>P01.5169</t>
  </si>
  <si>
    <t>10238/P01.5169/P01/08/2024</t>
  </si>
  <si>
    <t>P03.3387</t>
  </si>
  <si>
    <t>11506/P03.3387/P03/05/2025</t>
  </si>
  <si>
    <t>P01.5114</t>
  </si>
  <si>
    <t>10087/P01.5114/P01/07/2024</t>
  </si>
  <si>
    <t>P03.2998</t>
  </si>
  <si>
    <t>10484/P03.2998/P03/10/2024</t>
  </si>
  <si>
    <t>TAMBAHAN MODAL KONTER HP</t>
  </si>
  <si>
    <t>P01.4822</t>
  </si>
  <si>
    <t>9309/P01.4822/P01/02/2024</t>
  </si>
  <si>
    <t>P05.149</t>
  </si>
  <si>
    <t>10568/P05.149/P05/11/2024</t>
  </si>
  <si>
    <t>P01.5466</t>
  </si>
  <si>
    <t>10967/P01.5466/P01/01/2025</t>
  </si>
  <si>
    <t>PEMBELIAN SEPEDA MOTOR DAN TAMBAHAN MODAL</t>
  </si>
  <si>
    <t>P01.4988</t>
  </si>
  <si>
    <t>9792/P01.4988/P01/05/2024</t>
  </si>
  <si>
    <t>TAMBAHAN MODAL DAN PENGOBATAN ANAK</t>
  </si>
  <si>
    <t>P08.311</t>
  </si>
  <si>
    <t>11071/P08.311/P08/02/2025</t>
  </si>
  <si>
    <t>P03.3452</t>
  </si>
  <si>
    <t>11749/P03.3452/P03/06/2025</t>
  </si>
  <si>
    <t>P03.2919</t>
  </si>
  <si>
    <t>10246/P03.2919/P03/08/2024</t>
  </si>
  <si>
    <t>TAMBAHAN MODAL USAHA JUAL BELI SEPEDA MOTOR</t>
  </si>
  <si>
    <t>P01.4750</t>
  </si>
  <si>
    <t>9173/P01.4750/P01/01/2024</t>
  </si>
  <si>
    <t>P03.3057</t>
  </si>
  <si>
    <t>10618/P03.3057/P03/11/2024</t>
  </si>
  <si>
    <t>P01.5631</t>
  </si>
  <si>
    <t>11413/P01.5631/P01/04/2025</t>
  </si>
  <si>
    <t>P01.5534</t>
  </si>
  <si>
    <t>11155/P01.5534/P01/02/2025</t>
  </si>
  <si>
    <t>P03.2716</t>
  </si>
  <si>
    <t>9577/P03.2716/P03/03/2024</t>
  </si>
  <si>
    <t>TAMBAHAN MODAL SEWA TANAH UNTUK PRODUKSI BATU BATA</t>
  </si>
  <si>
    <t>P08.305</t>
  </si>
  <si>
    <t>10792/P08.305/P08/12/2024</t>
  </si>
  <si>
    <t>P03.2934</t>
  </si>
  <si>
    <t>10205/P03.2934/P03/09/2024</t>
  </si>
  <si>
    <t>P01.5642</t>
  </si>
  <si>
    <t>11435/P01.5642/P01/04/2025</t>
  </si>
  <si>
    <t>RENOVASI RUMAH DAN TAMBAH MODAL</t>
  </si>
  <si>
    <t>P03.2833</t>
  </si>
  <si>
    <t>9845/P03.2833/P03/06/2024</t>
  </si>
  <si>
    <t>BELI MESIN TRAKTOR</t>
  </si>
  <si>
    <t>P05.161</t>
  </si>
  <si>
    <t>11269/P05.161/P05/03/2025</t>
  </si>
  <si>
    <t>P05.147</t>
  </si>
  <si>
    <t>10558/P05.147/P05/11/2024</t>
  </si>
  <si>
    <t>P01.5422</t>
  </si>
  <si>
    <t>10861/P01.5422/P01/01/2025</t>
  </si>
  <si>
    <t>UNTUK BIAYA PENGURUSAN SERTIFIKAT</t>
  </si>
  <si>
    <t>P03.2879</t>
  </si>
  <si>
    <t>10119/P03.2879/P03/07/2024</t>
  </si>
  <si>
    <t>TAMBAHAN MODAL USAHA MINYAK WANGI</t>
  </si>
  <si>
    <t>P03.3418</t>
  </si>
  <si>
    <t>11599/P03.3418/P03/05/2025</t>
  </si>
  <si>
    <t>P01.5153</t>
  </si>
  <si>
    <t>10188/P01.5153/P01/08/2024</t>
  </si>
  <si>
    <t>P03.3173</t>
  </si>
  <si>
    <t>10969/P03.3173/P03/01/2025</t>
  </si>
  <si>
    <t>P03.3183</t>
  </si>
  <si>
    <t>10961/P03.3183/P03/02/2025</t>
  </si>
  <si>
    <t>P01.5679</t>
  </si>
  <si>
    <t>11394/P01.5679/P01/05/2025</t>
  </si>
  <si>
    <t>P03.2733</t>
  </si>
  <si>
    <t>9593/P03.2733/P03/03/2024</t>
  </si>
  <si>
    <t>P05.126</t>
  </si>
  <si>
    <t>9307/P05.126/P05/01/2024</t>
  </si>
  <si>
    <t>P03.3001</t>
  </si>
  <si>
    <t>10442/P03.3001/P03/10/2024</t>
  </si>
  <si>
    <t>TAMABAHAN MODAL TANI</t>
  </si>
  <si>
    <t>P03.2682</t>
  </si>
  <si>
    <t>9435/P03.2682/P03/02/2024</t>
  </si>
  <si>
    <t>TAMBAHAN MODAL SAWAH</t>
  </si>
  <si>
    <t>P01.4982</t>
  </si>
  <si>
    <t>9786/P01.4982/P01/05/2024</t>
  </si>
  <si>
    <t>P03.3426</t>
  </si>
  <si>
    <t>11626/P03.3426/P03/05/2025</t>
  </si>
  <si>
    <t>P02.1787</t>
  </si>
  <si>
    <t>11662/P02.1787/P02/06/2025</t>
  </si>
  <si>
    <t>P01.5516</t>
  </si>
  <si>
    <t>11092/P01.5516/P01/02/2025</t>
  </si>
  <si>
    <t>P02.1737</t>
  </si>
  <si>
    <t>11166/P02.1737/P02/02/2025</t>
  </si>
  <si>
    <t>P01.5787</t>
  </si>
  <si>
    <t>11731/P01.5787/P01/06/2025</t>
  </si>
  <si>
    <t>P01.4969</t>
  </si>
  <si>
    <t>9754/P01.4969/P01/04/2024</t>
  </si>
  <si>
    <t>BELI SAPI</t>
  </si>
  <si>
    <t>P01.5673</t>
  </si>
  <si>
    <t>11519/P01.5673/P01/05/2025</t>
  </si>
  <si>
    <t>P03.2796</t>
  </si>
  <si>
    <t>9868/P03.2796/P03/05/2024</t>
  </si>
  <si>
    <t>P02.1770</t>
  </si>
  <si>
    <t>11517/P02.1770/P02/05/2025</t>
  </si>
  <si>
    <t>P03.2845</t>
  </si>
  <si>
    <t>10038/P03.2845/P03/07/2024</t>
  </si>
  <si>
    <t>P01.5329</t>
  </si>
  <si>
    <t>10607/P01.5329/P01/11/2024</t>
  </si>
  <si>
    <t>UNTUK PELUNASAN PINJAMAN DI TEMPAT LAIN</t>
  </si>
  <si>
    <t>P03.3307</t>
  </si>
  <si>
    <t>11301/P03.3307/P03/03/2025</t>
  </si>
  <si>
    <t>TAMBAHAN MODAL KUE</t>
  </si>
  <si>
    <t>P01.5394</t>
  </si>
  <si>
    <t>10802/P01.5394/P01/12/2024</t>
  </si>
  <si>
    <t>RESHEDULING PINJAMAN ORTU</t>
  </si>
  <si>
    <t>P03.3321</t>
  </si>
  <si>
    <t>11263/P03.3321/P03/03/2025</t>
  </si>
  <si>
    <t>TAMBAHAN MODAL USAHA TOKO SEPATU DAN TAS</t>
  </si>
  <si>
    <t>P03.2902</t>
  </si>
  <si>
    <t>10200/P03.2902/P03/08/2024</t>
  </si>
  <si>
    <t>P03.3361</t>
  </si>
  <si>
    <t>11428/P03.3361/P03/04/2025</t>
  </si>
  <si>
    <t>P03.3359</t>
  </si>
  <si>
    <t>11396/P03.3359/P03/04/2025</t>
  </si>
  <si>
    <t>TAMBAHAN MODAL USAHA TOKO KAIN</t>
  </si>
  <si>
    <t>P03.3184</t>
  </si>
  <si>
    <t>10974/P03.3184/P03/02/2025</t>
  </si>
  <si>
    <t>P03.3254</t>
  </si>
  <si>
    <t>10993/P03.3254/P03/02/2025</t>
  </si>
  <si>
    <t>P03.3107</t>
  </si>
  <si>
    <t>10776/P03.3107/P03/12/2024</t>
  </si>
  <si>
    <t>TAMBAHAN MODAL USAHA ANGKRINGAN DAN GORENGAN</t>
  </si>
  <si>
    <t>P03.3044</t>
  </si>
  <si>
    <t>10602/P03.3044/P03/11/2024</t>
  </si>
  <si>
    <t>TAMBAHAN MODAL USAHA SALON KECANTIKAN</t>
  </si>
  <si>
    <t>P01.5766</t>
  </si>
  <si>
    <t>11714/P01.5766/P01/06/2025</t>
  </si>
  <si>
    <t>BAYAR UKT ANAK</t>
  </si>
  <si>
    <t>P03.3056</t>
  </si>
  <si>
    <t>10617/P03.3056/P03/11/2024</t>
  </si>
  <si>
    <t>TAMBAHAN MODAL USAHA TOKO SEMBAKO</t>
  </si>
  <si>
    <t>P05.150</t>
  </si>
  <si>
    <t>10623/P05.150/P05/11/2024</t>
  </si>
  <si>
    <t>P03.3064</t>
  </si>
  <si>
    <t>10643/P03.3064/P03/11/2024</t>
  </si>
  <si>
    <t>TAMBAHAN MODAL USAHA KERUPUK</t>
  </si>
  <si>
    <t>P03.3078</t>
  </si>
  <si>
    <t>10674/P03.3078/P03/11/2024</t>
  </si>
  <si>
    <t>P03.3077</t>
  </si>
  <si>
    <t>10675/P03.3077/P03/11/2024</t>
  </si>
  <si>
    <t>P03.3079</t>
  </si>
  <si>
    <t>10676/P03.3079/P03/11/2024</t>
  </si>
  <si>
    <t>P01.5737</t>
  </si>
  <si>
    <t>11644/P01.5737/P01/05/2025</t>
  </si>
  <si>
    <t>BIAYA PERAWATAN PERSIAPAN OPRASI</t>
  </si>
  <si>
    <t>P01.5798</t>
  </si>
  <si>
    <t>11755/P01.5798/P01/06/2025</t>
  </si>
  <si>
    <t>P01.5387</t>
  </si>
  <si>
    <t>10786/P01.5387/P01/12/2024</t>
  </si>
  <si>
    <t>P03.3115</t>
  </si>
  <si>
    <t>10794/P03.3115/P03/12/2024</t>
  </si>
  <si>
    <t>TAMBAHAN MODAL USAHA JAGAL</t>
  </si>
  <si>
    <t>P01.5778</t>
  </si>
  <si>
    <t>11726/P01.5778/P01/06/2025</t>
  </si>
  <si>
    <t>P03.3311</t>
  </si>
  <si>
    <t>11306/P03.3311/P03/03/2025</t>
  </si>
  <si>
    <t>P03.3170</t>
  </si>
  <si>
    <t>10916/P03.3170/P03/01/2025</t>
  </si>
  <si>
    <t>TAMBAHAN MODAL USAHA SORUM MOTOR</t>
  </si>
  <si>
    <t>P03.3153</t>
  </si>
  <si>
    <t>10898/P03.3153/P03/01/2025</t>
  </si>
  <si>
    <t>TAMBAHAN MODAL USAHA GAS ELPIGI</t>
  </si>
  <si>
    <t>P01.5435</t>
  </si>
  <si>
    <t>10906/P01.5435/P01/01/2025</t>
  </si>
  <si>
    <t>P05.155</t>
  </si>
  <si>
    <t>10965/P05.155/P05/01/2025</t>
  </si>
  <si>
    <t>P03.3175</t>
  </si>
  <si>
    <t>10986/P03.3175/P03/01/2025</t>
  </si>
  <si>
    <t>P01.5611</t>
  </si>
  <si>
    <t>11383/P01.5611/P01/03/2025</t>
  </si>
  <si>
    <t>P03.3196</t>
  </si>
  <si>
    <t>11053/P03.3196/P03/02/2025</t>
  </si>
  <si>
    <t>P03.3298</t>
  </si>
  <si>
    <t>11242/P03.3298/P03/03/2025</t>
  </si>
  <si>
    <t>TAMBAHAN MODAL USAHA BENGKEL DAN BIAYA PENDIDIKAN ANAK</t>
  </si>
  <si>
    <t>P01.5569</t>
  </si>
  <si>
    <t>11238/P01.5569/P01/03/2025</t>
  </si>
  <si>
    <t>P01.5537</t>
  </si>
  <si>
    <t>11170/P01.5537/P01/02/2025</t>
  </si>
  <si>
    <t>P03.3234</t>
  </si>
  <si>
    <t>11176/P03.3234/P03/02/2025</t>
  </si>
  <si>
    <t>P03.3235</t>
  </si>
  <si>
    <t>11175/P03.3235/P03/02/2025</t>
  </si>
  <si>
    <t>P01.5540</t>
  </si>
  <si>
    <t>11174/P01.5540/P01/02/2025</t>
  </si>
  <si>
    <t>P01.5541</t>
  </si>
  <si>
    <t>11173/P01.5541/P01/02/2025</t>
  </si>
  <si>
    <t>P03.3431</t>
  </si>
  <si>
    <t>11669/P03.3431/P03/06/2025</t>
  </si>
  <si>
    <t>P03.3290</t>
  </si>
  <si>
    <t>11268/P03.3290/P03/03/2025</t>
  </si>
  <si>
    <t>TAMBAHAN MODAL USAHA FOTOCOPY</t>
  </si>
  <si>
    <t>P03.3291</t>
  </si>
  <si>
    <t>11266/P03.3291/P03/03/2025</t>
  </si>
  <si>
    <t>P03.3410</t>
  </si>
  <si>
    <t>11590/P03.3410/P03/05/2025</t>
  </si>
  <si>
    <t>P01.5735</t>
  </si>
  <si>
    <t>11639/P01.5735/P01/05/2025</t>
  </si>
  <si>
    <t>P03.3343</t>
  </si>
  <si>
    <t>11382/P03.3343/P03/03/2025</t>
  </si>
  <si>
    <t>TAMBAHAN MODAL USAHA TERNAK AYAM KAMPUNG</t>
  </si>
  <si>
    <t>P01.5645</t>
  </si>
  <si>
    <t>11459/P01.5645/P01/04/2025</t>
  </si>
  <si>
    <t>PEMBAYARAN UKT</t>
  </si>
  <si>
    <t>P03.3373</t>
  </si>
  <si>
    <t>11483/P03.3373/P03/04/2025</t>
  </si>
  <si>
    <t>P03.3372</t>
  </si>
  <si>
    <t>11479/P03.3372/P03/04/2025</t>
  </si>
  <si>
    <t>P01.5658</t>
  </si>
  <si>
    <t>11486/P01.5658/P01/04/2025</t>
  </si>
  <si>
    <t>P01.5684</t>
  </si>
  <si>
    <t>11546/P01.5684/P01/05/2025</t>
  </si>
  <si>
    <t>P01.5685</t>
  </si>
  <si>
    <t>11547/P01.5685/P01/05/2025</t>
  </si>
  <si>
    <t>P03.3423</t>
  </si>
  <si>
    <t>11640/P03.3423/P03/05/2025</t>
  </si>
  <si>
    <t>P01.5757</t>
  </si>
  <si>
    <t>11683/P01.5757/P01/06/2025</t>
  </si>
  <si>
    <t>P03.3438</t>
  </si>
  <si>
    <t>11678/P03.3438/P03/06/2025</t>
  </si>
  <si>
    <t>P01.5310</t>
  </si>
  <si>
    <t>10582/P01.5309/P01/11/2024</t>
  </si>
  <si>
    <t>P01.4818</t>
  </si>
  <si>
    <t>9369/P01.4818/P01/02/2024</t>
  </si>
  <si>
    <t>P02.1782</t>
  </si>
  <si>
    <t>11647/P02.1782/P02/05/2025</t>
  </si>
  <si>
    <t>P01.5258</t>
  </si>
  <si>
    <t>10433/P01.5258/P01/10/2024</t>
  </si>
  <si>
    <t>P02.1767</t>
  </si>
  <si>
    <t>11515/P02.1767/P02/05/2025</t>
  </si>
  <si>
    <t>P02.1762</t>
  </si>
  <si>
    <t>11448/P02.1762/P02/04/2025</t>
  </si>
  <si>
    <t>P01.5101</t>
  </si>
  <si>
    <t>9737/P01.5101/P01/07/2024</t>
  </si>
  <si>
    <t>P02.1596</t>
  </si>
  <si>
    <t>9759/P02.1596/P02/04/2024</t>
  </si>
  <si>
    <t>P01.5414</t>
  </si>
  <si>
    <t>10860/P01.5414/P01/01/2025</t>
  </si>
  <si>
    <t>P04.562</t>
  </si>
  <si>
    <t>9444/P04.562/P04/03/2024</t>
  </si>
  <si>
    <t>P01.5743</t>
  </si>
  <si>
    <t>11653/P01.5743/P01/06/2025</t>
  </si>
  <si>
    <t>P03.2719</t>
  </si>
  <si>
    <t>9565/P03.2719/P03/03/2024</t>
  </si>
  <si>
    <t>9992/P04.567/P04/07/2024</t>
  </si>
  <si>
    <t>P03.3374</t>
  </si>
  <si>
    <t>11477/P03.3374/P03/04/2025</t>
  </si>
  <si>
    <t>P02.1508</t>
  </si>
  <si>
    <t>9253/P02.1508/P02/01/2024</t>
  </si>
  <si>
    <t>P02.1555</t>
  </si>
  <si>
    <t>9545/P02.1555/P02/03/2024</t>
  </si>
  <si>
    <t>KEBUTUHAN PRIBADI</t>
  </si>
  <si>
    <t>P01.5410</t>
  </si>
  <si>
    <t>10836/P01.5410/P01/01/2025</t>
  </si>
  <si>
    <t>P03.2641</t>
  </si>
  <si>
    <t>9131/P03.2641/P03/01/2024</t>
  </si>
  <si>
    <t>P08.307</t>
  </si>
  <si>
    <t>10828/P08.307/P08/01/2025</t>
  </si>
  <si>
    <t>P03.2905</t>
  </si>
  <si>
    <t>10197/P03.2905/P03/08/2024</t>
  </si>
  <si>
    <t>P08.314</t>
  </si>
  <si>
    <t>11112/P08.314/P08/02/2025</t>
  </si>
  <si>
    <t>MEMBELI HP REALME</t>
  </si>
  <si>
    <t>P02.1788</t>
  </si>
  <si>
    <t>11674/P02.1788/P02/06/2025</t>
  </si>
  <si>
    <t>P01.5238</t>
  </si>
  <si>
    <t>10372/P01.5238/P01/10/2024</t>
  </si>
  <si>
    <t>P03.3395</t>
  </si>
  <si>
    <t>11532/P03.3395/P03/05/2025</t>
  </si>
  <si>
    <t>P04.573</t>
  </si>
  <si>
    <t>11602/P04.573/P04/05/2025</t>
  </si>
  <si>
    <t>P03.2997</t>
  </si>
  <si>
    <t>10477/P03.2997/P03/10/2024</t>
  </si>
  <si>
    <t>TAMBAHAN MODAL PECAH BELAH</t>
  </si>
  <si>
    <t>P02.1664</t>
  </si>
  <si>
    <t>10404/P02.1664/P02/10/2024</t>
  </si>
  <si>
    <t>P02.1764</t>
  </si>
  <si>
    <t>11465/P02.1764/P02/04/2025</t>
  </si>
  <si>
    <t>P03.3396</t>
  </si>
  <si>
    <t>11533/P03.3396/P03/05/2025</t>
  </si>
  <si>
    <t>P03.3071</t>
  </si>
  <si>
    <t>10649/P03.3071/P03/11/2024</t>
  </si>
  <si>
    <t>TAMBAHAN MODAL USAHA AYAM GEPREK</t>
  </si>
  <si>
    <t>P02.1548</t>
  </si>
  <si>
    <t>9478/P02.1547/P02/02/2024</t>
  </si>
  <si>
    <t>P01.4836</t>
  </si>
  <si>
    <t>9427/P01.4836/P01/02/2024</t>
  </si>
  <si>
    <t>P03.3199</t>
  </si>
  <si>
    <t>11032/P03.3199/P03/02/2025</t>
  </si>
  <si>
    <t>P03.3152</t>
  </si>
  <si>
    <t>10887/P03.3152/P03/01/2025</t>
  </si>
  <si>
    <t>P03.3113</t>
  </si>
  <si>
    <t>10756/P03.3113/P03/12/2024</t>
  </si>
  <si>
    <t>P01.5674</t>
  </si>
  <si>
    <t>11501/P01.5674/P01/05/2025</t>
  </si>
  <si>
    <t>P02.1763</t>
  </si>
  <si>
    <t>11452/P02.1763/P02/04/2025</t>
  </si>
  <si>
    <t>TAMBAHAN MODAL USAHA BAKSO</t>
  </si>
  <si>
    <t>P02.1709</t>
  </si>
  <si>
    <t>10768/P02.1709/P02/12/2024</t>
  </si>
  <si>
    <t>P02.1726</t>
  </si>
  <si>
    <t>11036/P02.1726/P02/02/2025</t>
  </si>
  <si>
    <t>P01.4767</t>
  </si>
  <si>
    <t>9226/P01.4767/P01/01/2024</t>
  </si>
  <si>
    <t>P03.2695</t>
  </si>
  <si>
    <t>9468/P03.2695/P03/02/2024</t>
  </si>
  <si>
    <t>P01.5788</t>
  </si>
  <si>
    <t>11695/P01.5788/P01/06/2025</t>
  </si>
  <si>
    <t>BIAYA PENDIDIKAN ANKA</t>
  </si>
  <si>
    <t>P01.5067</t>
  </si>
  <si>
    <t>9977/P01.5067/P01/06/2024</t>
  </si>
  <si>
    <t>P03.3360</t>
  </si>
  <si>
    <t>11410/P03.3360/P03/04/2025</t>
  </si>
  <si>
    <t>P05.146</t>
  </si>
  <si>
    <t>10530/P05.146/P05/11/2024</t>
  </si>
  <si>
    <t>MEMEBELI SEPEDA MOTOR NMAX</t>
  </si>
  <si>
    <t>P01.5397</t>
  </si>
  <si>
    <t>10798/P01.5397/P01/12/2024</t>
  </si>
  <si>
    <t>P02.1728</t>
  </si>
  <si>
    <t>11048/P02.1728/P02/02/2025</t>
  </si>
  <si>
    <t>P01.5652</t>
  </si>
  <si>
    <t>11469/P01.5652/P01/04/2025</t>
  </si>
  <si>
    <t>P03.3349</t>
  </si>
  <si>
    <t>11282/P03.3349/P03/03/2025</t>
  </si>
  <si>
    <t>P03.3004</t>
  </si>
  <si>
    <t>10460/P03.3004/P03/10/2024</t>
  </si>
  <si>
    <t>TAMBAHAN MODAL FOTO COPY DAN TOKO SEMBAKO</t>
  </si>
  <si>
    <t>P01.5535</t>
  </si>
  <si>
    <t>11098/P01.5535/P01/02/2025</t>
  </si>
  <si>
    <t>P02.1681</t>
  </si>
  <si>
    <t>10593/P02.1681/P02/11/2024</t>
  </si>
  <si>
    <t>RENOVASI RUUMAH</t>
  </si>
  <si>
    <t>P01.5461</t>
  </si>
  <si>
    <t>10907/P01.5461/P01/01/2025</t>
  </si>
  <si>
    <t>P03.3446</t>
  </si>
  <si>
    <t>11700/P03.3446/P03/06/2025</t>
  </si>
  <si>
    <t>P05.142</t>
  </si>
  <si>
    <t>10067/P05.142/P05/08/2024</t>
  </si>
  <si>
    <t>PEMBELIAN MOTOR VARIO 150</t>
  </si>
  <si>
    <t>P01.5399</t>
  </si>
  <si>
    <t>10788/P01.5399/P01/01/2025</t>
  </si>
  <si>
    <t>P03.3294</t>
  </si>
  <si>
    <t>10905/P03.3294/P03/03/2025</t>
  </si>
  <si>
    <t>P01.5501</t>
  </si>
  <si>
    <t>11047/P01.5501/P01/02/2025</t>
  </si>
  <si>
    <t>MEMBELI EMAS ANTAM</t>
  </si>
  <si>
    <t>P02.1739</t>
  </si>
  <si>
    <t>11172/P02.1739/P02/02/2025</t>
  </si>
  <si>
    <t>P01.5564</t>
  </si>
  <si>
    <t>10381/P01.5564/P01/03/2025</t>
  </si>
  <si>
    <t>P01.4985</t>
  </si>
  <si>
    <t>9772/P01.4985/P01/05/2024</t>
  </si>
  <si>
    <t>P01.5686</t>
  </si>
  <si>
    <t>11475/P01.5686/P01/05/2025</t>
  </si>
  <si>
    <t>P02.1725</t>
  </si>
  <si>
    <t>10954/P02.1725/P02/01/2025</t>
  </si>
  <si>
    <t>P01.5179</t>
  </si>
  <si>
    <t>10255/P01.5179/P01/08/2024</t>
  </si>
  <si>
    <t>P03.3333</t>
  </si>
  <si>
    <t>11323/P03.3333/P03/03/2025</t>
  </si>
  <si>
    <t>TAMBAHAN MODAL USAHA JAHIT</t>
  </si>
  <si>
    <t>P01.5796</t>
  </si>
  <si>
    <t>11756/P01.5795/P01/06/2025</t>
  </si>
  <si>
    <t>P01.5449</t>
  </si>
  <si>
    <t>10933/P01.5449/P01/01/2025</t>
  </si>
  <si>
    <t>P01.5108</t>
  </si>
  <si>
    <t>10069/P01.5108/P01/07/2024</t>
  </si>
  <si>
    <t>P01.5752</t>
  </si>
  <si>
    <t>11681/P01.5752/P01/06/2025</t>
  </si>
  <si>
    <t>P03.3375</t>
  </si>
  <si>
    <t>11497/P03.3375/P03/05/2025</t>
  </si>
  <si>
    <t>TAMBAHAN MODAL USAHA POM MINI</t>
  </si>
  <si>
    <t>P03.3043</t>
  </si>
  <si>
    <t>10561/P03.3043/P03/11/2024</t>
  </si>
  <si>
    <t>TAMBAHAN MODAL USAHA WLIJO</t>
  </si>
  <si>
    <t>P03.2786</t>
  </si>
  <si>
    <t>9810/P03.2786/P03/05/2024</t>
  </si>
  <si>
    <t>P01.5728</t>
  </si>
  <si>
    <t>11619/P01.5728/P01/05/2025</t>
  </si>
  <si>
    <t>P01.5640</t>
  </si>
  <si>
    <t>11433/P01.5640/P01/04/2025</t>
  </si>
  <si>
    <t>MEMBELI SEPEDA MOTOR LISTRIK</t>
  </si>
  <si>
    <t>P01.5049</t>
  </si>
  <si>
    <t>9950/P01.5049/P01/06/2024</t>
  </si>
  <si>
    <t>P01.5062</t>
  </si>
  <si>
    <t>9974/P01.5062/P01/06/2024</t>
  </si>
  <si>
    <t>P01.5767</t>
  </si>
  <si>
    <t>11704/P01.5767/P01/06/2025</t>
  </si>
  <si>
    <t>P03.3250</t>
  </si>
  <si>
    <t>11115/P03.3250/P03/02/2025</t>
  </si>
  <si>
    <t>P02.1574</t>
  </si>
  <si>
    <t>9655/P02.1574/P02/03/2024</t>
  </si>
  <si>
    <t>P01.5479</t>
  </si>
  <si>
    <t>10966/P01.5479/P01/02/2025</t>
  </si>
  <si>
    <t>PELUNASAN PINJAMAN MOTOR</t>
  </si>
  <si>
    <t>P03.2689</t>
  </si>
  <si>
    <t>9461/P03.2689/P03/02/2024</t>
  </si>
  <si>
    <t>TAMBAHAN MODAL KUE KACANG</t>
  </si>
  <si>
    <t>P01.5347</t>
  </si>
  <si>
    <t>10483/P01.5347/P01/11/2024</t>
  </si>
  <si>
    <t>MEMBELI SAWAH</t>
  </si>
  <si>
    <t>P09.61</t>
  </si>
  <si>
    <t>11199/P09.61/P09/02/2025</t>
  </si>
  <si>
    <t>P03.3162</t>
  </si>
  <si>
    <t>10943/P03.3161/P03/01/2025</t>
  </si>
  <si>
    <t>P01.5065</t>
  </si>
  <si>
    <t>9978/P01.5065/P01/06/2024</t>
  </si>
  <si>
    <t>P01.5324</t>
  </si>
  <si>
    <t>10626/P01.5324/P01/11/2024</t>
  </si>
  <si>
    <t>P02.1719</t>
  </si>
  <si>
    <t>10922/P02.1719/P02/01/2025</t>
  </si>
  <si>
    <t>P05.167</t>
  </si>
  <si>
    <t>11518/P05.167/P05/05/2025</t>
  </si>
  <si>
    <t>P01.5696</t>
  </si>
  <si>
    <t>11549/P01.5696/P01/05/2025</t>
  </si>
  <si>
    <t>P03.3381</t>
  </si>
  <si>
    <t>11512/P03.3381/P03/05/2025</t>
  </si>
  <si>
    <t>P01.5697</t>
  </si>
  <si>
    <t>11568/P01.5697/P01/05/2025</t>
  </si>
  <si>
    <t>MEMBELI ASBES</t>
  </si>
  <si>
    <t>P01.5584</t>
  </si>
  <si>
    <t>11294/P01.5584/P01/03/2025</t>
  </si>
  <si>
    <t>P09.58</t>
  </si>
  <si>
    <t>10864/P09.58/P09/01/2025</t>
  </si>
  <si>
    <t>P03.3355</t>
  </si>
  <si>
    <t>11415/P03.3355/P03/04/2025</t>
  </si>
  <si>
    <t>P03.2818</t>
  </si>
  <si>
    <t>9931/P03.2818/P03/06/2024</t>
  </si>
  <si>
    <t>P03.2809</t>
  </si>
  <si>
    <t>9883/P03.2809/P03/06/2024</t>
  </si>
  <si>
    <t>TAMBAHAN MODAL MENANAM TEMBAKAU</t>
  </si>
  <si>
    <t>P03.3187</t>
  </si>
  <si>
    <t>11010/P03.3187/P03/02/2025</t>
  </si>
  <si>
    <t>P03.2991</t>
  </si>
  <si>
    <t>10450/P03.2991/P03/10/2024</t>
  </si>
  <si>
    <t>P01.4973</t>
  </si>
  <si>
    <t>9761/P01.4973/P01/04/2024</t>
  </si>
  <si>
    <t>P01.5570</t>
  </si>
  <si>
    <t>11277/P01.5570/P01/03/2025</t>
  </si>
  <si>
    <t>P03.2893</t>
  </si>
  <si>
    <t>10168/P03.2893/P03/08/2024</t>
  </si>
  <si>
    <t>BIAYA UNTUK BUKA CABANG BARU</t>
  </si>
  <si>
    <t>P01.5445</t>
  </si>
  <si>
    <t>10942/P01.5445/P01/01/2025</t>
  </si>
  <si>
    <t>P01.5355</t>
  </si>
  <si>
    <t>10687/P01.5355/P01/12/2024</t>
  </si>
  <si>
    <t>P03.3280</t>
  </si>
  <si>
    <t>11232/P03.3280/P03/03/2025</t>
  </si>
  <si>
    <t>P03.3407</t>
  </si>
  <si>
    <t>11560/P03.3407/P03/05/2025</t>
  </si>
  <si>
    <t>P03.2923</t>
  </si>
  <si>
    <t>10225/P03.2923/P03/08/2024</t>
  </si>
  <si>
    <t>Tambahan Modal Usaha Kuliner</t>
  </si>
  <si>
    <t>P08.306</t>
  </si>
  <si>
    <t>10800/P08.306/P08/12/2024</t>
  </si>
  <si>
    <t>Pembelian Hp Realmi C61</t>
  </si>
  <si>
    <t>P03.3305</t>
  </si>
  <si>
    <t>11292/P03.3305/P03/03/2025</t>
  </si>
  <si>
    <t>P01.5774</t>
  </si>
  <si>
    <t>10743/P01.5774/P01/06/2025</t>
  </si>
  <si>
    <t>TAKE OVER DARI BANK MANDIRI</t>
  </si>
  <si>
    <t>P01.5632</t>
  </si>
  <si>
    <t>11416/P01.5632/P01/04/2025</t>
  </si>
  <si>
    <t>P03.2832</t>
  </si>
  <si>
    <t>9985/P03.2832/P03/06/2024</t>
  </si>
  <si>
    <t>P01.5412</t>
  </si>
  <si>
    <t>10827/P01.5412/P01/01/2025</t>
  </si>
  <si>
    <t>P01.5791</t>
  </si>
  <si>
    <t>11758/P01.5791/P01/06/2025</t>
  </si>
  <si>
    <t>PEMBELIAN HP XIAOMI</t>
  </si>
  <si>
    <t>P01.4800</t>
  </si>
  <si>
    <t>9302/P01.4800/P01/02/2024</t>
  </si>
  <si>
    <t>P03.3327</t>
  </si>
  <si>
    <t>11321/P03.3327/P03/03/2025</t>
  </si>
  <si>
    <t>P01.5012</t>
  </si>
  <si>
    <t>9862/P01.5012/P01/05/2024</t>
  </si>
  <si>
    <t>P03.2703</t>
  </si>
  <si>
    <t>9515/P03.2703/P03/03/2024</t>
  </si>
  <si>
    <t>P01.4884</t>
  </si>
  <si>
    <t>9552/P01.4884/P01/03/2024</t>
  </si>
  <si>
    <t>P01.5456</t>
  </si>
  <si>
    <t>10935/P01.5453/P01/01/2025</t>
  </si>
  <si>
    <t>PENGURUSAN SERTIPIKAT</t>
  </si>
  <si>
    <t>P01.4902</t>
  </si>
  <si>
    <t>9594/P01.4902/P01/03/2024</t>
  </si>
  <si>
    <t>P01.5712</t>
  </si>
  <si>
    <t>11577/P01.5712/P01/05/2025</t>
  </si>
  <si>
    <t>P01.5617</t>
  </si>
  <si>
    <t>11365/P01.5617/P01/03/2025</t>
  </si>
  <si>
    <t>P01.5761</t>
  </si>
  <si>
    <t>11698/P01.5761/P01/06/2025</t>
  </si>
  <si>
    <t>P01.5553</t>
  </si>
  <si>
    <t>11208/P01.5553/P01/02/2025</t>
  </si>
  <si>
    <t>P01.5089</t>
  </si>
  <si>
    <t>10028/P01.5089/P01/07/2024</t>
  </si>
  <si>
    <t>P03.2978</t>
  </si>
  <si>
    <t>10408/P03.2978/P03/10/2024</t>
  </si>
  <si>
    <t>TAMBAHAN MODAL USAHA DAGANG PADI</t>
  </si>
  <si>
    <t>P03.2880</t>
  </si>
  <si>
    <t>10128/P03.2880/P03/07/2024</t>
  </si>
  <si>
    <t>TAMBAHAN MODAL USAHA MIE KOPYOK</t>
  </si>
  <si>
    <t>P03.2887</t>
  </si>
  <si>
    <t>10145/P03.2887/P03/08/2024</t>
  </si>
  <si>
    <t>P03.3259</t>
  </si>
  <si>
    <t>11143/P03.3259/P03/02/2025</t>
  </si>
  <si>
    <t>TAMBAHAN USAHA JOY POLINE</t>
  </si>
  <si>
    <t>P03.3408</t>
  </si>
  <si>
    <t>11562/P03.3408/P03/05/2025</t>
  </si>
  <si>
    <t>P01.5586</t>
  </si>
  <si>
    <t>11315/P01.5586/P01/03/2025</t>
  </si>
  <si>
    <t>BIAYA BEROBAT ANAK</t>
  </si>
  <si>
    <t>P03.2901</t>
  </si>
  <si>
    <t>10190/P03.2901/P03/08/2024</t>
  </si>
  <si>
    <t>P03.2907</t>
  </si>
  <si>
    <t>10210/P03.2907/P03/08/2024</t>
  </si>
  <si>
    <t>P01.5609</t>
  </si>
  <si>
    <t>11367/P01.5609/P01/03/2025</t>
  </si>
  <si>
    <t>P03.3247</t>
  </si>
  <si>
    <t>11108/P03.3247/P03/02/2025</t>
  </si>
  <si>
    <t>P01.5204</t>
  </si>
  <si>
    <t>10298/P01.5204/P01/09/2024</t>
  </si>
  <si>
    <t>P03.3429</t>
  </si>
  <si>
    <t>11557/P03.3429/P03/06/2025</t>
  </si>
  <si>
    <t>P03.3028</t>
  </si>
  <si>
    <t>10543/P03.3028/P03/11/2024</t>
  </si>
  <si>
    <t>TAMBAHAN MODAL USAHA JAMU</t>
  </si>
  <si>
    <t>P01.5554</t>
  </si>
  <si>
    <t>11207/P01.5554/P01/02/2025</t>
  </si>
  <si>
    <t>P03.3002</t>
  </si>
  <si>
    <t>10492/P03.3002/P03/10/2024</t>
  </si>
  <si>
    <t>P03.3257</t>
  </si>
  <si>
    <t>11149/P03.3257/P03/02/2025</t>
  </si>
  <si>
    <t>TAMBAHAN MODAL USAHA FOTOCOPY DIGITAL</t>
  </si>
  <si>
    <t>P01.5713</t>
  </si>
  <si>
    <t>11587/P01.5713/P01/05/2025</t>
  </si>
  <si>
    <t>P01.5610</t>
  </si>
  <si>
    <t>11356/P01.5610/P01/03/2025</t>
  </si>
  <si>
    <t>PEMBELIAN HP VIVO</t>
  </si>
  <si>
    <t>P01.5393</t>
  </si>
  <si>
    <t>10791/P01.5393/P01/12/2024</t>
  </si>
  <si>
    <t>P03.3117</t>
  </si>
  <si>
    <t>10793/P03.3117/P03/12/2024</t>
  </si>
  <si>
    <t>TAMBAHAN MODAL WARUNG LALAPAN</t>
  </si>
  <si>
    <t>P03.3120</t>
  </si>
  <si>
    <t>10797/P03.3120/P03/12/2024</t>
  </si>
  <si>
    <t>P03.3124</t>
  </si>
  <si>
    <t>10804/P03.3124/P03/12/2024</t>
  </si>
  <si>
    <t>TAMBAHAN MODAL USAHA COSMETIK</t>
  </si>
  <si>
    <t>P01.5396</t>
  </si>
  <si>
    <t>10811/P01.5396/P01/12/2024</t>
  </si>
  <si>
    <t>P01.5405</t>
  </si>
  <si>
    <t>10850/P01.5405/P01/01/2025</t>
  </si>
  <si>
    <t>P03.3154</t>
  </si>
  <si>
    <t>10859/P03.3154/P03/01/2025</t>
  </si>
  <si>
    <t>P03.3172</t>
  </si>
  <si>
    <t>10928/P03.3172/P03/01/2025</t>
  </si>
  <si>
    <t>TAMBAHAN MODAL USAHA GORENGAN</t>
  </si>
  <si>
    <t>TAMBAHAN MODAL USAHA WARUNG KOPI</t>
  </si>
  <si>
    <t>P03.3193</t>
  </si>
  <si>
    <t>11011/P03.3193/P03/02/2025</t>
  </si>
  <si>
    <t>P01.5764</t>
  </si>
  <si>
    <t>11682/P01.5764/P01/06/2025</t>
  </si>
  <si>
    <t>P03.3229</t>
  </si>
  <si>
    <t>11015/P03.3229/P03/02/2025</t>
  </si>
  <si>
    <t>P03.3192</t>
  </si>
  <si>
    <t>11023/P03.3192/P03/02/2025</t>
  </si>
  <si>
    <t>P01.5502</t>
  </si>
  <si>
    <t>11033/P01.5502/P01/02/2025</t>
  </si>
  <si>
    <t>P03.3201</t>
  </si>
  <si>
    <t>11046/P03.3201/P03/02/2025</t>
  </si>
  <si>
    <t>P03.3212</t>
  </si>
  <si>
    <t>11058/P03.3212/P03/02/2025</t>
  </si>
  <si>
    <t>TAMBAHAN MODAL USAHA MOORLIFE</t>
  </si>
  <si>
    <t>P03.3226</t>
  </si>
  <si>
    <t>11060/P03.3226/P03/02/2025</t>
  </si>
  <si>
    <t>P03.3211</t>
  </si>
  <si>
    <t>11059/P03.3211/P03/02/2025</t>
  </si>
  <si>
    <t>TAMBAHAN MODAL USAHA JUS</t>
  </si>
  <si>
    <t>P03.3210</t>
  </si>
  <si>
    <t>11063/P03.3210/P03/02/2025</t>
  </si>
  <si>
    <t>P03.3224</t>
  </si>
  <si>
    <t>11106/P03.3224/P03/02/2025</t>
  </si>
  <si>
    <t>TAMBAHAN MODAL USAHA KUKER</t>
  </si>
  <si>
    <t>P03.3277</t>
  </si>
  <si>
    <t>11200/P03.3277/P03/03/2025</t>
  </si>
  <si>
    <t>P09.60</t>
  </si>
  <si>
    <t>11186/P09.60/P09/02/2025</t>
  </si>
  <si>
    <t>P03.3296</t>
  </si>
  <si>
    <t>11259/P03.3296/P03/03/2025</t>
  </si>
  <si>
    <t>TAMBAHAN MODAL USAHA LEBARAN</t>
  </si>
  <si>
    <t>P03.3329</t>
  </si>
  <si>
    <t>11307/P03.3329/P03/03/2025</t>
  </si>
  <si>
    <t>P01.5592</t>
  </si>
  <si>
    <t>11329/P01.5592/P01/03/2025</t>
  </si>
  <si>
    <t>P03.3347</t>
  </si>
  <si>
    <t>11371/P03.3347/P03/03/2025</t>
  </si>
  <si>
    <t>P01.5793</t>
  </si>
  <si>
    <t>11717/P01.5793/P01/06/2025</t>
  </si>
  <si>
    <t>P03.3370</t>
  </si>
  <si>
    <t>11464/P03.3370/P03/04/2025</t>
  </si>
  <si>
    <t>P01.5790</t>
  </si>
  <si>
    <t>11738/P01.5789/P01/06/2025</t>
  </si>
  <si>
    <t>P03.3447</t>
  </si>
  <si>
    <t>11701/P03.3447/P03/06/2025</t>
  </si>
  <si>
    <t>P01.5805</t>
  </si>
  <si>
    <t>11765/P01.5804/P01/06/2025</t>
  </si>
  <si>
    <t>P03.3460</t>
  </si>
  <si>
    <t>11770/P03.3460/P03/06/2025</t>
  </si>
  <si>
    <t>P01.5288</t>
  </si>
  <si>
    <t>10518/P01.5288/P01/11/2024</t>
  </si>
  <si>
    <t>P01.4975</t>
  </si>
  <si>
    <t>9762/P01.4975/P01/04/2024</t>
  </si>
  <si>
    <t>Membatu Saudara</t>
  </si>
  <si>
    <t>P02.1733</t>
  </si>
  <si>
    <t>11120/P02.1733/P02/02/2025</t>
  </si>
  <si>
    <t>P01.4785</t>
  </si>
  <si>
    <t>9326/P01.4785/P01/01/2024</t>
  </si>
  <si>
    <t>P01.5773</t>
  </si>
  <si>
    <t>11719/P01.5773/P01/06/2025</t>
  </si>
  <si>
    <t>P01.4968</t>
  </si>
  <si>
    <t>9740/P01.4968/P01/04/2024</t>
  </si>
  <si>
    <t>Investasi sawah bersama saudara</t>
  </si>
  <si>
    <t>P01.5487</t>
  </si>
  <si>
    <t>11012/P01.5487/P01/02/2025</t>
  </si>
  <si>
    <t>P02.1790</t>
  </si>
  <si>
    <t>11684/P02.1790/P02/06/2025</t>
  </si>
  <si>
    <t>P01.5678</t>
  </si>
  <si>
    <t>11528/P01.5678/P01/05/2025</t>
  </si>
  <si>
    <t>BIAYA KONTRAKAN ANAK</t>
  </si>
  <si>
    <t>P02.1592</t>
  </si>
  <si>
    <t>9728/P02.1592/P02/04/2024</t>
  </si>
  <si>
    <t>tabungan</t>
  </si>
  <si>
    <t>P01.5234</t>
  </si>
  <si>
    <t>10349/P01.5234/P01/09/2024</t>
  </si>
  <si>
    <t>P02.1708</t>
  </si>
  <si>
    <t>10777/P02.1708/P02/12/2024</t>
  </si>
  <si>
    <t>PERSIAPAN NATAL</t>
  </si>
  <si>
    <t>P01.5777</t>
  </si>
  <si>
    <t>11716/P01.5777/P01/06/2025</t>
  </si>
  <si>
    <t>P02.1799</t>
  </si>
  <si>
    <t>11746/P02.1799/P02/06/2025</t>
  </si>
  <si>
    <t>membantu anak</t>
  </si>
  <si>
    <t>P03.3228</t>
  </si>
  <si>
    <t>11138/P03.3228/P03/02/2025</t>
  </si>
  <si>
    <t>MEMBELI BIBIT</t>
  </si>
  <si>
    <t>P02.1721</t>
  </si>
  <si>
    <t>10921/P02.1721/P02/01/2025</t>
  </si>
  <si>
    <t>P03.3366</t>
  </si>
  <si>
    <t>11460/P03.3366/P03/04/2025</t>
  </si>
  <si>
    <t>P01.4917</t>
  </si>
  <si>
    <t>9604/P01.4917/P01/03/2024</t>
  </si>
  <si>
    <t>P02.1744</t>
  </si>
  <si>
    <t>11228/P02.1744/P02/03/2025</t>
  </si>
  <si>
    <t>USAHA BUMBU DAPUR</t>
  </si>
  <si>
    <t>P01.5195</t>
  </si>
  <si>
    <t>10291/P01.5195/P01/09/2024</t>
  </si>
  <si>
    <t>P03.2942</t>
  </si>
  <si>
    <t>10300/P03.2942/P03/09/2024</t>
  </si>
  <si>
    <t>Usaha warung Kopi</t>
  </si>
  <si>
    <t>P02.1727</t>
  </si>
  <si>
    <t>11056/P02.1727/P02/02/2025</t>
  </si>
  <si>
    <t>konsumtif</t>
  </si>
  <si>
    <t>P01.5668</t>
  </si>
  <si>
    <t>11490/P01.5668/P01/05/2025</t>
  </si>
  <si>
    <t>P02.1761</t>
  </si>
  <si>
    <t>11423/P02.1761/P02/04/2025</t>
  </si>
  <si>
    <t>P01.5519</t>
  </si>
  <si>
    <t>11103/P01.5519/P01/02/2025</t>
  </si>
  <si>
    <t>P01.5455</t>
  </si>
  <si>
    <t>10918/P01.5455/P01/01/2025</t>
  </si>
  <si>
    <t>P02.1723</t>
  </si>
  <si>
    <t>10938/P02.1723/P02/01/2025</t>
  </si>
  <si>
    <t>MEMBUAT GIGI PALSU</t>
  </si>
  <si>
    <t>P01.5782</t>
  </si>
  <si>
    <t>11620/P01.5782/P01/06/2025</t>
  </si>
  <si>
    <t>P01.5289</t>
  </si>
  <si>
    <t>10527/P01.5289/P01/11/2024</t>
  </si>
  <si>
    <t>pembetulan mobil</t>
  </si>
  <si>
    <t>P02.1745</t>
  </si>
  <si>
    <t>11080/P02.1745/P02/03/2025</t>
  </si>
  <si>
    <t>P02.1706</t>
  </si>
  <si>
    <t>10774/P02.1706/P02/12/2024</t>
  </si>
  <si>
    <t>P01.5698</t>
  </si>
  <si>
    <t>11574/P01.5698/P01/05/2025</t>
  </si>
  <si>
    <t>P03.3286</t>
  </si>
  <si>
    <t>11082/P03.3286/P03/03/2025</t>
  </si>
  <si>
    <t>P02.1730</t>
  </si>
  <si>
    <t>11061/P02.1730/P02/02/2025</t>
  </si>
  <si>
    <t>modal usaha kerokan</t>
  </si>
  <si>
    <t>P03.3283</t>
  </si>
  <si>
    <t>11084/P03.3283/P03/03/2025</t>
  </si>
  <si>
    <t>P02.1748</t>
  </si>
  <si>
    <t>11302/P02.1748/P02/03/2025</t>
  </si>
  <si>
    <t>P01.5312</t>
  </si>
  <si>
    <t>10606/P01.5312/P01/11/2024</t>
  </si>
  <si>
    <t>P03.2903</t>
  </si>
  <si>
    <t>10195/P03.2903/P03/08/2024</t>
  </si>
  <si>
    <t>MODAL USAHA GURITA</t>
  </si>
  <si>
    <t>P05.145</t>
  </si>
  <si>
    <t>10475/P05.145/P05/10/2024</t>
  </si>
  <si>
    <t>Pembelian motor</t>
  </si>
  <si>
    <t>P02.1697</t>
  </si>
  <si>
    <t>10718/P02.1697/P02/12/2024</t>
  </si>
  <si>
    <t>membeli hp</t>
  </si>
  <si>
    <t>P03.3141</t>
  </si>
  <si>
    <t>10805/P03.3141/P03/01/2025</t>
  </si>
  <si>
    <t>P02.1704</t>
  </si>
  <si>
    <t>10754/P02.1704/P02/12/2024</t>
  </si>
  <si>
    <t>P01.5490</t>
  </si>
  <si>
    <t>11031/P01.5490/P01/02/2025</t>
  </si>
  <si>
    <t>membantua saudara</t>
  </si>
  <si>
    <t>P03.3112</t>
  </si>
  <si>
    <t>10787/P03.3112/P03/12/2024</t>
  </si>
  <si>
    <t>P02.1754</t>
  </si>
  <si>
    <t>11379/P02.1754/P02/03/2025</t>
  </si>
  <si>
    <t>P01.5779</t>
  </si>
  <si>
    <t>11722/P01.5779/P01/06/2025</t>
  </si>
  <si>
    <t>pbiaya tunangan anak</t>
  </si>
  <si>
    <t>P03.2720</t>
  </si>
  <si>
    <t>9582/P03.2720/P03/03/2024</t>
  </si>
  <si>
    <t>USAHA MIE AYAM</t>
  </si>
  <si>
    <t>P03.3409</t>
  </si>
  <si>
    <t>11530/P03.3409/P03/05/2025</t>
  </si>
  <si>
    <t>MODAL USAHA LOUNDRY</t>
  </si>
  <si>
    <t>P01.5425</t>
  </si>
  <si>
    <t>10897/P01.5425/P01/01/2025</t>
  </si>
  <si>
    <t>P01.5129</t>
  </si>
  <si>
    <t>10110/P01.5129/P01/07/2024</t>
  </si>
  <si>
    <t>P01.5150</t>
  </si>
  <si>
    <t>10196/P01.5150/P01/08/2024</t>
  </si>
  <si>
    <t>PENDIDIKAN SUAMI</t>
  </si>
  <si>
    <t>P03.3058</t>
  </si>
  <si>
    <t>10570/P03.3058/P03/11/2024</t>
  </si>
  <si>
    <t>modal usaha plat nomor</t>
  </si>
  <si>
    <t>P01.5656</t>
  </si>
  <si>
    <t>11476/P01.5656/P01/04/2025</t>
  </si>
  <si>
    <t>kebutuhan keluarga</t>
  </si>
  <si>
    <t>P01.5416</t>
  </si>
  <si>
    <t>10658/P01.5416/P01/01/2025</t>
  </si>
  <si>
    <t>P02.1691</t>
  </si>
  <si>
    <t>10686/P02.1691/P02/12/2024</t>
  </si>
  <si>
    <t>P01.5546</t>
  </si>
  <si>
    <t>11102/P01.5546/P01/02/2025</t>
  </si>
  <si>
    <t>pendidikan anak kuliah</t>
  </si>
  <si>
    <t>P01.5228</t>
  </si>
  <si>
    <t>10355/P01.5228/P01/09/2024</t>
  </si>
  <si>
    <t>P03.3142</t>
  </si>
  <si>
    <t>10852/P03.3142/P03/01/2025</t>
  </si>
  <si>
    <t>modal usaha warung</t>
  </si>
  <si>
    <t>P01.5653</t>
  </si>
  <si>
    <t>11462/P01.5653/P01/04/2025</t>
  </si>
  <si>
    <t>P03.3293</t>
  </si>
  <si>
    <t>11250/P03.3293/P03/03/2025</t>
  </si>
  <si>
    <t>modal usaha mie ayam</t>
  </si>
  <si>
    <t>P01.5716</t>
  </si>
  <si>
    <t>11596/P01.5716/P01/05/2025</t>
  </si>
  <si>
    <t>membeli mesin cuci</t>
  </si>
  <si>
    <t>P01.5622</t>
  </si>
  <si>
    <t>11401/P01.5622/P01/04/2025</t>
  </si>
  <si>
    <t>P03.3300</t>
  </si>
  <si>
    <t>11260/P03.3300/P03/03/2025</t>
  </si>
  <si>
    <t>P01.5510</t>
  </si>
  <si>
    <t>11041/P01.5510/P01/02/2025</t>
  </si>
  <si>
    <t>P03.3306</t>
  </si>
  <si>
    <t>11264/P03.3306/P03/03/2025</t>
  </si>
  <si>
    <t>odal usaha warung</t>
  </si>
  <si>
    <t>P01.5523</t>
  </si>
  <si>
    <t>11123/P01.5523/P01/02/2025</t>
  </si>
  <si>
    <t>P01.5485</t>
  </si>
  <si>
    <t>11007/P01.5485/P01/02/2025</t>
  </si>
  <si>
    <t>P01.5133</t>
  </si>
  <si>
    <t>10149/P01.5133/P01/08/2024</t>
  </si>
  <si>
    <t>UNTUK PERBAIKAN MOTOR DAN KOST ADEK</t>
  </si>
  <si>
    <t>P03.3144</t>
  </si>
  <si>
    <t>10858/P03.3144/P03/01/2025</t>
  </si>
  <si>
    <t>modal usaha kue bagiak</t>
  </si>
  <si>
    <t>P03.3288</t>
  </si>
  <si>
    <t>11083/P03.3288/P03/03/2025</t>
  </si>
  <si>
    <t>P03.3284</t>
  </si>
  <si>
    <t>11081/P03.3284/P03/03/2025</t>
  </si>
  <si>
    <t>P03.3425</t>
  </si>
  <si>
    <t>11638/P03.3425/P03/05/2025</t>
  </si>
  <si>
    <t>modal usaha loundry</t>
  </si>
  <si>
    <t>P01.5672</t>
  </si>
  <si>
    <t>11507/P01.5672/P01/05/2025</t>
  </si>
  <si>
    <t>tambahan beli motor</t>
  </si>
  <si>
    <t>P03.3287</t>
  </si>
  <si>
    <t>11150/P03.3287/P03/03/2025</t>
  </si>
  <si>
    <t>P03.3221</t>
  </si>
  <si>
    <t>11086/P03.3221/P03/02/2025</t>
  </si>
  <si>
    <t>P05.137</t>
  </si>
  <si>
    <t>9825/P05.137/P05/05/2024</t>
  </si>
  <si>
    <t>pembelian kendaraan</t>
  </si>
  <si>
    <t>P01.5780</t>
  </si>
  <si>
    <t>11744/P01.5780/P01/06/2025</t>
  </si>
  <si>
    <t>SUNATAN ANAK</t>
  </si>
  <si>
    <t>P01.5250</t>
  </si>
  <si>
    <t>10405/P01.5250/P01/10/2024</t>
  </si>
  <si>
    <t>P03.2995</t>
  </si>
  <si>
    <t>10469/P03.2995/P03/10/2024</t>
  </si>
  <si>
    <t>Modal usaha pengembangan alpukat kocok</t>
  </si>
  <si>
    <t>P01.5064</t>
  </si>
  <si>
    <t>9991/P01.5064/P01/06/2024</t>
  </si>
  <si>
    <t>UNTUK MEMBELI SERAGAM ANAK SEKOLAH</t>
  </si>
  <si>
    <t>P03.3110</t>
  </si>
  <si>
    <t>10785/P03.3110/P03/12/2024</t>
  </si>
  <si>
    <t>usaha alpukat kocok</t>
  </si>
  <si>
    <t>P02.1753</t>
  </si>
  <si>
    <t>11352/P02.1753/P02/03/2025</t>
  </si>
  <si>
    <t>P01.5720</t>
  </si>
  <si>
    <t>11612/P01.5720/P01/05/2025</t>
  </si>
  <si>
    <t>perbaikan rumah</t>
  </si>
  <si>
    <t>P03.3095</t>
  </si>
  <si>
    <t>10735/P03.3095/P03/12/2024</t>
  </si>
  <si>
    <t>MODAL USAHA FOTOCOPPY</t>
  </si>
  <si>
    <t>P01.5797</t>
  </si>
  <si>
    <t>11740/P01.5797/P01/06/2025</t>
  </si>
  <si>
    <t>P03.2678</t>
  </si>
  <si>
    <t>9420/P03.2678/P03/02/2024</t>
  </si>
  <si>
    <t>modal usaha sablon</t>
  </si>
  <si>
    <t>P01.5552</t>
  </si>
  <si>
    <t>11193/P01.5552/P01/02/2025</t>
  </si>
  <si>
    <t>P03.3382</t>
  </si>
  <si>
    <t>11505/P03.3382/P03/05/2025</t>
  </si>
  <si>
    <t>MODAL USAHA BAKSO</t>
  </si>
  <si>
    <t>P03.3133</t>
  </si>
  <si>
    <t>10866/P03.3132/P03/01/2025</t>
  </si>
  <si>
    <t>MODAL USAHA KANTIN</t>
  </si>
  <si>
    <t>P01.5607</t>
  </si>
  <si>
    <t>11368/P01.5607/P01/03/2025</t>
  </si>
  <si>
    <t>P03.3405</t>
  </si>
  <si>
    <t>11544/P03.3405/P03/05/2025</t>
  </si>
  <si>
    <t>modal usaha kantin</t>
  </si>
  <si>
    <t>P01.5648</t>
  </si>
  <si>
    <t>11456/P01.5648/P01/04/2025</t>
  </si>
  <si>
    <t>BELI KERAMIK</t>
  </si>
  <si>
    <t>P03.3281</t>
  </si>
  <si>
    <t>11078/P03.3281/P03/03/2025</t>
  </si>
  <si>
    <t>modal usaha</t>
  </si>
  <si>
    <t>P03.3285</t>
  </si>
  <si>
    <t>11087/P03.3285/P03/03/2025</t>
  </si>
  <si>
    <t>P03.3420</t>
  </si>
  <si>
    <t>11624/P03.3420/P03/05/2025</t>
  </si>
  <si>
    <t>modal usaha di Bali</t>
  </si>
  <si>
    <t>P01.5174</t>
  </si>
  <si>
    <t>10242/P01.5174/P01/08/2024</t>
  </si>
  <si>
    <t>RENOV RUMAH</t>
  </si>
  <si>
    <t>P03.3310</t>
  </si>
  <si>
    <t>11246/P03.3310/P03/03/2025</t>
  </si>
  <si>
    <t>MODAL USAHA MOCHI</t>
  </si>
  <si>
    <t>P01.5628</t>
  </si>
  <si>
    <t>11405/P01.5628/P01/04/2025</t>
  </si>
  <si>
    <t>P03.3282</t>
  </si>
  <si>
    <t>11079/P03.3282/P03/03/2025</t>
  </si>
  <si>
    <t>P03.3185</t>
  </si>
  <si>
    <t>10999/P03.3185/P03/02/2025</t>
  </si>
  <si>
    <t>MODAL USAHA WARUNG SEMBAKO</t>
  </si>
  <si>
    <t>P03.3316</t>
  </si>
  <si>
    <t>11219/P03.3316/P03/03/2025</t>
  </si>
  <si>
    <t>P03.3379</t>
  </si>
  <si>
    <t>11491/P03.3379/P03/05/2025</t>
  </si>
  <si>
    <t>P03.3393</t>
  </si>
  <si>
    <t>11510/P03.3393/P03/05/2025</t>
  </si>
  <si>
    <t>P03.3158</t>
  </si>
  <si>
    <t>10913/P03.3158/P03/01/2025</t>
  </si>
  <si>
    <t>P03.3456</t>
  </si>
  <si>
    <t>11733/P03.3456/P03/06/2025</t>
  </si>
  <si>
    <t>P01.5339</t>
  </si>
  <si>
    <t>10508/P01.5339/P01/11/2024</t>
  </si>
  <si>
    <t>MEMBANTU ORANG TUA MELUNASI PINJAMAN</t>
  </si>
  <si>
    <t>P01.5236</t>
  </si>
  <si>
    <t>10374/P01.5236/P01/09/2024</t>
  </si>
  <si>
    <t>DEVICE LAPTOP</t>
  </si>
  <si>
    <t>P05.154</t>
  </si>
  <si>
    <t>10806/P05.154/P05/01/2025</t>
  </si>
  <si>
    <t>MEMBELI KENDARAAN</t>
  </si>
  <si>
    <t>P03.2979</t>
  </si>
  <si>
    <t>10416/P03.2979/P03/10/2024</t>
  </si>
  <si>
    <t>P03.3233</t>
  </si>
  <si>
    <t>11164/P03.3233/P03/02/2025</t>
  </si>
  <si>
    <t>P01.5765</t>
  </si>
  <si>
    <t>11697/P01.5765/P01/06/2025</t>
  </si>
  <si>
    <t>P03.3036</t>
  </si>
  <si>
    <t>10573/P03.3036/P03/11/2024</t>
  </si>
  <si>
    <t>MODAL USAHA WARUNG KOPI</t>
  </si>
  <si>
    <t>P03.3262</t>
  </si>
  <si>
    <t>11190/P03.3262/P03/02/2025</t>
  </si>
  <si>
    <t>P03.3195</t>
  </si>
  <si>
    <t>11022/P03.3195/P03/02/2025</t>
  </si>
  <si>
    <t>miodal usaha kecantikan</t>
  </si>
  <si>
    <t>P03.3269</t>
  </si>
  <si>
    <t>11163/P03.3269/P03/02/2025</t>
  </si>
  <si>
    <t>modal usaha tahu</t>
  </si>
  <si>
    <t>P03.3232</t>
  </si>
  <si>
    <t>11165/P03.3232/P03/02/2025</t>
  </si>
  <si>
    <t>MODAL USAHA CHESE ROLL</t>
  </si>
  <si>
    <t>P01.5364</t>
  </si>
  <si>
    <t>10724/P01.5364/P01/12/2024</t>
  </si>
  <si>
    <t>PEMBELAN HP</t>
  </si>
  <si>
    <t>P03.3260</t>
  </si>
  <si>
    <t>11195/P03.3260/P03/02/2025</t>
  </si>
  <si>
    <t>modal usaha toko</t>
  </si>
  <si>
    <t>P03.3264</t>
  </si>
  <si>
    <t>11189/P03.3264/P03/02/2025</t>
  </si>
  <si>
    <t>P03.3190</t>
  </si>
  <si>
    <t>11021/P03.3190/P03/02/2025</t>
  </si>
  <si>
    <t>modal usaha bawang</t>
  </si>
  <si>
    <t>P03.3457</t>
  </si>
  <si>
    <t>11736/P03.3457/P03/06/2025</t>
  </si>
  <si>
    <t>MODAL USAHA WARUNG SEAFOOD</t>
  </si>
  <si>
    <t>P03.3231</t>
  </si>
  <si>
    <t>11154/P03.3231/P03/02/2025</t>
  </si>
  <si>
    <t>MODAL USAHA ES DEGAN DAN TAHU WALIK</t>
  </si>
  <si>
    <t>P01.5763</t>
  </si>
  <si>
    <t>11705/P01.5763/P01/06/2025</t>
  </si>
  <si>
    <t>P01.5643</t>
  </si>
  <si>
    <t>11447/P01.5643/P01/04/2025</t>
  </si>
  <si>
    <t>pernikahan anak</t>
  </si>
  <si>
    <t>P03.3363</t>
  </si>
  <si>
    <t>11463/P03.3363/P03/04/2025</t>
  </si>
  <si>
    <t>P03.3136</t>
  </si>
  <si>
    <t>10865/P03.3136/P03/01/2025</t>
  </si>
  <si>
    <t>modal usaha online</t>
  </si>
  <si>
    <t>P03.3148</t>
  </si>
  <si>
    <t>10880/P03.3148/P03/01/2025</t>
  </si>
  <si>
    <t>MEMBUAT PERAHU</t>
  </si>
  <si>
    <t>P03.3320</t>
  </si>
  <si>
    <t>11297/P03.3320/P03/03/2025</t>
  </si>
  <si>
    <t>P01.5721</t>
  </si>
  <si>
    <t>11593/P01.5721/P01/05/2025</t>
  </si>
  <si>
    <t>tambahan beli hp</t>
  </si>
  <si>
    <t>P01.5495</t>
  </si>
  <si>
    <t>11001/P01.5495/P01/02/2025</t>
  </si>
  <si>
    <t>P01.5588</t>
  </si>
  <si>
    <t>11309/P01.5588/P01/03/2025</t>
  </si>
  <si>
    <t>P01.5476</t>
  </si>
  <si>
    <t>11000/P01.5476/P01/02/2025</t>
  </si>
  <si>
    <t>P01.5488</t>
  </si>
  <si>
    <t>11020/P01.5488/P01/02/2025</t>
  </si>
  <si>
    <t>bayar UKT</t>
  </si>
  <si>
    <t>P03.3191</t>
  </si>
  <si>
    <t>11038/P03.3191/P03/02/2025</t>
  </si>
  <si>
    <t>MODAL USAHA SALON</t>
  </si>
  <si>
    <t>P01.5509</t>
  </si>
  <si>
    <t>11072/P01.5509/P01/02/2025</t>
  </si>
  <si>
    <t>Pembayaran UKT UKT</t>
  </si>
  <si>
    <t>P03.3202</t>
  </si>
  <si>
    <t>11070/P03.3202/P03/02/2025</t>
  </si>
  <si>
    <t>MODAL USAHA PISANG SALE</t>
  </si>
  <si>
    <t>P03.3215</t>
  </si>
  <si>
    <t>11104/P03.3215/P03/02/2025</t>
  </si>
  <si>
    <t>modal usaha agar agar</t>
  </si>
  <si>
    <t>P01.5513</t>
  </si>
  <si>
    <t>11097/P01.5513/P01/02/2025</t>
  </si>
  <si>
    <t>P03.3214</t>
  </si>
  <si>
    <t>11122/P03.3214/P03/02/2025</t>
  </si>
  <si>
    <t>modal usaha bakso</t>
  </si>
  <si>
    <t>P01.5514</t>
  </si>
  <si>
    <t>11105/P01.5514/P01/02/2025</t>
  </si>
  <si>
    <t>P03.3230</t>
  </si>
  <si>
    <t>11133/P03.3230/P03/02/2025</t>
  </si>
  <si>
    <t>modal usaha pracangan</t>
  </si>
  <si>
    <t>P03.3219</t>
  </si>
  <si>
    <t>11129/P03.3219/P03/02/2025</t>
  </si>
  <si>
    <t>P01.5772</t>
  </si>
  <si>
    <t>11691/P01.5772/P01/06/2025</t>
  </si>
  <si>
    <t>P03.3266</t>
  </si>
  <si>
    <t>11202/P03.3266/P03/02/2025</t>
  </si>
  <si>
    <t>P01.5601</t>
  </si>
  <si>
    <t>11347/P01.5601/P01/03/2025</t>
  </si>
  <si>
    <t>P01.5560</t>
  </si>
  <si>
    <t>11230/P01.5560/P01/03/2025</t>
  </si>
  <si>
    <t>TAMBAHAN MEMBELI LAPTOP</t>
  </si>
  <si>
    <t>P03.3334</t>
  </si>
  <si>
    <t>11304/P03.3334/P03/03/2025</t>
  </si>
  <si>
    <t>P03.3315</t>
  </si>
  <si>
    <t>11280/P03.3315/P03/03/2025</t>
  </si>
  <si>
    <t>P01.5587</t>
  </si>
  <si>
    <t>11310/P01.5587/P01/03/2025</t>
  </si>
  <si>
    <t>P05.163</t>
  </si>
  <si>
    <t>11299/P05.163/P05/03/2025</t>
  </si>
  <si>
    <t>P03.3328</t>
  </si>
  <si>
    <t>11325/P03.3328/P03/03/2025</t>
  </si>
  <si>
    <t>P03.3332</t>
  </si>
  <si>
    <t>11330/P03.3332/P03/03/2025</t>
  </si>
  <si>
    <t>P03.3341</t>
  </si>
  <si>
    <t>11366/P03.3341/P03/03/2025</t>
  </si>
  <si>
    <t>P01.5638</t>
  </si>
  <si>
    <t>11418/P01.5638/P01/04/2025</t>
  </si>
  <si>
    <t>P03.3358</t>
  </si>
  <si>
    <t>11439/P03.3358/P03/04/2025</t>
  </si>
  <si>
    <t>MODAL USAHA ES TEH</t>
  </si>
  <si>
    <t>P01.5722</t>
  </si>
  <si>
    <t>11584/P01.5722/P01/05/2025</t>
  </si>
  <si>
    <t>BIAYA PENDIIDKAN ADIK</t>
  </si>
  <si>
    <t>P01.5650</t>
  </si>
  <si>
    <t>11466/P01.5650/P01/04/2025</t>
  </si>
  <si>
    <t>sewa kontrakan</t>
  </si>
  <si>
    <t>P01.5649</t>
  </si>
  <si>
    <t>11467/P01.5649/P01/04/2025</t>
  </si>
  <si>
    <t>P01.5662</t>
  </si>
  <si>
    <t>11487/P01.5662/P01/05/2025</t>
  </si>
  <si>
    <t>P03.3384</t>
  </si>
  <si>
    <t>11511/P03.3384/P03/05/2025</t>
  </si>
  <si>
    <t>P03.3385</t>
  </si>
  <si>
    <t>11535/P03.3385/P03/05/2025</t>
  </si>
  <si>
    <t>MODAL USAHA BARBER SHOP</t>
  </si>
  <si>
    <t>P03.3406</t>
  </si>
  <si>
    <t>11551/P03.3406/P03/05/2025</t>
  </si>
  <si>
    <t>modal usaha usaha kopi</t>
  </si>
  <si>
    <t>P03.3411</t>
  </si>
  <si>
    <t>11586/P03.3411/P03/05/2025</t>
  </si>
  <si>
    <t>P03.3462</t>
  </si>
  <si>
    <t>11775/P03.3462/P03/06/2025</t>
  </si>
  <si>
    <t>P03.3424</t>
  </si>
  <si>
    <t>11615/P03.3424/P03/05/2025</t>
  </si>
  <si>
    <t>P01.5725</t>
  </si>
  <si>
    <t>11629/P01.5725/P01/05/2025</t>
  </si>
  <si>
    <t>tambahan membeli hp</t>
  </si>
  <si>
    <t>P03.3428</t>
  </si>
  <si>
    <t>11648/P03.3428/P03/06/2025</t>
  </si>
  <si>
    <t>P03.3434</t>
  </si>
  <si>
    <t>11671/P03.3434/P03/06/2025</t>
  </si>
  <si>
    <t>P01.5783</t>
  </si>
  <si>
    <t>11735/P01.5783/P01/06/2025</t>
  </si>
  <si>
    <t>P03.3087</t>
  </si>
  <si>
    <t>10689/P03.3087/P03/12/2024</t>
  </si>
  <si>
    <t>MODAL USAHA JUAL TELUR AYAM</t>
  </si>
  <si>
    <t>P01.5704</t>
  </si>
  <si>
    <t>11582/P01.5704/P01/05/2025</t>
  </si>
  <si>
    <t>P03.3295</t>
  </si>
  <si>
    <t>11239/P03.3295/P03/03/2025</t>
  </si>
  <si>
    <t>P01.5465</t>
  </si>
  <si>
    <t>10912/P01.5465/P01/01/2025</t>
  </si>
  <si>
    <t>P01.4998</t>
  </si>
  <si>
    <t>9801/P01.4998/P01/05/2024</t>
  </si>
  <si>
    <t>BIAYA PERNIKAHAN ADIK KANDUNG</t>
  </si>
  <si>
    <t>P01.5789</t>
  </si>
  <si>
    <t>11707/P01.5789/P01/06/2025</t>
  </si>
  <si>
    <t>BIAYA MEMPERBAIKI RUMAH</t>
  </si>
  <si>
    <t>P03.3397</t>
  </si>
  <si>
    <t>11481/P03.3397/P03/05/2025</t>
  </si>
  <si>
    <t>RENOVASI KOS-KOSAN</t>
  </si>
  <si>
    <t>P01.5270</t>
  </si>
  <si>
    <t>10457/P01.5270/P01/10/2024</t>
  </si>
  <si>
    <t>BIAYA PENDIDIKAN DAN PEMBELIAN LAPTOP</t>
  </si>
  <si>
    <t>P05.156</t>
  </si>
  <si>
    <t>10997/P05.156/P05/02/2025</t>
  </si>
  <si>
    <t>PEMBELIAN SEPEDA MOTOR SECOND</t>
  </si>
  <si>
    <t>P02.1720</t>
  </si>
  <si>
    <t>10903/P02.1720/P02/01/2025</t>
  </si>
  <si>
    <t>BELI PRINTER</t>
  </si>
  <si>
    <t>P01.5099</t>
  </si>
  <si>
    <t>10044/P01.5099/P01/07/2024</t>
  </si>
  <si>
    <t>BIAYA PENDIDIKAN ANAK DAN KONTRAKAN RUMAH</t>
  </si>
  <si>
    <t>P03.3251</t>
  </si>
  <si>
    <t>11171/P03.3251/P03/02/2025</t>
  </si>
  <si>
    <t>TAMBAHAN MODAL USAHA JUALAN KESET</t>
  </si>
  <si>
    <t>P01.5411</t>
  </si>
  <si>
    <t>10870/P01.5411/P01/01/2025</t>
  </si>
  <si>
    <t>P01.4852</t>
  </si>
  <si>
    <t>9472/P01.4852/P01/02/2024</t>
  </si>
  <si>
    <t>P01.5069</t>
  </si>
  <si>
    <t>10006/P01.5069/P01/06/2024</t>
  </si>
  <si>
    <t>P02.1712</t>
  </si>
  <si>
    <t>10838/P02.1712/P02/01/2025</t>
  </si>
  <si>
    <t>P05.160</t>
  </si>
  <si>
    <t>11312/P05.160/P05/03/2025</t>
  </si>
  <si>
    <t>P01.5007</t>
  </si>
  <si>
    <t>9843/P01.5007/P01/05/2024</t>
  </si>
  <si>
    <t>P01.5629</t>
  </si>
  <si>
    <t>11419/P01.5629/P01/04/2025</t>
  </si>
  <si>
    <t>P03.3404</t>
  </si>
  <si>
    <t>11558/P03.3404/P03/05/2025</t>
  </si>
  <si>
    <t>TAMBAHAN MODAL TOKO KLONTONG</t>
  </si>
  <si>
    <t>P05.138</t>
  </si>
  <si>
    <t>9917/P05.138/P05/06/2024</t>
  </si>
  <si>
    <t>P01.5016</t>
  </si>
  <si>
    <t>9831/P01.5016/P01/05/2024</t>
  </si>
  <si>
    <t>PERBAIKAN RUMAH DAN BIAYA KULIAH ANAK</t>
  </si>
  <si>
    <t>P01.5636</t>
  </si>
  <si>
    <t>11427/P01.5636/P01/04/2025</t>
  </si>
  <si>
    <t>P02.1785</t>
  </si>
  <si>
    <t>11652/P02.1785/P02/06/2025</t>
  </si>
  <si>
    <t>P01.5572</t>
  </si>
  <si>
    <t>11223/P01.5572/P01/03/2025</t>
  </si>
  <si>
    <t>P01.5173</t>
  </si>
  <si>
    <t>10156/P01.5173/P01/08/2024</t>
  </si>
  <si>
    <t>P01.5436</t>
  </si>
  <si>
    <t>10760/P01.5436/P01/01/2025</t>
  </si>
  <si>
    <t>P01.4797</t>
  </si>
  <si>
    <t>9333/P01.4797/P01/01/2024</t>
  </si>
  <si>
    <t>PELUNASAN PINJOL</t>
  </si>
  <si>
    <t>P01.5430</t>
  </si>
  <si>
    <t>10849/P01.5430/P01/01/2025</t>
  </si>
  <si>
    <t>P03.3029</t>
  </si>
  <si>
    <t>10557/P03.3029/P03/11/2024</t>
  </si>
  <si>
    <t>TAMBAHAN MODAL TOKO (NANA FOTOCOPY)</t>
  </si>
  <si>
    <t>P03.3265</t>
  </si>
  <si>
    <t>11093/P03.3265/P03/02/2025</t>
  </si>
  <si>
    <t>P01.5287</t>
  </si>
  <si>
    <t>10482/P01.5287/P01/11/2024</t>
  </si>
  <si>
    <t>BAYAR KONTRAKAN RUMAH</t>
  </si>
  <si>
    <t>P01.5429</t>
  </si>
  <si>
    <t>10875/P01.5429/P01/01/2025</t>
  </si>
  <si>
    <t>P01.5677</t>
  </si>
  <si>
    <t>11526/P01.5677/P01/05/2025</t>
  </si>
  <si>
    <t>P03.3176</t>
  </si>
  <si>
    <t>10895/P03.3176/P03/01/2025</t>
  </si>
  <si>
    <t>TAMBAHAN MODAL USAHA JUALAN KULINER DAN BIAYA PENDIDIKAN ANAK</t>
  </si>
  <si>
    <t>P04.570</t>
  </si>
  <si>
    <t>10431/P04.570/P04/11/2024</t>
  </si>
  <si>
    <t>P01.5301</t>
  </si>
  <si>
    <t>10526/P01.5301/P01/11/2024</t>
  </si>
  <si>
    <t>BIAYA PENDIDIKAN ANAK (MASUK SD)</t>
  </si>
  <si>
    <t>P03.3430</t>
  </si>
  <si>
    <t>11658/P03.3430/P03/06/2025</t>
  </si>
  <si>
    <t>TAMBAHAN MDOAL JUALAN</t>
  </si>
  <si>
    <t>P03.3439</t>
  </si>
  <si>
    <t>11679/P03.3439/P03/06/2025</t>
  </si>
  <si>
    <t>P01.5583</t>
  </si>
  <si>
    <t>11318/P01.5583/P01/03/2025</t>
  </si>
  <si>
    <t>MEMBAYAR PKK</t>
  </si>
  <si>
    <t>P09.62</t>
  </si>
  <si>
    <t>11288/P09.62/P09/03/2025</t>
  </si>
  <si>
    <t>P01.5582</t>
  </si>
  <si>
    <t>11300/P01.5582/P01/03/2025</t>
  </si>
  <si>
    <t>P01.5625</t>
  </si>
  <si>
    <t>11414/P01.5625/P01/04/2025</t>
  </si>
  <si>
    <t>BIAYA SERVIS SEPEDA MOTOR</t>
  </si>
  <si>
    <t>P01.5732</t>
  </si>
  <si>
    <t>11636/P01.5732/P01/05/2025</t>
  </si>
  <si>
    <t>P03.3403</t>
  </si>
  <si>
    <t>11550/P03.3403/P03/05/2025</t>
  </si>
  <si>
    <t>TAMBAHAN MODAL USAHA BENGKEL MOBIL (BELI AKI DLL)</t>
  </si>
  <si>
    <t>P08.313</t>
  </si>
  <si>
    <t>11160/P08.313/P08/02/2025</t>
  </si>
  <si>
    <t>P03.3220</t>
  </si>
  <si>
    <t>11128/P03.3220/P03/02/2025</t>
  </si>
  <si>
    <t>P03.3238</t>
  </si>
  <si>
    <t>11177/P03.3238/P03/02/2025</t>
  </si>
  <si>
    <t>TAMBAHAN MODAL PENGEMBANGAN USAHA KRATONAN RESTO</t>
  </si>
  <si>
    <t>P03.3249</t>
  </si>
  <si>
    <t>11185/P03.3249/P03/02/2025</t>
  </si>
  <si>
    <t>TAMBAHAN MODAL JUALAN KULINER</t>
  </si>
  <si>
    <t>P03.3242</t>
  </si>
  <si>
    <t>11180/P03.3241/P03/02/2025</t>
  </si>
  <si>
    <t>P03.3248</t>
  </si>
  <si>
    <t>11182/P03.3248/P03/02/2025</t>
  </si>
  <si>
    <t>P03.3237</t>
  </si>
  <si>
    <t>11178/P03.3237/P03/02/2025</t>
  </si>
  <si>
    <t>TAMBAHAN MODAL USAHA JUALAN SERABI DAN BOLU</t>
  </si>
  <si>
    <t>P01.5770</t>
  </si>
  <si>
    <t>11712/P01.5770/P01/06/2025</t>
  </si>
  <si>
    <t>biaya ganti device</t>
  </si>
  <si>
    <t>P03.3139</t>
  </si>
  <si>
    <t>10851/P03.3139/P03/01/2025</t>
  </si>
  <si>
    <t>P03.3451</t>
  </si>
  <si>
    <t>11720/P03.3451/P03/06/2025</t>
  </si>
  <si>
    <t>P05.129</t>
  </si>
  <si>
    <t>9216/P05.129/P05/02/2024</t>
  </si>
  <si>
    <t>P01.4837</t>
  </si>
  <si>
    <t>9448/P01.4837/P01/02/2024</t>
  </si>
  <si>
    <t>P03.3169</t>
  </si>
  <si>
    <t>10956/P03.3169/P03/01/2025</t>
  </si>
  <si>
    <t>P03.2829</t>
  </si>
  <si>
    <t>9989/P03.2829/P03/06/2024</t>
  </si>
  <si>
    <t>MODAL CATERING</t>
  </si>
  <si>
    <t>P01.5771</t>
  </si>
  <si>
    <t>11708/P01.5771/P01/06/2025</t>
  </si>
  <si>
    <t>P02.1661</t>
  </si>
  <si>
    <t>10388/P02.1661/P02/10/2024</t>
  </si>
  <si>
    <t>P03.2835</t>
  </si>
  <si>
    <t>9999/P03.2835/P03/06/2024</t>
  </si>
  <si>
    <t>TAMBAHAN MODAL BUAH</t>
  </si>
  <si>
    <t>P01.5734</t>
  </si>
  <si>
    <t>11630/P01.5734/P01/05/2025</t>
  </si>
  <si>
    <t>P03.2980</t>
  </si>
  <si>
    <t>10382/P03.2980/P03/10/2024</t>
  </si>
  <si>
    <t>P02.1765</t>
  </si>
  <si>
    <t>11493/P02.1765/P02/05/2025</t>
  </si>
  <si>
    <t>P03.3156</t>
  </si>
  <si>
    <t>10892/P03.3156/P03/01/2025</t>
  </si>
  <si>
    <t>P01.5666</t>
  </si>
  <si>
    <t>11492/P01.5665/P01/05/2025</t>
  </si>
  <si>
    <t>P03.2876</t>
  </si>
  <si>
    <t>10102/P03.2876/P03/07/2024</t>
  </si>
  <si>
    <t>P02.1749</t>
  </si>
  <si>
    <t>11296/P02.1749/P02/03/2025</t>
  </si>
  <si>
    <t>TUJUAN LEBARAN</t>
  </si>
  <si>
    <t>P01.5004</t>
  </si>
  <si>
    <t>9835/P01.5004/P01/05/2024</t>
  </si>
  <si>
    <t>P03.2962</t>
  </si>
  <si>
    <t>10369/P03.2962/P03/09/2024</t>
  </si>
  <si>
    <t>P01.4829</t>
  </si>
  <si>
    <t>9391/P01.4829/P01/02/2024</t>
  </si>
  <si>
    <t>P05.131</t>
  </si>
  <si>
    <t>9501/P05.131/P05/02/2024</t>
  </si>
  <si>
    <t>P03.3339</t>
  </si>
  <si>
    <t>11360/P03.3339/P03/03/2025</t>
  </si>
  <si>
    <t>TAMBAH MODAL USAHA PABRIK</t>
  </si>
  <si>
    <t>P01.4868</t>
  </si>
  <si>
    <t>9543/P01.4868/P01/03/2024</t>
  </si>
  <si>
    <t>P01.5299</t>
  </si>
  <si>
    <t>10553/P01.5299/P01/11/2024</t>
  </si>
  <si>
    <t>P02.1600</t>
  </si>
  <si>
    <t>9775/P02.1600/P02/04/2024</t>
  </si>
  <si>
    <t>P05.133</t>
  </si>
  <si>
    <t>9714/P05.133/P05/04/2024</t>
  </si>
  <si>
    <t>P01.5080</t>
  </si>
  <si>
    <t>10026/P01.5080/P01/07/2024</t>
  </si>
  <si>
    <t>PEMBELIAN KENDARAAN RODA DUA</t>
  </si>
  <si>
    <t>P02.1732</t>
  </si>
  <si>
    <t>11091/P02.1732/P02/02/2025</t>
  </si>
  <si>
    <t>ACARA 100 HARI SUAMI</t>
  </si>
  <si>
    <t>P03.3344</t>
  </si>
  <si>
    <t>11369/P03.3344/P03/03/2025</t>
  </si>
  <si>
    <t>MODAL USAHA JUAL MAKANAN</t>
  </si>
  <si>
    <t>P03.2755</t>
  </si>
  <si>
    <t>9701/P03.2755/P03/04/2024</t>
  </si>
  <si>
    <t>P01.5055</t>
  </si>
  <si>
    <t>9963/P01.5055/P01/06/2024</t>
  </si>
  <si>
    <t>P01.5419</t>
  </si>
  <si>
    <t>10842/P01.5419/P01/01/2025</t>
  </si>
  <si>
    <t>P01.5290</t>
  </si>
  <si>
    <t>10506/P01.5290/P01/11/2024</t>
  </si>
  <si>
    <t>P01.5484</t>
  </si>
  <si>
    <t>10976/P01.5484/P01/02/2025</t>
  </si>
  <si>
    <t>P03.3299</t>
  </si>
  <si>
    <t>11274/P03.3299/P03/03/2025</t>
  </si>
  <si>
    <t>P01.4866</t>
  </si>
  <si>
    <t>9541/P01.4866/P01/03/2024</t>
  </si>
  <si>
    <t>P01.4913</t>
  </si>
  <si>
    <t>PENUTUPAN PINJAMAN</t>
  </si>
  <si>
    <t>P01.4799</t>
  </si>
  <si>
    <t>9338/P01.4799/P01/01/2024</t>
  </si>
  <si>
    <t>BAYAR KULIAH &amp; AKSELERASI ANAK</t>
  </si>
  <si>
    <t>P02.1717</t>
  </si>
  <si>
    <t>10878/P02.1717/P02/01/2025</t>
  </si>
  <si>
    <t>PEMBELIAN OBAT ALTERNATIF</t>
  </si>
  <si>
    <t>P01.4766</t>
  </si>
  <si>
    <t>9184/P01.4766/P01/01/2024</t>
  </si>
  <si>
    <t>PASANG LISTRIK</t>
  </si>
  <si>
    <t>P01.5068</t>
  </si>
  <si>
    <t>9988/P01.5068/P01/06/2024</t>
  </si>
  <si>
    <t>P01.5451</t>
  </si>
  <si>
    <t>10932/P01.5451/P01/01/2025</t>
  </si>
  <si>
    <t>MODAL USAHA LEBARAN</t>
  </si>
  <si>
    <t>P01.5506</t>
  </si>
  <si>
    <t>11006/P01.5506/P01/02/2025</t>
  </si>
  <si>
    <t>P03.2773</t>
  </si>
  <si>
    <t>9794/P03.2773/P03/05/2024</t>
  </si>
  <si>
    <t>P01.5079</t>
  </si>
  <si>
    <t>9961/P01.5079/P01/07/2024</t>
  </si>
  <si>
    <t>P01.5096</t>
  </si>
  <si>
    <t>10048/P01.5096/P01/07/2024</t>
  </si>
  <si>
    <t>P01.5753</t>
  </si>
  <si>
    <t>11689/P01.5753/P01/06/2025</t>
  </si>
  <si>
    <t>P01.5692</t>
  </si>
  <si>
    <t>11566/P01.5692/P01/05/2025</t>
  </si>
  <si>
    <t>P01.5126</t>
  </si>
  <si>
    <t>10109/P01.5126/P01/07/2024</t>
  </si>
  <si>
    <t>TAMBAHAN RENOVASI RUMAH</t>
  </si>
  <si>
    <t>P01.5196</t>
  </si>
  <si>
    <t>10286/P01.5196/P01/09/2024</t>
  </si>
  <si>
    <t>RENOVASI TERAS RUMAH</t>
  </si>
  <si>
    <t>P01.5715</t>
  </si>
  <si>
    <t>11580/P01.5715/P01/05/2025</t>
  </si>
  <si>
    <t>TAMBAHAN BAYAR PAJAK MOBIL</t>
  </si>
  <si>
    <t>P01.4881</t>
  </si>
  <si>
    <t>9561/P01.4881/P01/03/2024</t>
  </si>
  <si>
    <t>P01.5291</t>
  </si>
  <si>
    <t>10455/P01.5291/P01/11/2024</t>
  </si>
  <si>
    <t>PERNIKAHAN</t>
  </si>
  <si>
    <t>P03.3414</t>
  </si>
  <si>
    <t>11531/P03.3414/P03/05/2025</t>
  </si>
  <si>
    <t>MODAL USAHA BAN</t>
  </si>
  <si>
    <t>P01.5740</t>
  </si>
  <si>
    <t>11609/P01.5740/P01/06/2025</t>
  </si>
  <si>
    <t>P03.3364</t>
  </si>
  <si>
    <t>TAMBAH MODAL USAHA TERNAK &amp; PERTANIAN</t>
  </si>
  <si>
    <t>P01.5306</t>
  </si>
  <si>
    <t>10471/P01.5306/P01/11/2024</t>
  </si>
  <si>
    <t>P03.2937</t>
  </si>
  <si>
    <t>10267/P03.2937/P03/09/2024</t>
  </si>
  <si>
    <t>ISI SALDO GOPAY</t>
  </si>
  <si>
    <t>P01.4993</t>
  </si>
  <si>
    <t>9797/P01.4993/P01/05/2024</t>
  </si>
  <si>
    <t>P01.5042</t>
  </si>
  <si>
    <t>9534/P01.5042/P01/06/2024</t>
  </si>
  <si>
    <t>P03.3188</t>
  </si>
  <si>
    <t>11013/P03.3188/P03/02/2025</t>
  </si>
  <si>
    <t>MODAL USAHA KUE LEBARAN</t>
  </si>
  <si>
    <t>P03.2754</t>
  </si>
  <si>
    <t>9696/P03.2754/P03/04/2024</t>
  </si>
  <si>
    <t>P01.4758</t>
  </si>
  <si>
    <t>9250/P01.4758/P01/01/2024</t>
  </si>
  <si>
    <t>P03.3207</t>
  </si>
  <si>
    <t>10964/P03.3207/P03/02/2025</t>
  </si>
  <si>
    <t>P02.1796</t>
  </si>
  <si>
    <t>11724/P02.1796/P02/06/2025</t>
  </si>
  <si>
    <t>P01.5567</t>
  </si>
  <si>
    <t>11252/P01.5567/P01/03/2025</t>
  </si>
  <si>
    <t>P01.5591</t>
  </si>
  <si>
    <t>11314/P01.5591/P01/03/2025</t>
  </si>
  <si>
    <t>P03.3442</t>
  </si>
  <si>
    <t>11645/P03.3442/P03/06/2025</t>
  </si>
  <si>
    <t>MODAL USAHA SNACK</t>
  </si>
  <si>
    <t>P03.3085</t>
  </si>
  <si>
    <t>10698/P03.3085/P03/12/2024</t>
  </si>
  <si>
    <t>P03.2943</t>
  </si>
  <si>
    <t>10284/P03.2943/P03/09/2024</t>
  </si>
  <si>
    <t>P01.5022</t>
  </si>
  <si>
    <t>9899/P01.5022/P01/06/2024</t>
  </si>
  <si>
    <t>JAMINAN MASUK KERJA</t>
  </si>
  <si>
    <t>P03.3094</t>
  </si>
  <si>
    <t>10728/P03.3094/P03/12/2024</t>
  </si>
  <si>
    <t>P08.308</t>
  </si>
  <si>
    <t>10845/P08.308/P08/01/2025</t>
  </si>
  <si>
    <t>P01.5192</t>
  </si>
  <si>
    <t>10277/P01.5192/P01/09/2024</t>
  </si>
  <si>
    <t>P03.3433</t>
  </si>
  <si>
    <t>11643/P03.3433/P03/06/2025</t>
  </si>
  <si>
    <t>P02.1688</t>
  </si>
  <si>
    <t>10661/P02.1688/P02/11/2024</t>
  </si>
  <si>
    <t>P01.5627</t>
  </si>
  <si>
    <t>11406/P01.5627/P01/04/2025</t>
  </si>
  <si>
    <t>P03.3081</t>
  </si>
  <si>
    <t>10544/P03.3081/P03/11/2024</t>
  </si>
  <si>
    <t>MODAL USAHA WARUNG MAKAN</t>
  </si>
  <si>
    <t>P02.1755</t>
  </si>
  <si>
    <t>11354/P02.1755/P02/03/2025</t>
  </si>
  <si>
    <t>TAMBAH MODAL USAHA LAUNDRY</t>
  </si>
  <si>
    <t>P01.5702</t>
  </si>
  <si>
    <t>11561/P01.5702/P01/05/2025</t>
  </si>
  <si>
    <t>P01.5263</t>
  </si>
  <si>
    <t>10438/P01.5263/P01/10/2024</t>
  </si>
  <si>
    <t>P01.5210</t>
  </si>
  <si>
    <t>10274/P01.5210/P01/09/2024</t>
  </si>
  <si>
    <t>P01.5441</t>
  </si>
  <si>
    <t>10817/P01.5441/P01/01/2025</t>
  </si>
  <si>
    <t>P01.5512</t>
  </si>
  <si>
    <t>11101/P01.5512/P01/02/2025</t>
  </si>
  <si>
    <t>PERNIKAHAN ADIK</t>
  </si>
  <si>
    <t>P01.5336</t>
  </si>
  <si>
    <t>10653/P01.5336/P01/11/2024</t>
  </si>
  <si>
    <t>P01.5338</t>
  </si>
  <si>
    <t>10664/P01.5338/P01/11/2024</t>
  </si>
  <si>
    <t>JUALAN BAJU</t>
  </si>
  <si>
    <t>P01.5345</t>
  </si>
  <si>
    <t>10667/P01.5345/P01/11/2024</t>
  </si>
  <si>
    <t>KENAGGOTAAN &amp; KEBUTUHAN KELUARGA</t>
  </si>
  <si>
    <t>P01.5651</t>
  </si>
  <si>
    <t>11434/P01.5651/P01/04/2025</t>
  </si>
  <si>
    <t>P01.5709</t>
  </si>
  <si>
    <t>11585/P01.5709/P01/05/2025</t>
  </si>
  <si>
    <t>P01.5786</t>
  </si>
  <si>
    <t>11743/P01.5786/P01/06/2025</t>
  </si>
  <si>
    <t>BELI HP ANAK</t>
  </si>
  <si>
    <t>P01.5581</t>
  </si>
  <si>
    <t>11298/P01.5581/P01/03/2025</t>
  </si>
  <si>
    <t>SSKA.7284</t>
  </si>
  <si>
    <t>SSKA.7285</t>
  </si>
  <si>
    <t>SSKA.7198</t>
  </si>
  <si>
    <t>SSKA.7141</t>
  </si>
  <si>
    <t>SSKA.7274</t>
  </si>
  <si>
    <t>SSKA.7420</t>
  </si>
  <si>
    <t>SSKA.6669</t>
  </si>
  <si>
    <t>SSKA.7103</t>
  </si>
  <si>
    <t>SSKA.7104</t>
  </si>
  <si>
    <t>SSKA.6524</t>
  </si>
  <si>
    <t>SSKA.6852</t>
  </si>
  <si>
    <t>SSKA.6962</t>
  </si>
  <si>
    <t>SSKA.7015</t>
  </si>
  <si>
    <t>SSKA.7151</t>
  </si>
  <si>
    <t>SSKA.7298</t>
  </si>
  <si>
    <t>SSKA.7478</t>
  </si>
  <si>
    <t>SSKA.7175</t>
  </si>
  <si>
    <t>SSKA.7178</t>
  </si>
  <si>
    <t>SSKA.7179</t>
  </si>
  <si>
    <t>SSKA.7476</t>
  </si>
  <si>
    <t>SSKA.7508</t>
  </si>
  <si>
    <t>SSKA.7091</t>
  </si>
  <si>
    <t>SSKA.6771</t>
  </si>
  <si>
    <t>SSKA.6459</t>
  </si>
  <si>
    <t>SSKA.6703</t>
  </si>
  <si>
    <t>SSKA.6756</t>
  </si>
  <si>
    <t>SSKA.7522</t>
  </si>
  <si>
    <t>SSKA.7427</t>
  </si>
  <si>
    <t>SSKA.7435</t>
  </si>
  <si>
    <t>SSKA.7212</t>
  </si>
  <si>
    <t>SSKA.7356</t>
  </si>
  <si>
    <t>SSKA.6607</t>
  </si>
  <si>
    <t>SSKA.6659</t>
  </si>
  <si>
    <t>SSKA.6717</t>
  </si>
  <si>
    <t>SSKA.7247</t>
  </si>
  <si>
    <t>SSKA.7262</t>
  </si>
  <si>
    <t>SSKA.7395</t>
  </si>
  <si>
    <t>SSKA.6782</t>
  </si>
  <si>
    <t>SSKA.6841</t>
  </si>
  <si>
    <t>SSKA.6646</t>
  </si>
  <si>
    <t>SSKA.7012</t>
  </si>
  <si>
    <t>SSKA.6904</t>
  </si>
  <si>
    <t>SSKA.7223</t>
  </si>
  <si>
    <t>SSKA.7389</t>
  </si>
  <si>
    <t>SSKA.7390</t>
  </si>
  <si>
    <t>SSKA.7416</t>
  </si>
  <si>
    <t>SSKA.7419</t>
  </si>
  <si>
    <t>SSKA.6545</t>
  </si>
  <si>
    <t>SSKA.6546</t>
  </si>
  <si>
    <t>SSKA.7337</t>
  </si>
  <si>
    <t>SSKA.7463</t>
  </si>
  <si>
    <t>SSKA.7301</t>
  </si>
  <si>
    <t>SSKA.7058</t>
  </si>
  <si>
    <t>SSKA.7059</t>
  </si>
  <si>
    <t>SSKA.7060</t>
  </si>
  <si>
    <t>SSKA.7197</t>
  </si>
  <si>
    <t>SSKA.7398</t>
  </si>
  <si>
    <t>SSKA.6633</t>
  </si>
  <si>
    <t>SSKA.7418</t>
  </si>
  <si>
    <t>SSKA.7258</t>
  </si>
  <si>
    <t>SSKA.6600</t>
  </si>
  <si>
    <t>SSKA.6601</t>
  </si>
  <si>
    <t>SSKA.7304</t>
  </si>
  <si>
    <t>SSKA.7512</t>
  </si>
  <si>
    <t>SSKA.6566</t>
  </si>
  <si>
    <t>SSKA.6567</t>
  </si>
  <si>
    <t>SSKA.6855</t>
  </si>
  <si>
    <t>SSKA.7074</t>
  </si>
  <si>
    <t>SSKA.7234</t>
  </si>
  <si>
    <t>SSKA.7434</t>
  </si>
  <si>
    <t>SSKA.7180</t>
  </si>
  <si>
    <t>SSKA.6827</t>
  </si>
  <si>
    <t>SSKA.7552</t>
  </si>
  <si>
    <t>SSKA.6930</t>
  </si>
  <si>
    <t>SSKA.7076</t>
  </si>
  <si>
    <t>SSKA.7486</t>
  </si>
  <si>
    <t>SSKA.6578</t>
  </si>
  <si>
    <t>SSKA.6579</t>
  </si>
  <si>
    <t>SSKA.6581</t>
  </si>
  <si>
    <t>SSKA.6583</t>
  </si>
  <si>
    <t>SSKA.6585</t>
  </si>
  <si>
    <t>SSKA.6587</t>
  </si>
  <si>
    <t>SSKA.7009</t>
  </si>
  <si>
    <t>SSKA.7132</t>
  </si>
  <si>
    <t>SSKA.7133</t>
  </si>
  <si>
    <t>SSKA.6629</t>
  </si>
  <si>
    <t>SSKA.6742</t>
  </si>
  <si>
    <t>SSKA.6770</t>
  </si>
  <si>
    <t>SSKA.7010</t>
  </si>
  <si>
    <t>SSKA.7312</t>
  </si>
  <si>
    <t>SSKA.7313</t>
  </si>
  <si>
    <t>SSKA.6848</t>
  </si>
  <si>
    <t>SSKA.7050</t>
  </si>
  <si>
    <t>SSKA.6701</t>
  </si>
  <si>
    <t>SSKA.7288</t>
  </si>
  <si>
    <t>SSKA.7561</t>
  </si>
  <si>
    <t>SSKA.7562</t>
  </si>
  <si>
    <t>SSKA.7354</t>
  </si>
  <si>
    <t>SSKA.6678</t>
  </si>
  <si>
    <t>SSKA.6679</t>
  </si>
  <si>
    <t>SSKA.6968</t>
  </si>
  <si>
    <t>SSKA.7030</t>
  </si>
  <si>
    <t>SSKA.7031</t>
  </si>
  <si>
    <t>SSKA.7079</t>
  </si>
  <si>
    <t>SSKA.7242</t>
  </si>
  <si>
    <t>SSKA.6780</t>
  </si>
  <si>
    <t>SSKA.6847</t>
  </si>
  <si>
    <t>SSKA.6974</t>
  </si>
  <si>
    <t>SSKA.7246</t>
  </si>
  <si>
    <t>SSKA.7221</t>
  </si>
  <si>
    <t>SSKA.7028</t>
  </si>
  <si>
    <t>SSKA.6903</t>
  </si>
  <si>
    <t>SSKA.6877</t>
  </si>
  <si>
    <t>SSKA.7240</t>
  </si>
  <si>
    <t>SSKA.6686</t>
  </si>
  <si>
    <t>SSKA.6899</t>
  </si>
  <si>
    <t>SSKA.7202</t>
  </si>
  <si>
    <t>SSKA.7464</t>
  </si>
  <si>
    <t>SSKA.7511</t>
  </si>
  <si>
    <t>SSKA.7560</t>
  </si>
  <si>
    <t>SSKA.6559</t>
  </si>
  <si>
    <t>SSKA.7147</t>
  </si>
  <si>
    <t>SSKA.6702</t>
  </si>
  <si>
    <t>SSKA.7332</t>
  </si>
  <si>
    <t>SSKA.7334</t>
  </si>
  <si>
    <t>SSKA.7335</t>
  </si>
  <si>
    <t>SSKA.7394</t>
  </si>
  <si>
    <t>SSKA.7184</t>
  </si>
  <si>
    <t>SSKA.6757</t>
  </si>
  <si>
    <t>SSKA.7188</t>
  </si>
  <si>
    <t>SSKA.6483</t>
  </si>
  <si>
    <t>SSKA.6527</t>
  </si>
  <si>
    <t>SSKA.6548</t>
  </si>
  <si>
    <t>SSKA.6936</t>
  </si>
  <si>
    <t>SSKA.7268</t>
  </si>
  <si>
    <t>SSKA.7272</t>
  </si>
  <si>
    <t>SSKA.7311</t>
  </si>
  <si>
    <t>SSKA.7502</t>
  </si>
  <si>
    <t>SSKA.6878</t>
  </si>
  <si>
    <t>SSKA.6665</t>
  </si>
  <si>
    <t>SSKA.7425</t>
  </si>
  <si>
    <t>SSKA.7429</t>
  </si>
  <si>
    <t>SSKA.6828</t>
  </si>
  <si>
    <t>SSKA.7452</t>
  </si>
  <si>
    <t>SSKA.7481</t>
  </si>
  <si>
    <t>SSKA.7516</t>
  </si>
  <si>
    <t>SSKA.7555</t>
  </si>
  <si>
    <t>SSKA.7191</t>
  </si>
  <si>
    <t>SSKA.7349</t>
  </si>
  <si>
    <t>SSKA.6730</t>
  </si>
  <si>
    <t>SSKA.7365</t>
  </si>
  <si>
    <t>SSKA.7414</t>
  </si>
  <si>
    <t>SSKA.6699</t>
  </si>
  <si>
    <t>SSKA.6700</t>
  </si>
  <si>
    <t>SSKA.7373</t>
  </si>
  <si>
    <t>SSKA.7539</t>
  </si>
  <si>
    <t>SSKA.7357</t>
  </si>
  <si>
    <t>SSKA.7453</t>
  </si>
  <si>
    <t>SSKA.6655</t>
  </si>
  <si>
    <t>SSKA.6674</t>
  </si>
  <si>
    <t>SSKA.7554</t>
  </si>
  <si>
    <t>SSKA.7269</t>
  </si>
  <si>
    <t>SSKA.7485</t>
  </si>
  <si>
    <t>SSKA.6796</t>
  </si>
  <si>
    <t>SSKA.7120</t>
  </si>
  <si>
    <t>SSKA.7532</t>
  </si>
  <si>
    <t>SSKA.6760</t>
  </si>
  <si>
    <t>SSKA.7384</t>
  </si>
  <si>
    <t>SSKA.6731</t>
  </si>
  <si>
    <t>SSKA.7160</t>
  </si>
  <si>
    <t>SSKA.7249</t>
  </si>
  <si>
    <t>SSKA.7341</t>
  </si>
  <si>
    <t>SSKA.7375</t>
  </si>
  <si>
    <t>SSKA.7546</t>
  </si>
  <si>
    <t>SSKA.6907</t>
  </si>
  <si>
    <t>SSKA.6743</t>
  </si>
  <si>
    <t>SSKA.6460</t>
  </si>
  <si>
    <t>SSKA.7549</t>
  </si>
  <si>
    <t>SSKA.7185</t>
  </si>
  <si>
    <t>SSKA.7314</t>
  </si>
  <si>
    <t>SSKA.6751</t>
  </si>
  <si>
    <t>SSKA.7509</t>
  </si>
  <si>
    <t>SSKA.7421</t>
  </si>
  <si>
    <t>SSKA.6957</t>
  </si>
  <si>
    <t>SSKA.6958</t>
  </si>
  <si>
    <t>SSKA.6793</t>
  </si>
  <si>
    <t>SSKA.6728</t>
  </si>
  <si>
    <t>SSKA.7422</t>
  </si>
  <si>
    <t>SSKA.6632</t>
  </si>
  <si>
    <t>SSKA.7326</t>
  </si>
  <si>
    <t>SSKA.7327</t>
  </si>
  <si>
    <t>SSKA.6625</t>
  </si>
  <si>
    <t>SSKA.7042</t>
  </si>
  <si>
    <t>SSKA.7523</t>
  </si>
  <si>
    <t>SSKA.7524</t>
  </si>
  <si>
    <t>SSKA.6829</t>
  </si>
  <si>
    <t>SSKA.6964</t>
  </si>
  <si>
    <t>SSKA.6518</t>
  </si>
  <si>
    <t>SSKA.7455</t>
  </si>
  <si>
    <t>SSKA.7466</t>
  </si>
  <si>
    <t>SSKA.7545</t>
  </si>
  <si>
    <t>SSKA.7310</t>
  </si>
  <si>
    <t>SSKA.7033</t>
  </si>
  <si>
    <t>SSKA.7107</t>
  </si>
  <si>
    <t>SSKA.7108</t>
  </si>
  <si>
    <t>SSKA.7109</t>
  </si>
  <si>
    <t>SSKA.7110</t>
  </si>
  <si>
    <t>SSKA.6710</t>
  </si>
  <si>
    <t>SSKA.7032</t>
  </si>
  <si>
    <t>SSKA.7224</t>
  </si>
  <si>
    <t>SSKA.7137</t>
  </si>
  <si>
    <t>SSKA.7090</t>
  </si>
  <si>
    <t>SSKA.7318</t>
  </si>
  <si>
    <t>SSKA.7437</t>
  </si>
  <si>
    <t>SSKA.6909</t>
  </si>
  <si>
    <t>SSKA.6910</t>
  </si>
  <si>
    <t>SSKA.6935</t>
  </si>
  <si>
    <t>SSKA.7388</t>
  </si>
  <si>
    <t>SSKA.7181</t>
  </si>
  <si>
    <t>SSKA.6542</t>
  </si>
  <si>
    <t>SSKA.7445</t>
  </si>
  <si>
    <t>SSKA.7446</t>
  </si>
  <si>
    <t>SSKA.7447</t>
  </si>
  <si>
    <t>SSKA.7448</t>
  </si>
  <si>
    <t>SSKA.7449</t>
  </si>
  <si>
    <t>SSKA.6696</t>
  </si>
  <si>
    <t>SSKA.7222</t>
  </si>
  <si>
    <t>SSKA.7250</t>
  </si>
  <si>
    <t>SSKA.6495</t>
  </si>
  <si>
    <t>SSKA.7306</t>
  </si>
  <si>
    <t>SSKA.7536</t>
  </si>
  <si>
    <t>SSKA.6494</t>
  </si>
  <si>
    <t>SSKA.7305</t>
  </si>
  <si>
    <t>SSKA.7535</t>
  </si>
  <si>
    <t>SSKA.7518</t>
  </si>
  <si>
    <t>SSKA.7526</t>
  </si>
  <si>
    <t>SSKA.7527</t>
  </si>
  <si>
    <t>SSKA.6724</t>
  </si>
  <si>
    <t>SSKA.7330</t>
  </si>
  <si>
    <t>SSKA.7479</t>
  </si>
  <si>
    <t>SSKA.6897</t>
  </si>
  <si>
    <t>SSKA.6797</t>
  </si>
  <si>
    <t>SSKA.6948</t>
  </si>
  <si>
    <t>SSKA.6496</t>
  </si>
  <si>
    <t>SSKA.7302</t>
  </si>
  <si>
    <t>SSKA.6534</t>
  </si>
  <si>
    <t>SSKA.6705</t>
  </si>
  <si>
    <t>SSKA.6772</t>
  </si>
  <si>
    <t>SSKA.6898</t>
  </si>
  <si>
    <t>SSKA.7550</t>
  </si>
  <si>
    <t>SSKA.6473</t>
  </si>
  <si>
    <t>SSKA.7122</t>
  </si>
  <si>
    <t>SSKA.7123</t>
  </si>
  <si>
    <t>SSKA.6708</t>
  </si>
  <si>
    <t>SSKA.7534</t>
  </si>
  <si>
    <t>SSKA.6969</t>
  </si>
  <si>
    <t>SSKA.7228</t>
  </si>
  <si>
    <t>SSKA.6887</t>
  </si>
  <si>
    <t>SSKA.7220</t>
  </si>
  <si>
    <t>SSKA.7377</t>
  </si>
  <si>
    <t>SSKA.7494</t>
  </si>
  <si>
    <t>SSKA.7495</t>
  </si>
  <si>
    <t>SSKA.7496</t>
  </si>
  <si>
    <t>SSKA.7497</t>
  </si>
  <si>
    <t>SSKA.7498</t>
  </si>
  <si>
    <t>SSKA.7499</t>
  </si>
  <si>
    <t>SSKA.7501</t>
  </si>
  <si>
    <t>SSKA.7235</t>
  </si>
  <si>
    <t>SSKA.7491</t>
  </si>
  <si>
    <t>SSKA.6833</t>
  </si>
  <si>
    <t>SSKA.7150</t>
  </si>
  <si>
    <t>SSKA.7021</t>
  </si>
  <si>
    <t>SSKA.6972</t>
  </si>
  <si>
    <t>SSKA.7528</t>
  </si>
  <si>
    <t>SSKA.7229</t>
  </si>
  <si>
    <t>SSKA.7153</t>
  </si>
  <si>
    <t>SSKA.7172</t>
  </si>
  <si>
    <t>SSKA.6621</t>
  </si>
  <si>
    <t>SSKA.7405</t>
  </si>
  <si>
    <t>SSKA.6767</t>
  </si>
  <si>
    <t>SSKA.7086</t>
  </si>
  <si>
    <t>SSKA.7026</t>
  </si>
  <si>
    <t>SSKA.6651</t>
  </si>
  <si>
    <t>SSKA.6975</t>
  </si>
  <si>
    <t>SSKA.6721</t>
  </si>
  <si>
    <t>SSKA.6773</t>
  </si>
  <si>
    <t>SSKA.6774</t>
  </si>
  <si>
    <t>SSKA.7186</t>
  </si>
  <si>
    <t>SSKA.7338</t>
  </si>
  <si>
    <t>SSKA.6912</t>
  </si>
  <si>
    <t>SSKA.6970</t>
  </si>
  <si>
    <t>SSKA.6637</t>
  </si>
  <si>
    <t>SSKA.6638</t>
  </si>
  <si>
    <t>SSKA.7369</t>
  </si>
  <si>
    <t>SSKA.7370</t>
  </si>
  <si>
    <t>SSKA.7204</t>
  </si>
  <si>
    <t>SSKA.7205</t>
  </si>
  <si>
    <t>SSKA.6961</t>
  </si>
  <si>
    <t>SSKA.7203</t>
  </si>
  <si>
    <t>SSKA.6685</t>
  </si>
  <si>
    <t>SSKA.7134</t>
  </si>
  <si>
    <t>SSKA.6817</t>
  </si>
  <si>
    <t>SSKA.7176</t>
  </si>
  <si>
    <t>SSKA.7382</t>
  </si>
  <si>
    <t>SSKA.7070</t>
  </si>
  <si>
    <t>SSKA.6894</t>
  </si>
  <si>
    <t>SSKA.7183</t>
  </si>
  <si>
    <t>SSKA.6794</t>
  </si>
  <si>
    <t>SSKA.6836</t>
  </si>
  <si>
    <t>SSKA.6864</t>
  </si>
  <si>
    <t>SSKA.6944</t>
  </si>
  <si>
    <t>SSKA.7348</t>
  </si>
  <si>
    <t>SSKA.7450</t>
  </si>
  <si>
    <t>SSKA.7451</t>
  </si>
  <si>
    <t>SSKA.6461</t>
  </si>
  <si>
    <t>SSKA.6556</t>
  </si>
  <si>
    <t>SSKA.6631</t>
  </si>
  <si>
    <t>SSKA.6800</t>
  </si>
  <si>
    <t>SSKA.6786</t>
  </si>
  <si>
    <t>SSKA.6989</t>
  </si>
  <si>
    <t>SSKA.7428</t>
  </si>
  <si>
    <t>SSKA.6990</t>
  </si>
  <si>
    <t>SSKA.6991</t>
  </si>
  <si>
    <t>SSKA.6993</t>
  </si>
  <si>
    <t>SSKA.7294</t>
  </si>
  <si>
    <t>SSKA.6820</t>
  </si>
  <si>
    <t>SSKA.7431</t>
  </si>
  <si>
    <t>SSKA.7380</t>
  </si>
  <si>
    <t>SSKA.7381</t>
  </si>
  <si>
    <t>SSKA.7559</t>
  </si>
  <si>
    <t>SSKA.6476</t>
  </si>
  <si>
    <t>SSKA.7407</t>
  </si>
  <si>
    <t>SSKA.7457</t>
  </si>
  <si>
    <t>SSKA.6537</t>
  </si>
  <si>
    <t>SSKA.7551</t>
  </si>
  <si>
    <t>SSKA.7360</t>
  </si>
  <si>
    <t>SSKA.7071</t>
  </si>
  <si>
    <t>SSKA.7439</t>
  </si>
  <si>
    <t>SSKA.6765</t>
  </si>
  <si>
    <t>SSKA.6868</t>
  </si>
  <si>
    <t>SSKA.6967</t>
  </si>
  <si>
    <t>SSKA.7049</t>
  </si>
  <si>
    <t>SSKA.7013</t>
  </si>
  <si>
    <t>SSKA.7372</t>
  </si>
  <si>
    <t>SSKA.7271</t>
  </si>
  <si>
    <t>SSKA.6482</t>
  </si>
  <si>
    <t>SSKA.7423</t>
  </si>
  <si>
    <t>SSKA.7131</t>
  </si>
  <si>
    <t>SSKA.7233</t>
  </si>
  <si>
    <t>SSKA.7342</t>
  </si>
  <si>
    <t>SSKA.6492</t>
  </si>
  <si>
    <t>SSKA.7385</t>
  </si>
  <si>
    <t>SSKA.6560</t>
  </si>
  <si>
    <t>SSKA.7098</t>
  </si>
  <si>
    <t>SSKA.7296</t>
  </si>
  <si>
    <t>SSKA.6640</t>
  </si>
  <si>
    <t>SSKA.7078</t>
  </si>
  <si>
    <t>SSKA.7023</t>
  </si>
  <si>
    <t>SSKA.6715</t>
  </si>
  <si>
    <t>SSKA.6931</t>
  </si>
  <si>
    <t>SSKA.6748</t>
  </si>
  <si>
    <t>SSKA.6795</t>
  </si>
  <si>
    <t>SSKA.6913</t>
  </si>
  <si>
    <t>SSKA.6891</t>
  </si>
  <si>
    <t>SSKA.6946</t>
  </si>
  <si>
    <t>SSKA.7000</t>
  </si>
  <si>
    <t>SSKA.7093</t>
  </si>
  <si>
    <t>SSKA.7213</t>
  </si>
  <si>
    <t>SSKA.7261</t>
  </si>
  <si>
    <t>SSKA.7371</t>
  </si>
  <si>
    <t>SSKA.7045</t>
  </si>
  <si>
    <t>SSKA.7126</t>
  </si>
  <si>
    <t>SSKA.7136</t>
  </si>
  <si>
    <t>SSKA.7152</t>
  </si>
  <si>
    <t>SSKA.7048</t>
  </si>
  <si>
    <t>SSKA.7125</t>
  </si>
  <si>
    <t>SSKA.6906</t>
  </si>
  <si>
    <t>SSKA.7317</t>
  </si>
  <si>
    <t>SSKA.6928</t>
  </si>
  <si>
    <t>SSKA.6929</t>
  </si>
  <si>
    <t>SSKA.6933</t>
  </si>
  <si>
    <t>SSKA.6939</t>
  </si>
  <si>
    <t>SSKA.7007</t>
  </si>
  <si>
    <t>SSKA.7227</t>
  </si>
  <si>
    <t>SSKA.7225</t>
  </si>
  <si>
    <t>SSKA.7413</t>
  </si>
  <si>
    <t>SSKA.7410</t>
  </si>
  <si>
    <t>SSKA.7230</t>
  </si>
  <si>
    <t>SSKA.7276</t>
  </si>
  <si>
    <t>SSKA.7408</t>
  </si>
  <si>
    <t>SSKA.7409</t>
  </si>
  <si>
    <t>SSKA.7487</t>
  </si>
  <si>
    <t>SSKA.7510</t>
  </si>
  <si>
    <t>SSKA.7521</t>
  </si>
  <si>
    <t>SSKA.7111</t>
  </si>
  <si>
    <t>SSKA.7290</t>
  </si>
  <si>
    <t>SSKA.7403</t>
  </si>
  <si>
    <t>SSKA.7417</t>
  </si>
  <si>
    <t>SSKA.7364</t>
  </si>
  <si>
    <t>SSKA.7544</t>
  </si>
  <si>
    <t>SSKA.7248</t>
  </si>
  <si>
    <t>SSKA.7195</t>
  </si>
  <si>
    <t>SSKA.7196</t>
  </si>
  <si>
    <t>SSKA.7469</t>
  </si>
  <si>
    <t>SSKA.7470</t>
  </si>
  <si>
    <t>SSKA.7471</t>
  </si>
  <si>
    <t>SSKA.7472</t>
  </si>
  <si>
    <t>SSKA.7473</t>
  </si>
  <si>
    <t>SSKA.7467</t>
  </si>
  <si>
    <t>SSKA.7468</t>
  </si>
  <si>
    <t>SSKA.7540</t>
  </si>
  <si>
    <t>SSKA.7541</t>
  </si>
  <si>
    <t>SSKA.7542</t>
  </si>
  <si>
    <t>SSKA.7543</t>
  </si>
  <si>
    <t>SSKA.7436</t>
  </si>
  <si>
    <t>SSKA.7548</t>
  </si>
  <si>
    <t>SSKA.7236</t>
  </si>
  <si>
    <t>SSKA.7316</t>
  </si>
  <si>
    <t>SSKA.7331</t>
  </si>
  <si>
    <t>SSKA.7353</t>
  </si>
  <si>
    <t>SSKA.7368</t>
  </si>
  <si>
    <t>SSKA.7529</t>
  </si>
  <si>
    <t>SSKA.7383</t>
  </si>
  <si>
    <t>SSKA.7506</t>
  </si>
  <si>
    <t>SSKA.7547</t>
  </si>
  <si>
    <t>SSKA.7505</t>
  </si>
  <si>
    <t>SSKA.7484</t>
  </si>
  <si>
    <t>SJTA.2410</t>
  </si>
  <si>
    <t>SJTA.2254</t>
  </si>
  <si>
    <t>SJTA.2199</t>
  </si>
  <si>
    <t>SJTA.2204</t>
  </si>
  <si>
    <t>SJTA.2227</t>
  </si>
  <si>
    <t>SJTA.2200</t>
  </si>
  <si>
    <t>SJTA.2233</t>
  </si>
  <si>
    <t>SJTA.2518</t>
  </si>
  <si>
    <t>SJTA.2552</t>
  </si>
  <si>
    <t>SJTA.2277</t>
  </si>
  <si>
    <t>SJTA.2422</t>
  </si>
  <si>
    <t>SJTA.2569</t>
  </si>
  <si>
    <t>SJTA.2597</t>
  </si>
  <si>
    <t>SJTA.2324</t>
  </si>
  <si>
    <t>SJTA.2429</t>
  </si>
  <si>
    <t>SJTA.2316</t>
  </si>
  <si>
    <t>SJTA.2428</t>
  </si>
  <si>
    <t>SJTA.2201</t>
  </si>
  <si>
    <t>SJTA.2386</t>
  </si>
  <si>
    <t>SJTA.2469</t>
  </si>
  <si>
    <t>SJTA.2367</t>
  </si>
  <si>
    <t>SJTA.2412</t>
  </si>
  <si>
    <t>SJTA.2454</t>
  </si>
  <si>
    <t>SJTA.2561</t>
  </si>
  <si>
    <t>SJTA.2373</t>
  </si>
  <si>
    <t>SJTA.2507</t>
  </si>
  <si>
    <t>SJTA.2563</t>
  </si>
  <si>
    <t>SJTA.2510</t>
  </si>
  <si>
    <t>SJTA.2488</t>
  </si>
  <si>
    <t>SJTA.2557</t>
  </si>
  <si>
    <t>SJTA.2436</t>
  </si>
  <si>
    <t>SJTA.2483</t>
  </si>
  <si>
    <t>SJTA.2572</t>
  </si>
  <si>
    <t>SJTA.2573</t>
  </si>
  <si>
    <t>SJTA.2587</t>
  </si>
  <si>
    <t>SJTA.2243</t>
  </si>
  <si>
    <t>SJTA.2276</t>
  </si>
  <si>
    <t>SJTA.2529</t>
  </si>
  <si>
    <t>SJTA.2528</t>
  </si>
  <si>
    <t>SJTA.2485</t>
  </si>
  <si>
    <t>SJTA.2415</t>
  </si>
  <si>
    <t>SJTA.2281</t>
  </si>
  <si>
    <t>SJTA.2335</t>
  </si>
  <si>
    <t>SJTA.2336</t>
  </si>
  <si>
    <t>SJTA.2337</t>
  </si>
  <si>
    <t>SJTA.2349</t>
  </si>
  <si>
    <t>SJTA.2350</t>
  </si>
  <si>
    <t>SJTA.2286</t>
  </si>
  <si>
    <t>SJTA.2248</t>
  </si>
  <si>
    <t>SJTA.2592</t>
  </si>
  <si>
    <t>SJTA.2593</t>
  </si>
  <si>
    <t>SJTA.2549</t>
  </si>
  <si>
    <t>SJTA.2598</t>
  </si>
  <si>
    <t>SJTA.2599</t>
  </si>
  <si>
    <t>SJTA.2400</t>
  </si>
  <si>
    <t>SJTA.2401</t>
  </si>
  <si>
    <t>SJTA.2402</t>
  </si>
  <si>
    <t>SJTA.2411</t>
  </si>
  <si>
    <t>SJTA.2438</t>
  </si>
  <si>
    <t>SJTA.2466</t>
  </si>
  <si>
    <t>SJTA.2508</t>
  </si>
  <si>
    <t>SJTA.2251</t>
  </si>
  <si>
    <t>SJTA.2553</t>
  </si>
  <si>
    <t>SJTA.2252</t>
  </si>
  <si>
    <t>SJTA.2585</t>
  </si>
  <si>
    <t>SJTA.2292</t>
  </si>
  <si>
    <t>SJTA.2317</t>
  </si>
  <si>
    <t>SJTA.2366</t>
  </si>
  <si>
    <t>SJTA.2381</t>
  </si>
  <si>
    <t>SJTA.2382</t>
  </si>
  <si>
    <t>SJTA.2383</t>
  </si>
  <si>
    <t>SJTA.2535</t>
  </si>
  <si>
    <t>SJTA.2443</t>
  </si>
  <si>
    <t>SJTA.2444</t>
  </si>
  <si>
    <t>SJTA.2445</t>
  </si>
  <si>
    <t>SJTA.2446</t>
  </si>
  <si>
    <t>SJTA.2562</t>
  </si>
  <si>
    <t>SJTA.2591</t>
  </si>
  <si>
    <t>SJTA.2489</t>
  </si>
  <si>
    <t>SJTA.2539</t>
  </si>
  <si>
    <t>SJTA.2440</t>
  </si>
  <si>
    <t>SJTA.2385</t>
  </si>
  <si>
    <t>SJTA.2413</t>
  </si>
  <si>
    <t>SJTA.2467</t>
  </si>
  <si>
    <t>SJTA.2242</t>
  </si>
  <si>
    <t>SJTA.2375</t>
  </si>
  <si>
    <t>SJTA.2405</t>
  </si>
  <si>
    <t>SJTA.2499</t>
  </si>
  <si>
    <t>SJTA.2478</t>
  </si>
  <si>
    <t>SJTA.2550</t>
  </si>
  <si>
    <t>SJTA.2457</t>
  </si>
  <si>
    <t>SJTA.2363</t>
  </si>
  <si>
    <t>SJTA.2588</t>
  </si>
  <si>
    <t>SJTA.2596</t>
  </si>
  <si>
    <t>SJTA.2261</t>
  </si>
  <si>
    <t>SJTA.2262</t>
  </si>
  <si>
    <t>SJTA.2263</t>
  </si>
  <si>
    <t>SJTA.2264</t>
  </si>
  <si>
    <t>SJTA.2602</t>
  </si>
  <si>
    <t>SJTA.2213</t>
  </si>
  <si>
    <t>SJTA.2456</t>
  </si>
  <si>
    <t>SJTA.2351</t>
  </si>
  <si>
    <t>SJTA.2352</t>
  </si>
  <si>
    <t>SJTA.2217</t>
  </si>
  <si>
    <t>SJTA.2484</t>
  </si>
  <si>
    <t>SJTA.2601</t>
  </si>
  <si>
    <t>SJTA.2380</t>
  </si>
  <si>
    <t>SJTA.2482</t>
  </si>
  <si>
    <t>SJTA.2490</t>
  </si>
  <si>
    <t>SJTA.2559</t>
  </si>
  <si>
    <t>SJTA.2577</t>
  </si>
  <si>
    <t>SJTA.2589</t>
  </si>
  <si>
    <t>SJTA.2246</t>
  </si>
  <si>
    <t>SJTA.2247</t>
  </si>
  <si>
    <t>SJTA.2486</t>
  </si>
  <si>
    <t>SJTA.2492</t>
  </si>
  <si>
    <t>SJTA.2206</t>
  </si>
  <si>
    <t>SJTA.2530</t>
  </si>
  <si>
    <t>SJTA.2527</t>
  </si>
  <si>
    <t>SJTA.2236</t>
  </si>
  <si>
    <t>SJTA.2531</t>
  </si>
  <si>
    <t>SJTA.2249</t>
  </si>
  <si>
    <t>SJTA.2330</t>
  </si>
  <si>
    <t>SJTA.2290</t>
  </si>
  <si>
    <t>SJTA.2291</t>
  </si>
  <si>
    <t>SJTA.2551</t>
  </si>
  <si>
    <t>SJTA.2327</t>
  </si>
  <si>
    <t>SJTA.2519</t>
  </si>
  <si>
    <t>SJTA.2239</t>
  </si>
  <si>
    <t>SJTA.2312</t>
  </si>
  <si>
    <t>SJTA.2407</t>
  </si>
  <si>
    <t>SJTA.2540</t>
  </si>
  <si>
    <t>SJTA.2311</t>
  </si>
  <si>
    <t>SJTA.2452</t>
  </si>
  <si>
    <t>SJTA.2548</t>
  </si>
  <si>
    <t>SJTA.2576</t>
  </si>
  <si>
    <t>SJTA.2496</t>
  </si>
  <si>
    <t>SJTA.2574</t>
  </si>
  <si>
    <t>SJTA.2209</t>
  </si>
  <si>
    <t>SJTA.2265</t>
  </si>
  <si>
    <t>SJTA.2222</t>
  </si>
  <si>
    <t>SJTA.2497</t>
  </si>
  <si>
    <t>SJTA.2511</t>
  </si>
  <si>
    <t>SJTA.2468</t>
  </si>
  <si>
    <t>SJTA.2284</t>
  </si>
  <si>
    <t>SJTA.2515</t>
  </si>
  <si>
    <t>SJTA.2397</t>
  </si>
  <si>
    <t>SJTA.2377</t>
  </si>
  <si>
    <t>SJTA.2378</t>
  </si>
  <si>
    <t>SJTA.2414</t>
  </si>
  <si>
    <t>SJTA.2509</t>
  </si>
  <si>
    <t>SJTA.2517</t>
  </si>
  <si>
    <t>SJTA.2536</t>
  </si>
  <si>
    <t>SJTA.2564</t>
  </si>
  <si>
    <t>SJTA.2329</t>
  </si>
  <si>
    <t>SJTA.2333</t>
  </si>
  <si>
    <t>SJTA.2565</t>
  </si>
  <si>
    <t>SJTA.2360</t>
  </si>
  <si>
    <t>SJTA.2304</t>
  </si>
  <si>
    <t>SJTA.2323</t>
  </si>
  <si>
    <t>SJTA.2338</t>
  </si>
  <si>
    <t>SJTA.2354</t>
  </si>
  <si>
    <t>SJTA.2374</t>
  </si>
  <si>
    <t>SJTA.2390</t>
  </si>
  <si>
    <t>SJTA.2404</t>
  </si>
  <si>
    <t>SJTA.2416</t>
  </si>
  <si>
    <t>SJTA.2450</t>
  </si>
  <si>
    <t>SJTA.2470</t>
  </si>
  <si>
    <t>SJTA.2532</t>
  </si>
  <si>
    <t>SJTA.2235</t>
  </si>
  <si>
    <t>SJTA.2582</t>
  </si>
  <si>
    <t>SJTA.2583</t>
  </si>
  <si>
    <t>SJTA.2241</t>
  </si>
  <si>
    <t>SJTA.2579</t>
  </si>
  <si>
    <t>SJTA.2580</t>
  </si>
  <si>
    <t>SJTA.2376</t>
  </si>
  <si>
    <t>SJTA.2297</t>
  </si>
  <si>
    <t>SJTA.2298</t>
  </si>
  <si>
    <t>SJTA.2391</t>
  </si>
  <si>
    <t>SJTA.2449</t>
  </si>
  <si>
    <t>SJTA.2475</t>
  </si>
  <si>
    <t>SJTA.2523</t>
  </si>
  <si>
    <t>SJTA.2555</t>
  </si>
  <si>
    <t>SJTA.2594</t>
  </si>
  <si>
    <t>SJTA.2325</t>
  </si>
  <si>
    <t>SJTA.2356</t>
  </si>
  <si>
    <t>SJTA.2228</t>
  </si>
  <si>
    <t>SJTA.2493</t>
  </si>
  <si>
    <t>SJTA.2408</t>
  </si>
  <si>
    <t>SJTA.2425</t>
  </si>
  <si>
    <t>SJTA.2575</t>
  </si>
  <si>
    <t>SJTA.2257</t>
  </si>
  <si>
    <t>SJTA.2503</t>
  </si>
  <si>
    <t>SJTA.2595</t>
  </si>
  <si>
    <t>SJTA.2303</t>
  </si>
  <si>
    <t>SJTA.2439</t>
  </si>
  <si>
    <t>SJTA.2379</t>
  </si>
  <si>
    <t>SJTA.2442</t>
  </si>
  <si>
    <t>SJTA.2301</t>
  </si>
  <si>
    <t>SJTA.2306</t>
  </si>
  <si>
    <t>SJTA.2554</t>
  </si>
  <si>
    <t>SJTA.2567</t>
  </si>
  <si>
    <t>SJTA.2409</t>
  </si>
  <si>
    <t>SJTA.2462</t>
  </si>
  <si>
    <t>SJTA.2463</t>
  </si>
  <si>
    <t>SJTA.2504</t>
  </si>
  <si>
    <t>SJTA.2218</t>
  </si>
  <si>
    <t>SJTA.2219</t>
  </si>
  <si>
    <t>SJTA.2477</t>
  </si>
  <si>
    <t>SJTA.2221</t>
  </si>
  <si>
    <t>SJTA.2208</t>
  </si>
  <si>
    <t>SJTA.2471</t>
  </si>
  <si>
    <t>SJTA.2472</t>
  </si>
  <si>
    <t>SJTA.2558</t>
  </si>
  <si>
    <t>SJTA.2534</t>
  </si>
  <si>
    <t>SJTA.2295</t>
  </si>
  <si>
    <t>SJTA.2424</t>
  </si>
  <si>
    <t>SJTA.2451</t>
  </si>
  <si>
    <t>SJTA.2502</t>
  </si>
  <si>
    <t>SJTA.2340</t>
  </si>
  <si>
    <t>SJTA.2476</t>
  </si>
  <si>
    <t>SJTA.2560</t>
  </si>
  <si>
    <t>SJTA.2220</t>
  </si>
  <si>
    <t>SJTA.2537</t>
  </si>
  <si>
    <t>SJTA.2202</t>
  </si>
  <si>
    <t>SJTA.2299</t>
  </si>
  <si>
    <t>SJTA.2342</t>
  </si>
  <si>
    <t>SJTA.2362</t>
  </si>
  <si>
    <t>SJTA.2384</t>
  </si>
  <si>
    <t>SJTA.2434</t>
  </si>
  <si>
    <t>SJTA.2495</t>
  </si>
  <si>
    <t>SJTA.2355</t>
  </si>
  <si>
    <t>SJTA.2423</t>
  </si>
  <si>
    <t>SJTA.2494</t>
  </si>
  <si>
    <t>SJTA.2522</t>
  </si>
  <si>
    <t>SJTA.2571</t>
  </si>
  <si>
    <t>SJTA.2590</t>
  </si>
  <si>
    <t>SJTA.2256</t>
  </si>
  <si>
    <t>SJTA.2285</t>
  </si>
  <si>
    <t>SJTA.2315</t>
  </si>
  <si>
    <t>SJTA.2448</t>
  </si>
  <si>
    <t>SJTA.2524</t>
  </si>
  <si>
    <t>SJTA.2544</t>
  </si>
  <si>
    <t>SJTA.2545</t>
  </si>
  <si>
    <t>SJTA.2305</t>
  </si>
  <si>
    <t>SJTA.2586</t>
  </si>
  <si>
    <t>SJTA.2371</t>
  </si>
  <si>
    <t>SJTA.2372</t>
  </si>
  <si>
    <t>SJTA.2430</t>
  </si>
  <si>
    <t>SJTA.2212</t>
  </si>
  <si>
    <t>SJTA.2498</t>
  </si>
  <si>
    <t>SJTA.2418</t>
  </si>
  <si>
    <t>SJTA.2205</t>
  </si>
  <si>
    <t>SJTA.2245</t>
  </si>
  <si>
    <t>SJTA.2210</t>
  </si>
  <si>
    <t>SJTA.2211</t>
  </si>
  <si>
    <t>SJTA.2541</t>
  </si>
  <si>
    <t>SJTA.2604</t>
  </si>
  <si>
    <t>SJTA.2353</t>
  </si>
  <si>
    <t>SJTA.2368</t>
  </si>
  <si>
    <t>SJTA.2396</t>
  </si>
  <si>
    <t>SJTA.2427</t>
  </si>
  <si>
    <t>SJTA.2464</t>
  </si>
  <si>
    <t>SJTA.2465</t>
  </si>
  <si>
    <t>SJTA.2226</t>
  </si>
  <si>
    <t>SJTA.2546</t>
  </si>
  <si>
    <t>SJTA.2547</t>
  </si>
  <si>
    <t>SJTA.2225</t>
  </si>
  <si>
    <t>SJTA.2505</t>
  </si>
  <si>
    <t>SJTA.2258</t>
  </si>
  <si>
    <t>SJTA.2521</t>
  </si>
  <si>
    <t>SJTA.2314</t>
  </si>
  <si>
    <t>SJTA.2231</t>
  </si>
  <si>
    <t>SJTA.2253</t>
  </si>
  <si>
    <t>SJTA.2294</t>
  </si>
  <si>
    <t>SJTA.2320</t>
  </si>
  <si>
    <t>SJTA.2334</t>
  </si>
  <si>
    <t>SJTA.2566</t>
  </si>
  <si>
    <t>SJTA.2328</t>
  </si>
  <si>
    <t>SJTA.2473</t>
  </si>
  <si>
    <t>SJTA.2474</t>
  </si>
  <si>
    <t>SJTA.2479</t>
  </si>
  <si>
    <t>SJTA.2480</t>
  </si>
  <si>
    <t>SJTA.2525</t>
  </si>
  <si>
    <t>SJTA.2526</t>
  </si>
  <si>
    <t>SJTA.2389</t>
  </si>
  <si>
    <t>SJTA.2538</t>
  </si>
  <si>
    <t>SJTA.2533</t>
  </si>
  <si>
    <t>SJTA.2584</t>
  </si>
  <si>
    <t>SJTA.2500</t>
  </si>
  <si>
    <t>SJTA.2419</t>
  </si>
  <si>
    <t>SJTA.2420</t>
  </si>
  <si>
    <t>SJTA.2426</t>
  </si>
  <si>
    <t>SJTA.2441</t>
  </si>
  <si>
    <t>SJTA.2600</t>
  </si>
  <si>
    <t>SJTA.2403</t>
  </si>
  <si>
    <t>SJTA.2455</t>
  </si>
  <si>
    <t>SJTA.2513</t>
  </si>
  <si>
    <t>SJTA.2512</t>
  </si>
  <si>
    <t>SJTA.2514</t>
  </si>
  <si>
    <t>SJTA.2516</t>
  </si>
  <si>
    <t>SJTA.2542</t>
  </si>
  <si>
    <t>SJTA.2543</t>
  </si>
  <si>
    <t>SJTA.2570</t>
  </si>
  <si>
    <t>SJTA.2578</t>
  </si>
  <si>
    <t>SJTA.2603</t>
  </si>
  <si>
    <t>SMP.29</t>
  </si>
  <si>
    <t>SMP.32</t>
  </si>
  <si>
    <t>SMP.42</t>
  </si>
  <si>
    <t>SMP.36</t>
  </si>
  <si>
    <t>SMP.28</t>
  </si>
  <si>
    <t>SMP.40</t>
  </si>
  <si>
    <t>SMP.43</t>
  </si>
  <si>
    <t>SMP.38</t>
  </si>
  <si>
    <t>SMP.35</t>
  </si>
  <si>
    <t>SMP.41</t>
  </si>
  <si>
    <t>SMP.39</t>
  </si>
  <si>
    <t>SMP.25</t>
  </si>
  <si>
    <t>SPJB.486</t>
  </si>
  <si>
    <t>SPJB.468</t>
  </si>
  <si>
    <t>SPJB.469</t>
  </si>
  <si>
    <t>SPJB.467</t>
  </si>
  <si>
    <t>SPJB.480</t>
  </si>
  <si>
    <t>SPJB.509</t>
  </si>
  <si>
    <t>SPJB.492</t>
  </si>
  <si>
    <t>SPJB.512</t>
  </si>
  <si>
    <t>SPJB.534</t>
  </si>
  <si>
    <t>SPJB.506</t>
  </si>
  <si>
    <t>SPJB.516</t>
  </si>
  <si>
    <t>SPJB.488</t>
  </si>
  <si>
    <t>SPJB.473</t>
  </si>
  <si>
    <t>SPJB.474</t>
  </si>
  <si>
    <t>SPJB.475</t>
  </si>
  <si>
    <t>SPJB.464</t>
  </si>
  <si>
    <t>SPJB.547</t>
  </si>
  <si>
    <t>SPJB.460</t>
  </si>
  <si>
    <t>SPJB.537</t>
  </si>
  <si>
    <t>SPJB.538</t>
  </si>
  <si>
    <t>SPJB.476</t>
  </si>
  <si>
    <t>SPJB.562</t>
  </si>
  <si>
    <t>SPJB.526</t>
  </si>
  <si>
    <t>SPJB.511</t>
  </si>
  <si>
    <t>SPJB.466</t>
  </si>
  <si>
    <t>SPJB.556</t>
  </si>
  <si>
    <t>SPJB.472</t>
  </si>
  <si>
    <t>SPJB.487</t>
  </si>
  <si>
    <t>SPJB.458</t>
  </si>
  <si>
    <t>SPJB.546</t>
  </si>
  <si>
    <t>SPJB.544</t>
  </si>
  <si>
    <t>SPJB.545</t>
  </si>
  <si>
    <t>SPJB.552</t>
  </si>
  <si>
    <t>SPJB.481</t>
  </si>
  <si>
    <t>SPJB.524</t>
  </si>
  <si>
    <t>SPJB.496</t>
  </si>
  <si>
    <t>SPJB.501</t>
  </si>
  <si>
    <t>SPJB.500</t>
  </si>
  <si>
    <t>SPJB.459</t>
  </si>
  <si>
    <t>SPJB.470</t>
  </si>
  <si>
    <t>SPJB.518</t>
  </si>
  <si>
    <t>SPJB.490</t>
  </si>
  <si>
    <t>SPJB.478</t>
  </si>
  <si>
    <t>SPJB.554</t>
  </si>
  <si>
    <t>SPJB.548</t>
  </si>
  <si>
    <t>SPJB.477</t>
  </si>
  <si>
    <t>SPJB.523</t>
  </si>
  <si>
    <t>SPJB.539</t>
  </si>
  <si>
    <t>SPJB.541</t>
  </si>
  <si>
    <t>SPJB.542</t>
  </si>
  <si>
    <t>SPJB.489</t>
  </si>
  <si>
    <t>SPJB.555</t>
  </si>
  <si>
    <t>SPJB.543</t>
  </si>
  <si>
    <t>SPJB.485</t>
  </si>
  <si>
    <t>SPJB.533</t>
  </si>
  <si>
    <t>SPJB.532</t>
  </si>
  <si>
    <t>SPJB.514</t>
  </si>
  <si>
    <t>SPJB.558</t>
  </si>
  <si>
    <t>SPJB.457</t>
  </si>
  <si>
    <t>SPJB.499</t>
  </si>
  <si>
    <t>SPJB.465</t>
  </si>
  <si>
    <t>SPJB.463</t>
  </si>
  <si>
    <t>SPJB.471</t>
  </si>
  <si>
    <t>SPJB.491</t>
  </si>
  <si>
    <t>SPJB.495</t>
  </si>
  <si>
    <t>SPJB.493</t>
  </si>
  <si>
    <t>SPJB.494</t>
  </si>
  <si>
    <t>SPJB.502</t>
  </si>
  <si>
    <t>SPJB.503</t>
  </si>
  <si>
    <t>SPJB.508</t>
  </si>
  <si>
    <t>SPJB.510</t>
  </si>
  <si>
    <t>SPJB.505</t>
  </si>
  <si>
    <t>SPJB.561</t>
  </si>
  <si>
    <t>SPJB.530</t>
  </si>
  <si>
    <t>SPJB.522</t>
  </si>
  <si>
    <t>SPJB.527</t>
  </si>
  <si>
    <t>SPJB.519</t>
  </si>
  <si>
    <t>SPJB.520</t>
  </si>
  <si>
    <t>SPJB.521</t>
  </si>
  <si>
    <t>SPJB.531</t>
  </si>
  <si>
    <t>SPJB.536</t>
  </si>
  <si>
    <t>SPJB.535</t>
  </si>
  <si>
    <t>SPJB.549</t>
  </si>
  <si>
    <t>SPJB.540</t>
  </si>
  <si>
    <t>SPJB.550</t>
  </si>
  <si>
    <t>SPJB.551</t>
  </si>
  <si>
    <t>SPJB.553</t>
  </si>
  <si>
    <t>SPJB.559</t>
  </si>
  <si>
    <t>SPJB.560</t>
  </si>
  <si>
    <t>SPJB.557</t>
  </si>
  <si>
    <t>24 - 35 th</t>
  </si>
  <si>
    <t>46 - 60 th</t>
  </si>
  <si>
    <t>36 - 45 th</t>
  </si>
  <si>
    <t xml:space="preserve">WIRASWASTA DISTRIBUTOR BENIH PADI </t>
  </si>
  <si>
    <t>02-05-1961</t>
  </si>
  <si>
    <t>WIRASWASTA DESAIN</t>
  </si>
  <si>
    <t xml:space="preserve">PELAJAR </t>
  </si>
  <si>
    <t>TU Sekolah</t>
  </si>
  <si>
    <t xml:space="preserve">MJA LOGISTIC </t>
  </si>
  <si>
    <t>WIRASWASTA KULINER</t>
  </si>
  <si>
    <t>DLH</t>
  </si>
  <si>
    <t xml:space="preserve">MA DARUMULAZIM </t>
  </si>
  <si>
    <t>KARYAWAN HONORER ADMINISTRASI</t>
  </si>
  <si>
    <t>WIRASWASTA FASHION</t>
  </si>
  <si>
    <t>GURU PENDIDIKAN</t>
  </si>
  <si>
    <t>KARYAWAN SWASTA KEAMANAN</t>
  </si>
  <si>
    <t>PERAWAT KESEHATAN</t>
  </si>
  <si>
    <t>PALU GADA</t>
  </si>
  <si>
    <t>TOKO ARMADA</t>
  </si>
  <si>
    <t>03-11-1986</t>
  </si>
  <si>
    <t>KARYAWAN SWASTA PENDIDIKAN</t>
  </si>
  <si>
    <t>TK SETIA KAWAN</t>
  </si>
  <si>
    <t xml:space="preserve">PNS </t>
  </si>
  <si>
    <t xml:space="preserve">SDN PURUT 1 </t>
  </si>
  <si>
    <t>28-12-1994</t>
  </si>
  <si>
    <t xml:space="preserve">WIRASWASTA </t>
  </si>
  <si>
    <t>05-07-1973</t>
  </si>
  <si>
    <t xml:space="preserve">PT AMAFIRDOU SOETOMO </t>
  </si>
  <si>
    <t>WIRASWASTA TOKO PERACANGAN</t>
  </si>
  <si>
    <t xml:space="preserve"> WIRASWASTA KULINER</t>
  </si>
  <si>
    <t xml:space="preserve">BURUH HARIAN LEPAS </t>
  </si>
  <si>
    <t>TEBAS POHON SENGON</t>
  </si>
  <si>
    <t>Pengacara</t>
  </si>
  <si>
    <t>TUKANG POTONG KAYU DAN TANI</t>
  </si>
  <si>
    <t xml:space="preserve">PENYEWAAN TRUCK </t>
  </si>
  <si>
    <t xml:space="preserve">AYAM BU MUS </t>
  </si>
  <si>
    <t>ADMINISTRASI PENDIDIKAN</t>
  </si>
  <si>
    <t>STS</t>
  </si>
  <si>
    <t>08-08-2001</t>
  </si>
  <si>
    <t xml:space="preserve">SMAK MATER DEI </t>
  </si>
  <si>
    <t>GADO- GADO</t>
  </si>
  <si>
    <t>WIRASWASTA HIPNOTERAPI</t>
  </si>
  <si>
    <t>KARYAWAN SWASTA RETAIL</t>
  </si>
  <si>
    <t>14-05-2001</t>
  </si>
  <si>
    <t>02-12-1994</t>
  </si>
  <si>
    <t xml:space="preserve">WIRASWASTA PERCETAKAN </t>
  </si>
  <si>
    <t>KARYAWAN SWASTA BUDIDAYA JAMUR</t>
  </si>
  <si>
    <t>guru musik panggilan</t>
  </si>
  <si>
    <t>WIRASWASTA JUALAN</t>
  </si>
  <si>
    <t>PNS JASA- GURU</t>
  </si>
  <si>
    <t xml:space="preserve">PNS PENDIDIKAN </t>
  </si>
  <si>
    <t>WIRASWASTA ONLINE SHOP</t>
  </si>
  <si>
    <t>Pensiunan Guru</t>
  </si>
  <si>
    <t>SPX EXPRESS</t>
  </si>
  <si>
    <t>LEMBAGA KEUANGAN</t>
  </si>
  <si>
    <t xml:space="preserve">UNIVERSITAS NEGRI MALANG </t>
  </si>
  <si>
    <t xml:space="preserve">NOTARIS </t>
  </si>
  <si>
    <t>12-09-1977</t>
  </si>
  <si>
    <t>PERSEWAAN BAJU A &amp; A</t>
  </si>
  <si>
    <t>RAMA FROZEN FOOD</t>
  </si>
  <si>
    <t>SEJATI</t>
  </si>
  <si>
    <t xml:space="preserve">WARUNG HAMDALAH </t>
  </si>
  <si>
    <t>14053.001.1021.050</t>
  </si>
  <si>
    <t>UNIVERSITAS PANCA WARGA</t>
  </si>
  <si>
    <t>14053.001.1021.051</t>
  </si>
  <si>
    <t>12-11-1991</t>
  </si>
  <si>
    <t>14053.004.1021.052</t>
  </si>
  <si>
    <t>PT ANDIARTA MUZIZAT</t>
  </si>
  <si>
    <t>14053.001.1021.053</t>
  </si>
  <si>
    <t>10-06-1966</t>
  </si>
  <si>
    <t xml:space="preserve">KEROHANIAN </t>
  </si>
  <si>
    <t>14053.001.1021.054</t>
  </si>
  <si>
    <t>08-08-2000</t>
  </si>
  <si>
    <t xml:space="preserve">KLINIK MAYANG MEDIKA </t>
  </si>
  <si>
    <t>14053.001.1021.057</t>
  </si>
  <si>
    <t>14053.001.1021.058</t>
  </si>
  <si>
    <t>29-11-2001</t>
  </si>
  <si>
    <t>14053.001.1021.059</t>
  </si>
  <si>
    <t>10-09-2002</t>
  </si>
  <si>
    <t xml:space="preserve">UD AS PRATAMA </t>
  </si>
  <si>
    <t>14053.001.1021.060</t>
  </si>
  <si>
    <t>05-06-2006</t>
  </si>
  <si>
    <t xml:space="preserve">DRIVER </t>
  </si>
  <si>
    <t xml:space="preserve">GRAB </t>
  </si>
  <si>
    <t>14053.003.1021.061</t>
  </si>
  <si>
    <t>15-08-2005</t>
  </si>
  <si>
    <t>14053.004.1021.062</t>
  </si>
  <si>
    <t>14053.002.1021.063</t>
  </si>
  <si>
    <t>GURU ASN/P3K</t>
  </si>
  <si>
    <t>SDN KALIKAJAR II</t>
  </si>
  <si>
    <t>14053.005.1021.064</t>
  </si>
  <si>
    <t>TUKANG TAMBAL BAN</t>
  </si>
  <si>
    <t>14053.002.1021.065</t>
  </si>
  <si>
    <t>31-12-1994</t>
  </si>
  <si>
    <t>LALAPAN CAK IRUL</t>
  </si>
  <si>
    <t>14053.002.1021.066</t>
  </si>
  <si>
    <t>08-09-1984</t>
  </si>
  <si>
    <t>14053.001.1021.067</t>
  </si>
  <si>
    <t xml:space="preserve">RIZKY CELL </t>
  </si>
  <si>
    <t>14053.001.1021.068</t>
  </si>
  <si>
    <t>27-03-1992</t>
  </si>
  <si>
    <t>JASA ANGKUT</t>
  </si>
  <si>
    <t>UD FAJAR</t>
  </si>
  <si>
    <t>14053.003.1021.069</t>
  </si>
  <si>
    <t>05-05-1968</t>
  </si>
  <si>
    <t>14053.001.1021.070</t>
  </si>
  <si>
    <t>14053.001.1021.071</t>
  </si>
  <si>
    <t>18-03-1974</t>
  </si>
  <si>
    <t>14053.005.1021.072</t>
  </si>
  <si>
    <t>25-06-1954</t>
  </si>
  <si>
    <t>14053.002.1021.073</t>
  </si>
  <si>
    <t>09-09-1986</t>
  </si>
  <si>
    <t>KORAMIL BESUK</t>
  </si>
  <si>
    <t>14053.006.1021.074</t>
  </si>
  <si>
    <t>07-01-1993</t>
  </si>
  <si>
    <t>14053.004.1021.075</t>
  </si>
  <si>
    <t>03-09-1992</t>
  </si>
  <si>
    <t>MTS SYAMSUL HUDA</t>
  </si>
  <si>
    <t>14053.003.1021.076</t>
  </si>
  <si>
    <t>06-12-1969</t>
  </si>
  <si>
    <t>14053.001.1021.077</t>
  </si>
  <si>
    <t>18-05-1985</t>
  </si>
  <si>
    <t xml:space="preserve">DINAS PENDIDIKAN </t>
  </si>
  <si>
    <t>14053.003.1021.078</t>
  </si>
  <si>
    <t>TK DARUL HIKMAH</t>
  </si>
  <si>
    <t>14053.001.1021.079</t>
  </si>
  <si>
    <t>17-01-1976</t>
  </si>
  <si>
    <t xml:space="preserve">WARKOP ADAM </t>
  </si>
  <si>
    <t>14053.001.1021.081</t>
  </si>
  <si>
    <t xml:space="preserve">TOKO ALFIN </t>
  </si>
  <si>
    <t>14053.002.1021.082</t>
  </si>
  <si>
    <t>27-09-1984</t>
  </si>
  <si>
    <t>14053.001.1021.083</t>
  </si>
  <si>
    <t>14053.005.1021.084</t>
  </si>
  <si>
    <t>27-06-1980</t>
  </si>
  <si>
    <t>14053.004.1021.085</t>
  </si>
  <si>
    <t>BENGKEL MOBIL MADANI</t>
  </si>
  <si>
    <t>14053.001.1021.086</t>
  </si>
  <si>
    <t xml:space="preserve">JAJAN RECEH </t>
  </si>
  <si>
    <t>14053.002.1021.087</t>
  </si>
  <si>
    <t>06-05-1985</t>
  </si>
  <si>
    <t>SEGO BABAT</t>
  </si>
  <si>
    <t>14053.002.1021.088</t>
  </si>
  <si>
    <t>17-07-1981</t>
  </si>
  <si>
    <t>14053.002.1021.089</t>
  </si>
  <si>
    <t>16-05-1982</t>
  </si>
  <si>
    <t>14053.005.1021.090</t>
  </si>
  <si>
    <t>16-09-1972</t>
  </si>
  <si>
    <t>14053.005.1021.091</t>
  </si>
  <si>
    <t>14053.005.1021.092</t>
  </si>
  <si>
    <t>03-04-1980</t>
  </si>
  <si>
    <t>14053.005.1021.093</t>
  </si>
  <si>
    <t>04-07-1975</t>
  </si>
  <si>
    <t>14053.004.1021.094</t>
  </si>
  <si>
    <t>13-12-1999</t>
  </si>
  <si>
    <t>14053.005.1021.095</t>
  </si>
  <si>
    <t>21-05-1971</t>
  </si>
  <si>
    <t>14053.005.1021.096</t>
  </si>
  <si>
    <t>06-07-1976</t>
  </si>
  <si>
    <t>14053.002.1021.097</t>
  </si>
  <si>
    <t>21-10-1972</t>
  </si>
  <si>
    <t>14053.002.1021.098</t>
  </si>
  <si>
    <t>14053.003.1021.099</t>
  </si>
  <si>
    <t>31-10-1987</t>
  </si>
  <si>
    <t>TOKO JAMU SOLO</t>
  </si>
  <si>
    <t>14053.002.1021.100</t>
  </si>
  <si>
    <t>16-04-1989</t>
  </si>
  <si>
    <t>14053.004.1021.101</t>
  </si>
  <si>
    <t>31-12-1985</t>
  </si>
  <si>
    <t>WARUNG KETAN PAK DEN</t>
  </si>
  <si>
    <t>14053.001.1021.102</t>
  </si>
  <si>
    <t>14053.001.1021.103</t>
  </si>
  <si>
    <t>05-11-1961</t>
  </si>
  <si>
    <t>PENJUAL KUE</t>
  </si>
  <si>
    <t>14053.005.1021.104</t>
  </si>
  <si>
    <t>23-03-1981</t>
  </si>
  <si>
    <t>14053.004.1021.105</t>
  </si>
  <si>
    <t>13-03-1978</t>
  </si>
  <si>
    <t>14053.004.1021.106</t>
  </si>
  <si>
    <t>21-06-1986</t>
  </si>
  <si>
    <t>VIZAR LOUNDRY</t>
  </si>
  <si>
    <t>14053.003.1021.107</t>
  </si>
  <si>
    <t>19-12-1992</t>
  </si>
  <si>
    <t>14053.006.1021.108</t>
  </si>
  <si>
    <t>02-08-2000</t>
  </si>
  <si>
    <t>14053.001.1021.109</t>
  </si>
  <si>
    <t>31-01-2005</t>
  </si>
  <si>
    <t xml:space="preserve">KARYAWAN SWASTA GARMENT </t>
  </si>
  <si>
    <t>PT PUTRATEJA SEMPURNA</t>
  </si>
  <si>
    <t>14053.002.1021.110</t>
  </si>
  <si>
    <t>karyawan</t>
  </si>
  <si>
    <t>14053.001.1021.111</t>
  </si>
  <si>
    <t>11-06-1981</t>
  </si>
  <si>
    <t>14053.001.1021.112</t>
  </si>
  <si>
    <t>17-12-2008</t>
  </si>
  <si>
    <t>14053.002.1021.113</t>
  </si>
  <si>
    <t>07-08-1972</t>
  </si>
  <si>
    <t>14053.002.1021.114</t>
  </si>
  <si>
    <t>05-08-1983</t>
  </si>
  <si>
    <t>14053.003.1021.115</t>
  </si>
  <si>
    <t>03-11-1968</t>
  </si>
  <si>
    <t>MONTIR</t>
  </si>
  <si>
    <t>14053.001.1021.116</t>
  </si>
  <si>
    <t>14-05-1985</t>
  </si>
  <si>
    <t>14053.003.1021.117</t>
  </si>
  <si>
    <t>04-10-1968</t>
  </si>
  <si>
    <t>14053.003.1021.118</t>
  </si>
  <si>
    <t>14053.006.1021.119</t>
  </si>
  <si>
    <t>RS MARDI RAHAYU KUDUS</t>
  </si>
  <si>
    <t>14053.001.1021.120</t>
  </si>
  <si>
    <t>30-09-1989</t>
  </si>
  <si>
    <t>PT SAKTI KINERJA KOLABORASINDO</t>
  </si>
  <si>
    <t>14053.001.1021.121</t>
  </si>
  <si>
    <t>09-04-1996</t>
  </si>
  <si>
    <t>REINE COFFE</t>
  </si>
  <si>
    <t>14053.001.1021.122</t>
  </si>
  <si>
    <t>01-12-1958</t>
  </si>
  <si>
    <t xml:space="preserve">SOTO AYAM </t>
  </si>
  <si>
    <t>14053.002.1021.123</t>
  </si>
  <si>
    <t>WARUNG NASI DAN KOPI</t>
  </si>
  <si>
    <t>14053.006.1021.124</t>
  </si>
  <si>
    <t>14053.001.1021.125</t>
  </si>
  <si>
    <t>29-03-2006</t>
  </si>
  <si>
    <t>APRISE CORP</t>
  </si>
  <si>
    <t>14053.003.1021.126</t>
  </si>
  <si>
    <t>20-02-1985</t>
  </si>
  <si>
    <t>14053.003.1021.127</t>
  </si>
  <si>
    <t>14053.001.1021.128</t>
  </si>
  <si>
    <t xml:space="preserve">KARYAWAN </t>
  </si>
  <si>
    <t>WARUNG HAMDALAH</t>
  </si>
  <si>
    <t>14053.001.1021.129</t>
  </si>
  <si>
    <t xml:space="preserve">TOKO TITO </t>
  </si>
  <si>
    <t>14053.001.1021.130</t>
  </si>
  <si>
    <t xml:space="preserve">SR SPM MANIFICAT </t>
  </si>
  <si>
    <t>14053.001.1021.131</t>
  </si>
  <si>
    <t>14053.002.1021.132</t>
  </si>
  <si>
    <t>17-05-1994</t>
  </si>
  <si>
    <t>JUAL BELI RAMBUT</t>
  </si>
  <si>
    <t>14053.001.1021.133</t>
  </si>
  <si>
    <t xml:space="preserve">PENGEMPUL SAMPAH </t>
  </si>
  <si>
    <t>14053.004.1021.134</t>
  </si>
  <si>
    <t>14-10-1999</t>
  </si>
  <si>
    <t>14053.002.1021.135</t>
  </si>
  <si>
    <t>16-09-1987</t>
  </si>
  <si>
    <t xml:space="preserve">PARKIR </t>
  </si>
  <si>
    <t>14053.002.1021.136</t>
  </si>
  <si>
    <t>04-05-1995</t>
  </si>
  <si>
    <t>14053.006.1021.137</t>
  </si>
  <si>
    <t>07-07-1979</t>
  </si>
  <si>
    <t>PT. MATRATAMA MANUNGGAL JAYA</t>
  </si>
  <si>
    <t>14053.003.1021.138</t>
  </si>
  <si>
    <t>14053.002.1021.139</t>
  </si>
  <si>
    <t>23-02-1992</t>
  </si>
  <si>
    <t>14053.001.1021.140</t>
  </si>
  <si>
    <t>29-11-1976</t>
  </si>
  <si>
    <t xml:space="preserve">BENGKEL </t>
  </si>
  <si>
    <t>14053.004.1021.141</t>
  </si>
  <si>
    <t>23-08-1978</t>
  </si>
  <si>
    <t>14053.001.1021.142</t>
  </si>
  <si>
    <t>22-06-1996</t>
  </si>
  <si>
    <t>MAN 2 PROBOLINGGGO</t>
  </si>
  <si>
    <t>14053.006.1021.143</t>
  </si>
  <si>
    <t>14053.006.1021.144</t>
  </si>
  <si>
    <t>25-04-1998</t>
  </si>
  <si>
    <t>TKK Santa Maria Magelang</t>
  </si>
  <si>
    <t>14053.006.1021.145</t>
  </si>
  <si>
    <t>14053.002.1021.146</t>
  </si>
  <si>
    <t>02-05-1967</t>
  </si>
  <si>
    <t>14053.003.1021.147</t>
  </si>
  <si>
    <t>UNIVERSITAS ISLAM JEMBER</t>
  </si>
  <si>
    <t>14053.004.1021.148</t>
  </si>
  <si>
    <t>06-05-1988</t>
  </si>
  <si>
    <t>14053.002.1021.149</t>
  </si>
  <si>
    <t>13-01-1983</t>
  </si>
  <si>
    <t>14053.001.1021.150</t>
  </si>
  <si>
    <t>02-10-1969</t>
  </si>
  <si>
    <t xml:space="preserve">WARUNG ADAM </t>
  </si>
  <si>
    <t>14053.006.1021.151</t>
  </si>
  <si>
    <t>03-12-1982</t>
  </si>
  <si>
    <t>14053.004.1021.152</t>
  </si>
  <si>
    <t>30-10-1990</t>
  </si>
  <si>
    <t>PT EPS SHIPPING</t>
  </si>
  <si>
    <t>14053.001.1021.153</t>
  </si>
  <si>
    <t>14053.001.1021.154</t>
  </si>
  <si>
    <t>03-10-2002</t>
  </si>
  <si>
    <t xml:space="preserve">YOKINA </t>
  </si>
  <si>
    <t>14053.001.1021.155</t>
  </si>
  <si>
    <t>10-06-1967</t>
  </si>
  <si>
    <t>14053.001.1021.156</t>
  </si>
  <si>
    <t>14053.001.1021.157</t>
  </si>
  <si>
    <t>01-11-1985</t>
  </si>
  <si>
    <t>tenaga Pengajar</t>
  </si>
  <si>
    <t xml:space="preserve">SD NEGRI SUKABUMI 1 </t>
  </si>
  <si>
    <t>14053.004.1021.158</t>
  </si>
  <si>
    <t>14053.001.1021.159</t>
  </si>
  <si>
    <t>03-10-1981</t>
  </si>
  <si>
    <t xml:space="preserve">TOKO BUNDA </t>
  </si>
  <si>
    <t>14053.001.1021.160</t>
  </si>
  <si>
    <t>01-06-2006</t>
  </si>
  <si>
    <t>14053.001.1021.161</t>
  </si>
  <si>
    <t>10-12-2006</t>
  </si>
  <si>
    <t xml:space="preserve">JINGGO FRIED CHICKEN </t>
  </si>
  <si>
    <t>14053.001.1021.162</t>
  </si>
  <si>
    <t>20-06-2008</t>
  </si>
  <si>
    <t>14053.003.1021.163</t>
  </si>
  <si>
    <t>14053.001.1021.164</t>
  </si>
  <si>
    <t>10-04-1988</t>
  </si>
  <si>
    <t xml:space="preserve">JAJANAN BU MIS </t>
  </si>
  <si>
    <t>14053.006.1021.165</t>
  </si>
  <si>
    <t>17-01-1963</t>
  </si>
  <si>
    <t>14053.001.1021.166</t>
  </si>
  <si>
    <t>24-11-1994</t>
  </si>
  <si>
    <t>RUMAH KUCING</t>
  </si>
  <si>
    <t>14053.003.1021.167</t>
  </si>
  <si>
    <t>18-08-1991</t>
  </si>
  <si>
    <t>14053.003.1021.168</t>
  </si>
  <si>
    <t>14053.001.1021.169</t>
  </si>
  <si>
    <t>KOMALAMODISTA</t>
  </si>
  <si>
    <t>14053.001.1021.170</t>
  </si>
  <si>
    <t>11-08-2000</t>
  </si>
  <si>
    <t>MAHAD MAN 2 KOTA PROBOLINGGO</t>
  </si>
  <si>
    <t>14053.004.1021.171</t>
  </si>
  <si>
    <t>09-06-2000</t>
  </si>
  <si>
    <t>14053.006.1021.172</t>
  </si>
  <si>
    <t>10-09-2003</t>
  </si>
  <si>
    <t>14053.002.1021.173</t>
  </si>
  <si>
    <t>14053.003.1021.174</t>
  </si>
  <si>
    <t>26-08-1993</t>
  </si>
  <si>
    <t>14053.002.1021.175</t>
  </si>
  <si>
    <t>04-08-1988</t>
  </si>
  <si>
    <t>14053.001.1021.176</t>
  </si>
  <si>
    <t>03-08-1998</t>
  </si>
  <si>
    <t xml:space="preserve">MAN 2 KOTA PROBOLINGGO </t>
  </si>
  <si>
    <t>14053.002.1021.177</t>
  </si>
  <si>
    <t>14053.005.1021.178</t>
  </si>
  <si>
    <t>14-03-1971</t>
  </si>
  <si>
    <t>14053.005.1021.179</t>
  </si>
  <si>
    <t>08-08-1997</t>
  </si>
  <si>
    <t>BUAH</t>
  </si>
  <si>
    <t>14053.001.1021.180</t>
  </si>
  <si>
    <t>14053.003.1021.181</t>
  </si>
  <si>
    <t>04-03-2001</t>
  </si>
  <si>
    <t>SMP RUKUN HARAPAN</t>
  </si>
  <si>
    <t>14053.005.1021.182</t>
  </si>
  <si>
    <t>03-09-1954</t>
  </si>
  <si>
    <t>ES KRIM WALLS</t>
  </si>
  <si>
    <t>14053.001.1021.183</t>
  </si>
  <si>
    <t xml:space="preserve">PT ERATEX DJAJA </t>
  </si>
  <si>
    <t>14053.003.1021.184</t>
  </si>
  <si>
    <t>07-09-1990</t>
  </si>
  <si>
    <t>14053.002.1021.185</t>
  </si>
  <si>
    <t>NIA SALON</t>
  </si>
  <si>
    <t>14053.001.1021.186</t>
  </si>
  <si>
    <t>12-03-1997</t>
  </si>
  <si>
    <t>14053.003.1021.187</t>
  </si>
  <si>
    <t>30-08-1971</t>
  </si>
  <si>
    <t xml:space="preserve">JUAL SOTO </t>
  </si>
  <si>
    <t>WARUNG SOTO BU YONO</t>
  </si>
  <si>
    <t>14053.001.1021.188</t>
  </si>
  <si>
    <t>04-07-1993</t>
  </si>
  <si>
    <t>DCC</t>
  </si>
  <si>
    <t>14053.001.1021.189</t>
  </si>
  <si>
    <t>21-05-1972</t>
  </si>
  <si>
    <t xml:space="preserve">BURUH </t>
  </si>
  <si>
    <t>PT SMP</t>
  </si>
  <si>
    <t>14053.003.1021.190</t>
  </si>
  <si>
    <t>16-08-2008</t>
  </si>
  <si>
    <t>14053.001.1021.191</t>
  </si>
  <si>
    <t>14053.002.1021.192</t>
  </si>
  <si>
    <t>17-12-1985</t>
  </si>
  <si>
    <t>14053.001.1021.193</t>
  </si>
  <si>
    <t>04-10-1985</t>
  </si>
  <si>
    <t>SEKOLAH SEC</t>
  </si>
  <si>
    <t>14053.003.1021.194</t>
  </si>
  <si>
    <t>14053.006.1021.195</t>
  </si>
  <si>
    <t>26-07-2007</t>
  </si>
  <si>
    <t>14053.001.1021.196</t>
  </si>
  <si>
    <t>12-10-2007</t>
  </si>
  <si>
    <t>14053.003.1021.197</t>
  </si>
  <si>
    <t>06-12-1975</t>
  </si>
  <si>
    <t>14053.004.1021.198</t>
  </si>
  <si>
    <t>29-07-1983</t>
  </si>
  <si>
    <t>FINNA FOOD</t>
  </si>
  <si>
    <t>14053.001.1021.199</t>
  </si>
  <si>
    <t>24-04-1990</t>
  </si>
  <si>
    <t xml:space="preserve">PABRIK UBM </t>
  </si>
  <si>
    <t>14053.001.1021.200</t>
  </si>
  <si>
    <t>08-08-1993</t>
  </si>
  <si>
    <t>14053.004.1021.201</t>
  </si>
  <si>
    <t>21-04-1995</t>
  </si>
  <si>
    <t>PENGOLAHAN IKAN</t>
  </si>
  <si>
    <t>PT. TUNA INDONESIA MANDIRI</t>
  </si>
  <si>
    <t>14053.002.1021.202</t>
  </si>
  <si>
    <t>PT SAPTA SUMBERLANCAR</t>
  </si>
  <si>
    <t>14053.002.1021.203</t>
  </si>
  <si>
    <t>07-05-1988</t>
  </si>
  <si>
    <t>PABRIK APACHE</t>
  </si>
  <si>
    <t>14053.003.1021.204</t>
  </si>
  <si>
    <t>14053.003.1021.205</t>
  </si>
  <si>
    <t>11-06-1997</t>
  </si>
  <si>
    <t>14053.001.1021.206</t>
  </si>
  <si>
    <t>03-08-1989</t>
  </si>
  <si>
    <t xml:space="preserve">THE BITES PURCH </t>
  </si>
  <si>
    <t>14053.001.1021.207</t>
  </si>
  <si>
    <t>05-07-1956</t>
  </si>
  <si>
    <t xml:space="preserve">POLRI </t>
  </si>
  <si>
    <t>14053.002.1021.208</t>
  </si>
  <si>
    <t>12-12-1977</t>
  </si>
  <si>
    <t>14053.002.1021.209</t>
  </si>
  <si>
    <t>14053.002.1021.210</t>
  </si>
  <si>
    <t>14053.002.1021.211</t>
  </si>
  <si>
    <t>14053.003.1021.212</t>
  </si>
  <si>
    <t>14053.001.1021.213</t>
  </si>
  <si>
    <t>13-05-1994</t>
  </si>
  <si>
    <t>SALES MAYORA</t>
  </si>
  <si>
    <t>14053.002.1021.214</t>
  </si>
  <si>
    <t>KULINER DAN MINUMAN</t>
  </si>
  <si>
    <t>DEPAN SDN PATOKAN 1</t>
  </si>
  <si>
    <t>14053.002.1021.215</t>
  </si>
  <si>
    <t>14053.001.1021.216</t>
  </si>
  <si>
    <t>14053.005.1021.217</t>
  </si>
  <si>
    <t>Dapur Kratonan Resto Mojokerto</t>
  </si>
  <si>
    <t>14053.003.1021.218</t>
  </si>
  <si>
    <t>14053.005.1021.219</t>
  </si>
  <si>
    <t>20-07-1982</t>
  </si>
  <si>
    <t>NASIGORENG</t>
  </si>
  <si>
    <t>14053.005.1021.220</t>
  </si>
  <si>
    <t>22-05-1983</t>
  </si>
  <si>
    <t>KULINER NASI BUNGKUS</t>
  </si>
  <si>
    <t>14053.004.1021.221</t>
  </si>
  <si>
    <t>02-03-2002</t>
  </si>
  <si>
    <t>CV UTOMO KARYA SEJAHTERA</t>
  </si>
  <si>
    <t>14053.002.1021.222</t>
  </si>
  <si>
    <t>14053.006.1021.223</t>
  </si>
  <si>
    <t>30-10-1998</t>
  </si>
  <si>
    <t>DE VERANDA RESTO</t>
  </si>
  <si>
    <t>14053.003.1021.224</t>
  </si>
  <si>
    <t>14-09-1983</t>
  </si>
  <si>
    <t>MANDIRI UTAMA</t>
  </si>
  <si>
    <t>14053.006.1021.225</t>
  </si>
  <si>
    <t>22-11-1990</t>
  </si>
  <si>
    <t>OJOL GOJEK</t>
  </si>
  <si>
    <t>14053.001.1021.226</t>
  </si>
  <si>
    <t>07-03-1997</t>
  </si>
  <si>
    <t>ASMRAMA PUTRA SINT JAN</t>
  </si>
  <si>
    <t>14053.001.1021.227</t>
  </si>
  <si>
    <t>02-03-1988</t>
  </si>
  <si>
    <t>KURIR SHOPEE</t>
  </si>
  <si>
    <t>14053.003.1021.228</t>
  </si>
  <si>
    <t>08-01-1976</t>
  </si>
  <si>
    <t>MOMS YANI KITCHEN</t>
  </si>
  <si>
    <t>14053.001.1021.229</t>
  </si>
  <si>
    <t>18-02-2004</t>
  </si>
  <si>
    <t>14053.003.1021.230</t>
  </si>
  <si>
    <t>12-10-1964</t>
  </si>
  <si>
    <t>14053.001.1021.231</t>
  </si>
  <si>
    <t>SMK KRISTEN HARAPAN SEJATI</t>
  </si>
  <si>
    <t>14053.001.1021.232</t>
  </si>
  <si>
    <t>12-11-1996</t>
  </si>
  <si>
    <t>PT JAWA LILI FURNITURE</t>
  </si>
  <si>
    <t>14053.001.1021.233</t>
  </si>
  <si>
    <t>09-09-1972</t>
  </si>
  <si>
    <t>14053.001.1021.234</t>
  </si>
  <si>
    <t>31-07-1990</t>
  </si>
  <si>
    <t>INSTANSI PEMERINTAH</t>
  </si>
  <si>
    <t>BADAN KEPEGAWAIAN DAERAH</t>
  </si>
  <si>
    <t>Cabang</t>
  </si>
  <si>
    <t>GAB</t>
  </si>
  <si>
    <t>PROFESI PEMINJAM</t>
  </si>
  <si>
    <t>DSN KEBONAGUNG KIDUL</t>
  </si>
  <si>
    <t>31 Jul 1990 / 35 Thn</t>
  </si>
  <si>
    <t>JL MINAK KONCAR 12</t>
  </si>
  <si>
    <t>9 Sep 1972 / 53 Thn</t>
  </si>
  <si>
    <t>DUSUN KRAJAN</t>
  </si>
  <si>
    <t>12 Nov 1996 / 28 Thn</t>
  </si>
  <si>
    <t>JL SOMBAN UTARA 18</t>
  </si>
  <si>
    <t>5 Oct 1966 / 58 Thn</t>
  </si>
  <si>
    <t>JL KARIMATA NO 185</t>
  </si>
  <si>
    <t>12 Oct 1964 / 60 Thn</t>
  </si>
  <si>
    <t>JL PASAR SAYUR</t>
  </si>
  <si>
    <t>18 Feb 2004 / 21 Thn</t>
  </si>
  <si>
    <t>PERUM TAMAN GADING BLOK SINDURO 12 A</t>
  </si>
  <si>
    <t>8 Jan 1976 / 49 Thn</t>
  </si>
  <si>
    <t>JL WAHIDIN NO.93</t>
  </si>
  <si>
    <t>2 Mar 1988 / 37 Thn</t>
  </si>
  <si>
    <t>JL BASUKI RAHMAD NO.26</t>
  </si>
  <si>
    <t>7 Mar 1997 / 28 Thn</t>
  </si>
  <si>
    <t>DUSUN PAGIREN</t>
  </si>
  <si>
    <t>22 Nov 1990 / 34 Thn</t>
  </si>
  <si>
    <t>JL LETJEN SUPRAPTO 12/17</t>
  </si>
  <si>
    <t>14 Sep 1983 / 42 Thn</t>
  </si>
  <si>
    <t>METESEH JAYENGAN NO.70</t>
  </si>
  <si>
    <t>30 Oct 1998 / 26 Thn</t>
  </si>
  <si>
    <t>JL MAYJEND SUTOYO</t>
  </si>
  <si>
    <t>18 Feb 1966 / 59 Thn</t>
  </si>
  <si>
    <t>JL IKAN CAKALANG NO 63</t>
  </si>
  <si>
    <t>2 Mar 2002 / 23 Thn</t>
  </si>
  <si>
    <t>DSN. WUNUT</t>
  </si>
  <si>
    <t>22 May 1983 / 42 Thn</t>
  </si>
  <si>
    <t>JL EMPUNALA 255 - C</t>
  </si>
  <si>
    <t>20 Jul 1982 / 43 Thn</t>
  </si>
  <si>
    <t>PERUM BUMI MANGLI PERMAI BLOK AB 9 A</t>
  </si>
  <si>
    <t>20 Jan 1989 / 36 Thn</t>
  </si>
  <si>
    <t>JL SUNAN DRAJAD</t>
  </si>
  <si>
    <t>17 Jun 1996 / 29 Thn</t>
  </si>
  <si>
    <t>JL RAYA IJEN 101 - A</t>
  </si>
  <si>
    <t>2 Nov 1963 / 61 Thn</t>
  </si>
  <si>
    <t>1 Jul 1969 / 56 Thn</t>
  </si>
  <si>
    <t>JL MAYJEND SUTOYO NO 17</t>
  </si>
  <si>
    <t>12 Apr 1973 / 52 Thn</t>
  </si>
  <si>
    <t>PERUM GRAHA SURYO ASRI C1</t>
  </si>
  <si>
    <t>13 May 1994 / 31 Thn</t>
  </si>
  <si>
    <t>JL LETJEN SUPRAPTO NO 59</t>
  </si>
  <si>
    <t>3 May 1986 / 39 Thn</t>
  </si>
  <si>
    <t>DUSUN KOLOR</t>
  </si>
  <si>
    <t>1 Jul 1965 / 60 Thn</t>
  </si>
  <si>
    <t>26 Jun 1987 / 38 Thn</t>
  </si>
  <si>
    <t>22 May 1984 / 41 Thn</t>
  </si>
  <si>
    <t>12 Dec 1977 / 47 Thn</t>
  </si>
  <si>
    <t>JL SLAMET RIYADI GG KRESNA 8</t>
  </si>
  <si>
    <t>5 Jul 1956 / 69 Thn</t>
  </si>
  <si>
    <t>PERUM WALEMANGUNI INDAH LINK VII</t>
  </si>
  <si>
    <t>3 Aug 1989 / 36 Thn</t>
  </si>
  <si>
    <t>DUSUN KLITIK</t>
  </si>
  <si>
    <t>11 Jun 1997 / 28 Thn</t>
  </si>
  <si>
    <t>JL SYAMANHUDI I NO 23 LINGK KP TENGGAH</t>
  </si>
  <si>
    <t>14 Mar 2000 / 25 Thn</t>
  </si>
  <si>
    <t>JL KRANGGAN</t>
  </si>
  <si>
    <t>7 May 1988 / 37 Thn</t>
  </si>
  <si>
    <t>JL LETJEND S PARMAN GG I NO 38</t>
  </si>
  <si>
    <t>20 Apr 2002 / 23 Thn</t>
  </si>
  <si>
    <t>LINGK. KLATAKAN</t>
  </si>
  <si>
    <t>21 Apr 1995 / 30 Thn</t>
  </si>
  <si>
    <t>DUSUN NGADISARI</t>
  </si>
  <si>
    <t>8 Aug 1993 / 32 Thn</t>
  </si>
  <si>
    <t>JL. KH ABDUL HAMID NO 268</t>
  </si>
  <si>
    <t>24 Apr 1990 / 35 Thn</t>
  </si>
  <si>
    <t>JL IKAN KEMBANG WARU</t>
  </si>
  <si>
    <t>29 Jul 1983 / 42 Thn</t>
  </si>
  <si>
    <t>JL RINJANI</t>
  </si>
  <si>
    <t>12 Oct 2007 / 17 Thn</t>
  </si>
  <si>
    <t>NGEMBIK KIDUL</t>
  </si>
  <si>
    <t>26 Jul 2007 / 18 Thn</t>
  </si>
  <si>
    <t>JL IMAM BONJOL NO 96 KRAJAN BARAT</t>
  </si>
  <si>
    <t>20 Apr 1991 / 34 Thn</t>
  </si>
  <si>
    <t>JL IJEN 1 NO 10 PERUM JEMBER PERMAI 1</t>
  </si>
  <si>
    <t>6 Dec 1975 / 49 Thn</t>
  </si>
  <si>
    <t>JL LETJEND SUPRAPTO</t>
  </si>
  <si>
    <t>4 Oct 1985 / 39 Thn</t>
  </si>
  <si>
    <t>DUSUN KALIJATI</t>
  </si>
  <si>
    <t>17 Dec 1985 / 39 Thn</t>
  </si>
  <si>
    <t>JL PAHLAAN 17A</t>
  </si>
  <si>
    <t>6 Oct 1996 / 28 Thn</t>
  </si>
  <si>
    <t>JL LETJEN SUPRAPTO VI/78 LINGK SUMBER DANDANG</t>
  </si>
  <si>
    <t>16 Aug 2008 / 17 Thn</t>
  </si>
  <si>
    <t>JL LETJEN SUPRAPTO</t>
  </si>
  <si>
    <t>21 May 1972 / 53 Thn</t>
  </si>
  <si>
    <t>PERUM ISTANA TEGAL BESAR CLUSTER PAJAJARAN BLOK R 26</t>
  </si>
  <si>
    <t>30 Aug 1971 / 54 Thn</t>
  </si>
  <si>
    <t>VILLA SENTRA RAYA A-2 NO 73</t>
  </si>
  <si>
    <t>12 Mar 1997 / 28 Thn</t>
  </si>
  <si>
    <t>JL HAYAM WURUK NO 32 J</t>
  </si>
  <si>
    <t>4 Jul 1993 / 32 Thn</t>
  </si>
  <si>
    <t>JLN KAMPUNG MELAYU</t>
  </si>
  <si>
    <t>7 May 1982 / 43 Thn</t>
  </si>
  <si>
    <t>DUSUN GAYASAN B</t>
  </si>
  <si>
    <t>7 Sep 1990 / 35 Thn</t>
  </si>
  <si>
    <t>PERUM CITARUM C 10</t>
  </si>
  <si>
    <t>27 Mar 1982 / 43 Thn</t>
  </si>
  <si>
    <t>JL EMPUNALA 76</t>
  </si>
  <si>
    <t>3 Sep 1954 / 71 Thn</t>
  </si>
  <si>
    <t>DUSUN SAMBIRINGIK</t>
  </si>
  <si>
    <t>4 Mar 2001 / 24 Thn</t>
  </si>
  <si>
    <t>JL ARGOPURO GG XVIII</t>
  </si>
  <si>
    <t>11 Oct 1978 / 46 Thn</t>
  </si>
  <si>
    <t>KAUMAN VI / 43</t>
  </si>
  <si>
    <t>8 Aug 1997 / 28 Thn</t>
  </si>
  <si>
    <t>JL MALABAR IX / 14</t>
  </si>
  <si>
    <t>14 Mar 1971 / 54 Thn</t>
  </si>
  <si>
    <t>DUSUN DAUH</t>
  </si>
  <si>
    <t>1 Jul 1976 / 49 Thn</t>
  </si>
  <si>
    <t>JL PRIKSAN GG SEMUT</t>
  </si>
  <si>
    <t>3 Aug 1998 / 27 Thn</t>
  </si>
  <si>
    <t>DUSUN BUKKOLAN</t>
  </si>
  <si>
    <t>4 Aug 1988 / 37 Thn</t>
  </si>
  <si>
    <t>PERUM GRIYA KENCANA ASRI D 16</t>
  </si>
  <si>
    <t>26 Aug 1993 / 32 Thn</t>
  </si>
  <si>
    <t>DUSUN LENTANG</t>
  </si>
  <si>
    <t>1 Jul 1964 / 61 Thn</t>
  </si>
  <si>
    <t>PERUM DEPKES BLOK D. 8 NO. 1</t>
  </si>
  <si>
    <t>10 Sep 2003 / 22 Thn</t>
  </si>
  <si>
    <t>JL YOS SUDARSO Gg PERWIN LINK TANJUNG</t>
  </si>
  <si>
    <t>9 Jun 2000 / 25 Thn</t>
  </si>
  <si>
    <t>JL KAPTEN SAROE</t>
  </si>
  <si>
    <t>11 Aug 2000 / 25 Thn</t>
  </si>
  <si>
    <t>DUSUN MAKMUR</t>
  </si>
  <si>
    <t>20 Aug 1971 / 54 Thn</t>
  </si>
  <si>
    <t>JL HOS COKROAMINOTO 113 LINGK KULON PASAR</t>
  </si>
  <si>
    <t>12 Apr 1969 / 56 Thn</t>
  </si>
  <si>
    <t>JL SRIKOYO GG DELIMA 6 LINGK PATRANG TENGAH</t>
  </si>
  <si>
    <t>18 Aug 1991 / 34 Thn</t>
  </si>
  <si>
    <t>JL. FLAMBOYAN III NO. 148</t>
  </si>
  <si>
    <t>24 Nov 1994 / 30 Thn</t>
  </si>
  <si>
    <t>JL. KAPULOGO 22</t>
  </si>
  <si>
    <t>17 Jan 1963 / 62 Thn</t>
  </si>
  <si>
    <t>10 Apr 1988 / 37 Thn</t>
  </si>
  <si>
    <t>PERUM KRAMAT BLOK G NO 11</t>
  </si>
  <si>
    <t>12 Aug 1968 / 57 Thn</t>
  </si>
  <si>
    <t>JL SLAMET RIYADI GG SAPTA BELAKANG KANTOR P3</t>
  </si>
  <si>
    <t>20 Jun 2008 / 17 Thn</t>
  </si>
  <si>
    <t>JL PABRIK ES LABAN</t>
  </si>
  <si>
    <t>10 Dec 2006 / 18 Thn</t>
  </si>
  <si>
    <t>PERUM GRAND KAHURIPAN BLOK C1 DUSUN KRONGGENGAN</t>
  </si>
  <si>
    <t>1 Jun 2006 / 19 Thn</t>
  </si>
  <si>
    <t>PERUM GRAND KAHURIPAN BLOK C1 DUSUN KRONGGENGA</t>
  </si>
  <si>
    <t>3 Oct 1981 / 43 Thn</t>
  </si>
  <si>
    <t>DUSUN KEPUH WETAN</t>
  </si>
  <si>
    <t>20 Sep 1989 / 36 Thn</t>
  </si>
  <si>
    <t>JL KIHAJAR DEWANTARA GG MERANTI</t>
  </si>
  <si>
    <t>1 Nov 1985 / 39 Thn</t>
  </si>
  <si>
    <t>DUSUN BENGKINGAN</t>
  </si>
  <si>
    <t>23 Feb 2000 / 25 Thn</t>
  </si>
  <si>
    <t>JL WAHIDIN 42</t>
  </si>
  <si>
    <t>10 Jun 1967 / 58 Thn</t>
  </si>
  <si>
    <t>3 Oct 2002 / 22 Thn</t>
  </si>
  <si>
    <t>JL KH ABD HAMID GG II NO 77</t>
  </si>
  <si>
    <t>15 Sep 1973 / 52 Thn</t>
  </si>
  <si>
    <t>30 Oct 1990 / 34 Thn</t>
  </si>
  <si>
    <t>KEDUNGSARI</t>
  </si>
  <si>
    <t>3 Dec 1982 / 42 Thn</t>
  </si>
  <si>
    <t>JL THAMRIN GG BOTOLAN 34</t>
  </si>
  <si>
    <t>2 Oct 1969 / 55 Thn</t>
  </si>
  <si>
    <t>13 Jan 1983 / 42 Thn</t>
  </si>
  <si>
    <t>JL IKAN HIU LINGK. KRAJAN</t>
  </si>
  <si>
    <t>6 May 1988 / 37 Thn</t>
  </si>
  <si>
    <t>PERUM TAMAN GADING BLOK AE NO 15</t>
  </si>
  <si>
    <t>20 Aug 1990 / 35 Thn</t>
  </si>
  <si>
    <t>JL KAMPUNG MELAYU</t>
  </si>
  <si>
    <t>2 May 1967 / 58 Thn</t>
  </si>
  <si>
    <t>JL. TAWANG ARGO NO 7</t>
  </si>
  <si>
    <t>17 Jul 1966 / 59 Thn</t>
  </si>
  <si>
    <t>JALAN JERUK SELATAN NO. 7</t>
  </si>
  <si>
    <t>25 Apr 1998 / 27 Thn</t>
  </si>
  <si>
    <t>WATES PRONTAKAN</t>
  </si>
  <si>
    <t>26 Sep 1971 / 53 Thn</t>
  </si>
  <si>
    <t>DUSUN BENDUNGAN</t>
  </si>
  <si>
    <t>22 Jun 1996 / 29 Thn</t>
  </si>
  <si>
    <t>JL GANDRUNG 76 LINGKUNGAN SUKOROJO</t>
  </si>
  <si>
    <t>23 Aug 1978 / 47 Thn</t>
  </si>
  <si>
    <t>DUSUN KRAJAN I</t>
  </si>
  <si>
    <t>29 Nov 1976 / 48 Thn</t>
  </si>
  <si>
    <t>DUSUN MASJID</t>
  </si>
  <si>
    <t>23 Feb 1992 / 33 Thn</t>
  </si>
  <si>
    <t>JL RIAU NO 24 LINGK GUMUK KERANG</t>
  </si>
  <si>
    <t>3 Apr 1980 / 45 Thn</t>
  </si>
  <si>
    <t>PERUM DEPKES BLOK D. 8 NO.8</t>
  </si>
  <si>
    <t>7 Jul 1979 / 46 Thn</t>
  </si>
  <si>
    <t>DUSUN BUKOLAN</t>
  </si>
  <si>
    <t>4 May 1995 / 30 Thn</t>
  </si>
  <si>
    <t>JL DIPONEGORO 22</t>
  </si>
  <si>
    <t>16 Sep 1987 / 38 Thn</t>
  </si>
  <si>
    <t>LINGKUNGAN KRAJAN</t>
  </si>
  <si>
    <t>14 Oct 1999 / 25 Thn</t>
  </si>
  <si>
    <t>JL GUBERNUR SURYO 34 A</t>
  </si>
  <si>
    <t>8 Jan 1982 / 43 Thn</t>
  </si>
  <si>
    <t>DUSUN GENTENGAN</t>
  </si>
  <si>
    <t>17 May 1994 / 31 Thn</t>
  </si>
  <si>
    <t>CIMANGGU AMIL NO 16</t>
  </si>
  <si>
    <t>15 Dec 1999 / 25 Thn</t>
  </si>
  <si>
    <t>ROWOTAMBING</t>
  </si>
  <si>
    <t>28 Nov 1970 / 54 Thn</t>
  </si>
  <si>
    <t>JL IKAN KERAPU 1 NO 31</t>
  </si>
  <si>
    <t>10 Aug 1957 / 68 Thn</t>
  </si>
  <si>
    <t>JL KH ABD HAMID GG TOKAN 98</t>
  </si>
  <si>
    <t>12 Aug 1976 / 49 Thn</t>
  </si>
  <si>
    <t>PERUM BUMI MANGLI BLOK DD 12/178</t>
  </si>
  <si>
    <t>26 May 1978 / 47 Thn</t>
  </si>
  <si>
    <t>PERUM PONDOK GEDE D 32</t>
  </si>
  <si>
    <t>20 Feb 1985 / 40 Thn</t>
  </si>
  <si>
    <t>JL HIMALAYA GG IV BLOK D</t>
  </si>
  <si>
    <t>29 Mar 2006 / 19 Thn</t>
  </si>
  <si>
    <t>DUSUN JALAN ODRAN</t>
  </si>
  <si>
    <t>9 May 1988 / 37 Thn</t>
  </si>
  <si>
    <t>DUSUN TIMUR SUNGAI</t>
  </si>
  <si>
    <t>1 Jul 1952 / 73 Thn</t>
  </si>
  <si>
    <t>JL IKAN KERAPU GG 1 / 42</t>
  </si>
  <si>
    <t>1 Dec 1958 / 66 Thn</t>
  </si>
  <si>
    <t>JL PANGLIMA SUDIRMAN GG PJAK</t>
  </si>
  <si>
    <t>9 Apr 1996 / 29 Thn</t>
  </si>
  <si>
    <t>BUKIT CIMANGGU VILLA BLOK UB NO 12</t>
  </si>
  <si>
    <t>30 Sep 1989 / 35 Thn</t>
  </si>
  <si>
    <t>PERUM DEP KES BLOK D8/5</t>
  </si>
  <si>
    <t>14 Sep 1996 / 29 Thn</t>
  </si>
  <si>
    <t>JL LETJEN SUTOYO GG KEBON INDAH</t>
  </si>
  <si>
    <t>10 Apr 1978 / 47 Thn</t>
  </si>
  <si>
    <t>PERUM PESONA SURYA MILENIA BLOK D 12</t>
  </si>
  <si>
    <t>4 Oct 1968 / 56 Thn</t>
  </si>
  <si>
    <t>JL MT HARYONO II/ 8C</t>
  </si>
  <si>
    <t>14 May 1985 / 40 Thn</t>
  </si>
  <si>
    <t>JL TEUKU UMAR 34</t>
  </si>
  <si>
    <t>3 Nov 1968 / 56 Thn</t>
  </si>
  <si>
    <t>DUSUN PARSEH</t>
  </si>
  <si>
    <t>5 Aug 1983 / 42 Thn</t>
  </si>
  <si>
    <t>DUSUN KANCOAN</t>
  </si>
  <si>
    <t>7 Aug 1972 / 53 Thn</t>
  </si>
  <si>
    <t>JL SUNAN GIRI</t>
  </si>
  <si>
    <t>17 Dec 2008 / 16 Thn</t>
  </si>
  <si>
    <t>DUSUN KALI MELATI 159 /2</t>
  </si>
  <si>
    <t>11 Jun 1981 / 44 Thn</t>
  </si>
  <si>
    <t>DUSUN GARDU</t>
  </si>
  <si>
    <t>1 Jul 1979 / 46 Thn</t>
  </si>
  <si>
    <t>POSHANGIT LERES</t>
  </si>
  <si>
    <t>31 Jan 2005 / 20 Thn</t>
  </si>
  <si>
    <t>DUSUN BONDALEM</t>
  </si>
  <si>
    <t>2 Aug 2000 / 25 Thn</t>
  </si>
  <si>
    <t>JL CILIWUNG NO 23</t>
  </si>
  <si>
    <t>19 Dec 1992 / 32 Thn</t>
  </si>
  <si>
    <t>JL BENGAWAN NO 10</t>
  </si>
  <si>
    <t>21 Jun 1986 / 39 Thn</t>
  </si>
  <si>
    <t>JL KABANDUNGAN</t>
  </si>
  <si>
    <t>13 Mar 1978 / 47 Thn</t>
  </si>
  <si>
    <t>LINGK. KEDUNDUNG</t>
  </si>
  <si>
    <t>23 Mar 1981 / 44 Thn</t>
  </si>
  <si>
    <t>JL DR MOH SALEH NO 18</t>
  </si>
  <si>
    <t>5 Nov 1961 / 63 Thn</t>
  </si>
  <si>
    <t>PERUM ASABRI F-270</t>
  </si>
  <si>
    <t>19 Apr 1974 / 51 Thn</t>
  </si>
  <si>
    <t>31 Dec 1985 / 39 Thn</t>
  </si>
  <si>
    <t>16 Apr 1989 / 36 Thn</t>
  </si>
  <si>
    <t>JL HOS COKROAMINOTO II/66 LINGK KULON PASAR</t>
  </si>
  <si>
    <t>31 Oct 1987 / 37 Thn</t>
  </si>
  <si>
    <t>DUSUN II RANGKANG TIMUR</t>
  </si>
  <si>
    <t>12 Dec 1970 / 54 Thn</t>
  </si>
  <si>
    <t>DUSUN JAWAAN</t>
  </si>
  <si>
    <t>21 Oct 1972 / 52 Thn</t>
  </si>
  <si>
    <t>JL MELATI NO.20</t>
  </si>
  <si>
    <t>6 Jul 1976 / 49 Thn</t>
  </si>
  <si>
    <t>GEDONGAN VIII / 1G</t>
  </si>
  <si>
    <t>21 May 1971 / 54 Thn</t>
  </si>
  <si>
    <t>JL SURABAYA</t>
  </si>
  <si>
    <t>13 Dec 1999 / 25 Thn</t>
  </si>
  <si>
    <t>GEDONGAN X / 49</t>
  </si>
  <si>
    <t>4 Jul 1975 / 50 Thn</t>
  </si>
  <si>
    <t>JL EMPUNALA 287-B</t>
  </si>
  <si>
    <t>DUSUN KARANGAN</t>
  </si>
  <si>
    <t>25 Dec 1979 / 45 Thn</t>
  </si>
  <si>
    <t>JL MERBABU V / 21</t>
  </si>
  <si>
    <t>16 Sep 1972 / 53 Thn</t>
  </si>
  <si>
    <t>JL LETJEND MT HARYONO NO 232</t>
  </si>
  <si>
    <t>16 May 1982 / 43 Thn</t>
  </si>
  <si>
    <t>DUSUN NANGGER</t>
  </si>
  <si>
    <t>17 Jul 1981 / 44 Thn</t>
  </si>
  <si>
    <t>JL MAYJEND SUTOYO GANG II NO 186</t>
  </si>
  <si>
    <t>6 May 1985 / 40 Thn</t>
  </si>
  <si>
    <t>JL PRIKSAN GG PERUMAHAN</t>
  </si>
  <si>
    <t>21 Feb 1995 / 30 Thn</t>
  </si>
  <si>
    <t>JL IKAN WIJINONGKO</t>
  </si>
  <si>
    <t>19 Dec 1986 / 38 Thn</t>
  </si>
  <si>
    <t>KEMANTREN WETAN</t>
  </si>
  <si>
    <t>27 Jun 1980 / 45 Thn</t>
  </si>
  <si>
    <t>JL ANGGREK 4</t>
  </si>
  <si>
    <t>10 Aug 1973 / 52 Thn</t>
  </si>
  <si>
    <t>JL RA KARTINI GANG SATRIA NO 19</t>
  </si>
  <si>
    <t>27 Sep 1984 / 40 Thn</t>
  </si>
  <si>
    <t>JL KRAKATAU 22</t>
  </si>
  <si>
    <t>3 Feb 1978 / 47 Thn</t>
  </si>
  <si>
    <t>JL DIPONEGORO GG BOTOLAN 34</t>
  </si>
  <si>
    <t>17 Jan 1976 / 49 Thn</t>
  </si>
  <si>
    <t>JL KH AGUS SALIM LINGK KRAJAN BARAT NO 32</t>
  </si>
  <si>
    <t>30 Oct 1980 / 44 Thn</t>
  </si>
  <si>
    <t>JL MELON</t>
  </si>
  <si>
    <t>18 May 1985 / 40 Thn</t>
  </si>
  <si>
    <t>PERUM TEGAL BESAR 2 BLOK R 5</t>
  </si>
  <si>
    <t>6 Dec 1969 / 55 Thn</t>
  </si>
  <si>
    <t>JL BENGAWAN GG CEMPAKA NO 47</t>
  </si>
  <si>
    <t>3 Sep 1992 / 33 Thn</t>
  </si>
  <si>
    <t>JL LETJEND MT HARYONO</t>
  </si>
  <si>
    <t>9 Sep 1986 / 39 Thn</t>
  </si>
  <si>
    <t>SEMAITAN</t>
  </si>
  <si>
    <t>7 Jan 1993 / 32 Thn</t>
  </si>
  <si>
    <t>DSN JOGODAYOH</t>
  </si>
  <si>
    <t>25 Jun 1954 / 71 Thn</t>
  </si>
  <si>
    <t>JL NUSA INDAH NO. 40</t>
  </si>
  <si>
    <t>18 Mar 1974 / 51 Thn</t>
  </si>
  <si>
    <t>JL PELITA II</t>
  </si>
  <si>
    <t>3 Jun 1977 / 48 Thn</t>
  </si>
  <si>
    <t>JL SRIWIJAYA 24 NO 3</t>
  </si>
  <si>
    <t>5 May 1968 / 57 Thn</t>
  </si>
  <si>
    <t>JL P SUDIRMAN GG MANUNGGAL II NO 5</t>
  </si>
  <si>
    <t>27 Mar 1992 / 33 Thn</t>
  </si>
  <si>
    <t>8 Sep 1984 / 41 Thn</t>
  </si>
  <si>
    <t>JL LETJEN S PARMAN 3 NO 128</t>
  </si>
  <si>
    <t>31 Dec 1994 / 30 Thn</t>
  </si>
  <si>
    <t>JL GALUNGGUNG 1/2</t>
  </si>
  <si>
    <t>27 Apr 1966 / 59 Thn</t>
  </si>
  <si>
    <t>1 Jul 1978 / 47 Thn</t>
  </si>
  <si>
    <t>JL IKAN CAKALANG</t>
  </si>
  <si>
    <t>14 Aug 1983 / 42 Thn</t>
  </si>
  <si>
    <t>DSN MUNDUSEWU</t>
  </si>
  <si>
    <t>15 Aug 2005 / 20 Thn</t>
  </si>
  <si>
    <t>JL SUNAN KUDUS</t>
  </si>
  <si>
    <t>5 Jun 2006 / 19 Thn</t>
  </si>
  <si>
    <t>JL TAMAN EDELWEIS NO 07</t>
  </si>
  <si>
    <t>10 Sep 2002 / 23 Thn</t>
  </si>
  <si>
    <t>JL KH HASAN BAYUSARI</t>
  </si>
  <si>
    <t>29 Nov 2001 / 23 Thn</t>
  </si>
  <si>
    <t>JL KH HASAN BAYUSARI 6</t>
  </si>
  <si>
    <t>16 Oct 1996 / 28 Thn</t>
  </si>
  <si>
    <t>JL KH HASAN GG PELITA NO 46</t>
  </si>
  <si>
    <t>8 Aug 2000 / 25 Thn</t>
  </si>
  <si>
    <t>JL SIMPANG LANGSEP 15</t>
  </si>
  <si>
    <t>10 Jun 1966 / 59 Thn</t>
  </si>
  <si>
    <t>DUSUN BADES</t>
  </si>
  <si>
    <t>29 May 2001 / 24 Thn</t>
  </si>
  <si>
    <t>JL MERBABU 3</t>
  </si>
  <si>
    <t>12 Nov 1991 / 33 Thn</t>
  </si>
  <si>
    <t>JL. KH ABD HAMID GG MASJID 271</t>
  </si>
  <si>
    <t>28 Feb 1980 / 45 Thn</t>
  </si>
  <si>
    <t>/</t>
  </si>
  <si>
    <t>JL. BENGAWAN SOLO</t>
  </si>
  <si>
    <t>/ Thn</t>
  </si>
  <si>
    <t>13 Apr 2004 / 21 Thn</t>
  </si>
  <si>
    <t>JL. NUSA INDAH 50 A</t>
  </si>
  <si>
    <t>14 Apr 1994 / 31 Thn</t>
  </si>
  <si>
    <t>PURWOTENGAH</t>
  </si>
  <si>
    <t>15 Sep 1991 / 34 Thn</t>
  </si>
  <si>
    <t>JL. HIMALAYA GG. IV BLOK D</t>
  </si>
  <si>
    <t>1 Jul 1975 / 50 Thn</t>
  </si>
  <si>
    <t>KETEPENG KWAYUHAN</t>
  </si>
  <si>
    <t>5 Jun 1970 / 55 Thn</t>
  </si>
  <si>
    <t>JL. IKAN TONGKOL 8</t>
  </si>
  <si>
    <t>3 May 1978 / 47 Thn</t>
  </si>
  <si>
    <t>JL LETJEND SUPRAPTO GG VI</t>
  </si>
  <si>
    <t>12 Dec 2007 / 17 Thn</t>
  </si>
  <si>
    <t>DESA NGADISARI</t>
  </si>
  <si>
    <t>24 Sep 2006 / 18 Thn</t>
  </si>
  <si>
    <t>JL. A. YANI GG KAHAR</t>
  </si>
  <si>
    <t>26 Oct 2000 / 24 Thn</t>
  </si>
  <si>
    <t>JL. BRANTAS RUSUNAWA BAYUANGGA BLOK A</t>
  </si>
  <si>
    <t>22 Jul 2000 / 25 Thn</t>
  </si>
  <si>
    <t>JL. P SUDIRMAN GG PRIKSAN 142</t>
  </si>
  <si>
    <t>10 Jul 1966 / 59 Thn</t>
  </si>
  <si>
    <t>BUTUH KULON</t>
  </si>
  <si>
    <t>11 Nov 1995 / 29 Thn</t>
  </si>
  <si>
    <t>PERUM GRIYA PUTRI KENCANA BLOK AM 19</t>
  </si>
  <si>
    <t>18 Jun 1997 / 28 Thn</t>
  </si>
  <si>
    <t>JL LETJEN SUTOYO IV/18</t>
  </si>
  <si>
    <t>12 Feb 1990 / 35 Thn</t>
  </si>
  <si>
    <t>JL BUNGUR IX NO 22 LINGK GEBANG DARWO TIMUR</t>
  </si>
  <si>
    <t>16 Jun 1987 / 38 Thn</t>
  </si>
  <si>
    <t>DUSUN CABEAN</t>
  </si>
  <si>
    <t>12 Jun 2005 / 20 Thn</t>
  </si>
  <si>
    <t>JL RAYA PASAR PAO</t>
  </si>
  <si>
    <t>11 Oct 1987 / 37 Thn</t>
  </si>
  <si>
    <t>KAUMAN VII / 15 A</t>
  </si>
  <si>
    <t>17 Sep 1976 / 49 Thn</t>
  </si>
  <si>
    <t>JL DR WAHIDIN 52</t>
  </si>
  <si>
    <t>8 Apr 2008 / 17 Thn</t>
  </si>
  <si>
    <t>DS. SEMEN</t>
  </si>
  <si>
    <t>24 Nov 1982 / 42 Thn</t>
  </si>
  <si>
    <t>DUSUN RAMAH</t>
  </si>
  <si>
    <t>9 Jun 1981 / 44 Thn</t>
  </si>
  <si>
    <t>DUSUN KRAJAN TIMUR</t>
  </si>
  <si>
    <t>2 Nov 1991 / 33 Thn</t>
  </si>
  <si>
    <t>PERUM GRAND KENONGO ESTATE BLOK L2</t>
  </si>
  <si>
    <t>7 Oct 1973 / 51 Thn</t>
  </si>
  <si>
    <t>DUSUN KADEMANGAN</t>
  </si>
  <si>
    <t>JL ARGOPURO RAYA 11</t>
  </si>
  <si>
    <t>16 Jul 1955 / 70 Thn</t>
  </si>
  <si>
    <t>JL BENGAWAN NO 41</t>
  </si>
  <si>
    <t>21 Jul 1987 / 38 Thn</t>
  </si>
  <si>
    <t>JL CITARUM PERUM MAHARANI AGENG RESDENCE BLOK F3</t>
  </si>
  <si>
    <t>29 Mar 1996 / 29 Thn</t>
  </si>
  <si>
    <t>JL ARGOPURO 71</t>
  </si>
  <si>
    <t>21 Apr 1983 / 42 Thn</t>
  </si>
  <si>
    <t>PERUM KADEMANGAN PERMATA REGENCY B12 / 3</t>
  </si>
  <si>
    <t>17 Aug 1989 / 36 Thn</t>
  </si>
  <si>
    <t>DUSUN JATIREJO</t>
  </si>
  <si>
    <t>13 Dec 1995 / 29 Thn</t>
  </si>
  <si>
    <t>28 Dec 1965 / 59 Thn</t>
  </si>
  <si>
    <t>DUSUN WONOPATEN</t>
  </si>
  <si>
    <t>2 Apr 1988 / 37 Thn</t>
  </si>
  <si>
    <t>JL KH WAHID HASYIM GG GERILYA 65</t>
  </si>
  <si>
    <t>14 Oct 1970 / 54 Thn</t>
  </si>
  <si>
    <t>KARANGAN</t>
  </si>
  <si>
    <t>5 Apr 2006 / 19 Thn</t>
  </si>
  <si>
    <t>JL KALIMANTAN NO 10</t>
  </si>
  <si>
    <t>28 Jan 1973 / 52 Thn</t>
  </si>
  <si>
    <t>DUSUNG LENGKONG</t>
  </si>
  <si>
    <t>4 Jan 1980 / 45 Thn</t>
  </si>
  <si>
    <t>JL DR SUTOMO GG BUNGA 6</t>
  </si>
  <si>
    <t>13 May 1996 / 29 Thn</t>
  </si>
  <si>
    <t>JL.DIPONEGORO 27 JATIREJO</t>
  </si>
  <si>
    <t>28 Dec 2002 / 22 Thn</t>
  </si>
  <si>
    <t>2 Jan 1954 / 71 Thn</t>
  </si>
  <si>
    <t>PERUM VILLA BUKIT MAS BLOK BB 12</t>
  </si>
  <si>
    <t>13 Feb 1986 / 39 Thn</t>
  </si>
  <si>
    <t>JL. TANGKUBAN PRAHU V / 04</t>
  </si>
  <si>
    <t>26 Sep 1975 / 49 Thn</t>
  </si>
  <si>
    <t>JL MAYJEN SUNGKONO NO.18</t>
  </si>
  <si>
    <t>3 Oct 1975 / 49 Thn</t>
  </si>
  <si>
    <t>JL BARITO PERUM AQSA REGENCY NO 06</t>
  </si>
  <si>
    <t>28 Dec 1989 / 35 Thn</t>
  </si>
  <si>
    <t>LINGK. UJUNG</t>
  </si>
  <si>
    <t>14 Apr 1998 / 27 Thn</t>
  </si>
  <si>
    <t>JL BROMO</t>
  </si>
  <si>
    <t>21 Feb 2004 / 21 Thn</t>
  </si>
  <si>
    <t>BOTTON WALUYO BARAT</t>
  </si>
  <si>
    <t>16 Feb 2009 / 16 Thn</t>
  </si>
  <si>
    <t>JL TANGKUBAN PERAHU III NO 26</t>
  </si>
  <si>
    <t>6 May 1982 / 43 Thn</t>
  </si>
  <si>
    <t>JL. TANGKUBAN PRAHU VI / 11</t>
  </si>
  <si>
    <t>6 Aug 2001 / 24 Thn</t>
  </si>
  <si>
    <t>DUSUN SAWAHAN</t>
  </si>
  <si>
    <t>26 Jan 1996 / 29 Thn</t>
  </si>
  <si>
    <t>DUSUN BRAK</t>
  </si>
  <si>
    <t>26 Oct 2004 / 20 Thn</t>
  </si>
  <si>
    <t>DUSUN GERDU</t>
  </si>
  <si>
    <t>8 Sep 2004 / 21 Thn</t>
  </si>
  <si>
    <t>JLN NANGKA</t>
  </si>
  <si>
    <t>14 Jan 1999 / 26 Thn</t>
  </si>
  <si>
    <t>JL. GALUNGGUNG III / 16</t>
  </si>
  <si>
    <t>23 Oct 1975 / 49 Thn</t>
  </si>
  <si>
    <t>26 Dec 1977 / 47 Thn</t>
  </si>
  <si>
    <t>BLOK JURANG</t>
  </si>
  <si>
    <t>6 Nov 1983 / 41 Thn</t>
  </si>
  <si>
    <t>8 Aug 1995 / 30 Thn</t>
  </si>
  <si>
    <t>DUSUN NANGKAAN</t>
  </si>
  <si>
    <t>25 Oct 1997 / 27 Thn</t>
  </si>
  <si>
    <t>JL KH HASAN GG LORIAN BLOK KAPLINGAN</t>
  </si>
  <si>
    <t>28 May 2004 / 21 Thn</t>
  </si>
  <si>
    <t>JL KH HASAN BAYUSARI 5</t>
  </si>
  <si>
    <t>23 Apr 1999 / 26 Thn</t>
  </si>
  <si>
    <t>JL GALUNGGUNG II / 9</t>
  </si>
  <si>
    <t>2 Feb 1969 / 56 Thn</t>
  </si>
  <si>
    <t>21 Jul 1995 / 30 Thn</t>
  </si>
  <si>
    <t>JL WR SUPRATMAN 21/81</t>
  </si>
  <si>
    <t>20 Mar 1996 / 29 Thn</t>
  </si>
  <si>
    <t>PERUM GRIYA INDAH PAKIS C.15</t>
  </si>
  <si>
    <t>7 Nov 1991 / 33 Thn</t>
  </si>
  <si>
    <t>JL RADEN WIJAYA 3 NO 84</t>
  </si>
  <si>
    <t>18 Dec 1975 / 49 Thn</t>
  </si>
  <si>
    <t>JL KP TENDEAN II/56/LINGK KALIKOTOK</t>
  </si>
  <si>
    <t>6 Apr 1966 / 59 Thn</t>
  </si>
  <si>
    <t>JL SEMERU XVI NO 01</t>
  </si>
  <si>
    <t>22 Jul 1972 / 53 Thn</t>
  </si>
  <si>
    <t>JL KH ABDUL HAMID</t>
  </si>
  <si>
    <t>25 Jun 1974 / 51 Thn</t>
  </si>
  <si>
    <t>JL TEUKU UMAR GG KALISERANG NO 10</t>
  </si>
  <si>
    <t>15 Aug 1978 / 47 Thn</t>
  </si>
  <si>
    <t>PERUMAHAN PURI PERMATA NO.6</t>
  </si>
  <si>
    <t>28 Sep 1994 / 30 Thn</t>
  </si>
  <si>
    <t>JLN PATIMURA III/10</t>
  </si>
  <si>
    <t>1 Jul 1966 / 59 Thn</t>
  </si>
  <si>
    <t>PURI MOJOBARU CT 06</t>
  </si>
  <si>
    <t>10 Sep 1971 / 54 Thn</t>
  </si>
  <si>
    <t>JL GALUNGGUNG III / 06</t>
  </si>
  <si>
    <t>26 Jun 1967 / 58 Thn</t>
  </si>
  <si>
    <t>PERUM GRAHA CITRA MAS BLOK T 12 A</t>
  </si>
  <si>
    <t>3 Feb 1988 / 37 Thn</t>
  </si>
  <si>
    <t>JL GALUNGGUNG 1 / 2</t>
  </si>
  <si>
    <t>16 Aug 1969 / 56 Thn</t>
  </si>
  <si>
    <t>2 Jan 1994 / 31 Thn</t>
  </si>
  <si>
    <t>DUSUN KOMERIAN</t>
  </si>
  <si>
    <t>16 Sep 1976 / 49 Thn</t>
  </si>
  <si>
    <t>JL SEMERU</t>
  </si>
  <si>
    <t>4 Mar 1970 / 55 Thn</t>
  </si>
  <si>
    <t>JL KASUARI LINGK KEDAWUNG KIDUL</t>
  </si>
  <si>
    <t>30 Oct 2002 / 22 Thn</t>
  </si>
  <si>
    <t>JL CANGKRING 56B</t>
  </si>
  <si>
    <t>26 Aug 2000 / 25 Thn</t>
  </si>
  <si>
    <t>LINGK. KRAJAN</t>
  </si>
  <si>
    <t>30 Jun 1970 / 55 Thn</t>
  </si>
  <si>
    <t>JL LETJEND HARYONO</t>
  </si>
  <si>
    <t>25 Nov 1993 / 31 Thn</t>
  </si>
  <si>
    <t>4 Feb 1957 / 68 Thn</t>
  </si>
  <si>
    <t>5 Jan 1973 / 52 Thn</t>
  </si>
  <si>
    <t>JL TANGKUBAN PRAHU RAYA NO.33</t>
  </si>
  <si>
    <t>2 May 1977 / 48 Thn</t>
  </si>
  <si>
    <t>25 Apr 1995 / 30 Thn</t>
  </si>
  <si>
    <t>PERUM PONDOK GEDE PERMAI CE 10</t>
  </si>
  <si>
    <t>24 Dec 1982 / 42 Thn</t>
  </si>
  <si>
    <t>JL BRIGJEND KATAMSO 97</t>
  </si>
  <si>
    <t>25 Sep 1990 / 34 Thn</t>
  </si>
  <si>
    <t>JL KH MANSYUR II NO 9</t>
  </si>
  <si>
    <t>2 Jun 1985 / 40 Thn</t>
  </si>
  <si>
    <t>JL. MASTRIP GG. JERUK LEMON NO. 122</t>
  </si>
  <si>
    <t>4 Jun 1975 / 50 Thn</t>
  </si>
  <si>
    <t>DSN. KANGKUNGAN</t>
  </si>
  <si>
    <t>1 Jul 1959 / 66 Thn</t>
  </si>
  <si>
    <t>JL SULTAN AGUNG GG II NO 54</t>
  </si>
  <si>
    <t>30 Aug 1998 / 27 Thn</t>
  </si>
  <si>
    <t>DUSUN BARAT</t>
  </si>
  <si>
    <t>15 Oct 1990 / 34 Thn</t>
  </si>
  <si>
    <t>1 Jul 1967 / 58 Thn</t>
  </si>
  <si>
    <t>1 Jul 1968 / 57 Thn</t>
  </si>
  <si>
    <t>7 Jan 1976 / 49 Thn</t>
  </si>
  <si>
    <t>JL SOEKARNO HATTA 267D</t>
  </si>
  <si>
    <t>4 Mar 1996 / 29 Thn</t>
  </si>
  <si>
    <t>LAIT</t>
  </si>
  <si>
    <t>20 Apr 2004 / 21 Thn</t>
  </si>
  <si>
    <t>5 Jan 1977 / 48 Thn</t>
  </si>
  <si>
    <t>27 Aug 1986 / 39 Thn</t>
  </si>
  <si>
    <t>JL GERILYA</t>
  </si>
  <si>
    <t>8 May 1996 / 29 Thn</t>
  </si>
  <si>
    <t>JL RIAU</t>
  </si>
  <si>
    <t>5 May 2002 / 23 Thn</t>
  </si>
  <si>
    <t>JL MBELILING</t>
  </si>
  <si>
    <t>27 Jun 1993 / 32 Thn</t>
  </si>
  <si>
    <t>DUSUN LUGONTO</t>
  </si>
  <si>
    <t>15 Dec 2001 / 23 Thn</t>
  </si>
  <si>
    <t>JL PATIH LAGENDER NO 37</t>
  </si>
  <si>
    <t>10 May 1997 / 28 Thn</t>
  </si>
  <si>
    <t>DUSUN BANJAR UTARA</t>
  </si>
  <si>
    <t>20 Sep 1963 / 62 Thn</t>
  </si>
  <si>
    <t>JL KH HASAN GG BAYUSARI 8</t>
  </si>
  <si>
    <t>30 Mar 2003 / 22 Thn</t>
  </si>
  <si>
    <t>JL KH ABDUL HAMID GG MASJID</t>
  </si>
  <si>
    <t>1 Jul 1988 / 37 Thn</t>
  </si>
  <si>
    <t>DESA JANJI MAULI</t>
  </si>
  <si>
    <t>24 Apr 2005 / 20 Thn</t>
  </si>
  <si>
    <t>1 May 1996 / 29 Thn</t>
  </si>
  <si>
    <t>JL HAYAM WURUK GG IV BLOK E</t>
  </si>
  <si>
    <t>11 Dec 1979 / 45 Thn</t>
  </si>
  <si>
    <t>DUSUN TEGAL JUWET</t>
  </si>
  <si>
    <t>5 Dec 2005 / 19 Thn</t>
  </si>
  <si>
    <t>JL MH TAMRIN GG BOTOLAN 34 A</t>
  </si>
  <si>
    <t>7 Jul 1998 / 27 Thn</t>
  </si>
  <si>
    <t>PERUM SUMBERSARI PERMAI III C 14</t>
  </si>
  <si>
    <t>5 Jun 1983 / 42 Thn</t>
  </si>
  <si>
    <t>PILANG PERMAI C 26</t>
  </si>
  <si>
    <t>31 Dec 1992 / 32 Thn</t>
  </si>
  <si>
    <t>DSN SECAWAN</t>
  </si>
  <si>
    <t>22 Jun 2001 / 24 Thn</t>
  </si>
  <si>
    <t>JLN MT HARIYONO</t>
  </si>
  <si>
    <t>6 Apr 1980 / 45 Thn</t>
  </si>
  <si>
    <t>JL NUSANTARA NO. 14</t>
  </si>
  <si>
    <t>30 Jun 1982 / 43 Thn</t>
  </si>
  <si>
    <t>JL MELON 01</t>
  </si>
  <si>
    <t>15 Feb 1999 / 26 Thn</t>
  </si>
  <si>
    <t>JL MAWAR ASRI NO 1</t>
  </si>
  <si>
    <t>29 Jan 1966 / 59 Thn</t>
  </si>
  <si>
    <t>JL ANJASMORO 9</t>
  </si>
  <si>
    <t>8 Jan 1992 / 33 Thn</t>
  </si>
  <si>
    <t>27 Jul 1970 / 55 Thn</t>
  </si>
  <si>
    <t>DSN TEJOWARNO</t>
  </si>
  <si>
    <t>1 Jun 1971 / 54 Thn</t>
  </si>
  <si>
    <t>JL BRANTAS RUSUNAWA BAYUANGGA BLOK A</t>
  </si>
  <si>
    <t>12 Dec 1994 / 30 Thn</t>
  </si>
  <si>
    <t>JL MT HARYONO GG GUMUK</t>
  </si>
  <si>
    <t>2 Jun 1978 / 47 Thn</t>
  </si>
  <si>
    <t>JL. BROMO IV / 20</t>
  </si>
  <si>
    <t>30 Jan 1979 / 46 Thn</t>
  </si>
  <si>
    <t>JLN LETJEN HARYONO</t>
  </si>
  <si>
    <t>23 Mar 1960 / 65 Thn</t>
  </si>
  <si>
    <t>18 Jun 1958 / 67 Thn</t>
  </si>
  <si>
    <t>KARANGLO 1 / 29</t>
  </si>
  <si>
    <t>8 Jan 1974 / 51 Thn</t>
  </si>
  <si>
    <t>21 Aug 2001 / 24 Thn</t>
  </si>
  <si>
    <t>JL. KH. AHMAD DAHLAN 37</t>
  </si>
  <si>
    <t>13 Oct 1977 / 47 Thn</t>
  </si>
  <si>
    <t>6 Sep 2002 / 23 Thn</t>
  </si>
  <si>
    <t>5 Oct 2003 / 21 Thn</t>
  </si>
  <si>
    <t>JL MASTRIP BLOK I NO 1A</t>
  </si>
  <si>
    <t>29 Oct 1990 / 34 Thn</t>
  </si>
  <si>
    <t>DUSUN KOTA BLOK B-06</t>
  </si>
  <si>
    <t>24 Oct 1983 / 41 Thn</t>
  </si>
  <si>
    <t>30 Aug 1976 / 49 Thn</t>
  </si>
  <si>
    <t>JL CADIKA NO 99</t>
  </si>
  <si>
    <t>10 May 1981 / 44 Thn</t>
  </si>
  <si>
    <t>9 Jun 1957 / 68 Thn</t>
  </si>
  <si>
    <t>JL IKAN PAUS GG III NO 1 LINGK MARPA</t>
  </si>
  <si>
    <t>9 Sep 1974 / 51 Thn</t>
  </si>
  <si>
    <t>PERUMJ ISTANA TEGAL BESAR BLOK S NO 10</t>
  </si>
  <si>
    <t>20 Jul 1984 / 41 Thn</t>
  </si>
  <si>
    <t>JLN MT HARYONO 200</t>
  </si>
  <si>
    <t>18 Feb 1943 / 82 Thn</t>
  </si>
  <si>
    <t>JL KH SHIDDIQ III NO 6</t>
  </si>
  <si>
    <t>6 Apr 1967 / 58 Thn</t>
  </si>
  <si>
    <t>JL SUNAN BONANG NO 13</t>
  </si>
  <si>
    <t>14 Oct 1992 / 32 Thn</t>
  </si>
  <si>
    <t>LINGKUNGAN SUKOROJO</t>
  </si>
  <si>
    <t>15 Jun 2003 / 22 Thn</t>
  </si>
  <si>
    <t>LINGK. GOMBENG</t>
  </si>
  <si>
    <t>1 Jan 1990 / 35 Thn</t>
  </si>
  <si>
    <t>7 Oct 1988 / 36 Thn</t>
  </si>
  <si>
    <t>NGEMBIK LOR</t>
  </si>
  <si>
    <t>8 Jun 1969 / 56 Thn</t>
  </si>
  <si>
    <t>JL. BRANTAS NO.59-C</t>
  </si>
  <si>
    <t>30 Apr 1983 / 42 Thn</t>
  </si>
  <si>
    <t>DUSUN SUMBER</t>
  </si>
  <si>
    <t>9 Apr 2006 / 19 Thn</t>
  </si>
  <si>
    <t>DUSUN ASEM KEREP</t>
  </si>
  <si>
    <t>25 Feb 1995 / 30 Thn</t>
  </si>
  <si>
    <t>JL KH HASAN BAYUSARI DALAM</t>
  </si>
  <si>
    <t>21 Nov 2001 / 23 Thn</t>
  </si>
  <si>
    <t>ASMIL INGGRISAN JL. DIPONEGORO NO 5</t>
  </si>
  <si>
    <t>4 Nov 1986 / 38 Thn</t>
  </si>
  <si>
    <t>PERUM TAMAN CENDANA VIII NO 18</t>
  </si>
  <si>
    <t>26 Aug 1982 / 43 Thn</t>
  </si>
  <si>
    <t>LINGKUNGAN KARANGASEM</t>
  </si>
  <si>
    <t>18 Jan 1991 / 34 Thn</t>
  </si>
  <si>
    <t>DUSUN KARANGREJO</t>
  </si>
  <si>
    <t>27 Oct 1966 / 58 Thn</t>
  </si>
  <si>
    <t>JL MT HARYONO</t>
  </si>
  <si>
    <t>25 Mar 1988 / 37 Thn</t>
  </si>
  <si>
    <t>JL WILIS</t>
  </si>
  <si>
    <t>9 Jun 1992 / 33 Thn</t>
  </si>
  <si>
    <t>JL PELITA I</t>
  </si>
  <si>
    <t>21 Aug 1989 / 36 Thn</t>
  </si>
  <si>
    <t>JL GAJAH MADA 12/209 LINGK CONDRO UTARA</t>
  </si>
  <si>
    <t>17 May 1977 / 48 Thn</t>
  </si>
  <si>
    <t>JL GUBERNUR SURYO GG MUSHOLA</t>
  </si>
  <si>
    <t>26 Oct 2003 / 21 Thn</t>
  </si>
  <si>
    <t>JL TIDAR 55D</t>
  </si>
  <si>
    <t>19 Nov 2003 / 21 Thn</t>
  </si>
  <si>
    <t>JL KPT PATIMURA 52</t>
  </si>
  <si>
    <t>7 Sep 1982 / 43 Thn</t>
  </si>
  <si>
    <t>LINGK CUNGKING</t>
  </si>
  <si>
    <t>23 Dec 1983 / 41 Thn</t>
  </si>
  <si>
    <t>JL KEMIRI III/62A</t>
  </si>
  <si>
    <t>27 Nov 1998 / 26 Thn</t>
  </si>
  <si>
    <t>JL WR SUPRATMAN 46</t>
  </si>
  <si>
    <t>14 Mar 1973 / 52 Thn</t>
  </si>
  <si>
    <t>JL KH MANSYUR NO 09</t>
  </si>
  <si>
    <t>23 Feb 1977 / 48 Thn</t>
  </si>
  <si>
    <t>DSN. GROGOL GEDE</t>
  </si>
  <si>
    <t>23 Sep 1953 / 71 Thn</t>
  </si>
  <si>
    <t>LETJEN MT HARYONO</t>
  </si>
  <si>
    <t>31 Aug 1970 / 55 Thn</t>
  </si>
  <si>
    <t>JL SERMA ABD RAHMAN GG KELAPA</t>
  </si>
  <si>
    <t>21 Jul 1981 / 44 Thn</t>
  </si>
  <si>
    <t>LINGK. GENTENGAN</t>
  </si>
  <si>
    <t>19 Aug 2006 / 19 Thn</t>
  </si>
  <si>
    <t>JL LETJEN MT HARYONO</t>
  </si>
  <si>
    <t>16 Aug 1971 / 54 Thn</t>
  </si>
  <si>
    <t>13 Jul 1973 / 52 Thn</t>
  </si>
  <si>
    <t>15 Nov 1995 / 29 Thn</t>
  </si>
  <si>
    <t>14 Jul 1995 / 30 Thn</t>
  </si>
  <si>
    <t>JL KH SIDDIQ V/249</t>
  </si>
  <si>
    <t>PERUM GRIYA SANGGRAHAN BLOK H 21</t>
  </si>
  <si>
    <t>29 Oct 1982 / 42 Thn</t>
  </si>
  <si>
    <t>JL GURBENUR SURYO</t>
  </si>
  <si>
    <t>30 Nov 1983 / 41 Thn</t>
  </si>
  <si>
    <t>JL PANGLIMA SUDIRMAN NO 435</t>
  </si>
  <si>
    <t>5 May 1978 / 47 Thn</t>
  </si>
  <si>
    <t>JL DANAU TOBA LINGK PANJI</t>
  </si>
  <si>
    <t>4 Apr 1998 / 27 Thn</t>
  </si>
  <si>
    <t>23 Mar 1974 / 51 Thn</t>
  </si>
  <si>
    <t>JL AIRLANGGA GG I NO 07B</t>
  </si>
  <si>
    <t>25 Feb 1975 / 50 Thn</t>
  </si>
  <si>
    <t>JL SLAMET RIYADI III/9</t>
  </si>
  <si>
    <t>27 Sep 1966 / 58 Thn</t>
  </si>
  <si>
    <t>JL SLAMET RIYADI</t>
  </si>
  <si>
    <t>15 Sep 1997 / 28 Thn</t>
  </si>
  <si>
    <t>DUSUN PUCANGSARI</t>
  </si>
  <si>
    <t>7 Mar 1970 / 55 Thn</t>
  </si>
  <si>
    <t>JL MAWAR PUTIH 51</t>
  </si>
  <si>
    <t>4 Apr 1955 / 70 Thn</t>
  </si>
  <si>
    <t>JL MAWAR PUTIH NO 51</t>
  </si>
  <si>
    <t>29 Dec 1983 / 41 Thn</t>
  </si>
  <si>
    <t>DANGGAN</t>
  </si>
  <si>
    <t>25 Feb 1987 / 38 Thn</t>
  </si>
  <si>
    <t>9 Feb 1997 / 28 Thn</t>
  </si>
  <si>
    <t>JL BATOK 1 / 10</t>
  </si>
  <si>
    <t>22 Oct 1977 / 47 Thn</t>
  </si>
  <si>
    <t>JL BOGOWONTO PERUM BW INDAH B23</t>
  </si>
  <si>
    <t>9 Feb 1995 / 30 Thn</t>
  </si>
  <si>
    <t>BINTARO MELATI IV AA/18</t>
  </si>
  <si>
    <t>2 Jul 1962 / 63 Thn</t>
  </si>
  <si>
    <t>14 Oct 1954 / 70 Thn</t>
  </si>
  <si>
    <t>JL DARMAWANGSA 91 DUSUN KRAJAN</t>
  </si>
  <si>
    <t>26 May 1983 / 42 Thn</t>
  </si>
  <si>
    <t>JL MAWAR III NO 41</t>
  </si>
  <si>
    <t>21 Aug 1992 / 33 Thn</t>
  </si>
  <si>
    <t>PERUM KEBONSARI INDAH P 25 LINGKUNGAN SUMBER PAKEM</t>
  </si>
  <si>
    <t>22 May 1985 / 40 Thn</t>
  </si>
  <si>
    <t>JL LETJEN SUTOYO 1 LINGKUNGAN SUMBER PAKEM</t>
  </si>
  <si>
    <t>3 Apr 1985 / 40 Thn</t>
  </si>
  <si>
    <t>22 Apr 1992 / 33 Thn</t>
  </si>
  <si>
    <t>JL KH HASAN GG BAYUSARI 7</t>
  </si>
  <si>
    <t>2 Sep 1974 / 51 Thn</t>
  </si>
  <si>
    <t>JL BROMO 8</t>
  </si>
  <si>
    <t>18 Apr 1971 / 54 Thn</t>
  </si>
  <si>
    <t>5 Jan 2002 / 23 Thn</t>
  </si>
  <si>
    <t>KEDUNG BERINGIN DUSUN KEDUNG BERINGIN</t>
  </si>
  <si>
    <t>22 Aug 1991 / 34 Thn</t>
  </si>
  <si>
    <t>PERUM KEBONSARI INDAH BLOK X NO 8</t>
  </si>
  <si>
    <t>PERUM SEMAMPIR INDAH E-05</t>
  </si>
  <si>
    <t>22 May 1977 / 48 Thn</t>
  </si>
  <si>
    <t>24 Sep 1987 / 37 Thn</t>
  </si>
  <si>
    <t>30 Aug 1972 / 53 Thn</t>
  </si>
  <si>
    <t>JL SARIMADU DALAM NO 9</t>
  </si>
  <si>
    <t>8 Oct 1969 / 55 Thn</t>
  </si>
  <si>
    <t>26 Jul 1996 / 29 Thn</t>
  </si>
  <si>
    <t>DCN. CUNGKINGAN</t>
  </si>
  <si>
    <t>4 Feb 2003 / 22 Thn</t>
  </si>
  <si>
    <t>JL JETIS TENGAH VI NO.03</t>
  </si>
  <si>
    <t>6 May 1975 / 50 Thn</t>
  </si>
  <si>
    <t>JL MANGGIS</t>
  </si>
  <si>
    <t>28 Nov 2005 / 19 Thn</t>
  </si>
  <si>
    <t>DUSUN KARANGANYAR</t>
  </si>
  <si>
    <t>11 Sep 1997 / 28 Thn</t>
  </si>
  <si>
    <t>27 Sep 1997 / 27 Thn</t>
  </si>
  <si>
    <t>DUSUN TALANG</t>
  </si>
  <si>
    <t>14 Apr 1985 / 40 Thn</t>
  </si>
  <si>
    <t>DUSUN PACET SELATAN</t>
  </si>
  <si>
    <t>23 Mar 2003 / 22 Thn</t>
  </si>
  <si>
    <t>METESEH JAYENGAN</t>
  </si>
  <si>
    <t>25 Aug 1986 / 39 Thn</t>
  </si>
  <si>
    <t>18 Oct 1993 / 31 Thn</t>
  </si>
  <si>
    <t>DUSUN PODOREJO</t>
  </si>
  <si>
    <t>14 May 1978 / 47 Thn</t>
  </si>
  <si>
    <t>JL PERIKSAN GG SIPUT NO 6</t>
  </si>
  <si>
    <t>9 Oct 2001 / 23 Thn</t>
  </si>
  <si>
    <t>JALAN ARGOPURO 14/1A</t>
  </si>
  <si>
    <t>19 Sep 1988 / 37 Thn</t>
  </si>
  <si>
    <t>DUSUN SUMBERJATI</t>
  </si>
  <si>
    <t>16 Aug 1992 / 33 Thn</t>
  </si>
  <si>
    <t>LOSARI</t>
  </si>
  <si>
    <t>18 Dec 2006 / 18 Thn</t>
  </si>
  <si>
    <t>DUSUN KLOMPANGAN</t>
  </si>
  <si>
    <t>JL WR SUPRATMAN 16</t>
  </si>
  <si>
    <t>21 Mar 1974 / 51 Thn</t>
  </si>
  <si>
    <t>JL SUPRIYADI 17 A</t>
  </si>
  <si>
    <t>28 Feb 1966 / 59 Thn</t>
  </si>
  <si>
    <t>JL KPT PATIMURA 60</t>
  </si>
  <si>
    <t>6 Mar 1986 / 39 Thn</t>
  </si>
  <si>
    <t>24 Sep 2005 / 19 Thn</t>
  </si>
  <si>
    <t>13 Aug 1983 / 42 Thn</t>
  </si>
  <si>
    <t>JL LETJEN SUTOYO NO 04</t>
  </si>
  <si>
    <t>25 Mar 1982 / 43 Thn</t>
  </si>
  <si>
    <t>10 Jun 1969 / 56 Thn</t>
  </si>
  <si>
    <t>DSN SANGGRAHAN</t>
  </si>
  <si>
    <t>21 Apr 1956 / 69 Thn</t>
  </si>
  <si>
    <t>DSN PAKIS TENGAH</t>
  </si>
  <si>
    <t>10 Feb 1969 / 56 Thn</t>
  </si>
  <si>
    <t>DSN KWIDEN</t>
  </si>
  <si>
    <t>10 Jul 1968 / 57 Thn</t>
  </si>
  <si>
    <t>25 May 1981 / 44 Thn</t>
  </si>
  <si>
    <t>DSN NOYITAN</t>
  </si>
  <si>
    <t>12 Sep 1977 / 48 Thn</t>
  </si>
  <si>
    <t>DSN BONO</t>
  </si>
  <si>
    <t>1 Apr 1966 / 59 Thn</t>
  </si>
  <si>
    <t>DSN. NGAGRONG</t>
  </si>
  <si>
    <t>12 Jun 1975 / 50 Thn</t>
  </si>
  <si>
    <t>JL COKROAMINOTO GG X NO 108</t>
  </si>
  <si>
    <t>4 Apr 1991 / 34 Thn</t>
  </si>
  <si>
    <t>JL LETJEN SUTOYO DD NO 17</t>
  </si>
  <si>
    <t>1 Apr 1977 / 48 Thn</t>
  </si>
  <si>
    <t>JL WIROJAYAN V NO A2 14</t>
  </si>
  <si>
    <t>23 Apr 1962 / 63 Thn</t>
  </si>
  <si>
    <t>JL SUNAN MURIA</t>
  </si>
  <si>
    <t>24 Jun 1982 / 43 Thn</t>
  </si>
  <si>
    <t>KANGKUNGAN</t>
  </si>
  <si>
    <t>22 May 1970 / 55 Thn</t>
  </si>
  <si>
    <t>PANGGERMAN 1 / 44</t>
  </si>
  <si>
    <t>14 Mar 1972 / 53 Thn</t>
  </si>
  <si>
    <t>DSN. KEMANTREN WETAN</t>
  </si>
  <si>
    <t>10 Apr 1980 / 45 Thn</t>
  </si>
  <si>
    <t>20 Mar 1988 / 37 Thn</t>
  </si>
  <si>
    <t>8 Sep 1970 / 55 Thn</t>
  </si>
  <si>
    <t>JL MALABAR RAYA NO.16</t>
  </si>
  <si>
    <t>9 Jun 1977 / 48 Thn</t>
  </si>
  <si>
    <t>JL SALAK 24</t>
  </si>
  <si>
    <t>22 Nov 1976 / 48 Thn</t>
  </si>
  <si>
    <t>1 Nov 1966 / 58 Thn</t>
  </si>
  <si>
    <t>JL PANJAITAN NO 72</t>
  </si>
  <si>
    <t>12 Sep 2005 / 20 Thn</t>
  </si>
  <si>
    <t>15 Dec 1978 / 46 Thn</t>
  </si>
  <si>
    <t>DUSUN KARANG JATI</t>
  </si>
  <si>
    <t>21 Sep 1980 / 44 Thn</t>
  </si>
  <si>
    <t>PERUM JATI ASRI BLOK F-06</t>
  </si>
  <si>
    <t>24 Apr 1976 / 49 Thn</t>
  </si>
  <si>
    <t>15 Apr 2001 / 24 Thn</t>
  </si>
  <si>
    <t>DUSUN PASAR</t>
  </si>
  <si>
    <t>1 Apr 1973 / 52 Thn</t>
  </si>
  <si>
    <t>31 Jan 1993 / 32 Thn</t>
  </si>
  <si>
    <t>BR DINAS DAUH PANGKUNG</t>
  </si>
  <si>
    <t>10 Feb 2004 / 21 Thn</t>
  </si>
  <si>
    <t>DSN. KARANG</t>
  </si>
  <si>
    <t>10 Oct 1998 / 26 Thn</t>
  </si>
  <si>
    <t>JL. CANGKRING NO. 52 C</t>
  </si>
  <si>
    <t>DUKUH KUPANG TIMUR 7 NO 35-37</t>
  </si>
  <si>
    <t>8 Feb 1969 / 56 Thn</t>
  </si>
  <si>
    <t>5 Jul 1978 / 47 Thn</t>
  </si>
  <si>
    <t>JL SUNAN AMPEL</t>
  </si>
  <si>
    <t>15 Oct 1975 / 49 Thn</t>
  </si>
  <si>
    <t>PERUM ISTANA TEGAL BESAR BLOK O NO 19</t>
  </si>
  <si>
    <t>9 Aug 1986 / 39 Thn</t>
  </si>
  <si>
    <t>DSN KRANDEGAN</t>
  </si>
  <si>
    <t>20 Feb 1980 / 45 Thn</t>
  </si>
  <si>
    <t>JL SUNGAI SAMPIT</t>
  </si>
  <si>
    <t>30 Dec 2002 / 22 Thn</t>
  </si>
  <si>
    <t>DUSUN SATRIYAN</t>
  </si>
  <si>
    <t>24 Dec 1994 / 30 Thn</t>
  </si>
  <si>
    <t>16 Aug 1970 / 55 Thn</t>
  </si>
  <si>
    <t>JL HAYAM WURUK IV/ F-6</t>
  </si>
  <si>
    <t>14 Jan 2007 / 18 Thn</t>
  </si>
  <si>
    <t>4 May 1986 / 39 Thn</t>
  </si>
  <si>
    <t>DUSUN KEMIRI</t>
  </si>
  <si>
    <t>3 Jun 1993 / 32 Thn</t>
  </si>
  <si>
    <t>JL SUPRIYADI 2</t>
  </si>
  <si>
    <t>28 Dec 1985 / 39 Thn</t>
  </si>
  <si>
    <t>PONDOK TANJUNG PERMAI C1</t>
  </si>
  <si>
    <t>24 Oct 1994 / 30 Thn</t>
  </si>
  <si>
    <t>KIRINGAN</t>
  </si>
  <si>
    <t>30 Aug 1986 / 39 Thn</t>
  </si>
  <si>
    <t>JL BRANTAS NO. 14</t>
  </si>
  <si>
    <t>18 Mar 1984 / 41 Thn</t>
  </si>
  <si>
    <t>13 Aug 1974 / 51 Thn</t>
  </si>
  <si>
    <t>JL GAMBYONG U 29</t>
  </si>
  <si>
    <t>13 Jan 1969 / 56 Thn</t>
  </si>
  <si>
    <t>29 Nov 1985 / 39 Thn</t>
  </si>
  <si>
    <t>PERUM KEBONSARI INDAH X NO 8</t>
  </si>
  <si>
    <t>1 Sep 1977 / 48 Thn</t>
  </si>
  <si>
    <t>JL. KAWI IX / 03</t>
  </si>
  <si>
    <t>28 Feb 1971 / 54 Thn</t>
  </si>
  <si>
    <t>JL. MT HARYONO NO. 15</t>
  </si>
  <si>
    <t>17 Aug 1982 / 43 Thn</t>
  </si>
  <si>
    <t>JL EMPUNALA 237</t>
  </si>
  <si>
    <t>3 Apr 1974 / 51 Thn</t>
  </si>
  <si>
    <t>JL BENDI GG BIMA NO A5</t>
  </si>
  <si>
    <t>22 Jul 1981 / 44 Thn</t>
  </si>
  <si>
    <t>PERUM CAKRA RESIDENCE KAV B 03JL ABDUL AZIZ GG KEMIRI</t>
  </si>
  <si>
    <t>7 Dec 1984 / 40 Thn</t>
  </si>
  <si>
    <t>JL. LETJEN SUPRAPTO</t>
  </si>
  <si>
    <t>26 Jul 1982 / 43 Thn</t>
  </si>
  <si>
    <t>PERUM ASABRI H 228</t>
  </si>
  <si>
    <t>10 Sep 1964 / 61 Thn</t>
  </si>
  <si>
    <t>JL IR H JUANDA 95D</t>
  </si>
  <si>
    <t>18 Jun 1996 / 29 Thn</t>
  </si>
  <si>
    <t>JL. KELUD VIII / 6-8</t>
  </si>
  <si>
    <t>18 Oct 1975 / 49 Thn</t>
  </si>
  <si>
    <t>14 May 1981 / 44 Thn</t>
  </si>
  <si>
    <t>4 Jun 1970 / 55 Thn</t>
  </si>
  <si>
    <t>JL DR WAHIDIN 28</t>
  </si>
  <si>
    <t>16 Apr 2003 / 22 Thn</t>
  </si>
  <si>
    <t>JL ARGOPURO I/A.7 LINGK.KRAJAN TIMUR</t>
  </si>
  <si>
    <t>1 Feb 1969 / 56 Thn</t>
  </si>
  <si>
    <t>DSN. KRAJAN</t>
  </si>
  <si>
    <t>7 Apr 2000 / 25 Thn</t>
  </si>
  <si>
    <t>JL RA KARTINI 58</t>
  </si>
  <si>
    <t>2 Feb 1971 / 54 Thn</t>
  </si>
  <si>
    <t>KEBALENAN BARU 2 BLOK - I04</t>
  </si>
  <si>
    <t>22 Dec 1972 / 52 Thn</t>
  </si>
  <si>
    <t>JL. ARJUNO IV / 09</t>
  </si>
  <si>
    <t>31 Aug 2002 / 23 Thn</t>
  </si>
  <si>
    <t>JL. GALUNGGUNG 1 / 5</t>
  </si>
  <si>
    <t>1 Jul 2003 / 22 Thn</t>
  </si>
  <si>
    <t>7 Feb 2006 / 19 Thn</t>
  </si>
  <si>
    <t>6 Apr 2004 / 21 Thn</t>
  </si>
  <si>
    <t>JL MAYJEND HARYONO III</t>
  </si>
  <si>
    <t>10 Apr 1989 / 36 Thn</t>
  </si>
  <si>
    <t>JL SLAMET RIYADI GG SERANG III NO 1</t>
  </si>
  <si>
    <t>14 Jun 1962 / 63 Thn</t>
  </si>
  <si>
    <t>DUSUN BINTAOS</t>
  </si>
  <si>
    <t>12 Mar 1999 / 26 Thn</t>
  </si>
  <si>
    <t>PERUM ADIMAS BLOK A-3</t>
  </si>
  <si>
    <t>22 Jan 1991 / 34 Thn</t>
  </si>
  <si>
    <t>JL TAMAN BUGENVIL III NO 2 RT 006 RW 007</t>
  </si>
  <si>
    <t>14 Apr 1980 / 45 Thn</t>
  </si>
  <si>
    <t>JL APEL NO 36</t>
  </si>
  <si>
    <t>7 Oct 1984 / 40 Thn</t>
  </si>
  <si>
    <t>DUSUN TALAR 1</t>
  </si>
  <si>
    <t>13 Jan 1978 / 47 Thn</t>
  </si>
  <si>
    <t>JL CITARUM GG III NO 12B</t>
  </si>
  <si>
    <t>Jl.kebalenan baru 2 blok i.4</t>
  </si>
  <si>
    <t>16 Dec 2001 / 23 Thn</t>
  </si>
  <si>
    <t>JL PANJAITAN 72</t>
  </si>
  <si>
    <t>16 May 1979 / 46 Thn</t>
  </si>
  <si>
    <t>JL MASTRIP GG PAJAK 2</t>
  </si>
  <si>
    <t>28 Jul 1977 / 48 Thn</t>
  </si>
  <si>
    <t>JALAN PATIMURA DSN CALOK ELANG</t>
  </si>
  <si>
    <t>15 May 1990 / 35 Thn</t>
  </si>
  <si>
    <t>JL KASUARI 38</t>
  </si>
  <si>
    <t>12 Apr 1970 / 55 Thn</t>
  </si>
  <si>
    <t>JL TODORE NO. 13B LINGK. SUKOWIDI</t>
  </si>
  <si>
    <t>29 Nov 1979 / 45 Thn</t>
  </si>
  <si>
    <t>JL TRUNOJOYO V/3/179</t>
  </si>
  <si>
    <t>17 Jul 1953 / 72 Thn</t>
  </si>
  <si>
    <t>JL PRIKSAN GG SIPUT</t>
  </si>
  <si>
    <t>7 Feb 1968 / 57 Thn</t>
  </si>
  <si>
    <t>DUSUN BLIMBING</t>
  </si>
  <si>
    <t>14 Feb 1998 / 27 Thn</t>
  </si>
  <si>
    <t>JL KH ABD HAMID GG PESANTREN NO 310</t>
  </si>
  <si>
    <t>8 Jan 1978 / 47 Thn</t>
  </si>
  <si>
    <t>PERUM KEBALENAN BARU 3</t>
  </si>
  <si>
    <t>22 May 2003 / 22 Thn</t>
  </si>
  <si>
    <t>PONDOK KOBONG</t>
  </si>
  <si>
    <t>17 Oct 2001 / 23 Thn</t>
  </si>
  <si>
    <t>DUSUN KRAMAT</t>
  </si>
  <si>
    <t>22 Feb 1986 / 39 Thn</t>
  </si>
  <si>
    <t>SUWALUH UTARA</t>
  </si>
  <si>
    <t>16 May 1962 / 63 Thn</t>
  </si>
  <si>
    <t>PERUM PRASAJA MULYA C11</t>
  </si>
  <si>
    <t>26 Feb 2000 / 25 Thn</t>
  </si>
  <si>
    <t>JL A YANI GG VETERAN NO 19</t>
  </si>
  <si>
    <t>10 Aug 1982 / 43 Thn</t>
  </si>
  <si>
    <t>JL S PARMAN 66</t>
  </si>
  <si>
    <t>31 May 1990 / 35 Thn</t>
  </si>
  <si>
    <t>JL MASTRIP 3/143 LINGK PANJI</t>
  </si>
  <si>
    <t>15 Sep 1990 / 35 Thn</t>
  </si>
  <si>
    <t>JL KAHURIPAN GG RUJAK</t>
  </si>
  <si>
    <t>10 Jun 1995 / 30 Thn</t>
  </si>
  <si>
    <t>JL LETJEN S PARMAN IV</t>
  </si>
  <si>
    <t>16 Jun 1974 / 51 Thn</t>
  </si>
  <si>
    <t>PERUM JATI ASRI BLOK G NO 05</t>
  </si>
  <si>
    <t>12 Feb 2002 / 23 Thn</t>
  </si>
  <si>
    <t>JL KH AGUS SALIM I/9 LINGK TEGELSARI</t>
  </si>
  <si>
    <t>2 Dec 1982 / 42 Thn</t>
  </si>
  <si>
    <t>19 Dec 1970 / 54 Thn</t>
  </si>
  <si>
    <t>25 Feb 1985 / 40 Thn</t>
  </si>
  <si>
    <t>JL MAHAKAM</t>
  </si>
  <si>
    <t>4 Apr 2005 / 20 Thn</t>
  </si>
  <si>
    <t>29 Oct 1992 / 32 Thn</t>
  </si>
  <si>
    <t>PERUM PRASAJA MULYA C-05</t>
  </si>
  <si>
    <t>22 Oct 2002 / 22 Thn</t>
  </si>
  <si>
    <t>JL SERMA ABD RAHMAN GG KSM BANGSA</t>
  </si>
  <si>
    <t>5 Jun 1980 / 45 Thn</t>
  </si>
  <si>
    <t>DUSUN BUNOT</t>
  </si>
  <si>
    <t>30 Dec 2003 / 21 Thn</t>
  </si>
  <si>
    <t>JL KH ABD HAMID GG II ABU HASAN</t>
  </si>
  <si>
    <t>28 Feb 2006 / 19 Thn</t>
  </si>
  <si>
    <t>1 Aug 2003 / 22 Thn</t>
  </si>
  <si>
    <t>JL KARIMATA 186 KRAJAN BARAT</t>
  </si>
  <si>
    <t>3 Oct 1962 / 62 Thn</t>
  </si>
  <si>
    <t>JL ARGOPURO IV NO 69</t>
  </si>
  <si>
    <t>29 Nov 1988 / 36 Thn</t>
  </si>
  <si>
    <t>JL KH SIDDIQ III NO 3</t>
  </si>
  <si>
    <t>28 Dec 1992 / 32 Thn</t>
  </si>
  <si>
    <t>DUSUN PANDEAN</t>
  </si>
  <si>
    <t>13 Mar 1984 / 41 Thn</t>
  </si>
  <si>
    <t>JL KARANGLO</t>
  </si>
  <si>
    <t>15 May 1985 / 40 Thn</t>
  </si>
  <si>
    <t>3 Oct 1967 / 57 Thn</t>
  </si>
  <si>
    <t>5 Feb 1975 / 50 Thn</t>
  </si>
  <si>
    <t>JL PROGO NO 19</t>
  </si>
  <si>
    <t>24 Jan 1981 / 44 Thn</t>
  </si>
  <si>
    <t>PERUM BUMI ESTE MUKTISARI BD-9L</t>
  </si>
  <si>
    <t>5 Feb 1963 / 62 Thn</t>
  </si>
  <si>
    <t>JL KH SIDDIQ III/3</t>
  </si>
  <si>
    <t>14 Sep 1971 / 54 Thn</t>
  </si>
  <si>
    <t>JL GALUNGGUNG 1/5</t>
  </si>
  <si>
    <t>21 Jan 1977 / 48 Thn</t>
  </si>
  <si>
    <t>3 Apr 1971 / 54 Thn</t>
  </si>
  <si>
    <t>PERUM GRAHA CITRA MAS J 24</t>
  </si>
  <si>
    <t>10 Oct 1960 / 64 Thn</t>
  </si>
  <si>
    <t>PERUM PONDOK INDAH</t>
  </si>
  <si>
    <t>18 Apr 1970 / 55 Thn</t>
  </si>
  <si>
    <t>JL WIDURI GG MASJID LINGKUNGAN SUKOROJO</t>
  </si>
  <si>
    <t>4 Oct 1992 / 32 Thn</t>
  </si>
  <si>
    <t>JL. KH HASAN GG LORIAN</t>
  </si>
  <si>
    <t>29 Jan 1973 / 52 Thn</t>
  </si>
  <si>
    <t>DUSUN TAMBAK PESISIR</t>
  </si>
  <si>
    <t>12 Apr 1995 / 30 Thn</t>
  </si>
  <si>
    <t>PERUM GRAHA TEGAL BESAR BLOK ED NO 28</t>
  </si>
  <si>
    <t>22 Dec 1989 / 35 Thn</t>
  </si>
  <si>
    <t>PERUM TEGAL BESAR PERMAI II BLOK R 5</t>
  </si>
  <si>
    <t>29 Jan 1994 / 31 Thn</t>
  </si>
  <si>
    <t>11 Apr 1971 / 54 Thn</t>
  </si>
  <si>
    <t>JL DR WAHIDIN NO 19</t>
  </si>
  <si>
    <t>5 Oct 1972 / 52 Thn</t>
  </si>
  <si>
    <t>JL HIMALAYA</t>
  </si>
  <si>
    <t>26 Apr 2001 / 24 Thn</t>
  </si>
  <si>
    <t>JL. KELUD VIII / 06-08</t>
  </si>
  <si>
    <t>29 Jul 1963 / 62 Thn</t>
  </si>
  <si>
    <t>JL CITARUM PERUM MAHARANI AGENG RESIDENCE</t>
  </si>
  <si>
    <t>3 Oct 1997 / 27 Thn</t>
  </si>
  <si>
    <t>JL BASUKI RAHMAD/BAITURROHMAN V /99</t>
  </si>
  <si>
    <t>27 Aug 1984 / 41 Thn</t>
  </si>
  <si>
    <t>JL SUPRIYADI NO 26</t>
  </si>
  <si>
    <t>24 Aug 1973 / 52 Thn</t>
  </si>
  <si>
    <t>10 Oct 1965 / 59 Thn</t>
  </si>
  <si>
    <t>DUSUN PADUKUHAN</t>
  </si>
  <si>
    <t>1 Jul 1986 / 39 Thn</t>
  </si>
  <si>
    <t>JL MAYJEND HARYONO V/17A</t>
  </si>
  <si>
    <t>27 Aug 1962 / 63 Thn</t>
  </si>
  <si>
    <t>SAKSAK</t>
  </si>
  <si>
    <t>15 Mar 1994 / 31 Thn</t>
  </si>
  <si>
    <t>Jl.Pastoran Dusun Sioban Dalam</t>
  </si>
  <si>
    <t>26 Oct 2005 / 19 Thn</t>
  </si>
  <si>
    <t>JL LETJEN SUPRAPTO 169</t>
  </si>
  <si>
    <t>30 Apr 1977 / 48 Thn</t>
  </si>
  <si>
    <t>JL IKAN TOMBRO</t>
  </si>
  <si>
    <t>1 Aug 1993 / 32 Thn</t>
  </si>
  <si>
    <t>JL. DARMAWANGSA NO. 02</t>
  </si>
  <si>
    <t>5 Nov 1991 / 33 Thn</t>
  </si>
  <si>
    <t>JL GUBERNUR SURYO GG HIDAYATULLAH KAV 2</t>
  </si>
  <si>
    <t>29 Jun 2002 / 23 Thn</t>
  </si>
  <si>
    <t>JL MINAK KONCAR 37</t>
  </si>
  <si>
    <t>10 Nov 2003 / 21 Thn</t>
  </si>
  <si>
    <t>JALAN MAHAKAM</t>
  </si>
  <si>
    <t>11 Apr 2000 / 25 Thn</t>
  </si>
  <si>
    <t>JL SUNAN MURIA GG PEPAYA NO 14</t>
  </si>
  <si>
    <t>21 Sep 1977 / 47 Thn</t>
  </si>
  <si>
    <t>PERUM STI BLOK MM 21</t>
  </si>
  <si>
    <t>12 Jun 1997 / 28 Thn</t>
  </si>
  <si>
    <t>JL RIAU NO 94</t>
  </si>
  <si>
    <t>8 Apr 1989 / 36 Thn</t>
  </si>
  <si>
    <t>JL IR H JUANDA 89B</t>
  </si>
  <si>
    <t>7 Jun 1983 / 42 Thn</t>
  </si>
  <si>
    <t>JL LETJEN SUTOYO 20 LINGK SBR PAKEM</t>
  </si>
  <si>
    <t>5 Feb 1988 / 37 Thn</t>
  </si>
  <si>
    <t>JL MAYJEND SUNGKONO GG 6</t>
  </si>
  <si>
    <t>17 Apr 1974 / 51 Thn</t>
  </si>
  <si>
    <t>JL. IJEN LINGK. SINGODIWONGSO</t>
  </si>
  <si>
    <t>3 Jun 1982 / 43 Thn</t>
  </si>
  <si>
    <t>JL WIJAYA KUSUMA VIII /25 B</t>
  </si>
  <si>
    <t>28 Mar 1967 / 58 Thn</t>
  </si>
  <si>
    <t>JL LETJEND SUTOYO GG V</t>
  </si>
  <si>
    <t>16 Jan 1984 / 41 Thn</t>
  </si>
  <si>
    <t>16 May 1984 / 41 Thn</t>
  </si>
  <si>
    <t>JL S PARMAN 7 LINGK KLUNCING</t>
  </si>
  <si>
    <t>19 Mar 1979 / 46 Thn</t>
  </si>
  <si>
    <t>JL IR H JUANDA NO 89C</t>
  </si>
  <si>
    <t>19 Jan 1998 / 27 Thn</t>
  </si>
  <si>
    <t>15 Apr 1997 / 28 Thn</t>
  </si>
  <si>
    <t>JL KINIBALU II/8</t>
  </si>
  <si>
    <t>15 Apr 1953 / 72 Thn</t>
  </si>
  <si>
    <t>DUSUN TAMAN 2</t>
  </si>
  <si>
    <t>JL DR J LEYMENA</t>
  </si>
  <si>
    <t>12 Nov 1984 / 40 Thn</t>
  </si>
  <si>
    <t>JL SETIA KAWAN</t>
  </si>
  <si>
    <t>21 Jun 1969 / 56 Thn</t>
  </si>
  <si>
    <t>JL KARTIKA</t>
  </si>
  <si>
    <t>1 Jan 1976 / 49 Thn</t>
  </si>
  <si>
    <t>JL SMP 8 GG RAMBAI</t>
  </si>
  <si>
    <t>27 Dec 1969 / 55 Thn</t>
  </si>
  <si>
    <t>JL IKAN BANYAR</t>
  </si>
  <si>
    <t>21 Apr 2003 / 22 Thn</t>
  </si>
  <si>
    <t>DUSUN BANGUNREJO</t>
  </si>
  <si>
    <t>11 Jul 1983 / 42 Thn</t>
  </si>
  <si>
    <t>DUSUN KARANG DAMPIT</t>
  </si>
  <si>
    <t>26 Apr 1976 / 49 Thn</t>
  </si>
  <si>
    <t>JL PAHLAWAN 3/93</t>
  </si>
  <si>
    <t>16 Aug 1995 / 30 Thn</t>
  </si>
  <si>
    <t>JL. DR MOCH SALEH NO 25</t>
  </si>
  <si>
    <t>DSN PACET BARAT</t>
  </si>
  <si>
    <t>24 May 1981 / 44 Thn</t>
  </si>
  <si>
    <t>JUANDA 83</t>
  </si>
  <si>
    <t>21 Apr 1984 / 41 Thn</t>
  </si>
  <si>
    <t>JL PATIMURA GANG 5/19</t>
  </si>
  <si>
    <t>22 Feb 1989 / 36 Thn</t>
  </si>
  <si>
    <t>JL LETJEND S PARMAN NO 18</t>
  </si>
  <si>
    <t>19 Jan 1957 / 68 Thn</t>
  </si>
  <si>
    <t>DUSUN KEMUNING</t>
  </si>
  <si>
    <t>8 Jun 1990 / 35 Thn</t>
  </si>
  <si>
    <t>JL DR MOH SALEH NO 25</t>
  </si>
  <si>
    <t>18 Feb 1973 / 52 Thn</t>
  </si>
  <si>
    <t>RINGINANOM 187C</t>
  </si>
  <si>
    <t>22 Mar 1966 / 59 Thn</t>
  </si>
  <si>
    <t>JL WIJAYA KUSUMA 72</t>
  </si>
  <si>
    <t>19 Mar 1989 / 36 Thn</t>
  </si>
  <si>
    <t>PERUM ISTANA TEGAL BESAR CLUSTER PAJAJARAN BLOK R 31</t>
  </si>
  <si>
    <t>13 Mar 1989 / 36 Thn</t>
  </si>
  <si>
    <t>13 Feb 1975 / 50 Thn</t>
  </si>
  <si>
    <t>DUSUN KRAJAN KIDUL</t>
  </si>
  <si>
    <t>1 Dec 1972 / 52 Thn</t>
  </si>
  <si>
    <t>JL. DI PANJAITAN NO 96</t>
  </si>
  <si>
    <t>6 Jun 1986 / 39 Thn</t>
  </si>
  <si>
    <t>JL PAHLAWAN</t>
  </si>
  <si>
    <t>2 Sep 1984 / 41 Thn</t>
  </si>
  <si>
    <t>SIDOMULYO V 26</t>
  </si>
  <si>
    <t>8 Dec 1966 / 58 Thn</t>
  </si>
  <si>
    <t>DESA PABEAN</t>
  </si>
  <si>
    <t>18 Dec 2002 / 22 Thn</t>
  </si>
  <si>
    <t>9 Aug 1975 / 50 Thn</t>
  </si>
  <si>
    <t>JL.KARABIN BLOK J-3</t>
  </si>
  <si>
    <t>1 May 2002 / 23 Thn</t>
  </si>
  <si>
    <t>SEMAGUNG</t>
  </si>
  <si>
    <t>28 Jan 2000 / 25 Thn</t>
  </si>
  <si>
    <t>KRAJAN</t>
  </si>
  <si>
    <t>23 Mar 1983 / 42 Thn</t>
  </si>
  <si>
    <t>6 Oct 1976 / 48 Thn</t>
  </si>
  <si>
    <t>14 Oct 1974 / 50 Thn</t>
  </si>
  <si>
    <t>20 Apr 1976 / 49 Thn</t>
  </si>
  <si>
    <t>15 Dec 1965 / 59 Thn</t>
  </si>
  <si>
    <t>JL A YANI IV NO 45</t>
  </si>
  <si>
    <t>4 Jan 1989 / 36 Thn</t>
  </si>
  <si>
    <t>12 Mar 1974 / 51 Thn</t>
  </si>
  <si>
    <t>PERUM TAMAN GADING HH NO 14 LINGK KEBON INDAH</t>
  </si>
  <si>
    <t>8 Jan 1969 / 56 Thn</t>
  </si>
  <si>
    <t>9 Jul 1968 / 57 Thn</t>
  </si>
  <si>
    <t>DUSUN GAYASAN 8</t>
  </si>
  <si>
    <t>11 Nov 1999 / 25 Thn</t>
  </si>
  <si>
    <t>JL. JA. SUPRAPTO NO 80</t>
  </si>
  <si>
    <t>26 Mar 1982 / 43 Thn</t>
  </si>
  <si>
    <t>LINGK UJUNG</t>
  </si>
  <si>
    <t>9 Dec 1960 / 64 Thn</t>
  </si>
  <si>
    <t>GROGOLGEDE</t>
  </si>
  <si>
    <t>23 Mar 1955 / 70 Thn</t>
  </si>
  <si>
    <t>JL R. RAHMAT</t>
  </si>
  <si>
    <t>6 Feb 1982 / 43 Thn</t>
  </si>
  <si>
    <t>1 Jan 1984 / 41 Thn</t>
  </si>
  <si>
    <t>NGADIWONGSO</t>
  </si>
  <si>
    <t>JL ARGOPURO II/10</t>
  </si>
  <si>
    <t>19 Jan 1955 / 70 Thn</t>
  </si>
  <si>
    <t>CACABAN BARAT 10</t>
  </si>
  <si>
    <t>1 Jan 2008 / 17 Thn</t>
  </si>
  <si>
    <t>JL KAPTEN PATIMURA PERUM RAKYAT 9</t>
  </si>
  <si>
    <t>4 Jul 1985 / 40 Thn</t>
  </si>
  <si>
    <t>8 Aug 1966 / 59 Thn</t>
  </si>
  <si>
    <t>14053.004.1021.080</t>
  </si>
  <si>
    <t>JL MAYJEN HARYONO GG I NO 18</t>
  </si>
  <si>
    <t>1 Jul 1998 / 27 Thn</t>
  </si>
  <si>
    <t>14053.001.1021.056</t>
  </si>
  <si>
    <t>JL. SURATI BARU NO. 36</t>
  </si>
  <si>
    <t>18 Sep 1969 / 56 Thn</t>
  </si>
  <si>
    <t>14053.004.1021.055</t>
  </si>
  <si>
    <t>DSN ASEM KEREP</t>
  </si>
  <si>
    <t>22 Apr 2006 / 19 Thn</t>
  </si>
  <si>
    <t>14053.001.1020.943</t>
  </si>
  <si>
    <t>JL. KH. MANSYUR 38</t>
  </si>
  <si>
    <t>3 Oct 1974 / 50 Thn</t>
  </si>
  <si>
    <t>14053.001.1020.898</t>
  </si>
  <si>
    <t>24 Jun 2000 / 25 Thn</t>
  </si>
  <si>
    <t>14053.001.1020.896</t>
  </si>
  <si>
    <t>Dusun Pelle</t>
  </si>
  <si>
    <t>28 Feb 2005 / 20 Thn</t>
  </si>
  <si>
    <t>14053.001.1020.892</t>
  </si>
  <si>
    <t>KARANGLO GG.06 NO.43</t>
  </si>
  <si>
    <t>7 Jan 1981 / 44 Thn</t>
  </si>
  <si>
    <t>14053.005.1020.854</t>
  </si>
  <si>
    <t>13 Oct 1999 / 25 Thn</t>
  </si>
  <si>
    <t>14053.001.1020.852</t>
  </si>
  <si>
    <t>DSN. KRAJAN 2</t>
  </si>
  <si>
    <t>18 Aug 2004 / 21 Thn</t>
  </si>
  <si>
    <t>JL IKAN CAKALANG DUSUN LINGK UJUNG</t>
  </si>
  <si>
    <t>20 Dec 1975 / 49 Thn</t>
  </si>
  <si>
    <t>JL MUSI GG SUNGAI SAMPIT</t>
  </si>
  <si>
    <t>21 Sep 1989 / 35 Thn</t>
  </si>
  <si>
    <t>14053.001.1020.830</t>
  </si>
  <si>
    <t>JL YOS SUDARSO B5 ARUM PERMAI</t>
  </si>
  <si>
    <t>13 Jun 1974 / 51 Thn</t>
  </si>
  <si>
    <t>14053.001.1020.828</t>
  </si>
  <si>
    <t>JL KPT PATIMURA</t>
  </si>
  <si>
    <t>25 May 1982 / 43 Thn</t>
  </si>
  <si>
    <t>14053.001.1020.814</t>
  </si>
  <si>
    <t>JL WELIRANG VII / 01</t>
  </si>
  <si>
    <t>JL MARGOSARI 1 / 17</t>
  </si>
  <si>
    <t>22 May 1974 / 51 Thn</t>
  </si>
  <si>
    <t>JL DR WAHIDIN NO 28</t>
  </si>
  <si>
    <t>27 Jun 1983 / 42 Thn</t>
  </si>
  <si>
    <t>JL SERMA ABD RAHMAN III</t>
  </si>
  <si>
    <t>3 Dec 1980 / 44 Thn</t>
  </si>
  <si>
    <t>14053.001.1020.736</t>
  </si>
  <si>
    <t>JL GATOT SUBROTO 134</t>
  </si>
  <si>
    <t>16 Jul 2001 / 24 Thn</t>
  </si>
  <si>
    <t>14053.001.1020.727</t>
  </si>
  <si>
    <t>DUSUN BLOBO</t>
  </si>
  <si>
    <t>9 Jun 1999 / 26 Thn</t>
  </si>
  <si>
    <t>14053.001.1020.691</t>
  </si>
  <si>
    <t>JL S PARMAN 61 A</t>
  </si>
  <si>
    <t>16 Jan 1976 / 49 Thn</t>
  </si>
  <si>
    <t>14053.001.1020.690</t>
  </si>
  <si>
    <t>3 Jan 1990 / 35 Thn</t>
  </si>
  <si>
    <t>14053.001.1020.689</t>
  </si>
  <si>
    <t>DUSUN TENGAH</t>
  </si>
  <si>
    <t>3 Apr 2004 / 21 Thn</t>
  </si>
  <si>
    <t>14053.001.1020.688</t>
  </si>
  <si>
    <t>JL IKAN PAUS</t>
  </si>
  <si>
    <t>6 Jul 1982 / 43 Thn</t>
  </si>
  <si>
    <t>14053.004.1020.674</t>
  </si>
  <si>
    <t>MERI BY PASS BLOK G / 27</t>
  </si>
  <si>
    <t>20 Jun 1988 / 37 Thn</t>
  </si>
  <si>
    <t>JL. JAYANEGARA NO.72</t>
  </si>
  <si>
    <t>15 Jan 1966 / 59 Thn</t>
  </si>
  <si>
    <t>14053.005.1020.648</t>
  </si>
  <si>
    <t>PERUM GRAHA CITRA MAS C NO 29 LINGK GUMUK BAGO</t>
  </si>
  <si>
    <t>5 Dec 1982 / 42 Thn</t>
  </si>
  <si>
    <t>14053.003.1020.638</t>
  </si>
  <si>
    <t>DUSUN KAWANGREJO</t>
  </si>
  <si>
    <t>21 May 1979 / 46 Thn</t>
  </si>
  <si>
    <t>14053.003.1020.637</t>
  </si>
  <si>
    <t>JL KALIMAS NO 21</t>
  </si>
  <si>
    <t>13 May 1982 / 43 Thn</t>
  </si>
  <si>
    <t>14053.004.1020.623</t>
  </si>
  <si>
    <t>7 Aug 1963 / 62 Thn</t>
  </si>
  <si>
    <t>14053.001.1020.601</t>
  </si>
  <si>
    <t>Alamat Anggota</t>
  </si>
  <si>
    <t>Tanggal Masuk</t>
  </si>
  <si>
    <t>Tanggal Lahir/Umur</t>
  </si>
  <si>
    <t>N B A</t>
  </si>
  <si>
    <t>No.</t>
  </si>
  <si>
    <t>PBL</t>
  </si>
  <si>
    <t>KRK</t>
  </si>
  <si>
    <t>JBR</t>
  </si>
  <si>
    <t>MJK</t>
  </si>
  <si>
    <t>MGL</t>
  </si>
  <si>
    <t>BWI</t>
  </si>
  <si>
    <t>HP</t>
  </si>
  <si>
    <t>Tanggal Keluar</t>
  </si>
  <si>
    <t>14053.001.1019.698</t>
  </si>
  <si>
    <t>1 Jul 1962 / 62 Thn</t>
  </si>
  <si>
    <t>DUSUN GALIR</t>
  </si>
  <si>
    <t>14053.001.1019.714</t>
  </si>
  <si>
    <t>9 Apr 1987 / 37 Thn</t>
  </si>
  <si>
    <t>DUSUN SUKUN</t>
  </si>
  <si>
    <t>14053.002.1019.740</t>
  </si>
  <si>
    <t>12 Jun 1974 / 50 Thn</t>
  </si>
  <si>
    <t>14053.002.1019.744</t>
  </si>
  <si>
    <t>18 Aug 2000 / 24 Thn</t>
  </si>
  <si>
    <t>PERUM GREEN PARK SEJAHTERA NO GP 04</t>
  </si>
  <si>
    <t>14053.003.1019.751</t>
  </si>
  <si>
    <t>20 Jan 1999 / 25 Thn</t>
  </si>
  <si>
    <t>JL MANYAR NO 8</t>
  </si>
  <si>
    <t>14053.004.1019.769</t>
  </si>
  <si>
    <t>7 Oct 2004 / 20 Thn</t>
  </si>
  <si>
    <t>14053.001.1019.773</t>
  </si>
  <si>
    <t>26 Apr 2001 / 23 Thn</t>
  </si>
  <si>
    <t>14053.004.1019.777</t>
  </si>
  <si>
    <t>23 Apr 1986 / 38 Thn</t>
  </si>
  <si>
    <t>LINGK ROWO</t>
  </si>
  <si>
    <t>14053.004.1019.804</t>
  </si>
  <si>
    <t>30 Jun 1950 / 74 Thn</t>
  </si>
  <si>
    <t>JL. IKAN CAKALANG</t>
  </si>
  <si>
    <t>14053.001.1019.808</t>
  </si>
  <si>
    <t>29 Nov 1993 / 31 Thn</t>
  </si>
  <si>
    <t>JL SLAMET RIYADI GG SADEWA NO 11</t>
  </si>
  <si>
    <t>14053.004.1019.828</t>
  </si>
  <si>
    <t>18 Dec 1972 / 52 Thn</t>
  </si>
  <si>
    <t>JL GAJAH MADA NO 09</t>
  </si>
  <si>
    <t>14053.001.1019.744</t>
  </si>
  <si>
    <t>14053.004.1019.854</t>
  </si>
  <si>
    <t>11 Oct 1976 / 48 Thn</t>
  </si>
  <si>
    <t>DUSUN SELOAGUNG</t>
  </si>
  <si>
    <t>14053.002.1019.910</t>
  </si>
  <si>
    <t>27 Jul 1971 / 53 Thn</t>
  </si>
  <si>
    <t>14053.001.1019.924</t>
  </si>
  <si>
    <t>29 May 2003 / 21 Thn</t>
  </si>
  <si>
    <t>JL. RH ABDUL ROZAK GG BETA 54</t>
  </si>
  <si>
    <t>14053.004.1019.947</t>
  </si>
  <si>
    <t>18 Apr 1982 / 42 Thn</t>
  </si>
  <si>
    <t>14053.001.1019.933</t>
  </si>
  <si>
    <t>15 Jun 1996 / 28 Thn</t>
  </si>
  <si>
    <t>JL, MAWAR PUTIH NO.32</t>
  </si>
  <si>
    <t>14053.001.1019.943</t>
  </si>
  <si>
    <t>10 Nov 1967 / 57 Thn</t>
  </si>
  <si>
    <t>14053.001.1019.945</t>
  </si>
  <si>
    <t>2 Feb 1971 / 53 Thn</t>
  </si>
  <si>
    <t>JL DR MOCH SALEH NO. 25</t>
  </si>
  <si>
    <t>14053.001.1019.995</t>
  </si>
  <si>
    <t>18 Aug 2003 / 21 Thn</t>
  </si>
  <si>
    <t>DUSUN DUNGAWEN</t>
  </si>
  <si>
    <t>14053.005.1020.004</t>
  </si>
  <si>
    <t>8 Jul 1971 / 53 Thn</t>
  </si>
  <si>
    <t>DONOWATI 6/15</t>
  </si>
  <si>
    <t>14053.001.1020.017</t>
  </si>
  <si>
    <t>21 Apr 1998 / 26 Thn</t>
  </si>
  <si>
    <t>DUSUN PELAN</t>
  </si>
  <si>
    <t>14053.001.1020.205</t>
  </si>
  <si>
    <t>8 Nov 1972 / 52 Thn</t>
  </si>
  <si>
    <t>JL KH ILYAS</t>
  </si>
  <si>
    <t>14053.005.1020.274</t>
  </si>
  <si>
    <t>1 May 1972 / 52 Thn</t>
  </si>
  <si>
    <t>JL GALUNGGUNG 1 / 11</t>
  </si>
  <si>
    <t>14053.005.1020.287</t>
  </si>
  <si>
    <t>11 May 1967 / 57 Thn</t>
  </si>
  <si>
    <t>JL. RAJEKWESI II / 25</t>
  </si>
  <si>
    <t>14053.006.1020.294</t>
  </si>
  <si>
    <t>14 Jun 1978 / 46 Thn</t>
  </si>
  <si>
    <t>NGASINAN</t>
  </si>
  <si>
    <t>14053.004.1020.318</t>
  </si>
  <si>
    <t>9 Mar 1979 / 45 Thn</t>
  </si>
  <si>
    <t>JL KH ABDUL WAHID</t>
  </si>
  <si>
    <t>14053.004.1020.386</t>
  </si>
  <si>
    <t>30 Jun 1978 / 46 Thn</t>
  </si>
  <si>
    <t>14053.004.1020.501</t>
  </si>
  <si>
    <t>2 Aug 1998 / 26 Thn</t>
  </si>
  <si>
    <t>JL IKAN CUCUT</t>
  </si>
  <si>
    <t>14053.001.1019.856</t>
  </si>
  <si>
    <t>28 Oct 1993 / 31 Thn</t>
  </si>
  <si>
    <t>30 Jun 1958 / 66 Thn</t>
  </si>
  <si>
    <t>1 Jul 1967 / 57 Thn</t>
  </si>
  <si>
    <t>20 Jan 1968 / 56 Thn</t>
  </si>
  <si>
    <t>JL LETJEN SUPRAPTO I/44 LINGK SUMBER DANDANG</t>
  </si>
  <si>
    <t>20 Nov 2002 / 22 Thn</t>
  </si>
  <si>
    <t>JL. CITARUM PERUM GABRIELA E 10</t>
  </si>
  <si>
    <t>25 Sep 1983 / 41 Thn</t>
  </si>
  <si>
    <t>PERUM SURYA ABADI JL HIMALAYA 1/3</t>
  </si>
  <si>
    <t>16 Dec 1997 / 27 Thn</t>
  </si>
  <si>
    <t>Sidomulyo V 26</t>
  </si>
  <si>
    <t>14053.001.1019.690</t>
  </si>
  <si>
    <t>19 Mar 1963 / 61 Thn</t>
  </si>
  <si>
    <t>DUSUN OMBEAN</t>
  </si>
  <si>
    <t>2 May 2006 / 18 Thn</t>
  </si>
  <si>
    <t>SANDEN 12</t>
  </si>
  <si>
    <t>15 Aug 1997 / 27 Thn</t>
  </si>
  <si>
    <t>JL. GURBERNUR SURYO UTARA no 8</t>
  </si>
  <si>
    <t>7 Dec 1966 / 58 Thn</t>
  </si>
  <si>
    <t>JL. WALIKOTA GATOT GG3 NO 7</t>
  </si>
  <si>
    <t>23 Mar 1982 / 42 Thn</t>
  </si>
  <si>
    <t>JL CITARUM GRAND MUTIARA U-18</t>
  </si>
  <si>
    <t>4 Apr 1975 / 49 Thn</t>
  </si>
  <si>
    <t>JL KACA PIRING 01</t>
  </si>
  <si>
    <t>30 Mar 1982 / 42 Thn</t>
  </si>
  <si>
    <t>JL FLAMBOYAN GG 1A NO 7A</t>
  </si>
  <si>
    <t>26 May 2004 / 20 Thn</t>
  </si>
  <si>
    <t>GRIYA PERMATA MERI C-2/30</t>
  </si>
  <si>
    <t>28 Jun 1997 / 27 Thn</t>
  </si>
  <si>
    <t>DSN DUREN</t>
  </si>
  <si>
    <t>6 Oct 1987 / 37 Thn</t>
  </si>
  <si>
    <t>TAMAN SARI MAJAPAHIT B3 NO 6</t>
  </si>
  <si>
    <t>9 Dec 1982 / 42 Thn</t>
  </si>
  <si>
    <t>29 Aug 2003 / 21 Thn</t>
  </si>
  <si>
    <t>TUKANGAN WETAN</t>
  </si>
  <si>
    <t>14 May 2001 / 23 Thn</t>
  </si>
  <si>
    <t>DSN PONGANGAN II</t>
  </si>
  <si>
    <t>30 Jul 2000 / 24 Thn</t>
  </si>
  <si>
    <t>13 Jul 1983 / 41 Thn</t>
  </si>
  <si>
    <t>DUSUN KEBONAN</t>
  </si>
  <si>
    <t>19 Aug 1989 / 35 Thn</t>
  </si>
  <si>
    <t>JERUK SEGER</t>
  </si>
  <si>
    <t>26 Jun 1984 / 40 Thn</t>
  </si>
  <si>
    <t>JL S PARMAN II NO 115</t>
  </si>
  <si>
    <t>27 Dec 1981 / 43 Thn</t>
  </si>
  <si>
    <t>MAMPANG HILLS GARDENIA XI NO.11</t>
  </si>
  <si>
    <t>8 Nov 1993 / 31 Thn</t>
  </si>
  <si>
    <t>MAGERSARI VII/10</t>
  </si>
  <si>
    <t>10 Mar 1986 / 38 Thn</t>
  </si>
  <si>
    <t>JL MAYOR SUPONO GG. I NO 22</t>
  </si>
  <si>
    <t>21 Mar 1969 / 55 Thn</t>
  </si>
  <si>
    <t>DUSUN KRAJAN 1</t>
  </si>
  <si>
    <t>31 Mar 1994 / 30 Thn</t>
  </si>
  <si>
    <t>DSN CURAH KATES</t>
  </si>
  <si>
    <t>29 Nov 1998 / 26 Thn</t>
  </si>
  <si>
    <t>JL DR SETIABUDHI KM 09 KP SAWAH LEGA</t>
  </si>
  <si>
    <t>17 Jul 2007 / 17 Thn</t>
  </si>
  <si>
    <t>PURI MOJO BARU BLOK DE/07</t>
  </si>
  <si>
    <t>7 Jun 2000 / 24 Thn</t>
  </si>
  <si>
    <t>3 Dec 1996 / 28 Thn</t>
  </si>
  <si>
    <t>DSN KARANGDIYENG KEC KUTOREJO KAB MOJOKERTO</t>
  </si>
  <si>
    <t>26 May 1981 / 43 Thn</t>
  </si>
  <si>
    <t>JL TELOMOYO 2</t>
  </si>
  <si>
    <t>27 Jan 1968 / 56 Thn</t>
  </si>
  <si>
    <t>JL BASUKI RAHMAT 01</t>
  </si>
  <si>
    <t>19 Aug 1965 / 59 Thn</t>
  </si>
  <si>
    <t>JL A YANI 6</t>
  </si>
  <si>
    <t>3 Mar 1977 / 47 Thn</t>
  </si>
  <si>
    <t>JL BASUKI RAHMAT 134 LINGK MUKTISARI</t>
  </si>
  <si>
    <t>19 Nov 1999 / 25 Thn</t>
  </si>
  <si>
    <t>JL ANGGREK 65</t>
  </si>
  <si>
    <t>1 Jul 1963 / 61 Thn</t>
  </si>
  <si>
    <t>DUSUN KIDUL BESUK</t>
  </si>
  <si>
    <t>22 Dec 1978 / 46 Thn</t>
  </si>
  <si>
    <t>17 Dec 1977 / 47 Thn</t>
  </si>
  <si>
    <t>JL TEUKU UMAR 44</t>
  </si>
  <si>
    <t>31 Aug 2001 / 23 Thn</t>
  </si>
  <si>
    <t>JL LUMAJANG DUSUN KEDUNG KEMIRI</t>
  </si>
  <si>
    <t>25 Mar 1976 / 48 Thn</t>
  </si>
  <si>
    <t>JL. ANGGREK no 68</t>
  </si>
  <si>
    <t>28 Sep 1978 / 46 Thn</t>
  </si>
  <si>
    <t>JL. HASYIM ASHARI NO 114</t>
  </si>
  <si>
    <t>25 Nov 2000 / 24 Thn</t>
  </si>
  <si>
    <t>JL. YOS SUDARSO GG 2 NO 02</t>
  </si>
  <si>
    <t>14 Nov 1966 / 58 Thn</t>
  </si>
  <si>
    <t>JL PURWOSENJOTO</t>
  </si>
  <si>
    <t>25 Dec 2002 / 22 Thn</t>
  </si>
  <si>
    <t>Jl. YOS SUDARSO GG II NO. 2</t>
  </si>
  <si>
    <t>18 Mar 1973 / 51 Thn</t>
  </si>
  <si>
    <t>JL.CIPTO MANGUN KUSUMO I/14</t>
  </si>
  <si>
    <t>17 Mar 1997 / 27 Thn</t>
  </si>
  <si>
    <t>JL ANGGREK 59</t>
  </si>
  <si>
    <t>28 Aug 1981 / 43 Thn</t>
  </si>
  <si>
    <t>JL LETJEN S PARMAN GG II</t>
  </si>
  <si>
    <t>28 Apr 1999 / 25 Thn</t>
  </si>
  <si>
    <t>2 Feb 1979 / 45 Thn</t>
  </si>
  <si>
    <t>JL BASUKI RAHMAT PERUM MUKSTISARI BLOK J 14</t>
  </si>
  <si>
    <t>14053.003.1019.738</t>
  </si>
  <si>
    <t>13 Jul 1979 / 45 Thn</t>
  </si>
  <si>
    <t>LINGK SUMBER DANDANG</t>
  </si>
  <si>
    <t>5 May 1953 / 71 Thn</t>
  </si>
  <si>
    <t>JL KH HASAN GG HIJRAH 96</t>
  </si>
  <si>
    <t>15 Dec 1991 / 33 Thn</t>
  </si>
  <si>
    <t>JL BASUKI RAHMAT GG KANAR NO 40</t>
  </si>
  <si>
    <t>5 May 2003 / 21 Thn</t>
  </si>
  <si>
    <t>DUSUN LORI</t>
  </si>
  <si>
    <t>25 Jan 1980 / 44 Thn</t>
  </si>
  <si>
    <t>DEMAK BARAT 1/23 SURABAYA</t>
  </si>
  <si>
    <t>22 Jun 1993 / 31 Thn</t>
  </si>
  <si>
    <t>Perumahan Karangrejo Asri blok Mawar II no. 20</t>
  </si>
  <si>
    <t>8 Jun 1982 / 42 Thn</t>
  </si>
  <si>
    <t>MULYOSARI BARU NO.6</t>
  </si>
  <si>
    <t>14053.004.1019.747</t>
  </si>
  <si>
    <t>19 Jul 1980 / 44 Thn</t>
  </si>
  <si>
    <t>JL IMAM BONJOL NO 42</t>
  </si>
  <si>
    <t>14053.003.1019.748</t>
  </si>
  <si>
    <t>2 Mar 2006 / 18 Thn</t>
  </si>
  <si>
    <t>JL MELATI 6/2</t>
  </si>
  <si>
    <t>25 Jan 2001 / 23 Thn</t>
  </si>
  <si>
    <t>JL SUMATRA 13 NO 21</t>
  </si>
  <si>
    <t>25 Apr 1967 / 57 Thn</t>
  </si>
  <si>
    <t>JL CILIWUNG I NO 50</t>
  </si>
  <si>
    <t>27 May 1989 / 35 Thn</t>
  </si>
  <si>
    <t>Perum. Queen Cempaka A10</t>
  </si>
  <si>
    <t>5 Jun 1964 / 60 Thn</t>
  </si>
  <si>
    <t>JL WALIKOTA GATOT GG 9 NO 8</t>
  </si>
  <si>
    <t>DUA PERMATA BLOK F.2 /04</t>
  </si>
  <si>
    <t>2 Aug 1982 / 42 Thn</t>
  </si>
  <si>
    <t>JL DR. SOETOMO GG. JAYA NO 31</t>
  </si>
  <si>
    <t>9 Apr 1984 / 40 Thn</t>
  </si>
  <si>
    <t>PERUMAHAN KALIREJO F18</t>
  </si>
  <si>
    <t>26 Mar 1981 / 43 Thn</t>
  </si>
  <si>
    <t>JL SERUNI 5B</t>
  </si>
  <si>
    <t>21 Mar 1993 / 31 Thn</t>
  </si>
  <si>
    <t>JL. CIPTO MANGUNKUSUMO I</t>
  </si>
  <si>
    <t>18 Nov 1984 / 40 Thn</t>
  </si>
  <si>
    <t>DSN PENOMPO</t>
  </si>
  <si>
    <t>27 Dec 1980 / 44 Thn</t>
  </si>
  <si>
    <t>JL KRANGGAR</t>
  </si>
  <si>
    <t>14053.001.1019.761</t>
  </si>
  <si>
    <t>13 Aug 1965 / 59 Thn</t>
  </si>
  <si>
    <t>JL. BELAKANG ASPOL NO 16</t>
  </si>
  <si>
    <t>8 Dec 2000 / 24 Thn</t>
  </si>
  <si>
    <t>9 Sep 1964 / 60 Thn</t>
  </si>
  <si>
    <t>5 Aug 1976 / 48 Thn</t>
  </si>
  <si>
    <t>JL. SWADAYA PABUARAN</t>
  </si>
  <si>
    <t>18 Sep 1999 / 25 Thn</t>
  </si>
  <si>
    <t>JL TERATAI V/73A</t>
  </si>
  <si>
    <t>23 Apr 1962 / 62 Thn</t>
  </si>
  <si>
    <t>Jl Teratai V No 73</t>
  </si>
  <si>
    <t>7 Aug 1974 / 50 Thn</t>
  </si>
  <si>
    <t>PERUM TEGAL BESAR PERMAI IAF</t>
  </si>
  <si>
    <t>1 Mar 1971 / 53 Thn</t>
  </si>
  <si>
    <t>10 Jan 1979 / 45 Thn</t>
  </si>
  <si>
    <t>PERUM BANYUWANGI BARU BLOK F. 17</t>
  </si>
  <si>
    <t>27 Mar 1988 / 36 Thn</t>
  </si>
  <si>
    <t>7 Feb 1987 / 37 Thn</t>
  </si>
  <si>
    <t>JL PABRIK ES LABAN LABROK</t>
  </si>
  <si>
    <t>2 Aug 2001 / 23 Thn</t>
  </si>
  <si>
    <t>JL DR. SUTOMO</t>
  </si>
  <si>
    <t>17 Dec 1995 / 29 Thn</t>
  </si>
  <si>
    <t>JL GUBERNUR SURYO UTARA 69 MUSHOLLA</t>
  </si>
  <si>
    <t>3 Dec 1972 / 52 Thn</t>
  </si>
  <si>
    <t>SAMBAN UTARA</t>
  </si>
  <si>
    <t>1 Jul 1972 / 52 Thn</t>
  </si>
  <si>
    <t>JL RAYA PANGLIMA SUDIRMAN</t>
  </si>
  <si>
    <t>24 Dec 1981 / 43 Thn</t>
  </si>
  <si>
    <t>JL KACA PIRING 22</t>
  </si>
  <si>
    <t>9 May 1993 / 31 Thn</t>
  </si>
  <si>
    <t>JL KH MALIK DALAM PERUM BURING INDAH REGENCY 1 BLOK D 27</t>
  </si>
  <si>
    <t>7 Apr 1989 / 35 Thn</t>
  </si>
  <si>
    <t>14053.001.1019.782</t>
  </si>
  <si>
    <t>22 Dec 2006 / 18 Thn</t>
  </si>
  <si>
    <t>PERUM KOPIAN BARAT B 6</t>
  </si>
  <si>
    <t>20 Aug 2005 / 19 Thn</t>
  </si>
  <si>
    <t>GRIYA PERMATA MERI D2/49</t>
  </si>
  <si>
    <t>14053.003.1019.784</t>
  </si>
  <si>
    <t>28 Aug 1968 / 56 Thn</t>
  </si>
  <si>
    <t>PERUM BUMI TEGAL BESAR BA NO 9</t>
  </si>
  <si>
    <t>27 Apr 1967 / 57 Thn</t>
  </si>
  <si>
    <t>BALONGSARI VII/64</t>
  </si>
  <si>
    <t>16 Apr 1967 / 57 Thn</t>
  </si>
  <si>
    <t>PERUM KEBALENAN BARU II C.35</t>
  </si>
  <si>
    <t>5 Sep 1992 / 32 Thn</t>
  </si>
  <si>
    <t>BALONGSARI VII/72</t>
  </si>
  <si>
    <t>8 Aug 1991 / 33 Thn</t>
  </si>
  <si>
    <t>24 Jan 1981 / 43 Thn</t>
  </si>
  <si>
    <t>JL ANGGREK KUNING 8</t>
  </si>
  <si>
    <t>31 Aug 1988 / 36 Thn</t>
  </si>
  <si>
    <t>JL BOGENFIL RUTENG</t>
  </si>
  <si>
    <t>27 Jun 1988 / 36 Thn</t>
  </si>
  <si>
    <t>JL KACA PIRING IV NO 42 JEMBER</t>
  </si>
  <si>
    <t>29 Oct 1999 / 25 Thn</t>
  </si>
  <si>
    <t>LINGK WONOSARI</t>
  </si>
  <si>
    <t>31 May 1986 / 38 Thn</t>
  </si>
  <si>
    <t>16 Aug 1980 / 44 Thn</t>
  </si>
  <si>
    <t>KRAJAN 3</t>
  </si>
  <si>
    <t>11 Dec 1985 / 39 Thn</t>
  </si>
  <si>
    <t>DSN BUDAGAN</t>
  </si>
  <si>
    <t>1 Dec 1981 / 43 Thn</t>
  </si>
  <si>
    <t>JL IKAN KAKAP</t>
  </si>
  <si>
    <t>4 Mar 1975 / 49 Thn</t>
  </si>
  <si>
    <t>JL KAPTEN PATIMURA NO 61A</t>
  </si>
  <si>
    <t>26 Mar 1974 / 50 Thn</t>
  </si>
  <si>
    <t>JL KH ABDUL HAMID 18</t>
  </si>
  <si>
    <t>6 Nov 1979 / 45 Thn</t>
  </si>
  <si>
    <t>JL BUTON NO 7</t>
  </si>
  <si>
    <t>14053.003.1019.800</t>
  </si>
  <si>
    <t>16 Nov 1978 / 46 Thn</t>
  </si>
  <si>
    <t>PERUM TEGAL BESAR PERMAI II BLOK AB NO 8</t>
  </si>
  <si>
    <t>29 Mar 1996 / 28 Thn</t>
  </si>
  <si>
    <t>JL IKAN CUMI -CUMI NO 43</t>
  </si>
  <si>
    <t>4 Oct 1976 / 48 Thn</t>
  </si>
  <si>
    <t>JL MAYJEND HARYONO 13</t>
  </si>
  <si>
    <t>16 Feb 1998 / 26 Thn</t>
  </si>
  <si>
    <t>JL LETJEN S PARMAN GG 2 NO115</t>
  </si>
  <si>
    <t>27 Oct 1990 / 34 Thn</t>
  </si>
  <si>
    <t>DSN KLOMPANG</t>
  </si>
  <si>
    <t>6 Nov 1981 / 43 Thn</t>
  </si>
  <si>
    <t>JL CANGKRING NO 8</t>
  </si>
  <si>
    <t>14 Apr 2000 / 24 Thn</t>
  </si>
  <si>
    <t>NGENTAK</t>
  </si>
  <si>
    <t>25 Aug 1969 / 55 Thn</t>
  </si>
  <si>
    <t>JL KH SIDDIQ IV/50 LINGK KULON PASAR</t>
  </si>
  <si>
    <t>16 Dec 1970 / 54 Thn</t>
  </si>
  <si>
    <t>JL GATOT SUBROTO 158</t>
  </si>
  <si>
    <t>30 Jan 1993 / 31 Thn</t>
  </si>
  <si>
    <t>JL SUNAN MURIA GG MANGGIS</t>
  </si>
  <si>
    <t>14 Nov 1967 / 57 Thn</t>
  </si>
  <si>
    <t>MIJI BARU 2 GG.III/01</t>
  </si>
  <si>
    <t>Jl CISADANE C-8</t>
  </si>
  <si>
    <t>5 Aug 1968 / 56 Thn</t>
  </si>
  <si>
    <t>jl. KH. SIDDIQ IV/50 Link. kulon pasar</t>
  </si>
  <si>
    <t>30 Nov 1965 / 59 Thn</t>
  </si>
  <si>
    <t>JLN RAYA P SUDIRMAN</t>
  </si>
  <si>
    <t>15 Dec 1967 / 57 Thn</t>
  </si>
  <si>
    <t>LINGK. KEDUNGSARI</t>
  </si>
  <si>
    <t>15 Apr 1998 / 26 Thn</t>
  </si>
  <si>
    <t>JL. SERUNI</t>
  </si>
  <si>
    <t>16 Dec 1961 / 63 Thn</t>
  </si>
  <si>
    <t>JL SERUNI</t>
  </si>
  <si>
    <t>13 May 1974 / 50 Thn</t>
  </si>
  <si>
    <t>Perum Jember Permai II/R 2 sumbersari jember</t>
  </si>
  <si>
    <t>14 Sep 1963 / 61 Thn</t>
  </si>
  <si>
    <t>JL KAWI</t>
  </si>
  <si>
    <t>15 Jan 1995 / 29 Thn</t>
  </si>
  <si>
    <t>JL KYAI SATARI 3B NO 16</t>
  </si>
  <si>
    <t>6 May 1977 / 47 Thn</t>
  </si>
  <si>
    <t>slamet riyadi 128</t>
  </si>
  <si>
    <t>5 Mar 2004 / 20 Thn</t>
  </si>
  <si>
    <t>1 Jul 1985 / 39 Thn</t>
  </si>
  <si>
    <t>21 Oct 1982 / 42 Thn</t>
  </si>
  <si>
    <t>JL LETJEN SUTOYO I JA 06</t>
  </si>
  <si>
    <t>3 Sep 1987 / 37 Thn</t>
  </si>
  <si>
    <t>JL GURBENUR SURYO KAV 5</t>
  </si>
  <si>
    <t>11 May 1972 / 52 Thn</t>
  </si>
  <si>
    <t>14 Jul 1974 / 50 Thn</t>
  </si>
  <si>
    <t>DUSUN LANDANGAN</t>
  </si>
  <si>
    <t>28 Sep 1976 / 48 Thn</t>
  </si>
  <si>
    <t>JL GAJAH MADA 19 NO 120</t>
  </si>
  <si>
    <t>7 Dec 1967 / 57 Thn</t>
  </si>
  <si>
    <t>Jl KP Tendean II/56 Lingk.Kalikotok Jember</t>
  </si>
  <si>
    <t>14053.004.1019.832</t>
  </si>
  <si>
    <t>12 Nov 2001 / 23 Thn</t>
  </si>
  <si>
    <t>26 May 1984 / 40 Thn</t>
  </si>
  <si>
    <t>30 Jan 1965 / 59 Thn</t>
  </si>
  <si>
    <t>JL SIMPANG DIRGANTARA VI/B 6-31</t>
  </si>
  <si>
    <t>17 Jun 1993 / 31 Thn</t>
  </si>
  <si>
    <t>JL. K.H.HASAN GENGGONG, 005, 001, SUMBER TAMAN, WONOASIH, KOTA PROBOLINGGO, JAWA TIMUR</t>
  </si>
  <si>
    <t>4 May 1977 / 47 Thn</t>
  </si>
  <si>
    <t>Perum Taman Gading Blok TT 01</t>
  </si>
  <si>
    <t>3 Oct 1999 / 25 Thn</t>
  </si>
  <si>
    <t>PERUM JATI ASRI J-7</t>
  </si>
  <si>
    <t>11 Sep 1996 / 28 Thn</t>
  </si>
  <si>
    <t>24 Dec 1989 / 35 Thn</t>
  </si>
  <si>
    <t>PERUM WIKARSA BLOK B/45 DSN.KENANTEN</t>
  </si>
  <si>
    <t>7 Aug 1985 / 39 Thn</t>
  </si>
  <si>
    <t>24 Jun 1971 / 53 Thn</t>
  </si>
  <si>
    <t>JL TENGIRI DSN BOTOSARI</t>
  </si>
  <si>
    <t>5 May 1970 / 54 Thn</t>
  </si>
  <si>
    <t>15 May 1965 / 59 Thn</t>
  </si>
  <si>
    <t>JL PANJAITAN GG BUNTU 50 F</t>
  </si>
  <si>
    <t>15 May 1980 / 44 Thn</t>
  </si>
  <si>
    <t>JL KASUARI</t>
  </si>
  <si>
    <t>19 Oct 1987 / 37 Thn</t>
  </si>
  <si>
    <t>JABON</t>
  </si>
  <si>
    <t>3 May 1997 / 27 Thn</t>
  </si>
  <si>
    <t>17 Feb 1978 / 46 Thn</t>
  </si>
  <si>
    <t>DUSUN KONGSI</t>
  </si>
  <si>
    <t>18 Oct 1990 / 34 Thn</t>
  </si>
  <si>
    <t>DSN AMASSANGAN</t>
  </si>
  <si>
    <t>16 Jul 1977 / 47 Thn</t>
  </si>
  <si>
    <t>JL LETKOL ISTIQLAL NO 117</t>
  </si>
  <si>
    <t>24 Sep 1993 / 31 Thn</t>
  </si>
  <si>
    <t>JL KALIMAS NO 23</t>
  </si>
  <si>
    <t>6 May 1999 / 25 Thn</t>
  </si>
  <si>
    <t>BLOK PASAR</t>
  </si>
  <si>
    <t>9 Nov 2001 / 23 Thn</t>
  </si>
  <si>
    <t>PERUM EKAMAS PERMAI BLOK BA NO 07</t>
  </si>
  <si>
    <t>JL. TEUKU UMAR</t>
  </si>
  <si>
    <t>17 Sep 1996 / 28 Thn</t>
  </si>
  <si>
    <t>JL. SALAK III</t>
  </si>
  <si>
    <t>2 May 1999 / 25 Thn</t>
  </si>
  <si>
    <t>JL KH ABDUL AZIZ NO 96</t>
  </si>
  <si>
    <t>5 Apr 1990 / 34 Thn</t>
  </si>
  <si>
    <t>JL WR SUPRATMAN 21/79</t>
  </si>
  <si>
    <t>8 Sep 1999 / 25 Thn</t>
  </si>
  <si>
    <t>JL TIGA BERLIAN, LINGK UJUNG</t>
  </si>
  <si>
    <t>20 Mar 1977 / 47 Thn</t>
  </si>
  <si>
    <t>22 Sep 1990 / 34 Thn</t>
  </si>
  <si>
    <t>JL. BRAWJAYA NO.173</t>
  </si>
  <si>
    <t>30 Nov 1985 / 39 Thn</t>
  </si>
  <si>
    <t>JL.RAMA NO 27 A</t>
  </si>
  <si>
    <t>25 Nov 1989 / 35 Thn</t>
  </si>
  <si>
    <t>JL A YANI GG KENARI III/6</t>
  </si>
  <si>
    <t>8 Mar 2007 / 17 Thn</t>
  </si>
  <si>
    <t>JL AIRLANGGA GG I NO.07 B</t>
  </si>
  <si>
    <t>16 Sep 1964 / 60 Thn</t>
  </si>
  <si>
    <t>8 Dec 1992 / 32 Thn</t>
  </si>
  <si>
    <t>WATES TENGAH</t>
  </si>
  <si>
    <t>10 Sep 1986 / 38 Thn</t>
  </si>
  <si>
    <t>NAMBANGAN</t>
  </si>
  <si>
    <t>16 Feb 1990 / 34 Thn</t>
  </si>
  <si>
    <t>JL S PARMAN GG BENTUL</t>
  </si>
  <si>
    <t>24 Mar 1986 / 38 Thn</t>
  </si>
  <si>
    <t>BALONGSARI VII/62</t>
  </si>
  <si>
    <t>29 Sep 1975 / 49 Thn</t>
  </si>
  <si>
    <t>JL AGUS SALIM GG KALI SERANG BLOK 1 No 1</t>
  </si>
  <si>
    <t>6 Mar 1997 / 27 Thn</t>
  </si>
  <si>
    <t>25 May 1970 / 54 Thn</t>
  </si>
  <si>
    <t>JL KAPTEN PATIMURA GG TANJUNGAN</t>
  </si>
  <si>
    <t>28 May 1971 / 53 Thn</t>
  </si>
  <si>
    <t>JL HAYAM WURUK GG IV NO 32-O</t>
  </si>
  <si>
    <t>20 Aug 1988 / 36 Thn</t>
  </si>
  <si>
    <t>DUKUH TANJUNG</t>
  </si>
  <si>
    <t>14053.004.1019.874</t>
  </si>
  <si>
    <t>14 Aug 1983 / 41 Thn</t>
  </si>
  <si>
    <t>14053.003.1019.875</t>
  </si>
  <si>
    <t>24 Apr 1972 / 52 Thn</t>
  </si>
  <si>
    <t>Perum Kebon agung Blok XIII No 4</t>
  </si>
  <si>
    <t>JL BASUKI RAHMAD II</t>
  </si>
  <si>
    <t>23 Mar 1998 / 26 Thn</t>
  </si>
  <si>
    <t>JL SERMA ABD RACHMAN</t>
  </si>
  <si>
    <t>9 Jul 1969 / 55 Thn</t>
  </si>
  <si>
    <t>JL.TONGKOL I-203</t>
  </si>
  <si>
    <t>21 May 2001 / 23 Thn</t>
  </si>
  <si>
    <t>JL RAYA SUKAPURA 44</t>
  </si>
  <si>
    <t>27 May 1971 / 53 Thn</t>
  </si>
  <si>
    <t>JL ARJUNO IV/09</t>
  </si>
  <si>
    <t>10 Jan 1975 / 49 Thn</t>
  </si>
  <si>
    <t>JL SABOLA</t>
  </si>
  <si>
    <t>18 Jan 1962 / 62 Thn</t>
  </si>
  <si>
    <t>JL COKROAMINOTO GG CEMARA 21</t>
  </si>
  <si>
    <t>30 Jun 1969 / 55 Thn</t>
  </si>
  <si>
    <t>28 Sep 2004 / 20 Thn</t>
  </si>
  <si>
    <t>DUSUN MANIS</t>
  </si>
  <si>
    <t>25 Dec 1997 / 27 Thn</t>
  </si>
  <si>
    <t>24 Mar 1967 / 57 Thn</t>
  </si>
  <si>
    <t>JL PANJAITAN NO 3</t>
  </si>
  <si>
    <t>23 Sep 1977 / 47 Thn</t>
  </si>
  <si>
    <t>PERUM GARUDA REGENCY BLOK D.20</t>
  </si>
  <si>
    <t>9 May 1986 / 38 Thn</t>
  </si>
  <si>
    <t>JL ANGGREK 14G</t>
  </si>
  <si>
    <t>17 Oct 1988 / 36 Thn</t>
  </si>
  <si>
    <t>10 Jul 1954 / 70 Thn</t>
  </si>
  <si>
    <t>Perum Mojopahit Blok Jeruk No 39</t>
  </si>
  <si>
    <t>8 Jun 1999 / 25 Thn</t>
  </si>
  <si>
    <t>JL SUYOSO NO 4</t>
  </si>
  <si>
    <t>3 May 1996 / 28 Thn</t>
  </si>
  <si>
    <t>DUSUN III</t>
  </si>
  <si>
    <t>18 Oct 1976 / 48 Thn</t>
  </si>
  <si>
    <t>JL IKAN TONGKOL I/14</t>
  </si>
  <si>
    <t>22 Sep 1985 / 39 Thn</t>
  </si>
  <si>
    <t>JLN TEUKU UMAR NO 235</t>
  </si>
  <si>
    <t>29 Mar 1950 / 74 Thn</t>
  </si>
  <si>
    <t>JL LETJEN SUPRAPTO 89</t>
  </si>
  <si>
    <t>3 Dec 1986 / 38 Thn</t>
  </si>
  <si>
    <t>JL KH MANSYUR GG BUNTU NO 11</t>
  </si>
  <si>
    <t>18 Dec 1973 / 51 Thn</t>
  </si>
  <si>
    <t>SIDOTOPO</t>
  </si>
  <si>
    <t>20 Sep 1993 / 31 Thn</t>
  </si>
  <si>
    <t>JL KYAI HASAN BISRI</t>
  </si>
  <si>
    <t>2 Dec 1994 / 30 Thn</t>
  </si>
  <si>
    <t>JL. SRI REJEKI 10</t>
  </si>
  <si>
    <t>2 Aug 1997 / 27 Thn</t>
  </si>
  <si>
    <t>JL CITARUM V</t>
  </si>
  <si>
    <t>15 May 1977 / 47 Thn</t>
  </si>
  <si>
    <t>JL KAPTEN PATIMURA GG TAJUNGAN BLOK MELATI I</t>
  </si>
  <si>
    <t>17 Nov 1962 / 62 Thn</t>
  </si>
  <si>
    <t>JL KRAKATAU III/12</t>
  </si>
  <si>
    <t>17 Jun 1981 / 43 Thn</t>
  </si>
  <si>
    <t>JL RA KARTINI NO 239</t>
  </si>
  <si>
    <t>14053.006.1019.904</t>
  </si>
  <si>
    <t>31 Oct 1969 / 55 Thn</t>
  </si>
  <si>
    <t>JL.KAPTEN YAHYA NO.5</t>
  </si>
  <si>
    <t>21 Apr 1996 / 28 Thn</t>
  </si>
  <si>
    <t>DS. KEBONDALEM</t>
  </si>
  <si>
    <t>28 Oct 1964 / 60 Thn</t>
  </si>
  <si>
    <t>1 Jul 1960 / 64 Thn</t>
  </si>
  <si>
    <t>26 May 2000 / 24 Thn</t>
  </si>
  <si>
    <t>25 Dec 1996 / 28 Thn</t>
  </si>
  <si>
    <t>5 Jun 1973 / 51 Thn</t>
  </si>
  <si>
    <t>JL DR SUTOMO 185</t>
  </si>
  <si>
    <t>17 Nov 2005 / 19 Thn</t>
  </si>
  <si>
    <t>2 Jul 1987 / 37 Thn</t>
  </si>
  <si>
    <t>Perum Sumbersari Permai 2 Blok BI 16 Jember</t>
  </si>
  <si>
    <t>21 Jun 1981 / 43 Thn</t>
  </si>
  <si>
    <t>PERUM DEPKES C4 NO.10</t>
  </si>
  <si>
    <t>7 Feb 1996 / 28 Thn</t>
  </si>
  <si>
    <t>PANGLIMA SUDIRMAN 11</t>
  </si>
  <si>
    <t>2 Sep 1983 / 41 Thn</t>
  </si>
  <si>
    <t>JL DR MOCH SALEH</t>
  </si>
  <si>
    <t>6 Aug 1974 / 50 Thn</t>
  </si>
  <si>
    <t>PERUM VILLA KEMBANG ASRI BLOK B-3</t>
  </si>
  <si>
    <t>PERUM TEGAL BESAR PERMAI BLOK J/18</t>
  </si>
  <si>
    <t>4 Jun 1993 / 31 Thn</t>
  </si>
  <si>
    <t>21 Oct 1994 / 30 Thn</t>
  </si>
  <si>
    <t>PRONOSUTAN</t>
  </si>
  <si>
    <t>12 Dec 1961 / 63 Thn</t>
  </si>
  <si>
    <t>TAMAN KAMPUS D3 NO 6</t>
  </si>
  <si>
    <t>6 Mar 1976 / 48 Thn</t>
  </si>
  <si>
    <t>JL GUBERNUR SURYO 16</t>
  </si>
  <si>
    <t>16 Oct 1983 / 41 Thn</t>
  </si>
  <si>
    <t>JL SULTAN AGUNG I/161</t>
  </si>
  <si>
    <t>11 May 1999 / 25 Thn</t>
  </si>
  <si>
    <t>JL KH ABD HAMID</t>
  </si>
  <si>
    <t>14053.001.1019.926</t>
  </si>
  <si>
    <t>16 May 1972 / 52 Thn</t>
  </si>
  <si>
    <t>JL KH HASAN BAYUSARI 9</t>
  </si>
  <si>
    <t>13 Nov 1978 / 46 Thn</t>
  </si>
  <si>
    <t>12 Feb 1995 / 29 Thn</t>
  </si>
  <si>
    <t>PERUM KALIREJO PERMAI JL RAMBUTAN P.28</t>
  </si>
  <si>
    <t>23 Mar 1966 / 58 Thn</t>
  </si>
  <si>
    <t>JL. IKAN PAUS GG. MULYO 30</t>
  </si>
  <si>
    <t>3 Dec 1989 / 35 Thn</t>
  </si>
  <si>
    <t>JL PWRI KP JATI DESA TONJONG KAB BOGOR</t>
  </si>
  <si>
    <t>6 Dec 1997 / 27 Thn</t>
  </si>
  <si>
    <t>JL. KETIDUR NO. 32</t>
  </si>
  <si>
    <t>16 Jun 2005 / 19 Thn</t>
  </si>
  <si>
    <t>JL. SUYOSO NO.83</t>
  </si>
  <si>
    <t>6 Feb 2005 / 19 Thn</t>
  </si>
  <si>
    <t>JL. ANGGREK III / 241</t>
  </si>
  <si>
    <t>14053.001.1019.936</t>
  </si>
  <si>
    <t>14 Jan 2005 / 19 Thn</t>
  </si>
  <si>
    <t>DLINGSENG</t>
  </si>
  <si>
    <t>7 Sep 1995 / 29 Thn</t>
  </si>
  <si>
    <t>KOSAMBI</t>
  </si>
  <si>
    <t>19 Dec 1987 / 37 Thn</t>
  </si>
  <si>
    <t>1 Apr 1972 / 52 Thn</t>
  </si>
  <si>
    <t>JL A YANI NO 32</t>
  </si>
  <si>
    <t>19 Jan 1987 / 37 Thn</t>
  </si>
  <si>
    <t>SOBODUKUH</t>
  </si>
  <si>
    <t>14053.004.1019.941</t>
  </si>
  <si>
    <t>31 Oct 1985 / 39 Thn</t>
  </si>
  <si>
    <t>5 Apr 1995 / 29 Thn</t>
  </si>
  <si>
    <t>JL BENGAWAN GG KENANGA</t>
  </si>
  <si>
    <t>14 Aug 1979 / 45 Thn</t>
  </si>
  <si>
    <t>JL MAWAR DUSUN 1</t>
  </si>
  <si>
    <t>23 Dec 1985 / 39 Thn</t>
  </si>
  <si>
    <t>JL. WIJAYA KUSUMA GG IX NO 20</t>
  </si>
  <si>
    <t>23 Aug 1977 / 47 Thn</t>
  </si>
  <si>
    <t>JL. SUNAN AMPEL</t>
  </si>
  <si>
    <t>21 Mar 2006 / 18 Thn</t>
  </si>
  <si>
    <t>DUSUN TIMUR</t>
  </si>
  <si>
    <t>5 Jan 1980 / 44 Thn</t>
  </si>
  <si>
    <t>TIDAR CAMPUR</t>
  </si>
  <si>
    <t>6 May 1962 / 62 Thn</t>
  </si>
  <si>
    <t>JL HOS COKROAMINOTO 11</t>
  </si>
  <si>
    <t>9 Aug 1980 / 44 Thn</t>
  </si>
  <si>
    <t>25 Jan 1993 / 31 Thn</t>
  </si>
  <si>
    <t>JL MASTRIP GG. 4</t>
  </si>
  <si>
    <t>27 Jan 1992 / 32 Thn</t>
  </si>
  <si>
    <t>4 Aug 1984 / 40 Thn</t>
  </si>
  <si>
    <t>14053.004.1019.955</t>
  </si>
  <si>
    <t>12 Jul 1969 / 55 Thn</t>
  </si>
  <si>
    <t>LINK.UJUNG</t>
  </si>
  <si>
    <t>28 May 1974 / 50 Thn</t>
  </si>
  <si>
    <t>PERUM CITRA ASRI A5</t>
  </si>
  <si>
    <t>29 Apr 1975 / 49 Thn</t>
  </si>
  <si>
    <t>PERUM TAMAN GADING AE 16</t>
  </si>
  <si>
    <t>30 Dec 1993 / 31 Thn</t>
  </si>
  <si>
    <t>DSN. SEMAITAN</t>
  </si>
  <si>
    <t>27 Jul 1976 / 48 Thn</t>
  </si>
  <si>
    <t>JL MOH YAMIN 9</t>
  </si>
  <si>
    <t>16 Jul 1978 / 46 Thn</t>
  </si>
  <si>
    <t>5 Jul 1983 / 41 Thn</t>
  </si>
  <si>
    <t>JL. SUNAN BONANG</t>
  </si>
  <si>
    <t>26 Sep 1980 / 44 Thn</t>
  </si>
  <si>
    <t>JL SUYOSO NO 83</t>
  </si>
  <si>
    <t>1 Jul 1953 / 71 Thn</t>
  </si>
  <si>
    <t>JL WIDURI 5 LINGKUNGAN SUKOROJO</t>
  </si>
  <si>
    <t>1 Dec 1976 / 48 Thn</t>
  </si>
  <si>
    <t>8 Aug 1995 / 29 Thn</t>
  </si>
  <si>
    <t>15 Mar 1999 / 25 Thn</t>
  </si>
  <si>
    <t>JL. RAYA SUKAPURA NO 44</t>
  </si>
  <si>
    <t>9 Nov 1998 / 26 Thn</t>
  </si>
  <si>
    <t>JL. SUPRIYADI, GG. JEPAR, KAV.1</t>
  </si>
  <si>
    <t>14053.004.1019.969</t>
  </si>
  <si>
    <t>2 Mar 1991 / 33 Thn</t>
  </si>
  <si>
    <t>28 Oct 1961 / 63 Thn</t>
  </si>
  <si>
    <t>JL. KH.ABDUL AZIS</t>
  </si>
  <si>
    <t>6 Jul 1975 / 49 Thn</t>
  </si>
  <si>
    <t>DSN.SERAK</t>
  </si>
  <si>
    <t>1 Sep 1972 / 52 Thn</t>
  </si>
  <si>
    <t>DUSUN KEDUNG PIRING</t>
  </si>
  <si>
    <t>19 May 1977 / 47 Thn</t>
  </si>
  <si>
    <t>JL. MASTRIP GG. CERRY NO. 31</t>
  </si>
  <si>
    <t>9 Feb 1980 / 44 Thn</t>
  </si>
  <si>
    <t>KOPIAN BARAT BLOK J NO 161</t>
  </si>
  <si>
    <t>14053.001.1019.975</t>
  </si>
  <si>
    <t>19 Aug 2001 / 23 Thn</t>
  </si>
  <si>
    <t>JL. DR. MOH. SALEH 25</t>
  </si>
  <si>
    <t>13 Mar 1977 / 47 Thn</t>
  </si>
  <si>
    <t>PERUM KALIREJO PERMAI JJ 14</t>
  </si>
  <si>
    <t>13 Aug 1969 / 55 Thn</t>
  </si>
  <si>
    <t>JL IKAN PUTIHAN</t>
  </si>
  <si>
    <t>18 Mar 1995 / 29 Thn</t>
  </si>
  <si>
    <t>DUSUN SELOGIRI</t>
  </si>
  <si>
    <t>25 May 1960 / 64 Thn</t>
  </si>
  <si>
    <t>JL MT HARYONO GG DEMAK LINGK SBR KETANGI</t>
  </si>
  <si>
    <t>10 Nov 1983 / 41 Thn</t>
  </si>
  <si>
    <t>LINK. UJUNG</t>
  </si>
  <si>
    <t>1 Dec 1993 / 31 Thn</t>
  </si>
  <si>
    <t>JL. IKAN CUMI CUMI</t>
  </si>
  <si>
    <t>15 Mar 1993 / 31 Thn</t>
  </si>
  <si>
    <t>25 Jun 1978 / 46 Thn</t>
  </si>
  <si>
    <t>JL LETJEN SUPRAPTO II NO 61</t>
  </si>
  <si>
    <t>30 Aug 1964 / 60 Thn</t>
  </si>
  <si>
    <t>JL KENANGA VII BLOK 3 NO 48</t>
  </si>
  <si>
    <t>3 Apr 2004 / 20 Thn</t>
  </si>
  <si>
    <t>JL. IMAM BONJOL 158</t>
  </si>
  <si>
    <t>9 Jul 2003 / 21 Thn</t>
  </si>
  <si>
    <t>DUSUN KLUMPRIT</t>
  </si>
  <si>
    <t>11 Apr 2000 / 24 Thn</t>
  </si>
  <si>
    <t>DUSUN BIBIS</t>
  </si>
  <si>
    <t>24 Jan 2000 / 24 Thn</t>
  </si>
  <si>
    <t>DUSUN POLAY</t>
  </si>
  <si>
    <t>22 May 1989 / 35 Thn</t>
  </si>
  <si>
    <t>DUSUN BULAK</t>
  </si>
  <si>
    <t>12 Oct 1994 / 30 Thn</t>
  </si>
  <si>
    <t>DUSUN TABATA</t>
  </si>
  <si>
    <t>7 Sep 1991 / 33 Thn</t>
  </si>
  <si>
    <t>10 Aug 2006 / 18 Thn</t>
  </si>
  <si>
    <t>15 Aug 1982 / 42 Thn</t>
  </si>
  <si>
    <t>4 Sep 2004 / 20 Thn</t>
  </si>
  <si>
    <t>JL RAYA TONGASWETAN</t>
  </si>
  <si>
    <t>15 Jan 2007 / 17 Thn</t>
  </si>
  <si>
    <t>PERUM TEGAL BESAR</t>
  </si>
  <si>
    <t>16 May 1996 / 28 Thn</t>
  </si>
  <si>
    <t>SARIROGO</t>
  </si>
  <si>
    <t>1 Oct 1985 / 39 Thn</t>
  </si>
  <si>
    <t>PERUM TRIWUNG KIDUL PERMAI D6</t>
  </si>
  <si>
    <t>7 Jun 2002 / 22 Thn</t>
  </si>
  <si>
    <t>DUSUN PUSUNG LOR</t>
  </si>
  <si>
    <t>3 Mar 1984 / 40 Thn</t>
  </si>
  <si>
    <t>17 Nov 1980 / 44 Thn</t>
  </si>
  <si>
    <t>JL KENIKIR NO 05</t>
  </si>
  <si>
    <t>14 Jan 1994 / 30 Thn</t>
  </si>
  <si>
    <t>JL KAMKONG MERAL</t>
  </si>
  <si>
    <t>17 Jul 1974 / 50 Thn</t>
  </si>
  <si>
    <t>SENTANAN 1/6</t>
  </si>
  <si>
    <t>30 Jul 1971 / 53 Thn</t>
  </si>
  <si>
    <t>DSN SEBANI</t>
  </si>
  <si>
    <t>22 May 1991 / 33 Thn</t>
  </si>
  <si>
    <t>21 Oct 1984 / 40 Thn</t>
  </si>
  <si>
    <t>JL MASTRIP GG KELAPA SAWIT 48</t>
  </si>
  <si>
    <t>10 Jun 1968 / 56 Thn</t>
  </si>
  <si>
    <t>JL. RAJAWALI KM 6.5 NO 202</t>
  </si>
  <si>
    <t>2 Apr 1972 / 52 Thn</t>
  </si>
  <si>
    <t>JL MAS SUHARTO NO 7</t>
  </si>
  <si>
    <t>25 Mar 1975 / 49 Thn</t>
  </si>
  <si>
    <t>BANCANG GG.KAMBOJA 2-B</t>
  </si>
  <si>
    <t>20 Apr 2006 / 18 Thn</t>
  </si>
  <si>
    <t>JL HIMALAYA NO 7B PERUM BUMI YUANGGA</t>
  </si>
  <si>
    <t>7 Jan 1982 / 42 Thn</t>
  </si>
  <si>
    <t>VILLA PAMULANG BLOK DL 4 NO 38</t>
  </si>
  <si>
    <t>28 Apr 1981 / 43 Thn</t>
  </si>
  <si>
    <t>TAMANSARI PURI BALI BLOK H4/1, BANJAR JIMBARAN, JL. RAYA CIPUTAT-SAWANGAN</t>
  </si>
  <si>
    <t>3 Sep 1981 / 43 Thn</t>
  </si>
  <si>
    <t>VILLA INDAH PAMULANG KAV 15</t>
  </si>
  <si>
    <t>23 Sep 1984 / 40 Thn</t>
  </si>
  <si>
    <t>SERPONG GREEN PARK BLOK O NO 7.</t>
  </si>
  <si>
    <t>PAMULANG PERMAI 1 BLOK A 23 NO. 6</t>
  </si>
  <si>
    <t>PESONA PAMULANG BLOK B1 NO. 12</t>
  </si>
  <si>
    <t>20 Aug 1981 / 43 Thn</t>
  </si>
  <si>
    <t>CENDANA RESIDENCE BLOK F7 NO 18</t>
  </si>
  <si>
    <t>4 Oct 1982 / 42 Thn</t>
  </si>
  <si>
    <t>JL.BAWANG MERAH V NO 10, KOMPAS 3</t>
  </si>
  <si>
    <t>PERUMAHAN PUSPIPTEK BLOK 1 B NO 10</t>
  </si>
  <si>
    <t>4 Sep 1982 / 42 Thn</t>
  </si>
  <si>
    <t>PAMULANG PERMAI 1 BLOK B 38 NO. 30</t>
  </si>
  <si>
    <t>GADING DEPOK RESIDENCE BLOK F NO 20</t>
  </si>
  <si>
    <t>PAMULANG ESTATE</t>
  </si>
  <si>
    <t>17 Oct 1986 / 38 Thn</t>
  </si>
  <si>
    <t>PONDOK BENDA RESIDENCE BLOK B 1 NO 1</t>
  </si>
  <si>
    <t>22 Feb 1985 / 39 Thn</t>
  </si>
  <si>
    <t>PAMULANG PERMAI 1 BARU BLOK N NO. 19</t>
  </si>
  <si>
    <t>PERUMAHAN PANORAMA SERPONG, BLOK C4/3A</t>
  </si>
  <si>
    <t>31 Aug 1967 / 57 Thn</t>
  </si>
  <si>
    <t>PAMULANG ESTATE BLOK J2 NO 12</t>
  </si>
  <si>
    <t>27 Aug 1983 / 41 Thn</t>
  </si>
  <si>
    <t>PAMULANG PERMAI II, BLOK E57/25</t>
  </si>
  <si>
    <t>26 Jan 1986 / 38 Thn</t>
  </si>
  <si>
    <t>JL. KAVLING KEUANGAN VII CLUSTER TOEDJOE NO 167</t>
  </si>
  <si>
    <t>22 May 1977 / 47 Thn</t>
  </si>
  <si>
    <t>PURI BINTARO RESIDENCE 2 CLUSTER D 1 / 16 JL. ARIA PUTRA</t>
  </si>
  <si>
    <t>24 Feb 1984 / 40 Thn</t>
  </si>
  <si>
    <t>PANORAMA RESIDENCE BLOK C4/9</t>
  </si>
  <si>
    <t>KOMP. SARANA INDAH PERMAI. JL. ARUM DALU II BLOK A5 NO.9</t>
  </si>
  <si>
    <t>7 Jun 1983 / 41 Thn</t>
  </si>
  <si>
    <t>JLN. ARJUNA V BLOK DF2/ NO. 2</t>
  </si>
  <si>
    <t>23 May 1981 / 43 Thn</t>
  </si>
  <si>
    <t>PERUMAHAN PANORAMA SERPONG BLOK B3 NO.5</t>
  </si>
  <si>
    <t>14 Jan 1972 / 52 Thn</t>
  </si>
  <si>
    <t>WITANAHARJA BLOK C NO135</t>
  </si>
  <si>
    <t>16 Sep 1983 / 41 Thn</t>
  </si>
  <si>
    <t>CENDANA RESIDENCE BLOK I9 NO.22 PONDOK BENDA PAMULANG</t>
  </si>
  <si>
    <t>28 Feb 1980 / 44 Thn</t>
  </si>
  <si>
    <t>PURI SERPONG 2 BLOK B 1 NO 10</t>
  </si>
  <si>
    <t>BUKIT DAGO BLOK A7/9</t>
  </si>
  <si>
    <t>BUKIT PAMULANG INDAH BLOK B10 / 7</t>
  </si>
  <si>
    <t>17 Feb 1971 / 53 Thn</t>
  </si>
  <si>
    <t>PONDOK BENDA INDAH BLOK B NO 10</t>
  </si>
  <si>
    <t>3 May 1984 / 40 Thn</t>
  </si>
  <si>
    <t>BUKIT DAGO BLOK BDU NO 233</t>
  </si>
  <si>
    <t>9 Sep 1976 / 48 Thn</t>
  </si>
  <si>
    <t>JL.PONDOK SALAK</t>
  </si>
  <si>
    <t>15 Aug 1986 / 38 Thn</t>
  </si>
  <si>
    <t>BUMI SERPONG RESIDENCE D17</t>
  </si>
  <si>
    <t>9 Feb 1983 / 41 Thn</t>
  </si>
  <si>
    <t>ELITE 2 RESIDENCE NO.28</t>
  </si>
  <si>
    <t>JL WR SUPRATMAN GG BACANG NO 56.</t>
  </si>
  <si>
    <t>10 Oct 1984 / 40 Thn</t>
  </si>
  <si>
    <t>JL. SALAK 6 NO. 57</t>
  </si>
  <si>
    <t>20 Nov 1981 / 43 Thn</t>
  </si>
  <si>
    <t>CASA ARJUNA BLOK C2/1</t>
  </si>
  <si>
    <t>1 Dec 1985 / 39 Thn</t>
  </si>
  <si>
    <t>CLUSTER FLOURIST TERRACE PAMULANG BLOK C NO.9</t>
  </si>
  <si>
    <t>29 Oct 1981 / 43 Thn</t>
  </si>
  <si>
    <t>JL.KH DEWANTORO</t>
  </si>
  <si>
    <t>GRIYA CENDRAWASIH JL.CENDARAWASIH NO 20</t>
  </si>
  <si>
    <t>2 Jun 1989 / 35 Thn</t>
  </si>
  <si>
    <t>PURI PAMULANG JL. MAWAR 5 BLOK D6 NO 2</t>
  </si>
  <si>
    <t>25 Feb 1981 / 43 Thn</t>
  </si>
  <si>
    <t>VILLA PERWATA BLOK G4. JL. MANDOR TAJIR</t>
  </si>
  <si>
    <t>PERMATA PAMULANG, JL. TAMAN PERMATA K2/4</t>
  </si>
  <si>
    <t>8 Feb 1990 / 34 Thn</t>
  </si>
  <si>
    <t>CITRALAKE SAWANGAN. CLUSTER GREEN VICTORIA. BLOK E4, NO 02.</t>
  </si>
  <si>
    <t>14053.007.1020.056</t>
  </si>
  <si>
    <t>10 Feb 1987 / 37 Thn</t>
  </si>
  <si>
    <t>JL. BERINGIN BLOK D3 NO. 58</t>
  </si>
  <si>
    <t>19 Mar 1985 / 39 Thn</t>
  </si>
  <si>
    <t>PAMULANG PERMAI 1 JALAN PERMAI RAYA 3 BLOK AX 13 NO.14</t>
  </si>
  <si>
    <t>30 Oct 1979 / 45 Thn</t>
  </si>
  <si>
    <t>PAMULANG PERMAI II BLOK B13 NO 25</t>
  </si>
  <si>
    <t>PERUMAHAN BUKIT INDAH E2/3</t>
  </si>
  <si>
    <t>17 Nov 1976 / 48 Thn</t>
  </si>
  <si>
    <t>KAMILA GARDENS AT CANDI SAWANGAN BLOK B18 NO.09</t>
  </si>
  <si>
    <t>2 May 1978 / 46 Thn</t>
  </si>
  <si>
    <t>KOMP. SINAR PAMULANG PERMAI BLOK B.10 NO.6 CIPUTAT</t>
  </si>
  <si>
    <t>30 Nov 1986 / 38 Thn</t>
  </si>
  <si>
    <t>VILLA PAMULANG JL SINTA 3 BLOK DA 3 NO 19</t>
  </si>
  <si>
    <t>20 May 1982 / 42 Thn</t>
  </si>
  <si>
    <t>SERPONG NATURA CITY CLUSTER ACCACIA NA 1/16</t>
  </si>
  <si>
    <t>18 Aug 1981 / 43 Thn</t>
  </si>
  <si>
    <t>GRIA JAKARTA BLOK L1 NO.1, RT 07 RW 05, KEL BAMBU APUS, KEC. PAMULANG</t>
  </si>
  <si>
    <t>JL. OTISTA GG. MANDOR</t>
  </si>
  <si>
    <t>20 Oct 1972 / 52 Thn</t>
  </si>
  <si>
    <t>PERMATA PAMULANG BLOK G17/16</t>
  </si>
  <si>
    <t>25 Feb 1986 / 38 Thn</t>
  </si>
  <si>
    <t>TELAGA GOLF BLOK C-X NO.6 CLUSTER ESPANOLA</t>
  </si>
  <si>
    <t>GADING DEPOK RESIDEN BLOK C2A SAWANGAN CURUG</t>
  </si>
  <si>
    <t>29 Apr 1979 / 45 Thn</t>
  </si>
  <si>
    <t>KOMP. AKASIA MANSION BLOK G7, JL.RAYA SILIWANGI</t>
  </si>
  <si>
    <t>7 Feb 1979 / 45 Thn</t>
  </si>
  <si>
    <t>JL. ISMAYA III BLOK U. 11 NO. 10</t>
  </si>
  <si>
    <t>11 Dec 1987 / 37 Thn</t>
  </si>
  <si>
    <t>JL.RAYA MUCHTAR</t>
  </si>
  <si>
    <t>20 May 1987 / 37 Thn</t>
  </si>
  <si>
    <t>JALAN PINANG 1</t>
  </si>
  <si>
    <t>3 Aug 1975 / 49 Thn</t>
  </si>
  <si>
    <t>WITANA HARJA BLOK C NO. 82B</t>
  </si>
  <si>
    <t>19 Oct 1982 / 42 Thn</t>
  </si>
  <si>
    <t>PERUM. PAMPER I BLOK A.26/7</t>
  </si>
  <si>
    <t>5 Jun 1983 / 41 Thn</t>
  </si>
  <si>
    <t>JL. KRAMAT NO.84</t>
  </si>
  <si>
    <t>PERUMAHAN RENI JAYA BLOK AC 5 NO 33</t>
  </si>
  <si>
    <t>14 Aug 1984 / 40 Thn</t>
  </si>
  <si>
    <t>SERPONG CITY PARADISE BLOK G7 NO. 21</t>
  </si>
  <si>
    <t>12 Feb 1977 / 47 Thn</t>
  </si>
  <si>
    <t>JL LEGOSO RAYA NO 66</t>
  </si>
  <si>
    <t>26 Apr 1986 / 38 Thn</t>
  </si>
  <si>
    <t>PAMULANG PERMAI 1 BLOK AX-26/09</t>
  </si>
  <si>
    <t>14 Feb 1980 / 44 Thn</t>
  </si>
  <si>
    <t>JL.BUKIT PERTAMA VIII NO. 5</t>
  </si>
  <si>
    <t>15 Aug 1983 / 41 Thn</t>
  </si>
  <si>
    <t>TAMANSARI PURI BALI BLOK D2/6</t>
  </si>
  <si>
    <t>22 Apr 1987 / 37 Thn</t>
  </si>
  <si>
    <t>PERMATA PAMULANG JALAN TEKUKUR TANAH SEWAAN BLOK D17</t>
  </si>
  <si>
    <t>26 Sep 1985 / 39 Thn</t>
  </si>
  <si>
    <t>PAMULANG PERMAI BLOK A7/11</t>
  </si>
  <si>
    <t>PAMULANG RESIDENCE D20</t>
  </si>
  <si>
    <t>15 May 1978 / 46 Thn</t>
  </si>
  <si>
    <t>JALAN BENDA TIMUR 5, BLOK E67 NO. 3</t>
  </si>
  <si>
    <t>KIRANA GARDENIA BLOK A NO.23</t>
  </si>
  <si>
    <t>JL PONDOK CABE RAYA NO. 19</t>
  </si>
  <si>
    <t>16 Mar 1990 / 34 Thn</t>
  </si>
  <si>
    <t>GRIYA INDAH SERPONG BLOK Q4 NO.05</t>
  </si>
  <si>
    <t>25 Apr 1974 / 50 Thn</t>
  </si>
  <si>
    <t>PERMATA PAMULANG G21 NO. 4</t>
  </si>
  <si>
    <t>8 Mar 1987 / 37 Thn</t>
  </si>
  <si>
    <t>JALAN SERUA INDAH 6 BLOCK A1B4 BOJONG SARI DEPOK</t>
  </si>
  <si>
    <t>23 May 1977 / 47 Thn</t>
  </si>
  <si>
    <t>PERUM SERUA RESIDENCE BLOK A1/D9</t>
  </si>
  <si>
    <t>2 Oct 1981 / 43 Thn</t>
  </si>
  <si>
    <t>PERUM PAMULANG HILL 2 BLOK B I NO 6</t>
  </si>
  <si>
    <t>17 May 1960 / 64 Thn</t>
  </si>
  <si>
    <t>TAMAN SARI BUKIT DAMAI</t>
  </si>
  <si>
    <t>PAMULANG PERMAI I. JALAN PERMAI RAYA IV. BLOK AX 0 NO.18</t>
  </si>
  <si>
    <t>21 Nov 1973 / 51 Thn</t>
  </si>
  <si>
    <t>VILLA INTI PERSADA BLOK D1 NO 62A</t>
  </si>
  <si>
    <t>TAMANSARI PURI BALI BANJAR PENELOKAN BLOK G3 NO.20</t>
  </si>
  <si>
    <t>15 Oct 1979 / 45 Thn</t>
  </si>
  <si>
    <t>VILLA PAMULANG , JL.ARJUNA VI , BLOK DE 4/22</t>
  </si>
  <si>
    <t>1 Jul 1980 / 44 Thn</t>
  </si>
  <si>
    <t>JL. BENDA TIMUR 10B, BLOL E12/12. PAMULANG PERMAI 2</t>
  </si>
  <si>
    <t>9 Oct 1962 / 62 Thn</t>
  </si>
  <si>
    <t>JALAN KH DEWANTORO</t>
  </si>
  <si>
    <t>VILA PAMULANG JL. ARJUNA 4 BLOK DE 3 NO.9</t>
  </si>
  <si>
    <t>27 Jul 1979 / 45 Thn</t>
  </si>
  <si>
    <t>JALAN RAJAWALI BLOK H NO 28 PAMULANG PERMAI</t>
  </si>
  <si>
    <t>18 Nov 1982 / 42 Thn</t>
  </si>
  <si>
    <t>BUKIT INDAH BLOK M 2 NO. 9, SARUA</t>
  </si>
  <si>
    <t>26 May 1978 / 46 Thn</t>
  </si>
  <si>
    <t>PAMULANG PERMAI BLOK AX 33 NO 3</t>
  </si>
  <si>
    <t>8 Aug 1980 / 44 Thn</t>
  </si>
  <si>
    <t>KOMPLEK PAMULANG PERMAI BLOK D 3 NO 9</t>
  </si>
  <si>
    <t>23 Dec 1975 / 49 Thn</t>
  </si>
  <si>
    <t>KOMPLEK PAMULANG PERMAI BLOK AX 13 NO. 03</t>
  </si>
  <si>
    <t>PARADISE SERPONG CITY CLUSTER SIERRA BLOK J 52/ 6</t>
  </si>
  <si>
    <t>11 Nov 1985 / 39 Thn</t>
  </si>
  <si>
    <t>PERUMAHAN VILA DAGO PAMULANG. KLUSTER KINTAMANI BLOK G17 NO. 3A</t>
  </si>
  <si>
    <t>6 Sep 1981 / 43 Thn</t>
  </si>
  <si>
    <t>JL KUNIR KOMPLEK PRIVE HILLS RESIDENCE BLOK C2/18</t>
  </si>
  <si>
    <t>17 Feb 1984 / 40 Thn</t>
  </si>
  <si>
    <t>PERUMAHAN TAMAN SERUA BLOK J1 NO.21</t>
  </si>
  <si>
    <t>28 May 1984 / 40 Thn</t>
  </si>
  <si>
    <t>MODERNHILL CLUSTER AGHATIS C3 NO 9 PONDOK CABE</t>
  </si>
  <si>
    <t>5 Jan 1978 / 46 Thn</t>
  </si>
  <si>
    <t>VILLA PAMULANG MAS L3/3</t>
  </si>
  <si>
    <t>16 Oct 1978 / 46 Thn</t>
  </si>
  <si>
    <t>GRAHA INTAN RESIDENCE , JL.LEGOSO RAYA BLOK B3 NO.1 , RT.9 RW.1 , CIPUTAT TIMUR , BANTEN 15446</t>
  </si>
  <si>
    <t>8 Jul 1986 / 38 Thn</t>
  </si>
  <si>
    <t>KOMP. BUMI SERPONG RESIDENCE H-33</t>
  </si>
  <si>
    <t>2 Sep 1975 / 49 Thn</t>
  </si>
  <si>
    <t>VILA PAMULANG,JL. DARA RAYA BLOK DG-7 NO.28</t>
  </si>
  <si>
    <t>BUMI SERPONG RESIDENCE BLOK I-18</t>
  </si>
  <si>
    <t>PERUMAHAN BUKIT DAGO CLUSTER AMBASSADOR BLOK D 15 NO. 17 RAWAKALONG, GUNUNG SINDUR, KABUPATEN BOGOR</t>
  </si>
  <si>
    <t>10 Sep 1974 / 50 Thn</t>
  </si>
  <si>
    <t>JL. KETAPANG I NO.26 A</t>
  </si>
  <si>
    <t>19 Dec 1984 / 40 Thn</t>
  </si>
  <si>
    <t>GRIA JAKARTA JL. KEMANG 2 BLOK B5 NO 21</t>
  </si>
  <si>
    <t>14 Jun 1983 / 41 Thn</t>
  </si>
  <si>
    <t>RAWAKALONG</t>
  </si>
  <si>
    <t>PAMULANG PERMAI I BLOK N1 NO. 24</t>
  </si>
  <si>
    <t>10 Oct 1982 / 42 Thn</t>
  </si>
  <si>
    <t>JLN PAHLAWAN 86 BLOK A1</t>
  </si>
  <si>
    <t>24 Jul 1974 / 50 Thn</t>
  </si>
  <si>
    <t>PAMULANG HILL 3 TAHAP 1 NO E 12</t>
  </si>
  <si>
    <t>24 Oct 1979 / 45 Thn</t>
  </si>
  <si>
    <t>GRAHA INDAH PAMULANG BLOK B.6 NO. 7, JL. MUJAIR RAYA</t>
  </si>
  <si>
    <t>22 Oct 1982 / 42 Thn</t>
  </si>
  <si>
    <t>PERUM PERMATA PAMULANG, JL. BETET 2 NO. 31-32, BLOK A/2, PAMULANG - TANGERANG SELATAN</t>
  </si>
  <si>
    <t>28 Dec 1983 / 41 Thn</t>
  </si>
  <si>
    <t>PURINUSA ASRI SERUA BLOK Q3A</t>
  </si>
  <si>
    <t>14 Dec 1976 / 48 Thn</t>
  </si>
  <si>
    <t>JL PEDURENAN V NO 2</t>
  </si>
  <si>
    <t>JALAN ANGGUR RAYA BLOCK H2/3 PAMULANG ESTAT</t>
  </si>
  <si>
    <t>21 Oct 1978 / 46 Thn</t>
  </si>
  <si>
    <t>JLN. PASIRON</t>
  </si>
  <si>
    <t>11 Apr 1979 / 45 Thn</t>
  </si>
  <si>
    <t>CIPUTAT RESIDENCE ONE BLOK F NO.7 JLN. MAKMUR</t>
  </si>
  <si>
    <t>2 Jun 1983 / 41 Thn</t>
  </si>
  <si>
    <t>JL PENDIDIKAN PERM NUANSA ASRI BLOK F 8 CINANGKA</t>
  </si>
  <si>
    <t>6 Jun 1976 / 48 Thn</t>
  </si>
  <si>
    <t>PONDOK PAYUNG MAS BLOK A NO. 8</t>
  </si>
  <si>
    <t>8 Apr 1982 / 42 Thn</t>
  </si>
  <si>
    <t>JL.PLATINA 2</t>
  </si>
  <si>
    <t>GRIYA PAMULANG 2 BLOK E 4 NO 11, JLN MANGGA 1</t>
  </si>
  <si>
    <t>7 Dec 1972 / 52 Thn</t>
  </si>
  <si>
    <t>CLUSTER SUDIMARA BINTARO BLOK D-11</t>
  </si>
  <si>
    <t>SERPONG TERRACE BLOK F7 NO 10</t>
  </si>
  <si>
    <t>4 Dec 1980 / 44 Thn</t>
  </si>
  <si>
    <t>BUKIT DAGO BLOK E1 NO. 22</t>
  </si>
  <si>
    <t>PERMATA PAMULANG JALAN BUKIT PERMATA 3 BLOK G NO 27</t>
  </si>
  <si>
    <t>5 Oct 1983 / 41 Thn</t>
  </si>
  <si>
    <t>JALAN PALAPA, SERPONG GREEN PARK, BLOK E16</t>
  </si>
  <si>
    <t>27 Nov 1984 / 40 Thn</t>
  </si>
  <si>
    <t>BUKIT PAMULANG INDAH BLOK A14 NO 9</t>
  </si>
  <si>
    <t>6 Jan 1983 / 41 Thn</t>
  </si>
  <si>
    <t>JLN.INTAN 1 DESA CIDOKOM</t>
  </si>
  <si>
    <t>7 Jan 1981 / 43 Thn</t>
  </si>
  <si>
    <t>PERUM CURUG RESIDENCE 2 ,JL MAWAR BLOK C/9</t>
  </si>
  <si>
    <t>14 Mar 1982 / 42 Thn</t>
  </si>
  <si>
    <t>JLN PENDIDIKAN RAYA NO 9 RAWAKALONH</t>
  </si>
  <si>
    <t>29 Apr 1971 / 53 Thn</t>
  </si>
  <si>
    <t>KP. KADEMGAN, RT. 004/001, SETU, KADEMANGAN, TANGSEL</t>
  </si>
  <si>
    <t>7 Dec 1985 / 39 Thn</t>
  </si>
  <si>
    <t>VILA DAGO BLOK B4/23</t>
  </si>
  <si>
    <t>9 Sep 1985 / 39 Thn</t>
  </si>
  <si>
    <t>VILLA PAMULANG, JL CENDRAWASIH BLOK DH 5 NO 23</t>
  </si>
  <si>
    <t>14053.007.1020.146</t>
  </si>
  <si>
    <t>29 Jun 1983 / 41 Thn</t>
  </si>
  <si>
    <t>VILLA PAMULANG MAS BLOK E2 NO.61</t>
  </si>
  <si>
    <t>9 Aug 1982 / 42 Thn</t>
  </si>
  <si>
    <t>SERPONG JAYA, THE GARDEN GE-22</t>
  </si>
  <si>
    <t>JL. GANESHA INDAH BLOK GA NO 5 VILLA PAMULANG</t>
  </si>
  <si>
    <t>GRIYA MELINA, BLOK B1 NO. 12 A</t>
  </si>
  <si>
    <t>26 May 1988 / 36 Thn</t>
  </si>
  <si>
    <t>PERUMAHAN PELITA KENCANA B6 NO 8, PONDOK CABE UDIK.PAMULANG</t>
  </si>
  <si>
    <t>JL. BATAS</t>
  </si>
  <si>
    <t>6 Mar 1987 / 37 Thn</t>
  </si>
  <si>
    <t>KP. CIBINONG</t>
  </si>
  <si>
    <t>7 Jan 1975 / 49 Thn</t>
  </si>
  <si>
    <t>SAWANGAN VILLAGE, CLUSTER CITRONELLA, BLOK B3/39</t>
  </si>
  <si>
    <t>JL. CANNA KAV. 474 BNI</t>
  </si>
  <si>
    <t>30 Dec 1983 / 41 Thn</t>
  </si>
  <si>
    <t>JLN HAJI NAWI MALIK</t>
  </si>
  <si>
    <t>JLN. ANGGREK NO. 62, RT. 03/018, PONDOK BENDA, PAMULANG, TANGSEL</t>
  </si>
  <si>
    <t>3 Jan 1978 / 46 Thn</t>
  </si>
  <si>
    <t>PERUMAHAN PANORAMA SERPONG BLOK B4 NO.1</t>
  </si>
  <si>
    <t>29 Apr 1978 / 46 Thn</t>
  </si>
  <si>
    <t>PERUMAHAN PURI ARSANA BLOK D NO.1</t>
  </si>
  <si>
    <t>8 Nov 1981 / 43 Thn</t>
  </si>
  <si>
    <t>GRIYA SATWIKA BLOK A1/3</t>
  </si>
  <si>
    <t>2 Jun 1972 / 52 Thn</t>
  </si>
  <si>
    <t>JL. RENI JAYA NO.6</t>
  </si>
  <si>
    <t>21 Apr 1981 / 43 Thn</t>
  </si>
  <si>
    <t>GRIA JAKARTA BLOK A7 NO 7</t>
  </si>
  <si>
    <t>14 Nov 1983 / 41 Thn</t>
  </si>
  <si>
    <t>JL H REKAN PERUM GRAND AKASIA MANSION BLOK D2</t>
  </si>
  <si>
    <t>6 May 1987 / 37 Thn</t>
  </si>
  <si>
    <t>SERUA BOJONGSARI DEPOK</t>
  </si>
  <si>
    <t>23 Jul 1980 / 44 Thn</t>
  </si>
  <si>
    <t>KOMP KOMPAS JL. NIRMALA NO.10</t>
  </si>
  <si>
    <t>KOMPLEK INHUTANINI BOOK O NO. 5</t>
  </si>
  <si>
    <t>PERUMAHAN PAMULANG PERMAI 1 BLOK AX NO 4</t>
  </si>
  <si>
    <t>19 Aug 1977 / 47 Thn</t>
  </si>
  <si>
    <t>TREVISTA CIPUTAT BLOK A1 NO.8</t>
  </si>
  <si>
    <t>JALAN KUNIR NO.58 RT 01/05, KEL. PONDOK CABE UDIK, KEC. PAMULANG</t>
  </si>
  <si>
    <t>7 Aug 1971 / 53 Thn</t>
  </si>
  <si>
    <t>JLN KAVLING PILIHAN BLOK F NO 15</t>
  </si>
  <si>
    <t>29 Jan 1985 / 39 Thn</t>
  </si>
  <si>
    <t>PERMATA MANSION, CRYSTAL BLOK I NO 6</t>
  </si>
  <si>
    <t>24 Jul 1983 / 41 Thn</t>
  </si>
  <si>
    <t>JL. MANGGIS GG. DELIMA UJUNG NO.93</t>
  </si>
  <si>
    <t>PERUM. BUKIT PAMULANG INDAH B4 NO. 12</t>
  </si>
  <si>
    <t>10 Oct 1977 / 47 Thn</t>
  </si>
  <si>
    <t>PERUM PERMATA MANSION CLUSTER JADE BLOK JB2 NO. 3A</t>
  </si>
  <si>
    <t>PERUM PERMATA MANSION</t>
  </si>
  <si>
    <t>14 Feb 1982 / 42 Thn</t>
  </si>
  <si>
    <t>VILA PAMULANG BLOCK DM V NO 3</t>
  </si>
  <si>
    <t>JL. PERMATA NO. 36, CURUG, RAWAKALONG</t>
  </si>
  <si>
    <t>GRIYA CENDEKIA D1 NO 46</t>
  </si>
  <si>
    <t>20 Jul 1981 / 43 Thn</t>
  </si>
  <si>
    <t>JL. RAYA BOJONGSARI NO. 21 RT.01/04, BOJONG SARI, DEPOK</t>
  </si>
  <si>
    <t>10 Aug 1992 / 32 Thn</t>
  </si>
  <si>
    <t>PERUMAHAN TAMAN AKTASIA BLOK C-3</t>
  </si>
  <si>
    <t>22 Mar 1976 / 48 Thn</t>
  </si>
  <si>
    <t>JL KEMUNING 4 ALAM ASRI C1 NO 14</t>
  </si>
  <si>
    <t>21 Sep 1976 / 48 Thn</t>
  </si>
  <si>
    <t>PAMULANG ESTATE, JL. SIRSAK 1 BLOK K2 NO.1</t>
  </si>
  <si>
    <t>11 Nov 1982 / 42 Thn</t>
  </si>
  <si>
    <t>KOMPLEK BUKIT PAMULANG INDAH BLOK C7 NO. 6</t>
  </si>
  <si>
    <t>GREENLAND HEALTHFUL LIVING BLOK A5</t>
  </si>
  <si>
    <t>1 Apr 1994 / 30 Thn</t>
  </si>
  <si>
    <t>KOMPLEK BUKIT INDAH BLOK. D2 NO 24</t>
  </si>
  <si>
    <t>12 Jan 1981 / 43 Thn</t>
  </si>
  <si>
    <t>PARADISE SERPONG CITY CLUSTER VOYAGE BLOK P10 NO 6</t>
  </si>
  <si>
    <t>PERUMAHAN PURI PAMULANG CLUSTER ADEL BLOK 70B</t>
  </si>
  <si>
    <t>15 Jan 1981 / 43 Thn</t>
  </si>
  <si>
    <t>JLN. PINUS RAYA NO. 28</t>
  </si>
  <si>
    <t>31 Aug 1976 / 48 Thn</t>
  </si>
  <si>
    <t>PESONA PAMULANG BOK A4 NO 8</t>
  </si>
  <si>
    <t>28 Jan 1979 / 45 Thn</t>
  </si>
  <si>
    <t>PARADISE SERPONG CITY CLUSTER VISTA 1 BLOK F9 NO 30 JL. PUSPITEK RAYA, BABAKAN,SETU</t>
  </si>
  <si>
    <t>KAMPUNG BUARAN NO.39, RT. 01/02, SERUA, CIPUTAT, TANGSEL</t>
  </si>
  <si>
    <t>JL. MERDEKA RAYA A12 NO.9 SERUA PERMA</t>
  </si>
  <si>
    <t>JL. MAHONI NO. 71, RT. 003/002, PAMULANG BARAT</t>
  </si>
  <si>
    <t>1 Feb 1980 / 44 Thn</t>
  </si>
  <si>
    <t>PAMULANG ESTAT, JLN. CEMPEDAK RAYA G7 N0.25</t>
  </si>
  <si>
    <t>24 Sep 1988 / 36 Thn</t>
  </si>
  <si>
    <t>GRIYA PAMULANG ESTAT BLOK M.5 / 11</t>
  </si>
  <si>
    <t>JL. KESEHATAN II NO. 319, RT. 002 / 009, CIPAYUNG</t>
  </si>
  <si>
    <t>JL CENDANA PERUM MULIA RESIDENCE BLOK G NO 5</t>
  </si>
  <si>
    <t>VILA DAGO CLUSTER KINTAMANI BLOK G4/15</t>
  </si>
  <si>
    <t>PINTU ELOK, JL BENDA BARAT 6</t>
  </si>
  <si>
    <t>20 Feb 1981 / 43 Thn</t>
  </si>
  <si>
    <t>PERUM KESEHATAN MANGGURAI</t>
  </si>
  <si>
    <t>11 Apr 1969 / 55 Thn</t>
  </si>
  <si>
    <t>PAMULANG PERMAI I AX/14/7 RT003/RW012 RT003/RW012 PAMULANG</t>
  </si>
  <si>
    <t>12 Jun 1968 / 56 Thn</t>
  </si>
  <si>
    <t>JL SEMERU PERUM VILLA BUKIT CEMARA E 8</t>
  </si>
  <si>
    <t>25 Apr 1985 / 39 Thn</t>
  </si>
  <si>
    <t>JL MANGGA PAMULANG PERMAI I BLOK A 23/15</t>
  </si>
  <si>
    <t>7 Jul 1998 / 26 Thn</t>
  </si>
  <si>
    <t>JL.DUKU 5 NO.3</t>
  </si>
  <si>
    <t>21 Dec 1969 / 55 Thn</t>
  </si>
  <si>
    <t>LINGK KEBON INDAH</t>
  </si>
  <si>
    <t>7 Jan 1992 / 32 Thn</t>
  </si>
  <si>
    <t>16 May 1967 / 57 Thn</t>
  </si>
  <si>
    <t>JL PANGSUD GG KAMPUNG BARU 203</t>
  </si>
  <si>
    <t>8 Mar 1991 / 33 Thn</t>
  </si>
  <si>
    <t>14 Mar 1993 / 31 Thn</t>
  </si>
  <si>
    <t>JL WIJAYA KUSUMA 9</t>
  </si>
  <si>
    <t>9 Nov 1967 / 57 Thn</t>
  </si>
  <si>
    <t>3 May 1972 / 52 Thn</t>
  </si>
  <si>
    <t>JL HAYAM WURUK III BLOK B/2-4</t>
  </si>
  <si>
    <t>29 Mar 1985 / 39 Thn</t>
  </si>
  <si>
    <t>JL. SUYOSO NO 83</t>
  </si>
  <si>
    <t>12 Feb 1997 / 27 Thn</t>
  </si>
  <si>
    <t>PERUM BUMI BULU INDAH M-6</t>
  </si>
  <si>
    <t>1 Nov 1983 / 41 Thn</t>
  </si>
  <si>
    <t>DUSUN KARANG TENGAH</t>
  </si>
  <si>
    <t>3 Mar 1976 / 48 Thn</t>
  </si>
  <si>
    <t>JL. RAYA PANGLIMA SUDIRMAN VII/10</t>
  </si>
  <si>
    <t>25 Sep 1984 / 40 Thn</t>
  </si>
  <si>
    <t>VILLA PAMULANG MAS</t>
  </si>
  <si>
    <t>5 Mar 1969 / 55 Thn</t>
  </si>
  <si>
    <t>JL PATIMURA GG II</t>
  </si>
  <si>
    <t>5 Jun 1971 / 53 Thn</t>
  </si>
  <si>
    <t>DSN 3 PASAR 2</t>
  </si>
  <si>
    <t>3 Apr 1982 / 42 Thn</t>
  </si>
  <si>
    <t>JL. UNTUNG SURAPATI NO 448</t>
  </si>
  <si>
    <t>11 Jul 1976 / 48 Thn</t>
  </si>
  <si>
    <t>JL PAJAJARAN GG 5 NO 196</t>
  </si>
  <si>
    <t>3 Dec 1979 / 45 Thn</t>
  </si>
  <si>
    <t>27 Aug 1974 / 50 Thn</t>
  </si>
  <si>
    <t>LINK. SUKOWIDI</t>
  </si>
  <si>
    <t>4 Jun 1973 / 51 Thn</t>
  </si>
  <si>
    <t>perum amany blok b no 3</t>
  </si>
  <si>
    <t>28 Aug 1967 / 57 Thn</t>
  </si>
  <si>
    <t>JL TAWANG MANGU II NO 105</t>
  </si>
  <si>
    <t>1 Oct 1960 / 64 Thn</t>
  </si>
  <si>
    <t>KEBONSARI 3 RT 4 RW 01.</t>
  </si>
  <si>
    <t>15 Apr 1994 / 30 Thn</t>
  </si>
  <si>
    <t>JL PALAPA</t>
  </si>
  <si>
    <t>18 Jun 1968 / 56 Thn</t>
  </si>
  <si>
    <t>DUSUN PESISIR</t>
  </si>
  <si>
    <t>14053.004.1020.225</t>
  </si>
  <si>
    <t>16 Aug 1988 / 36 Thn</t>
  </si>
  <si>
    <t>JL CAKALANG</t>
  </si>
  <si>
    <t>12 Feb 1985 / 39 Thn</t>
  </si>
  <si>
    <t>ujung Menteng Cakung RT 005/001</t>
  </si>
  <si>
    <t>21 Feb 1974 / 50 Thn</t>
  </si>
  <si>
    <t>JL YOS SUDARSO</t>
  </si>
  <si>
    <t>28 Jan 1997 / 27 Thn</t>
  </si>
  <si>
    <t>PERUM LECES PERMAI C-5</t>
  </si>
  <si>
    <t>3 Jul 1976 / 48 Thn</t>
  </si>
  <si>
    <t>JL PULOMAS BARAT I NO 27</t>
  </si>
  <si>
    <t>19 Oct 1980 / 44 Thn</t>
  </si>
  <si>
    <t>19 Aug 1995 / 29 Thn</t>
  </si>
  <si>
    <t>DUSUN KRAJAN 2</t>
  </si>
  <si>
    <t>28 Jan 1969 / 55 Thn</t>
  </si>
  <si>
    <t>PERUM BUMI BULU INDAH BLOK D-06</t>
  </si>
  <si>
    <t>7 Nov 2004 / 20 Thn</t>
  </si>
  <si>
    <t>DUSUN TAMAN</t>
  </si>
  <si>
    <t>11 Nov 2002 / 22 Thn</t>
  </si>
  <si>
    <t>5 Aug 2003 / 21 Thn</t>
  </si>
  <si>
    <t>WAEMBELENG</t>
  </si>
  <si>
    <t>21 Mar 1963 / 61 Thn</t>
  </si>
  <si>
    <t>JL. KOL SUGIONO NO 6</t>
  </si>
  <si>
    <t>14053.006.1020.239</t>
  </si>
  <si>
    <t>24 Nov 1986 / 38 Thn</t>
  </si>
  <si>
    <t>DSN. BANYAKAN</t>
  </si>
  <si>
    <t>14 Aug 1971 / 53 Thn</t>
  </si>
  <si>
    <t>JL WAHIDIN 2</t>
  </si>
  <si>
    <t>11 Dec 1995 / 29 Thn</t>
  </si>
  <si>
    <t>KRAJAN III</t>
  </si>
  <si>
    <t>1 Jan 1983 / 41 Thn</t>
  </si>
  <si>
    <t>31 Oct 1961 / 63 Thn</t>
  </si>
  <si>
    <t>PERUM TAMAN GADING BLOK HH 14</t>
  </si>
  <si>
    <t>1 Oct 1968 / 56 Thn</t>
  </si>
  <si>
    <t>JL PB SUDIRMAN NO 2</t>
  </si>
  <si>
    <t>29 Jun 1999 / 25 Thn</t>
  </si>
  <si>
    <t>8 Oct 2000 / 24 Thn</t>
  </si>
  <si>
    <t>14053.001.1020.248</t>
  </si>
  <si>
    <t>28 Nov 1991 / 33 Thn</t>
  </si>
  <si>
    <t>13 Apr 1993 / 31 Thn</t>
  </si>
  <si>
    <t>23 Jul 2008 / 16 Thn</t>
  </si>
  <si>
    <t>JL MAYJEND HARYONO VB N0 9</t>
  </si>
  <si>
    <t>17 Nov 1983 / 41 Thn</t>
  </si>
  <si>
    <t>SENTANAN 1/6 - C</t>
  </si>
  <si>
    <t>7 Jul 1977 / 47 Thn</t>
  </si>
  <si>
    <t>JL. ANGGREK III NO 24 I</t>
  </si>
  <si>
    <t>5 May 2000 / 24 Thn</t>
  </si>
  <si>
    <t>DUSUN WEDUSAN</t>
  </si>
  <si>
    <t>10 Jun 1988 / 36 Thn</t>
  </si>
  <si>
    <t>JL MANGGA 15 LINGK CANGKRING</t>
  </si>
  <si>
    <t>10 Nov 1976 / 48 Thn</t>
  </si>
  <si>
    <t>PERUM NEW KRAKSAAN LAND BLOK B 24</t>
  </si>
  <si>
    <t>22 Dec 1982 / 42 Thn</t>
  </si>
  <si>
    <t>PERUM TEGAL BESAR PERMAI I BLOK U NO 10</t>
  </si>
  <si>
    <t>5 Jun 1966 / 58 Thn</t>
  </si>
  <si>
    <t>JL. MANGGIS 02</t>
  </si>
  <si>
    <t>14053.005.1020.258</t>
  </si>
  <si>
    <t>28 Jul 1971 / 53 Thn</t>
  </si>
  <si>
    <t>GRIYA PERMATA IJEN D-1 / 16</t>
  </si>
  <si>
    <t>29 Oct 1979 / 45 Thn</t>
  </si>
  <si>
    <t>JL KH HASAN GG KASTIR NO 28</t>
  </si>
  <si>
    <t>5 Feb 1970 / 54 Thn</t>
  </si>
  <si>
    <t>JL AHMAD YANI 12</t>
  </si>
  <si>
    <t>12 Jun 1979 / 45 Thn</t>
  </si>
  <si>
    <t>JL SUNAN KALIJOGO 20</t>
  </si>
  <si>
    <t>24 Jun 1983 / 41 Thn</t>
  </si>
  <si>
    <t>DUSUN PANDE</t>
  </si>
  <si>
    <t>30 Jun 1988 / 36 Thn</t>
  </si>
  <si>
    <t>14053.004.1020.264</t>
  </si>
  <si>
    <t>22 Feb 1973 / 51 Thn</t>
  </si>
  <si>
    <t>JALAN IKAN CAKALANG</t>
  </si>
  <si>
    <t>6 Sep 1996 / 28 Thn</t>
  </si>
  <si>
    <t>8 Jan 1988 / 36 Thn</t>
  </si>
  <si>
    <t>LINK. GESARI</t>
  </si>
  <si>
    <t>20 Jul 1968 / 56 Thn</t>
  </si>
  <si>
    <t>JL SOEKARNO HATTA 84</t>
  </si>
  <si>
    <t>10 Mar 1997 / 27 Thn</t>
  </si>
  <si>
    <t>PERUMAHAN ASABRI BLOK A NO 36</t>
  </si>
  <si>
    <t>25 Aug 1997 / 27 Thn</t>
  </si>
  <si>
    <t>JL KAHURIPAN GG KALIBORO NO 17</t>
  </si>
  <si>
    <t>2 Oct 1990 / 34 Thn</t>
  </si>
  <si>
    <t>JL MT THAMRIN 24</t>
  </si>
  <si>
    <t>8 Oct 1975 / 49 Thn</t>
  </si>
  <si>
    <t>JLN PATIMURA GANG 04 NO 06</t>
  </si>
  <si>
    <t>1 Jan 1984 / 40 Thn</t>
  </si>
  <si>
    <t>DUSUN SUMBER GEBANG</t>
  </si>
  <si>
    <t>5 Apr 1996 / 28 Thn</t>
  </si>
  <si>
    <t>JLN SEMAMPIR GANG 04 NO 6</t>
  </si>
  <si>
    <t>18 Jul 1978 / 46 Thn</t>
  </si>
  <si>
    <t>JL LAWU GG SEDAP MALAM 5 NO.1</t>
  </si>
  <si>
    <t>16 Nov 1972 / 52 Thn</t>
  </si>
  <si>
    <t>JL PUYENGAN 12 E</t>
  </si>
  <si>
    <t>4 Jan 1969 / 55 Thn</t>
  </si>
  <si>
    <t>JL. SALAK 3 NGEMBIK KIDUL</t>
  </si>
  <si>
    <t>22 Jun 1982 / 42 Thn</t>
  </si>
  <si>
    <t>JL. KH. HASAN BAYUSARI 2</t>
  </si>
  <si>
    <t>10 May 1963 / 61 Thn</t>
  </si>
  <si>
    <t>JL. PROF. HAMKA</t>
  </si>
  <si>
    <t>6 Jan 1962 / 62 Thn</t>
  </si>
  <si>
    <t>26 Apr 1969 / 55 Thn</t>
  </si>
  <si>
    <t>11 Mar 1979 / 45 Thn</t>
  </si>
  <si>
    <t>SEMBUNGAN</t>
  </si>
  <si>
    <t>2 Aug 1954 / 70 Thn</t>
  </si>
  <si>
    <t>PERUM GRAHA PERMATA INDAH BLOK AF NO 05</t>
  </si>
  <si>
    <t>TANJUNG</t>
  </si>
  <si>
    <t>7 Feb 1965 / 59 Thn</t>
  </si>
  <si>
    <t>JL. DR WAHIDIN 28A</t>
  </si>
  <si>
    <t>29 Sep 1965 / 59 Thn</t>
  </si>
  <si>
    <t>JL GAJAHMADA XIX NO 28</t>
  </si>
  <si>
    <t>14053.005.1020.285</t>
  </si>
  <si>
    <t>31 Oct 1971 / 53 Thn</t>
  </si>
  <si>
    <t>PERUM PULOREJO GREEN MODERN BLOK B / 08</t>
  </si>
  <si>
    <t>14 Sep 1970 / 54 Thn</t>
  </si>
  <si>
    <t>5 Jul 2006 / 18 Thn</t>
  </si>
  <si>
    <t>RENI JAYA BLOK U4 NO 4</t>
  </si>
  <si>
    <t>13 Feb 1993 / 31 Thn</t>
  </si>
  <si>
    <t>PERUM KOPIAN BARAT BLOK I-1</t>
  </si>
  <si>
    <t>2 Jul 1989 / 35 Thn</t>
  </si>
  <si>
    <t>26 Feb 1966 / 58 Thn</t>
  </si>
  <si>
    <t>PERUM KEBONAGUNG INDAH NO 08</t>
  </si>
  <si>
    <t>8 Apr 1967 / 57 Thn</t>
  </si>
  <si>
    <t>JL. KAWI RAYA NO.98</t>
  </si>
  <si>
    <t>23 Jun 1994 / 30 Thn</t>
  </si>
  <si>
    <t>JL. MASTRIP</t>
  </si>
  <si>
    <t>18 Jul 1973 / 51 Thn</t>
  </si>
  <si>
    <t>JL. PANGLIMA SUDIRMAN IX/18A</t>
  </si>
  <si>
    <t>16 Apr 1966 / 58 Thn</t>
  </si>
  <si>
    <t>DUSUN KURIPAN WETAN</t>
  </si>
  <si>
    <t>17 Mar 1960 / 64 Thn</t>
  </si>
  <si>
    <t>JL. KAPTEN PATIMURA GG. TAJUNGAN</t>
  </si>
  <si>
    <t>9 Jan 1996 / 28 Thn</t>
  </si>
  <si>
    <t>PERUM INDAH PEMALI D 20</t>
  </si>
  <si>
    <t>4 Dec 1985 / 39 Thn</t>
  </si>
  <si>
    <t>23 Jan 1979 / 45 Thn</t>
  </si>
  <si>
    <t>JL IKAN AMPALA</t>
  </si>
  <si>
    <t>19 Jun 1976 / 48 Thn</t>
  </si>
  <si>
    <t>JL. P. SUDIRMAN GG VIII/71</t>
  </si>
  <si>
    <t>18 Nov 1996 / 28 Thn</t>
  </si>
  <si>
    <t>JL. MT. HARYONO GG X NO 7A</t>
  </si>
  <si>
    <t>24 Feb 1959 / 65 Thn</t>
  </si>
  <si>
    <t>JL. SERMA ABDUL RAHMAN 4</t>
  </si>
  <si>
    <t>3 Apr 1978 / 46 Thn</t>
  </si>
  <si>
    <t>JL. PAHLAWAN GG KENONGO 142</t>
  </si>
  <si>
    <t>12 Sep 1964 / 60 Thn</t>
  </si>
  <si>
    <t>JL HAYAM WURUK IV/ B 99</t>
  </si>
  <si>
    <t>14053.004.1020.307</t>
  </si>
  <si>
    <t>11 Nov 1969 / 55 Thn</t>
  </si>
  <si>
    <t>7 Oct 1974 / 50 Thn</t>
  </si>
  <si>
    <t>JL SURATI BARU NO. 26</t>
  </si>
  <si>
    <t>25 Dec 1993 / 31 Thn</t>
  </si>
  <si>
    <t>DSN KRAMAT</t>
  </si>
  <si>
    <t>11 Apr 2003 / 21 Thn</t>
  </si>
  <si>
    <t>10 Jan 1965 / 59 Thn</t>
  </si>
  <si>
    <t>PERUM GADING MAS NO.6</t>
  </si>
  <si>
    <t>23 Aug 1958 / 66 Thn</t>
  </si>
  <si>
    <t>JL RA KARTINI 1B</t>
  </si>
  <si>
    <t>8 Aug 1968 / 56 Thn</t>
  </si>
  <si>
    <t>JL. KPT. PATIMURA X KAV. KTI BLOK G</t>
  </si>
  <si>
    <t>16 Apr 1992 / 32 Thn</t>
  </si>
  <si>
    <t>KP TENGAH</t>
  </si>
  <si>
    <t>4 Oct 1980 / 44 Thn</t>
  </si>
  <si>
    <t>15 Feb 2005 / 19 Thn</t>
  </si>
  <si>
    <t>BLOK BERINGIN</t>
  </si>
  <si>
    <t>16 Aug 1985 / 39 Thn</t>
  </si>
  <si>
    <t>DUSUN KERTO UTOMO</t>
  </si>
  <si>
    <t>26 Nov 1978 / 46 Thn</t>
  </si>
  <si>
    <t>JL BHREE WIRABUMI NO 9</t>
  </si>
  <si>
    <t>25 May 1984 / 40 Thn</t>
  </si>
  <si>
    <t>PERUM KOPIAN INDAH JL ARGOPURO 18 NO 12B</t>
  </si>
  <si>
    <t>26 Feb 2006 / 18 Thn</t>
  </si>
  <si>
    <t>KAMPUNG MANDING</t>
  </si>
  <si>
    <t>15 Apr 1990 / 34 Thn</t>
  </si>
  <si>
    <t>JL PANGLIMA SUDIRMAN GG PJKA</t>
  </si>
  <si>
    <t>23 Feb 1972 / 52 Thn</t>
  </si>
  <si>
    <t>DUSUN KARANG ANYAR</t>
  </si>
  <si>
    <t>11 Nov 1965 / 59 Thn</t>
  </si>
  <si>
    <t>PERUM DEPKES B2 NO.29</t>
  </si>
  <si>
    <t>18 Jan 1972 / 52 Thn</t>
  </si>
  <si>
    <t>JL.HAJI UNGGG.P NO.1-15</t>
  </si>
  <si>
    <t>30 May 1981 / 43 Thn</t>
  </si>
  <si>
    <t>JL.WELIRANG III / 20</t>
  </si>
  <si>
    <t>17 Jan 2001 / 23 Thn</t>
  </si>
  <si>
    <t>28 Jul 1981 / 43 Thn</t>
  </si>
  <si>
    <t>19 Jun 1992 / 32 Thn</t>
  </si>
  <si>
    <t>5 Mar 1981 / 43 Thn</t>
  </si>
  <si>
    <t>SOGLENGAN</t>
  </si>
  <si>
    <t>25 Dec 1998 / 26 Thn</t>
  </si>
  <si>
    <t>DUSUN MRANGGON</t>
  </si>
  <si>
    <t>26 Feb 2005 / 19 Thn</t>
  </si>
  <si>
    <t>DUSUN MAWAR</t>
  </si>
  <si>
    <t>22 Sep 1994 / 30 Thn</t>
  </si>
  <si>
    <t>JL MAWAR BARAT 59</t>
  </si>
  <si>
    <t>12 Sep 2007 / 17 Thn</t>
  </si>
  <si>
    <t>PERUM SUMBERLELE PERMAI BLOK E/9</t>
  </si>
  <si>
    <t>17 Aug 1989 / 35 Thn</t>
  </si>
  <si>
    <t>JL PRAMBANAN I NO 08</t>
  </si>
  <si>
    <t>19 Sep 1978 / 46 Thn</t>
  </si>
  <si>
    <t>JL HASANUDDIN 152</t>
  </si>
  <si>
    <t>10 Jan 1990 / 34 Thn</t>
  </si>
  <si>
    <t>DSN CURAHDAMI</t>
  </si>
  <si>
    <t>21 Sep 1970 / 54 Thn</t>
  </si>
  <si>
    <t>27 Aug 1962 / 62 Thn</t>
  </si>
  <si>
    <t>JL. WELIRANG V / 06</t>
  </si>
  <si>
    <t>18 Jul 1982 / 42 Thn</t>
  </si>
  <si>
    <t>GANG SATRIA</t>
  </si>
  <si>
    <t>16 Jun 1988 / 36 Thn</t>
  </si>
  <si>
    <t>15 Dec 1966 / 58 Thn</t>
  </si>
  <si>
    <t>JL LETJEN SUPRAPTO II NO 48 LINGK SUMBER DANDANG</t>
  </si>
  <si>
    <t>25 Aug 1987 / 37 Thn</t>
  </si>
  <si>
    <t>PERUM STI BLOK GG. NO 4</t>
  </si>
  <si>
    <t>19 Apr 1966 / 58 Thn</t>
  </si>
  <si>
    <t>JL BENGAWAN SOLO PERUM GREEN SAVANA NO 06</t>
  </si>
  <si>
    <t>29 May 1985 / 39 Thn</t>
  </si>
  <si>
    <t>JL LETJEN SUPRAPTO 4 NO 69</t>
  </si>
  <si>
    <t>1 May 2000 / 24 Thn</t>
  </si>
  <si>
    <t>JL KAPTEN WAROKA NO 30</t>
  </si>
  <si>
    <t>16 May 2007 / 17 Thn</t>
  </si>
  <si>
    <t>JL BROMO NO 17</t>
  </si>
  <si>
    <t>27 Aug 1997 / 27 Thn</t>
  </si>
  <si>
    <t>6 Jun 1995 / 29 Thn</t>
  </si>
  <si>
    <t>DSN.PETUNG KIDUL</t>
  </si>
  <si>
    <t>27 Dec 1962 / 62 Thn</t>
  </si>
  <si>
    <t>JL PIERE TENDEAN 12</t>
  </si>
  <si>
    <t>23 Jun 1993 / 31 Thn</t>
  </si>
  <si>
    <t>JL MUSI</t>
  </si>
  <si>
    <t>18 Apr 1991 / 33 Thn</t>
  </si>
  <si>
    <t>JL LETJEN SUPRAPTO II NO 32</t>
  </si>
  <si>
    <t>14053.006.1020.354</t>
  </si>
  <si>
    <t>14 Apr 1952 / 72 Thn</t>
  </si>
  <si>
    <t>DSN.GUMELEM WETAN</t>
  </si>
  <si>
    <t>19 Jul 1998 / 26 Thn</t>
  </si>
  <si>
    <t>JL MANGGIS 4 NO 16 LINGK KRAJAN</t>
  </si>
  <si>
    <t>29 Jan 1999 / 25 Thn</t>
  </si>
  <si>
    <t>JL LETJEN SUPRAPTO II NO 120</t>
  </si>
  <si>
    <t>27 May 2001 / 23 Thn</t>
  </si>
  <si>
    <t>jln. Merpati udapi hilir prafi</t>
  </si>
  <si>
    <t>31 May 2000 / 24 Thn</t>
  </si>
  <si>
    <t>PERUM CPI 3 BLOK B</t>
  </si>
  <si>
    <t>14053.005.1020.448</t>
  </si>
  <si>
    <t>6 Mar 1982 / 42 Thn</t>
  </si>
  <si>
    <t>JL MANUKAN LOR II J/22</t>
  </si>
  <si>
    <t>7 May 2006 / 18 Thn</t>
  </si>
  <si>
    <t>3 Jan 1995 / 29 Thn</t>
  </si>
  <si>
    <t>14053.003.1020.361</t>
  </si>
  <si>
    <t>25 Oct 1978 / 46 Thn</t>
  </si>
  <si>
    <t>JL LETJEN SUTOYO V GG CAKRA</t>
  </si>
  <si>
    <t>16 Dec 1972 / 52 Thn</t>
  </si>
  <si>
    <t>6 Jul 1992 / 32 Thn</t>
  </si>
  <si>
    <t>PURI MOJOBARU BLOK DE / 24</t>
  </si>
  <si>
    <t>18 Oct 2002 / 22 Thn</t>
  </si>
  <si>
    <t>JL RA KARTINI GG SAKTI 17</t>
  </si>
  <si>
    <t>14053.003.1020.364</t>
  </si>
  <si>
    <t>2 Jun 1968 / 56 Thn</t>
  </si>
  <si>
    <t>JL LETJEN SUTOYO LINGK SUMBER PAKEM</t>
  </si>
  <si>
    <t>13 Jun 1968 / 56 Thn</t>
  </si>
  <si>
    <t>JL TEUKU UMAR GG TARUNA</t>
  </si>
  <si>
    <t>25 May 1987 / 37 Thn</t>
  </si>
  <si>
    <t>PERUM GRIYA MUTIARA BLOK C 10</t>
  </si>
  <si>
    <t>9 Apr 1990 / 34 Thn</t>
  </si>
  <si>
    <t>13 Nov 2003 / 21 Thn</t>
  </si>
  <si>
    <t>6 May 1953 / 71 Thn</t>
  </si>
  <si>
    <t>JL. KH MANSYUR 43</t>
  </si>
  <si>
    <t>30 Aug 1998 / 26 Thn</t>
  </si>
  <si>
    <t>PERUM PERMATA MAYANG BLOK B 1</t>
  </si>
  <si>
    <t>JL GATOT SUBROTO</t>
  </si>
  <si>
    <t>8 Jan 1986 / 38 Thn</t>
  </si>
  <si>
    <t>PERUM STI BLOK T 07</t>
  </si>
  <si>
    <t>1 Aug 1977 / 47 Thn</t>
  </si>
  <si>
    <t>21 Dec 1988 / 36 Thn</t>
  </si>
  <si>
    <t>DUSUN MELATI</t>
  </si>
  <si>
    <t>14 May 1996 / 28 Thn</t>
  </si>
  <si>
    <t>12 Jul 1989 / 35 Thn</t>
  </si>
  <si>
    <t>JL SERMA ABD RAHMAN GG 13 NO 13</t>
  </si>
  <si>
    <t>26 Jun 1997 / 27 Thn</t>
  </si>
  <si>
    <t>JL CANGKRING 19 A</t>
  </si>
  <si>
    <t>12 Dec 1997 / 27 Thn</t>
  </si>
  <si>
    <t>JL AGUS SALIM GG KALI SERANG BLOK I NO 1</t>
  </si>
  <si>
    <t>9 Jan 1994 / 30 Thn</t>
  </si>
  <si>
    <t>Perumahan Pessona Wirolegi Blok k5</t>
  </si>
  <si>
    <t>30 Nov 1974 / 50 Thn</t>
  </si>
  <si>
    <t>PERUM GRIYA ASRI</t>
  </si>
  <si>
    <t>11 Jun 2007 / 17 Thn</t>
  </si>
  <si>
    <t>JL WIJAYA KUSUMA NO. 103</t>
  </si>
  <si>
    <t>12 Apr 1960 / 64 Thn</t>
  </si>
  <si>
    <t>JL BRIGJEND KATAMSO GG III/ 1</t>
  </si>
  <si>
    <t>7 Jun 1997 / 27 Thn</t>
  </si>
  <si>
    <t>PAYO LEBAR</t>
  </si>
  <si>
    <t>14053.003.1020.385</t>
  </si>
  <si>
    <t>31 Jul 1965 / 59 Thn</t>
  </si>
  <si>
    <t>JL MOCH SERUJI 59 LINGK KRAJAN</t>
  </si>
  <si>
    <t>8 Jan 1982 / 42 Thn</t>
  </si>
  <si>
    <t>7 Oct 1963 / 61 Thn</t>
  </si>
  <si>
    <t>JL trunojoyo 9/34 RT.01 RW 24</t>
  </si>
  <si>
    <t>8 Nov 1971 / 53 Thn</t>
  </si>
  <si>
    <t>JL TRUNOJOYO 9/34</t>
  </si>
  <si>
    <t>15 Sep 1974 / 50 Thn</t>
  </si>
  <si>
    <t>PERUM ALAM ELOK BLOK C-6</t>
  </si>
  <si>
    <t>5 Dec 1985 / 39 Thn</t>
  </si>
  <si>
    <t>JL LETJEN SUTOYO BTN KEBONSARI INDAH Q3</t>
  </si>
  <si>
    <t>14053.003.1020.392</t>
  </si>
  <si>
    <t>14 Apr 1985 / 39 Thn</t>
  </si>
  <si>
    <t>JL AHMAD YANI XI/109 LINGK TEMBAAN</t>
  </si>
  <si>
    <t>8 Jan 1978 / 46 Thn</t>
  </si>
  <si>
    <t>LINGK. ROWO</t>
  </si>
  <si>
    <t>30 Jul 1966 / 58 Thn</t>
  </si>
  <si>
    <t>14053.004.1020.395</t>
  </si>
  <si>
    <t>29 Dec 1995 / 29 Thn</t>
  </si>
  <si>
    <t>6 Aug 1994 / 30 Thn</t>
  </si>
  <si>
    <t>24 Mar 2004 / 20 Thn</t>
  </si>
  <si>
    <t>26 Feb 1968 / 56 Thn</t>
  </si>
  <si>
    <t>JL HAYAM WURUK I</t>
  </si>
  <si>
    <t>29 Jun 1980 / 44 Thn</t>
  </si>
  <si>
    <t>JL MT HARIYONO LING KALIKOTOK</t>
  </si>
  <si>
    <t>13 Sep 1981 / 43 Thn</t>
  </si>
  <si>
    <t>SIDOMULYO BARAT</t>
  </si>
  <si>
    <t>15 Dec 1972 / 52 Thn</t>
  </si>
  <si>
    <t>JARANAN</t>
  </si>
  <si>
    <t>23 Mar 1986 / 38 Thn</t>
  </si>
  <si>
    <t>JL MASTRIP GG 1 NO 58</t>
  </si>
  <si>
    <t>17 Jul 1983 / 41 Thn</t>
  </si>
  <si>
    <t>JL IKAN TONGKOL</t>
  </si>
  <si>
    <t>9 Jul 1996 / 28 Thn</t>
  </si>
  <si>
    <t>26 Mar 1990 / 34 Thn</t>
  </si>
  <si>
    <t>KAMPUNG PESISIR</t>
  </si>
  <si>
    <t>1 Jul 1977 / 47 Thn</t>
  </si>
  <si>
    <t>JL. MAHAKAM</t>
  </si>
  <si>
    <t>7 Aug 1980 / 44 Thn</t>
  </si>
  <si>
    <t>JL KH HASAN GG BUNTU</t>
  </si>
  <si>
    <t>15 Apr 1987 / 37 Thn</t>
  </si>
  <si>
    <t>JL WIJAYA KUSUMA IV NO 33</t>
  </si>
  <si>
    <t>23 Sep 1988 / 36 Thn</t>
  </si>
  <si>
    <t>JL. IKAN PAUS 17</t>
  </si>
  <si>
    <t>14053.001.1020.410</t>
  </si>
  <si>
    <t>5 Jan 1984 / 40 Thn</t>
  </si>
  <si>
    <t>JLN. IKAN KERAPU 1</t>
  </si>
  <si>
    <t>15 Jan 2005 / 19 Thn</t>
  </si>
  <si>
    <t>JL ARGOPURO 1</t>
  </si>
  <si>
    <t>15 Apr 1977 / 47 Thn</t>
  </si>
  <si>
    <t>JLSERMA ABD RAHMAN GG 6</t>
  </si>
  <si>
    <t>22 Nov 1998 / 26 Thn</t>
  </si>
  <si>
    <t>LINGK. KEROBOKAN</t>
  </si>
  <si>
    <t>1 Jul 1976 / 48 Thn</t>
  </si>
  <si>
    <t>12 Jun 1971 / 53 Thn</t>
  </si>
  <si>
    <t>JL. BENGAWAN SOLO NO 19</t>
  </si>
  <si>
    <t>14 Aug 1989 / 35 Thn</t>
  </si>
  <si>
    <t>1 Jul 1990 / 34 Thn</t>
  </si>
  <si>
    <t>14053.001.1020.418</t>
  </si>
  <si>
    <t>1 Feb 1999 / 25 Thn</t>
  </si>
  <si>
    <t>JL SUNAN BONANG</t>
  </si>
  <si>
    <t>14053.001.1020.419</t>
  </si>
  <si>
    <t>9 Sep 1969 / 55 Thn</t>
  </si>
  <si>
    <t>25 Dec 1976 / 48 Thn</t>
  </si>
  <si>
    <t>14053.001.1020.421</t>
  </si>
  <si>
    <t>5 Aug 1966 / 58 Thn</t>
  </si>
  <si>
    <t>27 Jul 2005 / 19 Thn</t>
  </si>
  <si>
    <t>4 Feb 2000 / 24 Thn</t>
  </si>
  <si>
    <t>DSN SUBUR</t>
  </si>
  <si>
    <t>26 Jan 1983 / 41 Thn</t>
  </si>
  <si>
    <t>JL KH HASAN GG PELITA NO 68</t>
  </si>
  <si>
    <t>27 May 2008 / 16 Thn</t>
  </si>
  <si>
    <t>12 Aug 2003 / 21 Thn</t>
  </si>
  <si>
    <t>15 Aug 1990 / 34 Thn</t>
  </si>
  <si>
    <t>JL LETJEN SUTOYO 22</t>
  </si>
  <si>
    <t>23 May 1995 / 29 Thn</t>
  </si>
  <si>
    <t>PERUM TIARA BRAWIJAYA BLOK PURING NO 03</t>
  </si>
  <si>
    <t>1 May 1968 / 56 Thn</t>
  </si>
  <si>
    <t>JL MH. THAMRIN NO 18</t>
  </si>
  <si>
    <t>4 Oct 2005 / 19 Thn</t>
  </si>
  <si>
    <t>13 Dec 1977 / 47 Thn</t>
  </si>
  <si>
    <t>JL SUNAN MURIA GG TURI PUTIH</t>
  </si>
  <si>
    <t>22 May 1993 / 31 Thn</t>
  </si>
  <si>
    <t>15 Jan 1996 / 28 Thn</t>
  </si>
  <si>
    <t>PERUM ASABRI B-45</t>
  </si>
  <si>
    <t>27 Mar 2002 / 22 Thn</t>
  </si>
  <si>
    <t>4 Apr 2003 / 21 Thn</t>
  </si>
  <si>
    <t>JL IKAN CAKALAN</t>
  </si>
  <si>
    <t>29 Nov 1997 / 27 Thn</t>
  </si>
  <si>
    <t>18 Nov 2004 / 20 Thn</t>
  </si>
  <si>
    <t>8 Jun 2006 / 18 Thn</t>
  </si>
  <si>
    <t>20 May 2000 / 24 Thn</t>
  </si>
  <si>
    <t>DUSUN ROWO</t>
  </si>
  <si>
    <t>8 Jun 1965 / 59 Thn</t>
  </si>
  <si>
    <t>10 Aug 2004 / 20 Thn</t>
  </si>
  <si>
    <t>JL MASTRIP III / 37</t>
  </si>
  <si>
    <t>11 Jun 1965 / 59 Thn</t>
  </si>
  <si>
    <t>JL CIPTO MANGUNKUSUMO 1 / 2</t>
  </si>
  <si>
    <t>26 Aug 1955 / 69 Thn</t>
  </si>
  <si>
    <t>KEBONSARI 3</t>
  </si>
  <si>
    <t>22 Aug 1992 / 32 Thn</t>
  </si>
  <si>
    <t>Perum D Mojopahit Sweet Home Blok Anggur No.7</t>
  </si>
  <si>
    <t>13 Mar 1975 / 49 Thn</t>
  </si>
  <si>
    <t>JL SUNAN MURIA NO 48</t>
  </si>
  <si>
    <t>2 Jun 1982 / 42 Thn</t>
  </si>
  <si>
    <t>14 Feb 1989 / 35 Thn</t>
  </si>
  <si>
    <t>JL KINIBALU NO 32</t>
  </si>
  <si>
    <t>24 Jul 1972 / 52 Thn</t>
  </si>
  <si>
    <t>JL. WALIKOTA GATOT GG 18 NO 16</t>
  </si>
  <si>
    <t>22 Oct 2000 / 24 Thn</t>
  </si>
  <si>
    <t>JALAN RAYA BROMO DESA NGADISARI</t>
  </si>
  <si>
    <t>23 Apr 1976 / 48 Thn</t>
  </si>
  <si>
    <t>JL COKROMINOTO GG VII NO 38</t>
  </si>
  <si>
    <t>11 Jun 1969 / 55 Thn</t>
  </si>
  <si>
    <t>WONOKERTO</t>
  </si>
  <si>
    <t>29 Aug 2006 / 18 Thn</t>
  </si>
  <si>
    <t>JL.JENDRAL SUDIRMAN 299</t>
  </si>
  <si>
    <t>2 Feb 1983 / 41 Thn</t>
  </si>
  <si>
    <t>28 Mar 1986 / 38 Thn</t>
  </si>
  <si>
    <t>PERUM TEGAL BESAR PERMAI I J 1</t>
  </si>
  <si>
    <t>13 Jul 1962 / 62 Thn</t>
  </si>
  <si>
    <t>JLN RAYA P SUDIRMAN NO 66</t>
  </si>
  <si>
    <t>8 Jul 1998 / 26 Thn</t>
  </si>
  <si>
    <t>4 Dec 1988 / 36 Thn</t>
  </si>
  <si>
    <t>JL CITARUM NO 12 E</t>
  </si>
  <si>
    <t>18 Mar 1991 / 33 Thn</t>
  </si>
  <si>
    <t>JL LETJEN SUTIYO NO 51 LINGK SUMBER PAKEM</t>
  </si>
  <si>
    <t>12 Sep 1973 / 51 Thn</t>
  </si>
  <si>
    <t>PERUM CAHAYA MAS D1 NO 22</t>
  </si>
  <si>
    <t>14053.001.1020.466</t>
  </si>
  <si>
    <t>20 Jun 1984 / 40 Thn</t>
  </si>
  <si>
    <t>JL KH HASAN GG PELITA</t>
  </si>
  <si>
    <t>21 Aug 1988 / 36 Thn</t>
  </si>
  <si>
    <t>JL BASUKI RAHMAT</t>
  </si>
  <si>
    <t>16 Jan 1981 / 43 Thn</t>
  </si>
  <si>
    <t>28 Aug 1982 / 42 Thn</t>
  </si>
  <si>
    <t>PERUM SIGURA HILL C-14</t>
  </si>
  <si>
    <t>23 Nov 1976 / 48 Thn</t>
  </si>
  <si>
    <t>JLN IMAM BONJOL 07 BESUKI</t>
  </si>
  <si>
    <t>11 Nov 1992 / 32 Thn</t>
  </si>
  <si>
    <t>JL ANGGURAN JAYA 1 NO 160</t>
  </si>
  <si>
    <t>12 Mar 1993 / 31 Thn</t>
  </si>
  <si>
    <t>4 Jan 1979 / 45 Thn</t>
  </si>
  <si>
    <t>JL MELATI NO 04</t>
  </si>
  <si>
    <t>27 Jun 2003 / 21 Thn</t>
  </si>
  <si>
    <t>DSN KRONGGENGAN JL RAYA DRINGU GG MARGO ASRI A14A14</t>
  </si>
  <si>
    <t>29 Dec 2002 / 22 Thn</t>
  </si>
  <si>
    <t>JL MELATI</t>
  </si>
  <si>
    <t>JL BRANTAS XXIV/244</t>
  </si>
  <si>
    <t>10 May 1972 / 52 Thn</t>
  </si>
  <si>
    <t>JL LETJEND SUTOYO GG SCORPIUO B 11</t>
  </si>
  <si>
    <t>20 Apr 1982 / 42 Thn</t>
  </si>
  <si>
    <t>JL PANTAI</t>
  </si>
  <si>
    <t>29 May 1970 / 54 Thn</t>
  </si>
  <si>
    <t>JL RAYA PANGLIMA SUDIRMAN GG MANUNGGAL II/216</t>
  </si>
  <si>
    <t>11 May 1977 / 47 Thn</t>
  </si>
  <si>
    <t>PERUM PURI BRAWIJAYA PERMAI BLOK Q.15</t>
  </si>
  <si>
    <t>23 Aug 1979 / 45 Thn</t>
  </si>
  <si>
    <t>PERUM CITRA PESONA INDAH III/26</t>
  </si>
  <si>
    <t>10 Jan 1989 / 35 Thn</t>
  </si>
  <si>
    <t>JL BANTARAN DUSUN KRAJAN</t>
  </si>
  <si>
    <t>20 Aug 1959 / 65 Thn</t>
  </si>
  <si>
    <t>JL KH DAHLAN NO 24 LINGK KEPATIHAN</t>
  </si>
  <si>
    <t>28 Aug 1980 / 44 Thn</t>
  </si>
  <si>
    <t>JALUR 6 NO 286 A</t>
  </si>
  <si>
    <t>DUSUN RANDULIMO</t>
  </si>
  <si>
    <t>6 Dec 2001 / 23 Thn</t>
  </si>
  <si>
    <t>DUSUN PARSEHAN</t>
  </si>
  <si>
    <t>3 Apr 1988 / 36 Thn</t>
  </si>
  <si>
    <t>JL. BRAWIJAYA NO.173</t>
  </si>
  <si>
    <t>30 Jun 1964 / 60 Thn</t>
  </si>
  <si>
    <t>1 Jul 1968 / 56 Thn</t>
  </si>
  <si>
    <t>14053.003.1020.489</t>
  </si>
  <si>
    <t>3 Sep 1972 / 52 Thn</t>
  </si>
  <si>
    <t>JL LETJEN SUTOYO I D 3 LINGK SUMBER PAKEM</t>
  </si>
  <si>
    <t>26 Dec 1978 / 46 Thn</t>
  </si>
  <si>
    <t>PODOREJO</t>
  </si>
  <si>
    <t>11 Oct 1998 / 26 Thn</t>
  </si>
  <si>
    <t>JL LETJEN SUTOYO I D NO 3</t>
  </si>
  <si>
    <t>22 Jan 1993 / 31 Thn</t>
  </si>
  <si>
    <t>14053.003.1020.494</t>
  </si>
  <si>
    <t>9 Jul 1970 / 54 Thn</t>
  </si>
  <si>
    <t>JL LETJEN SUTOYO PERUM GRAHA PERMATA INDAH AF 22</t>
  </si>
  <si>
    <t>JL DR SUTOMO GG 3 /12</t>
  </si>
  <si>
    <t>7 Mar 1966 / 58 Thn</t>
  </si>
  <si>
    <t>JL RAJEKWESI XII / 10</t>
  </si>
  <si>
    <t>4 Feb 1987 / 37 Thn</t>
  </si>
  <si>
    <t>22 Jun 1978 / 46 Thn</t>
  </si>
  <si>
    <t>JL CANGKRING 66B</t>
  </si>
  <si>
    <t>2 May 2000 / 24 Thn</t>
  </si>
  <si>
    <t>DUSUN KRAJAN BANDARAN</t>
  </si>
  <si>
    <t>2 Feb 1999 / 25 Thn</t>
  </si>
  <si>
    <t>JL BRANTAS RUSUNAWA BAYUANGGA</t>
  </si>
  <si>
    <t>24 May 1985 / 39 Thn</t>
  </si>
  <si>
    <t>JL MERAPI GG III PERUM GRIYA HARAPAN INDAH B27</t>
  </si>
  <si>
    <t>18 Aug 1988 / 36 Thn</t>
  </si>
  <si>
    <t>JL KAWI 1 NO 10 LINGK KRAJAN TIMUR</t>
  </si>
  <si>
    <t>20 Feb 1983 / 41 Thn</t>
  </si>
  <si>
    <t>JL KACA PIRING III NO 77</t>
  </si>
  <si>
    <t>5 May 2006 / 18 Thn</t>
  </si>
  <si>
    <t>RAMBEANAK I</t>
  </si>
  <si>
    <t>8 Nov 2003 / 21 Thn</t>
  </si>
  <si>
    <t>SUNAN AMPEL VI NO 49</t>
  </si>
  <si>
    <t>5 Nov 1967 / 57 Thn</t>
  </si>
  <si>
    <t>PERUM PAKISTAJI ASRI BLOK J3</t>
  </si>
  <si>
    <t>12 May 2000 / 24 Thn</t>
  </si>
  <si>
    <t>DUSUN BOBOR</t>
  </si>
  <si>
    <t>31 May 1995 / 29 Thn</t>
  </si>
  <si>
    <t>JL IKAN KERAPU IV / 5</t>
  </si>
  <si>
    <t>10 May 1982 / 42 Thn</t>
  </si>
  <si>
    <t>JL WIJAYA KUSUMA NO 10</t>
  </si>
  <si>
    <t>26 Nov 1985 / 39 Thn</t>
  </si>
  <si>
    <t>JL DIPONEGORO GG ANGKER</t>
  </si>
  <si>
    <t>8 Jun 1981 / 43 Thn</t>
  </si>
  <si>
    <t>KANDANGAN</t>
  </si>
  <si>
    <t>14053.002.1020.514</t>
  </si>
  <si>
    <t>1 Jul 1981 / 43 Thn</t>
  </si>
  <si>
    <t>1 Nov 1965 / 59 Thn</t>
  </si>
  <si>
    <t>1 Jul 1982 / 42 Thn</t>
  </si>
  <si>
    <t>23 Aug 1975 / 49 Thn</t>
  </si>
  <si>
    <t>DSN.PENDING</t>
  </si>
  <si>
    <t>10 Jul 1978 / 46 Thn</t>
  </si>
  <si>
    <t>30 Oct 1978 / 46 Thn</t>
  </si>
  <si>
    <t>1 Jul 1986 / 38 Thn</t>
  </si>
  <si>
    <t>DUSUN PAN PAN</t>
  </si>
  <si>
    <t>12 Oct 1978 / 46 Thn</t>
  </si>
  <si>
    <t>7 May 1993 / 31 Thn</t>
  </si>
  <si>
    <t>30 Jun 1952 / 72 Thn</t>
  </si>
  <si>
    <t>30 May 1993 / 31 Thn</t>
  </si>
  <si>
    <t>JL COKROAMINOTO X/98 A</t>
  </si>
  <si>
    <t>12 Sep 1993 / 31 Thn</t>
  </si>
  <si>
    <t>DUSUN SUMBER ARMI BLOK SEGER</t>
  </si>
  <si>
    <t>9 Sep 1984 / 40 Thn</t>
  </si>
  <si>
    <t>21 Jun 1962 / 62 Thn</t>
  </si>
  <si>
    <t>2 Mar 1985 / 39 Thn</t>
  </si>
  <si>
    <t>14053.004.1020.531</t>
  </si>
  <si>
    <t>2 Feb 1988 / 36 Thn</t>
  </si>
  <si>
    <t>6 Feb 1988 / 36 Thn</t>
  </si>
  <si>
    <t>JL BANJAR ANYAR IV / 18</t>
  </si>
  <si>
    <t>4 Apr 1984 / 40 Thn</t>
  </si>
  <si>
    <t>24 May 1997 / 27 Thn</t>
  </si>
  <si>
    <t>JL MADURA I NO 80 A</t>
  </si>
  <si>
    <t>15 Mar 1987 / 37 Thn</t>
  </si>
  <si>
    <t>LINGKUNGAN KUWUNG 58</t>
  </si>
  <si>
    <t>30 Dec 1980 / 44 Thn</t>
  </si>
  <si>
    <t>JL NUSA INDAH 18</t>
  </si>
  <si>
    <t>16 Jun 2002 / 22 Thn</t>
  </si>
  <si>
    <t>JL KAPT. PATIMURA GG XII/05</t>
  </si>
  <si>
    <t>18 May 1980 / 44 Thn</t>
  </si>
  <si>
    <t>25 Aug 1961 / 63 Thn</t>
  </si>
  <si>
    <t>14053.001.1020.540</t>
  </si>
  <si>
    <t>19 Jun 1998 / 26 Thn</t>
  </si>
  <si>
    <t>PERUM. PESONA PERMATAGADING II BLOK VV-20</t>
  </si>
  <si>
    <t>9 May 1996 / 28 Thn</t>
  </si>
  <si>
    <t>PUNGGING PERMAI CD-10</t>
  </si>
  <si>
    <t>14 Sep 2001 / 23 Thn</t>
  </si>
  <si>
    <t>PERUM PONDOK GEDE PERMAI DF 2</t>
  </si>
  <si>
    <t>26 Mar 1987 / 37 Thn</t>
  </si>
  <si>
    <t>8 Sep 1985 / 39 Thn</t>
  </si>
  <si>
    <t>18 Nov 1986 / 38 Thn</t>
  </si>
  <si>
    <t>JL SOEKARNO HATTA 41</t>
  </si>
  <si>
    <t>17 May 1974 / 50 Thn</t>
  </si>
  <si>
    <t>GEDONGAN 1 / 27</t>
  </si>
  <si>
    <t>9 Aug 2007 / 17 Thn</t>
  </si>
  <si>
    <t>PLOSO BARU NO 8</t>
  </si>
  <si>
    <t>12 Apr 1974 / 50 Thn</t>
  </si>
  <si>
    <t>14053.001.1020.550</t>
  </si>
  <si>
    <t>14 Aug 1953 / 71 Thn</t>
  </si>
  <si>
    <t>JL PAHLAWAN NO 14</t>
  </si>
  <si>
    <t>8 Feb 1984 / 40 Thn</t>
  </si>
  <si>
    <t>JL MENDUT NO 62</t>
  </si>
  <si>
    <t>17 Apr 2000 / 24 Thn</t>
  </si>
  <si>
    <t>JL KAWI XII / 10</t>
  </si>
  <si>
    <t>9 Jun 2002 / 22 Thn</t>
  </si>
  <si>
    <t>14053.005.1020.554</t>
  </si>
  <si>
    <t>9 Apr 1968 / 56 Thn</t>
  </si>
  <si>
    <t>GRIYA BABATAN MUKTI M-32</t>
  </si>
  <si>
    <t>28 Aug 1992 / 32 Thn</t>
  </si>
  <si>
    <t>JL S PARMAN NO 91</t>
  </si>
  <si>
    <t>25 Dec 1999 / 25 Thn</t>
  </si>
  <si>
    <t>PERUM TAMAN KAMPUS D3 NO 6</t>
  </si>
  <si>
    <t>29 Jun 2003 / 21 Thn</t>
  </si>
  <si>
    <t>JL SUNAN KALIJAGA</t>
  </si>
  <si>
    <t>16 Aug 2005 / 19 Thn</t>
  </si>
  <si>
    <t>JL MANGGA</t>
  </si>
  <si>
    <t>14 Aug 1980 / 44 Thn</t>
  </si>
  <si>
    <t>GENTENGAN</t>
  </si>
  <si>
    <t>22 May 1984 / 40 Thn</t>
  </si>
  <si>
    <t>3 Dec 1991 / 33 Thn</t>
  </si>
  <si>
    <t>JL GALUNGGUNG DUSUN SUBUR</t>
  </si>
  <si>
    <t>23 Aug 2005 / 19 Thn</t>
  </si>
  <si>
    <t>JL SUNAN GIRI BLOK MANTONG DUSUN</t>
  </si>
  <si>
    <t>8 Jun 2004 / 20 Thn</t>
  </si>
  <si>
    <t>PERUM SUMBER TAMAN INDAH BLOK Q6</t>
  </si>
  <si>
    <t>JL WR SUPRATMAN 156</t>
  </si>
  <si>
    <t>3 Mar 2000 / 24 Thn</t>
  </si>
  <si>
    <t>JL SLAMET RIYADI GG BIMA NO 27</t>
  </si>
  <si>
    <t>10 Apr 1992 / 32 Thn</t>
  </si>
  <si>
    <t>DSN MULYOSARI</t>
  </si>
  <si>
    <t>12 Aug 1976 / 48 Thn</t>
  </si>
  <si>
    <t>14 Jun 1993 / 31 Thn</t>
  </si>
  <si>
    <t>DUSUN KALIAMAS</t>
  </si>
  <si>
    <t>27 Sep 1990 / 34 Thn</t>
  </si>
  <si>
    <t>SAWAHAN KIDUL</t>
  </si>
  <si>
    <t>9 Jan 1979 / 45 Thn</t>
  </si>
  <si>
    <t>JL GAJAH MADA 4 LINGK LEDOK</t>
  </si>
  <si>
    <t>25 May 1982 / 42 Thn</t>
  </si>
  <si>
    <t>JL SOEKARO HATTA GG SUMBER PENANG</t>
  </si>
  <si>
    <t>SUWALUH SELATAN</t>
  </si>
  <si>
    <t>JL. S. PARMAN 95</t>
  </si>
  <si>
    <t>23 Dec 2001 / 23 Thn</t>
  </si>
  <si>
    <t>JL. RAUNG 1 / 14</t>
  </si>
  <si>
    <t>5 Nov 1965 / 59 Thn</t>
  </si>
  <si>
    <t>DS. PAREMONO</t>
  </si>
  <si>
    <t>27 Jul 1995 / 29 Thn</t>
  </si>
  <si>
    <t>DUSUN CANGRING</t>
  </si>
  <si>
    <t>9 Mar 1983 / 41 Thn</t>
  </si>
  <si>
    <t>JL VETERAN 75</t>
  </si>
  <si>
    <t>DUSUN GUMUK</t>
  </si>
  <si>
    <t>22 Sep 1986 / 38 Thn</t>
  </si>
  <si>
    <t>JL KAPTEN ILYAS GG TERATAI NO 22</t>
  </si>
  <si>
    <t>12 Feb 1980 / 44 Thn</t>
  </si>
  <si>
    <t>JL PB SUDIRMAN VIII NO 115 LINGK PAGAH</t>
  </si>
  <si>
    <t>28 May 1965 / 59 Thn</t>
  </si>
  <si>
    <t>JL A YANI IV NO 50</t>
  </si>
  <si>
    <t>7 Sep 1987 / 37 Thn</t>
  </si>
  <si>
    <t>JL CITARUM PERUM GABRIEL AM NO 10</t>
  </si>
  <si>
    <t>20 Feb 1970 / 54 Thn</t>
  </si>
  <si>
    <t>29 May 2001 / 23 Thn</t>
  </si>
  <si>
    <t>14053.003.1020.586</t>
  </si>
  <si>
    <t>11 Dec 1993 / 31 Thn</t>
  </si>
  <si>
    <t>PERUM GEDE PERMAI KAV 4</t>
  </si>
  <si>
    <t>DUSUN BARDIN</t>
  </si>
  <si>
    <t>PM</t>
  </si>
  <si>
    <t>24 - 35 Th</t>
  </si>
  <si>
    <t>36 - 45 Th</t>
  </si>
  <si>
    <t>46 - 60 Th</t>
  </si>
  <si>
    <t xml:space="preserve">   </t>
  </si>
  <si>
    <t>EKSPEDISI NINJA EXPRESS</t>
  </si>
  <si>
    <t>ART</t>
  </si>
  <si>
    <t>ASRAMA PUTRA SINT JAN</t>
  </si>
  <si>
    <t xml:space="preserve">PT DAYASA ARIA PRIMA </t>
  </si>
  <si>
    <t>17-06-1996</t>
  </si>
  <si>
    <t>KARYAWAN SWASTA PARIWISATA</t>
  </si>
  <si>
    <t>14053.005.1021.235</t>
  </si>
  <si>
    <t>12-04-1983</t>
  </si>
  <si>
    <t>14053.001.1021.236</t>
  </si>
  <si>
    <t>30-05-1979</t>
  </si>
  <si>
    <t>14053.004.1021.237</t>
  </si>
  <si>
    <t>07-11-1978</t>
  </si>
  <si>
    <t>SD NEGERI TELEMUNG</t>
  </si>
  <si>
    <t>14053.001.1021.238</t>
  </si>
  <si>
    <t>25-05-1992</t>
  </si>
  <si>
    <t>14053.001.1021.239</t>
  </si>
  <si>
    <t>01-07-1998</t>
  </si>
  <si>
    <t>BNING MAKEUP</t>
  </si>
  <si>
    <t>14053.005.1021.240</t>
  </si>
  <si>
    <t>03-08-1997</t>
  </si>
  <si>
    <t>14053.004.1021.241</t>
  </si>
  <si>
    <t>03-11-1994</t>
  </si>
  <si>
    <t>14053.001.1021.242</t>
  </si>
  <si>
    <t>PT INSERA SENA</t>
  </si>
  <si>
    <t>14053.005.1021.243</t>
  </si>
  <si>
    <t>01-01-1975</t>
  </si>
  <si>
    <t>KONSULTAN</t>
  </si>
  <si>
    <t>PT BRAHMADITYA BERKAH BERSAMA</t>
  </si>
  <si>
    <t>14053.004.1021.244</t>
  </si>
  <si>
    <t>23-08-2000</t>
  </si>
  <si>
    <t>ROTI GORENG EDUNG WANITA</t>
  </si>
  <si>
    <t>14053.002.1021.245</t>
  </si>
  <si>
    <t>14053.001.1021.246</t>
  </si>
  <si>
    <t>14053.001.1021.247</t>
  </si>
  <si>
    <t>14053.001.1021.248</t>
  </si>
  <si>
    <t>03-03-1990</t>
  </si>
  <si>
    <t>TIDAK VALID</t>
  </si>
  <si>
    <t>Per Tanggal 2025-09-30</t>
  </si>
  <si>
    <t>Saldo Hutang Bunga</t>
  </si>
  <si>
    <t>Jaminan</t>
  </si>
  <si>
    <t>Keterangan Jaminan</t>
  </si>
  <si>
    <t>BPKB SEPEDA MOTOR</t>
  </si>
  <si>
    <t>b. 1 (satu) unit kendaraan roda dua, merk HONDA, type/Model H1B02N42LO A/T/SPM. SOLO, tahun 2021 dengan No. BPKB Q04303827, No rangka MH1JM9118MK411641, No. mesin JM91E1410551, No.Polisi: N 5070 PJ, Warna SILVER, atas nama DAMI</t>
  </si>
  <si>
    <t>SISUKA DAN SIJATRA, SIJATRA</t>
  </si>
  <si>
    <t>SISUKA NBA 14053.001.1000.045 No 01.3.01.00021 atas nama Sukaria sejumlah Rp 2.000.000,00 SIjatra NBA 14053.001.1000.045 No 01.3.05.00111 atas nama Sukaria sejumlah Rp 17.000.000,00, SIJATRA NO. SJTA.1382/SJTA/2020/05</t>
  </si>
  <si>
    <t>BILYET SIJATRA</t>
  </si>
  <si>
    <t>SJTA.220/SJTA/2024/01 SEJUMLAH RP. 25.000.000</t>
  </si>
  <si>
    <t>P02.1847</t>
  </si>
  <si>
    <t>12179/P02.1847/P02/09/2025</t>
  </si>
  <si>
    <t>SHM</t>
  </si>
  <si>
    <t>c. Sebidang tanah diatasnya berdiri bangunan rumah dengan bukti Sertifikat Hak Milik No. 1271, seluas 109 meter persegi sebagaimana yang diuraikan dalam Surat Ukur No. 112/Curahgrinting/2008, tertanggal 25-07-2008, yang terletak di Wilayah Propinsi Jawa Timur, Kota Probolinggo, Kecamatan Kanigaran, Kelurahan Curahgrinting, Yang Tercantum atas nama Agustinus Sumirat, yang diperoleh haknya melalui Jual Beli berdasarkan Akta PPAT Entjik Mamad Abror, Sarjana Hukum ; Tanggal 30-05-2008 Nomor 59/2008 D.I. Tanggal 30-12-2008 D.I 301 Nomor : 1587/III/2008 D.I. 307 Nomor : 11.181/2008 D.I. 208 Nomor : 6357 / 2008 D.I 307 : 9680 / 2009. Dengan tanda-tanda batas : Tembok-tembok memenuhi PMNA/KBPN No. 3 Tahun 1997  Yang akan diikat secara SKMHT.</t>
  </si>
  <si>
    <t>SISUKA NO. 01.3.01.01464 SEJUMLAH RP. 15.000.000 ATAS NAMA MARGARETHA EMMY</t>
  </si>
  <si>
    <t>1 BPKB MOBIL</t>
  </si>
  <si>
    <t>b. 1 (satu) unit kendaraan roda empat, merk ISUZU, type/Model TBR541/ ST WAGON, tahun 2004 dengan No. BPKB D 0029298 J, No rangka MHCTBR54F4K25129, No. mesin E258129 No.Polisi: N 1748 NE, Warna BIRU TUA MTL atas nama Monika Eunike Erna Lianawati</t>
  </si>
  <si>
    <t>b. 1 (satu) unit kendaraan roda dua, merk YAMAHA, type/Model 54P (CW) AT/SPM. SOLO, tahun 2012 dengan No. BPKB S-06458825, No rangka MH354P00BCJ384180, No. mesin 54P384424, No.Polisi: N 2137 QQ, Warna BIRU, atas nama MATLAB</t>
  </si>
  <si>
    <t>P03.3492</t>
  </si>
  <si>
    <t>11889/P03.3492/P03/07/2025</t>
  </si>
  <si>
    <t>P02.1809</t>
  </si>
  <si>
    <t>11821/P02.1809/P02/07/2025</t>
  </si>
  <si>
    <t>P08.321</t>
  </si>
  <si>
    <t>11850/P08.321/P08/07/2025</t>
  </si>
  <si>
    <t>c. 1 (satu) unit kendaraan roda dua, merk HONDA, type/Model NF 125 TR/ SPM. SOLO, tahun 2010 dengan No. BPKB H-06513366, No rangka MH1JB9125AK410683, No. mesin JB91E2404470 No.Polisi: N 3478 QY, Warna HITAM, atas nama LINGGAWATI.</t>
  </si>
  <si>
    <t>b. Sebidang tanah diatasnya berdiri bangunan rumah dengan bukti Sertipikat Hak Milik No. 1324, seluas 94 meter persegi sebagaimana yang diuraikan dalam Surat Ukur No 11/Triwung Lor/2009, tertanggal 06-02-2009, yang terletak di Wilayah Propinsi Jawa Timur, Kota Probolinggo, Kecamatan Kademangan, Kelurahan Triwung Lor, Yang Tercantum atas nama Ida Wahyuni, yang diperoleh haknya melalui Akta Jual Beli Berdasarkan Akta PPAT Dwiana Juliastuti, Sarjana Hukum. Tanggal 17-05-2008 Nomor 267/2008 DAFTAR ISIAN Tanggal 24-3-2009 301 Nomor: 1787/III/2008 307 Nomor:1946/2009 208 Nomor: 1124/2009. Dengan Tanda-tanda batas: Tembok, tugu batu dan patok besi memenuhi PMNA/KBPN No. 3 Tahun 1997.  Yang akan diikat secara SKMHT</t>
  </si>
  <si>
    <t>P03.3592</t>
  </si>
  <si>
    <t>12145/P03.3592/P03/09/2025</t>
  </si>
  <si>
    <t>P02.1836</t>
  </si>
  <si>
    <t>12054/P02.1836/P02/08/2025</t>
  </si>
  <si>
    <t>P01.5837</t>
  </si>
  <si>
    <t>11835/P01.5837/P01/07/2025</t>
  </si>
  <si>
    <t>BIAYA PENDIDIKAN DAN PEMBANGUNAN</t>
  </si>
  <si>
    <t>SERTIPIKAT TANAH</t>
  </si>
  <si>
    <t>b. Sebidang tanah diatasnya berdiri bangunan rumah dengan bukti Sertipikat Hak Milik No. 587, seluas 176 meter persegi sebagaimana yang diuraikan dalam Gambar situasi No. 704/0.s/1983, tertanggal 05-02-1983, yang terletak di Wilayah Propinsi Jawa Timur, Kota Probolinggo, Kecamatan Mayangan, Kelurahan Sukabumi, Yang Tercantum atas nama -Francisxus Xaverius Josep(F.X.J) Oemarsono - Andreani Maria (A.M) Sri Wahyuti,</t>
  </si>
  <si>
    <t>SERTIPIKAT TANAH HAK MILIK</t>
  </si>
  <si>
    <t>a. Sebidang tanah pekarangan kosong dengan Sertipikat Hak Milik No 2084, Seluas 137 meter persegi sebagaimana yang diuraikan dalam Surat Ukur No 149/Sukabumi/1998, tertanggal 21-07-1998 yang terletak di Kelurahan Sukabumi, Kecamatan Mayangan, Kota Probolinggo tercantum atas nama Ignasius Fendy Widhiyanto, yang diperoleh haknya melalui JUAL BELI Berdasarkan Akta PPAT Justina Judywati Sutandi, Sarjana Hukum tanggal 07-03-2022 Nomor 26/2022 Tanggal 28 Maret 2022 DI.301 No. 1657/2022, DI. 307 No. 3429/2022, DI. 208 No. 1886/2022</t>
  </si>
  <si>
    <t>Sebidang tanah pekarangan kosong dengan bukti Sertipikat Hak Milik No. 1679, seluas 252 meter persegi sebagaimana yang diuraikan dalam Gambar Situasi No. 1242/1994, tertanggal 19-10-1994, yang terletak di Wilayah Propinsi Jawa Timur, Kota Probolinggo, Kecamatan Mayangan, Kelurahan Sukabumi, Yang Tercantum atas nama Doktorandus Herman Priyonagoro</t>
  </si>
  <si>
    <t>Sebidang tanah pekarangan diatasnya berdiri sebuah bangunan dari batu dengan bukti Sertipikat Hak Milik No. 2482, seluas 206 meter persegi sebagaimana yang diuraikan dalam Surat Ukur No. 20/Sukabumi/2000, tertanggal 01-03-2000, yang terletak di Wilayah Propinsi Jawa Timur, Kota Probolinggo, Kecamatan Mayangan, Kelurahan Sukabumi, Yang Tercantum atas nama Suparlan</t>
  </si>
  <si>
    <t>a. Sebidang tanah perumahan dengan bukti Sertipikat Hak Milik No 3361, seluas 94 meter persegi sebagaimana yang diuraikan dalam Surat Ukur No. 454/Kebonsari Kulon/2014, tertanggal 11-12-2014, yang terletak di Wiliayah Propinsi Jawa Timur, Kota Probolinggo, Kecamatan Kanigaran, Kelurahan Kebonsari Kulon, Yang Tercantum atas nama Nurit, Yeni Sri Wahyuni, yang diperoleh haknya melalui Jual beli Berdasarkan Akta PPAT Hapsoro Widyonondo Sigid, Sarjana Hukum Tanggal 03-03-2021 Nomor 083/2021. Dengan tanda batas: Batas-batas sesuai dengan PMNA/KBPN No. 3 Tahun 1997. Berikut segala sesuatu yang berdiri, tumbuh dan tertanam diatasnya, yang karena sifatnya, maksudnya atau menurut hukum dianggap sebagai harta tetap.</t>
  </si>
  <si>
    <t>1 BPKB SEPEDA MOTOR 1 BPKB MOBIL</t>
  </si>
  <si>
    <t>a. 1 (satu) unit kendaraan roda empat, merk TOYOTA, type/Model KIJANG KFSO SPR / ST WAGON, tahun 1990 dengan No. BPKB P-02606973, No rangka KF50074700, No. mesin 5K9019270 No.Polisi: N 1257 PJ, Warna HIJAU, atas nama MUJI ASTUTIK. b. 1 (satu) unit kendaraan roda dua, merk HONDA, type/Model NC11B1C A/T SPD.MTR SOLO, tahun 2009 dengan No. BPKB F-7286431J, No rangka MHIJF21159K282718, No. mesin JF21E-1281006 No.Polisi: N 3421 RR Warna BIRU, atas nama MUJI ASTUTIK</t>
  </si>
  <si>
    <t>P01.5818</t>
  </si>
  <si>
    <t>11801/P01.5818/P01/07/2025</t>
  </si>
  <si>
    <t>b. 1 (satu) unit kendaraan roda dua, merk HONDA, type/Model ACH1M21B04 A/T/ SPM.SOLO, tahun 2014 dengan No. BPKB U-05443885, No rangka MH1JFM214EK372866, No. mesin JFM2E1367849 No.Polisi: N 4704 RK, Warna WHITE RED, atas nama MARSHA SASI KIRANA</t>
  </si>
  <si>
    <t>HONDA, type/Model NC12A1CF A/T/ SPM SOLO, tahun 2013 dengan No. BPKB M-09838467, No rangka MH1JFB114DK575955, No. mesin JFB1E1574189 No.Polisi: N 4406 SM, Warna WHITE BLUE, atas nama Sukarti Inawati</t>
  </si>
  <si>
    <t>P02.1828</t>
  </si>
  <si>
    <t>11981/P02.1828/P02/08/2025</t>
  </si>
  <si>
    <t>a. Sebidang tanah kosong dengan bukti Sertipikat Hak Milik No 2223, seluas 140 meter persegi sebagaimana yang diuraikan dalam Surat Ukur No 33/KBK/2004, tertanggal 12-08-2004, yang terletak di Wilayah Propinsi Jawa Timur, Kota Probolinggo, Kecamatan Mayangan, Kelurahan Kebonsari Kulon, Yang Tercantum atas nama Hasim Ashari, yang diperoleh haknya melalui jual beli berdasarkan Akta PPAT Doctorandus Misbahul Munir tanggal 29-12-1999 Nomor 632/1999 Tanggal 02 -09- 2004. Di.301. No. 1085/2004, Di.208.No. 2381/04, Di.307.No. 4138/04. Dengan tanda-tanda batas : tugu-tugu batu memenuhi PMNA/KBPN No. 3 Tahun 1997.</t>
  </si>
  <si>
    <t>Sebidang tanah perumahan dengan bukti Sertipikat Hak Milik No 2056, seluas 140 meter persegi sebagaimana yang diuraikan dalam Surat Ukur No 183/Sumbertaman/2014, tertanggal 23-06-2014, yang terletak di Wilayah Propinsi Jawa Timur, Kota Probolinggo, Kecamatan Wonoasih, Kelurahan Sumbertaman, Yang Tercantum atas nama ISMAIL NURBUANG, yang diperoleh haknya melalui Jual Beli berdasarkan Akta PPAT ENTJIK MAMAD ABROR, Sarjan Hukum, tanggal 27-08-2014, nomor 374/2014. Dengan tanda-tanda batas : batas-batas sesuai dengan PMNA/KBPN No.3 Tahun 1997</t>
  </si>
  <si>
    <t>SHGB</t>
  </si>
  <si>
    <t>b. Sebidang tanah diatasnya berdiri bangunan rumah dengan bukti Sertipikat Hak Guna Bangunan No. 135, seluas 170 meter persegi sebagaimana yang diuraikan dalam Surat Ukur No 08/Wiroborang/2006, tertanggal 08-02-2006, yang terletak di Wilayah Propinsi Jawa Timur, Kota Probolinggo, Kecamatan Mayangan, Kelurahan Wiroborang, Yang Tercantum atas nama Ratna Wati, yang diperoleh haknya melalui Jual beli berdasarkan Akta PPAT HARIJANTO, Sarjana Hukum: Tgl. 08-12-2005 No. 351/2005. Dengan Tanggal Pendaftaran Tgl. 16-2-2006 D.I 301 No. 21/2006 307 No. 1012/06 208 No. 670/06. Tanda-tanda batas Tembok-tembok memenuhi PMNA/KBPN No. 3 Tahun 1997.  Yang akan diikat secara SKMHT</t>
  </si>
  <si>
    <t>Sebidang tanah kosong bekas sawah dengan bukti Sertipikat Hak Milik No. 2652, seluas 180 meter persegi sebagaimana yang diuraikan dalam Surat Ukur No. 72/Sukabumi/2001, tertanggal 27-9-2001, yang terletak di Wilayah Propinsi Jawa Timur, Kota Probolinggo, Kecamatan Mayangan, Kelurahan Sukabumi, Yang Tercantum atas nama Jafar</t>
  </si>
  <si>
    <t>BPKB SEPEDA MOTOR DAN MOBIL</t>
  </si>
  <si>
    <t>a. 1 (satu) unit kendaraan roda dua, merk Kawasaki, type/Model LX150F/TRAIL, Tahun 2018 dengan No. BPKB O-02392594, No rangka MH4LX150FJJP73264, No. mesin LX150CEWC2057 No.Polisi: N 6573 R, Warna HITAM, atas nama KEVIN CHRISTIAN VIERI. b. 1 (satu) unit kendaraan roda empat, merk Honda, type/Model CIVIC SH4 GM/SEDAN, Tahun 1991 dengan No. BPKB J-00511212, No rangka SH454912296, No. mesin NB402416 No.Polisi: N 1991 RK, Warna HITAM, atas nama YUSAK WAHYU SETYAWAN.</t>
  </si>
  <si>
    <t>BPKB MOBIL</t>
  </si>
  <si>
    <t>c. 1 (satu) unit kendaraan roda empat, merk Isuzu, type/Model TBR54 PRLC STD/ST. WAGON tahun 1997 dengan No. BPKB M-04845897, No rangka MHCTBR54BVC041387, No. mesin E041387 No.Polisi: N 0932 RS, Warna Biru Tua Metalik, atas nama Alfonsus Rudmi Octo Trihendarta.</t>
  </si>
  <si>
    <t>P01.5872</t>
  </si>
  <si>
    <t>11874/P01.5872/P01/07/2025</t>
  </si>
  <si>
    <t>a. Sebidang tanah kosong dengan Sertipikat Hak Milik No 3222, seluas 139 meter persegi sebagaimana yang diuraikan dalam Surat Ukur No 24/Kanigaran/2007, tertanggal 26-01-2007 yang terletak di Wilayah Propinsi Jawa Timur, Kota. Probolinggo, Kecamatan. Kanigaran, Kelurahan Kanigaran. Tercantum atas nama Tri Natalia , Sarjana Pendidikan yang diperoleh haknya melalui Jual Beli berdasarkan Akta PPAT Hapsoro Widyonondo Sigid. Sarjana Hukum; tanggal 10-04-2008 Nomor 129/2008 Tanggal 4-9-2008 DI. 301 : 1949/2008 DI. 307 : 7427/2008 DI. 208 3802/2008. Dengan tanda tanda batas : Tugu tugu batu memenuhi PMNA/KBPN No. 3 Tahun 1997 Yang diikat secara APHT (yang</t>
  </si>
  <si>
    <t>P01.5875</t>
  </si>
  <si>
    <t>11899/P01.5875/P01/07/2025</t>
  </si>
  <si>
    <t>UNTUK KEBUTUHAN HIDUP</t>
  </si>
  <si>
    <t>BPKB SEPEDA MOTOR HONDA</t>
  </si>
  <si>
    <t>d. 1 (satu) unit kendaraan roda dua, merk Honda, type/Model AFX12U21C08 M/T/SPM. SOLO, tahun 2014 dengan No. BPKB L-05161754, No rangka MH1JBP113EK132724, No. mesin JBP1E1132683, No.Polisi: N 6224 SG, Warna Hitam, atas nama RATI PURWANINGSIH</t>
  </si>
  <si>
    <t>P01.5894</t>
  </si>
  <si>
    <t>11952/P01.5894/P01/08/2025</t>
  </si>
  <si>
    <t>a. 1 (satu) unit kendaraan roda dua, Merk HONDA, type/Model D1B02N13L2 A/T, Tahun 2019 dengan No. BPKB O-03578357, No rangka MH1JM1121KK167791, No. Mesin JM11E2150008, No.Polisi: N 6636 YAA, Warna MERAH HITAM, atas nama DONNY SEPTIYAN GUSTI ARIEZKY.</t>
  </si>
  <si>
    <t>Sertipikat Hak Milik No. 683, seluas 84 meter persegi sebagaimana yang diuraikan dalam Surat Ukur No 34/Kareng Lor/1998, tertanggal 12/12/1998, yang terletak di Wilayah Propinsi Jawa Timur, Kota Probolinggo, Kecamatan Kademangan, Kelurahan Kareng Lor, Yang Tercantum atas nama Raden Roro Paristi Kingkinarti</t>
  </si>
  <si>
    <t>1 BPKB MOTOR</t>
  </si>
  <si>
    <t>c. 1 (satu) unit kendaraan roda dua, merk YAMAHA, type/Model SE 88/ SPM. SOLO, tahun 2015 dengan No. BPKB M-03782123, No rangka MH3SE8810FJ291937, No. mesin E3R2E0307338 No.Polisi: N 2406 SK, Warna HITAM, atas nama MISGIONO.</t>
  </si>
  <si>
    <t>b. Sebidang tanah perumahan dengan bukti Sertipikat Hak Milik No 01677, seluas 80 meter persegi sebagaimana yang diuraikan dalam Surat Ukur No. 00725/Jrebeng Lor/2017, tertanggal 08-09-2017, yang terletak di Wiliayah Propinsi Jawa Timur, Kota Probolinggo, Kecamatan Kedopok, Kelurahan Jrebeng Lor, Yang Tercantum atas nama Siti Khotijah, yang diperoleh haknya melalui Pengakuan Hak Berdasarkan Dasar Pendaftaran Daftar Isian 202 Tgl. 27/09/2017 No. 2672/BA-12.08.IX/2017. Dengan tanda batas: Batas-batas sesuai dengan PMNA/KBPN No. 3 Tahun 1997.</t>
  </si>
  <si>
    <t>a. Sebidang tanah diatasnya berdiri bangunan rumah batu dan bangunan pelengkapnya dengan bukti Sertipikat Hak Milik No. 761, seluas 154 meter persegi sebagaimana yang diuraikan dalam Surat Ukur No. 80/Probolinggo/1992, tertanggal 04-02-1992, yang terletak di Wilayah Propinsi Jawa Timur, Kota Probolinggo, Kecamatan Mayangan, Kelurahan Tisnonegaran, Yang Tercantum atas nama HADI WARSITO, yang diperoleh haknya melalui Jual Beli Berdasarkan Akte Jual Beli Tanggal 20-09-1976 No.87/JB/1976, yang dibuat oleh ARPONO swlaku PPAT Kecamatan Kota Probolinggo Tanggal 01-06-1992 DP.No.1493/199. 301No.1906/1991. 208 No.947. Dengan Tanda-tanda batas: Tugu-tugu batu memenuhi PMNA/KBPN No. 3 Tahun 1961. Berikut segala sesuatu yang berdiri, tumbuh dan tertanam diatasnya, yang karena sifatnya, maksudnya atau menurut hukum dianggap sebagai harta tetap.</t>
  </si>
  <si>
    <t>b. Sijatra No 01.3.05.00078 atas nama Sr. M. Linda SPM QQ Krisdianto Agus Triawan sebesar Rp 18.000.000,00 c. Sijatra No 01.3.05.00142 atas nama Sr. M. Linda SPM QQ Krisdianto Agus Triawan sebesar Rp 7.000.000,00 d. Sijatra No 01.3.05.00274 atas nama Sr. M. Linda SPM QQ Krisdianto Agus Triawan sebesar Rp 6.000.000,00 e. Sijatra No 01.3.05.00383 atas nama Sr. M. Linda SPM QQ Krisdianto Agus Triawan sebesar Rp 2.000.000,00 f. Sijatra No SJTA.760 atas nama Sr. M. Linda SPM QQ Krisdianto Agus Triawan sebesar Rp 8.500.000,00</t>
  </si>
  <si>
    <t>a. Sebidang tanah pekarangan dengan bukti Sertipikat Hak Milik No. 3521, seluas 150 meter persegi sebagaimana yang diuraikan dalam Surat Ukur No 106/Mangunharjo/1999, tertanggal 21-10-1999, yang terletak di Wilayah Propinsi Jawa Timur, Kota Probolinggo, Kecamatan Mayangan, Kel. Mangunharjo, Yang Tercantum atas nama Desi Wulandari, yang diperoleh haknya melalui jual beli, berdasarkan Akta PPAT Entjik Mamad Abror, Sarjana Hukum tanggal 24 -09- 2019 Nomor 677/2019 tanggal 14 Oktober 2019. DI 301 No. 5299/2019, DI 307 No. 21738/2019, DI 208 No. 11328/2019. Keadaan Tanah : sebidang tanah kosong. Tanda-tanda batas : tugu batu I s/d IV berdiri di atas tengah batas memenuhi PMA/ Ka. BPN. No. 3/1997. b. Sebidang tanah pekarangan dengan bukti Sertipikat Hak Milik No. 02704, seluas 102 meter persegi sebagaimana yang diuraikan dalam Surat Ukur No 472/Pilang/2016, tertanggal 17-06-2016, yang terletak di Wilayah Propinsi Jawa Timur, Kota Probolinggo, Kecamatan Kademangan, Kel. Pilang, Yang Tercantum atas nama Desi Wulandari, yang diperoleh haknya melalui -pemecahan HM No. 2039. Keadaan Tanah : sebidang tanah perumahan. Tanda-tanda batas : batas-batas sesuai dengan PMNA/KBPN No. 3 tahun 1997.</t>
  </si>
  <si>
    <t>c. Sebidang tanah diatasnya berdiri bangunan rumah dengan bukti Sertipikat Hak Milik No. 1565, seluas 178 meter persegi sebagaimana yang diuraikan dalam Surat Ukur No. 09/Ketapang/2007, tertanggal 05-02-2007, yang terletak di Wilayah Propinsi Jawa Timur, Kota Probolinggo, Kecamatan Kademangan, Kota Probolinggo, Kelurahan Ketapang, Yang Tercantum atas nama Insinyur Wahyudi Ruswandi, yang diperoleh haknya melalui ASAL HAK Penggantian HM No. 1565 PENUNJUK Buku Tanah Hak Milik No 1565/Ketapang, yang asalnya dari Hak Guna Bangunan No.100/Ketapang. Dengan Tanda-tanda batas: Tembok-tembok memenuhi PMNA/KBPN No. 3 Tahun 1997  Yang akan diikat secara APHT Peringkat IV.</t>
  </si>
  <si>
    <t>c. 1 (satu) unit kendaraan roda dua, merk Honda, type/Model NC11B 1C A/T / SPM. SOLO, tahun 2010 dengan No. BPKB L-05469596, No rangka MH1JF2213AK282574, No. mesin JF22E1278985 No.Polisi: N 3778 S, Warna Hitam, atas nama Ilyas</t>
  </si>
  <si>
    <t>b. 1 (satu) unit kendaraan roda dua, merk HONDA, type/Model NC12A1CF A/T/SPM. SOLO, tahun 2012 dengan No. BPKB S-02514760, No rangka MH1JFB117CK058258, No. mesin JFB1E1059815 No.Polisi: N 3529 YBF, Warna PUTIH SILVER, atas nama CATUR APRILIANTO BAGUS.</t>
  </si>
  <si>
    <t>b. 1 (satu) unit kendaraan roda empat, merk TOYOTA, type/Model NEW AVANZA 1.3G M/T/ MINIBUS, tahun 2013 dengan No. BPKB J-06249066, No rangka MHKM1BA3JDK123619, No. mesin MA60146 No.Polisi: N 1375 RW, Warna HITAM METALIK, atas nama ENDAH UTAMI, DRA, S.PD</t>
  </si>
  <si>
    <t>b. 1 (satu) unit kendaraan roda dua, merk HONDA, type/Model NC11B1C AT. SOLO, tahun 2009 dengan No. BPKB L-09125616, No rangka MH1JF22129K240585, No. mesin JF22E7242289 No.Polisi: N 6679 MG, Warna HITAM, atas nama Yoyok Wahyudi.</t>
  </si>
  <si>
    <t>P05.174</t>
  </si>
  <si>
    <t>12046/P05.174/P05/08/2025</t>
  </si>
  <si>
    <t>TAMBAHAN PEMBELIAN MOTOR</t>
  </si>
  <si>
    <t>c. Sebidang tanah diatasnya berdiri bangunan rumah dengan bukti Sertipikat Hak Milik No 3218, seluas 75 meter persegi sebagaimana yang diuraikan dalam Surat Ukur No. 32/Sukabumi/2010, tertanggal 19-04-2010, yang terletak di Wiliayah Propinsi Jawa Timur, Kota Probolinggo, Kecamatan Mayangan, Kelurahan Sukabumi, Yang Tercantum atas nama Bambang Siswanto, yang diperoleh haknya melalui Hibah- Berdasarkan Akta PPAT Haji Raden Soenardjo, Sarjana Hukum, Tanggal : 04-12-2009, Nomor : 417/2009,Daftar isian Tanggal : 2-9-2010, DI. 301 No. 2804/2010, DI. 307 No. 6175/2010, DI. 208 No.3111/2010, dengan tanda batas : tembok dan tugu batu memenuhi PMNA/KBPN No. 3 Tahun 1997. Yang akan diikat secara SKMHT.</t>
  </si>
  <si>
    <t>b. 1 (satu) unit kendaraan roda dua, merk YAMAHA, type/Model 1 PA/ SPD. MOTOR, tahun 2013 dengan No. BPKB T-06018692, No rangka MH31PA002DK193681, No. mesin 1PA190975 No.Polisi: N 4084 OL, Warna PUTIH, atas nama Hadori</t>
  </si>
  <si>
    <t>c. 1 (satu) unit kendaraan roda dua, merk HONDA, type/Model NC11A 3C A/T/ SPM. SOLO, tahun 2011 dengan No. BPKB I-01219986, No rangka MH1JF9115BK350627, No. mesin JF91E1345675 No.Polisi: N 2174 SB, Warna HITAM, atas nama ROWIYATIN</t>
  </si>
  <si>
    <t>b. Sebidang tanah pekarangan dengan bukti Sertipikat Hak Milik No. 02188, seluas 114 meter persegi sebagaimana yang diuraikan dalam Surat Ukur No 193/PABEAN/2009, tertanggal 18-11-2009, yang terletak di Wilayah Propinsi Jawa Timur, Kabupaten Probolinggo, Kecamatan Dringu, Desa Pabean, Yang Tercantum atas nama Andik Sugiantoro, yang diperoleh haknya melalui Pengakuan Hak. Daftar isian 202 Tgl. 17-11-2009. No. 35/III/AJUDIKASI/2009. Penunjuk Tanah ini asalnya dari buku C desa No. 131/126/D II. Pengumuman Data fisik dan Yuridis No 35/III/AJUDIKASI/2009 Tanggal 15-10-2009. Tanda-tanda batas : Tanda-tanda batas telah memenuhi Peraturan Menteri Negara Agraria/Kepala BPN No. 3 Tahun 1997</t>
  </si>
  <si>
    <t>a. Sebidang tanah diatasnya berdiri bangunan rumah dengan bukti Sertipikat Hak Milik No. 2618, seluas 257 meter persegi sebagaimana yang diuraikan dalam Surat Ukur No 19/Jati/2013, tertanggal 02/04/2013, yang terletak di Wilayah Propinsi Jawa Timur, Kota Probolinggo, Kecamatan Mayangan, Kel. Jati, Yang Tercantum atas nama Anita Nur Amaylia, yang diperoleh haknya melalui hibah, berdasarkan Akta PPAT Ika Handayani, Sarjana Hukum, Magister Kenotariatan tanggal 12 -09- 2018 Nomor 184/2018 tanggal 21 Agustus 2018. DI 301 No. 4937/2018, DI 307 No. 17273/2018, DI 208 No. 9027/2018. Keadaan Tanah : sebidang tanah diatasnya berdiri bangunan rumah. Tanda-tanda batas : tembok-tembok memenuhi PMNA/KBPN No. 3 Tahun 1997. Berikut segala sesuatu yang berdiri, tumbuh dan tertanam diatasnya, yang karena sifatnya, maksudnya atau menurut hukum dianggap sebagai harta tetap.</t>
  </si>
  <si>
    <t>P01.5904</t>
  </si>
  <si>
    <t>12000/P01.5904/P01/08/2025</t>
  </si>
  <si>
    <t>MEMPERKECIL ANGSURAN</t>
  </si>
  <si>
    <t>2 BPKB SEPEDA MOTOR</t>
  </si>
  <si>
    <t>a. 1 (satu) unit kendaraan roda dua, merk Honda, type/Model L1F02N37L1 A/T/SPM. SOLO, tahun 2024 dengan No. BPKB U-04159911, No rangka MH1JMD111RK497787, No. mesin JMD1E1498000, No.Polisi: N 3880 OS, Warna HITAM, atas nama YUMAAN. b. 1 (satu) unit kendaraan roda dua, merk Honda, type/Model F1CD2N46L0 A/T/SPM. SOLO, tahun 2021 dengan No. BPKB Q-05026725, No rangka MH1JM0215MK170339, No. mesin JM02E1170391, No.Polisi: N 3949 MS, Warna MERAH, atas nama NURUL AINI.</t>
  </si>
  <si>
    <t>P08.323</t>
  </si>
  <si>
    <t>11912/P08.323/P08/07/2025</t>
  </si>
  <si>
    <t>P02.1843</t>
  </si>
  <si>
    <t>12085/P02.1843/P02/09/2025</t>
  </si>
  <si>
    <t>2 BPKB SEPEDA MOTOR, BPKB SEPEDA MOTOR</t>
  </si>
  <si>
    <t>b. 1(satu) unit Kendaraan roda dua, Merk HONDA, Type/Model NF12A1CF M/T / SPM.SOLO, Tahun 2014 dengan No.BPKB L-00734785, No.Rangka MH1JBG11XCK052141, No.Mesin JBG1E1051283 No.Polisi: N 2321 SG, Warna MERAH-HITAM, atas nama HUNG NARTO IRAWAN c. 1(satu) unit Kendaraan roda dua, Merk HONDA, Type/Model F1C02N46L0 A/T / SPM.SOLO, Tahun 2022 dengan No.BPKB S-01033202, No.Rangka MH1JM0210NK650581, No.Mesin JM02E1650509 No.Polisi: N 6617 PG, Warna HITAM, atas nama VERRILL RAFI HADIDAFFA, a. 1(satu) unit Kendaraan roda dua, Merk HONDA, Type/Model F1C02N46L0 A/T SPM.SOLO, Tahun 2022 dengan No.BPKB S-03955113, No.Rangka MH1JM0111NK585886, No.Mesin JM01E1584730 No.Polisi: N 6893 PJ, Warna HITAM-MERAH, atas nama SERLYWATI</t>
  </si>
  <si>
    <t>P02.1842</t>
  </si>
  <si>
    <t>12119/P02.1842/P02/09/2025</t>
  </si>
  <si>
    <t>b. 1 (satu) unit kendaraan roda empat, merk DATSUN, type/Model PANCA T 1.2 M/T/ MINIBUS, tahun 2014 dengan No. BPKB L-03136265, No rangka MHBJ2CH2FEJ000397, No. mesin HR12710295T No.Polisi: N 1253 RI, Warna PUTIH, atas nama DRA. SRI PURWANTI, APT.</t>
  </si>
  <si>
    <t>c. 1 (satu) unit kendaraan roda empat, merk SUZUKI, type/Model GC415V APV DLX/ MINIBUS, tahun 2004 dengan No. BPKB M-09658505, No rangka MHYGDN41VAJ106379, No. mesin G15A1D106554 No.Polisi: N 1875 RM, Warna ABU-ABU METALIK, atas nama ROKHIM JAMHARI, SH. MM</t>
  </si>
  <si>
    <t>b. Sebidang tanah perumahan dengan bukti Sertipikat Hak Milik No. 06537, seluas 121 meter persegi sebagaimana yang diuraikan dalam surat ukur No. 01320/Mangunharjo/2020, tertanggal 14-05-2020, yang terletak di Wilayah Propinsi Jawa Timur, Kota Probolinggo, Kecamatan Mayangan, Kelurahan Mangunharjo, Yang Tercantum atas nama Krisnowo Raharjo, yang diperoleh haknya melalui  pengakuan hak. Dengan tanda batas : batas-batas sesuai d engan PMNA/Ka. BPN No. 3 Tahun 1997.  Yang akan diikat secara SKMHT.</t>
  </si>
  <si>
    <t>SHM, 1 BPKB MOTOR</t>
  </si>
  <si>
    <t>c. Sebidang tanah kosong dengan bukti Sertipikat Hak Milik No. 1454, seluas 90 meter persegi sebagaimana yang diuraikan dalam Surat Ukur No. 70/Curahgrinting/2012, tertanggal 14-06-2012, yang terletak di Wilayah Propinsi Jawa Timur, Kota Probolinggo, Kecamatan Kanigaran, Kelurahan Curahgrinting, Yang Tercantum atas nama Novan Arifiandy Putra, yang diperoleh haknya melalui Jual Beli berdasarkan Akta PPAT Hapsoro Widyonondo Gigid, Sarjana Hukum , Tanggal: 21-11-2016 Nomor: 523/2016 Tanggal 30 Nov 2016 Di. 301 No. 6844/2016 Di. 307 No. 12801/2016 Di. 208 No. 6834/2016. Tanda-tanda batas: Tugu-tugu batu memenuhi PMNA/KBPN No. 3 Tahun 1997.  Yang akan diikat secara APHT., d. 1 (satu) unit kendaraan roda dua, merk YAMAHA, type/Model BJ8/ SPM. SOLO, tahun 2016 dengan No. BPKB M-08810167, No rangka MH3SE8840GJ081228, No. mesin E3R2E0999568 No.Polisi: N 5070 SL, Warna PUTIH, atas nama MERI LAKTRIA ASRI.</t>
  </si>
  <si>
    <t>P02.1825</t>
  </si>
  <si>
    <t>11969/P02.1825/P02/08/2025</t>
  </si>
  <si>
    <t>Sertipikat Hak Milik No 887, seluas 147 meter persegi sebagaimana yang diuraikan dalam Surat Ukur No 16/Sumber Wetan/2009, tertanggal 01-12-2009, yang terletak di Wilayah Propinsi Jawa Timur, Kota. Probolinggo, Kecamatan. Kedopok, Kelurahan. Sumber Wetan, Yang Tercantum atas nama 1. Nur Hasan, 2. Jatimah</t>
  </si>
  <si>
    <t>c. 1 (satu) unit kendaraan roda dua, merk HONDA, type/Model NF 100SL / SPM. SOLO, tahun 2007 dengan No. BPKB E5160374J, No rangka MH1HB32127K226652, No. mesin HB32E1219227 No.Polisi: N 4713 SQ, Warna HITAM MERAH, atas nama EVI SRI WULANDARI.</t>
  </si>
  <si>
    <t>P01.5879</t>
  </si>
  <si>
    <t>11881/P01.5879/P01/07/2025</t>
  </si>
  <si>
    <t>Sebidang tanah diatasnya berdiri sebuah rumah dari batu dengan bukti Sertipikat Hak Milik No. 923, seluas 101 meter persegi sebagaimana yang diuraikan dalam Surat Ukur No. 369/1997, tertanggal 29-3-1997, yang terletak di Wilayah Propinsi Jawa Timur, Kotamadya Probolinggo, Kecamatan Mayangan, Kelurahan Wiroborang, Yang Tercantum atas nama SUPIYAH. Dengan Tanda-tanda batas: Tugu batu 1 B/D IV berdiri diatas batas memenuhi PMNA No.8 tahun 1961. Tembok a-b berdiri di dalam</t>
  </si>
  <si>
    <t>P01.5822</t>
  </si>
  <si>
    <t>11806/P01.5822/P01/07/2025</t>
  </si>
  <si>
    <t>PEMBETULAN RUMAH</t>
  </si>
  <si>
    <t>c. Tanah dengan bangunan rumah dengan bukti Sertipikat Hak Milik No. 882, seluas 295 meter persegi sebagaimana yang diuraikan dalam Surat Ukur No. 44/Mayangan/2000, tertanggal 13-11-2000, yang terletak di Wilayah Propinsi Jawa Timur, Kotamadya Probolinggo, Kecamatan Mayangan, Kel. Mayangan, Yang Tercantum atas nama Harun Alamsyah, yang diperoleh haknya melalui  Pemberian Hak  Penunjuk : Tanah Negara, tanda-tanda batas : Tembok-tembok. Daftar Isian 208 Nomor. 3717/2000.  Yang akan diikat secara SKMHT.</t>
  </si>
  <si>
    <t>g. Sebidang tanah diatasnya berdiri sebuah rumah dari batu dengan bukti Sertipikat Hak Milik No 3171, seluas 94 meter persegi sebagaimana yang diuraikan dalam Gambar Situasi No 878/1997, tertanggal 12-7-1997, yang terletak di Wilayah Propinsi Jawa Timur, Kota Probolinggo, Kecamatan Mayangan, Kelurahan Mangunharjo, Yang Tercantum atas nama Budianto, yang diperoleh haknya melalui JUAL BELI: Berdasarkan Akta Jual-Beli Tgl 21-5-1997 No. 106/60/V//1997 yang di buat dihadapan PPAT, JUSTINA JUDIWATINSUTANDI, S.H Notaris di Probolinggo. Tanggal Pendaftaran Tgl 12-7-1997 Di 307 No. 1614/1997 208 No. 1840/1997.Tanda-tanda batas: Tugu batu I s/d III berdiri diatas batas memenuhi P.M.ANo. 8 tahun 1961.  Yang akan diikat secara APHT.</t>
  </si>
  <si>
    <t>c. Sebidang tanah pekarangan dengan bukti Sertipikat Hak Milik No. 01434, seluas 109 meter persegi sebagaimana yang diuraikan dalam Surat Ukur No. 233/Kalirejo / 2009, tertanggal 17 November 2009, yang terletak di Wilayah Propinsi Jawa Timur, Kabupaten Probolinggo, Kecamatan Dringu, Desa Kalirejo, Yang Tercantum atas nama Siha</t>
  </si>
  <si>
    <t>P01.5949</t>
  </si>
  <si>
    <t>12083/P01.5949/P01/08/2025</t>
  </si>
  <si>
    <t>a. Sebidang tanah pekarangan dengan Sertipikat Hak Milik No 589, Seluas 209 meter persegi sebagaimana yang diuraikan dalam Surat Ukur No 402/Kaliacar/2016, tertanggal 01-04-2016 yang terletak di Desa Kaliacar, Kecamatan Gading, Kabupaten Probolinggo tercantum atas nama Sabi Bullah, yang diperoleh haknya melalui HIBAH Akta PPAT KHUSNUL HITAMINAH, SH.MH Notaris di Kraksaan dan PPAT Kabupaten Probolinggo tgl 19-07-2017 No. 452/2017 Di. 301 No. 14996/2017 Di. 307 No. 26147/2017 Tgl. 18 Aug 2017 Di. 208 No. 5168/2017. Dengan Tanda-tanda batas: Tanda Batas sesuai dengan PMNA/KBPN No. 3/1997  yang akan diikat secara APHT.</t>
  </si>
  <si>
    <t>1 (satu) unit kendaraan roda dua, merk HONDA, type/Model AFX12U21C08 M/T/SPM.SOLO, tahun 2015 dengan No. BPKB L-12570956, No rangka MH1JBP118FK285519, No. mesin JBP1E283726 No.Polisi: N 3064 QV, Warna HITAM, atas nama NANIK HANIFAH</t>
  </si>
  <si>
    <t>P02.1841</t>
  </si>
  <si>
    <t>12109/P02.1841/P02/09/2025</t>
  </si>
  <si>
    <t>PERBAIKAN MOBIL DAN MOTOR</t>
  </si>
  <si>
    <t>P01.5935</t>
  </si>
  <si>
    <t>11999/P01.5935/P01/08/2025</t>
  </si>
  <si>
    <t>UNTUK PEMBELIAN TABLET UNTUK KERJA</t>
  </si>
  <si>
    <t>a. 1 (satu) unit kendaraan roda dua, merk Honda, type/Model D1B02N13L2 A/T/SPM. SOLO, tahun 2018 dengan No. BPKB O-00923503, No rangka MH1JM1111JK902453, No. mesin JM11E1884581, No.Polisi: N 5895 RN, Warna MAGENTA HITAM, atas nama JULIUS FRIDIANTORO.</t>
  </si>
  <si>
    <t>a. Sertipikat Hak Milik NIB. 12.08.000003383.0, Bidang Tanah ; Bidang tanah ini terletak di Kelurahan Jati, kecamatan Mayangan, Kota Probolinggo, Provinsi Jawa Timur seluas 111 m2 (serratus sebelaas meter persegi). Pemegang hak ; Asad  Probolinggo, 14 September 1978  1 bagian. Catatan Pendaftaran : 1) Pemberian Hak Milik berdasarkan Keputusan Nomor 593.21/281/SK/320/1988 Tanggal 30 Maret 1988, 2) Jual Beli berdasarkan Akta Jual Beli Nomor 00198 Tanggal 28 Juli 2009 yang dibuat oleh PPAT mas Soenarko, 3) Hak Tanggungan Nomor 00306/2009 peringkat 1 hapus berdasarkan Surat Roya Nomor PRB/3/5009/R Tanggal 26 November 2024. Berikut segala sesuatu yang berdiri, tumbuh dan tertanam diatasnya, yang karena sifatnya, maksudnya atau menurut hukum dianggap sebagai harta tetap.</t>
  </si>
  <si>
    <t>P02.1837</t>
  </si>
  <si>
    <t>12080/P02.1837/P02/08/2025</t>
  </si>
  <si>
    <t>Atas nama : RANGGA GILANG SYAHRONDI No.BPKB : H-06532778 No Polisi : N 3738 QZ Merk : HONDA Type / Model : NC110A1C AT / SEPEDA MOTOR Tahun/Warna : 2010/HITAM SILVER No. Rangka : MH1JF8110AK095376 No Mesin : JF81E1098057</t>
  </si>
  <si>
    <t>c. Sebidang tanah perumahan dengan bukti Sertipikat Hak Milik No. 01620, seluas 220 meter persegi sebagaimana yang diuraikan dalam Surat Ukur No 00835/Jrebeng Kulon/2017, tertanggal 20/04/2017, yang terletak di Wilayah Propinsi Jawa Timur, Kota Probolinggo, Kecamatan Kedopok, Kelurahan Jrebeng Kulon, Yang Tercantum atas nama Feny Susanti, yang diperoleh haknya melalui PENUNJUK Di. 301: 1576/2017 Tgl. 10-02-2017. Letter C.Kel. Jrebeng Kulon No. 396 Persil 4 Klas D.I seluas 285 M2. Pengumuman Data Fisik &amp; Data Yuridis Tgl. 30-03-2017 No. 79/Peng-12.08/III/2017. Surat Perjanjian Jual Beli Tgl. 08-06-1988. Surat Pernyataan Hibah. Dengan Tanda-tanda batas: Batas-batas sesuai dengan PMNA/KBPN No.3 Tahun 1997.  Yang akan diikat secara SKMHT</t>
  </si>
  <si>
    <t>b. Sebidang tanah diatasnya berdiri bangunan rumah dengan bukti Sertipikat Hak Milik No. 873, seluas 98 meter persegi sebagaimana yang diuraikan dalam Surat Ukur No. 34/Jrebeng Wetan/2006, tertanggal 20-06-2006, yang terletak di Wilayah Propinsi Jawa Timur, Kota Probolinggo, Kecamatan Wonoasih, Kel. Jrebeng Wetan, Yang Tercantum atas nama Nur Yusron, yang diperoleh haknya melalui JUAL-BELI Berdasarkan Akta PPAT Justina Judywati Sutandi, Sarjana Hukum. Tanggal: 28-12-2007 Nomor: 281/2007 Tanggal: 19-03-2008 Di. 301: 196/2008 Di. 307: 2145/2008 Di 208: 1248/2008. Dengan Tanda-tanda batas: tembok dan tugu batu memenuhi PMNA/KBPN N0. 3 Tahun 1997.</t>
  </si>
  <si>
    <t>P01.5840</t>
  </si>
  <si>
    <t>11847/P01.5840/P01/07/2025</t>
  </si>
  <si>
    <t>1 (satu) unit kendaraan roda empat, merk TOYOTA, type/Model AVANZA 1.3 G F653RM AT / MINI BUS, tahun 2015 dengan No. BPKB L-12000232, No rangka MHKM5EB3JFK000423, No. mesin 1NRF011679 No.Polisi: N 421 RM, Warna PUTIH, atas nama CHATHRIN SUNTARMI, S.PD.</t>
  </si>
  <si>
    <t>b. 1(satu) unit Kendaraan roda dua, Merk HONDA, Type/Model K1H02N14LO A/T / SPM.SOLO, Tahun 2017 dengan No.BPKB N-01069088, No.Rangka MH1KF1126HK044026, No.Mesin KF11E2040639 No.Polisi: N 5232 SO, Warna HITAM, atas nama IMRON CHOLID</t>
  </si>
  <si>
    <t>P02.1829</t>
  </si>
  <si>
    <t>11989/P02.1829/P02/08/2025</t>
  </si>
  <si>
    <t>P01.5912</t>
  </si>
  <si>
    <t>11972/P01.5912/P01/08/2025</t>
  </si>
  <si>
    <t>PEMBAYARAN UANG KULIAH</t>
  </si>
  <si>
    <t>P01.5960</t>
  </si>
  <si>
    <t>12100/P01.5960/P01/09/2025</t>
  </si>
  <si>
    <t>1 (satu) unit kendaraan roda dua, merk HONDA, type/Model F1C02N280 A/T /SPM.SOLO, tahun 2019 dengan No. BPKB O-02956367, No rangka MH1JM312XKK516278, No. mesin JM31E2511412 No.Polisi N 6558 PO, Warna MERAH HITAM, atas nama ALIFFIA ATIM USWATUN HASANAH</t>
  </si>
  <si>
    <t>SJTA.1798/SJTA/2022/02</t>
  </si>
  <si>
    <t>P02.1839</t>
  </si>
  <si>
    <t>12088/P02.1839/P02/09/2025</t>
  </si>
  <si>
    <t>BIAYA ANAK</t>
  </si>
  <si>
    <t>P01.5808</t>
  </si>
  <si>
    <t>11771/P01.5808/P01/07/2025</t>
  </si>
  <si>
    <t>PEMBAYARAN UANG SPI DAN UKT</t>
  </si>
  <si>
    <t>BPKB SEPEDA MOTOR 2</t>
  </si>
  <si>
    <t>c. 1 (satu) unit kendaraan roda dua, merk HONDA, type/Model D1B02N26L2 A/T/ SPM. SOLO, tahun 2017 dengan No. BPKB N-03763429, No rangka MH1JFZ124HK035738, No. mesin JFZ1E2046175 No.Polisi: N 2234 PM, Warna PUTIH, atas nama ALFIAH JUSTIKA. d. 1 (satu) unit kendaraan roda dua, merk HONDA, type/Model C1C02N16M2 A/T/ SPM. SOLO, tahun 2016 dengan No. BPKB M-09921374, No rangka MH1JFW113GK799150, No. mesin JFW1E1801964 No.Polisi: N 6160 QU, Warna MERAH SILVER, atas nama DJUMAATI WAHYUNINGSIH.</t>
  </si>
  <si>
    <t>P03.3540</t>
  </si>
  <si>
    <t>12023/P03.3540/P03/08/2025</t>
  </si>
  <si>
    <t>TAMBAHAN MODAL PERCETAKAN</t>
  </si>
  <si>
    <t>b. 1 (satu) unit kendaraan roda dua merk Honda, type/Model NF11B1U M/T/SPM. SOLO, tahun 2010 dengan No. BPKB L-11755047, No rangka MH1JBC115AK649235, No. mesin JBC1E1646276 No.Polisi: N 2366 MH Warna HITAM, atas nama SITI SAIDAH.</t>
  </si>
  <si>
    <t>a. 1 (satu) unit kendaraan roda dua, merk Honda, type/Model K1H02N14L0 A/T/SPM.SOLO, Tahun 2015 dengan No. BPKB M-02356370, No rangka MH1KF1116FK367920, No.mesin KF11E1375200, No.Polisi: N 4918 MO, Warna HITAM, atas nama TUNA</t>
  </si>
  <si>
    <t>1 BPKB SEPEDA MOTOR HONDA</t>
  </si>
  <si>
    <t>e. 1 (satu) unit kendaraan roda dua, merk Honda, type/Model NF11B2D1 MT, tahun 2012 dengan No. BPKB I-07402579, No rangka MH1JBE115CK318136, No. mesin JBE1E1306851, No.Polisi: N 2054 SC, Warna Hitam, atas nama Titien Handayani</t>
  </si>
  <si>
    <t>c. 1 (satu) unit kendaraan roda dua, merk Honda, type/Model NF11T11C01 M/T/SPM. SOLO, tahun 2021 dengan No. BPKB Q-06744814, No rangka MH1JBK11XMK784242, No. mesin JBK1E1779424, No.Polisi: N 4173 QK, Warna HITAM, atas nama TITIEN HANDAYANI.</t>
  </si>
  <si>
    <t>P03.3516</t>
  </si>
  <si>
    <t>11958/P03.3516/P03/08/2025</t>
  </si>
  <si>
    <t>TAMBAHAN MODAL BIKIN KUE</t>
  </si>
  <si>
    <t>a. Sebidang tanah pekarangan dengan bukti Sertipikat Hak Milik No. 555, seluas 427 meter persegi sebagaimana yang diuraikan dalam Surat Ukur No 121/Pajurangan/2004, tertanggal 01/09/2004, yang terletak di Wilayah Propinsi Jawa Timur, Kabupaten Probolinggo, Kecamatan Gending, Desa Pajurangan, Yang Tercantum atas nama Ellyzabeth Evelin, yang diperoleh haknya melalui Konversi. Keadaan Tanah : sebidang tanah pekarangan. Tanda-tanda batas : Patok Kayu sesuai dengan PMNA/KBPN No. 3/1997. Berikut segala sesuatu yang berdiri, tumbuh dan tertanam diatasnya, yang karena sifatnya, maksudnya atau menurut hukum dianggap sebagai harta tetap.</t>
  </si>
  <si>
    <t>P02.1811</t>
  </si>
  <si>
    <t>11828/P02.1811/P02/07/2025</t>
  </si>
  <si>
    <t>a. 1 (satu) unit kendaraan roda empat, merk ISUZU, type/Model TBR52BFSR/MINIBUS tahun 1991 dengan No. BPKB U-00611612, No rangka M505675, No. mesin A005675 No.Polisi: N 1624 PX, Warna CREAM, atas nama SUMIATI.</t>
  </si>
  <si>
    <t>b. 1 (satu) unit kendaraan roda dua, merk YAMAHA, type/Model SE88 (JARI-JARI) / SPM.SOLO, tahun 2019 dengan No. BPKB O-06231550, No rangka MH3SE88K0KJ012522, No. mesin E3R2E2562678 No.Polisi: N 4819 BAE, Warna HITAM, atas nama CHRISTI HARYATI. c. 1 (satu) unit kendaraan roda dua, merk HONDA, type/Model NC12A1CF A/T/SPM. SOLO, tahun 2013 dengan No. BPKB K-11346531, No rangka MH1JFB12XDK118544, No. mesin JFB1E2074177 No.Polisi: N 5008 RX, Warna WHITE BLUE, atas nama ERY DJOENAEDY</t>
  </si>
  <si>
    <t>b. 1 (satu) unit kendaraan roda dua, merk Honda, type/Model AIF02N36M1 A/T/SPM. SOLO, tahun 2019 dengan No. BPKB O-0254389, No rangka MH1JM4110KR271343, No. mesin JM41E1271822 No. Polisi : N 5711 ND, Warna Hitam, atas nama ANDI CAHYA SANTOSO.</t>
  </si>
  <si>
    <t>a. 1 (satu) unit kendaraan roda empat, merk DAIHATSU, type/Model F601 XENIA 1.3, tahun 2004 dengan No. BPKB T05797456, No rangkaMHKFMREK34K003698, No. mesin DA25279 No.Polisi:N1786PI, Warna COKLAT MUDA MET, atas nama WIWIK WONY MARGANINGSIH. b. 1 (satu) unit kendaraan roda empat, merk MITSUBISHI , type/Model MITSUBISHI/TM517II/TRUCK, tahun 1990 dengan No. BPKB 8928018H, No rangka FM517H22291, No. mesin 6D16C052843 No.Polisi: N7667 UQ, Warna COKLAT KENARI, atas nama HERI KOKO PURNOMO.</t>
  </si>
  <si>
    <t>d. 1 (satu) unit kendaraan roda dua, merk Yamaha , type/Model BEJ A/T / SPM. SOLO , Tahun 2022 dengan No. BPKB S-05437073 , No rangka MH3SEJ710NJ058791, No. mesin E33WE0062396 No.Polisi: N 6384 PK , Warna HITAM , atas nama LULUK FAIZAH.</t>
  </si>
  <si>
    <t>a. Simpanan Saham No. 0.01.03876 atas nama Masyuni dengan jumlah Rp 1.915.000,00. b. 1 (satu) unit kendaraan roda dua, merk HONDA, type/Model NF11B10M/T/SPD. MTR. SOLO, tahun 2009 dengan No. BPKB F 9298770J, No rangka MH1JBC1119K162091, No. mesin JBC1E1169389 No. Polisi : N 3901 RS, Warna Hitam, atas nama Masyuni.</t>
  </si>
  <si>
    <t>b. 1 (satu) unit kendaraan roda dua, merk HONDA, type/Model E1F02N11M2 AT/SOLO, tahun 2016 dengan No. BPKB T-05876179, No rangka MH1JFU111GK525563, No. mesin JFU1E1530565 No.Polisi: N 4283 RD, Warna PUTIH, atas nama BONDAN SATRIO PUTRA WICAKSONO.</t>
  </si>
  <si>
    <t>Sebidang tanah diatasnya berdiri bangunan rumah dengan bukti Sertipikat Hak Milik No.3289, seluas 161 meter persegi sebagaimana yang diuralkan dalam Surat Ukur No.65/Sukabumi/2011, tertanggal12-12-2011, yang terletak di Wilayah Propinsi Jawa Timur, Kota Probolinggo, Kecamatan Mayangan, Kelurahan Sukabumi, Yang Tercantum atas nama lka Yuni Purwani</t>
  </si>
  <si>
    <t>P03.3585</t>
  </si>
  <si>
    <t>12101/P03.3585/P03/09/2025</t>
  </si>
  <si>
    <t>a. 1 (satu) unit kendaraan roda empat merk Suzuki Ertiga, type/Model AV1414F DX 4X2 MT, tahun 2016 dengan No. BPKB, M-04627130 No rangka MHYKZE81SGJ319858, No. mesin K14BT1194326 No.Polisi: N 721 RM Warna PUTIH METALIK, atas nama ASIH BUDI LESTARI</t>
  </si>
  <si>
    <t>a. Sebidang tanah non pertanian (perumahan) dengan bukti Sertipikat Hak Milik No. 02866, seluas 57 meter persegi sebagaimana yang diuraikan dalam surat ukur No 00720/Tisnonegaran/2021, tertanggal 28/02/2021, yang terletak di Wilayah Propinsi Jawa Timur, Kota Probolinggo, Kel. Tisnonegaran, Yang Tercantum atas nama Wahyu Kurniawan, yang diperoleh haknya melalui pengakuan hak. Keadaan Tanah : sebidang tanah non pertanian (perumahan). Berikut segala sesuatu yang berdiri, tumbuh dan tertanam diatasnya, yang karena sifatnya, maksudnya atau menurut hukum dianggap sebagai harta tetap.</t>
  </si>
  <si>
    <t>b. Sebidang tanah pekarangan dengan bukti Sertipikat Hak Milik No.00763, seluas 132 meter persegi sebagaimana yang diuraikan dalam Surat Ukur No.00023, tertanggal 13-01-2006, yang terletak di Wilayah Propinsi Jawa Timur, Kabupaten Probolinggo, Kecamatan Dringu, Desa Kedungdalem, Yang Tercantum atas nama Buniran, yang diperoleh haknya melalui JUAL BELI Berdasarkan Akta PPAT I Nyoman Agus Pradnyana, SH. Notaris di Dringu dan PPAT, Kabupaten Probolinggo. Tanggal: 21-03-2014 Nomor: 41/JB/Drg./III/2014. Tanggal : 17-04-2014 DI.301 No. 2183/2014 DI.307 No.5632/2014 DI.208 No. 2343/2014. Dengan Tanda-tanda batas: Patok-patok batas berdiri diatas batas dan memenuhi Ketentuan Peraturan Menteri Negara Agraria/Kepala Badan Pertanahan Nasional nomor 3 Tahun 1997 Pasal 22 .  Yang akan diikat secara SKMHT</t>
  </si>
  <si>
    <t>P01.5921</t>
  </si>
  <si>
    <t>12015/P01.5921/P01/08/2025</t>
  </si>
  <si>
    <t>BPKB SEPEDA MOTOR YAMAHA</t>
  </si>
  <si>
    <t>a. 1 (satu) unit kendaraan roda dua, merk Yamaha, type/Model 1KP A/T/SPD. MTR. SOLO, tahun 2013 dengan No. BPKB K-10347363, No rangka MH31KP00BDJ493093, No. Mesin 1KP493215 No.Polisi: N 6287 YAA, Warna Merah, atas nama Subiantoro, Drs.</t>
  </si>
  <si>
    <t>b. 1 (satu) unit kendaraan roda dua, merk Yamaha, type/Model 2SX, tahun 2015 dengan No. BPKB Q-01852735, No rangka MH3SE9010F1098569, No. mesin E3R4E0098580 No.Polisi: N 3270 QY, Warna Abu-Abu, atas nama Sumarni</t>
  </si>
  <si>
    <t>a. Saham No 14053.001.1004.213 atas nama Bayu Rendra Mukti sebesar Rp 3.160.000,00 b. Sibuhar No 14053.001.1004.213 atas nama Bayu Rendra Mukti sebesar Rp 2.500.000,00 c. 1 (satu) unit kendaraan roda dua, merk Honda, type/Model NC11BF1D A/T/SPM. SOLO, tahun 2013 dengan No. BPKB K-07370227, No rangka MH1JFD222DK173905, No. mesin JFD2E2163278 No.Polisi: N 6236 SE, Warna Putih, atas nama Bayu Rendra Mukti. d. 1 (satu) unit kendaraan roda dua, merk Yamaha, type/Model 5 TL MIO / 5 TL MIO, tahun 2008 dengan No. BPKB E 9489747 J, No rangka MH35TL2068K020703, No. mesin 5TL1022510 No.Polisi: N 2800 RN, Warna Hitam, atas nama Yulita.</t>
  </si>
  <si>
    <t>a. 1 (satu) unit kendaraan roda empat, merk MITSUBISHI, type/Model XPANDER CROSS 1.5L 4X2 A/T, tahun 2019 dengan No. BPKB O-06244305, No rangka MK2NCXPARKJD00346, No. mesin 4AS1HM2975 No.Polisi: N 1884 PY, Warna HITAM MIKA, atas nama JIMY SETIAWAN.</t>
  </si>
  <si>
    <t>c. Sebidang tanah non pertanian (perumahan) dengan bukti Sertipikat Hak Milik No 07716, seluas 97 meter persegi sebagaimana yang diuraikan dalam surat ukur No. 03552/Kanigaran/2021, tertanggal 16-08-2021, yang terletak di Wiliayah Propinsi Jawa Timur, Kota Probolinggo, Kecamatan Kanigaran, Kelurahan Kanigaran, Yang Tercantum atas nama Hamima, yang diperoleh haknya melalui pengakuan hak. Dengan tanda batas: tanda-tanda batas sesuai dengan PMNA/Ka. BPN No. 3 Tahun 1997. Berikut segala sesuatu yang berdiri, tumbuh dan tertanam diatasnya, yang karena sifatnya, maksudnya atau menurut hukum dianggap sebagai harta tetap.</t>
  </si>
  <si>
    <t>a. 1 (satu) unit kendaraan roda dua, merk YAMAHA, type/Model BJM A/T, tahun 2024 dengan No. BPKB V-05060120, No rangka MH3SEK610RJ258716, No. mesin E34KE0258720, No.Polisi: N 3159 RV, Warna BIRU, atas nama FATMAWATI.</t>
  </si>
  <si>
    <t>P01.5920</t>
  </si>
  <si>
    <t>12009/P01.5919/P01/08/2025</t>
  </si>
  <si>
    <t>1 (satu) unit kendaraan roda dua, merk HONDA, type/Model X1B02N04L0A/T/SPM.SOLO, tahun 2015 dengan No. BPKB M-03782251, No rangka MH1JFP215FK185669, No. mesin JFP2E1185665 No.Polisi: N 6179 QZ, Warna MERAH, atas nama DEISY RUMAMBI</t>
  </si>
  <si>
    <t>a. Sebidang tanah pekarangan diatasnya berdiri sebuah bangunan rumah dari batu dengan bukti Sertifikat Hak Milik No. 1591, seluas 88 meter persegi sebagaimana yang diuraikan dalam Surat Ukur No. 137/Mayangan/1999, tertanggal 19/02/1999, yang terletak di Wilayah Propinsi Jawa Timur, Kota Probolinggo, Kecamatan Wonoasih, Kelurahan Sumber Taman, Yang Tercantum atas nama Sundaka, yang diperoleh haknya melalui Jual Beli berdasarkan Akta PPAT Hapsoro Widyonondo Sigid, Sarjana Hukum, Tanggal 01-10-2010 Nomor 212/2010. Dengan tanda batas : Tugu-tugu I s/d .IV berdiri diatas batas, yang memenuhi Peraturan Menteri Agraria Nomor : 8 tahun 1961. Tembok-tembok dua lapis a-b dan e-f yang selapis berdiri di dalam. Tembok b-c berdiri diluar. Tembok d-e berdiri di dalam. Berikut segala sesuatu yang berdiri, tumbuh dan tertanam diatasnya, yang karena sifatnya, maksudnya atau menurut hukum dianggap sebagai harta tetap.</t>
  </si>
  <si>
    <t>1 (satu) unit kendaraan roda dua, merk Honda, type/Model NF125TR/SPD.MTR. SOLO, tahun 2009 dengan No. BPKB G 0534505 J, No rangka MH1JB91149K865835, No. mesin JB91E-1862863 No. Polisi : N 2534 RT, Warna Hitam, atas nama Hendri Widiyanto</t>
  </si>
  <si>
    <t>P02.1820</t>
  </si>
  <si>
    <t>11925/P02.1820/P02/07/2025</t>
  </si>
  <si>
    <t>b. 1 (satu) unit kendaraan roda dua, merk YAMAHA, type/Model 2 PV/SPM. SOLO, tahun 2016 dengan No. BPKB M-09658670, No rangka MH3UG0710GK160031, No. mesin G3E6E0212550, No.Polisi: N 5204 QO, Warna Biru, atas nama Bambang Sutedjo Rianto</t>
  </si>
  <si>
    <t>a. Sebidang tanah dengan bangunan rumah dengan Sertipikat Hak Milik No 543, Seluas 122 meter persegi sebagaimana yang diuraikan dalam Surat Ukur No 34/Triwung Lor/2002, tertanggal 10-7-2002 yang terletak di Desa Triwung Lor, Kecamatan Kademangan, Kota Probolinggo tercantum atas nama Edy Siswanto, yang diperoleh haknya melalui Jual Beli berdasarkan Akta PPAT Hapsoro Widyonondo Sigid, Sarjana Hukum. Notaris di Probolinggo dan PPAT Kota Probolinggo. Tanggal 19-05-2015. Nomor 220/2015. Tanggal 21 May 2015 Di. 301 No. 2799/2015 Di. 307 No. 5456/2015 Di. 208 No. 2516/2015 Dengan tanda-tanda batas: Tugu batu dan tembok-tembok.  yang akan diikat secara APHT.</t>
  </si>
  <si>
    <t>a. Sebidang tanah pekarangan kosong dengan Sertipikat Hak Milik No 611, seluas 105 meter persegi sebagaimana yang diuraikan dalam Surat Ukur No 237/Pohsangit Kidul/2007, tertanggal 24-10-2007 yang terletak di Wilayah Propinsi Jawa Timur, Kota. Probolinggo, Kecamatan. Kademangan, Kelurahan. Pohsangit Kidul. Tercantum atas nama Nofi Krisnawati yang diperoleh haknya melalui hibah berdasarkan Akta PPAT Hapsoro Widyonondo Sigid. Sarjana Hukum; tanggal 23-05-2017 Nomor 228/2017 Tanggal 02-06-2017 DI. 301 No. 5043/2017 DI. 307 No. 7247/2017 DI. 208 No. 3613/2017. Dengan tanda tanda batas : Tugu tugu batu memenuhi PMNA/KBPN No 3 Tahun 1997. (yang akan dilakukan pembelian dan balik nama</t>
  </si>
  <si>
    <t>c. Sebidang tanah pekarangan diatasnya berdiri sebuah bangunan rumah dari batu dengan bukti Sertipikat Hak Milik No 1586, seluas 105 meter persegi sebagaimana yang diuraikan dalam Gambar Situasi No 182/1996, tertanggal 06-02-1996, yang terletak di Wilayah Propinsi Jawa Timur, Kabupaten Probolinggo, Kecamatan Wonoasih, Desa Sumber Taman, Yang Tercantum atas nama Sri Indriyani, Sarjana Tekhnik yang diperoleh haknya melalui Jual Beli berdasarkan Akta PPAT Ratna Dewi Widjaja, Sarjana Hukum, tanggal 25-05-2010 No. 147/2010. Dengan tanda-tanda batas : Tugu-tugu I s/d III berdiri diatas batas, yang memenuhi Peraturan Menteri Agraria Nomor : 8 tahun 1961. Tembok a-b berdiri didalam.</t>
  </si>
  <si>
    <t>P03.3601</t>
  </si>
  <si>
    <t>12124/P03.3601/P03/09/2025</t>
  </si>
  <si>
    <t>4 BPKB SEPEDA MOTOR</t>
  </si>
  <si>
    <t>c. 1 (satu) unit kendaraan roda dua, merk HONDA, type/Model NC11A3CB A/T / SPM.SOLO, tahun 2011 dengan No. BPKB H-10287038, No rangka MH1JF7113BK082004, No. mesin JF71E1081233 No.Polisi: N 4566 SA, Warna VIOLET SILVER, atas nama MUHAMAD IRFANI. d. 1 (satu) unit kendaraan roda 2 merk YAMAHA type/Model 14D AL115C/ SPM. SOLO, tahun 2010 dengan No. BPKB M-02357942, No rangka MH314D004AK958786, No. mesin 14D958869 No.Polisi: N 6199 RY, Warna HITAM, atas nama MUHAMMAD FAUZI. e. 1 (satu) unit kendaraan roda dua, merk HONDA, type/Model NC11B1C A/T/SPD. MTR. SOLO, tahun 2009 dengan No. BPKB F 7256369 J, No rangka MH1JF21139K268705, No. mesin JF21E-1267340 No.Polisi: N 2247 RR, Warna HITAM, atas nama NANI HARTINI, DRA. f. 1 (satu) unit kendaraan roda dua, merk HONDA, type/Model ACH1M21B04 A/T/SPM. SOLO, tahun 2014 dengan No. BPKB L-02213656, No rangka MH1JFM211EK308462, No. mesin JFM2E1306691 No.Polisi: N 5130 SG, Warna HITAM, atas nama NANI HARTINI, DRA.</t>
  </si>
  <si>
    <t>SEPEDA MOTOR YANG AKAN DIBELI</t>
  </si>
  <si>
    <t>P02.1838</t>
  </si>
  <si>
    <t>12078/P02.1838/P02/09/2025</t>
  </si>
  <si>
    <t>a. 1 (satu) unit kendaraan roda dua, merk HONDA type/Model K1H02N14LO AT/SOLO, tahun 2015 dengan No. BPKB V-05275372, No rangka MH1KF1116EK058173 No. mesin KF11E1051454 No.Polisi: W4315 NFJ, Warna HITAM, atas nama EVA WULANDARI.</t>
  </si>
  <si>
    <t>b. 1 (satu) unit kendaraan roda empat merk Daihatsu, type/Model SIGRA 1.0M MT(B400RS-GMDEJ), tahun 2022 dengan No. BPKB T-00101178, No rangka MHKS6DJ2JNJ045124, No. mesin 1KRA715740 No.Polisi: E 1609 MR Warna PUTIH, atas nama NURSANTI</t>
  </si>
  <si>
    <t>3 BPKB SEPEDA MOTOR 1 HONDA, 2 YAMAHA</t>
  </si>
  <si>
    <t>c. 1 (satu) unit kendaraan roda dua, merk Honda, type/Model NC11BF1D A/T/SPM. SOLO, tahun 2013 dengan No.BPKB L-05469717, No rangka MH1JFD212DK289743, No. mesin JFD2E1285185 No.Polisi: N 5650 SD, Warna PUTIH, atas nama SOFI ANISAH. d. 1 (satu) unit kendaraan roda dua, merk YAMAHA, type/Model 1KP A/T/SPM.SOLO, tahun 2012 dengan No.BPKB S-01895442, No rangka MH31KP001CK020578, No. mesin 1KP020243 No.Polisi: N 2261 PV, Warna UNGU, atas nama SOFI ANISAH. e. 1 (satu) unit kendaraan roda dua, merk YAMAHA, type/Model JUPITER MX135 1S7/SPM. SOLO, tahun 2007 dengan No.BPKB N-03498835, No rangka MH31S70037K261426, No. mesin 1S7261209 No.Polisi: N 4191 SR, Warna HITAM, atas nama DWI PUTRO AGUNG.</t>
  </si>
  <si>
    <t>P03.3607</t>
  </si>
  <si>
    <t>12201/P03.3607/P03/09/2025</t>
  </si>
  <si>
    <t>TAMBAHAN MODAL USAHA LOMBOK</t>
  </si>
  <si>
    <t>Jaminan atas nama : Agus Suhartono No. SHM : 02251 Letak jaminan : Kelurahan Sumber Wetan, Kecamatan Kedopok, Kota Probolinggo Luas jaminan : 118 meter persegi</t>
  </si>
  <si>
    <t>c. Sebidang tanah diatasnya berdiri bangunan rumah dengan bukti Sertipikat Hak Milik No 3563, seluas 105 meter persegi sebagaimana yang diuraikan dalam Surat Ukur No. 13/Kanigaran/2009, tertanggal 05-02-2009, yang terletak di Wiliayah Propinsi Jawa Timur, Kota Probolinggo, Kecamatan Kanigaran, Kelurahan kanigaran, Yang Tercantum atas nama Farihatun, Siti munawaroh yang diperoleh haknya melalui  Jual Beli  berdasarkan Akta PPAT Ratna Dewi Widjaja, Sarjana Hukum; tanggal 25-10-2008 Nomor 221/2008, DAFTAR ISIAN : TANGGAL 6-2-2009, 301 Nomor : 2856/III/2008, 307 Nomor 797/2009, 208 Nomor 501/2009. Tanda-tanda batas: tembok-tembok memenuhi PMNA/Ka. BPN No. 3 Tahun 1997. Berikut segala sesuatu yang berdiri, tumbuh dan tertanam diatasnya, yang karena sifatnya, maksudnya atau menurut hukum dianggap sebagai harta tetap.</t>
  </si>
  <si>
    <t>P01.5880</t>
  </si>
  <si>
    <t>11904/P01.5880/P01/07/2025</t>
  </si>
  <si>
    <t>d. 1 (satu) unit kendaraan roda empat, merk Toyota, type/Model Avanza 1800/Minibus tahun 2014 dengan No. BPKB Q 0411080, No rangka MHFFMRGK34K008426, No. mesin DA10888 No.Polisi: N 1956 ZK, Warna Biru Metalik, atas nama Hasan</t>
  </si>
  <si>
    <t>Atas nama : IMAM MASYI HUDI No.BPKB : I-04992897 No Polisi : N 3484 ZY Merk : HONDA Type/Model : NC11C1C A/T/ SPD. MTR SOLO Tahun/Warna : 2011/MERAH PUTIH No. Rangka : MH1JF6113BK281466 No Mesin : JF61E1280755 Atas nama : M SATAM No.BPKB : O-02400627 No Polisi : N 3683 TDF Merk : HONDA Type/Model : NF 125TR/SPM.SOLO Tahun/Warna : 2008/HITAM KUNING No. Rangka : MH1JB91118K454133 No Mesin : JB91E1453052</t>
  </si>
  <si>
    <t>P02.1833</t>
  </si>
  <si>
    <t>12045/P02.1833/P02/08/2025</t>
  </si>
  <si>
    <t>PEMBAYARAN SEKOLAH ANAK</t>
  </si>
  <si>
    <t>c. 1 (satu) unit kendaraan roda dua, merk HONDA, type/Model NC11B3C A/T/ SPM. SOLO, tahun 2012 dengan No. BPKB N-03348849, No rangka MH1JF5133CK373111, No. mesin JF51E3340779 No.Polisi: N 2372 SR, Warna HITAM, atas nama TANIKA INDRAYATI.</t>
  </si>
  <si>
    <t>P01.5988</t>
  </si>
  <si>
    <t>12194/P01.5988/P01/09/2025</t>
  </si>
  <si>
    <t>SIJAHTERA</t>
  </si>
  <si>
    <t>SIJATRA NO. 01.3.05.00324</t>
  </si>
  <si>
    <t>P03.3608</t>
  </si>
  <si>
    <t>12205/P03.3608/P03/09/2025</t>
  </si>
  <si>
    <t>USAHA KUE</t>
  </si>
  <si>
    <t>2 BPKB SEPEDA MOTOR SUZUKI DAN HONDA</t>
  </si>
  <si>
    <t>b. 1 (satu) unit kendaraan roda dua, merk Suzuki, type/Model FU150SCD/SEPEDA MOTOR, tahun 2013 dengan No. BPKB I-07402579, No rangka MH8BG41CADJ103294, No. mesin G420ID1083506, No.Polisi: N 3423 SW, Warna Hitam, atas nama Lisa Dwiyanti. c. 1 (satu) unit kendaraan roda dua, merk Honda, type/Model F1C02N28L0 AT/SEPEDA MOTOR, tahun 2017 dengan No. BPKB I-07402579, No rangka MH1JM311OHK329910, No. mesin JM31E1335460, No.Polisi: N 2878 QR, Warna HITAM SILVER, atas nama Lisa Dwiyanti</t>
  </si>
  <si>
    <t>P01.5986</t>
  </si>
  <si>
    <t>12123/P01.5986/P01/09/2025</t>
  </si>
  <si>
    <t>PERBAIKAN BENTOR</t>
  </si>
  <si>
    <t>b. 1 (satu) unit kendaraan roda dua, merk HONDA, type/Model NF11B2D1 M/T/SPM. SOLO, tahun 2011 dengan No. BPKB I-04244644, No rangka MH1JBE114BK256999, No. mesin JBE1E1257024, No.Polisi: N 3858 MX, Warna Hitam, atas nama EKA FITRIANI SRI SULISTYANA. c. 1 (satu) unit kendaraan roda dua, merk HONDA, type/Model NF11B2D1 M/T/SPM. SOLO, tahun 2011 dengan No. BPKB I-04244644, No rangka MH1JBE114BK256999, No. mesin JBE1E1257024, No.Polisi: N 3858 MX, Warna Hitam, atas nama EKA FITRIANI SRI</t>
  </si>
  <si>
    <t>c. 1 (satu) unit kendaraan roda dua, merk YAMAHA, type/Model B5D A/T/SPM. SOLO, tahun 2020 dengan No. BPKB P-02703342, No rangka MH3SEP510LO108319, No. mesin E31WE0117136 No.Polisi: N 4651 MM, Warna MERAH, atas nama Edy Yulianto. d. 1 (satu) unit kendaraan roda dua, merk YAMAHA, type/Model B6H A/T/SPM. SOLO, tahun 2020 dengan No. BPKB O-08376786, No rangka MH3SG5620LJ097390, No. mesin G3L8E0107714 No.Polisi: N 3020 MJ, Warna BIRU, atas nama Edy Yulianto.</t>
  </si>
  <si>
    <t>DEPOSITO SISUKA SIJATRA</t>
  </si>
  <si>
    <t>SISUKA NBA 14053.001.1005.754 No Rek SSKA.3254/SSKA/2020/02 atas nama Elisa Handoyo sejumlah Rp 5.000.000,00 SISUKA NBA 14053.001.1005.754 No Rek SSKA.3340/SSKA/2020/03 atas nama Elisa Handoyo sejumlah Rp 10.000.000,00 SIJATRA NBA 14053.001.1005.754 No Rek SJTA.1792/SJTA/2022/01 atas nama Elisa Handoyo sejumlah Rp 1.000.000,00</t>
  </si>
  <si>
    <t>P02.1814</t>
  </si>
  <si>
    <t>11853/P02.1814/P02/07/2025</t>
  </si>
  <si>
    <t>2 BPKB MOTOR</t>
  </si>
  <si>
    <t>1 (satu) unit kendaraan roda dua merk HONDA, type/Model NF100L/ SPM SOLO, tahun 2005 dengan No. BPKB O-00922911, No rangka MH1HB11155K775720, No. mesin HB11E1774444 No.Polisi: N 4157 SY, Warna HITAM, atas nama Mia Kurniawati. 1 (satu) unit kendaraan roda dua, merk Honda, type/Model NF100/- tahun 2000 dengan No. BPKB A-9587287J, No rangka MH1KEV210YK155090, No. mesin KEV2E-1155242 No.Polisi: N 6502 RW, Warna ABU ABU-HTM, atas nama Saturi</t>
  </si>
  <si>
    <t>b. 1 (satu) unit kendaraan roda dua, merk HONDA, type/Model K1H02N14LO AT/ SPM. SOLO, tahun 2016 dengan No. BPKB M-04485595, No rangka MH1KF1117GK519009, No. mesin KF11E1516207 No.Polisi: N 3267 SK, Warna PUTIH, atas nama SITI FATIMAH</t>
  </si>
  <si>
    <t>P02.1835</t>
  </si>
  <si>
    <t>12042/P02.1835/P02/08/2025</t>
  </si>
  <si>
    <t>c. Sebidang tanah perumahan dengan bukti Sertipikat Hak Milik No. 02198, seluas 150 meter persegi sebagaimana yang diuraikan dalam Surat Ukur No. 01243/Jrebeng Lor/2018, tertanggal 08/05/2018, yang terletak di Wilayah Propinsi Jawa Timur, Kota Probolinggo, Kecamatan Kedopok, Kelurahan Jrebeng Lor, Yang Tercantum atas nama Supar, yang diperoleh haknya yang diperoleh haknya berdasarkan Pengakuan Hak-, berdasarkan penunjuk: -DI. 300: 162/2018 Tgl. 03/04/2018 -Letter C.Kel. Jrebeng Lor No. 294 Persil 18 Klas D.I seluas 150 M2 -Pengumuman Data Fisik &amp; Data Yuridis Tgl. 04-04-2018 No. 24/Peng-12.08/IV/2018 -Surat Pernyataan Hibah Tanggal 15-02-2018  Yang akan diikat secara SKMHT.</t>
  </si>
  <si>
    <t>a. Sebidang tanah kosong dengan Sertipikat Hak Milik No 1624, Seluas 176 meter persegi sebagaimana yang diuraikan dalam Surat Ukur No 74/Tisnonegaran/2005, tertanggal 17-11-2005 yang terletak di Kelurahan Tisnonegaran, Kecamatan Mayangan, Kota Probolinggo tercantum atas nama Insinyur. Wahyu Dwi Rediana, yang diperoleh haknya melalui Jual Beli berdasarkan Akta PPAT DWIANA JULIASTUTI, Sarjana Hukum Tanggal: 22-12-2015 Nomor: 541/2015. Tanggal 02 Feb 2016 Di. 301 No 373/2016 Di. 307 No 844/2016 Di. 208 No 409/2016. Tanda-tanda batas: Tugu-tugu batu memenuhi PMNA/KBPN No. 3 Tahun 1997.  yang akan diikat secara APHT.</t>
  </si>
  <si>
    <t>P01.5811</t>
  </si>
  <si>
    <t>11780/P01.5811/P01/07/2025</t>
  </si>
  <si>
    <t>c. 1 (satu) unit kendaraan roda dua merk HONDA, type/Model NC110A1C A/T / SPM. SOLO, tahun 2013 dengan No. BPKB O-02391655, No rangka MH1JF8114DK796975, No. mesin JF81E1791136 No.Polisi: N 4135 R, Warna PUTIH HITAM, atas nama NIVAN TRIYO RAHMAT I.S.</t>
  </si>
  <si>
    <t>a. Sebidang tanah perumahan dengan Sertipikat Hak Milik No 01442, Seluas 60 meter persegi sebagaimana yang diuraikan dalam Surat Ukur No 637/Jrebeng Kulon/2016, tertanggal 15-08-2016 yang terletak di Kelurahan Jrebeng Kulon, Kecamatan Kedopok, Kota Probolinggo tercantum atas nama Novrita Dwi Andini, yang diperoleh haknya melalui JUAL BELI Berdasarkan Akta PPAT Bambang Wisnu Dwi Wardhana, S.H.,M.Kn</t>
  </si>
  <si>
    <t>a. 1 (satu) unit kendaraan roda dua, merk YAMAHA, type/Model BBP A/T/SOLO, tahun 2023 dengan No. BPKB U-00611798, No rangka MH3SG6410PJ286910, No. mesin G3P4E0206155 No.Polisi: N 3135 RE, Warna BIRU, atas nama M FATONI. b. 1 (satu) unit kendaraan roda dua, merk YAMAHA, type/Model BBP A/T/SOLO, tahun 2024 dengan No. BPKB U-00611798, No rangka MH3SG6410PJ286910, No. mesin G3P4E0206155 No.Polisi: N 3135 RE, Warna PUTIH, atas nama M FATONI (BELI BARU).</t>
  </si>
  <si>
    <t>c. 1 (satu) unit kendaraan roda dua, merk HONDA, type/Model NF 100SL/ SEPEDA MOTOR, tahun 2006 dengan No. BPKB D-9017167J, No rangka MH1HB311X6K247393, No. mesin HB31E1251290 No.Polisi: N 6736 RI, Warna HITAM, atas nama TULUS RAHAYU.</t>
  </si>
  <si>
    <t>b. Sebidang tanah non pertanian diatasnya berdiri bangunan dengan bukti Sertipikat Hak Milik No. 850, seluas 109 meter persegi sebagaimana yang diuraikan dalam Surat Ukur No 00262/Senduro/2017, tertanggal 31 Oktober 2017, yang terletak di Wilayah Propinsi Jawa Timur, Kabupaten Lumajang, Kecamatan Senduro, Desa Senduro, Yang Tercantum atas nama Angga Mei Indrawan, yang diperoleh haknya melalui pengakuan hak. Dengan Tanda-tanda batas: tugu-tugu beton dan tembok memenuhi PMNA/Ka. BPN No. 3/1997</t>
  </si>
  <si>
    <t>Atas nama : TAUFIQIL HASAN No.BPKB : Q-06745726 No Polisi : N 5954 MU Merk : HONDA Type/Model : E1F02N11M2 A/T / SPM.SOLO Tahun/Warna : 2016/HITAM No. Rangka : MH1JFU11XGK612295 No Mesin : JFU1E1613101</t>
  </si>
  <si>
    <t>e. 1 (satu) unit kendaraan roda dua, merk Yamaha, type/Model BJ8/SPM. Solo, tahun 2016 dengan No. BPKB M-08748633, No rangka MH3SE8840GJ055662, No. mesin E3R2E0892084, No.Polisi: N 6151 QJ, Warna PUTIH, atas nama FEBRI ROMADONI</t>
  </si>
  <si>
    <t>P02.1808</t>
  </si>
  <si>
    <t>11824/P02.1808/P02/07/2025</t>
  </si>
  <si>
    <t>b. Sebidang tanah kosong dengan Sertipikat Hak Milik No 1219, seluas 300 meter persegi sebagimana yang diuraikan dalam surat ukur No 224/Jrebeng Wetan/2008 tanggal 21-8-2008 yang terletak di Wilayah Propinsi Jawa Timur, Kota Probolinggo, Kecamatan Jrebeng Wetan, Kelurahan Kedopok, Yang Tercantum atas nama Moch. Abdul Mutholib yang diperoleh haknya Berdasarkan Pengakuan Hak. Berdasarkan Petunjuk Buku C Kel. Jrebeng Wetan No. 417 Persil 18 Klas D.I(sebagian), Pengumuman data fisik &amp;Yuridis Tgl 21-7-2008 No.77/Peng/2008, Surat Keterangan Warisan Tgl 08-04-2008, Surat Pernyataan hibah tanggal 08-04-2008 dengan tanda  tanda batas : Tugu  tugu batu memenuhi PMNA/KBPN No. 3 Tahun 1997  Yang akan diikat secara SKMHT</t>
  </si>
  <si>
    <t>b. Sebidang tanah pekarangan dengan bukti Sertipikat Hak Milik No. 1508, seluas 131 meter persegi sebagaimana yang diuraikan dalam Surat Ukur No 105/Kebonagung/2013, tertanggal 15-05-2013, yang terletak di Wilayah Propinsi Jawa Timur, Kabupaten Probolinggo, Kecamatan Kraksaan, Desa Kebonagung, Yang Tercantum atas nama Nany, yang diperoleh haknya melalui  JUAL  BELI  Akta PPAT KHUSNUL HITAMINAH, SH. MH. Notaris di Kraksaan dan PPAT Kabupaten Probolinggo tgl. 27-02-2019 No. 114/2019. Di 301 No. 1955/2019 Di. 307. No. 5530/2019 Tgl 22 MAR 2019 Di. 208 No. 2673/2019. Tanda-tanda batas: Tanda batas sesuai dengan PMNA/KBPN No. 3/1997.</t>
  </si>
  <si>
    <t>a. Sebidang tanah diatasnya berdiri bangunan rumah dengan bukti Sertipikat Hak Milik No. 741, seluas 134 meter persegi sebagaimana yang diuraikan dalam Surat Ukur No 30/Jrebeng Kulon/2011, tertanggal 12/12/2011, yang terletak di Wilayah Propinsi Jawa Timur, Kota Probolinggo, Kecamatan Kedopok, Kel. Jrebeng Kulon, Yang Tercantum atas nama Poniman, Nueriati, yang diperoleh haknya melalui jual beli, berdasarkan Akta PPAT Hapsoro Widyonondo Sigid, Sarjana Hukum, tanggal 27 -07- 2011 Nomor 209/2011 tanggal 21 Desember 2011. DI 301 No. 5308/2011, DI 307 No. 11082/2011, DI 208 No. 5961/2011. Keadaan Tanah : sebidang tanah diatasnya berdiri bangunan rumah. Tanda-tanda batas : tembok-tembok memenuhi PMNA/Ka. BPN No. 3 Tahun 1997. Berikut segala sesuatu yang berdiri, tumbuh dan tertanam diatasnya, yang karena sifatnya, maksudnya atau menurut hukum dianggap sebagai harta tetap.</t>
  </si>
  <si>
    <t>a. 1 (satu) unit kendaraan roda dua, merk Yamaha, type/Model 4D7, tahun 2007 dengan No. BPKB E3784604J, No rangka MH34D70027J330294, No. mesin 4D7-330300 No.Polisi: N 6516 RK, Warna Biru, atas nama Bambang Wirawan b. 1 (satu) unit kendaraan roda dua, merk Yamaha, type/Model 28D (MIO/AL115S), tahun 2010 dengan No. BPKB H-02762149, No rangka MH328D20CAJ846288, No. mesin 28D1846148 No.Polisi: N 3307 RY, Warna Kuning, atas nama Bambang Wirawan</t>
  </si>
  <si>
    <t>P03.3565</t>
  </si>
  <si>
    <t>12084/P03.3565/P03/09/2025</t>
  </si>
  <si>
    <t>BPKB SEPEDA MOTOR YAMAHA TAHUN 2012 + BPKB SEPEDA MOTOR HONDA</t>
  </si>
  <si>
    <t>1 (SATU) UNIT KENDARAAN RODA DUA MERK YAMAHA TYPE/MODEL 54P (CAST WHEEL) A/T TAHUN 2012 DENGAN NO. BPKB I-10802635 NO RANGKA MH354P00BCJ150661 NO MESIN 54P151120 NO POLISI N 4597 S WARNA PUTIH ATAS NAMA ULFA SUPIATI 1 (SATU) UNIT KENDARAAN RODA DUA MERK HONDA TYPE/MODEL V1J02Q50L1AIT TAHUN 2024 DENGAN NO. BPKB V-05975236 NO RANGKA MH1KF8113RK454266 NO MESIN KF81E-1454076 NO. POLISI N 2245 OZWARNA BIRU ATAS NAMA IFAN DWI SAMPURNO</t>
  </si>
  <si>
    <t>c. Sebidang tanah diatasnya berdiri bangunan dengan bukti Sertipikat Hak Milik No 01805, seluas 147 meter persegi sebagaimana yang diuraikan dalam Surat Ukur No. 00393/Mayangan/2020, tertanggal 15/10/2020, yang terletak di Wiliayah Propinsi Jawa Timur, Kota Probolinggo, Kecamatan Mayangan, Kelurahan Mayangan, Yang Tercantum atas nama Siti Rodhiyah Ita Asmane, yang diperoleh haknya melalui -Pembagian Hak Bersama- Berdasarkan Akta PPAT Diah Istiqomatul Husna, Sarjana Hukum, Magister Kenotariatan. Tanggal: 13-12-2020 Nomor: 14/2020 Tanggal 28 Dec 2020 Di. 301 No. 5793/2020 Di. 307 No. 14579/2020 Di. 208 No. 7621/2020. Dengan Tanda-tanda Batas: Batas-batas sesuai dengan PMNA/Ka.BPN No. 3 Tahun 1997. Yang akan diikat secara SKMHT</t>
  </si>
  <si>
    <t>Atas nama : ENNY IRAWATI No.BPKB : U-02504287 No Polisi : N 2923 RG Merk : HONDA Type/Model : X1H02N32L1 A/T/SOLO Tahun/Warna : 2023/PUTIH No. Rangka : MH1KF0116PK589532 No Mesin : KF01E1589551</t>
  </si>
  <si>
    <t>P03.3564</t>
  </si>
  <si>
    <t>12065/P03.3564/P03/09/2025</t>
  </si>
  <si>
    <t>P01.5868</t>
  </si>
  <si>
    <t>11895/P01.5868/P01/07/2025</t>
  </si>
  <si>
    <t>RENOVASI WARUNG</t>
  </si>
  <si>
    <t>b. 1 (satu) unit kendaraan roda dua, merk HONDA, type/Model F1C02N28L0 A/T/SPM. SOLO, tahun 2019 dengan No. BPKB O-02956371, No rangka MH1JM3122KK503136, No. mesin JM31E2497801, No.Polisi: N 6563 PO, Warna Coklat Hitam, atas nama Novrita Dwi Andini</t>
  </si>
  <si>
    <t>P01.5864</t>
  </si>
  <si>
    <t>11842/P01.5864/P01/07/2025</t>
  </si>
  <si>
    <t>c. Sebidang tanah diatasnya berdiri bangunan dengan bukti Sertipikat Hak Milik No. 01704, seluas 102 meter persegi sebagaimana yang diuraikan dalam Surat Ukur No. 00851/Kebonsari Wetan/2018, tertanggal 25/04/2018, yang terletak di Wilayah Propinsi Jawa Timur, Kota Probolinggo, Kecamatan Kanigaran, Kelurahan Kebonsari Wetan, Yang Tercantum atas nama Zaenal Hermanto, yang diperoleh haknya melalui Jual Beli berdasarkan Akta PPAT Hapsoro Widyonondo Gigid, Sarjana Hukum , Tanggal 18-02-2019 No 065/2019. Tanggal 06 Mar 2019 Di. 301 No. 937/2019 Di.307 No. 2459/2019 Di. 208 1369/2019 Dengan tanda batas : batas  batas sesuai PMNA/KBPN No. 3 Tahun 1997  Yang akan diikat secara APHT.</t>
  </si>
  <si>
    <t>P01.5924</t>
  </si>
  <si>
    <t>12012/P01.5924/P01/08/2025</t>
  </si>
  <si>
    <t>1 (satu) unit kendaraan roda dua, merk Honda type/Model H1B02N41L0 AT/ SPD. MOTOR, tahun 2021 dengan No. BPKB R 00379894, No rangka MH1JM8114MK776635 No. mesin JM81E1778285 No.Polisi: N 4760 ON, Warna HITAM, atas nama MISRIANA.</t>
  </si>
  <si>
    <t>1 BPKB SEPEDA MOTOR HONDA TAHUN 2014</t>
  </si>
  <si>
    <t>1 (SATU) UNIT KENDARAAN RODA DUA MERK YAMAHA, TYPE/MODEL 1KP A/T/SPM. SOLO, TAHUN 2014 DENGAN NO. BPKB L-01612719, NO. RANGKA MH31KP00CEJ743471, NO. MESIN 1KP743596 NO. POLISI /; N 3033 SG WARNA UNGU, ATAS NAMA FITRIYAH</t>
  </si>
  <si>
    <t>b. Sebidang tanah diatasnya berdiri bangunan dengan bukti Sertipikat Hak Milik No 03603, seluas 102 meter persegi sebagaimana yang diuraikan dalam Surat Ukur No. 691/Kebonsari Kulon/2015, tertanggal 02/12/2015, yang terletak di Wiliayah Propinsi Jawa Timur, Kota Probolinggo, Kecamatan Kanigaran, Kelurahan Kebonsari Kulon, Yang Tercantum atas nama Moch Shaleh Kufron, yang diperoleh haknya melalui JUAL BELI Berdasarkan Akta PPAT RHOZY WIRIANTO, Sarjana Hukum, Magister Kenotariatan. Tanggal: 19-06-2020 Nomor: 9/2020. Tanggal 10 Jul 2020 DI. 301 No. 2782/2020 DI. 307 No. 7988/2020 DI. 208 No. 4103/2020. Dengan Tanda-tanda batas: Batas-batas sesuai dengan PMNA/KBPN No. 3 Tahun 1997.</t>
  </si>
  <si>
    <t>P02.1816</t>
  </si>
  <si>
    <t>11875/P02.1816/P02/07/2025</t>
  </si>
  <si>
    <t>b. 1 (satu) unit kendaraan roda dua, merk HONDA, type/Model A1F02N37M1 A/T, tahun 2020 dengan No. BPKB O-06757736, No rangka MH1JM511XLK569616, No. mesin JM51E1569270, No.Polisi: N 5966 QT, Warna Hitam, atas nama Sugeng Dermawan.</t>
  </si>
  <si>
    <t>a. 1 (satu) unit kendaraan roda dua, merk Honda, type/Model D1B02N26L2A/T/SPM. SOLO, tahun 2018 dengan No. BPKB N-04392113, No rangka MH1JFZ121JK331161, No. mesin JFZ1E2335682, No.Polisi: N 6582 RH, Warna PUTIH, atas nama AKHMAD AVIANTO.</t>
  </si>
  <si>
    <t>P01.5948</t>
  </si>
  <si>
    <t>12056/P01.5948/P01/08/2025</t>
  </si>
  <si>
    <t>BIAYA SEWA RUMAH</t>
  </si>
  <si>
    <t>HONDA type/Model NF100 LD/ SPM SOLO, tahun 2005 dengan No. BPKB L-12452571, No rangka MH1HB21135K680921, No. mesin HB21E1684236 No.Polisi: N 2653 RW, Warna HITAM BIRU, atas nama Mochammad Syafiudin</t>
  </si>
  <si>
    <t>P01.5809</t>
  </si>
  <si>
    <t>11782/P01.5809/P01/07/2025</t>
  </si>
  <si>
    <t>BIAYA PROFESI KEPERAWATAN</t>
  </si>
  <si>
    <t>d. 1 (satu) unit kendaraan roda dua, merk Honda, type/Model NC11B3CA/T/ SCOOTER, tahun 2010 dengan No. BPKB H-03827045, No rangka MH1JF511BAK406843, No. mesin JF51E1410498 No.Polisi: W 5377 NAD, Warna MERAH, atas nama ABDUL ROHIM.</t>
  </si>
  <si>
    <t>a. Sebidang tanah diatasnya berdiri bangunan rumah dengan bukti Sertifikat Hak Milik No. 1847, seluas 133 meter persegi sebagaimana yang diuraikan dalam Surat Ukur No. 137/Tisnonegaran/2007, tertanggal 09/08/2007, yang terletak di Wilayah Propinsi Jawa Timur, Kota Probolinggo, Kecamatan Kanigaran, Kel. Tisnonegaran, Yang Tercantum atas nama Suharyono, yang diperoleh haknya melalui Pemberian Hak/Pemisahan Dengan tanda batas : tembok-tembok memenuhi PMNA/KBPN No. 3 Tahun 1997. Berikut segala sesuatu yang berdiri, tumbuh dan tertanam diatasnya, yang karena sifatnya, maksudnya atau menurut hukum dianggap sebagai harta tetap.</t>
  </si>
  <si>
    <t>Atas nama : RAHMAT JULIANTO No.BPKB : L-00460555 No Polisi : N 2079 SG Merk : HONDA Type/Model : NC11BF1D AT/ SPM. SOLO Tahun/Warna : 2014/HIJAU PUTIH No. Rangka : MH1JFD239EK090627 No Mesin : JFD2E3091415</t>
  </si>
  <si>
    <t>a. Tanah pekarangan diatasnya berdiri bangunan Perumahan DHARMA ALAM SEMPUSARI blok A1-03 dengan Sertipikat Hak Guna Bangunan No 1758, Seluas 84 meter persegi sebagaimana yang diuraikan dalam Surat Ukur No 00086/Sempusari/2012, tertanggal 05-07-2012 yang terletak di Kelurahan Sempusari, Kecamatan Kaliwates, Kabupaten Jember tercantum atas nama Nyonya Andriana Isbinarti, Sarjana Pendidikan, yang diperoleh haknya melalui JUAL BELI Berdasarkan Akta PPAT Diyah Aryani Permanasari, Sarjana Hukum, Notaris di Jember tanggal 25/01/2012, Nomor 111/AJB/111/KLWT/1/2012, DI 301 No. 13084/2012, tgl. 18/07/2012. Tanggal: 27-08-2014 Di. 301 No.</t>
  </si>
  <si>
    <t>a. 1 (satu) unit kendaraan roda dua, merk Honda, type/Model NF11B1D M/T/SPM. SOLO, tahun 2010 dengan No. BPKB O-06242924, No rangka MH1JBC118AK629948, No. mesin JBCIE1628852, No.Polisi: N 4418 QH, Warna HITAM, atas nama TRINIL KASIANI.</t>
  </si>
  <si>
    <t>P03.3603</t>
  </si>
  <si>
    <t>12187/P03.3603/P03/09/2025</t>
  </si>
  <si>
    <t>c. Sebidang tanah pekarangan diatasnya berdiri sebuah bangunan rumah dari batu dengan bukti Sertipikat Hak Milik No. 1080, seluas 98 meter persegi sebagaimana yang diuraikan dalam Gambar Situasi No. 978/1996, tertanggal 04/07/1996, yang terletak di Wilayah Propinsi Jawa Timur, Kotamadya. Probolinggo, Kecamatan. Wonoasih, Desa. Sumber Taman, Yang Tercantum atas nama Insinyur Budi Krisyanto, yang diperoleh haknya berdasarkan Jual Beli-, berdasarkan Akta PPAT Hernowo Sarjana Hukum tanggal 25-11-2005, No. 0132/2005,Tanggal 01-03-2006 DI.301.205/2006, DI.307.1143/2006, DI.208.733/2006 dengan tanda batas : Tugu-tugu I s/d IV berdiri diatas batas yangmemenuhi Peraturan Menteri Agraria Nomor : 8 Tahun 1961, Tembok a-b berdiri diluar, Tembok c-d berdiri didalam</t>
  </si>
  <si>
    <t>P08.322</t>
  </si>
  <si>
    <t>11866/P08.322/P08/07/2025</t>
  </si>
  <si>
    <t>P01.5824</t>
  </si>
  <si>
    <t>11787/P01.5824/P01/07/2025</t>
  </si>
  <si>
    <t>KEBUTUHAN RUMAH DAN RENOVASI</t>
  </si>
  <si>
    <t>BPKB TRUCK</t>
  </si>
  <si>
    <t>b. 1 (satu) unit kendaraan roda empat, merk TOYOTA, type/Model DYNA 110 ET, tahun 2013 dengan No. BPKB 06714435, No rangka MHFC1JU41D5073898, No. mesin W04DTPJ36267 No.Polisi: L 8323 ND, Warna MERAH, atas nama PT. TIRTA BAHAGIA.</t>
  </si>
  <si>
    <t>Jaminan atas nama Jaini, No. SHM 743 Letak jaminan Kel. Pohsangit Kidul, Kec. Kademangan,Kota Probolinggo,Luas jaminan 113 meter persegi</t>
  </si>
  <si>
    <t>P01.5962</t>
  </si>
  <si>
    <t>12107/P01.5962/P01/09/2025</t>
  </si>
  <si>
    <t>MODAL USAHA JUAL GORENGAN TAHU BAKSO</t>
  </si>
  <si>
    <t>P01.5832</t>
  </si>
  <si>
    <t>11838/P01.5832/P01/07/2025</t>
  </si>
  <si>
    <t>DAFTAR ULANG UANG SEKOLAH</t>
  </si>
  <si>
    <t>P01.5934</t>
  </si>
  <si>
    <t>12035/P01.5932/P01/08/2025</t>
  </si>
  <si>
    <t>a. 1 (satu) unit kendaraan roda dua, merk Honda, type/Model A5C02R37M2 M/T/SPM.SOLO, tahun 2020 dengan No. BPKB O-08376754, No rangka MH1KCA218LK090352, No. mesin KCA2E1085844 No.Polisi: N 2958 MJ, Warna Hitam, atas nama Slamet Riyadi.</t>
  </si>
  <si>
    <t>P01.5985</t>
  </si>
  <si>
    <t>12146/P01.5985/P01/09/2025</t>
  </si>
  <si>
    <t>a. 1 (satu) unit kendaraan roda dua, merk YAMAHA, type/Model B3F-I AT/SOLO, tahun 2020 dengan No. BPKB V-02602138, No rangka MH3SEF310LJ210809, No. mesin E31VE0274336 No.Polisi: N 4240 RY, Warna PUTIH, atas nama EVINDA FAREJI.</t>
  </si>
  <si>
    <t>Sebidang tanah pertanian dengan bukti Sertipikat Hak Milik No 75, seluas 1.584 meter persegi sebagaimana yang diuraikan dalam Surat Ukur No. 88/Palangbesi/2016, tertanggal 11-04-2016, yang terletak di Wiliayah Propinsi Jawa Timur, Kabupaten Probolinggo, Kecamatan Lumbang, Kelurahan Palangbesi, Yang Tercantum atas nama AMIRUSITA DEWI, yang diperoleh haknya melalui Konversi, dengan tanda-tanda batas : Tanda batas sesuai dengan PMNA/KBPN No. 3 Tahun 1997.</t>
  </si>
  <si>
    <t>sertifikat SHM</t>
  </si>
  <si>
    <t>a. Simpanan Wajib atas nama Lilik Verawati Nomor Buku 0.01.08131 sejumlah Rp 720.000,00 b. Sebidang tanah pekarangan diatasnya berdiri bangunan dengan bukti Sertipikat Hak Milik No 1322, seluas 70 meter persegi sebagaimana yang diuraikan dalam Surat Situasi No 1635/1996, tertanggal 16-12-1996, yang terletak di Wilayah Propinsi Jawa Timur, Kota. Probolinggo, Kecamatan. Wonoasih, Desa. Sumbertaman, Yang Tercantum atas nama Lilik Verawati, yang diperoleh haknya berdasarkan Jual Beli-, berdasarkan Akta PPAT Judiwati Sutandi, Sarjana Hukum, tanggal 10-11-2010, No. 211/2010, dengan tanda batas : Tugu tugu I s/d IV berdiri diatas batas yang memenuhi Perturab Menteri Agraria Nomor : 8 Tahun 1961. Tembok a-b berdiri di luar. Tembok c-d berdiri didalam. Yang akan diikat dengan APHT</t>
  </si>
  <si>
    <t>P01.5976</t>
  </si>
  <si>
    <t>12169/P01.5976/P01/09/2025</t>
  </si>
  <si>
    <t>b. 1 (satu) unit kendaraan roda dua, merk Honda, type/Model NF11T11C01 M/T / SPM.SOLO, tahun 2019 dengan No. BPKB O-05678822, No rangka MH1JBK119KK669712, No. mesin JBK1E1666273, No.Polisi: N 2089 QH, Warna Hitam, atas nama SUGIARTO</t>
  </si>
  <si>
    <t>b. 1 (satu) unit kendaraan roda dua, merk HONDA, type/Model NC11B3CA/T /SPM SOLO, tahun 2012 dengan No. BPKB I-08400679, No rangka MH1JF5120CK963628, No. mesin JF51E2961960No.Polisi: N 2685 SC, Warna MERAH, atas nama Sri Hartatik</t>
  </si>
  <si>
    <t>a. Sebidang tanah pekarangan diatasnya berdiri sebuah bangunan dari batu beserta bangunan pelengkap dengan bukti Sertifikat Hak Milik No. 03430, seluas 110 meter persegi sebagaimana yang diuraikan dalam gambar situasi No. 432/1991, tertanggal 12/03/1991, yang terletak di Wilayah Propinsi Jawa Timur, Kota Probolinggo, Kecamatan Wonoasih, Kel. Sumber Taman, Yang Tercantum atas nama Yohana Sri Hartatik, yang diperoleh haknya melalui jual beli berdasarkan Akta PPAT Justina Judywati Sutandi, Sarjana Hukum Tanggal 21-03-2019 Nomor 38/2019. Dengan tanda batas : tugu I memenuhi Peraturan Menteri Agraria Nomor : 8 tahun 1961 dan berdiri diatas batas. Tembok a-b berdiri didalam. Tembok b-c berdiri ditengah.. Berikut segala sesuatu yang berdiri, tumbuh dan tertanam diatasnya, yang karena sifatnya, maksudnya atau menurut hukum dianggap sebagai harta tetap.</t>
  </si>
  <si>
    <t>Jaminan atas nama : HARI POERNOMO, Sarjana Ekonomi No. SHM : 107 Letak jaminan : Desa Seroboh, Kecamatan Krejengan, Kabupaten Probolinggo Luas jaminan : 2.499 meter persegi</t>
  </si>
  <si>
    <t>P01.5863</t>
  </si>
  <si>
    <t>11883/P01.5863/P01/07/2025</t>
  </si>
  <si>
    <t>BANTU CUCU SEKOLAH</t>
  </si>
  <si>
    <t>Jaminan atas nama AGUS MULYANTO ALOYSIUS No. SHM 1508 Letak jaminan Kel. Jrebeng Wetan, Kec. Kedopok, Kota Probolinggo, Luas jaminan 144 meter persegi</t>
  </si>
  <si>
    <t>1 BPKB SEPEDA MOTOR</t>
  </si>
  <si>
    <t>b. 1 (satu) unit kendaraan roda dua, merk YAMAHA, type/Model 5D9 (VEGA RR)/ SPM. SOLO, tahun 2013 dengan No. BPKB K-10418844, No rangka MH35D9206DJ915098, No. mesin 5D91915097 No.Polisi: N 4627 SF, Warna MERAH, atas nama A.C PUD RAMANKA S.SOS, M.SI</t>
  </si>
  <si>
    <t>P03.3499</t>
  </si>
  <si>
    <t>11892/P03.3499/P03/07/2025</t>
  </si>
  <si>
    <t>TANAM TEMBAKAU</t>
  </si>
  <si>
    <t>a. 1 (satu) unit kendaraan roda dua, merk Honda, type/Model X1B02N04L0/SEPEDA MOTOR, tahun 2015 dengan No. BPKB M-01450881, No rangka MH1JFP111FK677522, No. mesin JFP1E1705441 No.Polisi: N 4384 MM, Warna PUTIH MERAH, atas nama ELOK NUR AINI.</t>
  </si>
  <si>
    <t>c. 1 (satu) unit kendaraan roda dua, merk Honda, type/Model NC110D NC 110D VARIO JF12E/SOLO, tahun 2007 dengan No. BPKB T-06016783, No rangka MH1JF12177K049574, No. mesin JF12E1049179 No.Polisi: N 4603 RD, Warna PUTIH, atas nama LISA UMAMI.</t>
  </si>
  <si>
    <t>a. Sebidang tanah perumahan dengan Sertipikat Hak Milik No 02965, Seluas 98 meter persegi sebagaimana yang diuraikan dalam Surat Ukur No 01519/Curahgrinting/2019, tertanggal 02/07/2019 yang terletak di Kelurahan Curahgrinting, Kecamatan Kanigaran, Kota Probolinggo tercantum atas nama Melania Sutjahyani Ganda, yang diperoleh haknya melalui JUAL BELI Berdasarkan Akta PPAT HAPSORO WIDYONONDO SIGID, Sarjana Hukum. Tanggal: 17-07-2019 Nomor: 481/2019 Tanggal: 29 JUL 2019 Di. 301 No. 3670/2019 Di. 307 No. 17930/2019 Di. 208 No. 9274/2019. Tanda-tanda batas: Batas-batas sesuai dengan PMNA/KBPN No. 3 Tahun 1997.  Yang akan diikat secara APHT</t>
  </si>
  <si>
    <t>a. 1 (satu) unit kendaraan roda dua, merk HONDA, type/Model NC11B3C A/T/ SPM. SOLO, tahun 2010 dengan no. BPKB H-03817034, No rangka MH1JF5115AK399690, No. mesin JF51E1404746, No.Polisi: N 3755 RY, Warna HITAM, atas nama SAMIATI.</t>
  </si>
  <si>
    <t>a. Simpanan Saham No. 14053.001.1008.826 atas nama Siti Fatimatuzzahroh sejumlah Rp. 2.435.000,00 b. 1 (satu) unit kendaraan roda dua, merk Honda, type/Model ACH1M21B04 AT/SOLO, tahun 2014 dengan No. BPKB V-04990695, No rangka MH1JFM224EK163684, No. mesin JFM2E2175199, No.Polisi: N 2243 QB, Warna WHITE BLUE, atas nama SUDIRMAN.</t>
  </si>
  <si>
    <t>P02.1819</t>
  </si>
  <si>
    <t>11911/P02.1819/P02/07/2025</t>
  </si>
  <si>
    <t>RENOVASI KAMAR</t>
  </si>
  <si>
    <t>c. Sebidang tanah pekarangan diatasnya berdiri sebuah bangunan rumah dari batu dengan bukti Sertipikat Hak Milik No. 602, seluas 244 meter persegi sebagaimana yang diuraikan dalam Gambar Situasi No 1261/1995, tertanggal 28-9-1995, yang terletak di Wilayah Propinsi Jawa Timur, Kabupaten Probolinggo, Kecamatan Dringu, Desa Pabean, Yang Tercantum atas nama Marmi. Yang akan di proses balik nama Atas nama Saiful Hasan. Yang di peroleh Haknya melalui HIBAH Akta Pejabat Pembuat Akta Tanah Drs. Emran Eddy Syahrial, Camat Dringu tgl 3-8-1995 No. 25/Dringu/1995. Dengan Tanda-tanda batas: Tembok a-b berdiri didalam batas, beton I:II berdiri diluar batas, tanda-tanda batas telah mencukupi P.M.A. No. 8/1961.  Yang akan di ikat dengan SKMHT</t>
  </si>
  <si>
    <t>c. 1 (satu) unit kendaraan roda dua, merk Kawasaki, type/Model KR150P (NINJA RR), tahun 2015 dengan No. BPKB Q-05208748, No rangka MH4KR150PFKFC0519, No.Mesin KR150KEPK1783 No.Polisi: N 5345 Q, Warna HITAM, atas nama KHOMARUL HUDA. d. 1 (satu) unit kendaraan roda dua, merk HONDA, type/Model WW150EXH IN A/T/SPM. SOLO, tahun 2016 dengan No. BPKB M-05631596, No rangka RLHKF1839GY200463, No.Mesin KF18E5107250 No.Polisi: N 6294 SK, Warna PUTIH, atas nama MOH. SAHRIN H.</t>
  </si>
  <si>
    <t>a. 1 (satu) unit kendaraan roda empat, merk Daihatsu, type/Model XENIA 1.3 R M/T F653R V-GMDFJ/MINIBUS, tahun 2017 dengan No. BPKB N-03554297, No rangka MHKV3EA2JHK025754, No. mesin INRF313632 No.Polisi: N 1369 GG, Warna PUTIH, atas nama M SODIK.</t>
  </si>
  <si>
    <t>c. Sebidang tanah diatasnya berdiri bangunan rumah dengan bukti Sertipikat Hak Milik No. 715, seluas 493 meter persegi sebagaimana yang diuraikan dalam Surat Ukur No. 66/Posangit Kidul/2009, tertanggal 01-12-2009, yang terletak di Wilayah Propinsi Jawa Timur, Kota Probolinggo, Kecamatan Kademangan, Kelurahan Pohsangit Kidul, Yang Tercantum atas nama Sumarni, yang diperoleh haknya melalui ASAL HAK PENUNJUK Buku C Kel Pohsangit Kidul No. 555 Persil 45 Klas D.II (sebagian). Pengumuman Data Fisik &amp; Yuridis Tgl 18-5-2009 No. 73/PENG/2009. Surat Pernyataan Pembagian Waris tanggal 19-05-2009. Surat Pernyataan Hibah tanggal 19-05-2009. Dengan Tanda-tanda batas: Tugu-tugu batu memenuhi PMNA/KBPN No. 3 Tahun 1997.  Yang akan diikat secara SKMHT.</t>
  </si>
  <si>
    <t>b. 1 (satu) unit kendaraan roda dua, merk HONDA, type/Model D1B02N26L2 A/T / SPM. SOLO, tahun 2018 dengan No. BPKB N-09198507, No rangka MH1JFZ124JK618767, No. mesin JFZ1E2620470, No.Polisi: N 2759 SX, Warna PUTIH, atas nama RUSIYATI.</t>
  </si>
  <si>
    <t>1 (satu) unit kendaraan roda empat, merk SUZUKI, type/Model GC415V-APV DL X, tahun 2013 dengan No. BPKB K-06695921, No rangka MHYGDN42VDJ400295, No. mesin G15AID307237 No.Polisi: L 1728 DK, Warna HITAM METALIK, atas nama DANNY BOEDIJONO.</t>
  </si>
  <si>
    <t>P09.66</t>
  </si>
  <si>
    <t>12108/P09.66/P09/09/2025</t>
  </si>
  <si>
    <t>c. 1 (satu) unit kendaraan roda dua, merk HONDA, type/Model Y1G02N02L0 A/T / SPM. SOLO, tahun 2015 dengan No. BPKB M-00760731, No rangka MH1JFS11XFK101320, No. mesin JFS1E1099261 No.Polisi: N 2893 SJ, Warna HITAM, atas nama DIAN RAMADHAN. d. 1 (satu) unit kendaraan roda dua, merk HONDA, type/Model X1B02N04L0 A/T / SPD. MTR. SOLO, tahun 2015 dengan No. BPKB M-03916507, No rangka MH1JFP217FK173636, No. mesin JFP2E1173617 No.Polisi: AE 3846 HF, Warna PUTIH BIRU, atas nama SOEKIRNO.</t>
  </si>
  <si>
    <t>b. 1 (satu) unit kendaraan roda dua, merk Honda, type/Model NC 110D VARIO JF13E/ SPM. SOLO, tahun 2010 dengan No. BPKB 2538346J, No rangka MH1JF1314AK199423, No. mesin JF13E0196100 No.Polisi: N 5390 QJ, Warna MERAH HITAM, atas nama ENDAH SUKAPTI</t>
  </si>
  <si>
    <t>a. 1 (satu) unit kendaraan roda dua, merk Honda, type/Model D1B02N12L2 A/T/SPM. SOLO, tahun 2018 dengan No. BPKB N-10589285, No rangka MH1JM2128JK022610, No. mesin JM21E2001753 No.Polisi: N 5595 SX, Warna Hitam, atas nama Wiwik Setyowati. b. 1 (satu) unit kendaraan roda dua, merk Honda, type/Model X1B02N04L0 A/T /SPM. SOLO, tahun 2023 dengan No. BPKB M-04758903, No rangka MH1JFP123GK569574, No. mesin JFPIE2560510 No.Polisi: N 2026 QC, Warna Putih Merah, atas nama Tinike Eka Hapsari.</t>
  </si>
  <si>
    <t>a. Sebidang tanah pekarangan diatasnya berdiri sebuah bangunan dari kayu dengan bukti Sertipikat Hak Milik No. 1215, seluas 46 meter persegi sebagaimana yang diuraikan dalam Surat Ukur No 927/1990, tertanggal 09-10-1990, yang terletak di Wilayah Propinsi Jawa Timur, Kota Probolinggo, Kecamatan Mayangan, Desa Sukabumi, Yang Tercantum atas nama Sumartini, yang diperoleh haknya melalui jual beli, berdasarkan Akta PPAT Entjik Mamad Abror, Sarjana Hukum tanggal 24 -03- 2008 Nomor 6/2008. DI 301 No. 1820/2008, DI 307 No. 7229/2008, DI 208 No. 208 No. 3728/2008 tanggal 29-08-2008. Keadaan Tanah : sebidang tanah pekarangan diatasnya berdiri sebuah bangunan dari kayu. Tanda-tanda batas : tugu-tugu I s/d IV memenuhi peraturan Menteri Agraria No. 8 tahun 1961 dan berdiri di atas batas.</t>
  </si>
  <si>
    <t>JAMINAN BPKB SEPEDA MOTOR</t>
  </si>
  <si>
    <t>b. 1 (satu) unit kendaraan roda dua, merk HONDA, type/Model D11B02N12L2 AT, tahun 2018 dengan No. BPKB N-10495598, No rangka MH1JM2126JK007538, No. mesin JM21E1987517 No.Polisi: N 5765 OW, Warna BIRU PUTIH, atas nama TIEN SUZANA</t>
  </si>
  <si>
    <t>c. 1 (satu) unit kendaraan roda dua, merk HONDA, type/Model A1F02N37M1 A/T/SPM. SOLO, tahun 2020 dengan No. BPKB O-06757932, No rangka MH1JM5114LK578649, No. mesin JM51E1578606 No.Polisi: N 6890 QT, Warna HITAM, atas nama PRAMUJIONO HARDI.</t>
  </si>
  <si>
    <t>Sebidang tanah pekarangan dengan bukti Sertipikat Hak Milik No. 147, seluas 141 meter persegi sebagaimana yang diuraikan dalam Surat Ukur No. 51/Klampokan/2002, tertanggal 07-11-2002, yang terletak di Wilayah Propinsi Jawa Timur, Kabupaten. Bondowoso, Kecamatan. Klabang, Desa. Kelampokan, Yang Tercantum atas nama Elky Astrivo yang diperoleh haknya melalui Konversi berdasarkan penunjuk Di 301 No 1449/PMS/2002 Tgl 27-07-2002. Tanda-tanda batas : berupa tugu beton memenuhi PMNA/KBPN No 3/1997</t>
  </si>
  <si>
    <t>BPKB MOBIL PICKUP</t>
  </si>
  <si>
    <t>a. 1 (satu) unit kendaraan roda empat, merk Daihatsu, type/Model S91, tahun 2000 dengan No. BPKB M-06478920, No rangka S91RP3016113, No. mesin 9225523 No.Polisi: N 8025 BX, Warna PUTIH, atas nama Pujianto.</t>
  </si>
  <si>
    <t>P03.3588</t>
  </si>
  <si>
    <t>12154/P03.3587/P03/09/2025</t>
  </si>
  <si>
    <t>P01.5852</t>
  </si>
  <si>
    <t>11834/P01.5852/P01/07/2025</t>
  </si>
  <si>
    <t>a. 1 (satu) unit kendaraan roda dua, Merk Honda, type/Model F1C02N28L0 AT/SOLO, Tahun 2019 dengan No. BPKB O-05679321, No rangka MH1JM3136KK052785, No. Mesin JM31E3047995, No.Polisi: N 2902 QH, Warna COKLAT HITAM, atas nama RAFIATUL ADHAWIYAH.</t>
  </si>
  <si>
    <t>P08.324</t>
  </si>
  <si>
    <t>11959/P08.324/P08/08/2025</t>
  </si>
  <si>
    <t>b. 1 (satu) unit kendaraan roda dua, merk HONDA, type/Model NF 12A1CF M/T/ SPD MTR SOLO, tahun 2012 dengan No. BPKB J-00547560, No rangka MH1JBG113CK067581, No. mesin JBG1E1067117 No.Polisi: W 4551 RL, Warna HIJAU HITAM, atas nama LAURENTIA PRISKA BOEDIANTO. c. 1 (satu) unit kendaraan roda dua, merk YAMAHA, type/Model 14DAL115C/ SPM SOLO, tahun 2009 dengan No. BPKB K-10417813, No rangka MH314D0529K431136, No. mesin 14D430823 No.Polisi: N 2706 RS, Warna HITAM, atas nama IMAM ARIFIN</t>
  </si>
  <si>
    <t>a. 1 (satu) unit kendaraan roda empat, merk Totoya, type/Model RUSH 1.5 S.AT F800RE GQGFJ, tahun 2018 dengan No. BPKB N-09198243, No rangka MHKE8FB3JJK007967, No. mesin 2NRF701610 No.Polisi: N 1756 RX, Warna Hitam Metalik, atas nama Ika handayani, S.H., M.KN.</t>
  </si>
  <si>
    <t>P01.5907</t>
  </si>
  <si>
    <t>11996/P01.5907/P01/08/2025</t>
  </si>
  <si>
    <t>MLESTER RUMAH</t>
  </si>
  <si>
    <t>c. 1 (satu) unit kendaraan roda dua, merk HONDA, type/Model NC11C1C A/T/ SPM. SOLO, tahun 2012 dengan No. BPKB J-00424561, No rangka MH1JF6111CK379395, No. mesin JF61E1374049 No.Polisi: N 6615 QS, Warna VIOLET PUTIH, atas nama IBTIMA</t>
  </si>
  <si>
    <t>a. 1 (satu) unit kendaraan roda dua, merk Yamaha, type/Model 54P(CAST WHEEL)A/T/SPM. SOLO, tahun 2012 dengan No. BPKB J-03754486, No rangka MH354P00BCJ457354, No. mesin 54P457612 No.Polisi: N 3957 ST, Warna Hitam, atas nama Sugeng Sutrisno type/Model 1 DY/SPM. SOLO, tahun 2014 dengan</t>
  </si>
  <si>
    <t>c. 1 (satu) unit kendaraan roda dua, merk HONDA, type/Model K1H02N14L0 A/T/ SPM. SOLO, tahun 2017 dengan No. BPKB N-01123376, No rangka MH1KF1123HK035462, No. mesin KF11E2031566 No.Polisi: N 2607 PJ, Warna HITAM, atas nama DEDY DWI PRASETYO.</t>
  </si>
  <si>
    <t>b. 1 (satu) unit kendaraan roda dua, merk HONDA, type/Model NC11A3C A/T/ SPM SOLO, tahun 2011 dengan No. BPKB I-01574586, No rangka MH1JF911XBK397667, No. mesin JF91E1394422 No.Polisi: N 2274 SB, Warna HITAM SILVER, atas nama Ferry Dody Soetomo.</t>
  </si>
  <si>
    <t>Sebidang tanah pekarangan diatasnya berdiri bangunan dengan bukti Sertipikat Hak Milik No. 08101, seluas 65 meter persegi sebagaimana yang diuraikan dalam surat ukur No. 04202/Kanigaran/2023, tertanggal 13-04-2023, yang terletak di Wilayah Propinsi Jawa Timur, Kota Probolinggo, Kecamatan Kanigaran, Kelurahan Kanigaran, Yang Tercantum atas nama Indah Wiji Astutik, yang diperoleh haknya melalui  pemecahan bidang- penunjuk : Sertipikat Tanah Hak Milik No. 07996/Kanigaran. Dengan tanda batas : tanda-tanda batas sesuai dengan PMNA/Ka. BPN No. 3 Tahun 1997.</t>
  </si>
  <si>
    <t>b. 1 (satu) unit kendaraan roda dua, merk HONDA, type/Model C1C02N16M2 A/T/SPM. SOLO, Tahun 2016 dengan No. BPKB R-00379759, No rangka MH1JFW11XGK674484, No. mesin JFW1E1675233 No.Polisi: N 4926 QN, Warna MERAH PUTIH, atas nama HADI HARIYONO</t>
  </si>
  <si>
    <t>SERTIPIKAT HAK MILIK</t>
  </si>
  <si>
    <t>b. Sebidang tanah perumahan dengan bukti Sertipikat Hak Milik No. 06378, seluas 60 meter persegi sebagaimana yang diuraikan dalam surat ukur No. 02221/Kanigaran/2020, tertanggal 04-08-2020, yang terletak di Wilayah Propinsi Jawa Timur, Kota Probolinggo, Kecamatan Kanigaran, Kel. kanigaran, Yang Tercantum atas nama Petrus Endyantoro, yang diperoleh haknya melalui  Jual Beli - berdasarkan Akta PPAT Sofia Sari Dewi, Sarjana Hukum, Magister Kenotariatan tanggal 27-04-2022 Nomor 258/2022 tanggal 05 Juli 2022 DI 301 No. 3248/2022, DI 307 No. 6879/2022, DI 208 No. 3774/2022. Dengan tanda batas : batas-batas sesuai dengan PMNA/Ka. BPN No. 3 Tahun 1997.</t>
  </si>
  <si>
    <t>c. 1 (satu) unit kendaraan roda dua, merk Honda, type/Model X1B02N04L0 A/T/ SPM SOLO tahun 2016 dengan No. BPKB M-0382725, No rangka MH1JFP125GK201574, No. mesin JFP1E2213209 No.Polisi: N 2977 SK, Warna Putih Merah, atas nama Imroatun Hasanah.</t>
  </si>
  <si>
    <t>b. 1 (satu) unit kendaraan roda dua merk HONDA, type/Model F1C02N46L0 A/T/SOLO, tahun 2022 dengan No. BPKB T-01461801, No rangka MH1JM0311NK066849, No. mesin JM03E1066882 No.Polisi: N 2455 YBM Warna HITAM MERAH, atas nama ERNI SANTUSI</t>
  </si>
  <si>
    <t>b. 1 (satu) unit kendaraan roda dua, merk HONDA, type/Model D1B02N26L2 A/T/ SPM. SOLO, tahun 2019 dengan No. BPKB O-04148342, No rangka MH1JFZ218KK621730, No. mesin JFZ2E1621669 No.Polisi: N 4593 PRI, Warna HITAM, atas nama BASORI ANDRIAN SYAH.</t>
  </si>
  <si>
    <t>a. Sebidang tanah diatasnya berdiri bangunan rumah dengan Sertipikat Hak Milik No 4288, Seluas 131 meter persegi sebagaimana yang diuraikan dalam Surat Ukur No 207/Kanigaran/2012, tertanggal 07-12-2012 yang terletak di Kelurahan Kanigaran, Kecamatan Kanigaran, Kota Probolinggo tercantum atas nama Flotis Susmirisdiana, yang diperoleh haknya melalui JUAL BELI Berdasarkan Akta PPAT Entjik Mamad Abror, Sarjana Hukum tanggal 13-09-2018 Nomor 658/2018 Tanggal 28 September 2018 DI.301 No. 5168/2018, DI. 307 No. 18707/2018, DI. 208 No. 9781/2018.</t>
  </si>
  <si>
    <t>P05.170</t>
  </si>
  <si>
    <t>11860/P05.170/P05/07/2025</t>
  </si>
  <si>
    <t>PEMBELIAN MOTOR BARU YAMAHA FREEGO</t>
  </si>
  <si>
    <t>PEMBELIAN BARU YAMAHA FREEGO Standart/Putih/2025</t>
  </si>
  <si>
    <t>Sebidang tanah perumahan dengan Sertipikat Hak Milik No 4809, Seluas 85 meter persegi sebagaimana yang diuraikan dalam Surat Ukur No 529/Kanigaran/2014, tertanggal 11-09-2014 yang terletak di Kelurahan Kanigaran, Kecamatan Kanigaran, Kota Probolinggo. Tercantum atas nama Basuki,</t>
  </si>
  <si>
    <t>a. Sebidang tanah non pertanian (pekarangan) dengan bukti Sertipikat Hak Milik No. 02981, seluas 1.006 meter persegi sebagaimana yang diuraikan dalam Surat Ukur No. 01644/Kademangan/2021, tertanggal 12/10/2021, yang terletak di Wilayah Propinsi Jawa Timur, Kota Probolinggo, Kecamatan Kademangan, Kel. Kademangan, Yang Tercantum atas nama Mulyadi, yang diperoleh haknya melalui pengakuan hak. Tanda-tanda batas: batas-batas sesuai dengan PMNA/Ka.BPN No. 3 Tahun 1997.</t>
  </si>
  <si>
    <t>b. 1 (satu) unit kendaraan roda dua, merk Honda, type/Model K1H02N14L0 A/T/SPM. SOLO, tahun 2017 dengan No. BPKB N-03317147, No rangka MH1KF1125HK060492, No. mesin KF11E2057032, No.Polisi: N 4723 YBF, Warna COKLAT, atas nama SRI PAMUJI RAHAYU</t>
  </si>
  <si>
    <t>a. Sebidang tanah non pertanian (perumahan) dengan bukti Sertipikat Hak Milik No 02798, seluas 63 meter persegi sebagaimana yang diuraikan dalam Surat Ukur No. 01927/Triwung Kidul/2021, tertanggal 02-09-2021, yang terletak di Wiliayah Propinsi Jawa Timur, Kota Probolinggo, Kecamatan Kademangan, Kelurahan Triwung Kidul, Yang Tercantum atas nama Mistima, yang diperoleh haknya melalui Pengakuan Hak. Dengan tanda batas: batas-batas sesuai dengan PMNA/Ka. BPN No. 3 Tahun 1997. Berikut segala sesuatu yang berdiri, tumbuh dan tertanam diatasnya, yang karena sifatnya, maksudnya atau menurut hukum dianggap sebagai harta tetap.</t>
  </si>
  <si>
    <t>c. Sebidang tanah pekarangan dengan bukti Sertipikat Hak Milik No 1386, seluas 212 meter persegi sebagaimana yang diuraikan dalam Surat Ukur No.05/Dringu/2012, tertanggal 11-12-2012, yang terletak di Wiliayah Propinsi Jawa Timur, Kabupaten Probolinggo, Kecamatan Dringu, Desa Dringu, Yang Tercantum atas nama Ita Ambarwati yang diperoleh haknya melalui Pengakuan Hak. Di. 301 No. 6534/2012 Di. 208 No. 6033/2012 Riwayat Tanah C 2023 Persil 1 Kelas Desa D III Luas 210 M2 (Sebagian dari Luas 420 M2) An. Misnati. Tanda-tanda batas: Tanda batas sesuai dengan PMNA/KBPN No. 3/1997.</t>
  </si>
  <si>
    <t>P03.3552</t>
  </si>
  <si>
    <t>12027/P03.3552/P03/08/2025</t>
  </si>
  <si>
    <t>a. 1 (satu) unit kendaraan roda dua, merk Honda, type/Model M1K03Q33L0 A/T/2024, tahun 2024 dengan No. BPKB V-05060429, No rangka MH1KFD115RK073320, No. mesin KFD1E1073156, No.Polisi: N 3649 RV, Warna HIJAU, atas nama AGUS SUGIANTO.</t>
  </si>
  <si>
    <t>Sebidang tanah pekarangan diatasnya berdiri sebuah rumah dari batu dengan bukti Sertipikat Hak Milik No. 457, seluas 121 meter persegi sebagaimana yang diuraikan dalam Surat Ukur No. 8/Kebonsari Wetan/2000, tertanggal 8-3-2000, yang terletak di Wilayah Propinsi Jawa Timur, Kota Probolinggo, Kecamatan Kanigaran, Kelurahan Kebonsari wetan, Yang Tercantum atas nama Sulastri</t>
  </si>
  <si>
    <t>P03.3571</t>
  </si>
  <si>
    <t>12092/P03.3571/P03/09/2025</t>
  </si>
  <si>
    <t>a. 1 (satu) unit kendaraan roda empat, merk Toyota type/Model KIJANG KF50 SPR/MINIBUS, tahun 1991 dengan No. BPKB U 00611588, No rangka KF50105025 No. mesin 5K9075426 No.Polisi: N 1542 PH, Warna ABU-ABU METALIK, atas nama AHMAD JONI ASYARI.</t>
  </si>
  <si>
    <t>c. Sebidang tanah non pertanian (pekarangan) dengan bukti Sertifikat Hak Milik No. 02918, seluas 124 meter persegi sebagaimana yang diuraikan dalam Surat Ukur No. 00798/Tisnonegaran/2021, tertanggal 11/11/2021, yang terletak di Wilayah Propinsi Jawa Timur, Kota Probolinggo, Kecamatan Kanigaran, Kelurahan Tisnonegaran, Yang Tercantum atas nama Sinta Kumala Sari. Tanda-tanda batas : Tanda batas sesuai dengan PMNA/Ka.BPN No. 3 Tahun 1997. Berikut segala sesuatu yang berdiri, tumbuh dan tertanam diatasnya, yang karena sifatnya, maksudnya atau menurut hukum dianggap sebagai harta tetap.</t>
  </si>
  <si>
    <t>a. 1 (satu) unit kendaraan roda dua, merk YAMAHA, type/Model 28D(MIO/AL115S)/SPM. SOLO, tahun 2010 dengan No. BPKB H-02276953, No rangka MH328D20CAJ842350, No. mesin 28D1842497, No.Polisi: N 3461VM, Warna Merah Marun, atas nama Loan Indari.</t>
  </si>
  <si>
    <t>SISUKA No SSKA.2750/SSKA/2019/08 atas nama Wanda Gobel sejumlah Rp 1.000.000,00 SISUKA No SSKA.2389/SSKA/2019/04 atas nama Wanda Gobel sejumlah Rp 1.000.000,00 SISUKA NBA 14053.001.1017.343 SSKA.2750/SSKA/2019/08 atas nama Wanda Gobel sejumlah Rp 1.000.000,00</t>
  </si>
  <si>
    <t>a. Sertipikat Hak Milik NIB. 12.31.000008469.0, Bidang Tanah : Bidang tanah ini terletak di Desa Pesisir, Kecamatan Sumberasih, Kabupaten Probolinggo, Provinsi Jawa Timur seluas 127 M2 (seratus dua puluh tujuh meter persegi), Pemegang Hak : Sulastri  Probolinggo, 01 Juli 1960  1 bagian, Catatan Pendaftaran : 1) Pengakuan Hak berdasarkan Berita acara pengesahan data fisik dan data yuridis Nomor 30/2008 tanggal 14 November 2008, 2). Ganti nama berdasarkan surat keterangan ganti nama nomor 471.1/139/426.421.12/2024 tanggal 03 Juli 2024.</t>
  </si>
  <si>
    <t>BPKB SEPEDA MOTOR HONDA, BPKB MOBIL, BPKB SEPEDA MOTOR</t>
  </si>
  <si>
    <t>JAMINAN I 1. Atas nama : SUSMI WAHYUDI 2. No.BPKB : K-05242543 3. No Polisi : N 3842 SE 4. Merk : HONDA 5. Type/Model : NC11BF1D A/T/SPM. SOLO 6. Tahun/Warna : 2013/ORANGE BIRU 7. No. Rangka : MH1JFD213DK780645 8. No Mesin : JFD2E1774104, c. 1 (satu) unit kendaraan roda empat, merk Suzuki, type/Model ST 100 SP/Minibus, tahun 1987 dengan No. BPKB O01957250, No rangka SL410258314, No. mesin F10AID157210, No.Polisi: N 1829 RZ, Warna PUTIH, atas nama FERRY ARIYANTO., b. 1 (satu) unit kendaraan roda dua, merk Honda, type/Model NC11A3C A/T, tahun 2011 dengan No. BPKB H-10807307, No rangka MH1JF9110BK295715, No. mesin JF91E1292362, No.Polisi: N 4810 PV, Warna HITAM SILVER, atas nama TUSIRAT.</t>
  </si>
  <si>
    <t>b. Sebidang tanah pekarangan kosong dengan bukti Sertipikat Hak Milik No. 2458, seluas 121 meter persegi sebagaimana yang diuraikan dalam Surat Ukur No. 23/Sukabumi/2000, tertanggal 1-3-2000, yang terletak di Wilayah Propinsi Jawa Timur, Kotamadya Probolinggo, Kecamatan Mayangan, Kelurahan Sukabumi, Yang Tercantum atas nama Suparlan, yang diperoleh haknya melalui pemberian hak PENUNJUK Tanah Negara Kepala Kantor Pertanahan Kota Probolinggo. Tanda tanda batas : Tugu Batu I s/d IV berdiri diatas batas dan memenuhi PMNA/Ka BPN No.3/1997  Yang akan diikat secara SKMHT.</t>
  </si>
  <si>
    <t>b. 1 (satu) unit kendaraan roda dua, merk Honda, type/Model C1C02N16M2 A/T/SPM. SOLO, tahun 2016 dengan No. BPKB M-05632140, No rangka MH1JFW113GK506668, No. mesin JFWIE1514996, No.Polisi: N 6757 SK, Warna PUTIH, atas nama THEODORUS AMA TUE KERAF.</t>
  </si>
  <si>
    <t>Sebidang tanah kosong dengan bukti Sertipikat Hak Milik No 539, seluas 178 meter persegi sebagaimana yang diuraikan dalam Gambar Situasi No 1205/1994, tertanggal 15-10-1994, yang terletak di Wilayah Propinsi Jawa Timur, Kotamadya Probolinggo, Kecamatan Mayangan, Kelurahan. Curahgrinting, Yang Tercantum atas nama Sri Sulismiati, Andhy Suhardiman, Sari Suhardani yang diperoleh haknya melalui  Waris - berdasarkan surat keterangan waris yang dibuat oleh para Ahli Waris Tanggal 18-11-2019 yang diketahui Lurah Curahgrinting Nomor 594/792/425.504.02/2019 dan Camat Kanigaran Nomor 594/1417/425.504/2019. Tanggal Pendaftaran Tanggal 11 DEC 2019 Di. 301 No. 6710/2019 Di. 307 No. 24121/2019 Di. 208 No. 12543/2019. Dengan Tanda-tanda batas: Tugu batu 1 s/d IV berdiri diatas batas dan memenuhi Peraturan Menteri Agraria Nomer: 8 Tahun 1961.</t>
  </si>
  <si>
    <t>a. Sebidang tanah pekarangan diatasnya berdiri bangunan dengan bukti Sertifikat Hak Milik No. 03461, seluas 128 meter persegi sebagaimana yang diuraikan dalam Surat Ukur No. 03968/KANIGARAN/2022 tertanggal 30/08/2022, yang terletak di Wilayah Propinsi Jawa Timur, Kota Probolinggo, Kecamatan Kanigaran, Kelurahan Kanigaran, Yang Tercantum atas nama Slamet Rijadi. Dengan tanda batas batas-batas : tanda-tanda batas sesuai dengan PMNA/KBPN No. 3 Tahun 1997. Berikut segala sesuatu yang berdiri, tumbuh dan tertanam diatasnya, yang karena sifatnya, maksudnya atau menurut hukum dianggap sebagai harta tetap.</t>
  </si>
  <si>
    <t>c. Sebidang tanah perumahan dengan bukti Sertifikat Hak Milik No. 01856, seluas 77 meter persegi sebagaimana yang diuraikan dalam Surat Ukur No. 01074/Pohsangit Kidul/2019, tertanggal 31/05/2019, yang terletak di Wilayah Propinsi Jawa Timur, Kota Probolinggo, Kecamatan Kademangan, Kelurahan Pohsangit kidul, Yang Tercantum atas nama Tony Sugiyanto, yang diperoleh haknya melalui Jual Beli berdasarkan Akta PPAT Ririn Meiriati, S.pi, M.H., Tanggal 31-05-2019. Dengan tanda batas batas-batas sesuai dengan PMNA/KBPN No. 3 Tahun 1997. Berikut segala sesuatu yang berdiri, tumbuh dan tertanam diatasnya, yang karena sifatnya, maksudnya atau menurut hukum dianggap sebagai harta tetap.</t>
  </si>
  <si>
    <t>P04.575</t>
  </si>
  <si>
    <t>11962/P04.575/P04/08/2025</t>
  </si>
  <si>
    <t>a. Sebidang tanah diatasnya berdiri bangunan dengan Sertipikat Hak Milik No 892, Seluas 108 meter persegi sebagaimana yang diuraikan dalam Surat Ukur No 78/Jrebeng Kulon/2013, tertanggal 20-12-2013 yang terletak di Kelurahan Jrebeng Kulon, Kecamatan Kedopok, Kota Probolinggo tercantum atas nama Wiwik Wony Marganingsih (yang akan di balik nama ke : Nanda Nike Dwi Wulandari). Yang diperoleh haknya melalui JUAL BELI Berdasarkan Akta PPAT Entjik Mamad Abror, Sarjana Hukum tanggal: 29-09-2011 Nomor: 438/2011 Tanggal: 10-06-2014, DI. 301: 3485/2014 DI. 307: 7482/2014 DI. 208: 3474/2014. Tanda-tanda batas: batas-batas sesuai dengan PMNA/KBPN No. 3 Tahun 1997.  yang akan diikat secara APHT.</t>
  </si>
  <si>
    <t>a. Sebidang tanah diatasnya berdiri bangunan dengan bukti Sertifikat Hak Milik No. 00841, seluas 396 meter persegi sebagaimana yang diuraikan dalam Surat Ukur No. 00846/2022, tertanggal 14/08/2022, yang terletak di Wilayah Propinsi Jawa Timur, Kabupaten Probolinggo, Kecamatan Lumbang, Desa Boto, Yang Tercantum atas nama Jugo Suryono, yang diperoleh haknya melalui Pengakuan Hak. Dengan tanda batas : tanda batas sesuai dengan PMNA/KBPN No. 3 Tahun 1997. Berikut segala sesuatu yang berdiri, tumbuh dan tertanam diatasnya, yang karena sifatnya, maksudnya atau menurut hukum dianggap sebagai harta tetap.  Yang diikat secara SKMHT.</t>
  </si>
  <si>
    <t>P08.320</t>
  </si>
  <si>
    <t>11822/P08.320/P08/07/2025</t>
  </si>
  <si>
    <t>d. Sebidang tanah perumahan dengan bukti Sertipikat Hak Milik No 2060, seluas 104 meter persegi sebagaimana yang diuraikan dalam Surat Ukur No. 579/Curahgrinting/2015, tertanggal 29-07-2015, yang terletak di Wiliayah Propinsi Jawa Timur, Kota Probolinggo, Kecamatan Kanigaran, Kelurahan Curahgrinting, Yang Tercantum atas nama Roro yayuk Fitrianingrum,S.Pd, yang diperoleh haknya melalui Jual beli Berdasarkan Akta PPAT Musyarrofa Rahmawati Tanggal 19-01-2023 Nomor 09/2023. Dengan tanda batas: Batas-batas sesuai dengan PMNA/KBPN No. 3 Tahun 1997. Berikut segala sesuatu yang berdiri, tumbuh dan tertanam diatasnya, yang karena sifatnya, maksudnya atau menurut hukum dianggap sebagai harta tetap.</t>
  </si>
  <si>
    <t>d. 1 (satu) unit kendaraan roda dua, merk Honda, type/Model ACH1M27B04A/T/SPM. SOLO, tahun 2014 dengan No. BPKB L-03728306, No rangka MH1JFM213EK876603, No. mesin JFM2E1381147, No.Polisi: N 2022 YBC, Warna HITAM, atas nama SALIP. e. 1 (satu) unit kendaraan roda dua, merk Honda, type/Model D1B02N26L2 A/T/SPM. SOLO, tahun 2016 dengan No. BPKB M-09850004, No rangka MH1JFZ114GK249571, No. mesin JFZ1E1268413, No.Polisi: N 4952 UV, Warna HITAM, atas nama SALIP</t>
  </si>
  <si>
    <t>P01.5885</t>
  </si>
  <si>
    <t>11910/P01.5885/P01/08/2025</t>
  </si>
  <si>
    <t>b. 1 (satu) unit kendaraan roda empat, merk Toyota, type/Model Starlet 1300 / Sedan, tahun 1993 dengan No. BPKB O-05678952, No rangka MHF54EP8109008910, No. mesin 2E2684014 No.Polisi: N 1011 PY, Warna SILVER OPAL MET, atas nama IMRON CHOLID.</t>
  </si>
  <si>
    <t>c. 1 (satu) unit kendaraan roda dua, merk Honda, type/Model F1C02N28LO A/T / SPM. SOLO, tahun 2019 dengan No. BPKB O-06244453, No rangka MH1JM3135KK142932, No. mesin JM31E3138338, No.Polisi: N 5153 QI, Warna HITAM, atas nama SUNARDI.</t>
  </si>
  <si>
    <t>P01.5909</t>
  </si>
  <si>
    <t>12001/P01.5909/P01/08/2025</t>
  </si>
  <si>
    <t>a. 1 (Satu) Unit Kendaraan Roda Dua Merk Honda Type/Model ACH1M21B04 AT/SEPEDA MOTOR Tahun 2015 Dengan No. BPKB V-04990679 No Rangka MH1JFM225FK221755 No Mesin JFM2E2206770 No Polisi N 2224 QB Warna HITAM Atas Nama WULANDARI.</t>
  </si>
  <si>
    <t>a. 1 (satu) unit kendaraan roda dua, merk APPKTM, type/Model TM100-4 /SPM. SOLO, tahun 2004 dengan No. BPKB O-0113744398, No rangka MFMAGDMPS4J402265, No. mesin 1P50FMG43145387, No.Polisi: N 4642 RF, Warna HITAM, atas nama NURIT. b. 1 (satu) unit kendaraan roda dua, merk Honda, type/Model NC11A3C A/T/SPM. SOLO, tahun 2011 dengan No. BPKB M-04934299, No rangka MH1JF9112BK389387, No. mesin JF91E1387281, No.Polisi: N 2004 MU, Warna MERAH HITAM, atas nama NISA NUR YATIM.</t>
  </si>
  <si>
    <t>b. 1 (satu) unit kendaraan roda dua, merk HONDA, type/Model NF125 D/ SPM. SOLO, tahun 2004 dengan No. BPKB C-9464330J, No rangka MH1JB21174K511551, No. mesin JB21E-1507793 No.Polisi: N 3013 QG, Warna HITAM SILVER, atas nama MUJIONO. c. 1 (satu) unit kendaraan roda dua, merk HONDA, type/Model NC11D1D A/T/SPM. SOLO, tahun 2011 dengan No. BPKB Q-05107854, No rangka MH1JF0212BK012886, No. mesin JF02E1012959 No.Polisi: N 2526 Q, Warna HITAM, atas nama MUHLISAWATI CHOZIN</t>
  </si>
  <si>
    <t>b. 1 (satu) unit kendaraan roda dua, merk HONDA, type/Model NC 110D VARIO JF12E/SOLO, tahun 2007 dengan No. BPKB T06016783, No rangka MH1JF1217K049574, No. Mesin JFI2E1049LP, No.Polisi: N 4594 QX, Warna HITAM BIRU, atas nama LISA UMAMI.</t>
  </si>
  <si>
    <t>P01.5950</t>
  </si>
  <si>
    <t>12071/P01.5950/P01/09/2025</t>
  </si>
  <si>
    <t>PEMBELIAN SMARTWATCH</t>
  </si>
  <si>
    <t>a. 1 (satu) unit kendaraan roda dua, merk YAMAHA, type/Model SE88/SPM. SOLO, tahun 2016 dengan No. BPKB M-04570160, No rangka MH3SE8810GJ560029, No. mesin E3R2E0624778 No.Polisi: N 2643 NBD, Warna PUTIH, atas nama SUHERMANTO.</t>
  </si>
  <si>
    <t>b. 1 (satu) unit kendaraan roda dua, merk HONDA, type/Model D1B02N6L2 A/T / SPM.SOLO, tahun 2019 dengan No. BPKB O-03605690, No rangka MH1JFZ130KK281881, No. mesin JFZ1E3277169 No.Polisi: N 5547 PUT, Warna PUTIH, atas nama HENDRIANUR RAHMAN ZAIN</t>
  </si>
  <si>
    <t>P02.1849</t>
  </si>
  <si>
    <t>12188/P02.1849/P02/09/2025</t>
  </si>
  <si>
    <t>BIAYA MENIKAHKAN KEPONAKAN</t>
  </si>
  <si>
    <t>a. 1 (satu) unit kendaraan roda dua, merk HONDA type/Model NC 110 D/SPD. MTR. SOLO, tahun 2010 dengan No. BPKB H-00500902, No rangka MH1JF1318AK267464 No. mesin JF13E0212878 No.Polisi: N 2895 QK, Warna MERAH HITAM, atas nama ISTIQOMAH.</t>
  </si>
  <si>
    <t>b. 1 (satu) unit kendaraan roda dua, merk Honda, atas nama Ulfatul Muawanah ( pembelian baru)</t>
  </si>
  <si>
    <t>a. Sebidang tanah pekarangan kosong dengan bukti Sertipikat Hak Milik No. 1598, seluas 192 meter persegi sebagaimana yang diuraikan dalam Surat Ukur No 157/Kanigaran/1998, tertanggal 13-5-1998, yang terletak di Wilayah Propinsi Jawa Timur, Kota Probolinggo, Kecamatan Mayangan, Kel. Kanigaran, Yang Tercantum atas nama Suyono, yang diperoleh haknya melalui pemberian hak. Tanda-tanda batas : tugu-tugu batu X s/d IV berdiri di atas sudut batas, dan memenuhi peraturan Meneg. Agr./Ka. BPN. No. 3 tahun 1997, pasal 21, ayat 1.</t>
  </si>
  <si>
    <t>b. 1 (satu) unit kendaraan roda dua, merk HONDA, type/Model ACH1M21B04 A/T/ SPM. SOLO, tahun 2014 dengan No. BPKB L-03887630, No rangka MH1JFM210EK001218, No. mesin JFM2E1001026 No.Polisi: N 3210 QW, Warna HITAM, atas nama LAILATUL FITRIA.</t>
  </si>
  <si>
    <t>a. 1 (satu) unit kendaraan roda dua, merk YAMAHA, type/Model B65/SPM. SOLO, tahun 2017 dengan No. BPKB N-03214838, No rangka MH3SG4610HJ019350, No. mesin G3J1E0034578 No.Polisi: N 2418 SQ, Warna MERAH, atas nama SITI AISYAH DWI ASRI.</t>
  </si>
  <si>
    <t>Atas nama : PAITI No.BPKB : K - 07459714 No Polisi : N 3660 MC Merk : HONDA Type/Model : NC11BF1D AT/SEPEDA MOTOR Tahun/Warna : 2013 / BIRU PTIH No. Rangka : MH1JFD214DK981311 No Mesin : JFD2E1974380</t>
  </si>
  <si>
    <t>a. 1 (satu) unit kendaraan roda dua, merk HONDA, type/Model A1F02N36M1 A/T/SPM. SOLO, tahun 2018 dengan No. BPKB O-01818794, No rangka MH1JM4113JK037549, No. mesin JM41E1038304, No.Polisi: N 3346 SZ, Warna Hitam, atas nama Ahmad Paidi.</t>
  </si>
  <si>
    <t> Sebidang tanah perumahan dengan bukti Sertipikat Hak Milik No. 01334, seluas 63 meter persegi sebagaimana yang diuraikan dalam surat ukur No. 529/Jrebeng Kulon/2016, tertanggal 31-05-2016, yang terletak di Wilayah Propinsi Jawa Timur, Kota Probolinggo, Kecamatan kedopok, Kelurahan Jrebeng Kulon, Yang Tercantum atas nama Anton Ferdianto, yang diperoleh haknya melalui hak jual beli berdasarkan Akta PPAT Dwiana Juliastuti, Sarjana Hukum tanggal 07-12-2016, Nomor 930/AJB/2016 tanggal 28 Desember 2016. Dengan tanda batas : batas-batas sesuai dengan PMNA/KBPN No. 3 Tahun 1997. *Yang akan diikat SKMHT</t>
  </si>
  <si>
    <t>a. 1 (satu) unit kendaraan roda dua, merk HONDA, type/Model GL15A1RRM/T / SPD.MTR SOLO, tahun 2011 dengan No. BPKB I-02781806, No rangka MH1KC311XBK122570, No. mesin KC31E1121726, No.Polisi: N 6521 ZV, Warna MERAH ABU-ABU, atas nama CATUR BUDI SANTOSO b. 1 (satu) unit kendaraan roda empat, merk SUZUKI, type/Model SP413 FORSA AMYNITY, tahun 1990 dengan No. BPKB M-04601993, No rangka SF413501078, No. mesin G13BID100126, No.Polisi: N 1604 ME, Warna Biru Metalik, atas nama Arbak Siddik.</t>
  </si>
  <si>
    <t>BPKB SEPEDA MOTOR YANG AKAN DIBELI</t>
  </si>
  <si>
    <t>BPKB SEPEDA MOTOR YANG AKAN DIBELI DI DEALER DUNIA MOTOR</t>
  </si>
  <si>
    <t>a. 1 (satu) unit kendaraan roda dua, merk HONDA, type/Model NC11BF1D A/T/SPM. SOLO, tahun 2014 dengan No. BPKB O-06243498, No rangka MH1JFD229EK845914, No. mesin JFD2E2839766 No.Polisi: N 2881 QI, Warna PUTIH, atas nama JUARSA.</t>
  </si>
  <si>
    <t>SERTIPIKAT TANAH (SHM)</t>
  </si>
  <si>
    <t>SERTIPIKAT TANAH ATAS NAMA LINDA NURHIDAYATI NO. 02279 YANG TERLETAK DI KELURAHAN JREBENG WETAN, KECAMATAN KANIGARAN KOTA PROBOLINGGO DENGAN LUAS JAMINAN 120 M2</t>
  </si>
  <si>
    <t>b. 1 (satu) unit kendaraan roda dua, merk HONDA, type/Model H1B02N41L0 AT. SOLO, tahun 2023 dengan No. BPKB T05797362, No rangka MH1JM8120PK292331, No. mesin JM81E - 2295958 No.Polisi: N 2586 RD, Warna PUTIH, atas nama ELIA EDY PURWANTORO PANGALA.</t>
  </si>
  <si>
    <t>b. 1 (satu) unit kendaraan roda dua, merk HONDA, type/Model H1B02N41L0 A/T/ SPM. SOLO, tahun 2021 dengan No. BPKB Q-0444331, No rangka MH1JM8119MK416504, No. mesin JM81E1418426 No.Polisi: N 4904 PR, Warna HITAM, atas nama DINA AGUSTIN</t>
  </si>
  <si>
    <t>a. 1 (satu) unit kendaraan roda dua, merk Honda, type/Model F1C02N46L0 AT/SEPEDA MOTOR, tahun 2022 dengan No. BPKB S06458781, No rangka MH1JM0212NK902850, No. mesin JM02E1902974 No.Polisi: N 6931 QT, Warna PUTIH, atas nama YENI WULANDARI.</t>
  </si>
  <si>
    <t>c. 1 (satu) unit kendaraan roda dua, merk Honda, type/Model H1B02N41LO A/T/SPM. SOLO, tahun 2021 dengan No. BPKB Q-05208212, No rangka MH1JM8111MK572049, No. mesin JM81E1573996 No.Polisi: N 3094 Q, Warna Hitam, atas nama Tri Trisnaningtiyas.</t>
  </si>
  <si>
    <t>b. 1 (satu) unit kendaraan roda dua, merk HONDA, type/Model D1B02N26L2 A/T/SPM. SOLO, tahun 2018 dengan No. BPKB O-01956573, No rangka MH1JFZ120JK879314, No. mesin JFZ1E2883432 No.Polisi: N 5510 SZ, Warna PUTIH, atas nama ARIFIN EFFENDI</t>
  </si>
  <si>
    <t>a. 1 (satu) unit kendaraan roda dua, merk Honda, type/Model D1B02N26L2 A/T, tahun 2017 dengan No. BPKB N-00141097, No rangka MH1JFZ112HK585446, No. mesin JFZ1E1601330, No.Polisi: N 2274 S0, Warna PUTIH, atas nama ARDIANSYAH SUGIONO PUTRA. b. 1 (satu) unit kendaraan roda dua, merk Yamaha, type/Model 1YD, tahun 2015 dengan No. BPKB M-04486148, No rangka MH31YD007FJ202285, No. mesin 1YD202291, No.Polisi: N 3875 SK, Warna HITAM PERAK, atas nama Dyta Sudarma. (Pembelian Sepeda Motor Baru)</t>
  </si>
  <si>
    <t>b. 1 (satu) unit kendaraan roda dua, merk Suzuki, type/Model UK 110 NE/SPD. MOTOR, Tahun 2016 dengan No. BPKB M-05632184, No rangka MH8CE47AAGJ123778, No. mesin AE54ID128690 No.Polisi: N 5561 Q, Warna PUTIH, atas nama Mochamad Saleh Jaenuri</t>
  </si>
  <si>
    <t>d. 1 (satu) unit kendaraan roda dua, merk VIAR, type/Model VR 100 Z, tahun 2011 dengan No. BPKB I-07402981, No rangka MF3VR10BBBL018072, No. mesin YX150FMG11017128, No.Polisi: N 3657 PH, Warna Biru Hitam, atas nama Arriyanto</t>
  </si>
  <si>
    <t>P02.1802</t>
  </si>
  <si>
    <t>11777/P02.1802/P02/07/2025</t>
  </si>
  <si>
    <t>UNTUK KEPERLUAN SEKOLAH ANAK</t>
  </si>
  <si>
    <t>P01.5954</t>
  </si>
  <si>
    <t>12091/P01.5954/P01/09/2025</t>
  </si>
  <si>
    <t>PEMBAYARAN PAJAK KENDARAAN</t>
  </si>
  <si>
    <t>Atas nama : PENTI ANDRIAN NOVIANTI No.BPKB : M-13784979 No Polisi : P 1023 OP Merk : HONDA Type/Model : CIVIC S5A MT/VT1-S/SEDAN Tahun/Warna : 2001/ABU-ABU MUDA METALIK No. Rangka : MHRS5AMPF1H000138 No Mesin : F171400978</t>
  </si>
  <si>
    <t>PEMBELIAN BARU</t>
  </si>
  <si>
    <t>2 BPKB SEPEDA MOTOR HONDA TAHUN 2014 DAN 2005</t>
  </si>
  <si>
    <t>2 (DUA) UNIT KENDARAAN RODA DUA MERK HONDA, TYPE/MODEL NC11BF1D A/T/SPM. SOLO TAHUN 2014 DENGAN NO. BPKB 0-06758096 NO. RANGKA MH1JFD22XEK852189, NO. MESIN JFD2E2848810 NO. POLISI N 2894 U WARNA HITAM ATAS NAMA ABDUL ROHIM DAN MERK HONDA TYPE/MODEL NF100L/SPM SOLO TAHUN 2005 DENGAN NO. BPKB J-03536583 NO RANGKA MH1HB11155K950712 NO. MESIN HB11E1947445 NO POLISI N 3877 F WARNA HITAM SILVER ATAS NAMA ABDUL ROHIM</t>
  </si>
  <si>
    <t>BPKB SEPEDA MOTOR 3</t>
  </si>
  <si>
    <t>Guna menjamin pinjaman, Pihak II menyerahkan jaminan / agunan berupa : a. 1 (satu) unit kendaraan roda dua, merk HONDA, type/Model NC11D1D A/T/SPM. SOLO, tahun 2011 dengan No. BPKB I-00337834, No rangka MH1JF0218BK024475, No. mesin JF02E1024459 No.Polisi: N 6502 SA, Warna HITAM, atas nama SILVIA NUR HIDAYATI. b. 1 (satu) unit kendaraan roda dua, merk HONDA, type/Model GL160D/GL160D, tahun 2008 dengan No. BPKB F3452361J, No rangka MH1KC12168K127633, No. mesin KC12E1127476 No.Polisi: N 4156 RX, Warna HITAM, atas nama FAUZI c. 1 (satu) unit kendaraan roda dua, merk HONDA, type/Model Y1G02N02L0 A/T, tahun 2015 dengan No. BPKB M-02499581, No rangka MH1JFS115FK153020, No. mesin JFS1E1150400 No.Polisi: N 5301 SJ, Warna HITAM, atas nama REFRICHA ALIFDHANESWATI.</t>
  </si>
  <si>
    <t>b. 1 (satu) unit kendaraan roda dua, merk HONDA, type/Model D1B02N26L2 AT / SEPEDA MOTOR, tahun 2019 dengan No. BPKB .., No rangka MH1JFZ13XKK629539, No. mesin JFZ1E3629739, No.Polisi: N 3850 MH, Warna Hitam, atas nama Suut.</t>
  </si>
  <si>
    <t>Atas nama : DIMAS JONI ISMAIL No.BPKB : 8394365 No Polisi : N 5035 RJ Merk : HONDA Type/Model : NF100/SPM SOLO Tahun/Warna : 1999/HITAM No. Rangka : MHIKEVL10XK080646 No Mesin : KEVLE1081371 Atas nama : RIZALDI GILANG FAUZY No.BPKB : L-12569065 No Polisi : N 4139 QY Merk : YAMAHA Type/Model : 28V/SEPEDA MOTOR Tahun/Warna : 2016/HITAM No. Rangka : MH32SV003FK281434 No Mesin : 2SV281718</t>
  </si>
  <si>
    <t>c. 1 (satu) unit kendaraan roda dua, merk HONDA, type/Model L1F02N37L1 AT. SOLO, tahun 2024 dengan No. BPKB U-04157151, No rangka MH1JMD11RK486468, No. mesin JMD1E1486676 No.Polisi: N 3572 RJ, Warna PUTIH, atas nama YOAN SARI PRAJAWATI.</t>
  </si>
  <si>
    <t>a. 1 (Satu) Unit Kendaraan Roda Dua Merk Honda Type/Model NC11D1CF A/T/SPM. SOLO Tahun 2012 Dengan No. Bpkb J-03034464 No Rangka MH1JFA113CK076170 No. Mesin JFA1E1074899 No Polisi N 6367 RB Warna MERAH HITAM Atas Nama LENY MARLIN UPARATU.</t>
  </si>
  <si>
    <t>P05.172</t>
  </si>
  <si>
    <t>12043/P05.172/P05/08/2025</t>
  </si>
  <si>
    <t>c. 1 (satu) unit kendaraan roda dua, Merk HONDA, type/Model F1C02N2BL0 AT/SOLO, Tahun 2019 dengan No. BPKB O-05811702, No rangka MH1JM3192KK081443, No. Mesin JM31E3076801, No.Polisi: N 2139 MG, Warna MERAH HITAM, atas nama Masduki.</t>
  </si>
  <si>
    <t>a. Sebidang tanah dan bangunan dengan bukti Sertifikat Hak Milik NIB. 12.08.000005337.0, seluas 90 meter persegi. Bidang tanah ini terletak di Kelurahan Triwung Lor, Kecamatan Kademangan, Kota Probolinggo, Provinsi Jawa Timur, Pemegang hak : Zemi Semuel Rada  pangkalan Berandan, 13 Desember 1975  1 bagian. Catatan Pendaftaran :  Pemisahan dari bidang Hak Milik Nomor 00924 Kelurahan Triwung Lor, Kecamatan Kademangan, Kota Probolinggo, Provinsi Jawa Timur.  Jual Beli berdasarkan Akta Jual Beli Nomor 230/2006 Tanggal 27 Desember 2006 yang dibuat oleh PPAT Raden Soetarjono Hendro Koesoemo.  Hak Tanggungan Nomor 00512/2012 peringkat 1 hapus berdasarkan Surat Roya Nomor 171/KSP-CUM-PBL/B1/IV/2025 Tanggal 15 April 2025. Berikut segala sesuatu yang berdiri, tumbuh dan tertanam diatasnya, yang karena sifatnya, maksudnya atau menurut hukum dianggap sebagai harta tetap.</t>
  </si>
  <si>
    <t>b. 1 (satu) unit kendaraan roda dua, merk HONDA, type/Model E1F02N11M2 A/T/SPM. SOLO, tahun 2016 dengan No. BPKB M-08867738, No rangka MH1JFU114GK608534, No. mesin JFU1E1609243 No.Polisi: N 5345 SL, Warna WHITE BLUE, atas nama PURWANTO</t>
  </si>
  <si>
    <t>c. Sebidang tanah pekarangan dengan bukti Sertipikat Hak Milik No. 01434, seluas 109 meter persegi sebagaimana yang diuraikan dalam Surat Ukur No. 233/Kalirejo/2009, tertanggal 17-11-2009, yang terletak di Wilayah Propinsi Jawa Timur, Kabupaten Probolinggo, Kecamatan Dringu, Desa Kalirejo, yang tercantum atas nama Siha yang diperoleh haknya melalui PENUNJUK Tanah ini asalnya dari buku C desa No. 177/110/ D II. Pengumuman Data Fisik dan Yuridis No 30/III/AJUDIKASI/2009 Tanggal 14-10-2009. Tanda-tanda batas: Tanda-tanda batas telah memenuhi Peraturan Menteri Negara Agraria/Kepala BPN No. 3 Tahun 1997.</t>
  </si>
  <si>
    <t>a. 1 (satu) unit kendaraan roda dua, merk Yamaha , type/Model 3 (VIXIOB), tahun 2010 dengan No. BPKB H - 017141332, No rangka MH33F1117GK526441, No. mesin C1527053 No.Polisi: N 3738 RY, Warna merah Marun, atas nama Sri Minarsih. b. 1 (satu) unit kendaraan roda dua, merk Honda , type/Model H1B02N42LO A/T/SPM. SOLO, tahun 2020 dengan No. BPKB P-0251862, No rangka MH1JM9114LK156162, No. mesin JM91E1156873 No.Polisi: N 5780 QU, Warna Hitam, atas nama Samsuri</t>
  </si>
  <si>
    <t>c. Sebidang tanah perumahan dengan bukti Sertipikat Hak Milik No. 04859, seluas 119 meter persegi sebagaimana yang diuraikan dalam Surat Ukur No 02040/KEBONSARI KULON/2022, tertanggal 15-03-2022, yang terletak di Wilayah Propinsi Jawa Timur, Kota Probolinggo, Kecamatan Kanigaran, Kel. Kebonsari Kulon, Yang Tercantum atas nama Wariyati, yang diperoleh haknya melalui Pengakuan Hak. Daftar isian 202 Tgl. 15-03-2022. No. 22/2022. Penunjuk ; Letter C Kel. Kebonsari Kulon No. 1019 Persil 65 Klas D.I, Pengumuman Data Fisik dan Data Yuridis No. 20/2022 Tgl. 01-03-2022, Surat pernyataan penguasaan fisik bidang tanah Tgl. 18-02-2022. Tanda-tanda batas : Tanda-tanda batas sesuai dengan PMNA/Ka. BPN No. 3 Tahun 1997</t>
  </si>
  <si>
    <t>b. 1 (satu) unit kendaraan roda dua, merk Yamaha, type/Model 1 DY/SPM. SOLO, tahun 2014 dengan No. BPKB L-01615929, No rangka MH31DY008EJ243356, No. mesin 1DY243378 No.Polisi: N 6983 NV, Warna Merah, atas nama Halima</t>
  </si>
  <si>
    <t>b. 1 (satu) unit kendaraan roda dua, merk HONDA, type/Model E1F02N11M2 A/T/SPM. SOLO, tahun 2017 dengan No. BPKB N-03763599, No rangka MH1JFU126HK061891, No. mesin JFU1E2078666, No.Polisi: N 6247 RB, Warna Hitam, atas nama Yehuda Wijaya</t>
  </si>
  <si>
    <t>b. Sebidang tanah perumahan dengan bukti Sertipikat Hak Milik No. 1106, seluas 108 meter persegi sebagaimana yang diuraikan dalam Surat Ukur No 241/Kebonsari Wetan/2014, tertanggal 11-12-2014, yang terletak di Wilayah Propinsi Jawa Timur, Kota Probolinggo, Kecamatan Kanigaran, Kelurahan Kebonsari Wetan, Yang Tercantum atas nama Hermanto, yang diperoleh haknya melalui Jual Beli berdasarkan Akta PPAT Hapsoro Widyonondo Sigid, Sarjana Hukum tanggal 10-04-2015 Nomor 160/2015, Tanggal 29-04-2015 DI. 301 No. 2354/2015, DI. 307 No. 4651/2015, DI.208 No. 2180/2015. Tanda-tanda batas : batas-batas sesuai dengan PMNA/KBPN No. 3 Tahun 1997.</t>
  </si>
  <si>
    <t>a. Sebidang tanah diatasnya berdiri bangunan rumah dengan Sertipikat Hak Milik No 1383, Seluas 93 meter persegi sebagaimana yang diuraikan dalam Surat Ukur No 209/Triwung Lor/2009, tertanggal 22-10-2009 yang terletak di Kelurahan Triwung Lor, Kecamatan Kademangan, Kota Probolinggo tercantum atas nama Mohammad Ismail, yang diperoleh haknya melalui JUAL BELI Berdasarkan Akta PPAT Dwiana Juliastuti, Sarjana Hukum tanggal 04/09/2008, Nomor 506/2008. Dengan tanda batas: tembok-tembok memenuhi PMNA/KBPN No. 3 Tahun 1997. Berikut segala sesuatu yang berdiri, tumbuh dan tertanam diatasnya, yang karena sifatnya, maksudnya atau menurut hukum dianggap sebagai harta tetap. Tanggal: 27-08-2014 Di. 301 No. 5207/2014 Di. 307 No. 11699/2014 Di. 208 No.</t>
  </si>
  <si>
    <t>b. 1 (satu) unit kendaraan roda dua, merk HONDA, type/Model NC11B3CA/T, tahun 2012 dengan No. BPKB I-06141044, No rangka MH1JF5123CK695240, No. Mesin JF51E2693209, No.Polisi: N 2598 PF, Warna Hitam, atas nama MASHUDI. c. 1 (satu) unit kendaraan roda dua, merk HONDA, type/Model NF11B2D1 M/T/SPM. SOLO, tahun 2011 dengan No. BPKB I-04244644, No rangka MH1JBE114BK256999, No. mesin JBE1E1257024, No.Polisi: N 3858 MX, Warna Hitam, atas nama EKA FITRIANI SRI</t>
  </si>
  <si>
    <t>P05.176</t>
  </si>
  <si>
    <t>12114/P05.176/P05/09/2025</t>
  </si>
  <si>
    <t>a. 1 (satu) unit kendaraan roda dua, merk Yamaha type/Model 31B(JUP Z CW), tahun 2011 dengan No. BPKB I-02271980, No rangka MH331B004BJ797414 No. mesin 31B797474 No.Polisi: N 3520 Q, Warna HITAM, atas nama ADITYA KURNIAWAN.</t>
  </si>
  <si>
    <t>P03.3548</t>
  </si>
  <si>
    <t>12037/P03.3548/P03/08/2025</t>
  </si>
  <si>
    <t>PERBAIKAN WARUNG</t>
  </si>
  <si>
    <t>P01.5845</t>
  </si>
  <si>
    <t>11855/P01.5845/P01/07/2025</t>
  </si>
  <si>
    <t>a. Sertipikat Hak Milik NIB. 12.08.000000890.0. Bidang Tanah : Bidang tanah ini terletak di Kelurahan Kebonsari Wetan, Kecamatan Kanigaran, Kota Probolinggo, Provinsi Jawa Timur seluas 330M2 (tiga ratus tiga puluh meter persegi). Pemegang hak ; Suliha-Probolinggo, 01 Juli 1944-1 bagian (yang akan di balik nama kepada Eryanto). Catatan Pendaftaran : 1) Penegasan Konversi berdasarkan Berita Acara Pengesahan Data Fisik dan Data Yuridis Nomor 159/2003 Tanggal 20 Oktober 2003 2) Hak Tanggungan Nomor 00646/2017 peringkat 1 hapus berdasarkan Surat Roya Nomor 015/Admk/SALINAN/VIII82024 Tanggal 01 Agustus 2024. Berikut segala sesuatu yang berdiri, tumbuh dan tertanam diatasnya, yang karena sifatnya, maksudnya atau menurut hukum dianggap sebagai harta tetap.</t>
  </si>
  <si>
    <t>a. 1 (satu) unit kendaraan roda dua, merk HONDA, type/Model . SOLO, tahun dengan No. BPKB ., No rangka , No. mesin . No.Polisi., Warna PUTIH, atas nama MOCH MAULANA</t>
  </si>
  <si>
    <t>b. 1 (satu) unit kendaraan roda dua, merk HONDA, type/Model NC12A1CBP AT/SPM. SOLO, tahun 2013 dengan No. BPKB N-04179342, No rangka MH1JFC117DK198124, No. mesin JFC1E1197399 No.Polisi: N 6917 ON, Warna MERAH, atas nama YUSUF</t>
  </si>
  <si>
    <t>c. 1 (satu) unit kendaraan roda dua, merk Yamaha, type/Model 2BU/SPM. SOLO, tahun 2014 dengan No. BPKB K-11347390, No rangka MH32BU001EJ075650, No. mesin 2BU075662, No.Polisi: N 5805 SF, Warna PUTIH, atas nama RIZKI INTANIA NURMAYANTI.</t>
  </si>
  <si>
    <t>a. Sebidang tanah perumahan dengan bukti Sertipikat Hak Milik No. 944, seluas 60 meter persegi sebagaimana yang diuraikan dalam surat ukur No. 40/Jangur/2018, tertanggal 03-10-2018, yang terletak di Wilayah Propinsi Jawa Timur, Kabupaten Probolinggo, Kecamatan Sumberasih, Desa Jangur, Yang Tercantum atas nama Bambang Hariyanto, yang diperoleh haknya melalui  pengakuan hak. Dengan tanda batas : batas-batas sesuai dengan PMNA/Ka. BPN No. 3 Tahun 1997.</t>
  </si>
  <si>
    <t>P01.5980</t>
  </si>
  <si>
    <t>12170/P01.5980/P01/09/2025</t>
  </si>
  <si>
    <t>a. 1 (satu) unit kendaraan roda dua, merk Honda, type/Model F1C02N46L0 A/T/SPM. SOLO, tahun 2021 dengan No. BPKB Q-06744651, No rangka MH1JM0212MK330239, No. mesin JM02E1330327 No.Polisi: N 3677 QK, Warna HITAM, atas nama IZZUL FIKRI ARIF TAMAMY. b. 1 (satu) unit kendaraan roda dua, merk YAMAHA, type/Model BK8 M/T/SPM. SOLO, tahun 2017 dengan No. BPKB N-04587748, No rangka MH3RG4610HK065315, No. mesin G3E7E0443021 No.Polisi: N 4528 RX, Warna BIRU, atas nama HERMANTO c. 1 (satu) unit kendaraan roda dua, merk HONDA, type/Model X1H02N35M1 A/T/SPM. SOLO, tahun 2018 dengan No. BPKB O-02391927, No rangka MH1KF4110JK216985, No. mesin KF41E1217754 No.Polisi: N 3226 R, Warna HITAM, atas nama SAMSUL ARIFIN. d. 1 (satu) unit kendaraan roda dua, merk HONDA, type/Model AFX12U21C08 M/T/SPM. SOLO, tahun 2014 dengan No. BPKB L-05161742, No rangka MH1JBP117EK155987, No. mesin JBP1E1156004 No.Polisi: N 6289 RC, Warna PUTIH HITAM, atas nama SITI UMAIMAH, S.P di.</t>
  </si>
  <si>
    <t>b. 1 (satu) unit kendaraan roda dua, merk Yamaha, type/Model 28D(MIOIAL115S)A/T/SPM. SOLO,Tahun 2010 dengan No. BPKB L-11999410, No rangka MH328D204AK396431, No. mesin 28D1398257 No.Polisi: N 6314 QJ, Warna Merah Marun, atas nama Hoiriya.</t>
  </si>
  <si>
    <t>c. Sebidang tanah perumahan diatasnya berdiri bangunan dengan bukti Sertifikat Hak Milik No. 04970, seluas 150 meter persegi sebagaimana yang diuraikan dalam Surat Ukur No. 02237/Kebonsari Kulon/2022, tertanggal 25/11/2022, yang terletak di Wilayah Propinsi Jawa Timur, Kota Probolinggo, Kecamatan Kanigaran, Kel. Kebonsari Kulon, Yang Tercantum atas nama Samsul Arifin. Tanda-tanda batas : Tanda batas sesuai dengan PMNA/KBPN No. 3 Tahun 1997. Berikut segala sesuatu yang berdiri, tumbuh dan tertanam diatasnya, yang karena sifatnya, maksudnya atau menurut hukum dianggap sebagai harta tetap</t>
  </si>
  <si>
    <t>P01.5841</t>
  </si>
  <si>
    <t>11840/P01.5841/P01/07/2025</t>
  </si>
  <si>
    <t>a. Sebidang tanah pekarangan diatasnya berdiri bangunan dengan bukti Sertipikat Hak Milik No. 00222, seluas 135 meter persegi sebagaimana yang diuraikan dalam surat ukur No. 56/Laweyan/2007, tertanggal 30-08-2007, yang terletak di Wilayah Propinsi Jawa Timur, Kabupaten Probolinggo, Kecamatan Sumberasih, Desa Laweyan, Yang Tercantum atas nama Hermanto, yang diperoleh haknya melalui  pengakuan hak. Dengan tanda batas : batas-batas sesuai dengan PMNA/Ka. BPN No. 3 Tahun 1997.</t>
  </si>
  <si>
    <t>P03.3595</t>
  </si>
  <si>
    <t>12171/P03.3595/P03/09/2025</t>
  </si>
  <si>
    <t>c. Sebidang tanah perumahan dengan bukti Sertipikat Hak Milik No. 01451, seluas 151 meter persegi sebagaimana yang diuraikan dalam Surat Ukur No 00827/Kedopok/2018, tertanggal 11-10-2018, yang terletak di Wilayah Propinsi Jawa Timur, Kota Probolinggo, Kecamatan Kedopok, Kel. Kedopok, Yang Tercantum atas nama Joni Novianto. Keadaan Tanah : sebidang tanah perumahan. Tanda-tanda batas : Batas-batas sesuai dengan PMNA/KBPN No. 3 Tahun 1997</t>
  </si>
  <si>
    <t>c. Sebidang tanah kosong dengan bukti Sertipikat Hak Milik No. 2319, seluas 157 meter persegi sebagaimana yang diuraikan dalam Surat Ukur No 109/Tisnonegaran/2013, tertanggal 30-10-2013, yang terletak di Wilayah Propinsi Jawa Timur, Kota Probolinggo, Kecamatan Kanigaran, Kel. Tisnonegaran, Yang Tercantum atas nama Ernawati, yang diperoleh haknya melalui jual beli, berdasarkan Akta PPAT Dwiana Juliastuti, Sarjana Hukum tanggal 12 -10- 2021 Nomor 357/2021 tanggal 09 November 2021. DI 301 No. 6068/2021, DI 307 No. 15659/2021, DI 208 No. 8215/2021. Keadaan Tanah : sebidang tanah kosong. Tanda-tanda batas : Batas-batas sesuai dengan PMNA/Ka.BPN. No. 3/1997</t>
  </si>
  <si>
    <t>a. 1 (Satu) Unit Kendaraan Roda Dua Merk Honda Type/Model H5C02R20M1 M/T/SPM. SOLO Tahun 2018 Dengan No. Bpkb N-04473585 No Rangka MH1KC82730K204182 No Mesin KC82E1197888 No Polisi N 5358 OX Warna HITAM MERAH Atas Nama ALI SUJOKO</t>
  </si>
  <si>
    <t>a. 1 (satu) unit kendaraan roda dua, merk Honda, type/Model ACH1M21B04 A/T/SPM. SOLO, tahun 2014 dengan No. BPKB L 05165152, No rangka MH1JFM215EK740861, No. mesin JFM2E1759681, No.Polisi: N 4629 QY, Warna WHITE BLUE, atas nama Moch. Arif Muzanni.</t>
  </si>
  <si>
    <t>a. 1 (satu) unit kendaraan roda dua, merk Honda, type/Model B5D02K29M2 M/T/SPM. SOLO, tahun 2020 dengan No. BPKB Q 04178955 J, No rangka MH1KC0217LK118605, No. mesin KC02E1118098, No.Polisi: N 6049 QZ, Warna HITAM SILVER, atas nama BIMA INDRA PANGESTU.</t>
  </si>
  <si>
    <t>b. 1 (satu) unit kendaraan roda dua, merk HONDA, type/Model AT1I121B01 A/T, tahun 2014 dengan No. BPKB L-05392524, No rangka MH1JFH11XEK207266, No. mesin JFH1E1206913 No.Polisi: N 2791 SH, Warna HITAM, atas nama NIA DIANITA.</t>
  </si>
  <si>
    <t>P03.3569</t>
  </si>
  <si>
    <t>12115/P03.3569/P03/09/2025</t>
  </si>
  <si>
    <t> Sertipikat Hak Milik NIB 12.08.000000536.0, Bidang Tanah : Bidang tanah ini terletak di Kelurahan Mangunharjo, Kecamatan Mayangan, Kota Probolinggo, Provinsi Jawa Timur seluas seluas 112 M2 (Seratus dua belas meter persegi), Pemegang Hak : AGUS YONATAN SETIAWAN, 10 Agustus 1983  1 bagian, Catatan Pendaftaran : Pemisahan dari bidang Hak Milik Nomor 01572 Kelurahan Mangunharjo Kecamatan Mayangan Kota Probolinggo, Provinsi Jawa Timur.</t>
  </si>
  <si>
    <t>a. 1 (satu) unit kendaraan roda dua, merk HONDA, type/Model NF11T11C01 M/T/SPM. SOLO, tahun 2018 dengan No. BPKB O-01818884, No rangka MH1JBK115JK534211, No. mesin JBK1E1529922 No.Polisi: N 3706 SZ, Warna HITAM, atas nama SRI YULIANA</t>
  </si>
  <si>
    <t>b. 1 (satu) unit kendaraan roda dua, merk Honda, type/Model NF11B1D M/T / SPD. MTR. SOLO, tahun 2010 dengan No. BPKB G 3739599 J, No rangka MH1JBC112AK660550, No. mesin JBC1E1659312, No.Polisi: N 2951 QK, Warna HITAM, atas nama PURWADI.</t>
  </si>
  <si>
    <t>a. 1 (satu) unit kendaraan roda dua, merk Honda, type/Model NF11B2D1M/T, tahun 2011 dengan No. BPKB I-10812387, No rangka MH1JBE118BK286085, No. mesin JBE1E1282841 No.Polisi: N 4363 SC, Warna HITAM, atas nama SLAMET MUJIONO.</t>
  </si>
  <si>
    <t>BPKB SEPEDA MOTOR YANG DIBELI</t>
  </si>
  <si>
    <t>P01.5825</t>
  </si>
  <si>
    <t>11790/P01.5825/P01/07/2025</t>
  </si>
  <si>
    <t>PEMBELIAN LAPTOP DAN RENOVASI</t>
  </si>
  <si>
    <t>a. 1 (satu) unit kendaraan roda dua, merk HONDA, type/Model NC11B3 CA T/SPD. MTR. SOLO tahun 2011 dengan No. BPKB H-08573588 , No rangka MH1JF5118BK728349, No. mesin JF51E1726234 No.Polisi:N 2423 PA, Warna BIRU, atas nama ABD HOLIK. b. 1 (satu) unit kendaraan roda dua, merk YAMAHA, type/Model 5MX/SPD. MTR SOLO tahun 2003 dengan No. BPKB I-02799172 , No rangka MH35MX0043K032021, No. mesin 5MX031935 No.Polisi: N 6645 RJ, Warna MERAH, atas nama ZAENAL ABIDIN.</t>
  </si>
  <si>
    <t>c. Sebidang tanah diatasnya berdiri sebuah rumah dari batu dengan bukti Sertifikat Hak Milik No. 681, seluas 75 meter persegi sebagaimana yang diuraikan dalam Surat Ukur No. 137/Mayangan/1999, tertanggal 19/02/1999, yang terletak di Wilayah Propinsi Jawa Timur, Kota Probolinggo, Kecamatan Mayangan, Kelurahan Mayangan, Yang Tercantum atas nama Ahmad Fais, yang diperoleh haknya melalui Jual Beli berdasarkan Akta PPAT Hapsoro Widyonondo Sigid, Sarjana Hukum, Tanggal 18-11-2020 Nomor 634/2020. Dengan tanda batas : Tembok a-b, b-c dan d-a berdiri di dalam, patok besi I dan II berdiri diatas batas, memenuhi Peraturan MNA/Ka. BPN No. 3 Tahun 1997. Berikut segala sesuatu yang berdiri, tumbuh dan tertanam diatasnya, yang karena sifatnya, maksudnya atau menurut hukum dianggap sebagai harta tetap.</t>
  </si>
  <si>
    <t>c. 1 (satu) unit kendaraan roda dua merk HONDA, type/Model C1M02N41L1 A/T/SPM. SOLO, tahun 2022 dengan No. BPKB S-05546506, No rangka MH1JMA119NK040816, No. mesin JMA1E1040716 No.Polisi: N 2303 PM Warna HITAM COKLAT, atas nama DEWI ANGGRAENI</t>
  </si>
  <si>
    <t>c. Sebidang tanah perumahan dengan bukti Sertifikat Hak Milik No. 01199, seluas 91 meter persegi sebagaimana yang diuraikan dalam Surat Ukur No. 00046/Mentor/2021, tertanggal 30/04/2021, yang terletak di Wilayah Propinsi Jawa Timur, Kabupaten Probolinggo, Kecamatan Sumberasih, Desa Mentor, Yang Tercantum atas nama Sofiyati, yang diperoleh haknya melalui Jual Beli berdasarkan Akta Nomor 54/2022 tanggal 23/03/2022 yang dibuat oleh Irwan Baddu, S.H.,M.Kn selaku PPAT. Dengan tanda batas : tanda batas sesuai dengan PMNA/KBPN No. 3 Tahun 1997. Berikut segala sesuatu yang berdiri, tumbuh dan tertanam diatasnya, yang karena sifatnya, maksudnya atau menurut hukum dianggap sebagai harta tetap.</t>
  </si>
  <si>
    <t>P01.5867</t>
  </si>
  <si>
    <t>11882/P01.5867/P01/07/2025</t>
  </si>
  <si>
    <t>a. 1 (satu) unit kendaraan roda dua, merk Honda, type/Model K1H02N14LO A/T/SPM. SOLO, tahun 2015 dengan No. BPKB L-11754790, No rangka MH1KF111XFK009669, No. mesin KF11E1009310 No.Polisi: N 6565 NA, Warna HITAM, atas nama JULIA HESTI WULANDARI.</t>
  </si>
  <si>
    <t>a. Sebidang tanah perumahan dengan bukti Sertifikat Hak Milik No. 01495, seluas 69 meter persegi sebagaimana yang diuraikan dalam Surat Ukur No. 00712/Pohsangit Kidul/2019, tertanggal 25/04/2019, yang terletak di Wilayah Propinsi Jawa Timur, Kota Probolinggo, Kecamatan Kademangan, Kel. Pohsangit Kidul, Yang Tercantum atas nama Mislana. Dengan tanda batas : batas-batas sesuai dengan PMNA/KBPN No. 3 Tahun 1997. Berikut segala sesuatu yang berdiri, tumbuh dan tertanam diatasnya, yang karena sifatnya, maksudnya atau menurut hukum dianggap sebagai harta tetap.</t>
  </si>
  <si>
    <t>c. 1 (satu) unit kendaraan roda dua, merk HONDA, tahun 2001 dengan No. BPKB I-00719725, No.Polisi: AE 6572 TR, Warna HITAM , atas nama WAHMAN.</t>
  </si>
  <si>
    <t>c. 1 (satu) unit kendaraan roda dua, merk Yamaha, type/Model BBP A/T/SPM. SOLO, tahun 2021 dengan No. BPKB Q-06743961, No rangka MH3SG6410MJ058014, No. mesin G3P2E0077214, No.Polisi: N 3988 QJ, Warna HITAM BIRU, atas nama NATANAEL WIJAYA.</t>
  </si>
  <si>
    <t>P03.3522</t>
  </si>
  <si>
    <t>11975/P03.3522/P03/08/2025</t>
  </si>
  <si>
    <t>MODAL USAHA KULINER</t>
  </si>
  <si>
    <t>P05.171</t>
  </si>
  <si>
    <t>11986/P05.171/P05/08/2025</t>
  </si>
  <si>
    <t>b. 1 (satu) unit kendaraan roda dua, Merk HONDA, type/Model NC12A1CF A/T, Tahun 2014 dengan No. BPKB K-13049254, No rangka MH1JFB121EK287806, No. Mesin JFB1E2239323, No.Polisi: N 6551 SF, Warna MERAH, atas nama HJ. AYANA.</t>
  </si>
  <si>
    <t>P01.5896</t>
  </si>
  <si>
    <t>11968/P01.5896/P01/08/2025</t>
  </si>
  <si>
    <t>a. 1 (satu) unit kendaraan roda dua, merk HONDA, type/Model NC110A IC AT, tahun 2013 dengan No. BPKB T-03307812, No rangka MH1JF8111DK689950, No. mesin JF81E1684165 No.Polisi: N 5573 RB, Warna PUTIH, atas nama RINDA PUJI HARTATIK b. 1 (satu) unit kendaraan roda dua, merk ......................., type/Model ........................., tahun .................... dengan No. BPKB ..............................., No rangka ..............................., No. mesin ........................... No.Polisi: ................., Warna ................, atas nama ................... (BELI BARU).</t>
  </si>
  <si>
    <t>SERTIPIKAT TANAH HAK GUNA BANGUNAN</t>
  </si>
  <si>
    <t>Sertipikat Hak Guna Bangunan dengan Nomor 10.09.06.11.3.04384 atas nama Ir. Mohamad Taufik</t>
  </si>
  <si>
    <t>b. 1 (satu) unit kendaraan roda dua merk SUZUKI, type/Model FU 150 SCD2, tahun 2015 dengan No. BPKB L-11754769, No rangka MH8BG41EAFJ424030, No. mesin G4271D429483 No.Polisi: N 3269 Q Warna BIRU, atas nama FERNANDA ADE LIANS.</t>
  </si>
  <si>
    <t>a. 1 (satu) unit kendaraan roda dua, merk HONDA, type/Model D1B02N26L2 A/T SPM. SOLO, tahun 2018 dengan No. BPKB O-00923249, No rangkaMH1JFZ21XJK402640, No. mesin JF22E1402608 No.Polisi: N 6163 SY, Warna PUTIH, atas nama YUDHA MAHARDHIKA</t>
  </si>
  <si>
    <t>P01.5973</t>
  </si>
  <si>
    <t>12153/P01.5972/P01/09/2025</t>
  </si>
  <si>
    <t>1 (satu) unit kendaraan roda dua, merk Honda, type/Model L1F02N37L1 A/T / SPM.SOLO, tahun 2022 dengan No. BPKB S-06460742 No rangka MH1JMD115NK012574, No. mesin JMD1E1013422 No. Polisi : N 5825 OE, Warna Hitam, atas nama MISUN.</t>
  </si>
  <si>
    <t>a. 1 (satu) unit kendaraan roda dua, merk HONDA, type/Model NC11B 3C AT, tahun 2011 dengan No. BPKB M-05632942, No rangka MH1JF5121BK243334, No. mesin JF51E2235509 No.Polisi: N 2174 QK, Warna PUTIH, atas nama EKA WAHYU LESTARI.</t>
  </si>
  <si>
    <t>P01.5821</t>
  </si>
  <si>
    <t>11784/P01.5821/P01/07/2025</t>
  </si>
  <si>
    <t>a. 1 (satu) unit kendaraan roda dua, merk Yamaha, type/Model T105 ER/ERD/SPM.SOLO, tahun 2004 dengan No. BPKB D NO.0298960J, No rangka MH345ST1094K481107, No. mesin 4ST-823741, No.Polisi: N 5210 QI, Warna HITAM, atas nama HARUN AL RASYID.</t>
  </si>
  <si>
    <t>BPKB SEPEDA MOTOR. KARYAWAN DMO JEMBER</t>
  </si>
  <si>
    <t>P03.3502</t>
  </si>
  <si>
    <t>11856/P03.3502/P03/07/2025</t>
  </si>
  <si>
    <t>TAMBAHAN MODAL JASA KENOTARIATAN</t>
  </si>
  <si>
    <t>a. 1 (satu) unit kendaraan roda dua, Merk Yamaha, type/Model 5TL MIO/AL115S/SOLO, Tahun 2007 dengan No. BPKB O05679167, No rangka MH35TL0047K568360, No. Mesin 5TL569082, No.Polisi N 2393 QH, Warna PUTIH, atas nama ROBBY EFFENDI S. b. 1 (satu) unit kendaraan roda dua, merk YAMAHA, type/Model B 3W AT/SEPEDA MOTOR tahun 2022 dengan No. BPKB S03954612, No rangka MH3SEG710NJ138435, No. mesin E32WE0175938, No.Polisi: N 2963 PJ, Warna MERAH, atas nama FENNY HERAWATI, SH.</t>
  </si>
  <si>
    <t>P03.3486</t>
  </si>
  <si>
    <t>11863/P03.3486/P03/07/2025</t>
  </si>
  <si>
    <t>P01.5978</t>
  </si>
  <si>
    <t>12121/P01.5978/P01/09/2025</t>
  </si>
  <si>
    <t>MENUTUP ANGSURAN</t>
  </si>
  <si>
    <t>P03.3562</t>
  </si>
  <si>
    <t>12081/P03.3562/P03/08/2025</t>
  </si>
  <si>
    <t>P01.5892</t>
  </si>
  <si>
    <t>11946/P01.5892/P01/08/2025</t>
  </si>
  <si>
    <t>a. 1 (satu) unit kendaraan roda dua, merk Honda, type/Model D1B02N13L2 A/T/SPM. SOLO, tahun 2018 dengan No. BPKB N-04177175, No rangka MH1JM1118JK557731, No. mesin JM11E1545958, No.Polisi: N 4061 SU, Warna MERAH PUTIH, atas nama SUGENG SUPRISAYOGA.</t>
  </si>
  <si>
    <t>b. 1 (satu) unit kendaraan roda dua, merk Honda, type/Model XIB02N04L0 A/T/SPM. SOLO, tahun 2016 dengan No. BPKB M-04845254, No rangka MH1JFP123GK597858, No. mesin JFP1E2581678, No.Polisi: N 4614 Q, Warna HITAM, atas nama NUR HALIMAH.</t>
  </si>
  <si>
    <t>a. 1 (satu) unit kendaraan roda dua, merk Honda, type/Model X1B02N04L0 A/T, tahun 2015 dengan No. BPKB L-12673123, No rangka MH1JFP110FK495231, No. mesin JFP1E1484431, No.Polisi: N 3179 ML, Warna HITAM, atas nama Wagiran Suher.</t>
  </si>
  <si>
    <t>P01.5965</t>
  </si>
  <si>
    <t>12128/P01.5965/P01/09/2025</t>
  </si>
  <si>
    <t>a. Sebidang tanah kosong dengan bukti Sertifikat Hak Milik No. 2674, seluas 238 meter persegi sebagaimana yang diuraikan dalam Surat Ukur No. 82/SUKABUMI/2001 tertanggal 19/11/2001, yang terletak di Wilayah Propinsi Jawa Timur, Kota Probolinggo, Kecamatan Mayangan, Kelurahan Sukabumi, Yang Tercantum atas nama Astrid Purnamasari. Dengan tanda batas batas-batas : patok besi dan tugu batu. Berikut segala sesuatu yang berdiri, tumbuh dan tertanam diatasnya, yang karena sifatnya, maksudnya atau menurut hukum dianggap sebagai harta tetap.</t>
  </si>
  <si>
    <t>P01.5955</t>
  </si>
  <si>
    <t>12058/P01.5955/P01/09/2025</t>
  </si>
  <si>
    <t>1 (satu) unit kendaraan roda dua, merk Yamaha, type/Model 2BJ/SPM. SOLO, tahun 2013 dengan No. BPKB K-02425556, No rangka MH32BJ00IDJ010781, No. mesin 2BJ010902, No.Polisi: N 6470 RN, Warna PUTIH, atas nama MOCHAMMAD TAUFIK</t>
  </si>
  <si>
    <t>a. 1 (satu) unit kendaraan roda empat, merk YAMAHA, type/Model VEGA R-110 4D7/SOLO, tahun 2007 dengan No. BPKB N03764231, No rangka MH34D70027J643632, No. mesin 4D7643688, No.Polisi: N 6927 RB, Warna MERAH HITAM, atas nama KANTI MARGIA TININGSIH.</t>
  </si>
  <si>
    <t>P01.5956</t>
  </si>
  <si>
    <t>12095/P01.5956/P01/09/2025</t>
  </si>
  <si>
    <t>a. 1 (satu) unit kendaraan roda dua, merk Honda, type/Model E1F02N12M2 A/T/SPM. SOLO, tahun 2015 dengan No. BPKB M-03782029, No rangka MH1JFV116FK246422, No. mesin JFV1E1246830, No.Polisi: N 5546 QZ SK, Warna PUTIH, atas nama Meirli Kurniawan.</t>
  </si>
  <si>
    <t>a. SISUKA No. SSKA. 7225/SSKA/2025/01 atas Nama ERLIN CAHAYA SUGIARTI sejumlah Rp 1.000.000,00</t>
  </si>
  <si>
    <t>c. 1 (satu) unit kendaraan roda dua, merk Honda, type/Model NF100/SPM. Solo, tahun 2000 dengan No. BPKB Q-04103542, No rangka MH1KEV214YK126398, No. mesin KEV2E1123919 No.Polisi: N 2780 QZ, Warna ABU-ABU HITAM, atas nama SLAMET</t>
  </si>
  <si>
    <t>P01.5833</t>
  </si>
  <si>
    <t>11848/P01.5833/P01/07/2025</t>
  </si>
  <si>
    <t>P01.5888</t>
  </si>
  <si>
    <t>11943/P01.5887/P01/08/2025</t>
  </si>
  <si>
    <t>BIAYA HIDUP ANAK KULIAH DI MALANG</t>
  </si>
  <si>
    <t>P01.5886</t>
  </si>
  <si>
    <t>11944/P01.5886/P01/08/2025</t>
  </si>
  <si>
    <t>MEMBAYAR KOST DI MALANG</t>
  </si>
  <si>
    <t>b. 1 (Satu) unit Kendaraan roda dua, Merk Yamaha, Type/Model 2BJ/SPM. SOLO, Tahun 2013 dengan No.BPKB K 11213816, No.Rangka MH32BJ00IDJ262086, No.Mesin 2BJ262098 No.Polisi: N 5925 R, Warna PUTIH, atas nama YENI.</t>
  </si>
  <si>
    <t>a. 1 (satu) unit kendaraan roda dua, merk YAMAHA, type/Model 14D AL115C/SPM.SOLO, tahun 2010 dengan No. BPKB H-02761736, No rangkaMH314D003AK871738, No. Mesin 14D872079, No.Polisi: N 6646 SM Warna HIJAU atas nama DUDI PRIYONO, SPD.</t>
  </si>
  <si>
    <t>a. 1 (satu) unit kendaraan roda dua, merk Yamaha , type/Model 3C1 (V-IXION), tahun 2008 dengan No. BPKB M-09838244, No rangka MH33C10028K128385, No. mesin 3C1129249 No.Polisi: N 3522 RQ, Warna Merah Marun, atas nama Oky Bayu Pratama.</t>
  </si>
  <si>
    <t>P01.5828</t>
  </si>
  <si>
    <t>11831/P01.5828/P01/07/2025</t>
  </si>
  <si>
    <t>Sepeda Motor Baru yang akan dibeli</t>
  </si>
  <si>
    <t>P01.5861</t>
  </si>
  <si>
    <t>11849/P01.5861/P01/07/2025</t>
  </si>
  <si>
    <t>b. 1 (satu) unit kendaraan roda dua, merk HONDA, type/Model F1C02N28L0 A/T, tahun 2019 dengan No. BPKB O-03605683, No rangka MH1JM3124KK630132, No. mesin JM31E2625290, No.Polisi: N 5539 PUT, Warna Coklat Hitam, atas nama Anggita Cahya</t>
  </si>
  <si>
    <t>b. 1 (satu) unit kendaraan roda dua, merk HONDA, type/Model A1F02N36M1 AT/SOLO, tahun 2018 dengan No. BPKB U-02504901, No rangka MHIJM4115JK166876, No. mesin JM41E1166646, No.Polisi: N 4851 RG, Warna HITAM, atas nama Muhammad Kumala. DAN 1 sepeda motor PCX yang akan dibeli</t>
  </si>
  <si>
    <t>P03.3513</t>
  </si>
  <si>
    <t>11942/P03.3513/P03/08/2025</t>
  </si>
  <si>
    <t>b. Sebidang tanah pekarangan dengan bukti Sertipikat Hak Milik No. 01544, seluas 137 meter persegi sebagaimana yang diuraikan dalam Surat Ukur No. 200/Kedungdalem/2009, tertanggal 10-11-2009, yang terletak di Wilayah Propinsi Jawa Timur, Kabupaten Probolinggo, Kecamatan Dringu, Desa Kedungdalem, Yang Tercantum atas nama Siti Sufaidah, yang diperoleh haknya melalui pengakuan hak, PENUNJUK : Tanah ini asalnya dari buku C desa No. 638/63/DI, Pengumuman data fisik dan yuridis No. 21/III/AJUDIKASI/2009 tanggal 09-10-2009. Tanda tanda batas : Tanda-tanda batas telah memenuhi Peraturan Menteri Negara Agraria/Kepala BPN No. 3 Tahun 1997. Berikut segala sesuatu yang berdiri, tumbuh dan tertanam diatasnya, yang karena sifatnya, maksudnya atau menurut hukum dianggap sebagai harta tetap.</t>
  </si>
  <si>
    <t>a. Sebidang tanah diatasnya berdiri bangunan rumah dengan bukti Sertifikat Hak Milik No. 1582, seluas 105 meter persegi sebagaimana yang diuraikan dalam Surat Ukur No. 15/Ketapang/2007, tertanggal 27/03/2007, yang terletak di Wilayah Propinsi Jawa Timur, Kota Probolinggo, Kecamatan Kademangan, Kel. Ketapang, Yang Tercantum atas nama Djeminem, yang diperoleh haknya melalui Penggantian HM No. 1582-. Dengan tanda batas : tembok-tembok memenuhi PMNA/KBPN No. 3 Tahun 1997. Berikut segala sesuatu yang berdiri, tumbuh dan tertanam diatasnya, yang karena sifatnya, maksudnya atau menurut hukum dianggap sebagai harta tetap.</t>
  </si>
  <si>
    <t>P01.5819</t>
  </si>
  <si>
    <t>11723/P01.5819/P01/07/2025</t>
  </si>
  <si>
    <t>c. 1 (satu) unit kendaraan roda dua, merk YAMAHA, type/Model 1 KP/AT/SPD. MTR. SOLO, tahun 2013 dengan No. BPKB K-01571204, No rangka MH31KP001DK352597, No. mesin 1KP352818 No.Polisi: W 6975 NEC, Warna HITAM, atas nama EVA WULANDARI.</t>
  </si>
  <si>
    <t>a. 1 (satu) unit kendaraan roda dua, merk HONDA, type/Model X1H02N35M1 A/T/SPM. SOLO, tahun 2021 dengan No. BPKB R-00438669, No rangka MH1KF4121MK377679, No. mesin KF41E2381577 No.Polisi: N 6990 MW, Warna HITAM, atas nama ANDRE KUSUMA EKA PRAYOGA.</t>
  </si>
  <si>
    <t>a. 1 (satu) unit kendaraan roda dua, merk HONDA, type/Model E1F02N11M2 A/T/SPM. SOLO, tahun 2017 dengan No. BPKB N-03498757, No rangka MH1JFU111HK940416, No. mesin JFU1E1943113 No.Polisi: N 3374 PL, Warna WHITE RED, atas nama RYAN ROMANTI FIRDAMAS.</t>
  </si>
  <si>
    <t>b. 1 (satu) unit kendaraan roda dua, merk HONDA, type/Model NC11B3CA/T/SPM.SOLO, tahun 2011 dengan No. BPKB I-04242591, No rangka MH1JF5121BK499697, No. mesin JF51E2499494 No.Polisi: N 4740 QO, Warna HITAM, atas nama KRISTIN KARTIKAWATI</t>
  </si>
  <si>
    <t>a. 1 (satu) unit kendaraan roda dua, merk HONDA, type/Model D1B02N12L2 A/T SPM.SOLO, tahun 2018 dengan No. BPKB N-07040870 No rangka MH1JM2119JK948215, No. mesin JM21E1928454 No.Polisi: N 4099 SW, Warna BIRU PUTIH atas nama DIDIK KURNIAWAN. Pasal 10</t>
  </si>
  <si>
    <t>a. 1 (satu) unit kendaraan roda dua, merk Honda, type/Model H7B02N42LO A/T/SPM. SOLO, tahun 2020 dengan No. BPKB P-02521062, No rangka MH1JM9113LK155908 No. mesin JM91E1154707, No.Polisi: N 5514 KT, Warna HITAM atas nama ITAMIN.</t>
  </si>
  <si>
    <t>a. 1 (satu) unit kendaraan roda dua, merk HONDA, type/Model X1B02N04L0 A/T SPM.SOLO, tahun 2015 dengan No. BPKB O-06756528 No rangka MH1JFP117FK041591, No. mesin JFP1E1042671 No.Polisi: N 6109 QK, Warna HITAM, atas nama NIKEN MANDIRA.</t>
  </si>
  <si>
    <t>a. Sebidang tanah non Pertanian (perumahan) dengan bukti Sertifikat Hak Milik No. 07255, seluas 121 meter persegi sebagaimana yang diuraikan dalam Surat Ukur No. 03106/KANIGARAN/2021 tertanggal 03/05/2021, yang terletak di Wilayah Propinsi Jawa Timur, Kota Probolinggo, Kecamatan Kanigaran, Kelurahan Kanigaran, Yang Tercantum atas nama Ina Royani. Dengan tanda batas batas-batas : tanda-tanda batas sesuai dengan PMNA/KBPN No. 3 Tahun 1997. Berikut segala sesuatu yang berdiri, tumbuh dan tertanam diatasnya, yang karena sifatnya, maksudnya atau menurut hukum dianggap sebagai harta tetap.</t>
  </si>
  <si>
    <t>P03.3532</t>
  </si>
  <si>
    <t>11988/P03.3531/P03/08/2025</t>
  </si>
  <si>
    <t>PENGEMBANGAN SEKOLAH TK ABA V</t>
  </si>
  <si>
    <t>a. Sebidang tanah diatasnya berdiri bangunan rumah dengan bukti Sertipikat Hak Milik No.5166, seluas 66 meter persegi sebagaimana yang diuraikan dalam Surat Ukur No 103/Mangunharjo /2011, tertanggal 14-09-2011, yang terletak di Wilayah Propinsi Jawa Timur, Kota Probolinggo, Kecamatan Mayangan, Kelurahan Mangunharjo, Yang Tercantum atas nama Mohammad Thoyib Maulana, yang diperoleh haknya melalui jual beli berdasarkan Akta PPAT Doctorandus Misbahul Munir tanggal 02-12-1999 Nomor 535/1999 Tanggal 26-03-2011. Dengan tanda-tanda batas : Tembok dan tugu batu memenuhi PMNA/KBPN No. 3 Tahun 1997.</t>
  </si>
  <si>
    <t>P01.5827</t>
  </si>
  <si>
    <t>11819/P01.5827/P01/07/2025</t>
  </si>
  <si>
    <t>b. 1 (satu) unit kendaraan roda dua, merk HONDA, type/Model X1B02N04LO/SEPEDA MOTOR, tahun 2015 dengan No. BPKB M-02498016, No rangka MH1JFP119FK843656, No. Mesin JFP1E1856882, No.Polisi: N 6788 QX, Warna PUTIH MERAH, atas nama ULFIYATUN HASANAH.</t>
  </si>
  <si>
    <t>P03.3604</t>
  </si>
  <si>
    <t>12167/P03.3604/P03/09/2025</t>
  </si>
  <si>
    <t>a. 1 (satu) unit kendaraan roda dua, merk Honda, type/Model E1F02N11M2 A/T, tahun 2017 dengan No. BPKB N-03314051, No rangka MH1JFU115HK914174, No. mesin JFU1E1915043 No. Polisi : N 2316 QH, Warna WHITE RED, atas nama RISKI ALFARESA.</t>
  </si>
  <si>
    <t>P01.5936</t>
  </si>
  <si>
    <t>12050/P01.5936/P01/08/2025</t>
  </si>
  <si>
    <t>a. 1 (satu) unit kendaraan roda dua, merk Honda, type/Model H1B02N42L0 A/T/SOLO, tahun 2022 dengan No. BPKB T-00383395, No rangka MH1JM9129NK490845, No. mesin JM91E2489234, No.Polisi: N 2715 RB, Warna BIRU, atas nama ILYGENCIA.</t>
  </si>
  <si>
    <t>P01.5914</t>
  </si>
  <si>
    <t>12011/P01.5914/P01/08/2025</t>
  </si>
  <si>
    <t>a. Sebidang tanah Perumahan dengan bukti Sertipikat Hak Milik No 1151, seluas 61 meter persegi sebagaimana yang diuraikan dalam Surat Ukur No 89/Tisnonegaran/2009, tertanggal 18-07-2000, yang terletak di Wilayah Propinsi Jawa Timur, Kota Probolinggo, Kecamatan Kanigaran, Kelurahan. Tisnonegaran, Yang Tercantum atas nama Asman, yang diperoleh haknya berdasarkan -HIBAH-, berdasarkan Akta HIBAH Yang dibuat dihadapan Doktorandus Misbahul Munir PPAT Camat Mayangan, Tanggal 6-05-2000 No. 325/2000, dengan tanda batas : tugu-tugu batu dan tembok tembok.</t>
  </si>
  <si>
    <t>P01.5908</t>
  </si>
  <si>
    <t>12003/P01.5908/P01/08/2025</t>
  </si>
  <si>
    <t>b. 1 (satu) unit kendaraan roda dua, merk HONDA, type/Model A1F02N36M1 A/T, tahun 2019 dengan No. BPKB O-02957203, No rangka MH1JM4115KK322075, No. mesin JM41E1321629 No.Polisi: N 4813 RX, Warna MERAH, atas nama TRI WILUJENG.</t>
  </si>
  <si>
    <t>P03.3599</t>
  </si>
  <si>
    <t>12168/P03.3599/P03/09/2025</t>
  </si>
  <si>
    <t>a. 1(satu) unit Kendaraan roda dua, Merk HONDA, Type/Model NC111B 1C AT (BEAT)/SEPEDA MOTOR, Tahun 2009 dengan No.BPKB U04158013, No.Rangka MH1JF211X9K274551, No.Mesin JF21E1273165 No.Polisi: N 4407 RH, Warna PUTIH, atas nama VERA MARIANCE IRIANTO. b. 1(satu) unit Kendaraan roda dua, Merk HONDA, Type/Model NC11BF1D AT/SOLO, Tahun 2014 dengan No.BPKB K12714464, No.Rangka MH1JFD233EK061804, No.Mesin JFD2E3062929 No.Polisi: N 6610 R, Warna ORANGE BIRU, atas nama BIMA ANDIKA.</t>
  </si>
  <si>
    <t>P01.5937</t>
  </si>
  <si>
    <t>12060/P01.5937/P01/08/2025</t>
  </si>
  <si>
    <t>P01.5999</t>
  </si>
  <si>
    <t>12206/P01.5999/P01/09/2025</t>
  </si>
  <si>
    <t>DI TABUNG</t>
  </si>
  <si>
    <t>a. 1 (satu) unit kendaraan roda empat, merk Daihatsu, type/Model S91/St. Wagon, tahun 1995 dengan No. BPKB O-03021485, No rangka S91015432, No. mesin 9157232 No. Polisi : P 1219 DX, Warna Hijau Metalik, atas nama Nunmassimma.</t>
  </si>
  <si>
    <t>P01.5820</t>
  </si>
  <si>
    <t>11796/P01.5820/P01/07/2025</t>
  </si>
  <si>
    <t>MEMBAYAR KARYAWAN</t>
  </si>
  <si>
    <t>a. Sebidang tanah diatasnya berdiri sebuah rumah batu dengan bukti Sertifikat Hak Milik No. 611, seluas 86 meter persegi sebagaimana yang diuraikan dalam Gambar Situasi No. 799/1994 tertanggal 12/07/1994, yang terletak di Wilayah Propinsi Jawa Timur, Kota Probolinggo, Kecamatan Kademangan, Desa Ketapang, Yang Tercantum atas nama Sugiono (yang akan di balik nama kepada : Erni Johan, Marheinul Ichwan, Novi Fitriya Rahmawati). Dengan tanda batas batas-batas : tugu batu I dan II berdiri diatas sudut batas, dan memenuhi Peraturan Menteri Agraria Nomor : 8 tahun 1961. Tembok-tembok a-b, c-d, d-e dan f-g berdiri didalam. Tembok dua lapis b-c dan e-f yang selapis berdiri diluar. Tembok b-I berdiri di luar. Berikut segala sesuatu yang berdiri, tumbuh dan tertanam diatasnya, yang karena sifatnya, maksudnya atau menurut hukum dianggap sebagai harta tetap. *Yang diikat SKMHT</t>
  </si>
  <si>
    <t>a. 1 (Satu) Unit Kendaraan Roda Dua Merk Honda Type/Model D1B02N26L2 A/T Tahun 2018 Dengan No. Bpkb O-01818794 No Rangka MH1JM4113JK037549 No Mesin JM41E1038304 No Polisi N 5337 RV Warna PUTIH Atas Nama AHMAD PAIDI.</t>
  </si>
  <si>
    <t>a. 1 (Satu) Unit Kendaraan Roda Empat Merk Honda Type/Model CB15A1RRF M/T/SPD. MTR. SOLO Tahun 2013 Dengan No. Bpkb K-02426001 No Rangka MH1KC4111DK038095 No Mesin KC41E1037612 No Polisi N 5318 ND Warna HITAM Atas Nama SRI RAHAYU YANTI MURTI.</t>
  </si>
  <si>
    <t>P01.5891</t>
  </si>
  <si>
    <t>11947/P01.5891/P01/08/2025</t>
  </si>
  <si>
    <t>P03.3488</t>
  </si>
  <si>
    <t>11812/P03.3488/P03/07/2025</t>
  </si>
  <si>
    <t>a. Sebidang tanah perumahan dengan bukti Sertipikat Hak Hak Milik No. 933, seluas 897 meter persegi sebagaimana yang diuraikan dalam Surat Ukur No 536/Blado Kulon/2018, tertanggal 27-02-2018, yang terletak di Wilayah Provinsi Jawa Timur, Kabupaten Probolinggo, KecamatanTegalsiwalan, DesaBlado Kulon, Yang Tercantum atas nama Titin Sulistyowati, yang diperoleh haknya melalui jual beli, berdasarkan Akta PPAT Endang Sulistyo Kartikawati, Sarjana Hukum tanggal 10 Juli 2018 No. 236/2018. Pertimbangan Aspek Pengaturan Pertanahan dalam Rangka Pengendalian Penguasaan dan Pemilikan Tanah tanggal 31 Julii 2018 No. 307/PP/VII/2018. DI 301 No.5595/2018, DI 307 No. 13257/2018, DI 208 No.6579/2018. Keadaan Tanah : sebidang tanah pertanian. Tanda-tanda batas : Tanada Batas sesuai dengan PMNA/KBPN No.3/1997. Berikut segala sesuatu yang berdiri, tumbuh dan tertanam diatasnya, yang karena sifatnya, maksudnya atau menurut hukum dianggap sebagai harta tetap.</t>
  </si>
  <si>
    <t>P03.3512</t>
  </si>
  <si>
    <t>11922/P03.3512/P03/08/2025</t>
  </si>
  <si>
    <t>TAMBAHAN MODAL USAHA PANGSIT</t>
  </si>
  <si>
    <t>P01.5902</t>
  </si>
  <si>
    <t>11985/P01.5902/P01/08/2025</t>
  </si>
  <si>
    <t>P03.3517</t>
  </si>
  <si>
    <t>11961/P03.3517/P03/08/2025</t>
  </si>
  <si>
    <t>b. 1 (Satu) unit Kendaraan roda dua, Merk HONDA, Type/Model X1H02N35M1 A/T / SPM.SOLO, Tahun 2021 dengan No.BPKB Q-05025762, No.Rangka MH1KF4127MK253416, No.Mesin KF41E2257435 No.Polisi: N 6686 QC, Warna COKLAT, atas nama YULIANA.</t>
  </si>
  <si>
    <t>P03.3542</t>
  </si>
  <si>
    <t>12030/P03.3542/P03/08/2025</t>
  </si>
  <si>
    <t>P01.5847</t>
  </si>
  <si>
    <t>11814/P01.5847/P01/07/2025</t>
  </si>
  <si>
    <t>a. 1 (satu) unit kendaraan roda dua, Merk Yamaha, type/Model 1 PA/SPM SOLO, Tahun 2014 dengan No. BPKB K12713651, No rangka MH31PA004EK462454, No. Mesin 1PA462629, No.Polisi N 6990 NT, Warna HITAM, atas nama NURUL HUDA.</t>
  </si>
  <si>
    <t>P01.5918</t>
  </si>
  <si>
    <t>12016/P01.5918/P01/08/2025</t>
  </si>
  <si>
    <t>BEROBAT ANAK</t>
  </si>
  <si>
    <t>P01.5927</t>
  </si>
  <si>
    <t>12021/P01.5927/P01/08/2025</t>
  </si>
  <si>
    <t>BIAYA RUMAH SAKIT</t>
  </si>
  <si>
    <t>P01.5895</t>
  </si>
  <si>
    <t>11937/P01.5895/P01/08/2025</t>
  </si>
  <si>
    <t>PENGADAAN SOUND</t>
  </si>
  <si>
    <t>P01.5994</t>
  </si>
  <si>
    <t>12199/P01.5994/P01/09/2025</t>
  </si>
  <si>
    <t>a. 1 (satu) unit kendaraan roda dua, Merk HONDA type/Model K1H02N14LO A/T / SPM.SOLO, tahun 2017 dengan No. BPKB M-10970228, No rangka MH1KF1115HK981568, No. mesin KF11E1977196 No.Polisi: N 6046 PH, Warna HITAM, atas nama DODIK SAYUDI. b. 1 (satu) unit kendaraan roda dua, (Pembelian Baru melalui CU Mandiri).</t>
  </si>
  <si>
    <t>P01.5813</t>
  </si>
  <si>
    <t>11797/P01.5813/P01/07/2025</t>
  </si>
  <si>
    <t>P03.3511</t>
  </si>
  <si>
    <t>11929/P03.3511/P03/07/2025</t>
  </si>
  <si>
    <t>TAMBAHAN MODAL USAHA JASUKE</t>
  </si>
  <si>
    <t>P03.3507</t>
  </si>
  <si>
    <t>11919/P03.3507/P03/07/2025</t>
  </si>
  <si>
    <t>P01.5823</t>
  </si>
  <si>
    <t>11799/P01.5823/P01/07/2025</t>
  </si>
  <si>
    <t>P03.3538</t>
  </si>
  <si>
    <t>12025/P03.3538/P03/08/2025</t>
  </si>
  <si>
    <t>P03.3520</t>
  </si>
  <si>
    <t>11953/P03.3520/P03/08/2025</t>
  </si>
  <si>
    <t>P01.5917</t>
  </si>
  <si>
    <t>11980/P01.5917/P01/08/2025</t>
  </si>
  <si>
    <t>BIAYA PROSES PERCERAIAN</t>
  </si>
  <si>
    <t>b. 1 (satu) unit kendaraan roda dua, Merk HONDA, type/Model NC12A1CF A/T/SPM. SOLO, Tahun 2014 dengan No. BPKB K-11347277, No rangka MH1JFB12XEK216457, No. Mesin JFBIE2164136, No.Polisi: N 3934 PA, Warna WHITE SILVER, atas nama AMINA.</t>
  </si>
  <si>
    <t>P03.3578</t>
  </si>
  <si>
    <t>12144/P03.3578/P03/09/2025</t>
  </si>
  <si>
    <t>TAMBAHAN MODAL TOKO PRACANGAN</t>
  </si>
  <si>
    <t>P01.5984</t>
  </si>
  <si>
    <t>12191/P01.5984/P01/09/2025</t>
  </si>
  <si>
    <t>1 UNIT SEPEDA MOTOR</t>
  </si>
  <si>
    <t>a. 1 (satu) unit kendaraan roda dua, merk Honda type F1C02N28L0 A/T, tahun 2018, dengan no. BPKB N-04178618 No rangka MH1JM3112JK498994 No. mesin JM31E1499082 No.Polisi: N 3287 PX Warna Hitam Putih atas nama Nanik Suwarni.</t>
  </si>
  <si>
    <t>P02.1815</t>
  </si>
  <si>
    <t>11877/P02.1815/P02/07/2025</t>
  </si>
  <si>
    <t>BPKB</t>
  </si>
  <si>
    <t>b. 1 (satu) unit kendaraan roda dua, merk Honda type NC12AF2CBI A/T, tahun 2013, dengan no. BPKB K-07462602. No rangka MH1JFF118DK098762, No. mesin JFF1E1101623, No.Polisi: N 6919 MC, Warna White Silver, atas nama Moh Yahya. c. 1 (satu) unit kendaraan roda dua, merk Honda type X1B02N04LO A/T, tahun 2016, dengan no. BPKB M 04933544. No rangka MHKE1113GK618815, No. mesin KF11E1617919, No.Polisi: N 2138 PD, Warna HITAM, atas nama Supandri.</t>
  </si>
  <si>
    <t>P01.5834</t>
  </si>
  <si>
    <t>11844/P01.5834/P01/07/2025</t>
  </si>
  <si>
    <t>a. 1 (satu) unit kendaraan roda dua, merk Honda type H1B02N42L0 A/T, tahun 2023 dengan no. BPKB I-05876510. No rangka MH1JM9122PK895898, No. mesin JM91E2893854, No.Polisi: N 2990 OJ, Warna Putih atas nama Astono Sukro.</t>
  </si>
  <si>
    <t>1 SERTIFIKAT</t>
  </si>
  <si>
    <t>c. Sebidang tanah Hak Milik Nomor: 978, seluas 200 M2 (Dua ratus meter persegi). Sebagaimana diuraikan dalam surat ukur tertanggal Dua Puluh Enam Bulan Januari Tahun Dua Ribu Enam (26-01-2006), Nomor : 04/ Kebonagung/2006, terletak diwilayah Propinsi Jawa Timur, Kabupaten Probolinggo, Kecamatan Kraksaan, Desa Kebonagung yang dibukukan dan diterbitkan sertipikatnya oleh yang berwenang pada Tanggal Dua Puluh Delapan Bulan Februari Tahun Dua Ribu Enam), tercantum atas nama Arum Amperawati Berikut segala sesuatu yang berdiri, tumbuh dan tertanam diatasnya, yang karena sifatnya, maksudnya atau menurut hukum dianggap sebagai harta tetap, terutama sebuah bangunan rumah yang berdiri diatasnya. Yang akan diikat secara APHT</t>
  </si>
  <si>
    <t>a. 1 (satu) unit kendaraan roda dua, merk yamaha, type/model BEJ A/T SPM SOLO, tahun 2022 dengan No. BPKB S-03956200, No rangka MH3SEJ710NJ051986, No. mesin E33WE0054892 No.Polisi : N 4164 OC, warna hitam atas nama Purnamawati.</t>
  </si>
  <si>
    <t>1 SERTIFIKAT &amp; 3 bpkb sepeda motor</t>
  </si>
  <si>
    <t>a. Sebidang tanah pekarangan. Dengan Sertipikat Hak Milik No 491, seluas 120 meter persegi sebagaimana yang diuraikan dalam Surat Ukur No 67/Bulu/1999, tertanggal 23-07-1999, yang terletak di Wilayah Propinsi Jawa Timur, Kabupaten Probolinggo, Kecamatan Kraksaan, Desa Bulu. NIB 12.31.14.04.00216. Tercantum atas nama Hari Widiatmaka. Berikut segala sesuatu yang berdiri, tembok a-b berdiri di luar, sedang tugu I-II berdiri diatas batas.Tanda batas telah mencukupi PMNA/KBPN No. 3/1997. Yang akan diikat secara APHT. b. 1 (satu) unit kendaraan roda dua, merk Honda type NF 12A1CF M/T tahun 2012, dengan no. BPKB J-02043337 No rangka MH1JBG11OCKO57798 No. mesin JBG1E1055537, No.Polisi: N 6376 QT, Warna Merah Hitam atas nama Hari Widiatmaka. c. 1 (satu) unit kendaraan roda dua, merk Honda type NF 11C1C M/T tahun 2012, dengan no. BPKB I-08387649 No rangka MH1JBH110CK198151 No. mesin JBH1E1189052, No.Polisi: N 2465 QS, Warna Orange Hitam atas nama Hari Widiatmaka. d. 1 (satu) unit kendaraan roda dua, merk Honda type NF 125 TR tahun 2010, dengan no. BPKB H-00735007 No rangka MH1JB9121AK083196 No. mesin JB91E2075528, No.Polisi: N 2996 QK, Warna Hitam atas nama Hari Widiatmaka.</t>
  </si>
  <si>
    <t>simpanan saham</t>
  </si>
  <si>
    <t>a. Simpanan Saham Anggota atas nama Eko Wahyudi NBA 14053.002.1001.303 Sebesar Rp 15.025.000,00</t>
  </si>
  <si>
    <t>2 SERTIFIKAT</t>
  </si>
  <si>
    <t>a. Sebidang tanah diatasnya berdiri sebuah bangunan rumah batu dengan bukti Sertifikat Hak Milik No 354 , seluas 323 meter persegi sebagaimana yang diuraikan dalam surat ukur nomor 70/Sukokerto/2014, tertanggal 08-04-2014 yang terletak di Wilayah Provinsi Jawa Timur, Kabupaten Probolinggo, Kecamatan Pajarakan, Desa. Sukokerto, Yang Tercantum atas nama Kartika S Rehatta, Kartika Srihambar K, Dini Fitriani, Dian Fitra Tama, Kusuma Sari Desty Arini, Putri Wulan Marta Sari, Anugrah Raka Fajar Wicaksono Mahmudhi dan yang nantinya akan dibalik nama atas nama Wiwik yang diperoleh haknya melalui  Penunjuk DI 301 No. 4570/2014 berdasarkan akta jual beli nomor : 288/2024, tgl 03-07-2024. Berikut segala sesuatu yang berdiri, tumbuh dan tertanam di atasnya, yang karena sifatnya, maksudnya atau menurut hukum dianggap sebagai harta tetap, terutama sebuah bangunan rumah yang berdiri diatasnya. Yang akan diikat secara APHT. b. Sebidang tanah diatasnya berdiri sebuah bangunan rumah batu dengan bukti Sertifikat Hak Milik No 355 , seluas 354 meter persegi sebagaimana yang diuraikan dalam Gambar Situasi No 1562/1997,tertanggal 31-7-1997, yang terletak di Wilayah Propinsi Jawa Timur, Kabupaten Probolinggo, Kecamatan Pajarakan, Desa. Sukokerto, Yang Tercantum atas nama Acmad Prasetyo, Irwan Susetyo, Ina Sinansari, Nini Andrini, Erik Akmal dan yang nantinya akan dibalik nama atas nama Wiwik yang diperoleh haknya melalui  Penunjuk DI 301 No. 1180/1997 berdasarkan akta jual beli nomor : 287/2024, tgl 03-07-2024. Berikut segala sesuatu yang berdiri, tumbuh dan tertanam di atasnya, yang karena sifatnya, maksudnya atau menurut hukum dianggap sebagai harta tetap, terutama sebuah bangunan rumah yang berdiri diatasnya. Yang akan diikat secara APHT.</t>
  </si>
  <si>
    <t>P01.5910</t>
  </si>
  <si>
    <t>11998/P01.5910/P01/08/2025</t>
  </si>
  <si>
    <t>RENOVASI TEMPAT USAHA</t>
  </si>
  <si>
    <t>P03.3590</t>
  </si>
  <si>
    <t>12127/P03.3590/P03/09/2025</t>
  </si>
  <si>
    <t>TAMBAHAN MODAL USAHA SEWA RUKO</t>
  </si>
  <si>
    <t>1SERTIFIKAT HAK MILIK</t>
  </si>
  <si>
    <t>a. Sebidang tanah pekarangan dengan bukti Sertipikat Hak Milik No 659, seluas 144 meter persegi sebagaimana yang diuraikan dalam Surat Ukur No 24/Bulu/2008, tertanggal 21-07-2008, yang terletak di Wilayah Propinsi Jawa Timur, Kabupaten Probolinggo, Kecamatan Kraksaan, Desa Bulu, Yang Tercantum atas nama Asih Awaliyatun Nimah. Yang diperoleh melalui pembagian hak bersama berdasarkan Akta PPAT Sugeng Wiyanto, S.Sos.MM. No. 140/2015 tanggal 30-03-2015. Penunjuk Di. 301 No. 5012/2015, Di. 307 No. 8128/2015, Di. 208 No. 1652/2015 tanggal 08-04-2015, dengan tanda-tanda batas tugu beton sesuai dengan PMNA/KBPN No. 3/1997. Yang akan diikat secara APHT.</t>
  </si>
  <si>
    <t>1 UNIT MOBIL</t>
  </si>
  <si>
    <t>a. 1 (satu) unit kendaraan roda empat, merk Toyota type/model Kijang Inova 2.4 G MT, tahun 2020 dengan No. BPKB O-08375921, No rangka MHFJB8EM4L1069785, No. mesin 2GDC704726 No.Polisi : N 1741 MR, Warna Putih atas nama Gatot Subiondo.</t>
  </si>
  <si>
    <t>a. Sebidang tanah pekarangan dengan bukti Sertipikat Hak Milik No 549, seluas 180 meter persegi sebagaimana yang diuraikan dalam Surat Ukur No 10/Bulu/2006, tertanggal 24-07-2006, yang terletak di Wilayah Propinsi Jawa Timur, Kabupaten Probolinggo, Kecamatan Kraksaan, Desa Bulu, Yang Tercantum atas nama Bambang Supriyanto. Yang diperoleh melalui pembagian hak bersama berdasarkan Akta PPAT I KETUT KARIANA, SH. No. 95/KRAKSAAN/III/2006, tanggal 30-03-2006. Penunjuk Di. 307 No. 4135/2006, Di. 208 No. 1604/2006,tanggal 16-10-2006, dengan tanda-tanda batas tugu beton sesuai dengan PMNA/KBPN No. 3/1997. Yang akan diikat secara SKMHT.</t>
  </si>
  <si>
    <t>BPKB KENDARAAN R2</t>
  </si>
  <si>
    <t>1 (satu) unit kendaraan roda dua, merk Honda type NC 11OD, tahun 2009, dengan no. BPKB F 8303804 No rangka MH1JF12119K685622 No. mesin JF12E1689637, No.Polisi: N 5386 QF, Warna Merah atas nama Ruli Wasiska. a. Simpanan Saham Anggota a.n Masruhin NBA : 0.02.02643 dengan jumlah : Rp. 8.560.000,00 b. Blokir simpanan anggota a.n Masruhin NBA : 0.02.02643 dengan jumlah : Rp. 14.293.000,00 c. Simpanan Saham Anggota a.n Ruli Wasiska NBA : 0.02.03366 dengan jumlah : Rp. 3.320.000,00 d. Blokir simpanan anggota a.n Ruli Wasiska NBA : 0.02.03366 dengan jumlah : Rp. 523.000,00</t>
  </si>
  <si>
    <t>2 SERTIFIKAT 1 BPKB MOBIL DAN 2 BPKB SEPEDA MOTOR</t>
  </si>
  <si>
    <t>a. Sebidang tanah pekarangan dengan bukti Sertifikat Hak Milik No 03079, seluas 63 meter persegi sebagaimana yang diuraikan dalam Surat Ukur No 01743/Kebonagung/2020, tertanggal 13-05-2020, yang terletak di Wilayah Propinsi Jawa Timur, Kabupaten Probolinggo, Kecamatan Kraksaan, Desa. Kebonagung, Yang Tercantum atas nama Zainuri yang diperoleh haknya melalui  Penunjuk DI 301 No. 3109/2020 Pemecahan dari hak milik No 484/Desa Kebonagung, Seri Blanko AJ 822810, dengan tanda tanda batas sesuai dengan PMNA/KBPN No 3/1997. Berikut segala sesuatu yang berdiri, tumbuh dan tertanam di atasnya, yang karena sifatnya, maksudnya atau menurut hukum dianggap sebagai harta tetap, terutama sebuah bangunan rumah yang berdiri diatasnya, dan diikat secara APHT. b. Sebidang tanah non pertanian dengan bukti Sertifikat Hak Milik No 00447,seluas 1.400 meter persegi sebagaimana yang diuraikan dalam Surat Ukur Nomor 00112/Keliputih/2019, tertanggal 21/05/2019, yang terletak di Wilayah Provinsi Jawa Tengah, Kabupaten Banyumas, Kecamatan Purwojati, Desa. Kaliputih, Yang Tercantum atas nama Wiwik yang diperoleh haknya melalui adjudikasi dengan terbitnya sertifikat tertanggal 27-05-2019 yang dikeluarkan oleh kantor pertanahan kabupaten banyumas provinsi jawa tengah ,Berikut segala sesuatu yang berdiri, tumbuh dan tertanam di atasnya, yang karena sifatnya, maksudnya atau menurut hukum dianggap sebagai harta tetap, terutama sebuah bangunan rumah yang berdiri diatasnya dan diikat secara Warmeking. c. 1 (satu) unit kendaraan roda dua, merk HONDA type M1K03M32LO A/T SPM SOLO, tahun 2024, dengan No. BPKB U-04158999, No rangka MH1KFC114RK007593, No Mesin KFC1E1007650, No.Polisi N 3381 OS, Warna Hitam atas nama Wiwik, dan diikat secara fidusia. d. 1 (satu) unit kendaraan roda dua, merk YAMAHA type 28D NIO/AL115S A/T SPM SOLO, tahun 2011, dengan No. BPKB H-08742708, No rangka MH323D305BK419317, No Mesin 28D2417736, No.Polisi N 2815 MS, Warna Merah Marun atas nama Hairul, , dan diikat secara fidusia. e. 1 (satu) unit kendaraan roda empat, merk MITSUBISHI type COLT T120SS 1.5 PU FD-R(4X2) M/T, tahun 2012, dengan No. BPKB N-04520235, No rangka MHMU5TU2ECK085376, No Mesin 4G15H78602, No.Polisi N 9802 YF, Warna Hitam atas nama Arifin, dan diikat secara fidusia.</t>
  </si>
  <si>
    <t>SERTIFIKAT DAN BPKB MOBIL</t>
  </si>
  <si>
    <t>a. 1 (satu) unit kendaraan roda dua, merk Honda type GL 15A1RR MT, tahun 2012 dengan no. BPKB J03032514. No rangka MH1KC3116CK244327 No. mesin KC31E1244439, No.Polisi: N 4271 PN, Warna Hitam atas nama Moh Hasin. b. Sebidang tanah pekarangan Hak Milik Nomor : 00593, seluas 302 M² (tiga ratus dua meter persegi). Sebagaimana diuraikan dalam surat ukur tertanggal lima belas november dua ribu delapan belas ( 15-11-2018 ), Nomor : 00164/Sentong/2018, terletak diwilayah Propinsi Jawa Timur, Kabupaten Probolinggo, Kecamatan Krejengan, Desa Sentong yang dibukukan dan diterbitkan sertifikatnya oleh yang berwenang pada enam belas november dua ribu delapan belas ( 16-11-2018 ), tercantum atas nama Mohammad Rheza Akbar &amp; Muhammad Fahri Maulana. Berikut segala sesuatu yang berdiri, tumbuh dan tertanam diatasnya, yang karena sifatnya, maksudnya atau menurut hukum dianggap sebagai harta tetap, terutama sebuah bangunan rumah yang berdiri diatasnya</t>
  </si>
  <si>
    <t>a. 1 (satu) unit kendaraan roda dua, merk Honda type NC11BF1D A/T, tahun 2014, dengan no. BPKB O- 02396235. No rangka MH1JFD236EK056144, No. mesin JFB2E3044240, No.Polisi: N 6380 NC, Warna Oranye Biru, atas nama Moh Yasin.</t>
  </si>
  <si>
    <t>P01.5842</t>
  </si>
  <si>
    <t>11859/P01.5842/P01/07/2025</t>
  </si>
  <si>
    <t>Sebidang tanah pekarangan dengan bukti Sertipikat Hak Milik No 156, seluas 256 meter persegi sebagaimana yang diuraikan dalam Surat Ukur No 26/Dandang/2016, tertanggal 21-03-2016, yang terletak di Wilayah Propinsi Jawa Timur, Kabupaten Probolinggo, Kecamatan Gading, Desa Dandang, Yang Tercantum atas nama Jamilah,</t>
  </si>
  <si>
    <t>a. 1 (satu) unit kendaraan roda dua, merk Honda type K1H02N14LO A/T, tahun 2015 dengan no. BPKB L-12452456. No rangka MH1KF1116FK137875 No. mesin KF11E1142062, No.Polisi : N 5605 MO, Warna Putih, atas nama SUWANDI.</t>
  </si>
  <si>
    <t>Sertipikat Hak Milik No 743, seluas 125 meter persegi sSurat Ukur No 17/Sukomulyo/2012, tertanggal 30-11-2012, yang terletak di Wilayah Propinsi Jawa Timur, Kabupaten Probolinggo, Kecamatan Pajarakan, Desa Sukomulyo, atas nama Grido Handoko Sriyono. Yang diperoleh melalui pembagian hak bersama berdasarkan Akta PPAT I Ketut Kariana, SH. No. 1871/2013 tanggal 14-11-2013. Penunjuk Di. 301 No. 10144/2013, Di. 307 No. 21778/2013, Di. 208 No. 9814/2013 tanggal 10-12-2013, dengan tanda-tanda batas tugu beton sesuai dengan PMNA/KBPN No. 3/1997.</t>
  </si>
  <si>
    <t>3 UNIT SEPEDA MOTOR</t>
  </si>
  <si>
    <t>a. 1 (satu) unit kendaraan roda dua, merk NONDA type NF 100 SE, Tahun 2008, dengan No. BPKB E- 8226722, No Rangka MH1HB71188K209039, No. Mesin HB71E1206648, No.Polisi: N 6997 PY, Warna Silver Merah, atas nama Bambang Suherman. b. 1 (satu) unit kendaraan roda dua, merk HONDA type X1B02N04L0 A/T, Tahun 2015 dengan No. BPKB M- 01450708 No Rangka MH1JFP213FK129956 No. Mesin JFP1E1129949 No.Polisi: N 5295 ML , Warna Putih Biru, atas nama Tri Hastuti c. 1 (satu) unit kendaraan roda dua, merk HONDA type H1B02N42L0 A/T, Tahun 2022 dengan No. BPKB S-05548181, No rangka MH1JM9123NK319654, No. mesin JM91E2317955, No.Polisi: N 5218 OD , Warna Hitam, atas nama Bambang Suherman.</t>
  </si>
  <si>
    <t>a. 1 (satu) unit kendaraan roda dua, merk Suzuki type FK110SDKG , tahun 2008, dengan no. BPKB F5110994 J. No rangka MH8BE4DFA8J658993 No. mesin E451-1D-681372, No.Polisi: N 2483 QD, Warna Merah Hitam, atas nama Ani P.</t>
  </si>
  <si>
    <t>Sertipikat Hak Milik No 697, seluas 125 meter persegi sebagaimana yang diuraikan dalam Surat Ukur No 549/1993, tertanggal 06-06-1993, yang terletak di Wilayah Propinsi Jawa Timur, Kabupaten Probolinggo, Kecamatan Kraksaan, Desa. Bulu, Yang Tercantum atas nama Prasetyo yang diperoleh haknya melalui </t>
  </si>
  <si>
    <t>2 UNIT SEPEDA MOTOR</t>
  </si>
  <si>
    <t>a. 1 (satu) unit kendaraan roda dua, merk HONDA, type/Model NF100TD A/T/ SPM. SOLO, tahun 2008 dengan No. BPKB N-3962818, No rangka MH1HB61178K592286, No. mesin HB61E1588616 No.Polisi: N 2251 NA, Warna HITAM, atas nama MOH ERFAN. b. 1 (satu) unit kendaraan roda dua, merk HONDA, type/Model NC11BF1D A/T SPM. SOLO, tahun 2013 dengan No. BPKB K-07461271, No rangka MH1JFD211DK618044, No. mesin JFD2E1606335 No.Polisi: N 6077 OY, Warna MERAH, atas nama MOH ERFAN</t>
  </si>
  <si>
    <t>a. 1 (satu) unit kendaraan roda empat, merk Daihatsu, type F601RV.GMDFJJ/ MB PENUMPANG, tahun 2007, dengan No BPKB U-04159435, No rangka MHKV1BA2J7K008238, No. mesin DC11487, No.Polisi: N 1630 NC, Warna Silver Metalik , atas nama Slamet.</t>
  </si>
  <si>
    <t>P03.3510</t>
  </si>
  <si>
    <t>11932/P03.3510/P03/07/2025</t>
  </si>
  <si>
    <t>a. 1 (satu) unit kendaraan roda dua, merk Honda type X1B02N04L0 A/T, tahun 2015, dengan no. BPKB L 11998177 No rangka MH1JFP11XFK160493 No. mesin JFP1E1166574 No.Polisi: N 5352 MI Warna Hitam atas nama Nur Syam Sodiq.</t>
  </si>
  <si>
    <t>DEPOSITO DAN SIMPANAN</t>
  </si>
  <si>
    <t>a. Simpanan Saham Anggota atas nama Arisa Fitri Lia NBA 14053.002.1004.523 Sebesar Rp 4.400.000,00 b. Simpanan Sukarela Berjangka (SISUKA) Atas Nama Arisa Fitri Lia Nomer SSKA.6731/SSKA/2024/06 Sebesar Rp 5.000.000,00</t>
  </si>
  <si>
    <t>P01.5817</t>
  </si>
  <si>
    <t>11803/P01.5817/P01/07/2025</t>
  </si>
  <si>
    <t>a. 1 (satu) unit kendaraan roda dua, merk Honda type NC11BF1D A/T,tahun 2013 dengan no.BPKB O- 01821124 No rangka MH1JFD220DK516260 No. mesin JFD2E2514397 No.Polisi: N 6134 NA Warna Biru Putih atas nama Muhammad Umar.</t>
  </si>
  <si>
    <t>1 SERTIPIKAT TANAH</t>
  </si>
  <si>
    <t>a. Sebidang tanah pekarangan dengan bukti Sertipikat Hak Milik No 233, seluas 411 meter persegi sebagaimana yang diuraikan dalam Surat Ukur No 34/Jabungsisir/2012, tertanggal 18-10-2012, yang terletak di Wilayah Propinsi Jawa Timur, Kabupaten Probolinggo, Kecamatan Paiton, Desa Jabungsisir, Yang Tercantum atas nama Sukirno Budi Santoso, dengan penunjuk Di. 301 No. 6505/2012, Di. 208 No. 5972/2012, Riwayat Tanah C 264 Persil 191 Kelas Desa D I Luas ± 400 M2 (Sebagian dari Luas ± 4.010 M2) an. P. Supina al P. Sahan, dengan tanda tanda batas tanda batas sesuai dengan PMNA/KBPN No 3/1997. Berikut segala sesuatu yang berdiri, tumbuh dan tertanam di atasnya, yang karena sifatnya, maksudnya atau menurut hukum dianggap sebagai harta tetap, terutama sebuah bangunan rumah yang berdiri diatasnya. Yang akan diikat secara APHT.</t>
  </si>
  <si>
    <t>SIMPANAN SAHAM</t>
  </si>
  <si>
    <t>a. Simpanan Saham Anggota atas nama Islilik NBA 14053.002.1005.073 Sebesar Rp 4.010.000,00</t>
  </si>
  <si>
    <t>b. 1 (satu) unit kendaraan roda dua, merk Honda type H1B02N41LO A/T, tahuN 2022, dengan no. BPKB S-02510455, No rangka MH1JM821XNK501982 , No. mesin JM82E1500081 , No.Polisi: N 4184 OB, Warna HITAM , atas nama ELLY SUBANDI.</t>
  </si>
  <si>
    <t>a. 1 (satu) unit kendaraan roda dua, merk Honda type E1F02N11M2 A/T, tahun 2016, dengan no. BPKB M-09232344. No rangka MH1JFU117GK692851, No. mesin JFU1E1690546, No.Polisi: N 2467 MX, Warna White Blue, atas nama Ani Purwati.</t>
  </si>
  <si>
    <t>a. Sebidang tanah pekarangan dengan bukti Sertipikat Hak Milik No 204, seluas 130meter persegi sebagaimana yang diuraikan dalam Surat Ukur No. 781/1996, tertanggal 3-6-1996 yang terletak di Wilayah Propinsi Jawa Timur, Kabupaten Probolinggo, Kecamatan Kraksaan, Desa Sumberlele, yang tercantum atas nama Alloysius Tri Yuliastanto. Berikut segala sesuatu yang berdiri, tumbuh dan tertanam di atasnya, yang karena sifatnya, maksudnya atau menurut hukum dianggap sebagai harta tetap, terutama sebuah bangunan rumah yang berdiri diatasnya. Yang akan diikat secara SKMHT.</t>
  </si>
  <si>
    <t> 1 (satu) unit kendaraan roda dua, merk Yamaha type 2 DP R A/T, tahun 2019 dengan No BPKB O-03465902 , No rangka MH3SG3190KJ576075, No. mesin G3E4E1452029, No.Polisi: N 2927 NI, Warna Hitam , atas nama Uswatun Hasanah.</t>
  </si>
  <si>
    <t>a. Sibuhar Blokir atas nama Sulis Haryono No Buku 0.02.06037 Dengan jumlah Rp 1.000.000,00 b. 1 (satu) unit kendaraan roda dua, merk Honda type NC11B3C A/T, tahun 2010, dengan no. BPKB H-02468379. No rangka MH1JF5114AK267875, No. mesin JF51E1275274, No.Polisi: N 6306 QK, Warna Putih, atas nama Musdolifah c. 1 (satu) unit kendaraan roda dua, merk Honda type NC11B3C A/T, tahun 2013, dengan no. BPKB J- 04592974. No rangka MH1JFD21XDK23338 No. mesin JFD2E1236521, No.Polisi: N 3224 QV, Warna Putih, atas nama Musdlalifah d. Buku dan ATM BNO no Rek 0322730497</t>
  </si>
  <si>
    <t>Sertipikat Hak Milik No 2815, seluas 227 meter persegi sebagaimana yang diuraikan dalam Surat Ukur No 641/Wringin Anom/2014, tertanggal 11-07 2014, Kabupaten Situbondo, Kecamatan Panarukan, Desa Wringin Anom, Yang Tercantum atas nama Aprillia Ima Astuti, dengan penunjuk Pemisahan dari Letter C no 788/141/ D.II Luas 2880M2 Atas Nama Beng Tumina.</t>
  </si>
  <si>
    <t>P01.5899</t>
  </si>
  <si>
    <t>11971/P01.5899/P01/08/2025</t>
  </si>
  <si>
    <t>a. 1 (satu) unit kendaraan roda dua, merk HONDA type NF11B1D M/T SPM SOLO, tahun 2009, dengan no. BPKB G-0765740, No rangka MH1JBC21X9K240349, No mesin JBC2E1239404, No.Polisi N 2155 ME, Warna Hitam atas nama Istiyaningsih. b. 1 (satu) unit kendaraan roda dua, merk HONDA type H1B02N41L1 A/T SPM SOLO, tahun 2024, dengan no. BPKB V-05650238, No rangka MH1JME111RK299278, No mesin JME1E1297280, No.Polisi N 5646 OY, Warna Merah Hitam atas nama Istiyaningsih.</t>
  </si>
  <si>
    <t>a. Sebidang tanah pekarangan. Dengan Sertipikat Hak Milik No 01034, seluas 135 meter persegi sebagaimana yang diuraikan dalam Surat Ukur No 00747/wonorejo/2021, tertanggal 09/11/2021, yang terletak di Wilayah Propinsi Jawa Timur, Kabupaten Probolinggo, Kecamatan Maron, Desa Wonorejo. Penunjuk DI 301 No 00747/wonorejo/2021 tanggal 09/11/2021. Pengumuman data fisik dan data yuridis tanggal 09/10/2021 Nomor 5588/2021. Tercantum atas nama Rudy Irwantoro. Berikut segala sesuatu yang berdiri, tumbuh dan tertanam di atasnya, yang karena sifatnya, maksudnya atau menurut hukum dianggap sebagai harta tetap, terutama sebuah bangunan rumah yang berdiri diatasnya, Yang akan diikat secara SKMHT.</t>
  </si>
  <si>
    <t>P03.3566</t>
  </si>
  <si>
    <t>12097/P03.3566/P03/09/2025</t>
  </si>
  <si>
    <t>1 UNIT SEPEDA MOTOR DAN SIMPANAN SAHAM</t>
  </si>
  <si>
    <t>a. 1 (satu) unit kendaraan roda dua, merk Yamaha type 31BJUPITER Z.GW SPM SOLO, tahun 2010 dengan No. BPKB H-03551544 , No rangka MH331B002AJ351666, No. mesin 31B351747, No.Polisi: N 4812 ML, Warna Hitam atas nama Supriyaningsih. b. Simpanan Saham atas nama Andre Priyo Purwanto NBA 14053.002.1007.225 sebesar Rp 3.425.000</t>
  </si>
  <si>
    <t>SERTIFIKAT</t>
  </si>
  <si>
    <t>a. Sebidang tanah pekarangan dengan bukti Sertipikat Hak Milik No 668, seluas 141 meter persegi sebagaimana yang diuraikan dalam Surat Ukur No 196/Sukokerto/2006, tertanggal 26-04-2006, yang terletak di Wilayah Propinsi Jawa Timur, Kabupaten Probolinggo, Kecamatan Pajarakan, Desa Sukokerto, Yang Tercantum atas nama Khomsu Sholawatin, yang diperoleh haknya melalui  Penunjuk Tanah Negara, Pengumuman data fisik dan data yuridis, tanggal 21-03-2006, Nomor 09/11-03/10 surat keputusan kepala kantor pertanahan kabupaten probolinggo, tanggal 24-04-2006. Nomor : 03-250.1.35.31-2006 Nomor Urut : 11 dipergunakan untuk perumahan, tanda  tanda batas patok beton sesuai dengan PMNA/KBPN No 3/1997, sebuah bangunan rumah yang berdiri diatasnya. Yang akan diikat secara APHT.</t>
  </si>
  <si>
    <t>BPKB KENDARAN R4</t>
  </si>
  <si>
    <t>b. 1 (satu) unit kendaraan roda dua, merk Honda type NC11BF1D A/T, tahun 2013, dengan no. BPKB K 10416189. No rangka MH1JFD221DK565094 No. mesin JFD212561228, No.Polisi: N 5040 ME, Warna Putih, atas nama Tri Wahyuni c. 1 (satu) unit kendaraan roda empat, merk Honda civic type SG 4 GM, tahun 1988, dengan no. BPKB 8116316. No rangka SH4 54883849 No. mesin N 8404209, No.Polisi: P 1031 QB, Warna Abu-abu metalik , atas nama Wahyudi Riono, Drs d. 1 (satu) unit kendaraan roda dua, merk Honda type CB 15A1RRF MT, tahun 2014, dengan no. BPKB L 00746092. No rangka MH1KCA115EK 239743 No. mesin K 041E1237572 No.Polisi: L 6161 SV, Warna Merah, atas nama Wahyu Kristiyanto</t>
  </si>
  <si>
    <t>BPKB (4UNIT)</t>
  </si>
  <si>
    <t>a. 1 (satu) unit kendaraan roda dua, merk Honda type NC12A1CBF AT, tahun 2012, dengan no. BPKB I-11510322. No rangka MH1JFC115CK055655 No. mesin JFC1E1055681, No.Polisi: N 6361 QS, Warna Putih, atas nama Suhartono (Surat Keterangan Kepemilikan Kendaraan dari Desa terlampir) b. 1 (satu) unit kendaraan roda dua, merk Honda type X1Bo2NO4LO, tahun 2007 , dengan no. BPKB M 04601329 No rangka MH10F1127K072038 No. mesin JF11E 10700076 No.Polisi: N 5138 AZ, Warna Hitam Pink , atas nama djumadi c. 1 (satu) unit kendaraan roda dua, merk Honda type Y3B02R17LO M/T tahun 2015, dengan no. BPKB M 09984178 No rangka MH1KB1113FK033501 No. mesin KB11E1034295 No.Polisi: N 6346 PG, Warna Hitam , atas nama Ika Husaimah d. 1 (satu) unit kendaraan roda dua, merk Honda type .NC11A3C A/T tahun 2011dengan no. BPKB I 01215240 No Mesin JF91E1352810 No. Rangka MH1JF9113BK358791No.Polisi: 3367 QO, Warna Hitam , atas nama Baihaqi</t>
  </si>
  <si>
    <t>BPKB KENDARAAN BERMOTOR R2</t>
  </si>
  <si>
    <t>a. 1 (satu) unit kendaraan roda dua, merk HONDA type E1F02N11M2, tahun 2016, dengan no. BPKB M 04859110 No rangka MH1JFU11XGK490196 No. mesin JFU1E1494480 No.Polisi N 2699 PC Warna HITAM atas nama Akmoni. b. 1 (satu) unit kendaraan roda dua, merk Honda type NF 100 TD, tahun 2007, dengan no. BPKB I 7571879 No rangka MH1HB62137K131910 No. mesin HB62E1131096, No.Polisi: N 5651 PY, Warna MERAH, atas nama ERMANTO</t>
  </si>
  <si>
    <t>P01.5849</t>
  </si>
  <si>
    <t>11865/P01.5849/P01/07/2025</t>
  </si>
  <si>
    <t>SIMPNAN SAHAM</t>
  </si>
  <si>
    <t>a. Simpanan Saham a.n Hafidurahman NBA 14053.002.1008.303 sebesar Rp 3.090.000,00 b. Simpanan Saham a.n Asih Bararatul Malufah 14053.002.1008.302 sebesar Rp 3.090.000,00 c. Simpanan SBHC.1172 a.n Asih Bararatul Malufah 14053.002.1008.302 sebesar Rp 10.000.000,00 d. Simpanan SPJB.431 a.n Asih Bararatul Malufah 14053.002.1008.302 sebesar Rp 10.000.000,00</t>
  </si>
  <si>
    <t>P05.169</t>
  </si>
  <si>
    <t>11788/P05.169/P05/07/2025</t>
  </si>
  <si>
    <t>a. 1 (satu) unit kendaraan roda dua, merk HONDA type F1C02N46L2A A/T, tahun 2025 dengan No. BPKB ... No rangka MH1JMH118SK202391, No. mesin JMH1E1200768, No.Polisi: ... Warna Blue, atas nama Zeni Yati.</t>
  </si>
  <si>
    <t>a. Simpanan Saham Anggota atas nama Dian Palupi NBA 14053.002.1008.733 Sebesar Rp 3.135.000,00 b. Simpanan Harian Anggota atas nama Dian Palupi NBA 14053.002.1008.733 Sebesar Rp 5.000.000,00 c. Simpanan Saham Anggota atas nama Antonia Gracia H NBA 14053.002.1000.840 Sebesar Rp 5.964.000,00 d. Simpanan Harian Anggota atas nama Antonia Gracia H NBA 14053.002.1000.840 Sebesar Rp 1.100.000,00 e. Simpanan Saham Anggota atas nama Dewi Aisyah NBA 14053.002.1000.696 Sebesar Rp 5.205.000,00</t>
  </si>
  <si>
    <t>a. 1 (satu) unit kendaraan roda dua, merk Honda type.F1CO2N28LO A/T SPM SOLO, tahun 2019, dengan no. BPKB O-05811629, No rangka MH1JM3139KK063120, No. mesin JM31E3058528, No.Polisi N 6922 NF, Warna Coklat Hitam , atas nama Sunanto</t>
  </si>
  <si>
    <t>Guna menjamin pinjaman, Pihak II menyerahkan jaminan / agunan berupa: a. 1 (satu) unit kendaraan roda empat, merk Chevrolet type/model LUV KBD26/Mobil Barang, tahun 1982 dengan no. BPKB S 03955570, No rangka KBD265656767 No. mesin 631417 No.Polisi: N 8186 NM, Warna Merah Bata atas nama Ririd Giartono. Adapun jaminan terkait dengan pinjaman tersebut dengan 1 obyek jaminan tambahan sementara berupa : b. Sebidang tanah diatasnya berdiri sebuah bangunan rumah batu dengan bukti Sertifikat Hak Milik No 00692, seluas 530 meter persegi sebagaimana yang diuraikan dalam surat ukur nomor 00593/Kandang Jati Wetan/2023, tertanggal 28-09-2023 yang terletak di Wilayah Provinsi Jawa Timur, Kabupaten Probolinggo, Kecamatan Kraksaan, Desa Kandang Jati Wetan, Yang Tercantum atas nama Asria. Berikut segala sesuatu yang berdiri, tumbuh dan tertanam di atasnya, yang karena sifatnya, maksudnya atau menurut hukum dianggap sebagai harta tetap, terutama sebuah bangunan rumah yang berdiri diatasnya.</t>
  </si>
  <si>
    <t>BPKB KENDARAN RODA 2</t>
  </si>
  <si>
    <t>1. 1 (satu) unit kendaraan roda dua, merk Suzuki type UY125 A A/T, tahun 2011 dengan no. BPKB H 10683589 No rangka MH8CF45CABJ474340 No. mesin F4841D474569 No.Polisi: N 5077 QN, Warna Biru Hitam atas nama Suhariyanto 2. 1 (satu) unit kendaraan roda dua, merk Honda type NC12A1CF A/T, tahun 2013 dengan no. BPKB K 11198907 No rangka MH1JFB126DK137222 No. mesin JFB1E2090827 No.Polisi: N 6290 ME, Warna PUTIH SILVER atas nama Anik Erawati</t>
  </si>
  <si>
    <t>e. 1 (satu) unit kendaraan roda dua, merk Honda type NC 11A3CB A/T tahun 2011, dengan no. BPKB I 02780807 No rangka MH1JF7116BK135844 No. mesin JF71E1135225 No.Polisi N 6141 QO Warna Violet Silver atas nama Suritno. f. 1 (satu) unit kendaraan roda dua, merk Honda type E1F02N11M2 A/T tahun 2016, dengan no. BPKB M-04933946 No rangka MH1JFU115GK503517 No. mesin JFU1E1507149 No.Polisi N 2568 PD Warna White Blue atas nama Suritno.</t>
  </si>
  <si>
    <t>P02.1826</t>
  </si>
  <si>
    <t>11960/P02.1826/P02/08/2025</t>
  </si>
  <si>
    <t> 1 (satu) unit kendaraan roda empat, merk ISUZU type/model TBR54 PRLC STD, tahun 1996, dengan No. BPKB O-02394213, No rangka MHCTBR54BTC018746, No. mesin E018746, No.Polisi: N 1204 NB, Warna Biru Metalik, atas nama SUFADLI.</t>
  </si>
  <si>
    <t>P01.5996</t>
  </si>
  <si>
    <t>12141/P01.5996/P01/09/2025</t>
  </si>
  <si>
    <t>P03.3549</t>
  </si>
  <si>
    <t>12053/P03.3549/P03/08/2025</t>
  </si>
  <si>
    <t> 1 (satu) unit kendaraan roda dua, merk Honda type C1MO2N42Lo A/T, tahun 2019, dengan no. BPKB O -06759416. No rangka MH1JM7112KK065863, No.mesin JM71E1066001, No.Polisi: N 4762 MG, Warna Hitam, atas nama Rismawati Ningsih.</t>
  </si>
  <si>
    <t>a. Simpanan Saham a.n Denok Hariyati NBA 14053.002.1009.817 sebesar Rp 2.675.000,00 b. Simpanan Saham a.n Sukirno Budi S NBA 14053.002.1004.929 sebesar Rp 11.880.000,00</t>
  </si>
  <si>
    <t>a. 1 (satu) unit kendaraan roda dua, merk Honda type X1B02N04L0 A/T, tahun 2015, dengan no. BPKB O-08375012, No rangka MH1JFP218FK049262, No. mesin JFP2E1048913, No.Polisi: N 4408 MI Warna Merah atas nama Iga Nuriliana Juliyanti. b. 1 (satu) unit kendaraan roda dua, merk Honda type X1H02N35M1 A/T, tahun 2019, dengan no. BPKB O-06763202, No rangka MH1KF4110KK693434, No. mesin KF41E1696097, No.Polisi: N 2622 MI, Warna Hitam atas nama Husnul Hotimah.</t>
  </si>
  <si>
    <t>P01.5946</t>
  </si>
  <si>
    <t>12079/P01.5946/P01/08/2025</t>
  </si>
  <si>
    <t>KEBUTUHAN KELUARGA DAN BIAYA PENDIDIKAN ANAK</t>
  </si>
  <si>
    <t>a. 1 (satu) unit kendaraan roda dua, merk Honda type NC11A2CB A/T , tahun 2009, dengan No. BPKB G 1158586 J, No rangka MH1JF31199K051732, No. Mesin JF31E0051688, No.Polisi: N 6120 QH, Warna Violet Silver atas nama Agung Hari Utomo.</t>
  </si>
  <si>
    <t>a. 1 (satu) unit kendaraan roda empat, merk Honda type ACCORD SV4GM, tahun 1994, dengan No. BPKB L-03143137. No rangka MHRSV4MPFRR000699, No.mesin F22R500819, No.Polisi: N 0715 GD, Warna Putih, atas nama Irfan Efendi.</t>
  </si>
  <si>
    <t>a. 1 (satu) unit kendaraan roda dua, merk HONDA type ACB2J2B02 A/T SPM SOLO, tahun 2014, dengan No. BPKB V- 03583822, No rangka MH1JFJ111EK334947, No mesin JFJ1E1331957, No.Polisi N 5150 VAK, Warna White Blue atas nama Agus Mariyanto.</t>
  </si>
  <si>
    <t>P01.5900</t>
  </si>
  <si>
    <t>11993/P01.5900/P01/08/2025</t>
  </si>
  <si>
    <t>a. Sertipikat Hak Milik NIB. 12.31.000009176.0 Hak milik ini terdaftar atas nama pemegang hak yang tertera pada bagian PEMEGANG HAK, atas sebidang tanah yang letaknya diuraikan pada bagian BIDANG TANAH, serta batasan dan kewajiban, pembebanan dan pencatatan lainnya yang tertera pada tanda bukti hak ini. Bidang tanah ini terletak di Kelurahan Semampir, Kecamatan Kraksaan, Kabupaten Probolinggo, Provinsi Jawa Timur seluas 142 meter persegi. PEMEGANG HAK 1) WIDI PRIHATINI  PROBOLINGGO, 22 Januari 1975  1 bagian. CATATAN PENDAFTARAN 1) Pengakuan hak berdasarkan berita acara pengesahan data fisik dan data yuridis nomor 4402/2024 tanggal 21 Juli 2024. Yang akan diikat secara SKMHT.</t>
  </si>
  <si>
    <t> 1 (satu) unit kendaraan roda dua, merk HONDA, type/Model F1C02N28LO A/T/ SPM. SOLO, tahun 2019 dengan No. BPKB O-06759200, No rangka MH1JM3134KK125586, No. mesin JM31E3177828 No.Polisi: N 4002 MG, Warna Coklat Hitam, atas nama Evi Lestari.</t>
  </si>
  <si>
    <t>2 UNIT KENDARAAN RODA DUA</t>
  </si>
  <si>
    <t>a. 1 (satu) unit kendaraan roda dua, merk Honda type NF125 SD , tahun 2007 dengan no. BPKB N 01195880 No rangka MH1JB52197K358773 No. mesin JB52E1357773 No.Polisi: N 5284 PJ, Warna Hitam Merah atas nama Halimatus Sadiyah b. 1 (satu) unit kendaraan roda dua, merk Yamaha type .B65, tahun 2018 dengan no. BPKB O-03465188 No rangka MH3SB4610JJ189919 No. mesin G3J1E- 0325554 No.Polisi: N 3608 NH Warna Merah atas nama Yogi Hermawan</t>
  </si>
  <si>
    <t>a. 1 (satu) unit kendaraan roda dua, merk HONDA type ACH1M121B04 A/T, tahun 2014, dengan no. BPKB L 03887109 No rangka MH1JFM216EK165122. mesin JFM2E1158846 No.Polisi N 2677 QW Warna Hitam atas nama Sholeh.</t>
  </si>
  <si>
    <t>a. 1 (satu) unit kendaraan roda dua, merk HONDA type X1H02N32L1 AT, tahun 2022, dengan no. BPKB T-01716914, No rangka MH1KF011XNK230973, No. mesin KF01E1234029, No.Polisi N 2823 OH, Warna Hitam atas nama Aulia Maghfirotul Laili.</t>
  </si>
  <si>
    <t>1 UNIT SEPEDA MOTOR DAN SIMPANAN</t>
  </si>
  <si>
    <t> 1 (satu) unit kendaraan roda dua, merk HONDA, type/Model NC11BF1D A/T/ SPD.MTR SOLO, tahun 2013 dengan No. BPKB K-07461430, No rangka MH1JFD213DK884083, No. mesin JFD2E1885885 No.Polisi: N 3967 OW, Warna Putih, atas nama Kiswatun Jamilah.  Simpanan saham a.n Khosnul Khotimah NBA 14053.002.1016.992 Sebesar Rp 1.810.000,00</t>
  </si>
  <si>
    <t>P02.1827</t>
  </si>
  <si>
    <t>11966/P02.1827/P02/08/2025</t>
  </si>
  <si>
    <t>a) 1 (satu) unit kendaraan roda dua, merk Honda type ACB2J21B02 A/T, tahun 2015, dengan no. BPKB L- 09126895 No rangka MH1JFJ116FK459721 No. mesin JFJ1E1457274 No.Polisi: N 6375 QZ, Warna White Silver atas nama Sulaiman.</t>
  </si>
  <si>
    <t>a. 1 (satu) unit kendaraan roda dua, merk Honda type X1B02N04L0 A/T , tahun 2016, dengan no. BPKB M 04800790. No rangka MH1JFP129GK435698 No. mesin JFP1E2413516, No.Polisi: P 4259 KD, Warna Putih Merah , atas nama Matheus Sukarman</t>
  </si>
  <si>
    <t>P01.5969</t>
  </si>
  <si>
    <t>12148/P01.5969/P01/09/2025</t>
  </si>
  <si>
    <t>c. 1 (satu) unit kendaraan roda dua, merk Honda type NF 100 D tahun 2002, dengan no. BPKB I-08127501 No rangka MH1KEV6192K018109 No. mesin KEV6E1019048, No. Polisi: N 3380 AY, Warna Hitam Merah atas nama Harsanto. d. 1 (satu) unit kendaraan roda dua, merk Yamaha, Type 2DP R A/T, tahun 2019, dengan no. BPKB O-04657367, No rangka MH3SG3190KJ695474, No. mesin G3E41610516, No.Polisi: N 6918 PRI, Warna HITAM atas nama DAVID TRILISTYO WINARKO.</t>
  </si>
  <si>
    <t>a. 1 (satu) unit kendaraan roda dua, merk Honda type/model NC11A 3CB AT SPM/Solo, tahun 2010 dengan no. BPKB H-07141489, No rangka MH1JF7111AK045144 No. mesin JF71E1045169 No.Polisi : N 4049 QZ, Warna Hitam Merah atas nama Agus Wijaya.</t>
  </si>
  <si>
    <t>a. 1 (satu) unit kendaraan roda dua, merk HONDA, type/model H1B02N42LO A/T SPM SOLO, tahun 2021 dengan No. BPKB Q-05210605, No rangka MH1JM9115MK640469, No. mesin JM91E1636174, No.Polisi : N 6618 MT, warna Silver atas nama Lilik Junaisah. b. 1 (satu) unit kendaraan roda dua, merk YAMAHA, type/model NMAX NEO S A/T SPM SOLO, tahun 2025 dengan No. BPKB .., No rangka MH3SG9310SK084391, No. mesin G3V5E-0196802, No.Polisi : , warna Hitam atas nama Asmani Waningsih.</t>
  </si>
  <si>
    <t>a. 1 (satu) unit kendaraan roda dua, merk Honda type Y1G02N02LO A/T, tahun 2016, dengan no. BPKB N-04177001. No rangka MH1JFS213GK078589, No. mesin JFS2E1079986, No.Polisi: N 3626 SU, Warna Putih Merah, atas nama Mustain Abdullah.</t>
  </si>
  <si>
    <t>a. Sebidang tanah pekarangan Hak Milik Nomor : 00694/Bucor Wetan, seluas 249 M² (dua ratus empat puluh sembilan meter persegi). Sebagaimana diuraikan dalam surat ukur tertanggal lima belas desember dua ribu delapan belas( 15-12-2018 ), Nomor : 00095/Bucor Wetan/2018, terletak diwilayah Propinsi Jawa Timur, Kabupaten Probolinggo, Kecamatan Pakuniran, Desa Bucor Wetan yang dibukukan dan diterbitkan sertifikatnya oleh yang berwenang pada enam belas desember dua ribu delapan belas( 16-12-2018 ), tercantum atas nama Sayuki.</t>
  </si>
  <si>
    <t>sebidang tanah pekarangan,ATM dan Simpanan Saham</t>
  </si>
  <si>
    <t>a. Sebidang tanah pekarangan Hak Milik Nomor : 224/Jabungsisir, seluas 1.720 M² (Seribu tujuh ratus dua puluh meter persegi). Sebagaimana diuraikan dalam surat ukur tertanggal Empat belas april dua ribu sembilan( 14-04-2009 ), Nomor : 05/Jabungsisir/2009, terletak diwilayah Propinsi Jawa Timur, Kabupaten Probolinggo, Kecamatan Paiton, Desa Jabungsisir yang dibukukan dan diterbitkan sertifikatnya oleh yang berwenang pada Dua Puluh Tiga Juli Dua ribu Sembilan( 23-07-2009 ), tercantum atas nama Rachmat Udiyanto. Berikut segala sesuatu yang berdiri, tumbuh dan tertanam diatasnya, yang karena sifatnya, maksudnya atau menurut hukum dianggap sebagai harta tetap, terutama sebuah bangunan rumah yang berdiri diatasnya. Yang akan diikat secara APHT. b. Simpanan Saham atas nama Rachmat Udiyanto NBA 14053.002.1017.982 sebesar Rp 3.510.000,00 c. ATM Bank Jatim dengan</t>
  </si>
  <si>
    <t>a. 1 (satu) unit kendaraan roda dua, merk Honda type NF11B1D M/T , tahun 2009, dengan no. BPKB L- 05393167. No rangka MH1JBC1119K488975 No. mesin JBC1E1492701, No.Polisi: N 2418 PA, Warna Hitam, atas nama Sudarsono.</t>
  </si>
  <si>
    <t>a. Sebidang tanah pertanian dengan bukti Sertipikat Hak Milik No 01432, seluas 1237 meter persegi sebagaimana yang diuraikan dalam Surat Ukur No. 01019/WANGKAL/2019, tertanggal 21-03-2019, yang terletak di Wilayah Propinsi Jawa Timur, Kabupaten Probolinggo, Kecamatan Gading, Desa. Wangkal, Yang Tercantum atas nama Shofiyatul Maulidah. Berikut segala sesuatu yang berdiri, tumbuh dan tertanam di atasnya, yang karena sifatnya, maksudnya atau menurut hukum dianggap sebagai harta tetap, terutama sebuah bangunan rumah yang berdiri diatasnya. Yang akan diikat secara SKMHT.</t>
  </si>
  <si>
    <t>a. 1 (Satu) unit kendaraan roda dua, merk Yamaha, type 256 SPM SOLO, tahun 2008, dengan No BPKB F-0361403, No rangka MH32560028K394045, No. mesin 256-394115, No.Polisi: N 6360 OX, Warna Merah Maron, atas nama Subawi. b. 1 (Satu) unit kendaraan roda dua, merk Yamaha, type SE 88, tahun 2015, dengan No BPKB L-11754499, No rangka MH3SE8810FJ059001, No. mesin E3R2E0061106, No.Polisi: N 5250 MH, Warna Hitam, atas nama Triana Agustini.</t>
  </si>
  <si>
    <t>P01.5889</t>
  </si>
  <si>
    <t>11954/P01.5889/P01/08/2025</t>
  </si>
  <si>
    <t>a. 1 (satu) unit kendaraan roda dua, merk Honda type X1B02NO4LO A/T , tahun 2016, dengan no. BPKB M-05664698. No rangka MH1JF12XGK315974 No. mesin JFP1E2326004, No.Polisi:N 2831 PD, Warna Putih Biru , atas nama Desi Wahyuni.</t>
  </si>
  <si>
    <t>a. Sebidang tanah pertanian Dengan Sertipikat Hak Milik No 00845 seluas 158 meter persegi sebagaimana yang diuraikan dalam Surat Ukur No 00512/Kaliacar/2019, tertanggal 03/09/2019, yang terletak di Wilayah Propinsi Jawa Timur, Kabupaten Probolinggo, Kecamatan Gading, Desa Kaliacar. NIB 12310918.00904. Tercantum atas nama Abd Rahim. Berikut segala sesuatu yang berdiri, tumbuh dan tertanam di atasnya, yang karena sifatnya, maksudnya atau menurut hukum dianggap sebagai harta tetap, terutama sebuah bangunan rumah yang berdiri diatasnya</t>
  </si>
  <si>
    <t>SEPEDA MOTOR</t>
  </si>
  <si>
    <t>a. 1 (satu) unit kendaraan roda dua, merk HONDA, type/Model D1BO2N26L2 A/T/ SPM. SOLO, tahun 2018 dengan No. BPKB N-08176343, No rangka MH1JFZ123JK625239, No. mesin JFZ1E2628661 No.Polisi: N 3509 QE, Warna HITAM, atas nama KHUSAIRI.</t>
  </si>
  <si>
    <t>a. 1 (satu) unit kendaraan roda dua, merk Honda type F1C02N46L0 A/T SPM SOLO, tahun 2022, dengan No. BPKB S-06458676. No rangka MH1JM0213NK871365, No.mesin JM02E1870831, No.Polisi: N 4273 QS, Warna Putih, atas nama Tri Husnil Hutami.</t>
  </si>
  <si>
    <t>a. 1 (satu) unit kendaraan roda dua, merk Honda type F1C02N46LO A/T tahun 2021, dengan no. BPKB R-00381497 No rangka MH1JN0213NK453497 No. mesin JM02E1456637, No. Polisi: N 5774 MW, Warna COKLAT atas nama MOH.NEWI. b. 1 (satu) unit kendaraan roda dua, merk Honda type NC11BF1D AT tahun 2013, dengan no. BPKB U-00613368 No rangka MH1JFD220DK492977 No. mesin JFD2E2490032, No. Polisi: N 4985 NA, Warna BIRU PUTIH atas nama MOH.NEWI.</t>
  </si>
  <si>
    <t>a. Sebidang tanah diatasnya berdiri sebuah bangunan rumah batu dengan bukti Sertifikat Hak Milik No 228, seluas 180 meter persegi sebagaimana yang diuraikan dalam surat ukur nomor 95/Alaskandang/2016, tertanggal 29-04-2016 yang terletak di Wilayah Provinsi Jawa Timur, Kabupaten Probolinggo, Kecamatan Besuk, Desa Alaskandang, Yang Tercantum atas nama Winarsih. Berikut segala sesuatu yang berdiri, tumbuh dan tertanam di atasnya, yang karena sifatnya, maksudnya atau menurut hukum dianggap sebagai harta tetap, terutama sebuah bangunan rumah yang berdiri diatasnya. Yang akan di Warmeking.</t>
  </si>
  <si>
    <t>a. 1 (satu) unit kendaraan roda empat, merk Honda type SIVIC SH4 GM, tahun 1991, dengan No. BPKB U-05445240, No rangka SH454910733, No. mesin NB400853, No.Polisi: N 1407 MS, Warna Abu-Abu Metalik , atas nama BUSTOMI JAZULI.</t>
  </si>
  <si>
    <t>SERTIFIKAT HAK TANGGUNGAN</t>
  </si>
  <si>
    <t>a. Sebidang tanah pekarangan. Dengan Sertipikat Hak Milik No 01121, seluas 155 meter persegi sebagaimana yang diuraikan dalam Gambar Situasi No 0089 / 2019, tertanggal 12-09-2019, yang terletak di Wilayah Propinsi Jawa Timur, Kabupaten Probolinggo,Kecamatan. Gading, Desa. Kaliacar. Penunjuk D.i.301 No 21238/2019. Tercantum atas nama Musrifa. Berikut segala sesuatu yang berdiri, tumbuh dant ertanam di atasnya, yang karena sifatnya, maksudnya atau menurut hukum di anggap sebagai harta tetap, terutama sebuah bangunan rumah yang berdiri di atasnya.</t>
  </si>
  <si>
    <t>1 UNIT MOBIL DAN SIMPANAN SIJATRA</t>
  </si>
  <si>
    <t>a. 1 (satu) unit kendaraan roda empat, merk SUZUKI type TM2FL(4X2) M/T MB PENUMPANG, Tahun 2017, dengan No. BPKB N-03488555, No Rangka MA3NFG81SH0125651, No. Mesin K12MN4279488, No.Polisi : N 1376 QJ, Warna Abu-Abu Metalik, atas nama Anang Hariadi. b. Simpanan SIJATRA atas nama Zainullah NBA 14053.002.1018.886 sejumlah Rp 23.000.000,00</t>
  </si>
  <si>
    <t>a. 1 (satu) unit kendaraan roda empat, merk Isuzu type/model TBR52 BFSR MB Penumpang, tahun 1996 dengan No. BPKB U-04594929, No rangka MHCTBR52BTC114135 No. mesin A114135 No.Polisi : S 1174 AQ, Warna Biru Metalik atas nama Wiyanto</t>
  </si>
  <si>
    <t>P01.5897</t>
  </si>
  <si>
    <t>11938/P01.5897/P01/08/2025</t>
  </si>
  <si>
    <t>a. Sebidang tanah pekarangan Hak Milik Nomor : 00921/Selobanteng, seluas 7.173 M² (tujuh ribu seratus tujuh puluh tiga meter persegi). Sebagaimana diuraikan dalam surat ukur tertanggal tiga belas Oktober dua ribu dua puluh satu( 13-10-2021 ), Nomor : 01011/ Selobanteng /2021, terletak diwilayah Propinsi Jawa Timur, Kabupaten Situbondo, Kecamatan Banyuglugur, Desa Selobanteng yang dibukukan dan diterbitkan sertifikatnya oleh yang berwenang pada enam belas desember dua ribu delapan belas( 15-10-2021 ), tercantum atas nama Ahmad Zaini. Berikut segala sesuatu yang berdiri, tumbuh dan tertanam diatasnya, yang karena sifatnya, maksudnya atau menurut hukum dianggap sebagai harta tetap, terutama sebuah bangunan rumah yang berdiri diatasnya.</t>
  </si>
  <si>
    <t>a. Sebidang tanah diatasnya berdiri sebuah bangunan rumah batu dengan bukti Sertifikat Hak Milik No 01711, seluas 110 meter persegi sebagaimana yang diuraikan dalam surat ukur nomor 01033/Kraksaan Wetan/2023, tertanggal 11/09/2023 yang terletak di Wilayah Provinsi Jawa Timur, Kabupaten Probolinggo, Kecamatan Kraksaan, Desa Kraksaan Wetan, Yang Tercantum atas nama Herianto. Berikut segala sesuatu yang berdiri, tumbuh dan tertanam di atasnya, yang karena sifatnya, maksudnya atau menurut hukum dianggap sebagai harta tetap, terutama sebuah bangunan rumah yang berdiri diatasnya.</t>
  </si>
  <si>
    <t>sebidang tanah pekarangan</t>
  </si>
  <si>
    <t>a. Sebidang tanah pekarangan Hak Milik Nomor : 686/Sidomukti, seluas 422 M² (empat ratus dua puluh dua). Sebagaimana diuraikan dalam surat ukur tertanggal dua belas maret dua ribu lima belas (12-03-2015), Nomor : 115/Sidomukti/2015, terletak diwilayah Propinsi Jawa Timur, Kabupaten Probolinggo, Kecamatan Kraksaan, Desa Sidomukti yang dibukukan dan diterbitkan sertifikatnya oleh yang berwenang pada dua belas juni dua ribu lima belas (12 Juni 2015), tercantum atas nama Rusmina. Berikut segala sesuatu yang berdiri, tumbuh dan tertanam diatasnya, yang karena sifatnya, maksudnya atau menurut hukum dianggap sebagai harta tetap, terutama sebuah bangunan rumah yang berdiri diatasnya.</t>
  </si>
  <si>
    <t>1 UNIT SEPEDA MOTOR DAN SERTIFIKAT RUMAH</t>
  </si>
  <si>
    <t>a. Sebidang tanah pekarangan. Dengan Sertipikat Hak Milik No 00109, seluas 206 meter persegi sebagaimana yang diuraikan dalam Surat Ukur No 00078/Alastengah/2019, tertanggal 27-09-2019, yang terletak di Wilayah Propinsi Jawa Timur, Kabupaten Probolinggo, Kecamatan Besuk, Desa Alastengah. NIB 12.31.13.14.00633. Tercantum atas nama Maimuna. Berikut segala sesuatu yang berdiri, tumbuh dan tertanam di atasnya, yang karena sifatnya, maksudnya atau menurut hukum dianggap sebagai harta tetap, terutama sebuah bangunan rumah yang berdiri diatasnya. b. 1 (satu) unit kendaraan roda dua, merk Honda type NC11B3C A/T, tahun 2011 dengan no. BPKB S-03847503. No rangka MH1JF5111BK856853, No. mesin JF51E1852723, No.Polisi: N 5609 OB, Warna Merah atas nama Ahmad Ghazeli</t>
  </si>
  <si>
    <t>P01.5893</t>
  </si>
  <si>
    <t>11936/P01.5893/P01/08/2025</t>
  </si>
  <si>
    <t>b. 1 (satu) unit kendaraan roda dua, merk Honda type/model P5E02R22M1 M/T SPM SOLO, tahun 2016 dengan No. BPKB R-00380921, No rangka MH1KC9119GK001166, No. mesin KC91E1001166, No.Polisi : N 4618 MW, Warna Orange Putih, atas nama Zainal Arifin.</t>
  </si>
  <si>
    <t>P01.5919</t>
  </si>
  <si>
    <t>11931/P01.5919/P01/08/2025</t>
  </si>
  <si>
    <t>a. 1 (satu) unit kendaraan roda empat, merk Toyota , type/model Avanza 1300 G/Minibus, tahun 2009, dengan No. BPKB Q-06854061, No rangka MHFM1BA3J9K164770, No. mesin DE29087, No.Polisi: N 1088 MT, Warna Hitam Metalik, atas nama Saniman.</t>
  </si>
  <si>
    <t>a. 1 (satu) unit kendaraan roda empat, merk Isuzu, type TBR52B FWR DLX/ MB PENUMPANG, tahun 1995, dengan No BPKB P-02702399, No rangka MHCTBR52BSC093391, No. mesin A093391, No.Polisi: N 1690 MC, Warna Hijau Metalik , atas nama Syaiful Anshori.a. 1 (satu) unit kendaraan roda empat, merk Isuzu, type TBR52B FWR DLX/ MB PENUMPANG, tahun 1995, dengan No BPKB P-02702399, No rangka MHCTBR52BSC093391, No. mesin A093391, No.Polisi: N 1690 MC, Warna Hijau Metalik , atas nama Syaiful Anshori.</t>
  </si>
  <si>
    <t>c. 1 (satu) unit kendaraan roda dua, merk Yamaha type B3F-I A/T, Tahun 2018, dengan No. BPKB O-00923180, No rangka MH3SEF310JJ079313, No. mesin E31VE0104516, No.Polisi: N 5875 SY, Warna Merah, atas nama Mochamad Erfanes Arifin.</t>
  </si>
  <si>
    <t>b. 1 (satu) unit kendaraan roda dua, merk Honda type NF11B1D M/T, tahun 2010 dengan no. BPKB G-2538107 , No rangka MH1JBC210AK326158, No. mesin JBC2E1316218, No.Polisi: N 5154 QJ, Warna Hitam atas nama Wakidin. c. 1 (satu) unit kendaraan roda dua, merk Honda type NC11BF1D A/T, tahun 2014 dengan no. BPKB L-01616036, No rangka MH1JFD239EK197919, No. mesin JFD2E3184175, No.Polisi: N 5099 NW, Warna Biru Putih atas nama Riza Ayu Riswandini</t>
  </si>
  <si>
    <t>a. 1 (satu) unit kendaraan roda dua, merk Honda type H1B02N41LO A/T tahun 2022, dengan no. BPKB S-00933932 No rangka MH1JN8214NK442816 No. mesin JN82E1440902, No. Polisi: N 3738 NZ, Warna Silver atas nama Ilham Maulana.</t>
  </si>
  <si>
    <t>P03.3530</t>
  </si>
  <si>
    <t>11973/P03.3530/P03/08/2025</t>
  </si>
  <si>
    <t>a. 1 (satu) unit kendaraan roda dua, merk HONDA type NC11D1CF A/T SPM SOLO, tahun 2013, dengan No. BPKB S-05437959, No rangka MH1JFA119DK173195, No mesin JFA1E1169250, No.Polisi N 4060 OD, Warna Hitam atas nama S Daniyatul Mukarromah.</t>
  </si>
  <si>
    <t>a. (satu) 1 unit kendaraan roda dua, merk Yamaha type All New NMAXS, tahun 2024 dengan No.BPKB .. No rangka MH3S65670RJ44056, No. mesin G3L8E-2017311 No.Polisi: . Warna Hijau atas nama Handry Hariyadi.</t>
  </si>
  <si>
    <t>P02.1805</t>
  </si>
  <si>
    <t>11804/P02.1805/P02/07/2025</t>
  </si>
  <si>
    <t> Simpanan Saham a.n Handry Hariyadi NBA : 14053.002.1019.706 sebesar : Rp 370.000,00.  Simpanan Saham a.n Sri wahyuni NBA : 14053.002.1009.704 sebesar : Rp 2.615.000,00.</t>
  </si>
  <si>
    <t>a. Sebidang tanah diatasnya berdiri sebuah bangunan rumah batu dengan bukti Sertifikat Hak Milik No 729, seluas 243 meter persegi sebagaimana yang diuraikan dalam surat ukur nomor 154/Kebon Agung /2001, tertanggal 11-04-2001 yang terletak di Wilayah Provinsi Jawa Timur, Kabupaten Probolinggo, Kecamatan Kraksaan, Desa Kebon Agung, Yang Tercantum atas nama Suharno. Berikut segala sesuatu yang berdiri, tumbuh dan tertanam di atasnya, yang karena sifatnya, maksudnya atau menurut hukum dianggap sebagai harta tetap, terutama sebuah bangunan rumah yang berdiri diatasnya.</t>
  </si>
  <si>
    <t>P01.5854</t>
  </si>
  <si>
    <t>11870/P01.5854/P01/07/2025</t>
  </si>
  <si>
    <t>a. 1 (satu) unit kendaraan roda dua, merk Honda, type/model E1F02N11M2 A/T SPM.SOLO, tahun 2017 dengan No. BPKB N-03952901, No rangka MH1JFU12XHK091198, No. mesin JFU1E2105726, No.Polisi :N 6659 RC, warna Hitam atas nama Agnes Mirmaningtyas.</t>
  </si>
  <si>
    <t>P01.5995</t>
  </si>
  <si>
    <t>12186/P01.5995/P01/09/2025</t>
  </si>
  <si>
    <t>b. 1 (satu) unit kendaraan roda dua, merk Honda, tahun 2018 dengan no. BPKB N- 04474443, Type V1J02032L0 A/T, No rangka MH1KF2112JK014606, No. mesin KF21E1014744, No.Polisi N 5203 PY, Warna Hitam, atas nama Agus Wahyudi</t>
  </si>
  <si>
    <t>P03.3473</t>
  </si>
  <si>
    <t>11752/P03.3473/P03/07/2025</t>
  </si>
  <si>
    <t>PERBAIKAN MOBIL ELF</t>
  </si>
  <si>
    <t>a. 1 (satu) unit kendaraan roda empat, merk ISUZU, Jenis Mobil Penumpang, type/model KAD51 STATION WAGON, tahun 1986, dengan No. BPKB J-6834483. No rangka 7403638, No.mesin 690859, No.Polisi: P 1522 UE, Warna Merah Maron, atas nama Eddy Santoso.</t>
  </si>
  <si>
    <t>a. 1 (satu) unit kendaraan roda dua, merk Yamaha type 2 DP NON ABS, tahun 2017, dengan No. BPKB N-03338852. No rangka MH3SG3120HK354550, No.mesin G3E4E0499675, No.Polisi: N 6238 OC, Warna ABU ABU, atas nama LILIK NUR AHADAH. b. 1 (satu) unit kendaraan roda dua, merk Yamaha type 2 SV, tahun 2014, dengan No. BPKB L-05164763. No rangka MH32SV001EK086005, No.mesin 2SV086074, No.Polisi: N 3117 MC, Warna UNGU, atas nama KHOMSU SHOLAWATIN.</t>
  </si>
  <si>
    <t>P01.5961</t>
  </si>
  <si>
    <t>12102/P01.5961/P01/09/2025</t>
  </si>
  <si>
    <t>P01.5829</t>
  </si>
  <si>
    <t>11810/P01.5829/P01/07/2025</t>
  </si>
  <si>
    <t>P03.3554</t>
  </si>
  <si>
    <t>12068/P03.3554/P03/08/2025</t>
  </si>
  <si>
    <t>a. Simpanan Saham Anggota atas nama Hariyanto NBA 14053.002.1019.815 Sebesar Rp 1.130.000,00 b. Simpanan Saham Anggota atas nama Sumiyati NBA 14053.002.1019.815 Sebesar Rp 7.550.000,00</t>
  </si>
  <si>
    <t>P03.3468</t>
  </si>
  <si>
    <t>11798/P03.3468/P03/07/2025</t>
  </si>
  <si>
    <t>a. 1 (satu) unit kendaraan roda dua, merk Honda type A1F02N37M1 A/T tahun 2019, dengan no. BPKB O-04814118 No rangka MH1JJM5116KK397695 No. mesin JM51E1397452, No. Polisi: N 5485 MB, Warna HITAM atas nama Akhmad Fadali.</t>
  </si>
  <si>
    <t>P01.5874</t>
  </si>
  <si>
    <t>11769/P01.5874/P01/07/2025</t>
  </si>
  <si>
    <t>KEBUTUHAN ISTRI PERSIAPAN MELAHIRKAN</t>
  </si>
  <si>
    <t>a. 1 (satu) unit kendaraan roda dua, merk Honda type A1F02N37M1 A/T tahun 2019, dengan no. BPKB O-02955774 No rangka MH1JM5117KK216412 No. mesin JM51E1216264, No. Polisi: N 4721 PK, Warna Merah atas nama Tufel.</t>
  </si>
  <si>
    <t>a. Sebidang tanah pekarangan. Dengan Sertipikat Hak Milik No 00847, seluas 151 meter persegi sebagaimana yang diuraikan dalam Surat Ukur No 00518/Kaliacar/2019, tertanggal 03-09-2019, yang terletak di Wilayah Propinsi Jawa Timur, Kabupaten Probolinggo, Kecamatan Gading, Desa Kaliacar. No Daftar isian 202 No 29/08.19/2339/2019, NIB 12.31.09.18.00902. Tercantum atas nama Siti Rahayu. Berikut segala sesuatu yang berdiri, tumbuh dan tertanam di atasnya, yang karena sifatnya, maksudnya atau menurut hukum dianggap sebagai harta tetap, terutama sebuah bangunan rumah yang berdiri diatasnya.</t>
  </si>
  <si>
    <t>a. Sebidang tanah pekarangan(Ada Bangunan). Dengan Sertipikat Hak Milik No 01455, seluas 233 meter persegi sebagaimana yang diuraikan dalam Surat Ukur No 415/Pabean/2006, tertanggal 31-10-2006, yang terletak di Wilayah Propinsi Jawa Timur, Kabupaten Probolinggo, Kecamatan Dringu, Desa Pabean. No Daftar isian 202 No 5/01/PAP.AJD/2006, NIB 12.31.19.14.00677. Tercantum atas nama Budiono.S.Sos. Berikut segala sesuatu yang berdiri, tumbuh dan tertanam di atasnya, yang karena sifatnya, maksudnya atau menurut hukum dianggap sebagai harta tetap, terutama sebuah bangunan rumah yang berdiri diatasnya</t>
  </si>
  <si>
    <t>a. Sebidang tanah pekarangan, Dengan Sertipikat Hak Milik No 00514, seluas 124 meter persegi sebagaimana yang diuraikan dalam Surat Ukur No 00325/Kandangjati wetan/2023, tertanggal 20/09/2023, yang terletak di Wilayah Propinsi Jawa Timur, Kabupaten Probolinggo, Kecamatan Kraksaan, Desa Kandangjati Wetan. No Daftar isian 202 No 5661/2023, NIB 12311409.01059. Tercantum atas nama Ayu Fitria Ningsih. Berikut segala sesuatu yang berdiri, tumbuh dan tertanam di atasnya, yang karena sifatnya, maksudnya atau menurut hukum dianggap sebagai harta tetap, terutama sebuah bangunan rumah yang berdiri diatasnya.</t>
  </si>
  <si>
    <t>a. 1 (satu) unit kendaraan roda empat, merk Toyota type Avanza 1300 G, tahun 2009, dengan No. BPKB S-02509908, No rangka MHFM1BA3J9K178387, No. mesin DE52462, No.Polisi: N 1903 MO, Warna Hitam Metalik, atas nama Yogi Hermawan.</t>
  </si>
  <si>
    <t>P01.5826</t>
  </si>
  <si>
    <t>11826/P01.5826/P01/07/2025</t>
  </si>
  <si>
    <t>a. 1 (satu) unit kendaraan roda dua, merk honda, type/model A1F02N36M1 A/T SPM.SOLO, tahun 2018 dengan No. BPKB N - 06980952, No rangka MH1JM4119JK022960, No. mesin JM41E1023875, No.Polisi : N 6475 OY, warna Hitam atas nama Siti Shofiyatul Jumah.</t>
  </si>
  <si>
    <t>a. Sebidang tanah diatasnya berdiri sebuah bangunan rumah batu dengan bukti Sertifikat Hak Milik No 00311, seluas 164 meter persegi sebagaimana yang diuraikan dalam surat ukur nomor 00211/Kalikajar wetan/2023, tertanggal 25-10-2023 yang terletak di Wilayah Provinsi Jawa Timur, Kabupaten Probolinggo, Kecamatan Paiton, Desa Kalikajar Wetan, Yang Tercantum atas nama Syamsul Arifin. Berikut segala sesuatu yang berdiri, tumbuh dan tertanam di atasnya, yang karena sifatnya, maksudnya atau menurut hukum dianggap sebagai harta tetap, terutama sebuah bangunan rumah yang berdiri diatasnya. Yang akan diikat secara SKMHT</t>
  </si>
  <si>
    <t>a. Sebidang tanah pekarangan dengan Sertifikat Hak Milik No 01405 , seluas 199 meter persegi sebagaimana yang diuraikan dalam surat ukur nomor 00882/Maron Wetan/2020, tertanggal 06/05/2020 yang terletak di Wilayah Provinsi Jawa Timur, Kabupaten Probolinggo, Kecamatan Maron, Desa. Maron Wetan, Yang Tercantum atas nama Tutik Handayani yang diperoleh haknya melalui  Penunjuk DI 300 No. 3998/2020 Berikut segala sesuatu yang berdiri, tumbuh dan tertanam di atasnya, yang karena sifatnya, maksudnya atau menurut hukum dianggap sebagai harta tetap, terutama sebuah bangunan rumah yang berdiri diatasnya. Yang akan diikat secara APHT.</t>
  </si>
  <si>
    <t>P01.5848</t>
  </si>
  <si>
    <t>11852/P01.5848/P01/07/2025</t>
  </si>
  <si>
    <t>a. 1 (satu) unit kendaraan roda dua, merk Honda type H1B02N4L0 A/T SPM SOLO tahun 2023, dengan no. BPKB U-02507548, No rangka MH1JM9133PK398464, No. mesin JN91E3393316, No. Polisi: N 5749 OQ, Warna HIJAU atas nama Yesi Suhandani.</t>
  </si>
  <si>
    <t>a. Sebidang tanah pekarangan dengan bukti Sertifikat Hak Milik No 242, seluas 60 meter persegi sebagaimana yang diuraikan dalam Surat Ukur No 97/Bulu/1999, tertanggal 26-07-1999, yang terletak di Wilayah Provinsi Jawa Timur, Kabupaten Probolinggo, Kecamatan Kraksaan, Desa Bulu, Yang tercantum atas nama Hasan dengan penunjuk Di.301 No. 1346/1999, Pemisahan dari HGB No 3/Desa Bulu. Dengan tanda tanda batas Tanda batas sesuai dengan PMNA/KBPN No 3/1997. Berikut segala sesuatu yang berdiri, tumbuh dan tertanam diatasnya, yang karena sifatnya, maksudnya atau menurut hukum dianggap sebagai harta tetap, terutama sebuah bangunan rumah yang berdiri diatasnya. b. Sebidang tanah pekarangan dengan bukti Sertifikat Hak Milik No 243, seluas 120 meter persegi sebagaimana yang diuraikan dalam Surat Ukur No 96/Bulu/1999, tertanggal 26-07-1999, yang terletak di Wilayah Provinsi Jawa Timur, Kabupaten Probolinggo, Kecamatan Kraksaan, Desa Bulu, Yang tercantum atas nama Hasan dengan penunjuk Di.301 No. 1346/1999, Pemisahan dari HGB No 3/Desa Bulu. Dengan tanda tanda batas Tanda batas sesuai dengan PMNA/KBPN No 3/1997. Berikut segala sesuatu yang berdiri, tumbuh dan tertanam diatasnya, yang karena sifatnya, maksudnya atau menurut hukum dianggap sebagai harta tetap, terutama sebuah bangunan rumah yang berdiri diatasnya.</t>
  </si>
  <si>
    <t>a. 1 (satu) unit kendaraan roda dua, merk Honda type NC11BF1CB A/T SPM SOLO, tahun 2014, dengan No. BPKB O-04814823. No rangka MH1JFE112EK280528, No.mesin JFE1E1279307, No.Polisi: N 4024 MC, Warna Putih, atas nama Moh Abdullah Faqih.</t>
  </si>
  <si>
    <t>P01.5870</t>
  </si>
  <si>
    <t>11916/P01.5870/P01/07/2025</t>
  </si>
  <si>
    <t>a. Sebidang tanah diatasnya berdiri sebuah bangunan rumah batu dengan bukti Sertifikat Hak Milik No 01461, seluas 134 meter persegi sebagaimana yang diuraikan dalam surat ukur nomor 00569/Patokan/2023, tertanggal 13-09-2023 yang terletak di Wilayah Provinsi Jawa Timur, Kabupaten Probolinggo, Kecamatan Kraksaan, Desa Patokan, Yang Tercantum atas nama Muhammad Faisal. Berikut segala sesuatu yang berdiri, tumbuh dan tertanam di atasnya, yang karena sifatnya, maksudnya atau menurut hukum dianggap sebagai harta tetap, terutama sebuah bangunan rumah yang berdiri diatasnya. Yang akan diikat secara SKMHT</t>
  </si>
  <si>
    <t>P01.5998</t>
  </si>
  <si>
    <t>12214/P01.5998/P01/09/2025</t>
  </si>
  <si>
    <t>a. 1 (satu) unit kendaraan roda dua, merk honda, type/model 31B JUPITER Z CW, tahun 2011 dengan No. BPKB H-08742611, No rangka MH33LB002BJ643012, No. mesin 31B63051, No.Polisi : N 6697 MQ, warna Hitam atas nama Endro Suprayitno.</t>
  </si>
  <si>
    <t>a. 1 (satu) unit kendaraan roda dua, merk HONDA type NC110D VARIO JF12E SPM SOLO, tahun 2008, dengan No. BPKB T-02350346. No rangka MH1JF12118K300686, No.mesin JF12E1305142, No.Polisi: N 4083 OI, Warna Biru, atas nama Manis Marsela.</t>
  </si>
  <si>
    <t>P05.177</t>
  </si>
  <si>
    <t>12110/P05.177/P05/09/2025</t>
  </si>
  <si>
    <t>a. 1 (satu) unit kendaraan roda dua, merk Honda type H1B02N42L1AY A/T SPM SOLO, tahun 2025, dengan No. BPKB .. No rangka MH1JMF210SK405262, No.mesin JMF2E1404906, No.Polisi: ...., Warna Hitam, atas nama Khristine Andriani.</t>
  </si>
  <si>
    <t>P03.3518</t>
  </si>
  <si>
    <t>11933/P03.3518/P03/08/2025</t>
  </si>
  <si>
    <t>a. 1 (satu) unit kendaraan roda dua, merk Yamaha type/model 2BU AT/SPM Solo, tahun 2014 dengan no. BPKB L-02215224, No rangka MH32BU001EJ102152, No. mesin 2BU102165 No.Polisi : N 2792 NI, Warna Hitam Merah atas nama Agustine Juliana Kazan.</t>
  </si>
  <si>
    <t>a. Sebidang tanah diatasnya berdiri sebuah bangunan rumah batu dengan bukti Sertifikat Hak Milik No 01687, seluas 200 meter persegi sebagaimana yang diuraikan dalam surat ukur nomor 00972/Kraksaan Wetan /2023, tertanggal 11-09-2023 yang terletak di Wilayah Provinsi Jawa Timur, Kabupaten Probolinggo, Kecamatan Kraksaan, Desa Kraksaan Wetan, Yang Tercantum atas nama Siti Khotijah. Berikut segala sesuatu yang berdiri, tumbuh dan tertanam di atasnya, yang karena sifatnya, maksudnya atau menurut hukum dianggap sebagai harta tetap, terutama sebuah bangunan rumah yang berdiri diatasnya. Dan akan diikat secara warmeeking.</t>
  </si>
  <si>
    <t>SIMPNAN SAHAM DAN ATM BCA</t>
  </si>
  <si>
    <t>a. Simpanan Saham a.n Lely Yulistiana NBA 14053.002.1020.470 sebesar Rp 130.000,00 b. ATM BCA 2010416445 yang memegang ibu ling-ling dan nantinya yang akan bertanggung jawab untuk menyetorkan angsuran dan simpanan wajibnya setiap bulan selama jangka waktu yang tertulis.</t>
  </si>
  <si>
    <t>a. 1 (satu) unit kendaraan roda dua, merk Honda type/model X1H02N35MI AT/SPM Solo, tahun 2019 dengan No. BPKB O-02906450, No rangka MH1KF4114KK501982 No. mesin KF41E1502693 No.Polisi : N 4873 NG, Warna Merah atas nama Luluk Sugiarto.</t>
  </si>
  <si>
    <t> 1 (satu) unit kendaraan roda dua, merk Honda type L1F02N37L1 A/T BL, tahun 2024 dengan No BPKB ........, No rangka MHJMD119RK729181, No. mesin JND1E1728792, No.Polisi: ., Warna Biru, atas nama Ari Wibowo.</t>
  </si>
  <si>
    <t>P01.5853</t>
  </si>
  <si>
    <t>11872/P01.5853/P01/07/2025</t>
  </si>
  <si>
    <t>UNTUK PEMBUATAN SIM B</t>
  </si>
  <si>
    <t>P03.3559</t>
  </si>
  <si>
    <t>12077/P03.3559/P03/08/2025</t>
  </si>
  <si>
    <t>P03.3557</t>
  </si>
  <si>
    <t>12075/P03.3557/P03/08/2025</t>
  </si>
  <si>
    <t>P03.3558</t>
  </si>
  <si>
    <t>12076/P03.3558/P03/08/2025</t>
  </si>
  <si>
    <t>P03.3561</t>
  </si>
  <si>
    <t>11918/P03.3561/P03/08/2025</t>
  </si>
  <si>
    <t>a. Sebidang tanah diatasnya berdiri sebuah bangunan rumah batu dengan bukti Sertifikat Hak Milik No 00456, seluas 375 meter persegi sebagaimana yang diuraikan dalam surat ukur nomor 00359/Jabungcandi/2024, tertanggal 19-06-2024 yang terletak di Wilayah Provinsi Jawa Timur, Kabupaten Probolinggo, Kecamatan Paiton, Desa Jabungcandi, Yang Tercantum atas nama Yuli Astutik. Berikut segala sesuatu yang berdiri, tumbuh dan tertanam di atasnya, yang karena sifatnya, maksudnya atau menurut hukum dianggap sebagai harta tetap, terutama sebuah bangunan rumah yang berdiri diatasnya. Dan akan diikat secara warmeeking.</t>
  </si>
  <si>
    <t>P01.5878</t>
  </si>
  <si>
    <t>11926/P01.5878/P01/07/2025</t>
  </si>
  <si>
    <t>P01.5877</t>
  </si>
  <si>
    <t>11927/P01.5877/P01/07/2025</t>
  </si>
  <si>
    <t>PEMBAYARAN SEKOLAH</t>
  </si>
  <si>
    <t>P08.326</t>
  </si>
  <si>
    <t>12116/P08.326/P08/09/2025</t>
  </si>
  <si>
    <t> Simpanan Keanggotaan a.n Yulius Dwi Permana NBA : 14053.002.1020.568 sebesar: Rp 385.000,00  1 (satu) unit kendaraan roda dua, merk Yamaha type 5TL MIO SPM. Solo, tahun 2006, dengan No. BPKB M-09838186. No rangka MH35TL0046K400914, No.mesin 5TL400928, No.Polisi: N 4319 SM, Warna Merah Marun, atas nama Rifai.</t>
  </si>
  <si>
    <t>a. 1 (satu) unit kendaraan roda dua, merk Honda type F1C02N28L0 A/T SPM SOLO , tahun 2017, dengan No. BPKB V-02602096, No rangka MH1JM3116HK313078, No. Mesin JM31E1318503, No.Polisi: N 4168 RY, Warna Putih Hitam atas nama Ali Wafa.</t>
  </si>
  <si>
    <t>a. 1 (satu) unit kendaraan roda dua, merk Honda type F1C02N45L0 A/T, tahun 2021, dengan no. BPKB Q-06853617 No rangka MH1JM0117MK311509 No. mesin JM01E7370972 No.Polisi: N 2912 MV Warna Hitam atas nama Sri Panumi.</t>
  </si>
  <si>
    <t> 1 (satu) unit kendaraan roda dua, merk Honda type D1BO2N26L2 A/T SPM SOLO, tahun 2018 dengan No BPKB N-08161089, No rangka MH1JF2128JK595266, No. mesin DP21E2598910, No.Polisi: N 4371 OV, Warna Putih , atas nama Isma Maulidah Satria.</t>
  </si>
  <si>
    <t>a. 1 (satu) unit kendaraan roda dua, merk NONDA type NF12A1CF M/T SPM SOLO, Tahun 2012, dengan No. BPKB J-02543925, No Rangka MH1JBG119CK073210, No. Mesin JBG1E1072845, No.Polisi: N 2197 PN, Warna Hitam, atas nama Didik Afandi.</t>
  </si>
  <si>
    <t>a. 1 (satu) unit kendaraan roda dua, merk Honda, type F1C02N28L0 A/T, tahun 2018 dengan no. BPKB O-01820365, No rangka MH1JM3125JK133332, No. mesin JM31E2129698, No.Polisi : N 5075 NA Warna Putih Hitam, atas nama Belqis Inaya Rahman</t>
  </si>
  <si>
    <t>a. 1 (satu) unit kendaraan roda empat, merk Isuzu, type/model PHR 54 C BB/ Pick Up, tahun 2019 dengan No. BPKB O- 05679577, No rangka MHCPHR54CKJ407469, No. mesin E407469, No.Polisi : N 9647 NJ, warna Putih atas nama Tedi Saputra.</t>
  </si>
  <si>
    <t>a. Sebidang tanah pekarangan dengan bukti Sertifikat Hak Milik No 2832, seluas 97 meter persegi sebagaimana yang diuraikan dalam Surat Ukur No 1450/Kebonagung/2018, tertanggal 31-10-2018, yang terletak di Wilayah Propinsi Jawa Timur, Kabupaten Probolinggo, Kecamatan Kraksaan, Desa. Kebonagung, Yang Tercantum atas nama Lasberlinda Panggabean yang diperoleh haknya melalui  Penunjuk DI 301 No. 8441/2018, Pemecahan dari Hak Milik No 2821/ Desa Kebonagung, Seri Blanko AAH317536,dengan tanda tanda batas sesuai dengan PMNA/KBPN No 3/1997. Berikut segala sesuatu yang berdiri, tumbuh dan tertanam di atasnya, yang karena sifatnya, maksudnya atau menurut hukum dianggap sebagai harta tetap, terutama sebuah bangunan rumah yang berdiri diatasnya. Yang akan diikat secara APHT.</t>
  </si>
  <si>
    <t>a. 1 (satu) unit kendaraan roda dua, merk HONDA, type/model AFX12U21C08 M/T SPM Solo, tahun 2018 dengan No. BPKB N-04586402, No rangka MH1JBP11XJK616836, No. mesin JBP1E1616096, No.Polisi : N 4657 OV, warna Merah Hitam atas nama Ariani.</t>
  </si>
  <si>
    <t>a. Sebidang tanah pekarangan dengan bukti Sertifikat Hak Milik No 00443, seluas 220 meter persegi sebagaimana yang diuraikan dalam surat ukur nomor 00227/RONDOKUNING/2023, tertanggal 13/09/2023 yang terletak di Wilayah Provinsi Jawa Timur, Kabupaten Probolinggo, Kecamatan Kraksaan, Desa Rondokuning, Yang Tercantum atas nama Agustin. Berikut segala sesuatu yang berdiri, tumbuh dan tertanam di atasnya, yang karena sifatnya, maksudnya atau menurut hukum dianggap sebagai harta tetap, terutama sebuah bangunan rumah yang berdiri diatasnya.</t>
  </si>
  <si>
    <t>P01.5953</t>
  </si>
  <si>
    <t>12098/P01.5953/P01/09/2025</t>
  </si>
  <si>
    <t>a. 1 (satu) unit kendaraan roda dua, merk Honda type X1B02N04L0 A/T SPM SOLO, tahun 2016, dengan No. BPKB M-08581899. No rangka MH1JFP125GK764740, No.mesin JFP1E2756218, No.Polisi: N 3260 QJ, Warna Putih Biru, atas nama Rifko Harny Dwi Cahyo. b. 1 (satu) unit kendaraan roda dua, merk Honda type NF11 B1D MT/REVO 110 SPM SOLO, tahun 2009, dengan No. BPKB V-03581198. No rangka MH1JBC1169K300984, No.mesin JBC1E1301528, No.Polisi: N 4258 OX, Warna Hitam, atas nama Suhartono.</t>
  </si>
  <si>
    <t>P03.3594</t>
  </si>
  <si>
    <t>12165/P03.3594/P03/09/2025</t>
  </si>
  <si>
    <t>a. 1 (satu) unit kendaraan roda dua, merk Yamaha type 2 DP NON ABS, tahun 2017, dengan No. BPKB N-03338852. No rangka MH3SG3120HK354550, No.mesin G3E4E0499675, No.Polisi: N 6238 OC, Warna ABU ABU, atas nama LILIK NUR AHADAH.</t>
  </si>
  <si>
    <t>P01.5930</t>
  </si>
  <si>
    <t>12039/P01.5930/P01/08/2025</t>
  </si>
  <si>
    <t>a. Sebidang tanah pekarangan. Dengan Sertipikat Hak Milik No 1650, seluas 172 meter persegi sebagaimana yang diuraikan dalam Surat Ukur No 394/Sumberanyar/2014, tertanggal 29-09-2014, yang terletak di Wilayah Propinsi Jawa Timur, Kabupaten Probolinggo, Kecamatan Paiton, Desa Semberanyar. Penunjuk DI 301 No 7987/2014 Pemecahan dari Hak Milik No 1068/ Desa Sumberanyar, Risalah pertimbangan teknis pertanahan dalam penerbitan izin perubahan penggunaan tanah Nomor 119/2014 Tanggal 08-08-2014. Tercantum atas nama Badiatul Jamilah. Berikut segala sesuatu yang berdiri, tumbuh dan tertanam di atasnya, yang karena sifatnya, maksudnya atau menurut hukum dianggap sebagai harta tetap, terutama sebuah bangunan rumah yang berdiri diatasnya, yang akan diikat secara SKMHT.</t>
  </si>
  <si>
    <t>a. 1 (satu) unit kendaraan roda dua, merk Honda type F1C02N46LO A/T SPM SOLO, tahun 2022, dengan No. BPKB T-01454657. No rangka MH1JM0316NK058438, No.mesin JM03E1058555, No.Polisi: N 3222 OG, Warna Biru Putih, atas nama Bambang Priyono. b. 1 (satu) unit kendaraan roda dua, merk Honda type A5C02R52L1 MT SPM SOLO, tahun 2022, dengan No. BPKB T-01453668. No rangka MH1KCD216NK028291, No.mesin KCD2E1028212, No.Polisi: N 2683 OG, Warna Merah, atas nama Shobrian Akmal Aulia Putra.</t>
  </si>
  <si>
    <t>a. 1 (satu) unit kendaraan roda dua, merk YAMAHA type 14DAL115C SPM SOLO, tahun 2010, dengan No. BPKB H-00633319, No rangka MH314D003AK769806, No. mesin 14D769942, No.Polisi : N 3389 QQ, Warna Biru atas nama Moh Nurul Burhan.</t>
  </si>
  <si>
    <t>a. Simpanan Saham a.n Ahmad Sudar NBA 14053.002.1020.806 sebesar Rp 220.000,00 b. Simpanan Saham a.n Ling Ling Megahwati NBA 14053.002.1016.918 sebesar Rp 3.015.000,00</t>
  </si>
  <si>
    <t>a. Sertipikat Hak Milik NIB. 12.31.000009179.0 Hak milik ini terdaftar atas nama pemegang hak yang tertera pada bagian PEMEGANG HAK, atas sebidang tanah yang letaknya diuraikan pada bagian BIDANG TANAH, serta batasan dan kewajiban, pembebanan dan pencatatan lainnya yang tertera pada tanda bukti hak ini. Bidang tanah ini terletak di Kelurahan Semampir, Kecamatan Kraksaan, Kabupaten Probolinggo, Provinsi Jawa Timur seluas 61 meter persegi. PEMEGANG HAK 1) AGUS ABDUR RAHIM  PROBOLINGGO, 16 Agustus 1982  1 bagian. CATATAN PENDAFTARAN 1) Pengakuan hak berdasarkan berita acara pengesahan data fisik dan data yuridis nomor 4402/2024 tanggal 21 Juli 2024.</t>
  </si>
  <si>
    <t>a. Sebidang tanah non pertanian. Dengan Sertipikat Hak Milik No 01317, seluas 182 meter persegi sebagaimana yang diuraikan dalam Surat Ukur No 00536/semampir/2024, tertanggal 04/06/2024, yang terletak di Wilayah Propinsi Jawa Timur, Kabupaten Probolinggo, Kecamatan Kraksaan, Kelurahan Semampir. Penunjuk DI 301 No 2657/2024. Pengumuman data fisik dan data yuridis tanggal 21 Mei 2024 Nomor 899/2024. Tercantum atas nama Desi Sri Handayani. Berikut segala sesuatu yang berdiri, tumbuh dan tertanam di atasnya, yang karena sifatnya, maksudnya atau menurut hukum dianggap sebagai harta tetap, terutama sebuah bangunan rumah yang berdiri diatasnya.</t>
  </si>
  <si>
    <t>P03.3501</t>
  </si>
  <si>
    <t>11906/P03.3501/P03/07/2025</t>
  </si>
  <si>
    <t>P03.3553</t>
  </si>
  <si>
    <t>12069/P03.3553/P03/08/2025</t>
  </si>
  <si>
    <t>TAMBAHAN MODAL USAHA PEMBELIAN PARTISI ALUMUNIUM</t>
  </si>
  <si>
    <t>a. 1 (satu) unit kendaraan roda dua, merk NONDA type NC12A1CF A/T SPM SOLO, Tahun 2013, dengan No. BPKB U-04038037, No Rangka MH1JFB11XDK531345, No. Mesin JFB1E1530516, No.Polisi: N 4894 ON, Warna White Silver, atas nama Misnali.</t>
  </si>
  <si>
    <t>P03.3482</t>
  </si>
  <si>
    <t>11818/P03.3482/P03/07/2025</t>
  </si>
  <si>
    <t>a. Sertipikat Hak Milik NIB. 12.31.000009183.0 Hak milik ini terdaftar atas nama pemegang hak yang tertera pada bagian PEMEGANG HAK, atas sebidang tanah yang letaknya diuraikan pada bagian BIDANG TANAH, serta batasan dan kewajiban, pembebanan dan pencatatan lainnya yang tertera pada tanda bukti hak ini. Bidang tanah ini terletak di Kelurahan Semampir, Kecamatan Kraksaan, Kabupaten Probolinggo, Provinsi Jawa Timur seluas 83 meter persegi. PEMEGANG HAK 1) VIKO NAVENDRA  PROBOLINGGO, 09 NOVEMBER 1999  1 bagian. CATATAN PENDAFTARAN 1) Pengakuan hak berdasarkan berita acara pengesahan data fisik dan data yuridis nomor 4402/2024 tanggal 21 Juli 2024.</t>
  </si>
  <si>
    <t>P01.5860</t>
  </si>
  <si>
    <t>11886/P01.5860/P01/07/2025</t>
  </si>
  <si>
    <t>a. Sebidang tanah pertanian. Dengan Sertipikat Hak Milik No 00275, seluas 2.965 meter persegi sebagaimana yang diuraikan dalam Surat Ukur No 00618/SINDETLAMI/2019, tertanggal 18/05/2019, yang terletak di Wilayah Propinsi Jawa Timur, Kabupaten Probolinggo, Kecamatan Besuk, Desa Sindetlami. Penunjuk DI 300 No 7072/2019 Pengumuman data fisik dan data yuridis nomor 787/2019 tanggal 20/04/2019 Tercantum atas nama Badiatul Jamilah. Berikut segala sesuatu yang berdiri, tumbuh dan tertanam di atasnya, yang karena sifatnya, maksudnya atau menurut hukum dianggap sebagai harta tetap, terutama sebuah bangunan rumah yang berdiri diatasnya. Yang akan di ikat secara warmeking.</t>
  </si>
  <si>
    <t>P03.3478</t>
  </si>
  <si>
    <t>11839/P03.3478/P03/07/2025</t>
  </si>
  <si>
    <t>a. Sebidang rumah. Dengan Sertipikat Hak Milik No 01350, seluas 237 meter persegi sebagaimana yang diuraikan dalam Surat Ukur No 00568/semampir/2024, tertanggal 11/06/2024, yang terletak di Wilayah Propinsi Jawa Timur, Kabupaten Probolinggo, Kecamatan Kraksaan, Desa Semampir. Penunjuk DI 300 No 4549/2024. Pengumuman data fisik dan data yuridis tanggal 28 Mei 2024, Nomor 1648/2024. Tercantum atas nama CHERLY NOVA DIANA. Berikut segala sesuatu yang berdiri, tumbuh dan tertanam di atasnya, yang karena sifatnya, maksudnya atau menurut hukum dianggap sebagai harta tetap, terutama sebuah bangunan rumah yang berdiri diatasnya, yang akan diikat secara APHT. b. Simpanan Saham atas nama Sumiyati NBA 14053.002.1000.516 sebesar Rp 7.515.000</t>
  </si>
  <si>
    <t>P01.5810</t>
  </si>
  <si>
    <t>11757/P01.5810/P01/07/2025</t>
  </si>
  <si>
    <t>a. Sebidang tanah pertanian. Dengan Sertipikat Hak Milik No 00349, seluas 2.650 meter persegi sebagaimana yang diuraikan dalam Surat Ukur No 00231/sukorejo/2021, tertanggal 18/08/2021, yang terletak di Wilayah Propinsi Jawa Timur, Kabupaten Probolinggo, Kecamatan Kotaanyar, Desa Sukorejo. Penunjuk DI 300 No 13486/2021. Pengumuman data fisik dan data yuridis tanggal 27 Agustus 2018 Nomor 1347/2018. Tercantum atas nama muzakki. Berikut segala sesuatu yang berdiri, tumbuh dan tertanam di atasnya, yang karena sifatnya, maksudnya atau menurut hukum dianggap sebagai harta tetap, terutama sebuah bangunan rumah yang berdiri diatasnya.</t>
  </si>
  <si>
    <t>a. Sebidang tanah pekarangan. Dengan Sertipikat Hak Milik No 00923, seluas 349 meter persegi sebagaimana yang diuraikan dalam Surat Ukur No 00756/kedungrejoso/2019, tertanggal 11/11/2019, yang terletak di Wilayah Propinsi Jawa Timur, Kabupaten Probolinggo, Kecamatan Kotaanyar, Desa Kedungrejoso. Penunjuk DI 300 No 28488/2019. Pengumuman data fisik dan data yuridis tanggal 08 September 2018 Nomor 1911/2018. Tercantum atas nama Abd Sajar. Berikut segala sesuatu yang berdiri, tumbuh dan tertanam di atasnya, yang karena sifatnya, maksudnya atau menurut hukum dianggap sebagai harta tetap, terutama sebuah bangunan rumah yang berdiri diatasnya.</t>
  </si>
  <si>
    <t> 1 (satu) unit kendaraan roda dua, merk Honda type E1F02N11M2 A/T SPM SOLO, tahun 2015 dengan No BPKB L-12451971, No rangka MH1JFU113FK083383, No. mesin JFU1E1083521, No.Polisi : N 5966 MJ, Warna Hitam , atas nama Sulistri.</t>
  </si>
  <si>
    <t>P03.3464</t>
  </si>
  <si>
    <t>11785/P03.3464/P03/07/2025</t>
  </si>
  <si>
    <t>a. 1 (Satu) unit kendaraan roda dua, merk Honda, type X1B02N04L0 A/T SPM SOLO, tahun 2015, dengan No BPKB M-02533457, No rangka MH1JFP117FK854820, No. mesin JFP1E1838467, No.Polisi: N 2783 MO, Warna Hitam, atas nama Muliyati. b. BK Simpanan Sibuhar atas nama Eko Yanti Budiani NBA 14053.002.1021.017 senilai Rp 1.300.000</t>
  </si>
  <si>
    <t>P03.3606</t>
  </si>
  <si>
    <t>12203/P03.3606/P03/09/2025</t>
  </si>
  <si>
    <t>a. 1 (satu) unit kendaraan roda dua, merk Honda type H1B02N41L0 A/T SPM SOLO, tahun 2023 dengan No. BPKB T-01716756 , No rangka MH1JM8214PK728166, No. mesin JM82E1726086, No.Polisi: N 2638 OH, Warna Hitam atas nama Suparman.</t>
  </si>
  <si>
    <t>P03.3600</t>
  </si>
  <si>
    <t>12193/P03.3600/P03/09/2025</t>
  </si>
  <si>
    <t>a. 1 (satu) unit kendaraan roda dua, merk Honda type H1B02N41L0 A/T SPM SOLO, tahun 2023 dengan No. BPKB U-02142813 , No rangka MH1JM8125PK242829, No. mesin JM81E2743082, No.Polisi: N 3401 OQ, Warna Hitam atas nama Samsul Arifin.</t>
  </si>
  <si>
    <t>P01.5856</t>
  </si>
  <si>
    <t>11876/P01.5856/P01/07/2025</t>
  </si>
  <si>
    <t>PEMBAYARAN UANG SEKOLAH</t>
  </si>
  <si>
    <t>a. Sebidang rumah. Dengan Sertipikat Hak Milik No 685, seluas 175 meter persegi sebagaimana yang diuraikan dalam Surat Ukur No 232/Kraksaan Wetan/2003, tertanggal 28-04-2003, yang terletak di Wilayah Propinsi Jawa Timur, Kabupaten Probolinggo, Kecamatan Kraksaan, Desa Kraksaan Wetan. Penunjuk DI 300 No 325/III/2003. Pemisahan dari Hak Milik No 566/ Kraksaan Wetan. Tercantum atas nama Mashudi. Berikut segala sesuatu yang berdiri, tumbuh dan tertanam di atasnya, yang karena sifatnya, maksudnya atau menurut hukum dianggap sebagai harta tetap, terutama sebuah bangunan rumah yang berdiri diatasnya.</t>
  </si>
  <si>
    <t>P03.3489</t>
  </si>
  <si>
    <t>11884/P03.3489/P03/07/2025</t>
  </si>
  <si>
    <t>a. 1 (satu) unit kendaraan roda dua, merk HONDA type NC11B3C A/T SPM SOLO, tahun 2011 dengan No. BPKB I  04244357, No rangka MH1JF5127BK501260, No. mesin JF51E2501017, No.Polisi N 2957 MX Warna Putih, atas nama Meilya Ratna Dewi.</t>
  </si>
  <si>
    <t>P01.5858</t>
  </si>
  <si>
    <t>11885/P01.5858/P01/07/2025</t>
  </si>
  <si>
    <t>P01.5859</t>
  </si>
  <si>
    <t>11887/P01.5859/P01/07/2025</t>
  </si>
  <si>
    <t>TAMBAHAN MODAL DAN PENDIDIKAN ANAK</t>
  </si>
  <si>
    <t>P03.3500</t>
  </si>
  <si>
    <t>11913/P03.3500/P03/07/2025</t>
  </si>
  <si>
    <t>TAMBAHAN MODAL USAHA MATERIAL</t>
  </si>
  <si>
    <t>a. 1 (satu) unit kendaraan roda dua,merk Honda, type/model H1B02N41LI A/T SPM SOLO, tahun 2024, dengan No. BPKB V-02603412. No rangka MH1JMW118RK147840, No.mesin JME1E1147960, No.Polisi: N 2227 OX, Warna Merah Hitam, atas nama Tauzin. b. 1 (satu) unit kendaraan roda dua, merk Honda, type/model H1B02N41L1 A/T SPM SOLO, tahun 2024, dengan No. BPKB V-02603326. No rangka MH1JME113RK183366, No.mesin JME1E1153677, No.Polisi: N 2138 OX, Warna Hitam, atas nama Nur Ayu Amalia Fitriani.</t>
  </si>
  <si>
    <t>P01.5869</t>
  </si>
  <si>
    <t>11914/P01.5869/P01/07/2025</t>
  </si>
  <si>
    <t>P01.5871</t>
  </si>
  <si>
    <t>11915/P01.5871/P01/07/2025</t>
  </si>
  <si>
    <t>P03.3505</t>
  </si>
  <si>
    <t>11928/P03.3505/P03/07/2025</t>
  </si>
  <si>
    <t>a. Sebidang tanah pekarangan. Dengan Sertipikat Hak Milik No 00650, seluas 95 meter persegi sebagaimana yang diuraikan dalam Surat Ukur No 00579/Randujalak/2019, tertanggal 26/06/2019, yang terletak di Wilayah Propinsi Jawa Timur, Kabupaten Probolinggo, Kecamatan Besuk, Desa Randujalak. Penunjuk DI 300 No 10725/2019. Pengumuman data fisik dan data yuridis tanggal 22/06/2019, Nomor 1512/2019. Tercantum atas nama wasik. Berikut segala sesuatu yang berdiri, tumbuh dan tertanam di atasnya, yang karena sifatnya, maksudnya atau menurut hukum dianggap sebagai harta tetap, terutama sebuah bangunan rumah yang berdiri diatasnya.</t>
  </si>
  <si>
    <t>P03.3509</t>
  </si>
  <si>
    <t>11934/P03.3509/P03/07/2025</t>
  </si>
  <si>
    <t>TAMABAHN MOAL USAHA TOKO JAMU</t>
  </si>
  <si>
    <t>a.1 (satu) unit kendaraan roda dua, merk Yamaha type 1FD, tahun 2014 dengan No. BPKB V-03673148, No rangka MH1FDOO5EJ071702, No. mesin 1FDO71638, No.Polisi: N 5490 OI, Warna Putih, atas nama Aniek Agustini.</t>
  </si>
  <si>
    <t>P03.3508</t>
  </si>
  <si>
    <t>11935/P03.3508/P03/07/2025</t>
  </si>
  <si>
    <t>a.1 (satu) unit kendaraan roda dua, merk Honda, type/model H5C02R20M1 M/T SPM.SOLO, tahun 2016 dengan No. BPKB Q-04104076, No rangka MH1KC811XGK080924, No. mesin KC81E1079412, No.Polisi : N 6541 MN, warna Putih Biru atas nama Suhaidi. b.Blokir simpanan sibuhar atas nama MIsliyeh NBA 14053.002.1021.114 sebesar Rp 500.000</t>
  </si>
  <si>
    <t>P03.3596</t>
  </si>
  <si>
    <t>12185/P03.3596/P03/09/2025</t>
  </si>
  <si>
    <t>P03.3521</t>
  </si>
  <si>
    <t>11977/P03.3521/P03/08/2025</t>
  </si>
  <si>
    <t>a. Sebidang rumah. Dengan Sertifikat Hak Milik No 00508, seluas 219 meter persegi sebagaimana yang diuraikan dalam Surat Ukur No 00477/Alastengah/2019, tertanggal 14/10/2019, yang terletak di Wilayah Propinsi Jawa Timur, Kabupaten Probolinggo, Kecamatan Besuk, Desa Alastengah. Penunjuk DI 300 No 26892/2019. Pengumuman data fisik dan data yuridis tanggal 25/09/2019, Nomor 2909/2019. Tercantum atas nama ISHAK. Berikut segala sesuatu yang berdiri, tumbuh dan tertanam di atasnya, yang karena sifatnya, maksudnya atau menurut hukum dianggap sebagai harta tetap, terutama sebuah bangunan rumah yang berdiri diatasnya.</t>
  </si>
  <si>
    <t>P01.5898</t>
  </si>
  <si>
    <t>11982/P01.5898/P01/08/2025</t>
  </si>
  <si>
    <t>P03.3525</t>
  </si>
  <si>
    <t>11991/P03.3525/P03/08/2025</t>
  </si>
  <si>
    <t>P03.3526</t>
  </si>
  <si>
    <t>11992/P03.3526/P03/08/2025</t>
  </si>
  <si>
    <t>P01.5911</t>
  </si>
  <si>
    <t>12013/P01.5911/P01/08/2025</t>
  </si>
  <si>
    <t>a. 1 (satu) unit kendaraan roda dua, merk Yamaha type/model B6H AT/ SPM SOLO, tahun 2020 dengan no. BPKB V-06897430, No rangka MH3SG5620LJ078246, No. mesin G3L8E0085208 No.Polisi : N 2531 MJ, Warna Hitam atas nama Evie Herlina.</t>
  </si>
  <si>
    <t>P03.3543</t>
  </si>
  <si>
    <t>12040/P03.3543/P03/08/2025</t>
  </si>
  <si>
    <t>P03.3547</t>
  </si>
  <si>
    <t>12048/P03.3547/P03/08/2025</t>
  </si>
  <si>
    <t>a. 1 (satu) unit kendaraan roda dua, merk Honda type ACB2J21B02 AT/SPM SOLO, tahun 2014 dengan No. BPKB O-03722221 , No rangka MH1JFJ112EK143277, No. mesin JFJ1E1141890, No.Polisi: N 4726 NJ, Warna White Silver atas nama Abdus Samad.</t>
  </si>
  <si>
    <t>P03.3550</t>
  </si>
  <si>
    <t>12055/P03.3550/P03/08/2025</t>
  </si>
  <si>
    <t>P03.3555</t>
  </si>
  <si>
    <t>12074/P03.3555/P03/08/2025</t>
  </si>
  <si>
    <t>a. Sertipikat Hak Milik NIB. 12.31.000008069.0 Hak milik ini terdaftar atas nama pemegang hak yang tertera pada bagian PEMEGANG HAK, atas sebidang tanah yang letaknya diuraikan pada bagian BIDANG TANAH, serta batasan dan kewajiban, pembebanan dan pencatatan lainnya yang tertera pada tanda bukti hak ini. Bidang tanah ini terletak di Kelurahan Sidomukti, Kecamatan Kraksaan, Kabupaten Probolinggo, Provinsi Jawa Timur seluas 1.090 meter persegi. PEMEGANG HAK 1) Fityanuddin  PROBOLINGGO, 02 Februari 1983  1 bagian. CATATAN PENDAFTARAN 1) Pengakuan hak berdasarkan berita acara pengesahan data fisik dan data yuridis nomor 4946/2024 tanggal 10 Agustus 2024.</t>
  </si>
  <si>
    <t>P03.3570</t>
  </si>
  <si>
    <t>12118/P03.3570/P03/09/2025</t>
  </si>
  <si>
    <t>TAMBAHAN MODAL JUAL BELI MOTOR</t>
  </si>
  <si>
    <t>a. Sebidang tanah pekarangan dengan bukti Sertifikat Hak Milik No 575, seluas 630 meter persegi sebagaimana yang diuraikan dalam surat ukur nomor 18/sidomukti/2013, tertanggal 22-05-2013 yang terletak di Wilayah Provinsi Jawa Timur, Kabupaten Probolinggo, Kecamatan Kraksaan, Desa Sidomukti, Yang Tercantum atas nama Sugiono. Berikut segala sesuatu yang berdiri, tumbuh dan tertanam di atasnya, yang karena sifatnya, maksudnya atau menurut hukum dianggap sebagai harta tetap, terutama sebuah bangunan rumah yang berdiri diatasnya. Dan akan diikat secara warmeeking.</t>
  </si>
  <si>
    <t>P03.3576</t>
  </si>
  <si>
    <t>12132/P03.3576/P03/09/2025</t>
  </si>
  <si>
    <t>TAMBAHAN MODAL USAHA DAGANG</t>
  </si>
  <si>
    <t>a. Sebidang tanah pekarangan dengan bukti Sertifikat Hak Milik No 01608, seluas 93 meter persegi sebagaimana yang diuraikan dalam surat ukur nomor 01478/alaskandang/2021, tertanggal 31/08/2021 yang terletak di Wilayah Provinsi Jawa Timur, Kabupaten Probolinggo, Kecamatan Besuk, Desa Alaskandang, Yang Tercantum atas nama Salima. Berikut segala sesuatu yang berdiri, tumbuh dan tertanam di atasnya, yang karena sifatnya, maksudnya atau menurut hukum dianggap sebagai harta tetap, terutama sebuah bangunan rumah yang berdiri diatasnya.</t>
  </si>
  <si>
    <t>P03.3574</t>
  </si>
  <si>
    <t>12133/P03.3574/P03/09/2025</t>
  </si>
  <si>
    <t>P03.3575</t>
  </si>
  <si>
    <t>12135/P03.3575/P03/09/2025</t>
  </si>
  <si>
    <t>TAMBAHAN MODAL USAHA AYAM KAMPUNG</t>
  </si>
  <si>
    <t>P03.3610</t>
  </si>
  <si>
    <t>12134/P03.3610/P03/09/2025</t>
  </si>
  <si>
    <t>P03.3577</t>
  </si>
  <si>
    <t>12139/P03.3577/P03/09/2025</t>
  </si>
  <si>
    <t>P01.5967</t>
  </si>
  <si>
    <t>12140/P01.5967/P01/09/2025</t>
  </si>
  <si>
    <t>P03.3586</t>
  </si>
  <si>
    <t>12160/P03.3586/P03/09/2025</t>
  </si>
  <si>
    <t>TAMBAHAN MODAL TERNAK AYAM</t>
  </si>
  <si>
    <t>P03.3612</t>
  </si>
  <si>
    <t>12222/P03.3612/P03/09/2025</t>
  </si>
  <si>
    <t>TAMBAHAN MODAL USAHA SEWA SAWAH</t>
  </si>
  <si>
    <t>3 SERTIFIKAT</t>
  </si>
  <si>
    <t>a. Sertipikat Hak Milik NIB. 12.31.000008891.0 Hak milik ini terdaftar atas nama pemegang hak yang tertera pada bagian PEMEGANG HAK, atas sebidang tanah yang letaknya diuraikan pada bagian BIDANG TANAH, serta batasan dan kewajiban, pembebanan dan pencatatan lainnya yang tertera pada tanda bukti hak ini. Bidang tanah ini terletak di Desa Jabungcandi, Kecamatan Paiton, Kabupaten Probolinggo, Provinsi Jawa Timur seluas 797 meter persegi. PEMEGANG HAK 1) SUCIPTO  PROBOLINGGO, 02 April 1980  1 bagian. CATATAN PENDAFTARAN 1) Pengakuan hak berdasarkan berita acara pengesahan data fisik dan data yuridis nomor 5747/2024 tanggal 26 Agustus 2024.yang akan diikat secara SKMHT. b. Sertipikat Hak Milik NIB. 12.31.000008892.0 Hak milik ini terdaftar atas nama pemegang hak yang tertera pada bagian PEMEGANG HAK, atas sebidang tanah yang letaknya diuraikan pada bagian BIDANG TANAH, serta batasan dan kewajiban, pembebanan dan pencatatan lainnya yang tertera pada tanda bukti hak ini. Bidang tanah ini terletak di Desa Jabungcandi, Kecamatan Paiton, Kabupaten Probolinggo, Provinsi Jawa Timur seluas 158 meter persegi. PEMEGANG HAK 1) SUCIPTO  PROBOLINGGO, 02 April 1980  1 bagian. CATATAN PENDAFTARAN 1) Pengakuan hak berdasarkan berita acara pengesahan data fisik dan data yuridis nomor 5749/2024 tanggal 26 Agustus 2024. c. Sertipikat Hak Milik NIB. 12.31.000009178.0 Hak milik ini terdaftar atas nama pemegang hak yang tertera pada bagian PEMEGANG HAK, atas sebidang tanah yang letaknya diuraikan pada bagian BIDANG TANAH, serta batasan dan kewajiban, pembebanan dan pencatatan lainnya yang tertera pada tanda bukti hak ini. Bidang tanah ini terletak di Kelurahan Semampir, Kecamatan Kraksaan, Kabupaten Probolinggo, Provinsi Jawa Timur seluas 65 meter persegi. PEMEGANG HAK 1) NOVITA CAHYANINGRUM  PROBOLINGGO, 10 November 1993  1 bagian. CATATAN PENDAFTARAN 1) Pengakuan hak berdasarkan berita acara pengesahan data fisik dan data yuridis nomor 4402/2024 tanggal 21 Juli 2024.</t>
  </si>
  <si>
    <t>P02.1810</t>
  </si>
  <si>
    <t>11836/P02.1810/P02/07/2025</t>
  </si>
  <si>
    <t>P02.1817</t>
  </si>
  <si>
    <t>11880/P02.1817/P02/07/2025</t>
  </si>
  <si>
    <t>SERTIPIKAT</t>
  </si>
  <si>
    <t>1. Jaminan atas nama : Rahayuningsih 3. No. SHM : 511 4. Letak jaminan : Desa Kembang, KecamatanBondowoso, Kabupaten Bondowoso 5. Luas jaminan : 105 M²</t>
  </si>
  <si>
    <t>Atas Nama : Y PALAPA ARIBOWO Nomor : 5646 Letak : Kelurahan Tegal Besar Luas: 94 Meter Perseg</t>
  </si>
  <si>
    <t>P01.5966</t>
  </si>
  <si>
    <t>12113/P01.5966/P01/09/2025</t>
  </si>
  <si>
    <t>bIAYA PERSIAPAN PERTUNANGAN ANAK</t>
  </si>
  <si>
    <t>Atas Nama : ROSERY TRITANTINA Nomor : 8984 Letak : Kelurahan SUMBERSARI Luas: 78 Meter Perseg</t>
  </si>
  <si>
    <t>P02.1821</t>
  </si>
  <si>
    <t>11924/P02.1821/P02/07/2025</t>
  </si>
  <si>
    <t>P01.5952</t>
  </si>
  <si>
    <t>12090/P01.5952/P01/09/2025</t>
  </si>
  <si>
    <t>BPKB MOTOR</t>
  </si>
  <si>
    <t>Atas nama : AGUS YAHYA No. BPKB : M-05588663 No. Polisi : P 5066 KE Merk : HONDA Type / Model : X1B02N04L0 A/T Tahun/Warna : 2016 / PUTIH MERAH No. Rangka : MH1JFP120GK311495 No. Mesin : JFP1E2313317</t>
  </si>
  <si>
    <t>P02.1834</t>
  </si>
  <si>
    <t>12038/P02.1834/P02/08/2025</t>
  </si>
  <si>
    <t>1. Jaminan atas nama : Nyonya Yuyun Kusmiati Ningsih 2. No. SHM : 652 3. Letak jaminan : Kelurahan Sempusari, Kecamatan Kaliwates, Kabupaten Jember. 4. Luas jaminan : 200 M²</t>
  </si>
  <si>
    <t>Atas Nama : Titin Sumarni Nomor :4506 Letak : Kelurahan Kebonsari Luas:166 Meter Perseg</t>
  </si>
  <si>
    <t>P02.1822</t>
  </si>
  <si>
    <t>11963/P02.1822/P02/08/2025</t>
  </si>
  <si>
    <t>P01.5942</t>
  </si>
  <si>
    <t>12062/P01.5942/P01/08/2025</t>
  </si>
  <si>
    <t>ATAS NAMA : F WINDY KROISNAWATI NO BPKB : K 05177205 NO POLISI : p 6220 ti MERK : SUZUKI TYPE/MODEL : UD 110 NE TAHUN/WARNA : 2013/PUTIH BIRU NO RANGKA : MH8CE44DADJ116300 NO MESIN : AE521ID714017</t>
  </si>
  <si>
    <t>P02.1818</t>
  </si>
  <si>
    <t>11888/P02.1818/P02/07/2025</t>
  </si>
  <si>
    <t>P02.1813</t>
  </si>
  <si>
    <t>11813/P02.1813/P02/07/2025</t>
  </si>
  <si>
    <t>P02.1830</t>
  </si>
  <si>
    <t>12002/P02.1830/P02/08/2025</t>
  </si>
  <si>
    <t>P03.3474</t>
  </si>
  <si>
    <t>11811/P03.3474/P03/07/2025</t>
  </si>
  <si>
    <t>TAMBAHAN MODAL USAHA KOS-KOS AN</t>
  </si>
  <si>
    <t>Atas nama : Aries Purwantoro No.BPKB : N-07115059 No Polisi : P 5189 RD Merk : Honda Type / Model : NF11B1D M/T Tahun/Warna : 2018 / Hitam No. Rangka : MH1KF4112JK074784 No Mesin : KF41E1015459</t>
  </si>
  <si>
    <t>P08.327</t>
  </si>
  <si>
    <t>12162/P08.327/P08/09/2025</t>
  </si>
  <si>
    <t>P01.5855</t>
  </si>
  <si>
    <t>11868/P01.5855/P01/07/2025</t>
  </si>
  <si>
    <t>BIAYA PEDIDIKAN ANAK</t>
  </si>
  <si>
    <t>Atas nama : Putu Sumartana No.BPKB : N-00167913 No Polisi : P 1399 QC Merk : ISUZU Type / Model : TBR54 PRLC STD Tahun/Warna : 1997 / BIRU TUA MTL No. Rangka : MHCTBR54BTC011498 No Mesin : E021498</t>
  </si>
  <si>
    <t>P02.1850</t>
  </si>
  <si>
    <t>12207/P02.1850/P02/09/2025</t>
  </si>
  <si>
    <t>1. Jaminan atas nama : Endah Susanti 2. No. SHM : 3305 3. Letak jaminan : Kelurahan Tegal Besar, Kecamatan Kaliwates, Kabupaten Jember. 4. Luas jaminan : 108 M²</t>
  </si>
  <si>
    <t>SERTIPIKAT, DEPOSITO SISUKA</t>
  </si>
  <si>
    <t>Atas Nama : HERMIN WULANDARI Nomor :4760, 4825 Letak : KEL TEGAL BESAR Luas: 50,46 Meter Persegi, 03.3.01.00451 Rp. 5.000.000</t>
  </si>
  <si>
    <t>P01.5916</t>
  </si>
  <si>
    <t>12007/P01.5916/P01/08/2025</t>
  </si>
  <si>
    <t>P09.65</t>
  </si>
  <si>
    <t>11909/P09.65/P09/07/2025</t>
  </si>
  <si>
    <t>MEMBELI LAPTOP SECOND</t>
  </si>
  <si>
    <t>1 (satu) unit kendaraan roda dua, merk Honda type NF11BIDM/T tahun 2009 dengan No. Polisi P 4315 RQ No. BPKB F 9296152 No rangka MH1JBC1139K232840 no. mesin JBC1E1237381 warna Hitam atas nama Hadi Ismail. 1 (satu) unit kendaraan roda empat, merk OPCL type VECTRA CD tahun 1995 dengan No. Polisi L 741 DD No. BPKB SB 0066388 No rangka GR 00908 no. mesin 25364616 warna Hitam Met atas nama Tjandra Justisianti.</t>
  </si>
  <si>
    <t>P03.3466</t>
  </si>
  <si>
    <t>11773/P03.3466/P03/07/2025</t>
  </si>
  <si>
    <t>TAMBAHAN MODAL JUAL SEMBAKO</t>
  </si>
  <si>
    <t>P03.3470</t>
  </si>
  <si>
    <t>11802/P03.3470/P03/07/2025</t>
  </si>
  <si>
    <t>TAMBAHAN MODAL USAHA EMPING</t>
  </si>
  <si>
    <t>3 BPKB</t>
  </si>
  <si>
    <t>e. 1 (satu) unit kendaraan roda dua, merk Honda type NC110D, tahun 2006, dengan no. BPKB I-06457273 No rangka MH1JF12136K024993, no. mesin JF12E1026968, No.Polisi P 5508 SX warna Hitam Merah, atas nama Ika Sulistyowati f. 1 (satu) unit kendaraan roda dua, merk Honda type NF11B1D M/T, tahun 2010, dengan no. BPKB H03553640 No rangka MH1JBC111AK989224, no. mesin JBC1E1990152, No.Polisi P 4831 QY warna HITAM, atas nama Pujiono g. 1 (satu) unit kendaraan roda dua, merk Suzuki type EN125, tahun 2008, dengan no. BPKB E 9823369 J No rangka MHSEN125ABJ.5017, no. mesin F405.ID.501990, No.Polisi P 4749 Q warna HITAM, atas nama Rendy Wahyu Pradana yang sudah dibeli Pujiono</t>
  </si>
  <si>
    <t>P02.1848</t>
  </si>
  <si>
    <t>12178/P02.1848/P02/09/2025</t>
  </si>
  <si>
    <t>TAMBAHAN MODAL TANAM CABE</t>
  </si>
  <si>
    <t>P01.5846</t>
  </si>
  <si>
    <t>11845/P01.5846/P01/07/2025</t>
  </si>
  <si>
    <t>BPKB MOTOR DAN MOBIL</t>
  </si>
  <si>
    <t>b. 1 (satu) unit kendaraan roda empat, merk TOYOTA type KIJANG NF, tahun 2001, dengan no. BPKB 0322483 G No rangka MHFIIKF7010032171, no. mesin 7K.0396289, No.Polisi B 8683 RL warna BIRU MET, atas nama KASNA SAPUTRA. c. 1 (satu) unit kendaraan roda dua, merk HONDA type NF121CF MT, tahun 2012, dengan no. BPKB 04461054 J No rangka MH1JBG118CK099653, no. mesin JBG1E1099233, No.Polisi P 5865 HA warna HITAM, atas nama EDY SUSANTO.</t>
  </si>
  <si>
    <t>Atas nama : Eka Devitrianti No.BPKB : O-02579200 No Polisi : P 2380 GK Merk : HONDA Type / Model : D1B02N3L2 A/T Tahun/Warna : 2019/ MERAH HITAM No. Rangka MH1JM1128KK046160 No Mesin : JM11E2028260</t>
  </si>
  <si>
    <t>P03.3529</t>
  </si>
  <si>
    <t>11997/P03.3529/P03/08/2025</t>
  </si>
  <si>
    <t>Atas nama : Suliswanto No.BPKB : J-03044119 No Polisi : AG 4601 FW Merk : Honda Type / Model : NC12A1CF A/T Tahun/Warna : 2012 / MERAH No. Rangka : MH1JFB11XCK377329 No Mesin : JEB1E1373678</t>
  </si>
  <si>
    <t>Atas nama : Hyanuari Susianti. No.BPKB : M-10011852 No Polisi : L 1357 PV Merk : TOYOTA Type / Model : B401RAGMZFJ (CALYA12 G M/T) Tahun/Warna : 2017 / HITAM No. Rangka : MHKA6GJ6JHJ045008 No Mesin : 3NRH121805</t>
  </si>
  <si>
    <t>Atas nama : Ridho Adhidarma No. BPKB : S-05560051 No. Polisi : P 4940 JI Merk : YAMAHA Type / Model : BGH A/T Tahun/Warna : 2022/HITAM No. Rangka : MH3SG5620NJ639908 No. Mesin : G3L8E1302701</t>
  </si>
  <si>
    <t>Atas nama : Maria Suryati No. BPKB : K-07810723 No. Polisi : AA 5249 VT Merk : Honda Type / Model : NC12A1CF AT Tahun/Warna : 2013 / Merah No. Rangka : MH1JFB128DK001254 No. Mesin : JFB1E1956095</t>
  </si>
  <si>
    <t>P02.1803</t>
  </si>
  <si>
    <t>11781/P02.1803/P02/07/2025</t>
  </si>
  <si>
    <t>TAMBAHAN MODAL USAHA FROZEN FOOD</t>
  </si>
  <si>
    <t>Atas nama : Wahyuniati No.BPKB : U-00622948 No Polisi : P 2361 JT Merk : HONDA Type / Model : HIB02N41L0 A/T Tahun/Warna : 2023/Putih No. Rangka : MH1JM8216PK920849 No Mesin : JM82E1920341</t>
  </si>
  <si>
    <t>P03.3535</t>
  </si>
  <si>
    <t>12014/P03.3535/P03/08/2025</t>
  </si>
  <si>
    <t>1. Jaminan atas nama : Tuan Kukuh Hariyanto dan Tuan Duwi Nofa Diayanto 2. No. SHM : 5813 3. Letak jaminan : Kelurahan Kebonsari, Kecamatan Sumbersari, Kabupaten Jember. 4. Luas jaminan : 93 M²</t>
  </si>
  <si>
    <t>Atas nama : Saiful No. BPKB : Q01865971 No. Polisi : P 6265 IB V Merk : HONDA Type / Model : X1H02N35M1 AT Tahun/Warna : 2020/ COKLAT No. Rangka : MH1KF4128LK094193 No. Mesin : KF41E2098295</t>
  </si>
  <si>
    <t>Atas nama : Yuda Affrila No. BPKB : O-03002734 No. Polisi : P 4144 GM Merk : HONDA Type / Model : X1H02N35M1 A/T Tahun/Warna : 2019 / MERAH No. Rangka : MH1KF411KKK419349 No. Mesin : KF41E1420167 Atas nama : HENDRIYANTO No. BPKB : G 3179402 J No. Polisi : P 2105 XN Merk : HONDA Type / Model : NF11AIC M/T Tahun/Warna : 2010 / HITAM SILVER No. Rangka : M1JBB116AK219806 No. Mesin : JBB1E1213168</t>
  </si>
  <si>
    <t>Q 04185239 P 6249 ID HONDA C1NO2N42LG A/T 2020 Hitam Coklat MHLJM7L16LR157138 JH71E1157974 Indah Bilqis Aprilia</t>
  </si>
  <si>
    <t>P03.3491</t>
  </si>
  <si>
    <t>11878/P03.3491/P03/07/2025</t>
  </si>
  <si>
    <t>Atas nama : Martinus Immanuel Chandar No. BPKB : K-11173980 No. Polisi : P 6532 TY Merk : Honda Type / Model : NC11D1CF A/T Tahun/Warna : 2013 / Hitam No. Rangka : MH1JFA113DK178831 No. Mesin : JFA1E1174774</t>
  </si>
  <si>
    <t>d. 1 (satu) unit kendaraan roda dua, merk YAMAHA, type 2SX, tahun 2016, dengan No. Polisi P 3067 QB, No.BPKB M 04726571, No. Rangka MH3SE9010GJ169996, No. Mesin E3R4E0214913, Warna MERAH, atas nama F Sekarsari Ragil R . e. 1 (satu) unit kendaraan roda dua, merk HONDA, type NF11B1D M/T, tahun 2010, dengan No. Polisi P 4776 QR, No.BPKB H-02041219, No. Rangka MH1JBC111AK915821, No. Mesin JBC1E1909637, Warna HITAM, atas nama F Sekarsari Ragil .</t>
  </si>
  <si>
    <t>P02.1840</t>
  </si>
  <si>
    <t>12106/P02.1840/P02/09/2025</t>
  </si>
  <si>
    <t>P01.5876</t>
  </si>
  <si>
    <t>11908/P01.5876/P01/07/2025</t>
  </si>
  <si>
    <t>Atas nama : Martha Yunita No. BPKB : Q-05221097 No. Polisi : P 3587 IM Merk : HONDA Type / Model : H1B02N42L0 A/T Tahun/Warna : 2021/ HITAM No. Rangka : MH1JM9115MK580662 No. Mesin : JM91E1580282 Atas nama : Sri Wahyuningsih AR No. BPKB : A-5106751 No. Polisi : A 1059 AB Merk : TOYOTA Type / Model : KF42 Tahun/Warna : 1996/ BIRU No. Rangka : MHF21KF4200040968 No. Mesin : 7K-0097167</t>
  </si>
  <si>
    <t>P03.3583</t>
  </si>
  <si>
    <t>12157/P03.3583/P03/09/2025</t>
  </si>
  <si>
    <t>BPKB MOTOR HONDA</t>
  </si>
  <si>
    <t>Atas nama : Budi No. BPKB : K- 13054776 No. Polisi : P 6539 TC Merk : HONDA Type / Model : NC12AF2CB1 A/T Tahun/Warna : 2014 / HITAM No. Rangka : MH1JFF119EK340671 No. Mesin : 28D2186550</t>
  </si>
  <si>
    <t>P01.5974</t>
  </si>
  <si>
    <t>12161/P01.5974/P01/09/2025</t>
  </si>
  <si>
    <t>Atas nama : Mardianto Harahap No. BPKB : L-05121245 No. Polisi : P 4846 RL Merk : YAMAHA Type / Model : 28D ( MIO/AL115S )A/T Tahun/Warna : 2012 / PUTIH No. Rangka : MH328D40DCJ735525 No. Mesin : 28D3735168</t>
  </si>
  <si>
    <t>P04.574</t>
  </si>
  <si>
    <t>11641/P04.574/P04/07/2025</t>
  </si>
  <si>
    <t>3 SERTIPIKAT</t>
  </si>
  <si>
    <t>Jaminan I : 1. Jaminan atas nama : Bertus Stevanus Lee Tabe 2. No. SHM : 2148 3. Letak jaminan : Kelurahan Sempusari 4. Luas jaminan : 77 meter persegi Jaminan II : 1. Jaminan atas nama : Joka Septian 2. No. SHM : 9284 3. Letak jaminan : Kelurahan Sumbersari 4. Luas jaminan : 178 meter persegi Jaminan III : 1. Jaminan atas nama : Bertus Stevanus Lee Tabe 2. No. SHGB : 2277 3. Letak jaminan : Kelurahan Sempusari 4. Luas jaminan : 77 meter persegi</t>
  </si>
  <si>
    <t>c. 1 (satu) unit kendaraan roda dua, merk YAMAHA/3CI ( V-IXION), type SPM MOTOR, tahun 2009, dengan No. Polisi P 5705 NA, No. BPKB G 1188321, No. Rangka MH33C10029K301669, No. Mesin 3C1303888, warna Merah Marun, atas nama Sunawan SPD,MPD yang sudah di beli oleh Masdany Unggul Adiyanta kwitansi terlampir. d. 1 (satu) unit kendaraan roda dua, merk YAMAHA, type 35D (VEGA ZR), tahun 2009, dengan No. Polisi P 4381 HZ, No. BPKB M-02351823, No. Rangka MH335D0019J008924, No. Mesin 35D008970, warna Merah, atas nama Wiwik Riasih.</t>
  </si>
  <si>
    <t>Atas nama : MASHERI No.BPKB : J-03535018 No Polisi : P 5925 TN Merk : HONDA Type / Model : NF 125 TD Tahun/Warna : 2007 / HITAM SYLVER No. Rangka : MH1JB81177K084167 No Mesin : JB81E1086395 Atas nama : BASORI No.BPKB : M-02639535 No Polisi : P 5494 SL Merk : YAMAHA Type / Model : 4D7 VEGA R Tahun/Warna : 2008 / MERAH No. Rangka : MH34D70028J836352 No Mesin : 4D7836384</t>
  </si>
  <si>
    <t>AJB PROSES SERTIPIKAT</t>
  </si>
  <si>
    <t>AJB NO 39/2023 LUAS 60 meter persegi</t>
  </si>
  <si>
    <t>Atas nama : Bayu Bawono No. BPKB : D 5769427J No. Polis i : P 5853 VH Merk : SUZUKI Type / Model : FD125XSD Tahun/Warna : 2005/HITAM SILVER No. Rangka : MH8FD125X5J.5931 No. Mesin : F403.ID.592992</t>
  </si>
  <si>
    <t>Atas nama : Kintinu Soares Borges No.BPKB : U-01282631 No Polisi : P 5859 JO Merk : YAMAHA Type / Model : 1 PA Tahun/Warna : 2013/ Hitam Merah No. Rangka : MH31PA002DK207117 No Mesin : 1PA207496</t>
  </si>
  <si>
    <t>1. Atas Nama : Rina Kartiningsih 2. No. SHGB : 3525 3. Letak Jaminan : Kelurahan Patrang 4. Luas Jaminan : 72 m2</t>
  </si>
  <si>
    <t>P01.5975</t>
  </si>
  <si>
    <t>12151/P01.5975/P01/09/2025</t>
  </si>
  <si>
    <t>1. Atas nama : Ratnaningsih Franciska 2. No.BPKB : G 0759231 J 3. No Polisi : P 4457 SK 4. Merk : Yamaha 5. Type / Model : 28D (MIO/AL115S) 6. Tahun/Warna : 2009 / Hitam 7. No. Rangka : MH328D0039K957110 8. No Mesin : 28D953811</t>
  </si>
  <si>
    <t>Atas nama : Zainal Arifin No. BPKB : T-02257420 No. Polisi : P 3424 JR Merk : HONDA Type / Model : H1B02N42L0 A/T Tahun/Warna : 2023/HITAM No. Rangka : MH1JM9125PK703096 No. Mesin : JM91E2703344</t>
  </si>
  <si>
    <t>T-06031612 P 2747 JW HONDA H1B02N41L0 A/T 2023 PUTIH MH1JM8123PK490160 E3R2E3460363 MUZAYANA</t>
  </si>
  <si>
    <t>P01.5890</t>
  </si>
  <si>
    <t>11948/P01.5890/P01/08/2025</t>
  </si>
  <si>
    <t>P01.5862</t>
  </si>
  <si>
    <t>11894/P01.5862/P01/07/2025</t>
  </si>
  <si>
    <t>P01.5959</t>
  </si>
  <si>
    <t>12099/P01.5959/P01/09/2025</t>
  </si>
  <si>
    <t>Atas nama : Firman Yahya No. BPKB : L-03162951 No. Polisi : P 6640 S Merk : HONDA Type / Model : GL15B1DF M/T Tahun/Warna : 2014/ Putih No. Rangka : MH1KC5211EK180159 No. Mesin : KC52E1178161</t>
  </si>
  <si>
    <t>P03.3593</t>
  </si>
  <si>
    <t>12131/P03.3593/P03/09/2025</t>
  </si>
  <si>
    <t>P05.173</t>
  </si>
  <si>
    <t>11983/P05.173/P05/08/2025</t>
  </si>
  <si>
    <t>Atas nama : Achmad Nur Basori No. BPKB : T-06031863 No. Polisi : P 2976 JW Merk : HONDA Type / Model : H1B02N42L0 A/T Tahun/Warna : 2023/PUTIH No. Rangka : MH1JM9126PK891322 No. Mesin : JM91E2889201</t>
  </si>
  <si>
    <t>P02.1807</t>
  </si>
  <si>
    <t>11820/P02.1807/P02/07/2025</t>
  </si>
  <si>
    <t>P03.3475</t>
  </si>
  <si>
    <t>11808/P03.3475/P03/07/2025</t>
  </si>
  <si>
    <t>TAMABAHAN MODAL USAHA IKAN</t>
  </si>
  <si>
    <t>P03.3560</t>
  </si>
  <si>
    <t>12073/P03.3560/P03/08/2025</t>
  </si>
  <si>
    <t>Atas nama : Lika Wati No.BPKB : U-00225937 No Polisi : P 3114 JZ Merk : HONDA Type / Model : L1F02N37L1 A/T Tahun/Warna : 2023/HITAM No. Rangka : MH1JMD114PK268680 No Mesin : JMD1E1268875</t>
  </si>
  <si>
    <t>P03.3476</t>
  </si>
  <si>
    <t>11809/P03.3476/P03/07/2025</t>
  </si>
  <si>
    <t>Atas nama : Suyoko Dewantoro No.BPKB : M-04445904 No Polisi : N 1634 ZJ Merk : MITSUBISHI Type / Model : T 120 SS Tahun/Warna : 1994 / PUTIH MET No. Rangka : T120SB023977 No Mesin : 4G17C3X1949</t>
  </si>
  <si>
    <t>Atas nama : NIHAYATUL LAILY No. BPKB : 0156043 J No. Polisi : P 3761 RX Merk : YAMAHA Type / Model : 14D Tahun/Warna : 2008/PERAK No. Rangka : MH3SG3050JJ22504 No. Mesin : 14D 113188</t>
  </si>
  <si>
    <t>P03.3568</t>
  </si>
  <si>
    <t>12082/P03.3568/P03/09/2025</t>
  </si>
  <si>
    <t>Atas nama : H Joseph Masrianto No. BPKB : L-01690315 No. Polisi : P 6541 RG Merk : YAMAHA Type / Model : 2 BJ Tahun/Warna : 2014/PUTIH HITAM No. Rangka : MH32BJ003EJ401254 No. Mesin : 2BJ401362</t>
  </si>
  <si>
    <t>P01.5970</t>
  </si>
  <si>
    <t>12143/P01.5970/P01/09/2025</t>
  </si>
  <si>
    <t>Atas nama : Jayanti Umami No. BPKB : E 5162241 J No. Polisi : P 3425 QN Merk : SUZUKI Type / Model : FH 125 D Tahun/Warna : 2007/HITAM ABU ABU No. Rangka : MHBBF44WA7J123425 No. Mesin : F48110123718</t>
  </si>
  <si>
    <t>P03.3483</t>
  </si>
  <si>
    <t>11761/P03.3483/P03/07/2025</t>
  </si>
  <si>
    <t>Atas nama : Zaini No. BPKB : Q 04367332 No. Polisi : P 6052 IF Merk : YAMAHA Type / Model : 44D (XEON) Tahun/Warna : 2011/ MERAH MARUN No. Rangka : MH344D001AK085130 No. Mesin : 44D085367</t>
  </si>
  <si>
    <t>P01.5951</t>
  </si>
  <si>
    <t>12063/P01.5951/P01/09/2025</t>
  </si>
  <si>
    <t>Atas nama : Fanny Kurniawan No.BPKB : L-12189557 No Polisi : P 6860 RU Merk : HONDA Type / Model : X1B02N04L0 A/T Tahun/Warna : 2015/Hitam No. Rangka : MHJFP214FK038260 No Mesin : JFP2E1037865</t>
  </si>
  <si>
    <t>1. Atas Nama : Susilowati 2. No. SHGB : 285 3. Letak Jaminan : Kel. Rowoindah 4. Luas Jaminan : 331m2</t>
  </si>
  <si>
    <t>Atas nama : HOSNA B LUTFI No.BPKB : K-07302 No Polisi : P 2527 NY Merk : Honda Type / Model : NF11B1D1 M/T Tahun/Warna : 2013 / HITAM No. Rangka : MH1JBE115DK615649 No Mesin : JBE1E1604281</t>
  </si>
  <si>
    <t>P01.5947</t>
  </si>
  <si>
    <t>12067/P01.5947/P01/08/2025</t>
  </si>
  <si>
    <t>P01.5865</t>
  </si>
  <si>
    <t>11891/P01.5865/P01/07/2025</t>
  </si>
  <si>
    <t>SERVICE MOTOR DAN BAYAR PAJAK</t>
  </si>
  <si>
    <t>P01.5866</t>
  </si>
  <si>
    <t>11897/P01.5866/P01/07/2025</t>
  </si>
  <si>
    <t>Atas nama : Avika Aditya Febriana Putri No.BPKB : BPKB U-00622934 No Polisi : P 2346 JT Merk : HONDA Type / Model : F1C02N46L0 Tahun/Warna : 2023/ Putih No. Rangka : MH1JM0312PK144493 No Mesin : JM03E1144504</t>
  </si>
  <si>
    <t>3 BPKB MOTOR</t>
  </si>
  <si>
    <t>b. 1 (satu) unit kendaraan roda dua, merk Honda type 1KP A/T, tahun 2012, dengan no. BPKB J-03722576 No rangka MH31KP00ACJ219518, no. mesin IKP219980, No.Polisi P 5908 QJ, warna PUTIH, atas nama Estu Andriyani. c. 1 (satu) unit kendaraan roda dua, merk Suzuki type FW 110 SD, tahun 2010, dengan no. BPKB P-02538363 No rangka MH8BE4DUAAJ128782, no. mesin E 470ID132519, No.Polisi P 3765 HT, warna MERAH atas nama Budi Kuncoro. d. 1 (satu) unit kendaraan roda dua, merk Honda type D1B02N13L2 A/T, tahun 2018, dengan no. BPKB N-06900848 No rangka MH1JM111XJK593274, no. mesin JM11E1571568, No.Polisi P 2881 PC, warna Merah Putih, atas nama Yosef Yoga Himawan.</t>
  </si>
  <si>
    <t>P01.5932</t>
  </si>
  <si>
    <t>12028/P01.5932/P01/08/2025</t>
  </si>
  <si>
    <t>P03.3579</t>
  </si>
  <si>
    <t>12103/P03.3579/P03/09/2025</t>
  </si>
  <si>
    <t>P03.3580</t>
  </si>
  <si>
    <t>12130/P03.3580/P03/09/2025</t>
  </si>
  <si>
    <t>P01.5873</t>
  </si>
  <si>
    <t>11905/P01.5873/P01/07/2025</t>
  </si>
  <si>
    <t>b. 1 (satu) unit kendaraan roda dua, merk HONDA, type H1B02N42L0 A/T, tahun 2022, dengan No. Polisi P 3460 JC, No. BPKB S-01820312, No. Rangka MH1JM9120NK114938, No. Mesin JM91E2113939, warna BIRU, atas nama Arman Yuliwantoko c. 1 (satu) unit kendaraan roda dua, merk HONDA, type NF11B1D M/T, tahun 2010, dengan No. Polisi P 4833 TJ, No. BPKB H-03483699, No. Rangka MH33C10029K301669, No. Mesin 3C1303888, warna Hitam, atas nama Arman Yuliwantoko.</t>
  </si>
  <si>
    <t>Atas nama : I Ketut Senti No.BPKB : DK290QW No Polisi : DK 1825 DK Merk : TIMOR Type / Model : S 515 Tahun/Warna : 1999 / MERAH MtL No. Rangka : KNAFA3212V5580368 No Mesin : B5785651</t>
  </si>
  <si>
    <t>P01.5836</t>
  </si>
  <si>
    <t>11851/P01.5836/P01/07/2025</t>
  </si>
  <si>
    <t>P01.5933</t>
  </si>
  <si>
    <t>12034/P01.5933/P01/08/2025</t>
  </si>
  <si>
    <t>Atas nama : Elly Helena No. BPKB : K-07307920 No. Polisi : P 6255 RT Merk : HONDA Type / Model : NC11BF1D A/T Tahun/Warna : 2013/ PUTIH No. Rangka : MH1JFD220DK134858 No. Mesin : JFDZE2125288</t>
  </si>
  <si>
    <t>P03.3541</t>
  </si>
  <si>
    <t>12018/P03.3541/P03/08/2025</t>
  </si>
  <si>
    <t>JAMINAN 1 1. Atas nama : Muhamat Ali Wafi 2. No.BPKB : T-02835328 3. No Polisi : P 2949 JO 4. Merk : HONDA 5. Type / Model : F1C02N46L0 A/T 6. Tahun/Warna : 2023 / Putih 7. No. Rangka : MH1JM0310PK154620 8. No Mesin : JM03E1154555</t>
  </si>
  <si>
    <t>P03.3582</t>
  </si>
  <si>
    <t>12136/P03.3582/P03/09/2025</t>
  </si>
  <si>
    <t>c. 1 (satu) unit kendaraan roda dua, merk HONDA type C1M02N41L0 A/T, dengan no. BPKB 0-04754015 , no rangka MH1JM7116KK003141 no.mesin JM71E1003141, No.Polisi P 5776 GT, Tahun 2019 warna HITAM COKLAT atas nama Lusia Reta Arinda.</t>
  </si>
  <si>
    <t>P01.5944</t>
  </si>
  <si>
    <t>12051/P01.5944/P01/08/2025</t>
  </si>
  <si>
    <t>1. Jaminan atas nama : Marliyah 2. No. SHM : 1989 3. Letak jaminan : Kelurahan Kemiri, Kecamatan Panti, Kabupaten Jember. 4. Luas jaminan : 634 M²</t>
  </si>
  <si>
    <t>P03.3534</t>
  </si>
  <si>
    <t>11974/P03.3534/P03/08/2025</t>
  </si>
  <si>
    <t>TAMBAHAN MODAL USAHA LAS DAN NEON BOX</t>
  </si>
  <si>
    <t>P03.3587</t>
  </si>
  <si>
    <t>12138/P03.3587/P03/09/2025</t>
  </si>
  <si>
    <t>1. Atas nama : MAHRUS ALI SODIKIN 2. No. BPKB : L-03892311 3. No. Polisi : P 3083 MY 4. Merk : YAMAHA 5. Type / Model : 54P (CAST WHEEL) A/T 6. Tahun/Warna : 2014/MERAH 7. No. Rangka : MH3SG3190JJ22504 8. No. Mesin : 54P1072014</t>
  </si>
  <si>
    <t>Atas nama : SUBANDI No. BPKB : H-01037266 No. Polisi : P 4736 TC Merk : HONDA Type / Model : NC11B3CA/T Tahun/Warna : 2010/MERAH No. Rangka : MH3SG3190JJ22504 No. Mesin : JF51E1179162</t>
  </si>
  <si>
    <t>P03.3597</t>
  </si>
  <si>
    <t>12175/P03.3596/P03/09/2025</t>
  </si>
  <si>
    <t>Atas nama : IYAS No. BPKB : L-08943074 No. Polisi : F 4249 IO Merk : HONDA Type / Model : ACH1M21504 A/T Tahun/Warna : 2014/ORANGE PUTIH No. Rangka : MH3SG3190JJ22504 No. Mesin : JFM2E1933825</t>
  </si>
  <si>
    <t>P03.3472</t>
  </si>
  <si>
    <t>11791/P03.3472/P03/07/2025</t>
  </si>
  <si>
    <t>Atas nama : Khamdani No. BPKB : D 5769427J No. Polisi : P 8108 RR Merk : HONDA Type / Model : C100 Tahun/Warna : 1996/HITAM No. Rangka : MH8FD125X5J.5931 No. Mesin : NFGC. 1252012</t>
  </si>
  <si>
    <t>P01.5901</t>
  </si>
  <si>
    <t>11957/P01.5901/P01/08/2025</t>
  </si>
  <si>
    <t>P03.3531</t>
  </si>
  <si>
    <t>11984/P03.3531/P03/08/2025</t>
  </si>
  <si>
    <t>P01.5884</t>
  </si>
  <si>
    <t>11939/P01.5884/P01/07/2025</t>
  </si>
  <si>
    <t>1. Atas nama : Lutfi Hasan Basri 2. No. BPKB : J00500043 3. No. Polisi : P 6984 NE V 4. Merk : HONDA 5. Type / Model : NC11B3C A/T 6. Tahun/Warna : 2012/ BIRU PUTIH 7. No. Rangka : MH1JF513XCK399407 8. No. Mesin : JF51E3385082</t>
  </si>
  <si>
    <t>P01.5938</t>
  </si>
  <si>
    <t>12033/P01.5938/P01/08/2025</t>
  </si>
  <si>
    <t>P03.3533</t>
  </si>
  <si>
    <t>12006/P03.3532/P03/08/2025</t>
  </si>
  <si>
    <t>Atas nama : Siti Lutfiyah No.BPKB : N 10513042 No Polisi : P 2686 LX Merk : HONDA Type / Model : XIB02N04L0 A/T Tahun/Warna : 2018 / MERAH No. Rangka : MH1JM5111JK045140 No Mesin : JM51E1044889</t>
  </si>
  <si>
    <t>P03.3598</t>
  </si>
  <si>
    <t>12173/P03.3598/P03/09/2025</t>
  </si>
  <si>
    <t>P01.5983</t>
  </si>
  <si>
    <t>12182/P01.5983/P01/09/2025</t>
  </si>
  <si>
    <t>P03.3605</t>
  </si>
  <si>
    <t>12192/P03.3605/P03/09/2025</t>
  </si>
  <si>
    <t>satu unit kendaraan roda dua, merk Honda, type A1F02N37M1 AT, tahun 2021, dengan no. BPKB Q-06759966, No rangka MH1JM5119MK888894, No. mesin JM51E1888150, No.Polisi P 4614QAH, warna HITAM, atas nama ROBERTHA SULASTRIYAH.</t>
  </si>
  <si>
    <t>Simpanan Saham Anggota Nomer Buku 14053.004.1001.899 dengan jumlah Rp. 3.830.000 ,- Simpanan Sipijar Nomer Buku 04.1.10.00005 dengan jumlah Rp. 7.639.188 ,-</t>
  </si>
  <si>
    <t>P01.5906</t>
  </si>
  <si>
    <t>12005/P01.5906/P01/08/2025</t>
  </si>
  <si>
    <t>P02.1823</t>
  </si>
  <si>
    <t>11949/P02.1823/P02/08/2025</t>
  </si>
  <si>
    <t>P02.1806</t>
  </si>
  <si>
    <t>11815/P02.1806/P02/07/2025</t>
  </si>
  <si>
    <t>P03.3609</t>
  </si>
  <si>
    <t>12198/P03.3609/P03/09/2025</t>
  </si>
  <si>
    <t>modal usaha nasi kuning</t>
  </si>
  <si>
    <t>BPKB SEPEDA MOTOR, BPKB MOBIL</t>
  </si>
  <si>
    <t>a. 1 (satu) unit kendaraan roda dua, merk Honda, type K1H02N14L0 AT, tahun 2015, dengan no. BPKB L-12486371, No. rangka MH1KF1110FK106069, No. Mesin KF11E1111718, No.Polisi P 4735 VB, warna Hitam, atas nama ACHMAD., a. 1 (satu) unit Kendaraan Roda 4 (Empat) Merk : NISSAN, Type : MARCH 1.2 4X2 MT, Tahun : 2013, No. Rangka : MNTFBUK13Z0077048, No. Mesin : HR12388957B, No. Polisi : P 472 X, Atas Nama : ERVINA W. SETYANINGRUM. SPI sebagaimana di uraikan dalam BPKB Nomor : L-03638342</t>
  </si>
  <si>
    <t>a. 1 (satu) unit kendaraan roda dua, merk HONDA, type VARIO 125 ISS, tahun 2025, dengan no. BPKB , No.rangka MH1JMD118SK945061, No.mesin JMD1E1944572, No.Polisi P , warna MERAH, atas nama TIO ROIDA SIHOMBING.</t>
  </si>
  <si>
    <t>P01.5982</t>
  </si>
  <si>
    <t>12155/P01.5982/P01/09/2025</t>
  </si>
  <si>
    <t>1 (satu) unit kendaraan roda dua, merk honda, type B5D02K29M2 M/T, tahun 2021, dengan no. BPKB Q-04370844, No. rangka MH1KC0216MK125269, No. mesin KC02E1124729, No.Polisi P 6596 RM, warna HITAM MERAH, atas nama STANISLAUS RIYO ROSARIO.</t>
  </si>
  <si>
    <t>P03.3589</t>
  </si>
  <si>
    <t>12159/P03.3589/P03/09/2025</t>
  </si>
  <si>
    <t>pertanian</t>
  </si>
  <si>
    <t>b. Sebidang tanah perumahan ( ada bangunan )Dengan Sertipikat Hak Milik No 1554, seluas 89 meter persegi sebagaimana yang diuraikan dalam Gambar Situasi No 00101/2007, tertanggal 17-09-2007, yang terletak di Wilayah Propinsi Jawa Timur, Kabupaten Banyuwangi, Kecamatan Banyuwangi, Kelurahan Sobo. No Daftar isian 208 No 11729/2007, No Daftar isian 307 No 34102/2007. Tercantum atas nama Lestari Hary Prastowo Sarjana Sosial. Dengan tanda tanda batas tembok - tembok, dan memenuhi Peraturan Menteri Agraria Nomer 8 tahun 1961. Berikut segala sesuatu yang berdiri, tumbuh dan tertanam di atasnya, yang karena sifatnya, maksudnya atau menurut hukum dianggap sebagai harta tetap, terutama sebuah bangunan rumah yang berdiri diatasnya.</t>
  </si>
  <si>
    <t>Sebidang tanah perumahan Dengan Sertipikat Hak Milik No 3743, seluas 66 meter persegi sebagaimana yang diuraikan dalam Surat Ukur No 00463/2018, tertanggal 24-07-2018, yang terletak di Wilayah Propinsi Jawa Timur, Kabupaten Banyuwangi, Kecamatan Rogojampi, Kelurahan Rogojampi dengan penunjuk Hak Yasan Petok C Desa Nomor : 1627 Persil : 21 D.I Luas :+/- 5.210 Meter persegi dengan tanda-tanda batas tembok dan tugu beton. Berikut segala sesuatu yang berdiri, tumbuh dan tertanam di atasnya, yang karena sifatnya, maksudnya atau menurut hukum dianggap sebagai harta tetap, terutama sebuah bangunan rumah yang berdiri diatasnya.</t>
  </si>
  <si>
    <t>a. 1 (satu) unit kendaraan roda 2 (Dua), merk Yamaha type 50C(T135HC), tahun 2013, dengan no. BPKB K-05382647 No. rangka MH350C003DK541962, No. mesin 50C541945, No.Polisi P 4129 XK, warna UNGU, atas nama HENGKY KURNIAWAN. b. 1 (satu) unit kendaraan roda 2 (Dua), merk Yamaha type 2BU, tahun 2015, dengan no. BPKB M-00738760 No. rangka MH32BU002FJ191997 No. mesin 2BU192010, No.Polisi P 6158 QAH, warna PUTIH, atas nama NOVIANA.</t>
  </si>
  <si>
    <t>1 (satu) unit kendaraan roda dua, merk Honda type ATI1T21B01 A/T, tahun 2014, dengan no. BPKB L-07665192 No rangka MH1JFH119EK199838, no. mesin JFH1E1197510, No.Polisi P 2543 YM, warna Biru, atas nama Diah Agustin Hariyanti.</t>
  </si>
  <si>
    <t>BPKB SEPEDA MOTOR, BPKB MOTOR</t>
  </si>
  <si>
    <t>a. 1 (satu) unit kendaraan roda dua, merk Honda, type NF11 B1D MT / REVO 110, tahun 2010, dengan No. BPKB H-01563076, No rangka MH1JBC11XAK885945, No. mesin JFU1E193454, No.Polisi P 4503 QT, warna Hitam, atas nama Aditya Riski Ahmadiansyah., 1 (satu) unit kendaraan roda dua, merk SUZUKI, type UK 125 SC A/T, tahun 2010, dengan No. BPKB H-07302996, No rangka MH8CF48NAAJ199821, No. mesin F4A9ID199733, No.Polisi P 6187 ZA, warna SILVER, atas nama Aditya Hary Qindiharto.</t>
  </si>
  <si>
    <t>sertipikat, BPKB SEPEDA MOTOR</t>
  </si>
  <si>
    <t>a. Sebidang tanah Perumahan (Ada Bagunan) Dengan bukti Sertipikat Hak Milik No 1007, seluas 97 meter persegi sebagaimana yang diuraikan dalam Surat ukur No. 00062/2011 tertanggal 22-02-2011, yang terletak di Wilayah Propinsi Jawa Timur, Kabupaten Banyuwangi, Kecamatan Rogojampi, Desa Pengatigan, Yang Tercantum atas nama Sri Kina Sehati yang diperoleh haknya melalui pemisahan yang dilakukan di hadapan Akta Pejabat Pembuat Akta Tanah PPAT Made Suyanto,SH Tgl 16-11-2010 No. 1353/RGJ/2010. dengan tanda tanda batas tembok dan tugu beton. Berikut segala sesuatu yang berdiri, tumbuh dan tertanam di atasnya, yang karena sifatnya, maksudnya atau menurut hukum dianggap sebagai harta tetap, terutama sebuah bangunan rumah yang berdiri diatasnya. Yang akan diikat secara APHT, b. 1 (satu) unit kendaraan roda dua, merk Honda, type NC 12A1CF A/T, tahun 2014, dengan No. BPKB L 00721356, No rangka MH1JFB12XEK277582, No. mesin JFB1E2229596, No.Polisi P 4977 YF, warna Merah , atas nama Khent Mela Veronica. c. 1 (satu) unit kendaraan roda dua, merk HONDA, type Y1G02N02L0 AT, tahun 2016, dengan no. BPKB M-09828504, No rangka MH1JFS113GK325742, no. mesin JFS1E1320666, No.Polisi P 2006 XF, warna HITAM, atas nama SRI KINA SEHATI. d. 1 (satu) unit kendaraan roda dua, merk HONDA, type GL15B1DF MT, tahun 2013, dengan no. BPKB K 02463947, No rangka MH1KC5210DK036956, No. mesin KC52E1037168, No.Polisi P 4629 UM, warna HITAM, atas nama MAUDJI MAULANA.</t>
  </si>
  <si>
    <t>1 (satu) unit kendaraan roda dua, Merk : HONDA, Type : NF11B1D MT/REVO 110, Tahun 2010, dengan No. BPKB : G-3388417J, No Rangka : MH1JBC213AK363981, No. Mesin : JBC2E1354683, No.Polisi : P 4766 ZA, Warna : HITAM, Atas nama : CAHYO DEWANTORO.</t>
  </si>
  <si>
    <t>a. Sebidang tanah perumahan (ada bangunan) Dengan Sertipikat Hak Milik No 3679, seluas 84 meter persegi sebagaimana yang diuraikan dalam Penunjukan dan penetapan batas : Batas batas ditunjukkan oleh Sunarko (Wakil Pemilik) dan ditetapkan oleh I Nengah Marjana (selaku petugas ukur), yang terletak di Wilayah Propinsi Jawa Timur, Kabupaten Banyuwangi, Kecamatan Banyuwangi, Kelurahan Klatak. No Daftar isian 301 No 1308, No Daftar isian 208 No 01223, No Daftar isian 307 No 03442 Tercantum atas nama Sudarsono. Dengan tanda tanda batas Tugu tugu beton. Berikut segala sesuatu yang berdiri, tumbuh dan tertanam di atasnya, yang karena sifatnya, maksudnya atau menurut hukum dianggap sebagai harta tetap, terutama sebuah bangunan rumah yang berdiri diatasnya.</t>
  </si>
  <si>
    <t>P03.3519</t>
  </si>
  <si>
    <t>11970/P03.3519/P03/08/2025</t>
  </si>
  <si>
    <t>BPKB SEPEDA MOTOR, BPKB SEPEDA MOTOR, BPKB SEPEDA MOTOR</t>
  </si>
  <si>
    <t>kendaraan roda dua, merk HONDA, type NC 110A 1C AT, tahun 2013, dengan no. BPKB N-04075865, No rangka MH1JF8112DK690914, no. mesin JF81E1685103, No.Polisi P 5605 UH, warna HITAM SILVER, atas nama SULIYANA., kendaraan roda dua, merk HONDA, type NF11 B1D MT, tahun 2010, dengan no. BPKB H-02467031, No rangka MH1JBC111AK953064, no. mesin JBC1E1952676, No.Polisi P 5765 XG, warna HITAM, atas nama SURINI., unit kendaraan roda dua, merk HONDA, type NF125TR, tahun 2008, dengan no. BPKB F 3520673 J, No rangka MHIJB911181T442970, no. mesin JB91E1441854, No.Polisi P 3497 YR, warna HITAM PUTIH, atas nama SLAMET WIDODO.</t>
  </si>
  <si>
    <t>Sebidang tanah perumahan Dengan Sertipikat Hak Milik No. 2997, seluas 84 meter persegi sebagaimana yang diuraikan dalam Surat Ukur No. 2563, tertanggal 10-4-1995, yang terletak di Wilayah Propinsi Jawa Timur, Kabupaten Banyuwangi, Kecamatan Giri, Kelurahan Klatak. Dengan NIB 123717103.02997, Daftar Isian 301 Tgl. 26-02-2003 No. 1052, Penunjuk DI.208 No.8441 Tgl.10-06-2003, atas nama Eko Wahyudi Purnomo. Dengan tanda tanda batas Tembok dan tugu beton. Berikut segala sesuatu yang berdiri, tumbuh dan tertanam di atasnya, yang karena sifatnya, maksudnya atau menurut hukum dianggap sebagai harta tetap, terutama sebuah bangunan rumah yang berdiri diatasnya.</t>
  </si>
  <si>
    <t>P01.5831</t>
  </si>
  <si>
    <t>11827/P01.5831/P01/07/2025</t>
  </si>
  <si>
    <t>(satu) unit kendaraan roda 2 (Dua), merk Honda type CB15A1RRF R2, tahun 2015, dengan no. BPKB P-02622290, No. Rangka MH1KC4115FK383469, No. mesin KC41E1375837, No. Polisi P 5937 VM, Warna HITAM PUTIH, atas nama ALVAN OKTA KURNIANANDA yang telah dibeli oleh Siti Nur Amamah sesuai dengan surat kepemilikan dari desa.</t>
  </si>
  <si>
    <t>SERTIPIKAT, BPKB SEPEDA MOTOR</t>
  </si>
  <si>
    <t>Sebidang tanah perumahan Dengan Sertipikat Hak Milik No. 07006, seluas 157 meter persegi sebagaimana yang diuraikan dalam Surat Ukur No. 04097, tertanggal 24/11/2020, yang terletak di Wilayah Propinsi Jawa Timur, Kabupaten Banyuwangi, Kecamatan Gambiran, Kelurahan Jajag. Dengan NIB 12370702.08768, Daftar Isian 302 Tgl. 28-09-2020 No. 61768, Penunjuk DI.208 No.6862/22-03-2021, DI.307 No.13805/22-03-2021 atas nama Firstby Winita Kusdiyah. Dengan tanda tanda batas Tembok dan tugu beton. Berikut segala sesuatu yang berdiri, tumbuh dan tertanam di atasnya, yang karena sifatnya, maksudnya atau menurut hukum dianggap sebagai harta tetap, terutama sebuah bangunan rumah yang berdiri diatasnya. Yang akan diikat APHT, 1 (satu) unit kendaraan roda dua, merk Honda type C1M02N42L0 A/T, tahun 2019, dengan No. BPKB O-07069519 No rangka MH1JM7111KK067572, No. mesin JM71E1067315, No.Polisi P 4733 YG, warna HITAM, atas nama FIRSTBY WINITA KUSDIYAH.</t>
  </si>
  <si>
    <t>DEPOSITO SSKA 6142</t>
  </si>
  <si>
    <t>Simpanan Deposito Sisuka No. Rekening SSKA.6142 dengan jumlah : Rp. 10.000.000</t>
  </si>
  <si>
    <t>P02.1844</t>
  </si>
  <si>
    <t>12142/P02.1844/P02/09/2025</t>
  </si>
  <si>
    <t>P01.5922</t>
  </si>
  <si>
    <t>11945/P01.5922/P01/08/2025</t>
  </si>
  <si>
    <t>sertipikat</t>
  </si>
  <si>
    <t>Sebidang tanah perumahan (ada bangunan) Dengan Sertipikat Hak Milik No. 04477, atas nama Syaifuddin Yuliansyah yang diperoleh Haknya melalui Pengakuan Hak, Nomor Peta Pendaftaran : 50.1-04.049-04-2. Surat Ukur No.01828/CLURING/2018, Tanggal 04/10/2018, yang terletak di Wilayah Propinsi Jawa Timur, Kabupaten Banyuwangi, Kecamatan Cluring, Kelurahan Cluring dengan penunjuk berasal dari Lette C nomor 880/1/D.III. Penunjukan da Penetapan batas : Batas-batas di tunjukkan oleh SYAIFUDDIN YULIANSYAH. Berikut segala sesuatu yang berdiri, tumbuh dan tertanam di atasnya, yang karena sifatnya, maksudnya atau menurut hukum dianggap sebagai harta tetap. Yang akan diikat secara SKMHT</t>
  </si>
  <si>
    <t>a. Sebidang tanah perumahan Dengan Sertipikat Hak Milik No 3336, seluas 122 meter persegi sebagaimana yang diuraikan dalam Surat Ukur No 00268, tertanggal 19-08/1999, yang terletak di Wilayah Propinsi Jawa Timur, Kabupaten Banyuwangi, Kecamatan Banyuwangi, Kelurahan Penganjuran. Dengan NIB 12.37.16.04.03305, Daftar Isian 302 Tgl. 18-02-1998 No. 346, Daftar Isian 307 Tgl. 19 AUG 1999 atas nama Eko Suwarsono mendapatkan haknya melalui pembagian hak bersama Nomor : 781/2015 Tanggal : 21/12/2015 yang dibuat oleh Fany Yulistianto Setiabudi, SH, MM, Mkn Selaku PPAT Dengan tanda tanda batas Tembok dan tugu. Berikut segala sesuatu yang berdiri, tumbuh dan tertanam di atasnya, yang karena sifatnya, maksudnya atau menurut hukum dianggap sebagai harta tetap, terutama sebuah bangunan rumah yang berdiri diatasnya.</t>
  </si>
  <si>
    <t>kendaraan roda 2 (Dua), merk Honda type NC11A3CB A/T, tahun 2010, dengan no. BPKB H-05515949 No. rangka MH1JF7119AK025725 No. mesin JF71E1025688, No.Polisi P 6624 X, warna Hitam Merah, atas nama Rama Indra Susanto.</t>
  </si>
  <si>
    <t>a. Sebidang tanah perumahan (tidak ada bangunan) dengan Sertipikat Hak Milik No. 2055, seluas 95 meter persegi sebagaimana yang diuraikan dalam Surat Ukur No. 00211/2009, tertanggal 24-11-2009 yang terletak di Wilayah Provinsi Jawa Timur, Kabupaten Banyuwangi, Kecamatan Banyuwangi, Kelurahan Kebalenan. Tercantum atas nama Fareza Alfar yang diperoleh haknya melalui Pemisahan Sertipikat Hak Milik No : 1809 Kelurahan Kebalenan. Dengan tanda tanda batas : Tembok-tembok. Berikut segala sesuatu yang berdiri, tumbuh dan tertanam di atasnya, yang karena sifatnya, maksudnya atau menurut hukum dianggap sebagai harta tetap, terutama sebuah bangunan rumah yang berdiri diatasnya. Jaminan tersebut di atas akan dibeli oleh PIHAK II yang selanjutnya akan diproses balik nama atas nam Bakhrul Yudha Kurniawan, ST dan akan diikat secara APHT (yang</t>
  </si>
  <si>
    <t>P01.5979</t>
  </si>
  <si>
    <t>12158/P01.5979/P01/09/2025</t>
  </si>
  <si>
    <t>Sebidang tanah perumahan (ada bangunan) Dengan Sertipikat Hak Milik No 1219, atas nama Luluk Marsusi yang diperoleh Haknya melalui Pengakuan Hak. Berdasarkan Surat Ukur Tgl. 21/11/2017, No. 00939/Gendoh/2017, Luas. 164 M². Dengan Penunjuk DI.208 : 47381/2017, DI.301 : 45192/2017, Alas Hak : PETOK C: 279/138/D.II, yang terletak di Wilayah Propinsi Jawa Timur, Kabupaten Banyuwangi, Kecamatan Sempu, Kelurahan Gendoh dengan penunjuk dan penetapan batas : Ditunjukkan oleh LULUK MARSUSI (pemilik). Berikut segala sesuatu yang berdiri, tumbuh dan tertanam di atasnya, yang karena sifatnya, maksudnya atau menurut hukum dianggap sebagai harta tetap, terutama sebuah bangunan rumah yang berdiri diatasnya.</t>
  </si>
  <si>
    <t>a. Simpanan Saham Nomor Buku 14053.004.1008.766 dengan jumlah Rp. 2.350.000 ,00 b. Simpanan Bunga Harian Nomor Buku 04.1.01.08766 dengan jumlah Rp. 4.000.000 ,00</t>
  </si>
  <si>
    <t>1 (satu) unit kendaraan roda 2 (Dua), merk YAMAHA type B3F-FA A/T, tahun 2018, dengan no. BPKB O-07071838 No. rangka MH3SEF340KJ002841, No. mesin E31VE0170645, No.Polisi P 2793 YL, Tahun 2019, warna Biru, atas nama ERNIWATI.</t>
  </si>
  <si>
    <t>P02.1804</t>
  </si>
  <si>
    <t>11783/P02.1804/P02/07/2025</t>
  </si>
  <si>
    <t>P05.178</t>
  </si>
  <si>
    <t>12213/P05.178/P05/09/2025</t>
  </si>
  <si>
    <t>1 (satu) unit kendaraan roda dua, Merk : HONDA, Type : F1C02N28LO AT, Tahun 2019, dengan No. BPKB : U-02526357, No Rangka : MH1JM3131KK145956, No. Mesin : JM31E3141381, No.Polisi : P 4779 QBC, Warna : PUTIH, Atas nama : APRILIYANTI INDRI LUKMANA SARI.</t>
  </si>
  <si>
    <t>P01.5945</t>
  </si>
  <si>
    <t>12072/P01.5945/P01/08/2025</t>
  </si>
  <si>
    <t>1 (satu) unit kendaraan roda 2 (Dua), merk YAMAHA type 1KP A/T, tahun 2018, dengan no. BPKB P-02621170 No. rangka MH31KP001CK119491, No. mesin 1KP138749, No.Polisi P 6367 VI, Tahun 2012, warna HITAM, atas nama EMMANUELA ARIE KURNIAWATI R.N.</t>
  </si>
  <si>
    <t>P01.5830</t>
  </si>
  <si>
    <t>11823/P01.5830/P01/07/2025</t>
  </si>
  <si>
    <t>1 (satu) unit kendaraan roda dua, merk Yamaha, type B6H AI AT, tahun 2021, dengan no. BPKB Q - 05119462, No rangka MH3SG5680MK080180, no. mesin G3L8E0562381, No.Polisi P 3710 QAC, warna HITAM, atas nama PANCE SAKTI.</t>
  </si>
  <si>
    <t>1 (satu) unit kendaraan roda dua, merk HONDA, type NCB11B 3C AT, tahun 2012, dengan no. BPKB N-04248629, No.rangka MH1JF5132CK781843, No.mesin JF51E3779782, No.Polisi P 4369 UI, warna HIJAU PUTIH, atas nama HASAN KAMAL.</t>
  </si>
  <si>
    <t>1 (satu) unit kendaraan roda dua, merk Honda type F1C02N28LO A/T, tahun 2019, dengan no. BPKB O-04827434, No rangka MH1JM3124KK938711, No. mesin JM31E2934049, No.Polisi P 2501 SZ, warna HITAM , atas nama WINDA AULIYA.</t>
  </si>
  <si>
    <t>1 (satu) unit kendaraan roda dua, merk Yamaha, type VEGA R-110 4D7, tahun 2008, dengan no. BPKB U-02523051, No. rangka MH34D72038J152866, No. mesin 4D71152829, No.Polisi P 4481 QBC, warna Merah Marun, atas nama Julio Custyawan.</t>
  </si>
  <si>
    <t>BPKB MOTOR, BPKB MOTOR</t>
  </si>
  <si>
    <t>1 (satu) unit kendaraan roda dua, Merk : YAMAHA, Type : 1KP A/T, Tahun 2013, dengan No. BPKB : K-02468722, No Rangka : MH31KP00CDJ498223, No. Mesin : 1KP498245, No.Polisi : P 5689 XL, Warna : PUTIH, Atas nama : MIRA FEBRUARTI., 1 (satu) unit kendaraan roda dua, Merk : HONDA, Type : F1C02N28L0 A/T, Tahun 2019, dengan No. BPKB : O-03834961, No Rangka : MH1JM3120KK797930, No. Mesin : JM31E2791775, No.Polisi : P 6096 SR, Warna : MERAH HITAM, Atas nama : MAULINA OKTAVIA SE.</t>
  </si>
  <si>
    <t>BPKB SEPEDA MOTOR DAN SIMPANAN</t>
  </si>
  <si>
    <t>1 (satu) unit kendaraan roda dua, merk Yamaha, type 44D (XEON), tahun 2011, dengan no. BPKB L-07667039, No. rangka MH344D001BK107966, No. mesin 44D108014, No.Polisi P 4738 YN, warna HITAM, atas nama MUTIARA DEWI LUPITASARI. Simpanan Saham Keanggotaan NBA 14053.004.1017.999 sejumlah Rp. 1.110.000,- Simpanan SIMAPAN dengan nomer SMP.6 sejumlah Rp. 878.714,-</t>
  </si>
  <si>
    <t>P01.5943</t>
  </si>
  <si>
    <t>12044/P01.5943/P01/08/2025</t>
  </si>
  <si>
    <t>1 (satu) unit kendaraan roda 2 (Dua), merk Honda type X12H02N32L1 A/T, tahun 2023, dengan no. BPKB T - 05810230, No. Rangka MH1KF011XPK308431, No. mesin KF01E1308525, No. Polisi P 3764 QBA, Warna MERAH, atas nama PONIYEM</t>
  </si>
  <si>
    <t>BPKB SEPEDA MOTOR, BPKB SEPEDA MOTOR</t>
  </si>
  <si>
    <t>kendaraan roda 2 (Dua), merk Yamaha type 2BU, tahun 2014, dengan no. BPKB K-13073451 No. rangka MH32BU001EJ083379, No. mesin 2BU083391, No.Polisi PP 3327 RX, warna HITAM PUTIH, atas nama TYAS DWI FEBRIANTI., kendaraan roda 2 (Dua), merk Yamaha type 14D AL, tahun 2007, dengan no. BPKB E 6667941 O No. rangka MH314D0017K005509 No. mesin 14D-005438, No.Polisi DK 6742 A, warna BIRU, atas nama SAIFUL LUTFI.</t>
  </si>
  <si>
    <t>1 (satu) unit kendaraan roda dua, merk Honda type ATI1T21B01 A/T, tahun 2014, dengan no. BPKB O-0383336 No. rangka MH1JM212XKK518557, No. mesin JM21E2496164, No.Polisi P 3147 SO, warna Hitam, atas nama Nurwidi.</t>
  </si>
  <si>
    <t>kendaraan roda dua, merk Honda type, tahun 2006, dengan no. BPKB E-209831 No. rangka MH1JB51146K834136, No. mesin JB51E.1827267, No.Polisi P 4568 WN, warna HITAM, atas nama ACHMAD SUWONDO.</t>
  </si>
  <si>
    <t>a. Sebidang tanah perumahan (ada bangunan) Dengan Sertipikat Hak Milik No 1062, atas nama Haeroni yang diperoleh Haknya melalui Jual Beli, Tanggal 12-05-2011 , Nomor : 390/333/JB/GR/V/2011, Luas. 212 M². Dengan Penunjuk DI.208 : 11579/19/5/2011, DI.307 : 25020/19/05/2011, yang terletak di Wilayah Propinsi Jawa Timur, Kabupaten Banyuwangi, Kecamatan Giri, Kelurahan Giri dengan penunjuk dan penetapan batas : Ditunjukkan oleh Salim (Wakil Pemilik) dan ditetapkan oleh ABDUL AJIS SISWOYO, S.SiT (selaku petugas ukur). Berikut segala sesuatu yang berdiri, tumbuh dan tertanam di atasnya, yang karena sifatnya, maksudnya atau menurut hukum dianggap sebagai harta tetap, terutama sebuah bangunan rumah yang berdiri diatasnya.</t>
  </si>
  <si>
    <t>1 (satu) unit kendaraan roda empat, merk Toyota, type INNOVA G, tahun 2008, dengan no. BPKB F 1680788 O, No. rangka MHFXW42G782124690, No. mesin 1TR6621272, No.Polisi DK 1807 EJ, warna Hitam Metalik, atas nama RAFAI (Tangan Pertama).</t>
  </si>
  <si>
    <t>Sebidang tanah perumahan Dengan Sertipikat Hak Milik No. 2997, seluas 84 meter persegi sebagaimana yang diuraikan dalam Surat Ukur No. 2563, tertanggal 10-4-1995, yang terletak di Wilayah Propinsi Jawa Timur, Kabupaten Banyuwangi, Kecamatan Giri, Kelurahan Klatak. Dengan NIB 123717103.02997, Daftar Isian 301 Tgl. 26-02-2003 No. 1052, Penunjuk DI.208 No.8441 Tgl.10-06-2003, atas nama Eko Wahyudi Purnomo. Dengan tanda tanda batas Tembok dan tugu beton. Berikut segala sesuatu yang berdiri, tumbuh dan tertanam di atasnya, yang karena sifatnya, maksudnya atau menurut hukum dianggap sebagai harta tetap, terutama sebuah bangunan rumah yang berdiri diatasnya. Yang akan diikat SKMHT</t>
  </si>
  <si>
    <t>P01.5851</t>
  </si>
  <si>
    <t>11869/P01.5851/P01/07/2025</t>
  </si>
  <si>
    <t>P01.5931</t>
  </si>
  <si>
    <t>12024/P01.5931/P01/08/2025</t>
  </si>
  <si>
    <t>renovasi</t>
  </si>
  <si>
    <t>1 (satu) unit kendaraan roda 2 (Dua), merk HONDA type C1C02N16M2 A/T, tahun 2017, dengan no. BPKB S-02520075 No. rangka MH1JFW111HK884473, No. mesin JFW1E1894121, No.Polisi P 4220 QAO, warna Merah Putih, atas nama SHINTIYA KHARISMA SARI.</t>
  </si>
  <si>
    <t>1 (satu) unit kendaraan roda dua, merk Honda type NF125 TR, tahun 2008, dengan no. BPKB O-02059795 No rangka MH1JB91198K558501 No. mesin JB91E1535420 No.Polisi: P 6263 RO, Warna Hitam , atas nama Gervanus Respatyo</t>
  </si>
  <si>
    <t>P03.3469</t>
  </si>
  <si>
    <t>11794/P03.3469/P03/07/2025</t>
  </si>
  <si>
    <t>P03.3527</t>
  </si>
  <si>
    <t>11964/P03.3527/P03/08/2025</t>
  </si>
  <si>
    <t>P01.5968</t>
  </si>
  <si>
    <t>11610/P01.5968/P01/09/2025</t>
  </si>
  <si>
    <t>PENDIDIKAN ANAK DAN BALIK NAMA SERTIFIKAT</t>
  </si>
  <si>
    <t>SHM Dengan NIB. 12.37.000079881.0 Hak Milik ini terdaftar atas nama pemegang hak yang tertera pada bagian PEMEGANG HAK, atas sebidang tanah yang letaknya diuraikan pada bagian BIDANG TANAH, serta batasan dan kewajiban, pembebanan dan pencatatan lainnya yang tertera pada tanda bukti hak ini. BIDANG TANAH ini terletak di Kelurahan SINGOTRUNAN Kecamatan BANYUWANGI Kabupaten BANYUWANGI Provinsi Jawa Timur seluas 227 meter persegi dengan PEMEGANG HAK FENY FITRIYA  BANYUWANGI, 07 Maret 1992  1 bagian dengan CATATAN PENDAFTARAN Penegasan Konversi dan Pembagian Hak Bersama berdasarkan Akta Pembagian Hak Bersama Nomor 93/2025 Tanggal 26 Agustus 2025 yang dibuat oleh PPAT Arie Andika Yahya dan Telah diperiksa oleh Arif Basuki pada tanggal 02 September 2025. Dengan diikat secara APHT.</t>
  </si>
  <si>
    <t>P01.5843</t>
  </si>
  <si>
    <t>11837/P01.5843/P01/07/2025</t>
  </si>
  <si>
    <t>1 (satu) unit kendaraan roda dua, merk HONDA, type K1H02N14L0 AT, tahun 2021, dengan no. BPKB V -07319316, No rangka MH1KF1119FK324334, no. mesin KF11E1327866, No.Polisi P 3409 QBR, warna PUTIH, atas nama REZA BAGUS PURNAMA.</t>
  </si>
  <si>
    <t>P01.5939</t>
  </si>
  <si>
    <t>12061/P01.5939/P01/08/2025</t>
  </si>
  <si>
    <t>P01.5815</t>
  </si>
  <si>
    <t>11793/P01.5815/P01/07/2025</t>
  </si>
  <si>
    <t>biaya pendidkan anak</t>
  </si>
  <si>
    <t>P01.5977</t>
  </si>
  <si>
    <t>12174/P01.5977/P01/09/2025</t>
  </si>
  <si>
    <t>P01.5905</t>
  </si>
  <si>
    <t>11976/P01.5905/P01/08/2025</t>
  </si>
  <si>
    <t>1 (satu) unit kendaraan roda dua, Merk : HONDA, Type : NC11C 1C AT (SCOOPY), Tahun 2010, dengan No. BPKB : V-02615537, No Rangka : MH1JF6119AK054670, No. Mesin : JF61E1054685, No.Polisi : P 5864 QBA, Warna : VIOLET PUTIH, Atas nama : MOH. HALIL.</t>
  </si>
  <si>
    <t>P02.1831</t>
  </si>
  <si>
    <t>11994/P02.1831/P02/08/2025</t>
  </si>
  <si>
    <t>1 (satu) unit kendaraan roda dua, merk Honda, type H1B02N42L0 A/T, tahun 2023, dengan No. BPKB U-01286670, No rangka MH1JM9132PK256364, No. mesin JM91E3251423, No.Polisi P 5377 QBF, warna HIJAU, atas nama Ayu Fitri Wahyuni Keluanan.</t>
  </si>
  <si>
    <t>P03.3546</t>
  </si>
  <si>
    <t>12029/P03.3546/P03/08/2025</t>
  </si>
  <si>
    <t>modal usaha sepatu</t>
  </si>
  <si>
    <t>1 (satu) unit kendaraan roda empat, merk Daihatsu, type S402RP PMRFJJ KJ, tahun 2022, dengan No. BPKB S-01045548, No rangka MHKP3CA1JNK253909, No. mesin 3SZDHD6832, No.Polisi P 8210 VJ, warna HITAM, atas nama Agung Subekti yang sudah di beli oleh Moh Najib dan telah melampirkan kwitansi pembelian kendaraan.</t>
  </si>
  <si>
    <t>P01.5992</t>
  </si>
  <si>
    <t>12209/P01.5992/P01/09/2025</t>
  </si>
  <si>
    <t>P01.5991</t>
  </si>
  <si>
    <t>12197/P01.5991/P01/09/2025</t>
  </si>
  <si>
    <t>membuat sim</t>
  </si>
  <si>
    <t>1 (satu) unit kendaraan roda 2 (Dua), merk Honda type H1B02N42L0 A/T, tahun 2021, dengan no. BPKB Q-05226303, No. Rangka MH1JM9116MK657779, No. mesin JM91E1657549, No. Polisi P 2531 QAG, Warna HITAM PUTIH, atas nama RISANDY VERONICA FIRDHASARI.</t>
  </si>
  <si>
    <t>1 (satu) unit kendaraan roda 2 (Dua), merk Yamaha type V 110 ZHE, tahun 2001, dengan no. BPKB B04661244-0, No. Rangka MH34NS00G1K530367, No. mesin 4WH20877, No. Polisi DK 2645 FAT, Warna PERAK, atas nama I WAYAN WIRATA.</t>
  </si>
  <si>
    <t>P03.3493</t>
  </si>
  <si>
    <t>11893/P03.3493/P03/07/2025</t>
  </si>
  <si>
    <t>modal usaha barbershoop</t>
  </si>
  <si>
    <t>P01.5987</t>
  </si>
  <si>
    <t>12190/P01.5987/P01/09/2025</t>
  </si>
  <si>
    <t>biaya kuliah anak</t>
  </si>
  <si>
    <t>1 (satu) unit kendaraan roda 2 (Dua), merk YAMAHA, type JUPITER MX 135 2S6, tahun 2008, dengan No. BPKB F5755129J, No. Rangka MH32S6004SK496302, No. mesin 2S6496566, No.Polisi P 2851 RR, warna BIRU , Atas nama SARYANTI.</t>
  </si>
  <si>
    <t>1 (satu) unit kendaraan roda 2 (Dua), merk Honda, type D1B02N13L2 A/T, tahun 2017, dengan No. BPKB N-01172955, No. Rangka MH1JM1110HK248006, No. mesin JM11E1241498, No. Polisi P 3417 ZJ, Warna MERAH PUTIH, atas nama SULHAN yang telah dibeli oleh Faul Hendry.</t>
  </si>
  <si>
    <t>P03.3528</t>
  </si>
  <si>
    <t>11990/P03.3528/P03/08/2025</t>
  </si>
  <si>
    <t>a. Sebidang tanah perumahan Dengan Sertipikat Hak Milik No. 400, seluas 80 meter persegi sebagaimana yang diuraikan dalam Gambar Situasi No. 59, tertanggal 2-1-1990, yang terletak di Wilayah Propinsi Jawa Timur, Kabupaten Banyuwangi, Kecamatan Banyuwangi, Kelurahan Kebalenan. Daftar Isian 302 Tgl. 23-9-1989 No. 5240, Penunjuk DI.301 No.14.181  14.182 1989, atas nama Moh Imron. Dengan tanda tanda batas Batu  batu I sampai dengan IV berdiri diatas sudut batas dan memenuhi peraturan Menteri Agraria No. 8/1961.-. Berikut segala sesuatu yang berdiri, tumbuh dan tertanam di atasnya, yang karena sifatnya, maksudnya atau menurut hukum dianggap sebagai harta tetap, terutama sebuah bangunan rumah yang berdiri diatasnya. Yang akan diikat SKMHT</t>
  </si>
  <si>
    <t>P01.5850</t>
  </si>
  <si>
    <t>11864/P01.5850/P01/07/2025</t>
  </si>
  <si>
    <t>1 (satu) unit kendaraan roda dua, merk Honda, type 0F125SD, tahun 2007, dengan no. BPKB E  4656228J, No rangka MH1JB5111711976090, no. mesin JB51E1965231, No.Polisi P 6078 WU, warna HITAM, atas nama FITRIA FIRDAUSI.</t>
  </si>
  <si>
    <t>1 (satu) unit kendaraan roda dua, Merk : HONDA, Type : K1H02N14LO A/T, Tahun 2015, dengan No. BPKB : O-03771656 No Rangka : MH1KF1119FK069572, No. Mesin : KF11E1066158, No.Polisi : P 5792 SI, Warna : PUTIH, Atas nama : ATFAL ZAINUL PANGESTU .</t>
  </si>
  <si>
    <t>P03.3515</t>
  </si>
  <si>
    <t>11941/P03.3515/P03/08/2025</t>
  </si>
  <si>
    <t>P03.3544</t>
  </si>
  <si>
    <t>12031/P03.3544/P03/08/2025</t>
  </si>
  <si>
    <t>a. 1 (satu) unit kendaraan roda dua, merk HONDA, type NC11B 3C AT, tahun 2011, dengan no. BPKB T-01350463, No rangka MH1JF5115BK770901, no. mesin JF51E1760337, No.Polisi P 4278 QAT, warna HITAM, atas nama Siti Mariyana.</t>
  </si>
  <si>
    <t>1 (satu) unit kendaraan roda dua, Merk : YAMAHA, Type : 28D(MIO/AL115S), Tahun 2010, dengan No. BPKB : G-2823161, No Rangka : MH328D204AK263375, No. Mesin : 28D1263734, No.Polisi : P 6456 VH, Warna : HITAM, Atas nama : TRI HANDAYANI.</t>
  </si>
  <si>
    <t>Sebidang tanah perumahan (ada bangunan) Dengan Sertipikat Hak Milik No 1157, seluas 73 meter persegi sebagaimana yang diuraikan dalam Penunjukan dan penetapan batas : Batas batas ditunjukkan oleh Agus Ardiansa (Wakil Pemilik) dan ditetapkan oleh Syamsu Wijaya A. Ptnh (selaku petugas ukur), yang terletak di Wilayah Propinsi Jawa Timur, Kabupaten Banyuwangi, Kecamatan Banyuwangi, Kelurahan Tamanbaru. No Daftar isian 307 No 49655/2011, No Daftar isian 308 No 23057/2011. Tercantum atas nama Agus Ardiansa. Dengan tanda tanda batas tembok dan tugu beton. Berikut segala sesuatu yang berdiri, tumbuh dan tertanam di atasnya, yang karena sifatnya, maksudnya atau menurut hukum dianggap sebagai harta tetap, terutama sebuah bangunan rumah yang berdiri diatasnya. Yang diikat legalitas SKMHT</t>
  </si>
  <si>
    <t>1 (satu) unit kendaraan roda empat, merk Suzuki, type K ESTILO YL 6 1.1L, tahun 2007, dengan No. BPKB O-05712743, No rangka MA3GMF21S70144818, No. mesin F10DN3268816, No.Polisi P 1032 WO, warna BIRU METALIK, atas nama Kurniawan yang sudah di beli oleh Diva Meidina Pambudi.</t>
  </si>
  <si>
    <t>1 (satu) unit kendaraan roda dua, Merk : HONDA, Type : A5C02R37M2 M/T, Tahun 2019, dengan No. BPKB : O-06279434, No Rangka : MH1KCA112KK028705, No. Mesin : KCA1E1027538, No.Polisi : P 6493 YD, Warna : HITAM, Atas nama : ANANG SUHARIYADI.</t>
  </si>
  <si>
    <t>1 (satu) unit kendaraan roda dua, merk HONDA, type NF11B1D M/T, tahun 2009, dengan no. BPKB M-08966166, No rangka MH1JBC1179K269051, no. mesin JBC1E1278785, No.Polisi P 3618 XJ, warna HITAM, atas nama Slamet Santoso, 1 (satu) unit kendaraan roda dua, merk YAMAHA, type SD9 (VEGA ZR), tahun 2011, dengan no. BPKB K-02449016, No rangka MH3SD9204BJ296805, no. mesin SD91296784, No.Polisi P 2181 ZG, warna HITAM, atas nama Slamet Santoso.</t>
  </si>
  <si>
    <t>1 (satu) unit kendaraan roda dua, Merk : HONDA, Type : NF11B1D M/T, Tahun 2009, dengan No. BPKB : G 0555620 J, No Rangka : MH1JBC1169K303254, No. Mesin : JBC1E14872, No.Polisi : P 6121 XZ, Warna : HITAM Atas nama : SOFIA ASYRIANA BR.</t>
  </si>
  <si>
    <t>P01.5972</t>
  </si>
  <si>
    <t>12156/P01.5972/P01/09/2025</t>
  </si>
  <si>
    <t>1 (satu) unit kendaraan roda 2 (Dua), merk Honda type ACF1L21B06 A/T, tahun 2014, dengan no. BPKB L-03644764, No. Rangka MH1JFL114EK024478, No. mesin JFL1E1021687, No. Polisi P 5996 YI, Warna MERAH HITAM, atas nama SAYU ULANDARI.</t>
  </si>
  <si>
    <t>P01.5925</t>
  </si>
  <si>
    <t>12010/P01.5925/P01/08/2025</t>
  </si>
  <si>
    <t>P01.5839</t>
  </si>
  <si>
    <t>11833/P01.5839/P01/07/2025</t>
  </si>
  <si>
    <t>a. 1 (satu) unit kendaraan roda dua, merk Yamaha, type BBS  R M/T, tahun 2022, dengan No. BPKB S - 00948896, No rangka MH3RG4760NK031899, No. mesin G3S7E0002128, No.Polisi P 4099 QAM, warna Hitam, atas nama HERIBERTHUS WICAKSONO .M.PD. b. 1 (satu) unit kendaraan roda dua, merk HONDA, type F1C02N28L0 A/T, tahun 2019, dengan No. BPKB O - 05709587, No rangka MH1JM3126KK991250, No. mesin JM31E2986506, No.Polisi P 3691 WR, warna COKLAT HITAM, atas nama RICKE YUNITA.</t>
  </si>
  <si>
    <t>P03.3551</t>
  </si>
  <si>
    <t>12052/P03.3551/P03/08/2025</t>
  </si>
  <si>
    <t>modal usaha petani</t>
  </si>
  <si>
    <t>1 (satu) unit kendaraan roda dua, Merk : YAMAHA, Type : 1 KP AT, Tahun 2012, dengan No. BPKB : J-02522018, No Rangka : MH31KP001CK063521, No. Mesin : 1KP065176, No.Polisi : P 5277 UD, Warna : HIJAU, Atas nama : SUMARWI.</t>
  </si>
  <si>
    <t>1 (satu) unit kendaraan roda dua, Merk : HONDA, Type : NC12A1CF A/T, Tahun 2013, dengan No. BPKB : K-11211729, No Rangka : MH1JF8128DK165796, No. Mesin : JFB1E2120211, No.Polisi : P 2799 ZQ, Warna : MERAH, Atas nama : SUMARDI.</t>
  </si>
  <si>
    <t>1 (satu) unit kendaraan roda dua, Merk : HONDA, Type : NF125TR M/T, Tahun 2012, dengan No. BPKB: I-07418866, No Rangka : MH1JB9126CK978959, No. Mesin : JB91E2969417, No.Polisi : P 6136 EY, Warna : HITAM ABU- ABU, Atas nama : SIHATI.</t>
  </si>
  <si>
    <t>a. 1 (satu) unit kendaraan roda dua, Merk : HONDA, Type : F1C02N28L0 A/T, Tahun 2019, dengan No. BPKB : O - 02538104, No Rangka : MH1JM3122KK379305, No. Mesin : JM31E2375729, No.Polisi : P 2257 QD, Warna : Coklat Hitam Atas nama : Mustika Ayu Lestari., 1 (satu) unit kendaraan roda dua, Merk : HONDA, Type : NC12A1CF A/T, Tahun 2013, dengan No. BPKB : K - 02467520, No Rangka : MH1JFB111DK892012, No. Mesin : JFB1E1845214, No.Polisi : P 3434 VB, Warna : WHIT SILVER Atas nama : KRISTINA LAJAR.</t>
  </si>
  <si>
    <t>P01.5882</t>
  </si>
  <si>
    <t>11795/P01.5882/P01/07/2025</t>
  </si>
  <si>
    <t>a. Sebidang tanah pertanian Dengan Sertipikat Hak Milik No. 332, seluas 1.600 meter persegi sebagaimana yang diuraikan dalam Surat Ukur No. 00226/Jelun/2000, tertanggal 08-03-2000, yang terletak di Wilayah Propinsi Jawa Timur, Kabupaten Banyuwangi, Kecamatan Glagah, Desa Jelun. Dengan NIB 1237150900335, Daftar Isian 202 Tgl. 02-02-2000 No. 355, atas nama Dwikarsi Ridarwati Berdasarkan Akta  PPAT Lubenah, SH Kabupatn Banyuwangi. Tgl.19-05-2000 No.133/13/GL/JB/V/2000 .Penunjukan Dan pentapan batas : Batas  batas ditunjukkan oleh Sumantoro Sebagai wakil pemohon Berikut segala sesuatu yang berdiri, tumbuh dan tertanam di atasnya, yang karena sifatnya, maksudnya atau menurut hukum dianggap sebagai harta tetap, terutama sebuah bangunan rumah yang berdiri diatasnya.</t>
  </si>
  <si>
    <t>1 (satu) unit kendaraan roda dua, Merk : HONDA, Type : D1A02N18M1 A/T, Tahun 2018, dengan No. BPKB : N-04326979, No Rangka :MH1JFX113JK336390, No. Mesin : JFX1E1330708, No.Polisi : P 5219 VS, Warna : ABU - ABU, Atas nama : AGUSTINA WIWIT WIDIYANTI.</t>
  </si>
  <si>
    <t>1 (satu) unit kendaraan roda dua, Merk : HONDA, Type : NC11B3C A/T, Tahun 2012, dengan No. BPKB : S,05565743 No Rangka : MH1JF5134CK719098, No. Mesin : JF51E3703006, No.Polisi : P 4591 QAR, Warna : PUTIH, Atas nama : LINDA EKA KURNIAWATI.</t>
  </si>
  <si>
    <t>a. 1 (satu) unit kendaraan roda dua, Merk : HONDA, Type : Vario 125 Iss, Tahun 2025, dengan No. BPKB : , No Rangka : MH1JMD118SK877361, No. Mesin : JMD1E1876965, No.Polisi : , Warna : Biru, Atas nama : Galang Putra Dealova.</t>
  </si>
  <si>
    <t>1 (satu) unit kendaraan roda dua, Merk : Toyota, Type : Avanza 1.3 G A/T F653RM-6QMFJ, Tahun 2019, dengan No. BPKB : P-05917339, No Rangka : MHKM5EB3JKK026177, No. Mesin : 1NR6039610, No.Polisi : B 2171 UOF, Warna : SILVER METALIK, Atas nama : PT. TRANS ARMADA INDONESIA .</t>
  </si>
  <si>
    <t>1 (satu) unit kendaraan roda dua, Merk : HONDA, Type : NF11B1D M/T, Tahun 2010, dengan No. BPKB : H-00186986, No Rangka : MH1JBC116AK771473, No. Mesin : JBC1E1764102, No.Polisi : P 2723 VR, Warna : HITAM Atas nama : PAIDI ISMAUN.</t>
  </si>
  <si>
    <t>P03.3506</t>
  </si>
  <si>
    <t>11923/P03.3506/P03/07/2025</t>
  </si>
  <si>
    <t>modla usaha limbah</t>
  </si>
  <si>
    <t>P01.5816</t>
  </si>
  <si>
    <t>11800/P01.5816/P01/07/2025</t>
  </si>
  <si>
    <t>1 (satu) unit kendaraan roda dua, Merk : YAMAHA, Type : 50C (T135HC), Tahun 2011, dengan No. BPKB : Q - 07212743, No Rangka : MH350C001BK169536, No. Mesin : 50C169777, No.Polisi : P 6913 IU, Warna : MERAH MARUN Atas nama : MAULANA FARHAN HAKIKI.</t>
  </si>
  <si>
    <t>P01.5857</t>
  </si>
  <si>
    <t>11867/P01.5857/P01/07/2025</t>
  </si>
  <si>
    <t>1 (satu) unit kendaraan roda dua, merk YAMAHA, type 1PA, tahun 2013, dengan no. BPKB K -05385494, No rangka MH31PA002DK216572, no. mesin 1PA217175, No.Polisi P 6706 YA, warna PUTIH, atas nama NURMA.</t>
  </si>
  <si>
    <t>P03.3490</t>
  </si>
  <si>
    <t>11890/P03.3490/P03/07/2025</t>
  </si>
  <si>
    <t>modal usaha jajanan</t>
  </si>
  <si>
    <t>P03.3537</t>
  </si>
  <si>
    <t>12004/P03.3537/P03/08/2025</t>
  </si>
  <si>
    <t>P01.5883</t>
  </si>
  <si>
    <t>11921/P01.5883/P01/07/2025</t>
  </si>
  <si>
    <t>membeli HP</t>
  </si>
  <si>
    <t>P01.5926</t>
  </si>
  <si>
    <t>12017/P01.5926/P01/08/2025</t>
  </si>
  <si>
    <t>1 (satu) unit kendaraan roda dua, merk Yamaha, type 31B(JUPITER Z CW), tahun 2010, dengan no. BPKB G  3728949 J, No rangka MH331B002AJ154308, no. mesin 31B154366, No.Polisi P 6692 VK, warna Mrah Marun, atas nama Selamat Suhairi.</t>
  </si>
  <si>
    <t>P03.3536</t>
  </si>
  <si>
    <t>12020/P03.3536/P03/08/2025</t>
  </si>
  <si>
    <t>P01.5940</t>
  </si>
  <si>
    <t>12064/P01.5940/P01/08/2025</t>
  </si>
  <si>
    <t>P01.5957</t>
  </si>
  <si>
    <t>12096/P01.5957/P01/09/2025</t>
  </si>
  <si>
    <t>PENDIDKAN ANAK</t>
  </si>
  <si>
    <t>1 (satu) unit kendaraan roda 2 (Dua), merk Honda type K1H02N14LO A/T, tahun 2016, dengan no. BPKB M - 06451810, No. Rangka MH1KF1115GK663013, No. mesin KF11E1662125, No. Polisi P 4508 YC, Warna Hitam, atas nama YULI SURYA.</t>
  </si>
  <si>
    <t>P01.5963</t>
  </si>
  <si>
    <t>12122/P01.5963/P01/09/2025</t>
  </si>
  <si>
    <t>P01.5989</t>
  </si>
  <si>
    <t>12202/P01.5989/P01/09/2025</t>
  </si>
  <si>
    <t>pendidduikan anak</t>
  </si>
  <si>
    <t>1 (satu) unit kendaraan roda dua, merk HONDA type NF125TD tahun 2010, dengan no. BPKB L-12572361 No.rangka MH1JB8114AK572287 No. mesin JB81E1567817, No.Polisi: S 5405 TA, Warna HITAM, atas nama VINCENSIUS DONY SETYADI 1 (satu) unit kendaraan roda dua, merk HONDA type IPA, tahun 2013, dengan no. BPKB K-02432020 No.rangka MH31PA002DK072953 No. mesin 1PA074963, No.Polisi: S 6473 SD, Warna PUTIH atas nama YUVENSIUS EKO SULISTYAWAN SE</t>
  </si>
  <si>
    <t>1 (satu) unit kendaraan roda dua, merk HONDA, type X1B02R07L0 A/T, tahun 2015, dengan no. BPKB L 11643110, No.rangka MH1JFR114FK021648, No. Mesin JFR1E1020361, No.Polisi S 4717 TR, Warna PUTIH MERAH atas nama Fransiska Romana Ratna Dewayani.</t>
  </si>
  <si>
    <t>1 (satu) unit kendaraan roda empat, merk ISUZU, type TBR54 PRLC STD, tahun 1997, dengan no. BPKB M08628989 No.rangka MHCTBR54BVC052437 No. mesin E052437, No.Polisi: S 1377 TD Warna ABU ABU MTL, atas nama ANTONIUS HADI SOEMARSONO</t>
  </si>
  <si>
    <t>1 (satu) unit kendaraan roda empat, merk Daihatsu type F600RV - GMDFJJ tahun 2009, dengan no. BPKB M 10959471 No.rangka MHKW1AA239K059720 No. mesin DP03078 , No.Polisi: S 1208 SR Warna MERAH METALIK atas nama SUWA NO PK : 4499/P01.2474/P01/05/2020</t>
  </si>
  <si>
    <t>P03.3481</t>
  </si>
  <si>
    <t>11841/P03.3480/P03/07/2025</t>
  </si>
  <si>
    <t>TAMBAHAN MODAL KERJA</t>
  </si>
  <si>
    <t>P01.5997</t>
  </si>
  <si>
    <t>12212/P01.5997/P01/09/2025</t>
  </si>
  <si>
    <t>BIAYA PENDIDIKAN (KULIAH)</t>
  </si>
  <si>
    <t>Sebidang tanah yang letaknya diuraikan pada bagian BIDANG TANAH Dengan bukti Sertipikat Hak Milik NIB. 12.11.000004431.0, seluas 70 meter persegi sebagaimana yang diuraikan dalam Gambar Situasi NIB. 12.11.000004431.0, yang terletak di Wilayah Propinsi Jawa Timur, Kab. Mojokerto, Kecamatan Puri, Desa Kebonagung, Yang Tercantum atas nama MARSELLUS ANTOK DEDIK PENIANTO yang diperoleh haknya melalui jual beli, dengan tanda tanda tugu-tugu beton. Berikut segala sesuatu yang berdiri, tumbuh dan tertanam di atasnya, yang karena sifatnya, maksudnya atau menurut hukum dianggap sebagai harta tetap, terutama sebuah bangunan rumah yang berdiri diatasnya</t>
  </si>
  <si>
    <t>P02.1845</t>
  </si>
  <si>
    <t>12150/P02.1845/P02/09/2025</t>
  </si>
  <si>
    <t>1. SHM atas nama : ALECANDER DWI HANDOKO 2. No. SHM : 1747 3. Letak jaminan : Desa Sambiroto, Kecamatan Sooko, Kabupaten Mojokerto 4. Luas jaminan : 50 meter persegi</t>
  </si>
  <si>
    <t>P03.3556</t>
  </si>
  <si>
    <t>12049/P03.3556/P03/08/2025</t>
  </si>
  <si>
    <t>PEMBELIAN PERALATAN KUE</t>
  </si>
  <si>
    <t>P01.5958</t>
  </si>
  <si>
    <t>12111/P01.5958/P01/09/2025</t>
  </si>
  <si>
    <t>BIAYA MELAHIRKAN</t>
  </si>
  <si>
    <t>Sebidang tanah perumahan Dengan bukti Sertipikat Hak Milik No 1143, seluas 60 meter persegi sebagaimana yang diuraikan dalam Gambar Situasi No 111/16.03/1999, tertanggal 12-10-1999, yang terletak di Wilayah Propinsi Jawa Timur, Kab. Mojokerto, Kecamatan Jetis, Kelurahan Canggu, Yang Tercantum atas nama ANDRIAS TRI PRASETYO yang diperoleh haknya melalui jual beli, dengan tanda tanda batas telah terpasang. Berikut segala sesuatu yang berdiri, tumbuh dan tertanam di atasnya, yang karena sifatnya, maksudnya atau menurut hukum dianggap sebagai harta tetap, terutama sebuah bangunan rumah yang berdiri diatasnya</t>
  </si>
  <si>
    <t>P05.175</t>
  </si>
  <si>
    <t>12087/P05.175/P05/09/2025</t>
  </si>
  <si>
    <t>Simpanan Anggota atas nama Dian Yudaningtyas Nomer Buku: 14053.005.1003.919 Sebesar Rp 5.465.000,00 1 (satu) unit kendaraan roda empat, merk Suzuki type SWT 100 SP tahun 1994, dengan no. BPKB M 08682910 No.rangka MHDESL410RJ408141 No. mesin F10AID307037, No.Polisi: S 1396 TD Warna LAGUNA GREEN M, atas nama YONO SUPRIYANTO.</t>
  </si>
  <si>
    <t>P02.1824</t>
  </si>
  <si>
    <t>11967/P02.1824/P02/08/2025</t>
  </si>
  <si>
    <t>1 BPKB SPD MOTOR</t>
  </si>
  <si>
    <t>1 (satu) unit kendaraan roda dua, Merk HONDA, Type F1C02N46L0 A/T, Tahun 2022, dengan No. BPKB S-00920066, No.Rangka MH1JM0213NK589212, No.Mesin JM02E1589025, No.Polisi S 3119 NBM, Warna HITAM , atas nama ANGGELA ELFRIDA S.PD.</t>
  </si>
  <si>
    <t>1 (satu) unit kendaraan roda dua, merk Honda, type NC11D1CF A/T, tahun 2011, dengan no. BPKB K-05289822 No.rangka MH1JFA114BK007180 No. mesin JFA1E1007149, No.Polisi: S3482VD, Warna HITAM atas nama CORNELIA MIYASTUTI CAHYADI 1 (satu) unit kendaraan roda dua, merk Honda, type V1J02Q32L0 A/T, tahun 2020, dengan no. BPKB O-06716658, No.rangka MH1KF2110LK418362, No. mesin KF21E1418075, No.Polisi: S 5143 TU, Warna HITAM atas nama CORNELIA MIYASTUTI CAHYADI.</t>
  </si>
  <si>
    <t>1 (satu) unit kendaraan roda dua, Merk HONDA, Type FIC02N46L0 A/T, Tahun 2022, dengan No. BPKB S-01023765, No.Rangka MH1JM0215NK666548, No.Mesin JM02E1666364, No.Polisi S 4718 TL, Warna PUTIH , atas nama OKTAVIA MAHANDY PUTRI.</t>
  </si>
  <si>
    <t>P03.3584</t>
  </si>
  <si>
    <t>12126/P03.3584/P03/09/2025</t>
  </si>
  <si>
    <t>TAMBAHAN MODAL JUALAN JAMU</t>
  </si>
  <si>
    <t>P01.5915</t>
  </si>
  <si>
    <t>12008/P01.5915/P01/08/2025</t>
  </si>
  <si>
    <t>1 (satu) unit kendaraan roda dua, merk HONDA, Type NF11B2D1 MT, tahun 2011, dengan No. BPKB P 02776237, No.rangka MH1JBE313BK053387, No. mesin JBE3E1053283, No.Polisi: S 2423 TO, Warna HITAM, atas nama ERIKA ROSWITA SIBARANI.</t>
  </si>
  <si>
    <t>1 (satu) unit kendaraan roda dua, merk HONDA type NC11A3C A/T tahun 2011, dengan no. BPKB H-10709209 No.Rangka MH1JF9119BK272885 No.Mesin JF91E1264885, No.Polisi S 3497 NBE, Warna MERAH HITAM, atas nama ANTONIUS CANDRA HERU WIBOWO.</t>
  </si>
  <si>
    <t>1 (satu) unit kendaraan roda empat, Merk TOYOTA, Type KIJANG KF52 SPR, Tahun 1997, dengan No. BPKB H-11035545, No.Rangka MHF11KF8000010504, No. Mesin 7K0138389, No.Polisi L 1071 CL, Warna HIJAU METALIK atas nama MOENAWI.</t>
  </si>
  <si>
    <t>2 BPKB SPD MOTOR</t>
  </si>
  <si>
    <t>1 (satu) unit kendaraan roda dua, Merk HONDA, Type NC11B3C A/T, Tahun 2011, dengan No. BPKB Q - 05012629, No.Rangka MH1JF5119BK922291, No. Mesin JFS1E1919408, No.Polisi S 5961 TB, Warna HITAM, Atas Nama ATA SHARIATI. 1 (satu) unit kendaraan roda dua, Merk HONDA, Type NC12A1CF A/T, Tahun 2013, dengan No. BPKB K-07280243, No.Rangka MH1JFB112DK954842, No. Mesin JFB1E1910043, No.Polisi S 3209 SO, Warna WHITE BLUE, Atas Nama ACH YUNUS.</t>
  </si>
  <si>
    <t>P03.3463</t>
  </si>
  <si>
    <t>11741/P03.3463/P03/07/2025</t>
  </si>
  <si>
    <t>PENGEMBANGAN TOKO SEMBAKO</t>
  </si>
  <si>
    <t>Sebidang tanah pekarangan diatasnya berdiri rumah dari batu Dengan bukti Sertipikat Hak Milik No 1426, seluas 157 meter persegi sebagaimana yang diuraikan dalam Gambar Situasi No 543/Prajurit Kulon/2002, tertanggal 18-10-2002, yang terletak di Wilayah Propinsi Jawa Timur, Kota Mojokerto, Kecamatan PrajuritKulon, Desa Prajuritkulon, Yang Tercantum atas nama 1. ADI PRANOTO, 2. NYONYA INDAH PAWARTI, yang diperoleh haknya melalui jual beli, dengan tanda tanda batas telah terpasang sesuai dengan peraturan Menteri Negara Agraria / Kepala BPN No.3 tahun 1997. Berikut segala sesuatu yang berdiri, tumbuh dan tertanam di atasnya, yang karena sifatnya, maksudnya atau menurut hukum dianggap sebagai harta tetap, terutama sebuah bangunan rumah yang berdiri diatasnya.</t>
  </si>
  <si>
    <t>Saham Anggota atas nama Siti Painah NBA 14053.005.1007.270 dengan jumlah Rp 1.865.000,00 1 (satu) unit kendaraan roda dua, merk HONDA type HONDA tahun 2017, dengan no. BPKB N 03867749 No.rangka MH1JM3113HK339797 No. mesin JM31E1362781, No.Polisi: S 4223 SK Warna PUTIH BIRU atas nama SITI PAINAH.</t>
  </si>
  <si>
    <t>1 (satu) unit kendaraan roda dua, merk YAMAHA type MH34D70028J729390 tahun 2008, dengan no. BPKB E8722388 J No.rangka MH34D70028J729390 No. mesin 4D7729419, No.Polisi: S 3137 QD Warna HITAM, atas nama SUHERNANIK.</t>
  </si>
  <si>
    <t>1. A.N SOEKRIS INDARTIK.MERK HONDA THN. 2016,NO BPKB M-8554307 NO RANGKA MH1JFP213GK296870. NO POL. S 6081 VF 2. A.N SISWAJI. MERK HONDA THN 2014, NO BPKB K-11296349 NO RANGKA MH1JFF116EK320698. NO POL. S 4280 VD</t>
  </si>
  <si>
    <t>P01.5990</t>
  </si>
  <si>
    <t>12195/P01.5990/P01/09/2025</t>
  </si>
  <si>
    <t>BIAYA WISUDA</t>
  </si>
  <si>
    <t>P01.5941</t>
  </si>
  <si>
    <t>12066/P01.5941/P01/08/2025</t>
  </si>
  <si>
    <t>1 (satu) unit kendaraan roda empat, merk HONDA type BRIO SATYA 1.2E MT CKD tahun 2019, dengan no. BPKB O-03527354 No.rangka MHRDD1750KJ904162 No.mesin L12b32331091, No.Polisi: L 1671 JK Warna ABU-ABU BAJA MET atas nama MOCH MUCHLIS.</t>
  </si>
  <si>
    <t>Sebidang tanah perumahan Dengan bukti Sertipikat Hak Milik No 103, seluas 129 meter persegi sebagaimana yang diuraikan dalam Gambar Situasi No 00023/Kramattemenggung/2015, tertanggal 09-06-2015, yang terletak di Wilayah Propinsi Jawa Timur, Kabupaten Sidoarjo, Kecamatan Tarik, Desa Kramattemenggung, Yang Tercantum atas nama Sri Wahyuni yang diperoleh haknya melalui pengakuan hak, dengan tanda tanda batas telah terpasang. Berikut segala sesuatu yang berdiri, tumbuh dan tertanam di atasnya, yang karena sifatnya, maksudnya atau menurut hukum dianggap sebagai harta tetap, terutama sebuah bangunan rumah yang berdiri diatasnya.</t>
  </si>
  <si>
    <t>P08.328</t>
  </si>
  <si>
    <t>12200/P08.328/P08/09/2025</t>
  </si>
  <si>
    <t>1 (satu) unit kendaraan roda dua, merk YAMAHA type 28D MIO/AL115 S AT tahun 2010, dengan no. BPKB G 3741512 J No.rangka MH328D204AK483558 No. mesin 28D-1480735, No.Polisi: S 3094 TM Warna MERAH MARUN, atas nama REGINA WINANTIK</t>
  </si>
  <si>
    <t>A. 1 (satu) unit kendaraan roda dua, merk HONDA type HONDA tahun 2017, dengan no. BPKB N 03223549 No.rangka MH1KF112XHK036107 No. mesin KF11E2032698, No.Polisi: S 3104 RM Warna HITAM atas nama SATUMI. B. 1 (satu) unit kendaraan roda dua, merk HONDA type HONDA tahun 2002, dengan no. BPKB C 2112902 J No.rangka MH1KEV8132K319916 No. mesin KEV8E - 1321686, No.Polisi: S 4789 RB Warna HITAM atas nama ROPII.</t>
  </si>
  <si>
    <t>P03.3573</t>
  </si>
  <si>
    <t>12117/P03.3573/P03/09/2025</t>
  </si>
  <si>
    <t>TAMBAHAN MODAL USAHA ANGKRINGAN</t>
  </si>
  <si>
    <t>1 (satu) unit kendaraan roda dua, merk YAMAHA type 5D9 (VEGA ZR) tahun 2010, dengan no. BPKB H 04987198 No.rangka MH35D9003AJ886412 No. mesin 5D9886506, No.Polisi: S 3677 TO Warna MERAH MARUN, atas nama Drs. SUMARLIANTO.</t>
  </si>
  <si>
    <t>P02.1846</t>
  </si>
  <si>
    <t>12176/P02.1846/P02/09/2025</t>
  </si>
  <si>
    <t>1 BPKB MOBIL &amp; 1 BPKB SPD MOTOR</t>
  </si>
  <si>
    <t>1 (satu) unit kendaraan roda empat, Merk TOYOTA, Type Kijang Inova E DIS, Tahun 2012, dengan No. BPKB J - 01644009, No.Rangka MHFXS41G7C1512157, No.Mesin 2KDUO73984, No.Polisi B 1364 SZV, Warna HITAM METALIK , atas nama PT. ANEKABANGUN EKA PRATAMA. 1 (satu) unit kendaraan roda dua, Merk HONDA, Type A5C02R52L1 M/T, Tahun 2022, dengan No. BPKB S-01882589, No.Rangka MH1KCD112NK008802, No.Mesin KCD1E1008764, No.Polisi S 3588 NBN, Warna HITAM , atas nama ANDHIKA PURNAMA PUTRA.</t>
  </si>
  <si>
    <t>1 (satu) unit kendaraan roda empat, merk SUZUKI, type RW415 F X-OVER MT, tahun 2009, dengan no. BPKB ....................., No.rangka MHYHYA11S9J109377, No. Mesin M15ATA112007, No.Polisi L 1252 LV, Warna ABU-ABU MTL atas nama SRI PURNANING DYAH.</t>
  </si>
  <si>
    <t>P02.1812</t>
  </si>
  <si>
    <t>11858/P02.1812/P02/07/2025</t>
  </si>
  <si>
    <t>1 (satu) unit kendaraan roda dua, merk Honda, type X1H02N32L1 A/T, tahun 2022, dengan no. BPKB S-01014128 No.rangka MH1KF0116NK004140 No. mesin KF01E1004583, No.Polisi: W 3406 NCM, Warna MERAH atas nama UMI HANIK.</t>
  </si>
  <si>
    <t>1 (satu) unit kendaraan roda dua, Merk YAMAHA, Type 1KP A/T, Tahun 2012, dengan No. BPKB K-01905458, No.Rangka MH3IKP001CK176668, No.Mesin IKP177747, No.Polisi S 5710 SD, Warna PUTIH , atas nama KHUSNUR HIDHAYATI</t>
  </si>
  <si>
    <t>P01.5881</t>
  </si>
  <si>
    <t>11930/P01.5881/P01/07/2025</t>
  </si>
  <si>
    <t>TAMBAHAN BIAYA BELI SEPEDA MOTOR</t>
  </si>
  <si>
    <t>1 (satu) unit kendaraan roda dua, Merk HONDA, Type NF12 TR, Tahun 2008, dengan No. BPKB F-5120669, No.Rangka MH1JB91138K568733, No.Mesin JB91E-1573565, No.Polisi S 2672 VA, Warna HITAM , atas nama AGUSTINUS DODIK FERYANTO.</t>
  </si>
  <si>
    <t>Sebidang tanah perumahan diatasnya berdiri bangunan dari batu. Dengan bukti Sertipikat Hak Milik No 3170, seluas 70 meter persegi sebagaimana yang diuraikan dalam Gambar Situasi No 01307/12110305/2024, tertanggal 17-06-2024, yang terletak di Wilayah Propinsi Jawa Timur, Kabupaten Mojokerto, Kecamatan Pacet, Desa Pacet, Yang Tercantum atas nama EKO BUDIONO. Berikut segala sesuatu yang berdiri, tumbuh dan tertanam di atasnya, yang karena sifatnya, maksudnya atau menurut hukum dianggap sebagai harta tetap, terutama sebuah bangunan rumah yang berdiri diatasnya.</t>
  </si>
  <si>
    <t>1 (satu) unit kendaraan roda dua, merk HONDA, Type C1C02N16M2 A/T, Tahun 2016, dengan No. BPKB M-04476255 No.Rangka MH1JFW113GK358182, No. Mesin JFW1E1359636, No.Polisi: S 6628VR, Warna PUTIH, atas nama SUNTIYANI</t>
  </si>
  <si>
    <t>P03.3484</t>
  </si>
  <si>
    <t>11854/P03.3484/P03/07/2025</t>
  </si>
  <si>
    <t>TAMBAHAN MDOAL</t>
  </si>
  <si>
    <t>SHM dan bilyet SISUKA</t>
  </si>
  <si>
    <t>Sebidang tanah perumahan diatasnya berdiri bangunan dari batu. Dengan bukti Sertipikat Hak Milik No 4604, seluas 96 meter persegi sebagaimana yang diuraikan dalam Gambar Situasi No 2148/Wates/2013, tertanggal 26-04-2013, yang terletak di Wilayah Propinsi Jawa Timur, Kota Mojokerto, Kecamatan Magersari, Kelurahan Wates, Yang Tercantum atas nama SEPTIANA GIUSTIE AYU PRAMESTI. Berikut segala sesuatu yang berdiri, tumbuh dan tertanam di atasnya, yang karena sifatnya, maksudnya atau menurut hukum dianggap sebagai harta tetap, terutama sebuah bangunan rumah yang berdiri diatasnya. Nomor : SSKA.7023/SSKA/2024/10 Rp. 20,000,000</t>
  </si>
  <si>
    <t>P03.3514</t>
  </si>
  <si>
    <t>11955/P03.3514/P03/08/2025</t>
  </si>
  <si>
    <t>1 (satu) unit kendaraan roda empat, Merk SUZUKI, Type ST 100, Tahun 1994, dengan No. BPKB M - 03892142, No.Rangka MHDESLA41ORJ412242, No.Mesin F10A1D311138, No.Polisi W 1012 ON, Warna HIJAU METALIK, atas nama SUPRIANTO</t>
  </si>
  <si>
    <t>P03.3487</t>
  </si>
  <si>
    <t>11871/P03.3487/P03/07/2025</t>
  </si>
  <si>
    <t>TAMBAHAN MODAL JUALAN KUE</t>
  </si>
  <si>
    <t>1 (satu) unit kendaraan roda dua, Merk HONDA, Type L1K02033L1 A/T, Tahun 2022, dengan No. BPKB S-02586556, No.Rangka MH1KFA117NK077197, No.Mesin KFA1E1077154, No.Polisi S 4631 TQ, Warna HITAM , atas nama MOEDJI POERWANINGSIH</t>
  </si>
  <si>
    <t>1 (satu) unit kendaraan roda dua, merk HONDA, Type C1C02N16M2 A/T, Tahun 2016, dengan No. BPKB M-09877611, No.Rangka MH1JPW11XGK781843, No. Mesin JFW1E1785165, No.Polisi S 3172 SH, Warna KREM COKLAT atas nama DIAN FADJARWANTI HANDHAKA</t>
  </si>
  <si>
    <t>P01.5812</t>
  </si>
  <si>
    <t>11732/P01.5812/P01/07/2025</t>
  </si>
  <si>
    <t>Sebidang tanah non pertanian, dengan bukti Sertipikat Hak Milik No 00650, seluas 149 meter persegi sebagaimana yang diuraikan dalam Gambar Situasi No 00486/Balongmacekan/2019, tertanggal 18/07/2019, yang terletak di Wilayah Propinsi Jawa Timur, Kabupaten Sidoarjo, Kecamatan Tarik, Desa Balongmacekan, Yang Tercantum atas nama RONALD ORTILA, yang diperoleh haknya melalui jual beli, dengan tanda tanda batas telah sesuai dengan PMNA/Ka BPN No. 3/1997. Berikut segala sesuatu yang berdiri, tumbuh dan tertanam di atasnya, yang karena sifatnya, maksudnya atau menurut hukum dianggap sebagai harta tetap, terutama sebuah bangunan rumah yang berdiri diatasnya.</t>
  </si>
  <si>
    <t>P03.3479</t>
  </si>
  <si>
    <t>11830/P03.3479/P03/07/2025</t>
  </si>
  <si>
    <t>1 (satu) unit kendaraan roda dua, Merk HONDA, Type A1F02N37M1 A/T, Tahun 2022, dengan No. BPKB S-05531390, No.Rangka MH1JM5120NK278277, No. Mesin JM51E2276787, No.Polisi S 6364 NBP, Warna BIRU atas nama HENDRIKUS PRASETYA BUDIE.</t>
  </si>
  <si>
    <t>P03.3504</t>
  </si>
  <si>
    <t>11917/P03.3504/P03/07/2025</t>
  </si>
  <si>
    <t>P03.3485</t>
  </si>
  <si>
    <t>11857/P03.3485/P03/07/2025</t>
  </si>
  <si>
    <t>Sebidang tanah diatasnya berdiri sebuah rumah dari batu Dengan bukti Sertipikat Hak Milik No 2319, seluas 72 meter persegi sebagaimana yang diuraikan dalam Gambar Situasi No 682, tertanggal 19  7 - 1997, yang terletak di Wilayah Propinsi Jawa Timur, Kota Mojokerto, Kecamatan Magersari, Kelurahan Kedundung, Yang Tercantum atas nama EDY SUHENDY yang diperoleh haknya melalui jual beli berdasarkan Akta jual beli Nomor 07/2022, Tanggal 25/05/2022, dengan tanda tanda batas tugu beton 1 sampai dengan IV berdiri di atas batas. Tembok selapis a-b berdiri di tengah batas. Tanda batas tersebut telah mencukupi yang ditentukan dalam peraturan Menteri Negara agraria/Kepala BPN No.2 tahun 1996. Berikut segala sesuatu yang berdiri, tumbuh dan tertanam di atasnya, yang karena sifatnya, maksudnya atau menurut hukum dianggap sebagai harta tetap, terutama sebuah bangunan rumah yang berdiri diatasnya.</t>
  </si>
  <si>
    <t>P03.3539</t>
  </si>
  <si>
    <t>12032/P03.3539/P03/08/2025</t>
  </si>
  <si>
    <t>P03.3503</t>
  </si>
  <si>
    <t>11920/P03.3503/P03/07/2025</t>
  </si>
  <si>
    <t>P03.3611</t>
  </si>
  <si>
    <t>12217/P03.3611/P03/09/2025</t>
  </si>
  <si>
    <t>1 (satu) unit kendaraan roda dua, Merk HONDA, Type NC11A3C A/T, Tahun 2010, dengan No. BPKB Q - 01822849, No.Rangka MH1JF9110AK004225, No.Mesin JF91E1004550, No.Polisi W 3493 NAO, Warna PUTIH VIOLET , atas nama KANON</t>
  </si>
  <si>
    <t>P01.5923</t>
  </si>
  <si>
    <t>12019/P01.5923/P01/08/2025</t>
  </si>
  <si>
    <t>P03.3523</t>
  </si>
  <si>
    <t>11978/P03.3523/P03/08/2025</t>
  </si>
  <si>
    <t>P01.5887</t>
  </si>
  <si>
    <t>11951/P01.5886/P01/08/2025</t>
  </si>
  <si>
    <t>P03.3498</t>
  </si>
  <si>
    <t>11896/P03.3498/P03/07/2025</t>
  </si>
  <si>
    <t>P03.3495</t>
  </si>
  <si>
    <t>11902/P03.3495/P03/07/2025</t>
  </si>
  <si>
    <t>P03.3496</t>
  </si>
  <si>
    <t>11901/P03.3496/P03/07/2025</t>
  </si>
  <si>
    <t>P03.3497</t>
  </si>
  <si>
    <t>11900/P03.3497/P03/07/2025</t>
  </si>
  <si>
    <t>P03.3494</t>
  </si>
  <si>
    <t>11903/P03.3494/P03/07/2025</t>
  </si>
  <si>
    <t>1(satu) unit kendaraan roda dua, merkHONDA,TYPE LRIA V1J02O32S,tahun2024,dengan No.BPKB ,No rangkaKF7115RK761108,No. Mesin KF71E1759928,No.Polisi,Warna BLACKatas nama ANDREAS SUMARYANTO</t>
  </si>
  <si>
    <t>1(satu) unit kendaraan roda dua, merkHonda, tahun2013,dengan No.BPKB k-08883619 No rangkaMH1jfb116dk797977,No. MesinJFB-1E1753790, No.PolisiAA 6901 SA, Warna HITAM atas nama GIYANTORO</t>
  </si>
  <si>
    <t>BPKB MOTOR, BPKB MOTOR, BPKB MOTOR</t>
  </si>
  <si>
    <t>1(satu) unit kendaraan roda dua, merk HONDA, tahun 2014 dengan No.BPKB L04682224, No rangka MH1JFM21GEKJ81599, No. Mesin JFM2EN21517, No.Polisi B 4807 TCV, Warna PUTIH MERAH atas nama RATIH INDIRA D, 1(satu) unit kendaraan roda dua, merk SUZUKI, tahun 2006 dengan No.BPKB E 3823295 I, No rangka MH8BE4DFAGJ204553, No. Mesin E4511D204631, No.Polisi AA 2447 YE, Warna BIRU HITAM atas nama FATKHURI, 1(satu) unit kendaraan roda dua, merk HONDA, tahun 2019 dengan No.BPKB P05873370, No rangka MH1KF4119KK764405, No. Mesin KF41E1767098, No.Polisi AA 6042 GY, Warna PUTIH atas FIBRIAR AMBARSARI</t>
  </si>
  <si>
    <t>1.Jaminanatasnama Lucia Tri Harjanti 2.No. SHM 3459 3.Letakjaminan Sokorini 4. Luasjaminan 410 M2</t>
  </si>
  <si>
    <t>P03.3581</t>
  </si>
  <si>
    <t>12137/P03.3581/P03/09/2025</t>
  </si>
  <si>
    <t>1(satu) unit kendaraan roda empat, merk DAIHATSU, tahun 2002,dengan No.BPKB U-02457848, No rangka MHKTMRSHD1K000602,No. Mesin S000602,No.PolisiAB 1955 VL, Warna Biru Metalik atas nama DAMASUS WINARNO</t>
  </si>
  <si>
    <t>P01.5807</t>
  </si>
  <si>
    <t>11767/P01.5807/P01/07/2025</t>
  </si>
  <si>
    <t>ATAS NAMA : IRENE INDIYATI NO.BPKB : H-02214936 NO.POL : AA 4816 ZK MERK : KAWASAKI TYPE/MODEL : AN112 S EDGE M/T / SOLO TAHUN/WARNA : 2010/ABU-ABU NO.RANGKA : MH4AN112SAKP03852 NO MESIN : AN112BEPD8747</t>
  </si>
  <si>
    <t>Atas nama : WIWIK PRANAWATI No.BPKB : F 2892962 I No Polisi : AA 3815 SK Merk : HONDA Type / Model : NF125TR/SOLO Tahun/Warna: 2008/HITAM No. Rangka : MH1JB91198KA90376 No Mesin : JB91E-1489572</t>
  </si>
  <si>
    <t>Atasnama : PRASETYA UTAMA No.BPKB : G-0504743 I No Polisi : AA 6917 LE Merk : YAMAHA Type / Model : 30C(JUPITER Z)/SOLO Tahun/Warna: 2009/HITAM MERAH No. Rangka : MH330C0029J665001 No Mesin : 30C665010</t>
  </si>
  <si>
    <t>1(satu) unit kendaraan roda dua, merk HONDA,tahun 2009, dengan No.BPKB G 2568024 I No rangka MH1JBB1129KO71617, No. Mesin JBB1E-1074066No.Polisi AA 6536 QE, Warna HITAM SILVER, TYPE NF11A1C M/T,MODEL SPD MOTOR SOLO atas nama KASIRIN</t>
  </si>
  <si>
    <t>Atas nama : SUPOMO No.BPKB : H-O1158956 No Polisi : AA 6877 YK Merk : HONDA Type / Model : NC11A2CBA/T /SOLO Tahun/Warna: 2010/VIOLET SILVER No. Rangka : MH1JF3113AK179596 No Mesin : JF31E-0178781 Atasnama : AYUK WINDA VIVIT ARISTIYA No.BPKB : K-11264048 No Polisi : S 4369 MA Merk : HONDA Type / Model : NC11CF1C A/T /SOLO Tahun/Warna: 2014 / HITAM BEIGE No. Rangka : MH1JFG117EK192638 No Mesin : JFG1E1194773</t>
  </si>
  <si>
    <t>Atasnama : IGNATIUS PRAYOGA No.BPKB : J-01123824 No Polisi : AA 8140 MK Merk : MAZDA Type / Model : 323 1.5 NB/SEDAN Tahun/Warna: 1967/CREAM METALIK No. Rangka : BF10E2ME010275 No Mesin : E5681891</t>
  </si>
  <si>
    <t>No BPKB : P-02983690 I NO POLISI : AA 5970 ZA Type / Model : F1C02N28S2A A/T Tahun/Warna: HITAM SILVER PLUS No. Rangka : MH1JM3123KK773556 No Mesin : JM31E2768498 ATAS NAMA : V OKTSAGA PILAR ABADI</t>
  </si>
  <si>
    <t>Atasnama : EKO WARDANI No.BPKB : M-14581445 No Polisi : AA 6164 ZG Merk : KAWASAKI Type / Model : AN 130 C KAZE ZX VR / SOLO Tahun/Warna: 2006/PUTIH No. Rangka : MH4AN130C6KP24305 No Mesin : AN130BEP50563 Atasnama : SITI NUR AFIATI No.BPKB : N-02974744 No Polisi : AA 6445 HB Merk : KAWASAKI Type / Model : BLITZ-R/AN112D / SOLO Tahun/Warna: 2005/HITAM No. Rangka : MH4AN112D5KP87835 No Mesin : AN112BEP96435</t>
  </si>
  <si>
    <t>P01.5993</t>
  </si>
  <si>
    <t>12211/P01.5993/P01/09/2025</t>
  </si>
  <si>
    <t>1(satu) unit kendaraan roda dua, merk HONDA, tahun 2012, dengan No.BPKB J 00360552 , No rangka MH1JF5130CK432521, No. Mesin JF51E-3424882, No.Polisi AA 2678 SA , Warna HITAM atas nama SITI KHUSNUL KHOTIMAH</t>
  </si>
  <si>
    <t>1(satu) unit kendaraan roda dua, merk Honda, tahun 2011,dengan No.BPKB I 06069806 No rangka MH1JF5129BK622579,No. Mesin JP51E-2623688, No.Polisi AA 5487 HT, Warna PUTIH atas nama DESI ERMASARI</t>
  </si>
  <si>
    <t>Atas nama : ESTIEN SADEWI No.BPKB : M-02267595 I No Polisi : AA 5066 MH Merk : SUZUKI Type / Model : FK 110 SCD K6 / SPD Tahun/Warna : 2008 No. Rangka : MH8BE4DFA8J-500692 No Mesin : E451-ID-507172</t>
  </si>
  <si>
    <t>MOTOR</t>
  </si>
  <si>
    <t>1(satu) unit kendaraan roda dua, merk HONDA , tahun 2013, dengan No.BPKB H-02214936, Nomor rangka MH1KC4113DK021427, No. Mesin AN112BEPDB747, No.Polisi AA 6745 QT, type/model CB15A1RRF/SOLO Warna HITAM atas nama Eko Agus Supriyanta</t>
  </si>
  <si>
    <t>Atas nama : ANA YULI HARTATI No.BPKB : D 7644704 I No Polisi : AA 6870 TB Merk : HONDA Type / Model : NF125D/SOLO Tahun/Warna: 2005/SILVER HITAM No. Rangka : MH1JB221X5K563949 No Mesin : JB22E-1562860</t>
  </si>
  <si>
    <t>BPKB MOTOR, BPKB MOBIL</t>
  </si>
  <si>
    <t>kendaraan roda dua, merk TVS, tahun2010, dengan No.BPKB H-03225176 I,No rangka MKZ53C1HDAJ0035757,No. MesinOE4FA2297433, No.PolisiAA 4218QA, Warna CRIMSON REDatas nama KUAT SWASTIONO, kendaraan roda empat, merk DATSUN, tahun 1971, dengan No.BPKB 839889 G,Nolandasan 521.F94827 No. Mesin j.135119 No.Polisi AA 9685 A, Warna Merah atas nama KUAT SWASTIONO</t>
  </si>
  <si>
    <t>P01.5929</t>
  </si>
  <si>
    <t>12036/P01.5929/P01/08/2025</t>
  </si>
  <si>
    <t>b. 1(satu) unit kendaraan roda dua, merk HONDA,TYPE KIRANA/ND125 ,tahun 2004,dengan No.BPKB P-07118226,No rangka MH1J1104K056953,No. Mesin JB31E1055800,No.Polisi AA 2859 A,Warna HITAM,atas nama DIANNE SELFIE ANITA LIOW</t>
  </si>
  <si>
    <t>b. 1(satu) unit kendaraan roda dua, merk Volta 401, tahun 2024,dengan No.BPKB No rangka MFLB2HL31PL012720, No. Mesin VL60V1500W35H2303151462, No.Polisi , Warna GREY atas nama Sriyono Budi Suryanto</t>
  </si>
  <si>
    <t>Atas nama : DAVID SUDIBYO No.BPKB : F 0976829 I No Polisi : AA 4661 NA Merk : HONDA Type / Model : NF 125 TR / SOLO Tahun/Warna: 2008 / HITAM BIRU No. Rangka : MH1JB911X8K363376 No Mesin : JB91E 1363664</t>
  </si>
  <si>
    <t>Atasnama : AGUSTINUS NAHUMURY, SSI. APT No.BPKB : H-01158695 No Polisi : AA 6598 YK Merk : HONDA Type / Model : NF11A1C M/T / SOLO Tahun/Warna: 2010/BIRU ORANGE No. Rangka : MH1JBB117AK306694 No Mesin : JBB1E-1295914</t>
  </si>
  <si>
    <t>1(satu) unit kendaraan roda dua, merk HONDA, tahun 2018, dengan No.BPKB O- 04233786 I. TYPE/MODEL E1F02N11M2 A/T/MODEL SPD MOTOR SOLO No rangka MH1JFU121JK249837, No. Mesin JFU1E-2254659 No.Polisi AA 635 JA, Warna HITAM, atas nama Kristanto adi Nugroho</t>
  </si>
  <si>
    <t>Atas nama : ERVIN PRASETYO No.BPKB : K 08883664 No Polisi : AA 6944 SA Merk : YAMAHA Type / Model : 5D9 VEGA RR/SOLO Tahun/Warna : 2013/MERAH No. Rangka : MH35D9206DJ869307 No Mesin : 5D91869298</t>
  </si>
  <si>
    <t>Atas nama : SOEPRIYADI No.BPKB : K 12575273 No Polisi : AA 3754 TA Merk : HONDA Type / Model : NC110A1C A/T /SOLO Tahun/Warna: 2013/HITAM No. Rangka : MH1JF8117DK961465 No Mesin : JF81E-1955373</t>
  </si>
  <si>
    <t>P03.3467</t>
  </si>
  <si>
    <t>11772/P03.3467/P03/07/2025</t>
  </si>
  <si>
    <t>MOTOR, MOTOR</t>
  </si>
  <si>
    <t>1(satu) unit kendaraan roda dua, merk YAMAHA, tahun 2023 , dengan No.BPKB. T03838264 No rangka MH3SG5620PJ777837, No. Mesin G3L8E-1624436 No.Polisi AA 6761 BA, Warna HITAM, atas nama Sri Iryanti, 1(satu) unit kendaraan roda dua, merk HONDA, tahun 2010, dengan No.BPKB. H03952081I No rangka MH1JF8119AK044202, No. Mesin JF81E1043625 No.Polisi AA 4493 QA, Warna MERAH SILVER, atas nama NEVARI NETA INDRIANA</t>
  </si>
  <si>
    <t>1 UNIT KENDARAAN RODA DUA MERK HONDA Y1G02N0210 NO BPKB M05430336 NO RANGKA MHIJFS217FK037199, NOSIN JFS2E-1037098 NOPOL AA 6015 UN ATAS NAMA NIKEN SAPUTRI</t>
  </si>
  <si>
    <t>b. 1(satu) unit kendaraan roda dua, merk Honda, tahun 2019, dengan No.BPKB P 05810566 I No rangka MH1JFY115KK135534 , No. Mesin JFY1E--1132282 No.Polisi AA 5878 IT, ABU-ABU,TYPE D1A02N19M1 A/T MODEL SOLO atas nama Siti Ngaisah</t>
  </si>
  <si>
    <t>1(satu) unit kendaraan roda dua, merk HONDA, tahun 2017, dengan No.BPKB O-00034564 No rangka MH1JM2119HK601252, No. Mesin JM21E1587191, No.Polisi AA 3521 VG, Warna BIRU PUTIH atas nama ARIF RUDIANTO</t>
  </si>
  <si>
    <t>Atas nama : MT BANU LEKSONO No.BPKB : F-8599438 No Polisi : AA 4162 HK Merk : KAWASAKI Type / Model : KR 150L/SOLO Tahun/Warna: 2009/ HITAM No. Rangka : MH4KR150L9KP17149 No Mesin : KR150LEP23343</t>
  </si>
  <si>
    <t>1(satu) unit kendaraan roda dua, merk Honda,tahun 2017, dengan No.BPKB M-06458057 I, Nomor rangka MH1JFU125HK013234,Mesin JFU1E-2029552,TYPE E1F02N11M2 A/T,MODEL SPD MOTOR SOLO No.Polisi AA 3931 JA, Warna HITAM atas nama Ani Yuliati</t>
  </si>
  <si>
    <t>SEPEDA MOTOR, SERTIFIKAT TANAH</t>
  </si>
  <si>
    <t>Atas nama : NENI OKTAVIA No.BPKB : H-09364608 No Polisi : AA 2443 RA Merk : YAMAHA Type / Model : 28D MIO A/T / SOLO Tahun/Warna: 2011/BIRU No. Rangka : MH328D305BK748454 No Mesin : 28D-2745394, Jaminan atas nama NOFAN KRISWANTO No. SHM 528 Letak jaminan KEJUDEN Luas jaminan 41M2</t>
  </si>
  <si>
    <t>Jaminan atas nama HARYOWIDODO No. SHM 04538 Letak jaminan BLIGO Luas jaminan 892M2</t>
  </si>
  <si>
    <t>P01.5903</t>
  </si>
  <si>
    <t>11965/P01.5903/P01/08/2025</t>
  </si>
  <si>
    <t>BPKB, BPKB MOTOR</t>
  </si>
  <si>
    <t>c. 1 (satu) unit kendaraan roda dua,merkHondatahun2024,dengan no BPKB No rangkaMH1JM8133RK067672,No. MesinJM81E3068039,type/model H1B02N41LO A/T/SOLONo.PolisiWarna Hitam silver , atas nama Umi Fitriah, MERK YAMAHA NOPOL H 3170 HI TAHUN 2014 WARNA PUTIH NOKA MH32SV001EK064902, NOSIN 2SV065006</t>
  </si>
  <si>
    <t>BPKB MOTOR, BPKB</t>
  </si>
  <si>
    <t>Atas nama : Shella Kantina No.BPKB : F-5912231 I No Polisi : AA 2940 PA Merk : Yamaha Type / Model : 28D / SPM Motor Tahun/Warna : 2009 No. Rangka : MH328D0049J550994 No Mesin : 28D-551493, 1(satu) unit kendaraan roda dua, merk HONDA, tahun 2019, dengan No.BPKB P-03051782 I, Nomor rangka MH1JM6117KK024008, No. Mesin JM61E-1024050, No.Polisi AA6543 ZA, Warna HITAM MERAH TYPE C1M02N41LO A/T MODEL SOLO atas nama ARIE RULIYANTO</t>
  </si>
  <si>
    <t>Sebidang tanah Dengan bukti Sertipikat Hak Milik No. 01359, seluas 314 meter persegi sebagaimana yang diuraikan dalam Gambar Situasi / Surat Ukur no. 00927/Kebonrejo/2018, tertanggal 27-08-2018, yang terletak di Wilayah Propinsi Jawa Tengah, Kab. Magelang, Kec. Candimulyo, Desa Kebonrejo. Yang Tercantum atas nama Zuliati yang berdiri, tumbuh dan tertanam di atasnya, yang karena sifatnya, maksudnya atau menurut hukum dianggap sebagai harta tetap.</t>
  </si>
  <si>
    <t>Atasnama : SITI MULYANI No.BPKB : E-4933837 I No Polisi : AA 4156 MA Merk : YAMAHA Type / Model : M10/AL115S 5TL / SOLO Tahun/Warna: 2007/HITAM No. Rangka : MH35TL0047K670975 No Mesin : 5TL673428, 1 BPBKB SEPEDA MOTOR MERK HONDA .NO PLAT AA 5991 AN TYPE GL15A1D M/T TAHUN 2010 ISIS SILINDER 150 CC WARNA HITAM ABU-ABU. NOKA : MH1KC2116AK009630, NOSIN KC21E-1009630 AN. FATCHUNAIM</t>
  </si>
  <si>
    <t>1(satu) unit kendaraan roda dua, merk YAMAHA , tahun 2016, dengan No.BPKB M-13211189, Nomor rangka MH3SE8810GJ690673, No. Mesin E3R2E-0827321, No.Polisi AA 4421 WA, type/model SE88/SPD MOTOR SOLO Warna HITAM atas nama EKA HARIYATI</t>
  </si>
  <si>
    <t>1(satu) unit kendaraan roda dua, merk HONDA , tahun 2018, dengan No.BPKB P-00292907, Nomor rangka MH1JF2XJK760735, No. Mesin JFZ15-2767056, No.Polisi AA 5372 BB, type/model D1802N26L2 A/T/SPD MOTOR SOLO Warna HITAM atas nama ENI LISTANTI</t>
  </si>
  <si>
    <t>1(satu) unit kendaraan roda dua, merk HONDA, type/model NC11D1CF/SPD MOTOR SOLO tahun 2014, dengan No.BPKB I-03295381, Nomor rangka MH1JFA119EK214586, No. Mesin JF1E-1209570, No.Polisi AA 5217 BG, Warna HITAM atas nama Antik Herlina Setyaningtyas</t>
  </si>
  <si>
    <t>1(satu) unit kendaraan roda dua, merkYAMAHA,tahun2015,dengan No.BPKB M-05495063,No rangkaMH35SE8810FJ415675, No. Mesin E3A2E-0447123,No.PolisiAA 6915 VA, WarnaMERAH MUDAatas nama Franciscus Xaverius Adinugroho</t>
  </si>
  <si>
    <t>b. 1(satu) unit kendaraan roda eMPAT, merk Suzuki , tahun 1996 , dengan No.BPKB Q-03656178 I, No rangka MHDESL413TJ-172155, No. Mesin G13-ID-172155, No.Polisi AA 1793 A, Warna Putih atas nama Siti Janatun Naim</t>
  </si>
  <si>
    <t>P01.5981</t>
  </si>
  <si>
    <t>12183/P01.5981/P01/09/2025</t>
  </si>
  <si>
    <t>TAMBAHAN BELI MOTOR</t>
  </si>
  <si>
    <t>Sebidang tanah Dengan bukti Sertipikat Hak Milik No01618 seluas 200meter persegisebagaimana yang diuraikandalamGambar Situasi / Surat Ukur No.00781/Kramat Selatan/2020tertanggal 6 Mei 2020 yang terletak di Wilayah Propinsi Jawa Tengah,Kota Magelang,Kec.Magelang Utara,KpNgembik kidul Yang Tercantumatas nama Indah Dwi Setiawaty M. Eyang berdiri, tumbuh dan tertanam di atasnya, yang karena sifatnya, maksudnya atau menurut hukum dianggap sebagai harta tetap.</t>
  </si>
  <si>
    <t>Atas nama : SODIKIN No.BPKB : M-13870422 No Polisi : AA 1914 K Merk : SUZUKI Type / Model : FUTURA/ST150/PICK UP Tahun/Warna: 2005/HITAM No. Rangka : MHYESL4155J-172655 No Mesin : G154-1A-172151</t>
  </si>
  <si>
    <t>Atas nama : SEPTI PRADANA HERMAWAN No.BPKB : Q03580431 I No Polisi : H 3165 BW Merk : YAMAHA Type / Model : B65-A/SPM/SEPEDA MOTOR Tahun/Warna : 2020/HITAM No. Rangka : MH3SG4640LJ070972 No Mesin : G3J8EO146307</t>
  </si>
  <si>
    <t>P04.576</t>
  </si>
  <si>
    <t>11663/P04.576/P04/09/2025</t>
  </si>
  <si>
    <t>BELI RUMAH</t>
  </si>
  <si>
    <t>c. Sebidang tanah Dengan bukti Sertipikat Hak Milik No ..................., seluas ...........meter persegi sebagaimana yang diuraikan dalam Gambar Situasi / Surat Ukur No. ................, tertanggal .................. , yang terletak di Wilayah Propinsi Jawa Tengah, Kota Magelang, Kec.Magelang Tengah ,Kelurahan Cacaban, Yang Tercantum atas nama..............................................</t>
  </si>
  <si>
    <t>1(satu) unit kendaraan roda empat, merk Mitsubishi , tahun 2011, dengan No.BPKB U018377951 No rangka MHMU5TU2EBK069897, No. Mesin 4G15GY3294 No.Polisi AB 8376 KG, Warna HITAM HITAM, atas nama ERI DARMAWAN</t>
  </si>
  <si>
    <t>Atas nama : MUHAMMAD KOIRUL FADLILAH No.BPKB : M-13422187 No Polisi : AA 2027 NG Merk : YAMAHA Type / Model : SE88/SEPEDA MOTOR Tahun/Warna : 2016/HITAM No. Rangka : MH3SE8820GJ043962 No Mesin : E3R2E-0764164</t>
  </si>
  <si>
    <t>P03.3572</t>
  </si>
  <si>
    <t>12125/P03.3572/P03/09/2025</t>
  </si>
  <si>
    <t>1(satu) unit kendaraan roda dua, merkHONDA, tahun2014,dengan No.BPKB L-11826184,No rangkaMH1JFH114EK338323,No. MesinJFH1E-1337832,No.PolisiAA 5864 EG, Warna WHITE REDatas nama ESTER CHRISTIANAWATI</t>
  </si>
  <si>
    <t>Sebidang tanah Dengan bukti Sertipikat Hak Milik No.1090, seluas 270 meter persegi sebagaimana yang diuraikan dalam Gambar Situasi / Surat Ukur Sementara no.4158 , tertanggal 18-9-1989 , yang terletak di Wilayah Propinsi Jawa Tengah, Kota. Magelang, Kec. Muntilan, Kelurahan Muntilan. Yang Tercantum atas nama Laurentius Sutiikno</t>
  </si>
  <si>
    <t>P02.1832</t>
  </si>
  <si>
    <t>11995/P02.1832/P02/08/2025</t>
  </si>
  <si>
    <t>BPKB MOTOR NO BPKB O-07532503 NO POLISI AA 6749 WE ,ATAS NAMA MUHAMAD TAUFAN NO KA; MH1JBK111FK182221, NO SIN : JBK1E1181339</t>
  </si>
  <si>
    <t>P03.3545</t>
  </si>
  <si>
    <t>12047/P03.3545/P03/08/2025</t>
  </si>
  <si>
    <t>Atas nama : SAPTO NUGROHO PUTRO,ST No.BPKB : J-06257188 No Polisi : H 3420 AHG Merk : YAMAHA Type / Model : 1LB / SPD MOTOR Tahun/Warna : 2013/MERAH No. Rangka : MH31LB001DK018522</t>
  </si>
  <si>
    <t>a. 1 (satu) unit kendaraan roda dua, merk Yamaha tahun2011, dengan No.BPKB R 00256660 I, No rangkaMH350C001BK223247, No. Mesin50C223387, type/ model 50C(T135HC)/SOLO, No.PolisiAA 2234 KY, Warna Hitam , atas nama CONTARDO CHRISTIO DEA CAHYA K</t>
  </si>
  <si>
    <t>Sebidang tanah Dengan bukti Sertipikat Hak Milik No 1742 seluas 134 meter persegi sebagaimana yang diuraikan dalam Gambar Situasi / Surat Ukur No. 38 tertanggal 13/08/199 yang terletak di Wilayah Propinsi Jawa Tengah, Kab. Magelang, Kec. Magelang Utara, Kelurahan Wates Yang Tercantum atas nama Dwi Septiani</t>
  </si>
  <si>
    <t>P01.5814</t>
  </si>
  <si>
    <t>11786/P01.5814/P01/07/2025</t>
  </si>
  <si>
    <t>P03.3477</t>
  </si>
  <si>
    <t>11825/P03.3477/P03/07/2025</t>
  </si>
  <si>
    <t>1(satu) unit kendaraan roda dua, merkHONDA, tahun2018,dengan No.BPKB 003142996,No rangkaMH1JF2127JK515121,No. MesinJFZ1E-1519043,No.PolisiZ 6529 IP, Warna Putihatas nama Nina Herlina</t>
  </si>
  <si>
    <t>1(satu) unit kendaraan roda dua, merk HONDA,TYPE/MODEL NC11A3C A/T,SEPEDA MOTOR SOLO tahun 2011 dengan No.BPKB T-01214547 No rangka MH1JF94119BK217451 No. Mesin JF91E1211519 No.Polisi H 6897 UY Warna Hitam SILVER atas nama RINI SETYONINGSIH, b. 1(satu) unit kendaraan roda dua, merk Honda, tahun 2009 dengan No.BPKB F-6964861. No rangka MH1JF121X9K654658 No. Mesin JF12E. 1658839 No.Polisi AA 6342 VK Warna Hitam atas nama ENDAH ANDRIYATI</t>
  </si>
  <si>
    <t>Sebidang tanah Dengan bukti Sertipikat Hak Milik No 660 seluas 1.480 meter persegi sebagaimana yang diuraikan dalam Gambar Situasi / Surat Ukur No. 00163/Dukun/2013 tertanggal 16/10/2013 yang terletak di Wilayah Propinsi Jawa Tengah, Kab. Magelang, Kec. Dukun, Kelurahan Mangunsoko Yang Tercantum atas nama Nuryanto</t>
  </si>
  <si>
    <t>P01.5913</t>
  </si>
  <si>
    <t>11987/P01.5913/P01/08/2025</t>
  </si>
  <si>
    <t>PENDIDIKAN ANAK (PEMBELIAN UNIT HP)</t>
  </si>
  <si>
    <t>1(satu) unit kendaraan roda dua, merk HONDA, tahun 2016, dengan No.BPKB M-14378103,Type/Model AFX12U21CO8 M/T No rangka MH1JBP115GK406847, No. Mesin JBP1E-1406086, No.Polisi AA 5897 NG, Warna HITAM atas nama MARSELA ENDANG APRIYANI</t>
  </si>
  <si>
    <t>b. 1(satu) unit kendaraan roda dua, merkYAMAHA,tahun2013,dengan No.BPKB K-07871186,No rangkaMH31UB005DJ101417, No. Mesin 1UB101412,No.PolisiAA 3891 VL, Warna HITAMMERAH atas nama Yogo Prasetyo</t>
  </si>
  <si>
    <t>P01.5844</t>
  </si>
  <si>
    <t>11862/P01.5844/P01/07/2025</t>
  </si>
  <si>
    <t>1(satu) unit kendaraan roda dua, merkYamaha,TYPE SD9 (VEGA ZR)/SOLO,tahun2010,dengan No.BPKB h- 01159737,No rangkaMH3509001AJ638358,No. Mesin 509-638-423,No.Polisi H 2717 OB,Warna Merah Marun atas nama Haryono</t>
  </si>
  <si>
    <t>Sebidang tanah Dengan bukti Sertipikat Hak Milik No00463, seluas 529meter persegisebagaimana yang diuraikandalamGambar Situasi / Surat Ukur No. 00065/KRADENAN/2013,tertanggal 02/04/2012yang terletak di Wilayah Propinsi Jawa Tengah,Kab. Magelang, Kec. Pakis, Desa Petung Yang Tercantumatas nama AG Widi Hartantoyang berdiri, tumbuh dan tertanam di atasnya, yang karena sifatnya, maksudnya atau menurut hukum dianggap sebagai harta tetap.</t>
  </si>
  <si>
    <t>P03.3563</t>
  </si>
  <si>
    <t>12070/P03.3563/P03/09/2025</t>
  </si>
  <si>
    <t>1 (satu) unit kendaraan roda dua, merk Yamaha tahun 2006 , dengan No.BPKB L07361536, No rangka MH34D70016J219046, No. Mesin 4D7219055, type/ model VEGA R/4D7 /SPD MOTOR SOLO No.Polisi AA 6538 LK, Warna HITAM, atas nama YENI WINARTO</t>
  </si>
  <si>
    <t>1(satu) unit kendaraan roda dua, merk Honda Beat , tahun 2017,TYPE/MODEL D1B02N2GL2/ A/T SPD MOTOR SOLO dengan No.BPKB N06458361 No rangka MH1JFZ21GHK145261, No. Mesin JFZ2E-1149166, No.Polisi AA 4240 JA, Warna HITAM atas nama MARIA IMMACULATA LULUT CAHYATI</t>
  </si>
  <si>
    <t>1(satu) unit kendaraan roda dua, merk HONDA , tahun 2013,dengan No.BPKB R-00663686, Nomor rangka MH328D0028K231739, No. Mesin 28D232165, No.Polisi H 2861 GV, type/model MIO AT 115S 28D /SOLO Warna HITAM atas nama Sugiyarti</t>
  </si>
  <si>
    <t>P01.5971</t>
  </si>
  <si>
    <t>12152/P01.5971/P01/09/2025</t>
  </si>
  <si>
    <t>P03.3602</t>
  </si>
  <si>
    <t>12180/P03.3602/P03/09/2025</t>
  </si>
  <si>
    <t>P03.3591</t>
  </si>
  <si>
    <t>12149/P03.3591/P03/09/2025</t>
  </si>
  <si>
    <t>DUKUNGAN PEMBELAJARAN</t>
  </si>
  <si>
    <t>1(satu) unit kendaraan roda dua, merk HONDA, tahun 2018, dengan No.BPKB O-08183594, Nomor rangka MH1KCA115JK007233, No. Mesin KCA1E-1007245, No.Polisi AA 3269 WA, type/model A5C02R37M2/MT SPD MOTOR SOLO Warna HITAM atas nama HENRIKUS EGHA HANINTYAS WIDIASTOMO</t>
  </si>
  <si>
    <t>1(satu) unit kendaraan roda dua, merk HONDA,type/model D1Z02N13L2 A/T SPD MOTOR SPM SOLO tahun 2017, dengan No.BPKB N 08397942,No rangka MH1JM119HK246660, No. Mesin JM11E1240158, No.Polisi AB 4898 YL, Warna Biru Putih, atas nama A. Demetria Dwi Kristianti</t>
  </si>
  <si>
    <t>P03.3567</t>
  </si>
  <si>
    <t>12093/P03.3567/P03/09/2025</t>
  </si>
  <si>
    <t>1(satu) unit kendaraan roda dua, merk YAMAHA, tahun 2009, dengan No.BPKB F-5912335 I,Type/Model 5D9/SP MOTOR SOLO No rangka MH35D90019J134089, No. Mesin 5D9-134130, No.Polisi AA 3140 PA, Warna MERAH atas nama HARTIPIK</t>
  </si>
  <si>
    <t>P03.3471</t>
  </si>
  <si>
    <t>11789/P03.3471/P03/07/2025</t>
  </si>
  <si>
    <t>1 (satu) unit kendaraan roda dua, merk Yamaha, tahun 2014, dengan No.BPKB L-01704847, TYPE/MODEL 25V/SOLO No rangka MH32SV001EK057429, No. Mesin 29V-066738, No. Polisi H 3242 QQ, Warna PUTIH, atas nama Ana Rahayuningsih.</t>
  </si>
  <si>
    <t>1(satu) unit kendaraan roda dua, merk Honda, tahun 2010, dengan No.BPKB H-03965080 I,Type/Model NF11B1D M/T SOLO No rangka MH1JBC314AK010907, No. Mesin JBC3E-1010792, No.Polisi AA 5190 AT, Warna HITAM SILVER atas nama KURNIASIH, 1(satu) unit kendaraan roda dua, merk Yamaha, tahun 2011, dengan No.BPKB 01980165 I, No rangka MH33C1005BK687102, No. Mesin 3C1688327, No.Polisi AA 6924 JD, Warna MERAH MARUN atas nama KURNIASIH</t>
  </si>
  <si>
    <t>P01.5964</t>
  </si>
  <si>
    <t>12120/P01.5964/P01/09/2025</t>
  </si>
  <si>
    <t>1(satu) unit kendaraan roda dua, merk YAMAHA, tahun 2014, dengan No.BPKB L-00874218, Nomor rangka MH32BJ003EJ498080, No. Mesin 2BJ-498173, No.Polisi AA 3815 DA, type/model 2BJ/SEPEDA MOTOR Warna MERAH atas nama BUDI ARDIANI</t>
  </si>
  <si>
    <t>P03.3480</t>
  </si>
  <si>
    <t>11832/P03.3480/P03/07/2025</t>
  </si>
  <si>
    <t>1(satu) unit kendaraan roda dua, merk HONDA , tahun 2009, dengan No.BPKB P-00293372 I,Type/Model NC110D MOTOR SOLO No rangka MH1JF12119K784747 , No. Mesin JF12E1788100 , No.Polisi AA 3140 PA, Warna MERAH atas nama MARTHINUS TRI SEPTO UTOMO</t>
  </si>
  <si>
    <t>1(satu) unit kendaraan roda dua, merk YAMAHA, tahun 2014, dengan No.BPKB L-053370491, Nomor rangka MH32BJ003EJ660671, No. Mesin 2BJ-660874, No.Polisi AA 4461 DG, type/model 2BJ/SEPEDA MOTOR Warna MERAH atas nama YASMAN</t>
  </si>
  <si>
    <t>P03.3465</t>
  </si>
  <si>
    <t>11776/P03.3465/P03/07/2025</t>
  </si>
  <si>
    <t>1 (satu) unit kendaraan roda dua, merk Honda tahun 2008, dengan No.BPKB F-1285306-I, No rangka MH1HB71128K399789, No. Mesin HB71E1396963, type/model NF100SE/SPD MOTOR SOLO No.Polisi AB 2318 MN, Warna Silver MERAH, atas nama Ny. Warsiyem</t>
  </si>
  <si>
    <t>Saldo per 30/09/2025</t>
  </si>
  <si>
    <t>SSKA.7632</t>
  </si>
  <si>
    <t>SSKA.7681</t>
  </si>
  <si>
    <t>SSKA.7572</t>
  </si>
  <si>
    <t>SSKA.7618</t>
  </si>
  <si>
    <t>SSKA.7712</t>
  </si>
  <si>
    <t>SSKA.7622</t>
  </si>
  <si>
    <t>SSKA.7676</t>
  </si>
  <si>
    <t>SSKA.7675</t>
  </si>
  <si>
    <t>SSKA.7693</t>
  </si>
  <si>
    <t>SSKA.7694</t>
  </si>
  <si>
    <t>SSKA.7695</t>
  </si>
  <si>
    <t>SSKA.7696</t>
  </si>
  <si>
    <t>SSKA.7697</t>
  </si>
  <si>
    <t>SSKA.7585</t>
  </si>
  <si>
    <t>SSKA.7596</t>
  </si>
  <si>
    <t>SSKA.7732</t>
  </si>
  <si>
    <t>SSKA.7734</t>
  </si>
  <si>
    <t>SSKA.7619</t>
  </si>
  <si>
    <t>SSKA.7652</t>
  </si>
  <si>
    <t>SSKA.7666</t>
  </si>
  <si>
    <t>SSKA.7684</t>
  </si>
  <si>
    <t>SSKA.7692</t>
  </si>
  <si>
    <t>SSKA.7600</t>
  </si>
  <si>
    <t>SSKA.7649</t>
  </si>
  <si>
    <t>SSKA.7715</t>
  </si>
  <si>
    <t>SSKA.7665</t>
  </si>
  <si>
    <t>SSKA.7633</t>
  </si>
  <si>
    <t>SSKA.7740</t>
  </si>
  <si>
    <t>SSKA.7643</t>
  </si>
  <si>
    <t>SSKA.7741</t>
  </si>
  <si>
    <t>SSKA.7690</t>
  </si>
  <si>
    <t>SSKA.7625</t>
  </si>
  <si>
    <t>SSKA.7602</t>
  </si>
  <si>
    <t>SSKA.7706</t>
  </si>
  <si>
    <t>SSKA.7745</t>
  </si>
  <si>
    <t>SSKA.7686</t>
  </si>
  <si>
    <t>SSKA.7616</t>
  </si>
  <si>
    <t>SSKA.7673</t>
  </si>
  <si>
    <t>SSKA.7599</t>
  </si>
  <si>
    <t>SSKA.7714</t>
  </si>
  <si>
    <t>SSKA.7627</t>
  </si>
  <si>
    <t>SSKA.7738</t>
  </si>
  <si>
    <t>SSKA.7739</t>
  </si>
  <si>
    <t>SSKA.7644</t>
  </si>
  <si>
    <t>SSKA.7663</t>
  </si>
  <si>
    <t>SSKA.7574</t>
  </si>
  <si>
    <t>SSKA.7603</t>
  </si>
  <si>
    <t>SSKA.7654</t>
  </si>
  <si>
    <t>SSKA.7720</t>
  </si>
  <si>
    <t>SSKA.7612</t>
  </si>
  <si>
    <t>SSKA.7651</t>
  </si>
  <si>
    <t>SSKA.7669</t>
  </si>
  <si>
    <t>SSKA.7628</t>
  </si>
  <si>
    <t>SSKA.7678</t>
  </si>
  <si>
    <t>SSKA.7709</t>
  </si>
  <si>
    <t>SSKA.7723</t>
  </si>
  <si>
    <t>SSKA.7724</t>
  </si>
  <si>
    <t>SSKA.7620</t>
  </si>
  <si>
    <t>SSKA.7725</t>
  </si>
  <si>
    <t>SSKA.7708</t>
  </si>
  <si>
    <t>SSKA.7581</t>
  </si>
  <si>
    <t>SSKA.7571</t>
  </si>
  <si>
    <t>SSKA.7726</t>
  </si>
  <si>
    <t>SSKA.7636</t>
  </si>
  <si>
    <t>SSKA.7629</t>
  </si>
  <si>
    <t>SSKA.7630</t>
  </si>
  <si>
    <t>SSKA.7631</t>
  </si>
  <si>
    <t>SSKA.7733</t>
  </si>
  <si>
    <t>SSKA.7735</t>
  </si>
  <si>
    <t>SSKA.7731</t>
  </si>
  <si>
    <t>SSKA.7588</t>
  </si>
  <si>
    <t>SSKA.7658</t>
  </si>
  <si>
    <t>SSKA.7659</t>
  </si>
  <si>
    <t>SSKA.7660</t>
  </si>
  <si>
    <t>SSKA.7661</t>
  </si>
  <si>
    <t>SSKA.7711</t>
  </si>
  <si>
    <t>SSKA.7605</t>
  </si>
  <si>
    <t>SSKA.7667</t>
  </si>
  <si>
    <t>SSKA.7668</t>
  </si>
  <si>
    <t>SSKA.7703</t>
  </si>
  <si>
    <t>SSKA.7650</t>
  </si>
  <si>
    <t>SSKA.7704</t>
  </si>
  <si>
    <t>SSKA.7642</t>
  </si>
  <si>
    <t>SSKA.7656</t>
  </si>
  <si>
    <t>SSKA.7721</t>
  </si>
  <si>
    <t>SSKA.7589</t>
  </si>
  <si>
    <t>SSKA.7590</t>
  </si>
  <si>
    <t>SSKA.7591</t>
  </si>
  <si>
    <t>SSKA.7592</t>
  </si>
  <si>
    <t>SSKA.7689</t>
  </si>
  <si>
    <t>SSKA.7710</t>
  </si>
  <si>
    <t>SSKA.7578</t>
  </si>
  <si>
    <t>SSKA.7575</t>
  </si>
  <si>
    <t>SSKA.7722</t>
  </si>
  <si>
    <t>SSKA.7582</t>
  </si>
  <si>
    <t>SSKA.7583</t>
  </si>
  <si>
    <t>SSKA.7584</t>
  </si>
  <si>
    <t>SSKA.7606</t>
  </si>
  <si>
    <t>SSKA.7637</t>
  </si>
  <si>
    <t>SSKA.7699</t>
  </si>
  <si>
    <t>SSKA.7700</t>
  </si>
  <si>
    <t>SSKA.7701</t>
  </si>
  <si>
    <t>SSKA.7736</t>
  </si>
  <si>
    <t>SSKA.7687</t>
  </si>
  <si>
    <t>SSKA.7674</t>
  </si>
  <si>
    <t>SSKA.7683</t>
  </si>
  <si>
    <t>SSKA.7569</t>
  </si>
  <si>
    <t>SSKA.7638</t>
  </si>
  <si>
    <t>SSKA.7610</t>
  </si>
  <si>
    <t>SSKA.7713</t>
  </si>
  <si>
    <t>SSKA.7615</t>
  </si>
  <si>
    <t>SSKA.7727</t>
  </si>
  <si>
    <t>SSKA.7744</t>
  </si>
  <si>
    <t>SSKA.7743</t>
  </si>
  <si>
    <t>SSKA.7728</t>
  </si>
  <si>
    <t>SSKA.7598</t>
  </si>
  <si>
    <t>SSKA.7742</t>
  </si>
  <si>
    <t>SSKA.7609</t>
  </si>
  <si>
    <t>SSKA.7677</t>
  </si>
  <si>
    <t>SSKA.7608</t>
  </si>
  <si>
    <t>SSKA.7580</t>
  </si>
  <si>
    <t>SSKA.7593</t>
  </si>
  <si>
    <t>SSKA.7566</t>
  </si>
  <si>
    <t>SSKA.7617</t>
  </si>
  <si>
    <t>SSKA.7653</t>
  </si>
  <si>
    <t>SSKA.7670</t>
  </si>
  <si>
    <t>SSKA.7664</t>
  </si>
  <si>
    <t>SSKA.7613</t>
  </si>
  <si>
    <t>SSKA.7573</t>
  </si>
  <si>
    <t>SSKA.7671</t>
  </si>
  <si>
    <t>SSKA.7655</t>
  </si>
  <si>
    <t>SSKA.7576</t>
  </si>
  <si>
    <t>SSKA.7623</t>
  </si>
  <si>
    <t>SSKA.7716</t>
  </si>
  <si>
    <t>SSKA.7621</t>
  </si>
  <si>
    <t>SSKA.7597</t>
  </si>
  <si>
    <t>SSKA.7729</t>
  </si>
  <si>
    <t>SSKA.7567</t>
  </si>
  <si>
    <t>SSKA.7634</t>
  </si>
  <si>
    <t>SSKA.7685</t>
  </si>
  <si>
    <t>SSKA.7730</t>
  </si>
  <si>
    <t>SSKA.7705</t>
  </si>
  <si>
    <t>SSKA.7595</t>
  </si>
  <si>
    <t>SSKA.7607</t>
  </si>
  <si>
    <t>SSKA.7679</t>
  </si>
  <si>
    <t>SSKA.7688</t>
  </si>
  <si>
    <t>SSKA.7737</t>
  </si>
  <si>
    <t>SJTA.2606</t>
  </si>
  <si>
    <t>SJTA.2630</t>
  </si>
  <si>
    <t>SJTA.2619</t>
  </si>
  <si>
    <t>SJTA.2631</t>
  </si>
  <si>
    <t>SJTA.2667</t>
  </si>
  <si>
    <t>SJTA.2613</t>
  </si>
  <si>
    <t>SJTA.2614</t>
  </si>
  <si>
    <t>SJTA.2662</t>
  </si>
  <si>
    <t>SJTA.2663</t>
  </si>
  <si>
    <t>SJTA.2632</t>
  </si>
  <si>
    <t>SJTA.2654</t>
  </si>
  <si>
    <t>SJTA.2605</t>
  </si>
  <si>
    <t>SJTA.2626</t>
  </si>
  <si>
    <t>SJTA.2651</t>
  </si>
  <si>
    <t>SJTA.2634</t>
  </si>
  <si>
    <t>SJTA.2637</t>
  </si>
  <si>
    <t>SJTA.2642</t>
  </si>
  <si>
    <t>SJTA.2610</t>
  </si>
  <si>
    <t>SJTA.2646</t>
  </si>
  <si>
    <t>SJTA.2658</t>
  </si>
  <si>
    <t>SJTA.2617</t>
  </si>
  <si>
    <t>SJTA.2666</t>
  </si>
  <si>
    <t>SJTA.2647</t>
  </si>
  <si>
    <t>SJTA.2670</t>
  </si>
  <si>
    <t>SJTA.2620</t>
  </si>
  <si>
    <t>SJTA.2660</t>
  </si>
  <si>
    <t>SJTA.2608</t>
  </si>
  <si>
    <t>SJTA.2636</t>
  </si>
  <si>
    <t>SJTA.2633</t>
  </si>
  <si>
    <t>SJTA.2609</t>
  </si>
  <si>
    <t>SJTA.2621</t>
  </si>
  <si>
    <t>SJTA.2649</t>
  </si>
  <si>
    <t>SJTA.2650</t>
  </si>
  <si>
    <t>SJTA.2665</t>
  </si>
  <si>
    <t>SJTA.2664</t>
  </si>
  <si>
    <t>SJTA.2652</t>
  </si>
  <si>
    <t>SJTA.2612</t>
  </si>
  <si>
    <t>SJTA.2607</t>
  </si>
  <si>
    <t>SJTA.2618</t>
  </si>
  <si>
    <t>SJTA.2659</t>
  </si>
  <si>
    <t>SJTA.2641</t>
  </si>
  <si>
    <t>SJTA.2644</t>
  </si>
  <si>
    <t>SJTA.2643</t>
  </si>
  <si>
    <t>SJTA.2645</t>
  </si>
  <si>
    <t>SJTA.2628</t>
  </si>
  <si>
    <t>SJTA.2668</t>
  </si>
  <si>
    <t>SJTA.2669</t>
  </si>
  <si>
    <t>SJTA.2671</t>
  </si>
  <si>
    <t>SJTA.2672</t>
  </si>
  <si>
    <t>SJTA.2638</t>
  </si>
  <si>
    <t>SJTA.2656</t>
  </si>
  <si>
    <t>SJTA.2639</t>
  </si>
  <si>
    <t>SJTA.2611</t>
  </si>
  <si>
    <t>SJTA.2648</t>
  </si>
  <si>
    <t>SJTA.2657</t>
  </si>
  <si>
    <t>SJTA.2629</t>
  </si>
  <si>
    <t>SJTA.2640</t>
  </si>
  <si>
    <t>SJTA.2615</t>
  </si>
  <si>
    <t>SJTA.2616</t>
  </si>
  <si>
    <t>SJTA.2627</t>
  </si>
  <si>
    <t>SJTA.2622</t>
  </si>
  <si>
    <t>SJTA.2623</t>
  </si>
  <si>
    <t>SJTA.2624</t>
  </si>
  <si>
    <t>SJTA.2625</t>
  </si>
  <si>
    <t>SJTA.2635</t>
  </si>
  <si>
    <t>SJTA.2653</t>
  </si>
  <si>
    <t>SJTA.2673</t>
  </si>
  <si>
    <t>SJTA.2661</t>
  </si>
  <si>
    <t>SJTA.2655</t>
  </si>
  <si>
    <t>SMP.47</t>
  </si>
  <si>
    <t>SMP.48</t>
  </si>
  <si>
    <t>SMP.46</t>
  </si>
  <si>
    <t>SMP.45</t>
  </si>
  <si>
    <t>SMP.44</t>
  </si>
  <si>
    <t>SPJB.565</t>
  </si>
  <si>
    <t>SPJB.581</t>
  </si>
  <si>
    <t>SPJB.582</t>
  </si>
  <si>
    <t>SPJB.583</t>
  </si>
  <si>
    <t>SPJB.563</t>
  </si>
  <si>
    <t>SPJB.564</t>
  </si>
  <si>
    <t>SPJB.577</t>
  </si>
  <si>
    <t>SPJB.578</t>
  </si>
  <si>
    <t>SPJB.579</t>
  </si>
  <si>
    <t>SPJB.580</t>
  </si>
  <si>
    <t>SPJB.574</t>
  </si>
  <si>
    <t>SPJB.566</t>
  </si>
  <si>
    <t>SPJB.567</t>
  </si>
  <si>
    <t>SPJB.568</t>
  </si>
  <si>
    <t>SPJB.569</t>
  </si>
  <si>
    <t>SPJB.573</t>
  </si>
  <si>
    <t>SPJB.572</t>
  </si>
  <si>
    <t>SPJB.575</t>
  </si>
  <si>
    <t>SPJB.576</t>
  </si>
  <si>
    <t>ANGGOTA BARU 2025</t>
  </si>
  <si>
    <t>ANGGOTA BARU 2024</t>
  </si>
  <si>
    <t>PML</t>
  </si>
  <si>
    <t>CAB</t>
  </si>
  <si>
    <t>Keterangan</t>
  </si>
  <si>
    <t>KLASIFIKASI USIA PENGGUNA SIMPANAN</t>
  </si>
  <si>
    <t>KLASIFIKASI PROFESI PENGGUNA SIMPANAN</t>
  </si>
  <si>
    <t>KLASIFIKASI USIA DIBANDING KATEGORI PEMBAYARAN ANGSURAN (JML REKENING)</t>
  </si>
  <si>
    <t>KLASIFIKASI PROFESI DIBANDING KATEGORI PEMBAYARAN ANGSURAN (JML REK)</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</si>
  <si>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</si>
  <si>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</si>
  <si>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</si>
  <si>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</si>
  <si>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</si>
  <si>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</si>
  <si>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</si>
  <si>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</si>
  <si>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</si>
  <si>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</si>
  <si>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</si>
  <si>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</si>
  <si>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</si>
  <si>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</si>
  <si>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</si>
  <si>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</si>
  <si>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</si>
  <si>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</si>
  <si>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</si>
  <si>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</si>
  <si>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</si>
  <si>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</si>
  <si>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</si>
  <si>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</si>
  <si>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</si>
  <si>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</si>
  <si>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</si>
  <si>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</si>
  <si>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</si>
  <si>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</si>
  <si>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</si>
  <si>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</si>
  <si>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</si>
  <si>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</si>
  <si>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</si>
  <si>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</si>
  <si>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</si>
  <si>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</si>
  <si>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</si>
  <si>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</si>
  <si>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</si>
  <si>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</si>
  <si>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</si>
  <si>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</si>
  <si>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</si>
  <si>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</si>
  <si>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</si>
  <si>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</si>
  <si>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</si>
  <si>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</si>
  <si>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</si>
  <si>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</si>
  <si>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</si>
  <si>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</si>
  <si>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</si>
  <si>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</si>
  <si>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</si>
  <si>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</si>
  <si>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</si>
  <si>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</si>
  <si>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</si>
  <si>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</si>
  <si>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</si>
  <si>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</si>
  <si>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</si>
  <si>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</si>
  <si>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</si>
  <si>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</si>
  <si>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</si>
  <si>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</si>
  <si>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</si>
  <si>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</si>
  <si>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</si>
  <si>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</si>
  <si>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</si>
  <si>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</si>
  <si>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</si>
  <si>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</si>
  <si>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</si>
  <si>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</si>
  <si>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</si>
  <si>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</si>
  <si>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</si>
  <si>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</si>
  <si>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</si>
  <si>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</si>
  <si>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</si>
  <si>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</si>
  <si>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</si>
  <si>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</si>
  <si>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</si>
  <si>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</si>
  <si>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</si>
  <si>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</si>
  <si>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</si>
  <si>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</si>
  <si>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</si>
  <si>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</si>
  <si>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</si>
  <si>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</si>
  <si>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</si>
  <si>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</si>
  <si>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</si>
  <si>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</si>
  <si>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</si>
  <si>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</si>
  <si>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</si>
  <si>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</si>
  <si>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</si>
  <si>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</si>
  <si>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</si>
  <si>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</si>
  <si>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</si>
  <si>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</si>
  <si>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</si>
  <si>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</si>
  <si>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</si>
  <si>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</si>
  <si>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</si>
  <si>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</si>
  <si>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</si>
  <si>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</si>
  <si>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</si>
  <si>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</si>
  <si>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</si>
  <si>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</si>
  <si>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</si>
  <si>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</si>
  <si>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</si>
  <si>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</si>
  <si>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</si>
  <si>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</si>
  <si>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</si>
  <si>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</si>
  <si>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</si>
  <si>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</si>
  <si>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</si>
  <si>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</si>
  <si>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</si>
  <si>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</si>
  <si>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</si>
  <si>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</si>
  <si>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</si>
  <si>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</si>
  <si>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</si>
  <si>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</si>
  <si>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</si>
  <si>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</si>
  <si>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</si>
  <si>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</si>
  <si>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</si>
  <si>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</si>
  <si>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</si>
  <si>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</si>
  <si>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</si>
  <si>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</si>
  <si>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</si>
  <si>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</si>
  <si>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</si>
  <si>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</si>
  <si>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</si>
  <si>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</si>
  <si>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</si>
  <si>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</si>
  <si>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</si>
  <si>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</si>
  <si>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</si>
  <si>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</si>
  <si>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</si>
  <si>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</si>
  <si>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</si>
  <si>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</si>
  <si>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</si>
  <si>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</si>
  <si>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</si>
  <si>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</si>
  <si>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</si>
  <si>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</si>
  <si>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</si>
  <si>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</si>
  <si>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</si>
  <si>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</si>
  <si>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</si>
  <si>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</si>
  <si>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</si>
  <si>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</si>
  <si>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</si>
  <si>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</si>
  <si>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</si>
  <si>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</si>
  <si>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</si>
  <si>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</si>
  <si>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</si>
  <si>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</si>
  <si>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</si>
  <si>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</si>
  <si>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</si>
  <si>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</si>
  <si>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</si>
  <si>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</si>
  <si>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</si>
  <si>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</si>
  <si>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</si>
  <si>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</si>
  <si>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</si>
  <si>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</si>
  <si>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</si>
  <si>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</si>
  <si>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</si>
  <si>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</si>
  <si>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</si>
  <si>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</si>
  <si>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</si>
  <si>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</si>
  <si>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</si>
  <si>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</si>
  <si>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</si>
  <si>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</si>
  <si>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</si>
  <si>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</si>
  <si>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</si>
  <si>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</si>
  <si>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</si>
  <si>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</si>
  <si>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</si>
  <si>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</si>
  <si>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</si>
  <si>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</si>
  <si>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</si>
  <si>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</si>
  <si>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</si>
  <si>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</si>
  <si>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</si>
  <si>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</si>
  <si>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</si>
  <si>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</si>
  <si>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</si>
  <si>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</si>
  <si>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</si>
  <si>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</si>
  <si>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</si>
  <si>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</si>
  <si>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</si>
  <si>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</si>
  <si>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</si>
  <si>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</si>
  <si>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</si>
  <si>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</si>
  <si>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</si>
  <si>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</si>
  <si>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</si>
  <si>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</si>
  <si>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</si>
  <si>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</si>
  <si>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</si>
  <si>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</si>
  <si>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</si>
  <si>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</si>
  <si>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</si>
  <si>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</si>
  <si>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</si>
  <si>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</si>
  <si>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</si>
  <si>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</si>
  <si>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</si>
  <si>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</si>
  <si>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</si>
  <si>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</si>
  <si>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</si>
  <si>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</si>
  <si>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</si>
  <si>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</si>
  <si>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</si>
  <si>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</si>
  <si>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</si>
  <si>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</si>
  <si>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</si>
  <si>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</si>
  <si>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</si>
  <si>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</si>
  <si>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</si>
  <si>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</si>
  <si>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</si>
  <si>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</si>
  <si>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</si>
  <si>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</si>
  <si>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</si>
  <si>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</si>
  <si>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</si>
  <si>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</si>
  <si>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</si>
  <si>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</si>
  <si>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</si>
  <si>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</si>
  <si>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</si>
  <si>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</si>
  <si>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</si>
  <si>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</si>
  <si>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</si>
  <si>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</si>
  <si>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A301</t>
  </si>
  <si>
    <t>A302</t>
  </si>
  <si>
    <t>A303</t>
  </si>
  <si>
    <t>A304</t>
  </si>
  <si>
    <t>A305</t>
  </si>
  <si>
    <t>A306</t>
  </si>
  <si>
    <t>A307</t>
  </si>
  <si>
    <t>A308</t>
  </si>
  <si>
    <t>A309</t>
  </si>
  <si>
    <t>A310</t>
  </si>
  <si>
    <t>A311</t>
  </si>
  <si>
    <t>A312</t>
  </si>
  <si>
    <t>A313</t>
  </si>
  <si>
    <t>A314</t>
  </si>
  <si>
    <t>A315</t>
  </si>
  <si>
    <t>A316</t>
  </si>
  <si>
    <t>A317</t>
  </si>
  <si>
    <t>A318</t>
  </si>
  <si>
    <t>A319</t>
  </si>
  <si>
    <t>A320</t>
  </si>
  <si>
    <t>A321</t>
  </si>
  <si>
    <t>A322</t>
  </si>
  <si>
    <t>A323</t>
  </si>
  <si>
    <t>A324</t>
  </si>
  <si>
    <t>A325</t>
  </si>
  <si>
    <t>A326</t>
  </si>
  <si>
    <t>A327</t>
  </si>
  <si>
    <t>A328</t>
  </si>
  <si>
    <t>A329</t>
  </si>
  <si>
    <t>A330</t>
  </si>
  <si>
    <t>A331</t>
  </si>
  <si>
    <t>A332</t>
  </si>
  <si>
    <t>A333</t>
  </si>
  <si>
    <t>A334</t>
  </si>
  <si>
    <t>A335</t>
  </si>
  <si>
    <t>A336</t>
  </si>
  <si>
    <t>A337</t>
  </si>
  <si>
    <t>A338</t>
  </si>
  <si>
    <t>A339</t>
  </si>
  <si>
    <t>A340</t>
  </si>
  <si>
    <t>A341</t>
  </si>
  <si>
    <t>A342</t>
  </si>
  <si>
    <t>A343</t>
  </si>
  <si>
    <t>A344</t>
  </si>
  <si>
    <t>A345</t>
  </si>
  <si>
    <t>A346</t>
  </si>
  <si>
    <t>A347</t>
  </si>
  <si>
    <t>A348</t>
  </si>
  <si>
    <t>A349</t>
  </si>
  <si>
    <t>A350</t>
  </si>
  <si>
    <t>A351</t>
  </si>
  <si>
    <t>A352</t>
  </si>
  <si>
    <t>A353</t>
  </si>
  <si>
    <t>A354</t>
  </si>
  <si>
    <t>A355</t>
  </si>
  <si>
    <t>A356</t>
  </si>
  <si>
    <t>A357</t>
  </si>
  <si>
    <t>A358</t>
  </si>
  <si>
    <t>A359</t>
  </si>
  <si>
    <t>A360</t>
  </si>
  <si>
    <t>A361</t>
  </si>
  <si>
    <t>A362</t>
  </si>
  <si>
    <t>A363</t>
  </si>
  <si>
    <t>A364</t>
  </si>
  <si>
    <t>A365</t>
  </si>
  <si>
    <t>A366</t>
  </si>
  <si>
    <t>A367</t>
  </si>
  <si>
    <t>A368</t>
  </si>
  <si>
    <t>A369</t>
  </si>
  <si>
    <t>A370</t>
  </si>
  <si>
    <t>A371</t>
  </si>
  <si>
    <t>A372</t>
  </si>
  <si>
    <t>A373</t>
  </si>
  <si>
    <t>A374</t>
  </si>
  <si>
    <t>A375</t>
  </si>
  <si>
    <t>A376</t>
  </si>
  <si>
    <t>A377</t>
  </si>
  <si>
    <t>A378</t>
  </si>
  <si>
    <t>A379</t>
  </si>
  <si>
    <t>A380</t>
  </si>
  <si>
    <t>A381</t>
  </si>
  <si>
    <t>A382</t>
  </si>
  <si>
    <t>A383</t>
  </si>
  <si>
    <t>A384</t>
  </si>
  <si>
    <t>A385</t>
  </si>
  <si>
    <t>A386</t>
  </si>
  <si>
    <t>A387</t>
  </si>
  <si>
    <t>A388</t>
  </si>
  <si>
    <t>A389</t>
  </si>
  <si>
    <t>A390</t>
  </si>
  <si>
    <t>A391</t>
  </si>
  <si>
    <t>A392</t>
  </si>
  <si>
    <t>A393</t>
  </si>
  <si>
    <t>A394</t>
  </si>
  <si>
    <t>A395</t>
  </si>
  <si>
    <t>A396</t>
  </si>
  <si>
    <t>A397</t>
  </si>
  <si>
    <t>A398</t>
  </si>
  <si>
    <t>A399</t>
  </si>
  <si>
    <t>A400</t>
  </si>
  <si>
    <t>A401</t>
  </si>
  <si>
    <t>A402</t>
  </si>
  <si>
    <t>A403</t>
  </si>
  <si>
    <t>A404</t>
  </si>
  <si>
    <t>A405</t>
  </si>
  <si>
    <t>A406</t>
  </si>
  <si>
    <t>A407</t>
  </si>
  <si>
    <t>A408</t>
  </si>
  <si>
    <t>A409</t>
  </si>
  <si>
    <t>A410</t>
  </si>
  <si>
    <t>A411</t>
  </si>
  <si>
    <t>A412</t>
  </si>
  <si>
    <t>A413</t>
  </si>
  <si>
    <t>A414</t>
  </si>
  <si>
    <t>A415</t>
  </si>
  <si>
    <t>A416</t>
  </si>
  <si>
    <t>A417</t>
  </si>
  <si>
    <t>A418</t>
  </si>
  <si>
    <t>A419</t>
  </si>
  <si>
    <t>A420</t>
  </si>
  <si>
    <t>A421</t>
  </si>
  <si>
    <t>A422</t>
  </si>
  <si>
    <t>A423</t>
  </si>
  <si>
    <t>A424</t>
  </si>
  <si>
    <t>A425</t>
  </si>
  <si>
    <t>A426</t>
  </si>
  <si>
    <t>A427</t>
  </si>
  <si>
    <t>A428</t>
  </si>
  <si>
    <t>A429</t>
  </si>
  <si>
    <t>A430</t>
  </si>
  <si>
    <t>A431</t>
  </si>
  <si>
    <t>A432</t>
  </si>
  <si>
    <t>A433</t>
  </si>
  <si>
    <t>A434</t>
  </si>
  <si>
    <t>A435</t>
  </si>
  <si>
    <t>A436</t>
  </si>
  <si>
    <t>A437</t>
  </si>
  <si>
    <t>A438</t>
  </si>
  <si>
    <t>A439</t>
  </si>
  <si>
    <t>A440</t>
  </si>
  <si>
    <t>A441</t>
  </si>
  <si>
    <t>A442</t>
  </si>
  <si>
    <t>A443</t>
  </si>
  <si>
    <t>A444</t>
  </si>
  <si>
    <t>A445</t>
  </si>
  <si>
    <t>A446</t>
  </si>
  <si>
    <t>A447</t>
  </si>
  <si>
    <t>A448</t>
  </si>
  <si>
    <t>A449</t>
  </si>
  <si>
    <t>A450</t>
  </si>
  <si>
    <t>A451</t>
  </si>
  <si>
    <t>A452</t>
  </si>
  <si>
    <t>A453</t>
  </si>
  <si>
    <t>A454</t>
  </si>
  <si>
    <t>A455</t>
  </si>
  <si>
    <t>A456</t>
  </si>
  <si>
    <t>A457</t>
  </si>
  <si>
    <t>A458</t>
  </si>
  <si>
    <t>A459</t>
  </si>
  <si>
    <t>A460</t>
  </si>
  <si>
    <t>A461</t>
  </si>
  <si>
    <t>A462</t>
  </si>
  <si>
    <t>A463</t>
  </si>
  <si>
    <t>A464</t>
  </si>
  <si>
    <t>A465</t>
  </si>
  <si>
    <t>A466</t>
  </si>
  <si>
    <t>A467</t>
  </si>
  <si>
    <t>A468</t>
  </si>
  <si>
    <t>A469</t>
  </si>
  <si>
    <t>A470</t>
  </si>
  <si>
    <t>A471</t>
  </si>
  <si>
    <t>A472</t>
  </si>
  <si>
    <t>A473</t>
  </si>
  <si>
    <t>A474</t>
  </si>
  <si>
    <t>A475</t>
  </si>
  <si>
    <t>A476</t>
  </si>
  <si>
    <t>A477</t>
  </si>
  <si>
    <t>A478</t>
  </si>
  <si>
    <t>A479</t>
  </si>
  <si>
    <t>A480</t>
  </si>
  <si>
    <t>A481</t>
  </si>
  <si>
    <t>A482</t>
  </si>
  <si>
    <t>A483</t>
  </si>
  <si>
    <t>A484</t>
  </si>
  <si>
    <t>A485</t>
  </si>
  <si>
    <t>A486</t>
  </si>
  <si>
    <t>A487</t>
  </si>
  <si>
    <t>A488</t>
  </si>
  <si>
    <t>A489</t>
  </si>
  <si>
    <t>A490</t>
  </si>
  <si>
    <t>A491</t>
  </si>
  <si>
    <t>A492</t>
  </si>
  <si>
    <t>A493</t>
  </si>
  <si>
    <t>A494</t>
  </si>
  <si>
    <t>A495</t>
  </si>
  <si>
    <t>A496</t>
  </si>
  <si>
    <t>A497</t>
  </si>
  <si>
    <t>A498</t>
  </si>
  <si>
    <t>A499</t>
  </si>
  <si>
    <t>A500</t>
  </si>
  <si>
    <t>A501</t>
  </si>
  <si>
    <t>A502</t>
  </si>
  <si>
    <t>A503</t>
  </si>
  <si>
    <t>A504</t>
  </si>
  <si>
    <t>A505</t>
  </si>
  <si>
    <t>A506</t>
  </si>
  <si>
    <t>A507</t>
  </si>
  <si>
    <t>A508</t>
  </si>
  <si>
    <t>A509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</si>
  <si>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</si>
  <si>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</si>
  <si>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</si>
  <si>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</si>
  <si>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</si>
  <si>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</si>
  <si>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</si>
  <si>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</si>
  <si>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</si>
  <si>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</si>
  <si>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</si>
  <si>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</si>
  <si>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</si>
  <si>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</si>
  <si>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</si>
  <si>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</si>
  <si>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</si>
  <si>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</si>
  <si>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</si>
  <si>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</si>
  <si>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</si>
  <si>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</si>
  <si>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</si>
  <si>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</si>
  <si>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</si>
  <si>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</si>
  <si>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</si>
  <si>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</si>
  <si>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A538</t>
  </si>
  <si>
    <t>A539</t>
  </si>
  <si>
    <t>A540</t>
  </si>
  <si>
    <t>A541</t>
  </si>
  <si>
    <t>A542</t>
  </si>
  <si>
    <t>A543</t>
  </si>
  <si>
    <t>A544</t>
  </si>
  <si>
    <t>A545</t>
  </si>
  <si>
    <t>A546</t>
  </si>
  <si>
    <t>A547</t>
  </si>
  <si>
    <t>A548</t>
  </si>
  <si>
    <t>A549</t>
  </si>
  <si>
    <t>A550</t>
  </si>
  <si>
    <t>A551</t>
  </si>
  <si>
    <t>A552</t>
  </si>
  <si>
    <t>A553</t>
  </si>
  <si>
    <t>A554</t>
  </si>
  <si>
    <t>A555</t>
  </si>
  <si>
    <t>A556</t>
  </si>
  <si>
    <t>A557</t>
  </si>
  <si>
    <t>A558</t>
  </si>
  <si>
    <t>A559</t>
  </si>
  <si>
    <t>A560</t>
  </si>
  <si>
    <t>A561</t>
  </si>
  <si>
    <t>A562</t>
  </si>
  <si>
    <t>A563</t>
  </si>
  <si>
    <t>A564</t>
  </si>
  <si>
    <t>A565</t>
  </si>
  <si>
    <t>A566</t>
  </si>
  <si>
    <t>A567</t>
  </si>
  <si>
    <t>A568</t>
  </si>
  <si>
    <t>A569</t>
  </si>
  <si>
    <t>A570</t>
  </si>
  <si>
    <t>A571</t>
  </si>
  <si>
    <t>A572</t>
  </si>
  <si>
    <t>A573</t>
  </si>
  <si>
    <t>A574</t>
  </si>
  <si>
    <t>A575</t>
  </si>
  <si>
    <t>A576</t>
  </si>
  <si>
    <t>A577</t>
  </si>
  <si>
    <t>A578</t>
  </si>
  <si>
    <t>A579</t>
  </si>
  <si>
    <t>A580</t>
  </si>
  <si>
    <t>A581</t>
  </si>
  <si>
    <t>A582</t>
  </si>
  <si>
    <t>A583</t>
  </si>
  <si>
    <t>A584</t>
  </si>
  <si>
    <t>A585</t>
  </si>
  <si>
    <t>A586</t>
  </si>
  <si>
    <t>A587</t>
  </si>
  <si>
    <t>A588</t>
  </si>
  <si>
    <t>A589</t>
  </si>
  <si>
    <t>A590</t>
  </si>
  <si>
    <t>A591</t>
  </si>
  <si>
    <t>A592</t>
  </si>
  <si>
    <t>A593</t>
  </si>
  <si>
    <t>A594</t>
  </si>
  <si>
    <t>A595</t>
  </si>
  <si>
    <t>A596</t>
  </si>
  <si>
    <t>A597</t>
  </si>
  <si>
    <t>A598</t>
  </si>
  <si>
    <t>A599</t>
  </si>
  <si>
    <t>A600</t>
  </si>
  <si>
    <t>A601</t>
  </si>
  <si>
    <t>A602</t>
  </si>
  <si>
    <t>A603</t>
  </si>
  <si>
    <t>A604</t>
  </si>
  <si>
    <t>A605</t>
  </si>
  <si>
    <t>A606</t>
  </si>
  <si>
    <t>A607</t>
  </si>
  <si>
    <t>A608</t>
  </si>
  <si>
    <t>A609</t>
  </si>
  <si>
    <t>A610</t>
  </si>
  <si>
    <t>A611</t>
  </si>
  <si>
    <t>A612</t>
  </si>
  <si>
    <t>A613</t>
  </si>
  <si>
    <t>A614</t>
  </si>
  <si>
    <t>A615</t>
  </si>
  <si>
    <t>A616</t>
  </si>
  <si>
    <t>A617</t>
  </si>
  <si>
    <t>A618</t>
  </si>
  <si>
    <t>A619</t>
  </si>
  <si>
    <t>A620</t>
  </si>
  <si>
    <t>A621</t>
  </si>
  <si>
    <t>A622</t>
  </si>
  <si>
    <t>A623</t>
  </si>
  <si>
    <t>A624</t>
  </si>
  <si>
    <t>A625</t>
  </si>
  <si>
    <t>A626</t>
  </si>
  <si>
    <t>A627</t>
  </si>
  <si>
    <t>A628</t>
  </si>
  <si>
    <t>A629</t>
  </si>
  <si>
    <t>A630</t>
  </si>
  <si>
    <t>A631</t>
  </si>
  <si>
    <t>A632</t>
  </si>
  <si>
    <t>A633</t>
  </si>
  <si>
    <t>A634</t>
  </si>
  <si>
    <t>A635</t>
  </si>
  <si>
    <t>A636</t>
  </si>
  <si>
    <t>A637</t>
  </si>
  <si>
    <t>A638</t>
  </si>
  <si>
    <t>A639</t>
  </si>
  <si>
    <t>A640</t>
  </si>
  <si>
    <t>A641</t>
  </si>
  <si>
    <t>A642</t>
  </si>
  <si>
    <t>A643</t>
  </si>
  <si>
    <t>A644</t>
  </si>
  <si>
    <t>A645</t>
  </si>
  <si>
    <t>A646</t>
  </si>
  <si>
    <t>A647</t>
  </si>
  <si>
    <t>A648</t>
  </si>
  <si>
    <t>A649</t>
  </si>
  <si>
    <t>A650</t>
  </si>
  <si>
    <t>A651</t>
  </si>
  <si>
    <t>A652</t>
  </si>
  <si>
    <t>A653</t>
  </si>
  <si>
    <t>A654</t>
  </si>
  <si>
    <t>A655</t>
  </si>
  <si>
    <t>A656</t>
  </si>
  <si>
    <t>A657</t>
  </si>
  <si>
    <t>A658</t>
  </si>
  <si>
    <t>A659</t>
  </si>
  <si>
    <t>A660</t>
  </si>
  <si>
    <t>A661</t>
  </si>
  <si>
    <t>A662</t>
  </si>
  <si>
    <t>A663</t>
  </si>
  <si>
    <t>A664</t>
  </si>
  <si>
    <t>A665</t>
  </si>
  <si>
    <t>A666</t>
  </si>
  <si>
    <t>A667</t>
  </si>
  <si>
    <t>A668</t>
  </si>
  <si>
    <t>A669</t>
  </si>
  <si>
    <t>A670</t>
  </si>
  <si>
    <t>A671</t>
  </si>
  <si>
    <t>A672</t>
  </si>
  <si>
    <t>A673</t>
  </si>
  <si>
    <t>A674</t>
  </si>
  <si>
    <t>A675</t>
  </si>
  <si>
    <t>A676</t>
  </si>
  <si>
    <t>A677</t>
  </si>
  <si>
    <t>A678</t>
  </si>
  <si>
    <t>A679</t>
  </si>
  <si>
    <t>A680</t>
  </si>
  <si>
    <t>A681</t>
  </si>
  <si>
    <t>A682</t>
  </si>
  <si>
    <t>A683</t>
  </si>
  <si>
    <t>A684</t>
  </si>
  <si>
    <t>A685</t>
  </si>
  <si>
    <t>A686</t>
  </si>
  <si>
    <t>A687</t>
  </si>
  <si>
    <t>A688</t>
  </si>
  <si>
    <t>A689</t>
  </si>
  <si>
    <t>A690</t>
  </si>
  <si>
    <t>A691</t>
  </si>
  <si>
    <t>A692</t>
  </si>
  <si>
    <t>A693</t>
  </si>
  <si>
    <t>A694</t>
  </si>
  <si>
    <t>A695</t>
  </si>
  <si>
    <t>A696</t>
  </si>
  <si>
    <t>A697</t>
  </si>
  <si>
    <t>A698</t>
  </si>
  <si>
    <t>A699</t>
  </si>
  <si>
    <t>A700</t>
  </si>
  <si>
    <t>A701</t>
  </si>
  <si>
    <t>A702</t>
  </si>
  <si>
    <t>A703</t>
  </si>
  <si>
    <t>A704</t>
  </si>
  <si>
    <t>A705</t>
  </si>
  <si>
    <t>A706</t>
  </si>
  <si>
    <t>A707</t>
  </si>
  <si>
    <t>A708</t>
  </si>
  <si>
    <t>A709</t>
  </si>
  <si>
    <t>A710</t>
  </si>
  <si>
    <t>A711</t>
  </si>
  <si>
    <t>A712</t>
  </si>
  <si>
    <t>A713</t>
  </si>
  <si>
    <t>A714</t>
  </si>
  <si>
    <t>A715</t>
  </si>
  <si>
    <t>A716</t>
  </si>
  <si>
    <t>A717</t>
  </si>
  <si>
    <t>A718</t>
  </si>
  <si>
    <t>A719</t>
  </si>
  <si>
    <t>A720</t>
  </si>
  <si>
    <t>A721</t>
  </si>
  <si>
    <t>A722</t>
  </si>
  <si>
    <t>A723</t>
  </si>
  <si>
    <t>A724</t>
  </si>
  <si>
    <t>A725</t>
  </si>
  <si>
    <t>A726</t>
  </si>
  <si>
    <t>A727</t>
  </si>
  <si>
    <t>A728</t>
  </si>
  <si>
    <t>A729</t>
  </si>
  <si>
    <t>A730</t>
  </si>
  <si>
    <t>A731</t>
  </si>
  <si>
    <t>A732</t>
  </si>
  <si>
    <t>A733</t>
  </si>
  <si>
    <t>A734</t>
  </si>
  <si>
    <t>A735</t>
  </si>
  <si>
    <t>A736</t>
  </si>
  <si>
    <t>A737</t>
  </si>
  <si>
    <t>A738</t>
  </si>
  <si>
    <t>A739</t>
  </si>
  <si>
    <t>A740</t>
  </si>
  <si>
    <t>A741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</si>
  <si>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</si>
  <si>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</si>
  <si>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</si>
  <si>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</si>
  <si>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</si>
  <si>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</si>
  <si>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</si>
  <si>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</si>
  <si>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</si>
  <si>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</si>
  <si>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</si>
  <si>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</si>
  <si>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</si>
  <si>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</si>
  <si>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</si>
  <si>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</si>
  <si>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</si>
  <si>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</si>
  <si>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</si>
  <si>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</si>
  <si>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</si>
  <si>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</si>
  <si>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</si>
  <si>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</si>
  <si>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</si>
  <si>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</si>
  <si>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</si>
  <si>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</si>
  <si>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</si>
  <si>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</si>
  <si>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</si>
  <si>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</si>
  <si>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</si>
  <si>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</si>
  <si>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</si>
  <si>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</si>
  <si>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</si>
  <si>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</si>
  <si>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</si>
  <si>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</si>
  <si>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</si>
  <si>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</si>
  <si>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</si>
  <si>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</si>
  <si>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</si>
  <si>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</si>
  <si>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</si>
  <si>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</si>
  <si>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</si>
  <si>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</si>
  <si>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</si>
  <si>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</si>
  <si>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</si>
  <si>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</si>
  <si>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</si>
  <si>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</si>
  <si>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</si>
  <si>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</si>
  <si>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</si>
  <si>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</si>
  <si>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</si>
  <si>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</si>
  <si>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</si>
  <si>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</si>
  <si>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</si>
  <si>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</si>
  <si>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</si>
  <si>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</si>
  <si>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</si>
  <si>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</si>
  <si>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</si>
  <si>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</si>
  <si>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</si>
  <si>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</si>
  <si>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</si>
  <si>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</si>
  <si>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</si>
  <si>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</si>
  <si>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</si>
  <si>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</si>
  <si>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</si>
  <si>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</si>
  <si>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</si>
  <si>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</si>
  <si>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</si>
  <si>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</si>
  <si>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</si>
  <si>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</si>
  <si>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</si>
  <si>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</si>
  <si>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</si>
  <si>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</si>
  <si>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</si>
  <si>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</si>
  <si>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</si>
  <si>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</si>
  <si>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</si>
  <si>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</si>
  <si>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</si>
  <si>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</si>
  <si>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</si>
  <si>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</si>
  <si>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</si>
  <si>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</si>
  <si>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</si>
  <si>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</si>
  <si>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</si>
  <si>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</si>
  <si>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</si>
  <si>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</si>
  <si>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</si>
  <si>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</si>
  <si>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</si>
  <si>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</si>
  <si>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</si>
  <si>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</si>
  <si>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</si>
  <si>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</si>
  <si>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</si>
  <si>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</si>
  <si>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</si>
  <si>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</si>
  <si>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</si>
  <si>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</si>
  <si>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</si>
  <si>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</si>
  <si>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</si>
  <si>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</si>
  <si>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</si>
  <si>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</si>
  <si>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</si>
  <si>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</si>
  <si>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</si>
  <si>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</si>
  <si>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</si>
  <si>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</si>
  <si>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</si>
  <si>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</si>
  <si>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</si>
  <si>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</si>
  <si>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</si>
  <si>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</si>
  <si>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</si>
  <si>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</si>
  <si>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</si>
  <si>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</si>
  <si>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</si>
  <si>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</si>
  <si>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</si>
  <si>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</si>
  <si>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</si>
  <si>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</si>
  <si>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</si>
  <si>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</si>
  <si>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</si>
  <si>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</si>
  <si>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</si>
  <si>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</si>
  <si>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</si>
  <si>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</si>
  <si>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</si>
  <si>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</si>
  <si>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</si>
  <si>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</si>
  <si>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</si>
  <si>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</si>
  <si>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</si>
  <si>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</si>
  <si>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</si>
  <si>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</si>
  <si>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</si>
  <si>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</si>
  <si>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</si>
  <si>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</si>
  <si>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</si>
  <si>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</si>
  <si>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</si>
  <si>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</si>
  <si>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</si>
  <si>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</si>
  <si>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</si>
  <si>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</si>
  <si>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</si>
  <si>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</si>
  <si>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</si>
  <si>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</si>
  <si>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</si>
  <si>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</si>
  <si>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</si>
  <si>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</si>
  <si>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</si>
  <si>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</si>
  <si>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</si>
  <si>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</si>
  <si>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</si>
  <si>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</si>
  <si>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</si>
  <si>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</si>
  <si>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</si>
  <si>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</si>
  <si>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</si>
  <si>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</si>
  <si>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</si>
  <si>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</si>
  <si>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</si>
  <si>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</si>
  <si>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</si>
  <si>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</si>
  <si>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</si>
  <si>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</si>
  <si>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</si>
  <si>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</si>
  <si>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</si>
  <si>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</si>
  <si>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</si>
  <si>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</si>
  <si>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</si>
  <si>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</si>
  <si>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</si>
  <si>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</si>
  <si>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</si>
  <si>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</si>
  <si>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</si>
  <si>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</si>
  <si>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</si>
  <si>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</si>
  <si>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</si>
  <si>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</si>
  <si>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</si>
  <si>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</si>
  <si>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</si>
  <si>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</si>
  <si>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</si>
  <si>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</si>
  <si>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</si>
  <si>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</si>
  <si>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</si>
  <si>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</si>
  <si>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</si>
  <si>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</si>
  <si>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</si>
  <si>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</si>
  <si>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</si>
  <si>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</si>
  <si>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</si>
  <si>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</si>
  <si>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</si>
  <si>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</si>
  <si>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</si>
  <si>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</si>
  <si>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</si>
  <si>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</si>
  <si>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</si>
  <si>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</si>
  <si>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</si>
  <si>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</si>
  <si>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</si>
  <si>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</si>
  <si>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</si>
  <si>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</si>
  <si>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</si>
  <si>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</si>
  <si>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</si>
  <si>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</si>
  <si>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</si>
  <si>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</si>
  <si>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</si>
  <si>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</si>
  <si>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</si>
  <si>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</si>
  <si>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</si>
  <si>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</si>
  <si>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</si>
  <si>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</si>
  <si>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</si>
  <si>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</si>
  <si>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</si>
  <si>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</si>
  <si>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</si>
  <si>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</si>
  <si>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</si>
  <si>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</si>
  <si>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</si>
  <si>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</si>
  <si>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</si>
  <si>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</si>
  <si>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</si>
  <si>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</si>
  <si>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</si>
  <si>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</si>
  <si>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</si>
  <si>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</si>
  <si>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</si>
  <si>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</si>
  <si>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</si>
  <si>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</si>
  <si>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</si>
  <si>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</si>
  <si>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</si>
  <si>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</si>
  <si>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</si>
  <si>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</si>
  <si>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</si>
  <si>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</si>
  <si>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</si>
  <si>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</si>
  <si>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</si>
  <si>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</si>
  <si>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</si>
  <si>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</si>
  <si>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</si>
  <si>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</si>
  <si>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</si>
  <si>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</si>
  <si>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</si>
  <si>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</si>
  <si>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</si>
  <si>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</si>
  <si>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</si>
  <si>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</si>
  <si>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</si>
  <si>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</si>
  <si>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</si>
  <si>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</si>
  <si>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</si>
  <si>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</si>
  <si>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</si>
  <si>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</si>
  <si>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</si>
  <si>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</si>
  <si>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</si>
  <si>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</si>
  <si>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</si>
  <si>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</si>
  <si>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</si>
  <si>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</si>
  <si>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</si>
  <si>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</si>
  <si>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</si>
  <si>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</si>
  <si>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</si>
  <si>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</si>
  <si>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</si>
  <si>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</si>
  <si>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</si>
  <si>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</si>
  <si>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</si>
  <si>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</si>
  <si>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</si>
  <si>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</si>
  <si>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</si>
  <si>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</si>
  <si>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</si>
  <si>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</si>
  <si>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</si>
  <si>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</si>
  <si>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</si>
  <si>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</si>
  <si>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</si>
  <si>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</si>
  <si>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</si>
  <si>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</si>
  <si>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</si>
  <si>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</si>
  <si>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</si>
  <si>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</si>
  <si>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</si>
  <si>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</si>
  <si>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</si>
  <si>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</si>
  <si>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</si>
  <si>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</si>
  <si>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</si>
  <si>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</si>
  <si>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</si>
  <si>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</si>
  <si>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</si>
  <si>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</si>
  <si>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</si>
  <si>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</si>
  <si>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</si>
  <si>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</si>
  <si>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</si>
  <si>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</si>
  <si>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</si>
  <si>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</si>
  <si>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</si>
  <si>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</si>
  <si>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</si>
  <si>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</si>
  <si>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</si>
  <si>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</si>
  <si>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</si>
  <si>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</si>
  <si>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</si>
  <si>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</si>
  <si>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</si>
  <si>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</si>
  <si>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</si>
  <si>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</si>
  <si>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</si>
  <si>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</si>
  <si>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</si>
  <si>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</si>
  <si>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</si>
  <si>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</si>
  <si>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</si>
  <si>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</si>
  <si>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</si>
  <si>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</si>
  <si>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</si>
  <si>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</si>
  <si>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</si>
  <si>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</si>
  <si>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</si>
  <si>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</si>
  <si>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</si>
  <si>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</si>
  <si>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</si>
  <si>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</si>
  <si>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</si>
  <si>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</si>
  <si>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</si>
  <si>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</si>
  <si>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</si>
  <si>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</si>
  <si>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</si>
  <si>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</si>
  <si>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</si>
  <si>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</si>
  <si>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</si>
  <si>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</si>
  <si>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</si>
  <si>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</si>
  <si>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</si>
  <si>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</si>
  <si>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</si>
  <si>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</si>
  <si>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</si>
  <si>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</si>
  <si>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</si>
  <si>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</si>
  <si>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</si>
  <si>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</si>
  <si>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</si>
  <si>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</si>
  <si>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</si>
  <si>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</si>
  <si>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</si>
  <si>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</si>
  <si>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</si>
  <si>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</si>
  <si>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</si>
  <si>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</si>
  <si>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</si>
  <si>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</si>
  <si>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</si>
  <si>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</si>
  <si>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</si>
  <si>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</si>
  <si>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</si>
  <si>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</si>
  <si>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</si>
  <si>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</si>
  <si>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</si>
  <si>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</si>
  <si>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</si>
  <si>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</si>
  <si>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</si>
  <si>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</si>
  <si>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</si>
  <si>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</si>
  <si>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</si>
  <si>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</si>
  <si>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</si>
  <si>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</si>
  <si>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</si>
  <si>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</si>
  <si>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</si>
  <si>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</si>
  <si>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</si>
  <si>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</si>
  <si>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</si>
  <si>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</si>
  <si>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</si>
  <si>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</si>
  <si>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</si>
  <si>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</si>
  <si>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</si>
  <si>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</si>
  <si>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</si>
  <si>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</si>
  <si>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</si>
  <si>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</si>
  <si>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</si>
  <si>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</si>
  <si>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</si>
  <si>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</si>
  <si>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</si>
  <si>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</si>
  <si>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</si>
  <si>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</si>
  <si>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</si>
  <si>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</si>
  <si>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</si>
  <si>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</si>
  <si>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</si>
  <si>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</si>
  <si>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</si>
  <si>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</si>
  <si>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</si>
  <si>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</si>
  <si>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</si>
  <si>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</si>
  <si>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</si>
  <si>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</si>
  <si>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</si>
  <si>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</si>
  <si>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</si>
  <si>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</si>
  <si>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</si>
  <si>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</si>
  <si>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</si>
  <si>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</si>
  <si>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</si>
  <si>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</si>
  <si>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</si>
  <si>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</si>
  <si>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</si>
  <si>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</si>
  <si>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</si>
  <si>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</si>
  <si>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</si>
  <si>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</si>
  <si>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</si>
  <si>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</si>
  <si>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</si>
  <si>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</si>
  <si>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</si>
  <si>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</si>
  <si>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</si>
  <si>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</si>
  <si>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</si>
  <si>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</si>
  <si>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</si>
  <si>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</si>
  <si>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</si>
  <si>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</si>
  <si>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</si>
  <si>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</si>
  <si>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</si>
  <si>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</si>
  <si>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</si>
  <si>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</si>
  <si>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</si>
  <si>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</si>
  <si>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</si>
  <si>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</si>
  <si>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</si>
  <si>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</si>
  <si>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</si>
  <si>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</si>
  <si>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</si>
  <si>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</si>
  <si>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</si>
  <si>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</si>
  <si>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</si>
  <si>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</si>
  <si>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</si>
  <si>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</si>
  <si>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</si>
  <si>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</si>
  <si>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</si>
  <si>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</si>
  <si>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</si>
  <si>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</si>
  <si>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</si>
  <si>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</si>
  <si>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</si>
  <si>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</si>
  <si>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</si>
  <si>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</si>
  <si>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</si>
  <si>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</si>
  <si>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</si>
  <si>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</si>
  <si>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</si>
  <si>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</si>
  <si>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</si>
  <si>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</si>
  <si>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</si>
  <si>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</si>
  <si>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</si>
  <si>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</si>
  <si>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</si>
  <si>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</si>
  <si>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</si>
  <si>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</si>
  <si>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</si>
  <si>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</si>
  <si>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</si>
  <si>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</si>
  <si>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</si>
  <si>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</si>
  <si>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</si>
  <si>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</si>
  <si>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</si>
  <si>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</si>
  <si>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</si>
  <si>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</si>
  <si>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</si>
  <si>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</si>
  <si>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</si>
  <si>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</si>
  <si>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</si>
  <si>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</si>
  <si>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</si>
  <si>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</si>
  <si>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</si>
  <si>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</si>
  <si>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</si>
  <si>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</si>
  <si>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</si>
  <si>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</si>
  <si>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</si>
  <si>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</si>
  <si>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</si>
  <si>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</si>
  <si>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</si>
  <si>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</si>
  <si>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</si>
  <si>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</si>
  <si>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</si>
  <si>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</si>
  <si>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</si>
  <si>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</si>
  <si>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</si>
  <si>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</si>
  <si>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</si>
  <si>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</si>
  <si>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</si>
  <si>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</si>
  <si>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</si>
  <si>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</si>
  <si>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</si>
  <si>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</si>
  <si>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</si>
  <si>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</si>
  <si>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</si>
  <si>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</si>
  <si>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</si>
  <si>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</si>
  <si>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</si>
  <si>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</si>
  <si>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</si>
  <si>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</si>
  <si>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</si>
  <si>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</si>
  <si>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</si>
  <si>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</si>
  <si>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</si>
  <si>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</si>
  <si>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</si>
  <si>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</si>
  <si>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</si>
  <si>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</si>
  <si>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</si>
  <si>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</si>
  <si>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</si>
  <si>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</si>
  <si>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</si>
  <si>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</si>
  <si>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</si>
  <si>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</si>
  <si>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</si>
  <si>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</si>
  <si>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</si>
  <si>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</si>
  <si>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</si>
  <si>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</si>
  <si>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</si>
  <si>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</si>
  <si>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</si>
  <si>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</si>
  <si>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</si>
  <si>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</si>
  <si>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</si>
  <si>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</si>
  <si>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</si>
  <si>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</si>
  <si>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</si>
  <si>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</si>
  <si>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</si>
  <si>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</si>
  <si>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</si>
  <si>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</si>
  <si>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</si>
  <si>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</si>
  <si>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</si>
  <si>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</si>
  <si>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</si>
  <si>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</si>
  <si>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</si>
  <si>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</si>
  <si>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</si>
  <si>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</si>
  <si>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</si>
  <si>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</si>
  <si>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</si>
  <si>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</si>
  <si>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</si>
  <si>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</si>
  <si>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</si>
  <si>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</si>
  <si>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</si>
  <si>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</si>
  <si>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</si>
  <si>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</si>
  <si>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</si>
  <si>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</si>
  <si>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</si>
  <si>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</si>
  <si>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</si>
  <si>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</si>
  <si>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</si>
  <si>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</si>
  <si>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</si>
  <si>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</si>
  <si>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</si>
  <si>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</si>
  <si>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</si>
  <si>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</si>
  <si>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</si>
  <si>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</si>
  <si>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</si>
  <si>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</si>
  <si>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</si>
  <si>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</si>
  <si>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</si>
  <si>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</si>
  <si>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</si>
  <si>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</si>
  <si>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</si>
  <si>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</si>
  <si>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</si>
  <si>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</si>
  <si>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</si>
  <si>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</si>
  <si>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</si>
  <si>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</si>
  <si>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</si>
  <si>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</si>
  <si>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</si>
  <si>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</si>
  <si>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</si>
  <si>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</si>
  <si>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</si>
  <si>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</si>
  <si>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</si>
  <si>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</si>
  <si>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</si>
  <si>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</si>
  <si>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</si>
  <si>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</si>
  <si>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</si>
  <si>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</si>
  <si>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</si>
  <si>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</si>
  <si>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</si>
  <si>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</si>
  <si>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</si>
  <si>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</si>
  <si>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</si>
  <si>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</si>
  <si>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</si>
  <si>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</si>
  <si>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</si>
  <si>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</si>
  <si>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</si>
  <si>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</si>
  <si>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</si>
  <si>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</si>
  <si>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</si>
  <si>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</si>
  <si>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</si>
  <si>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</si>
  <si>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</si>
  <si>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</si>
  <si>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</si>
  <si>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</si>
  <si>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</si>
  <si>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</si>
  <si>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</si>
  <si>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</si>
  <si>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</si>
  <si>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</si>
  <si>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</si>
  <si>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</si>
  <si>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</si>
  <si>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</si>
  <si>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</si>
  <si>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</si>
  <si>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</si>
  <si>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</si>
  <si>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</si>
  <si>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</si>
  <si>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</si>
  <si>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</si>
  <si>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</si>
  <si>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</si>
  <si>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</si>
  <si>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</si>
  <si>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</si>
  <si>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</si>
  <si>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</si>
  <si>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</si>
  <si>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</si>
  <si>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</si>
  <si>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</si>
  <si>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</si>
  <si>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</si>
  <si>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</si>
  <si>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</si>
  <si>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</si>
  <si>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</si>
  <si>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</si>
  <si>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</si>
  <si>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</si>
  <si>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</si>
  <si>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</si>
  <si>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</si>
  <si>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</si>
  <si>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</si>
  <si>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</si>
  <si>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</si>
  <si>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</si>
  <si>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</si>
  <si>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</si>
  <si>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</si>
  <si>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</si>
  <si>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</si>
  <si>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</si>
  <si>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</si>
  <si>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</si>
  <si>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</si>
  <si>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</si>
  <si>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</si>
  <si>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</si>
  <si>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</si>
  <si>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</si>
  <si>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</si>
  <si>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</si>
  <si>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</si>
  <si>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</si>
  <si>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</si>
  <si>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</si>
  <si>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</si>
  <si>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</si>
  <si>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</si>
  <si>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</si>
  <si>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</si>
  <si>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</si>
  <si>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</si>
  <si>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</si>
  <si>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</si>
  <si>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</si>
  <si>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</si>
  <si>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</si>
  <si>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</si>
  <si>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</si>
  <si>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</si>
  <si>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</si>
  <si>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</si>
  <si>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</si>
  <si>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</si>
  <si>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</si>
  <si>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</si>
  <si>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</si>
  <si>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</si>
  <si>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</si>
  <si>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</si>
  <si>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</si>
  <si>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</si>
  <si>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</si>
  <si>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</si>
  <si>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</si>
  <si>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</si>
  <si>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</si>
  <si>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</si>
  <si>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</si>
  <si>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</si>
  <si>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</si>
  <si>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</si>
  <si>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</si>
  <si>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</si>
  <si>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</si>
  <si>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</si>
  <si>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</si>
  <si>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</si>
  <si>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</si>
  <si>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</si>
  <si>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</si>
  <si>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</si>
  <si>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</si>
  <si>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</si>
  <si>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</si>
  <si>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</si>
  <si>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</si>
  <si>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</si>
  <si>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</si>
  <si>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</si>
  <si>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</si>
  <si>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</si>
  <si>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</si>
  <si>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</si>
  <si>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</si>
  <si>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</si>
  <si>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</si>
  <si>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</si>
  <si>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</si>
  <si>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</si>
  <si>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</si>
  <si>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</si>
  <si>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</si>
  <si>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</si>
  <si>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</si>
  <si>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</si>
  <si>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</si>
  <si>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</si>
  <si>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</si>
  <si>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</si>
  <si>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</si>
  <si>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</si>
  <si>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</si>
  <si>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</si>
  <si>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</si>
  <si>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</si>
  <si>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</si>
  <si>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</si>
  <si>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</si>
  <si>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</si>
  <si>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</si>
  <si>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</si>
  <si>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</si>
  <si>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</si>
  <si>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</si>
  <si>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</si>
  <si>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</si>
  <si>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</si>
  <si>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</si>
  <si>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</si>
  <si>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</si>
  <si>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</si>
  <si>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</si>
  <si>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</si>
  <si>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</si>
  <si>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</si>
  <si>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</si>
  <si>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</si>
  <si>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</si>
  <si>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</si>
  <si>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</si>
  <si>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</si>
  <si>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</si>
  <si>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</si>
  <si>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</si>
  <si>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</si>
  <si>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</si>
  <si>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</si>
  <si>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</si>
  <si>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</si>
  <si>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</si>
  <si>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</si>
  <si>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</si>
  <si>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</si>
  <si>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</si>
  <si>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</si>
  <si>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</si>
  <si>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</si>
  <si>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</si>
  <si>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</si>
  <si>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</si>
  <si>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</si>
  <si>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</si>
  <si>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</si>
  <si>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</si>
  <si>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</si>
  <si>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</si>
  <si>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</si>
  <si>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</si>
  <si>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</si>
  <si>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</si>
  <si>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</si>
  <si>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</si>
  <si>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</si>
  <si>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</si>
  <si>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</si>
  <si>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</si>
  <si>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</si>
  <si>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</si>
  <si>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</si>
  <si>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</si>
  <si>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</si>
  <si>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</si>
  <si>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</si>
  <si>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</si>
  <si>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</si>
  <si>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</si>
  <si>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</si>
  <si>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</si>
  <si>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</si>
  <si>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</si>
  <si>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</si>
  <si>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</si>
  <si>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</si>
  <si>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</si>
  <si>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</si>
  <si>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</si>
  <si>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</si>
  <si>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</si>
  <si>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</si>
  <si>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</si>
  <si>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</si>
  <si>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</si>
  <si>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</si>
  <si>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</si>
  <si>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</si>
  <si>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</si>
  <si>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</si>
  <si>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</si>
  <si>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</si>
  <si>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</si>
  <si>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</si>
  <si>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</si>
  <si>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</si>
  <si>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</si>
  <si>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</si>
  <si>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</si>
  <si>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</si>
  <si>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</si>
  <si>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</si>
  <si>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</si>
  <si>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</si>
  <si>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</si>
  <si>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</si>
  <si>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</si>
  <si>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</si>
  <si>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</si>
  <si>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</si>
  <si>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</si>
  <si>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</si>
  <si>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</si>
  <si>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</si>
  <si>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</si>
  <si>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</si>
  <si>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</si>
  <si>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</si>
  <si>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</si>
  <si>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</si>
  <si>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</si>
  <si>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</si>
  <si>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</si>
  <si>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</si>
  <si>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</si>
  <si>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</si>
  <si>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</si>
  <si>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</si>
  <si>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</si>
  <si>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</si>
  <si>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</si>
  <si>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</si>
  <si>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</si>
  <si>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</si>
  <si>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</si>
  <si>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</si>
  <si>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</si>
  <si>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</si>
  <si>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</si>
  <si>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</si>
  <si>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</si>
  <si>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</si>
  <si>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</si>
  <si>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</si>
  <si>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</si>
  <si>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</si>
  <si>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</si>
  <si>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</si>
  <si>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</si>
  <si>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</si>
  <si>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</si>
  <si>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</si>
  <si>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</si>
  <si>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</si>
  <si>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</si>
  <si>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</si>
  <si>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</si>
  <si>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</si>
  <si>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</si>
  <si>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</si>
  <si>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</si>
  <si>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</si>
  <si>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</si>
  <si>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</si>
  <si>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</si>
  <si>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</si>
  <si>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</si>
  <si>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</si>
  <si>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</si>
  <si>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</si>
  <si>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</si>
  <si>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</si>
  <si>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</si>
  <si>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</si>
  <si>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</si>
  <si>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</si>
  <si>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</si>
  <si>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</si>
  <si>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</si>
  <si>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</si>
  <si>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</si>
  <si>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</si>
  <si>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</si>
  <si>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</si>
  <si>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</si>
  <si>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</si>
  <si>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</si>
  <si>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</si>
  <si>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</si>
  <si>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</si>
  <si>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</si>
  <si>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</si>
  <si>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</si>
  <si>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</si>
  <si>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</si>
  <si>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</si>
  <si>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</si>
  <si>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</si>
  <si>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</si>
  <si>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</si>
  <si>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</si>
  <si>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</si>
  <si>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</si>
  <si>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</si>
  <si>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</si>
  <si>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</si>
  <si>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</si>
  <si>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</si>
  <si>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</si>
  <si>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</si>
  <si>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</si>
  <si>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</si>
  <si>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</si>
  <si>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</si>
  <si>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</si>
  <si>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</si>
  <si>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</si>
  <si>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</si>
  <si>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</si>
  <si>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</si>
  <si>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</si>
  <si>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</si>
  <si>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</si>
  <si>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</si>
  <si>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</si>
  <si>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</si>
  <si>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</si>
  <si>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</si>
  <si>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</si>
  <si>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</si>
  <si>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</si>
  <si>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</si>
  <si>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</si>
  <si>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</si>
  <si>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</si>
  <si>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</si>
  <si>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</si>
  <si>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</si>
  <si>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</si>
  <si>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</si>
  <si>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</si>
  <si>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</si>
  <si>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</si>
  <si>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</si>
  <si>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</si>
  <si>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</si>
  <si>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</si>
  <si>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</si>
  <si>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</si>
  <si>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</si>
  <si>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</si>
  <si>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</si>
  <si>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</si>
  <si>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</si>
  <si>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</si>
  <si>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</si>
  <si>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</si>
  <si>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</si>
  <si>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</si>
  <si>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</si>
  <si>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</si>
  <si>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</si>
  <si>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</si>
  <si>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</si>
  <si>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</si>
  <si>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</si>
  <si>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</si>
  <si>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</si>
  <si>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</si>
  <si>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</si>
  <si>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</si>
  <si>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</si>
  <si>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</si>
  <si>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</si>
  <si>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</si>
  <si>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</si>
  <si>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</si>
  <si>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</si>
  <si>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</si>
  <si>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</si>
  <si>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</si>
  <si>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</si>
  <si>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</si>
  <si>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</si>
  <si>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</si>
  <si>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</si>
  <si>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</si>
  <si>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</si>
  <si>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</si>
  <si>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</si>
  <si>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</si>
  <si>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</si>
  <si>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</si>
  <si>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</si>
  <si>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</si>
  <si>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</si>
  <si>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</si>
  <si>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</si>
  <si>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</si>
  <si>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</si>
  <si>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</si>
  <si>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</si>
  <si>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</si>
  <si>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</si>
  <si>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</si>
  <si>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</si>
  <si>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</si>
  <si>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</si>
  <si>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</si>
  <si>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</si>
  <si>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</si>
  <si>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</si>
  <si>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</si>
  <si>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</si>
  <si>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</si>
  <si>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</si>
  <si>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</si>
  <si>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</si>
  <si>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</si>
  <si>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</si>
  <si>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</si>
  <si>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</si>
  <si>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</si>
  <si>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</si>
  <si>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</si>
  <si>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</si>
  <si>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</si>
  <si>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</si>
  <si>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</si>
  <si>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</si>
  <si>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</si>
  <si>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</si>
  <si>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</si>
  <si>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</si>
  <si>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</si>
  <si>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</si>
  <si>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</si>
  <si>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</si>
  <si>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</si>
  <si>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</si>
  <si>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</si>
  <si>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</si>
  <si>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A2023</t>
  </si>
  <si>
    <t>A2024</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</si>
  <si>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</si>
  <si>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</si>
  <si>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</si>
  <si>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</si>
  <si>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</si>
  <si>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</si>
  <si>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</si>
  <si>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</si>
  <si>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</si>
  <si>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</si>
  <si>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</si>
  <si>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</si>
  <si>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</si>
  <si>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</si>
  <si>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</si>
  <si>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</si>
  <si>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</si>
  <si>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</si>
  <si>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</si>
  <si>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</si>
  <si>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</si>
  <si>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</si>
  <si>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</si>
  <si>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</si>
  <si>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</si>
  <si>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</si>
  <si>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</si>
  <si>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</si>
  <si>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</si>
  <si>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</si>
  <si>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</si>
  <si>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</si>
  <si>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</si>
  <si>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</si>
  <si>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</si>
  <si>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</si>
  <si>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</si>
  <si>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</si>
  <si>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</si>
  <si>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</si>
  <si>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</si>
  <si>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</si>
  <si>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</si>
  <si>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</si>
  <si>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</si>
  <si>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</si>
  <si>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</si>
  <si>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</si>
  <si>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</si>
  <si>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</si>
  <si>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</si>
  <si>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</si>
  <si>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</si>
  <si>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</si>
  <si>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</si>
  <si>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</si>
  <si>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</si>
  <si>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</si>
  <si>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</si>
  <si>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</si>
  <si>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</si>
  <si>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</si>
  <si>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</si>
  <si>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</si>
  <si>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</si>
  <si>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</si>
  <si>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</si>
  <si>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</si>
  <si>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</si>
  <si>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</si>
  <si>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</si>
  <si>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</si>
  <si>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</si>
  <si>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</si>
  <si>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</si>
  <si>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</si>
  <si>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</si>
  <si>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</si>
  <si>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</si>
  <si>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</si>
  <si>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</si>
  <si>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</si>
  <si>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</si>
  <si>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</si>
  <si>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</si>
  <si>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</si>
  <si>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</si>
  <si>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</si>
  <si>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</si>
  <si>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</si>
  <si>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</si>
  <si>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</si>
  <si>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</si>
  <si>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</si>
  <si>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</si>
  <si>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</si>
  <si>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</si>
  <si>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</si>
  <si>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</si>
  <si>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</si>
  <si>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</si>
  <si>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</si>
  <si>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</si>
  <si>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</si>
  <si>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</si>
  <si>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</si>
  <si>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</si>
  <si>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</si>
  <si>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</si>
  <si>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</si>
  <si>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</si>
  <si>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</si>
  <si>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A2137</t>
  </si>
  <si>
    <t>A2138</t>
  </si>
  <si>
    <t>A2139</t>
  </si>
  <si>
    <t>A2140</t>
  </si>
  <si>
    <t>A2141</t>
  </si>
  <si>
    <t>A2142</t>
  </si>
  <si>
    <t>A2143</t>
  </si>
  <si>
    <t>A2144</t>
  </si>
  <si>
    <t>A2145</t>
  </si>
  <si>
    <t>A2146</t>
  </si>
  <si>
    <t>A2147</t>
  </si>
  <si>
    <t>A2148</t>
  </si>
  <si>
    <t>A2149</t>
  </si>
  <si>
    <t>A2150</t>
  </si>
  <si>
    <t>A2151</t>
  </si>
  <si>
    <t>A2152</t>
  </si>
  <si>
    <t>A2153</t>
  </si>
  <si>
    <t>A2154</t>
  </si>
  <si>
    <t>A2155</t>
  </si>
  <si>
    <t>A2156</t>
  </si>
  <si>
    <t>A2157</t>
  </si>
  <si>
    <t>A2158</t>
  </si>
  <si>
    <t>A2159</t>
  </si>
  <si>
    <t>A2160</t>
  </si>
  <si>
    <t>A2161</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</si>
  <si>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</si>
  <si>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</si>
  <si>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</si>
  <si>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</si>
  <si>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</si>
  <si>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</si>
  <si>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</si>
  <si>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</si>
  <si>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</si>
  <si>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</si>
  <si>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</si>
  <si>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</si>
  <si>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</si>
  <si>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</si>
  <si>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</si>
  <si>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</si>
  <si>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</si>
  <si>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</si>
  <si>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</si>
  <si>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</si>
  <si>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</si>
  <si>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</si>
  <si>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</si>
  <si>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</si>
  <si>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</si>
  <si>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</si>
  <si>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</si>
  <si>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</si>
  <si>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</si>
  <si>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</si>
  <si>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</si>
  <si>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</si>
  <si>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</si>
  <si>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</si>
  <si>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</si>
  <si>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</si>
  <si>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</si>
  <si>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</si>
  <si>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</si>
  <si>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A2201</t>
  </si>
  <si>
    <t>A2202</t>
  </si>
  <si>
    <t>A2203</t>
  </si>
  <si>
    <t>A2204</t>
  </si>
  <si>
    <t>A2205</t>
  </si>
  <si>
    <t>A2206</t>
  </si>
  <si>
    <t>A2207</t>
  </si>
  <si>
    <t>A2208</t>
  </si>
  <si>
    <t>A2209</t>
  </si>
  <si>
    <t>A2210</t>
  </si>
  <si>
    <t>A2211</t>
  </si>
  <si>
    <t>A2212</t>
  </si>
  <si>
    <t>A2213</t>
  </si>
  <si>
    <t>A2214</t>
  </si>
  <si>
    <t>A2215</t>
  </si>
  <si>
    <t>A2216</t>
  </si>
  <si>
    <t>A2217</t>
  </si>
  <si>
    <t>A2218</t>
  </si>
  <si>
    <t>A2219</t>
  </si>
  <si>
    <t>A2220</t>
  </si>
  <si>
    <t>A2221</t>
  </si>
  <si>
    <t>A2222</t>
  </si>
  <si>
    <t>A2223</t>
  </si>
  <si>
    <t>A2224</t>
  </si>
  <si>
    <t>A2225</t>
  </si>
  <si>
    <t>A2226</t>
  </si>
  <si>
    <t>A2227</t>
  </si>
  <si>
    <t>A2228</t>
  </si>
  <si>
    <t>A2229</t>
  </si>
  <si>
    <t>A2230</t>
  </si>
  <si>
    <t>A2231</t>
  </si>
  <si>
    <t>A2232</t>
  </si>
  <si>
    <t>A2233</t>
  </si>
  <si>
    <t>A2234</t>
  </si>
  <si>
    <t>A2235</t>
  </si>
  <si>
    <t>A2236</t>
  </si>
  <si>
    <t>A2237</t>
  </si>
  <si>
    <t>A2238</t>
  </si>
  <si>
    <t>A2239</t>
  </si>
  <si>
    <t>A2240</t>
  </si>
  <si>
    <t>A2241</t>
  </si>
  <si>
    <t>A2242</t>
  </si>
  <si>
    <t>A2243</t>
  </si>
  <si>
    <t>A2244</t>
  </si>
  <si>
    <t>A2245</t>
  </si>
  <si>
    <t>A2246</t>
  </si>
  <si>
    <t>A2247</t>
  </si>
  <si>
    <t>A2248</t>
  </si>
  <si>
    <t>A2249</t>
  </si>
  <si>
    <t>A2250</t>
  </si>
  <si>
    <t>A2251</t>
  </si>
  <si>
    <t>A2252</t>
  </si>
  <si>
    <t>A2253</t>
  </si>
  <si>
    <t>A2254</t>
  </si>
  <si>
    <t>A2255</t>
  </si>
  <si>
    <t>A2256</t>
  </si>
  <si>
    <t>A2257</t>
  </si>
  <si>
    <t>A2258</t>
  </si>
  <si>
    <t>A2259</t>
  </si>
  <si>
    <t>A2260</t>
  </si>
  <si>
    <t>A2261</t>
  </si>
  <si>
    <t>A2262</t>
  </si>
  <si>
    <t>A2263</t>
  </si>
  <si>
    <t>A2264</t>
  </si>
  <si>
    <t>A2265</t>
  </si>
  <si>
    <t>A2266</t>
  </si>
  <si>
    <t>A2267</t>
  </si>
  <si>
    <t>A2268</t>
  </si>
  <si>
    <t>A2269</t>
  </si>
  <si>
    <t>A2270</t>
  </si>
  <si>
    <t>A2271</t>
  </si>
  <si>
    <t>A2272</t>
  </si>
  <si>
    <t>A2273</t>
  </si>
  <si>
    <t>A2274</t>
  </si>
  <si>
    <t>A2275</t>
  </si>
  <si>
    <t>A2276</t>
  </si>
  <si>
    <t>A2277</t>
  </si>
  <si>
    <t>A2278</t>
  </si>
  <si>
    <t>A2279</t>
  </si>
  <si>
    <t>A2280</t>
  </si>
  <si>
    <t>A2281</t>
  </si>
  <si>
    <t>A2282</t>
  </si>
  <si>
    <t>A2283</t>
  </si>
  <si>
    <t>A2284</t>
  </si>
  <si>
    <t>A2285</t>
  </si>
  <si>
    <t>A2286</t>
  </si>
  <si>
    <t>A2287</t>
  </si>
  <si>
    <t>A2288</t>
  </si>
  <si>
    <t>A2289</t>
  </si>
  <si>
    <t>A2290</t>
  </si>
  <si>
    <t>A2291</t>
  </si>
  <si>
    <t>A2292</t>
  </si>
  <si>
    <t>A2293</t>
  </si>
  <si>
    <t>A2294</t>
  </si>
  <si>
    <t>A2295</t>
  </si>
  <si>
    <t>A2296</t>
  </si>
  <si>
    <t>A2297</t>
  </si>
  <si>
    <t>A2298</t>
  </si>
  <si>
    <t>A2299</t>
  </si>
  <si>
    <t>A2300</t>
  </si>
  <si>
    <t>A2301</t>
  </si>
  <si>
    <t>A2302</t>
  </si>
  <si>
    <t>A2303</t>
  </si>
  <si>
    <t>A2304</t>
  </si>
  <si>
    <t>A2305</t>
  </si>
  <si>
    <t>A2306</t>
  </si>
  <si>
    <t>A2307</t>
  </si>
  <si>
    <t>A2308</t>
  </si>
  <si>
    <t>A2309</t>
  </si>
  <si>
    <t>A2310</t>
  </si>
  <si>
    <t>A2311</t>
  </si>
  <si>
    <t>A2312</t>
  </si>
  <si>
    <t>A2313</t>
  </si>
  <si>
    <t>A2314</t>
  </si>
  <si>
    <t>A2315</t>
  </si>
  <si>
    <t>A2316</t>
  </si>
  <si>
    <t>A2317</t>
  </si>
  <si>
    <t>A2318</t>
  </si>
  <si>
    <t>A2319</t>
  </si>
  <si>
    <t>A2320</t>
  </si>
  <si>
    <t>A2321</t>
  </si>
  <si>
    <t>A2322</t>
  </si>
  <si>
    <t>A2323</t>
  </si>
  <si>
    <t>A2324</t>
  </si>
  <si>
    <t>A2325</t>
  </si>
  <si>
    <t>A2326</t>
  </si>
  <si>
    <t>A2327</t>
  </si>
  <si>
    <t>A2328</t>
  </si>
  <si>
    <t>A2329</t>
  </si>
  <si>
    <t>A2330</t>
  </si>
  <si>
    <t>A2331</t>
  </si>
  <si>
    <t>A2332</t>
  </si>
  <si>
    <t>A2333</t>
  </si>
  <si>
    <t>A2334</t>
  </si>
  <si>
    <t>A2335</t>
  </si>
  <si>
    <t>A2336</t>
  </si>
  <si>
    <t>A2337</t>
  </si>
  <si>
    <t>A2338</t>
  </si>
  <si>
    <t>A2339</t>
  </si>
  <si>
    <t>A2340</t>
  </si>
  <si>
    <t>A2341</t>
  </si>
  <si>
    <t>A2342</t>
  </si>
  <si>
    <t>A2343</t>
  </si>
  <si>
    <t>A2344</t>
  </si>
  <si>
    <t>A2345</t>
  </si>
  <si>
    <t>A2346</t>
  </si>
  <si>
    <t>A2347</t>
  </si>
  <si>
    <t>A2348</t>
  </si>
  <si>
    <t>A2349</t>
  </si>
  <si>
    <t>A2350</t>
  </si>
  <si>
    <t>A2351</t>
  </si>
  <si>
    <t>A2352</t>
  </si>
  <si>
    <t>A2353</t>
  </si>
  <si>
    <t>A2354</t>
  </si>
  <si>
    <t>A2355</t>
  </si>
  <si>
    <t>A2356</t>
  </si>
  <si>
    <t>A2357</t>
  </si>
  <si>
    <t>A2358</t>
  </si>
  <si>
    <t>A2359</t>
  </si>
  <si>
    <t>A2360</t>
  </si>
  <si>
    <t>A2361</t>
  </si>
  <si>
    <t>A2362</t>
  </si>
  <si>
    <t>A2363</t>
  </si>
  <si>
    <t>A2364</t>
  </si>
  <si>
    <t>A2365</t>
  </si>
  <si>
    <t>A2366</t>
  </si>
  <si>
    <t>A2367</t>
  </si>
  <si>
    <t>A2368</t>
  </si>
  <si>
    <t>A2369</t>
  </si>
  <si>
    <t>A2370</t>
  </si>
  <si>
    <t>A2371</t>
  </si>
  <si>
    <t>A2372</t>
  </si>
  <si>
    <t>A2373</t>
  </si>
  <si>
    <t>A2374</t>
  </si>
  <si>
    <t>A2375</t>
  </si>
  <si>
    <t>A2376</t>
  </si>
  <si>
    <t>A2377</t>
  </si>
  <si>
    <t>A2378</t>
  </si>
  <si>
    <t>A2379</t>
  </si>
  <si>
    <t>A2380</t>
  </si>
  <si>
    <t>A2381</t>
  </si>
  <si>
    <t>A2382</t>
  </si>
  <si>
    <t>A2383</t>
  </si>
  <si>
    <t>A2384</t>
  </si>
  <si>
    <t>A2385</t>
  </si>
  <si>
    <t>A2386</t>
  </si>
  <si>
    <t>A2387</t>
  </si>
  <si>
    <t>A2388</t>
  </si>
  <si>
    <t>A2389</t>
  </si>
  <si>
    <t>A2390</t>
  </si>
  <si>
    <t>A2391</t>
  </si>
  <si>
    <t>A2392</t>
  </si>
  <si>
    <t>A2393</t>
  </si>
  <si>
    <t>A2394</t>
  </si>
  <si>
    <t>A2395</t>
  </si>
  <si>
    <t>A2396</t>
  </si>
  <si>
    <t>A2397</t>
  </si>
  <si>
    <t>A2398</t>
  </si>
  <si>
    <t>A2399</t>
  </si>
  <si>
    <t>A2400</t>
  </si>
  <si>
    <t>A2401</t>
  </si>
  <si>
    <t>A2402</t>
  </si>
  <si>
    <t>A2403</t>
  </si>
  <si>
    <t>A2404</t>
  </si>
  <si>
    <t>A2405</t>
  </si>
  <si>
    <t>A2406</t>
  </si>
  <si>
    <t>A2407</t>
  </si>
  <si>
    <t>A2408</t>
  </si>
  <si>
    <t>A2409</t>
  </si>
  <si>
    <t>A2410</t>
  </si>
  <si>
    <t>A2411</t>
  </si>
  <si>
    <t>A2412</t>
  </si>
  <si>
    <t>A2413</t>
  </si>
  <si>
    <t>A2414</t>
  </si>
  <si>
    <t>A2415</t>
  </si>
  <si>
    <t>A2416</t>
  </si>
  <si>
    <t>A2417</t>
  </si>
  <si>
    <t>A2418</t>
  </si>
  <si>
    <t>A2419</t>
  </si>
  <si>
    <t>A2420</t>
  </si>
  <si>
    <t>A2421</t>
  </si>
  <si>
    <t>A2422</t>
  </si>
  <si>
    <t>A2423</t>
  </si>
  <si>
    <t>A2424</t>
  </si>
  <si>
    <t>A2425</t>
  </si>
  <si>
    <t>A2426</t>
  </si>
  <si>
    <t>A2427</t>
  </si>
  <si>
    <t>A2428</t>
  </si>
  <si>
    <t>A2429</t>
  </si>
  <si>
    <t>A2430</t>
  </si>
  <si>
    <t>A2431</t>
  </si>
  <si>
    <t>A2432</t>
  </si>
  <si>
    <t>A2433</t>
  </si>
  <si>
    <t>A2434</t>
  </si>
  <si>
    <t>A2435</t>
  </si>
  <si>
    <t>A2436</t>
  </si>
  <si>
    <t>A2437</t>
  </si>
  <si>
    <t>A2438</t>
  </si>
  <si>
    <t>A2439</t>
  </si>
  <si>
    <t>A2440</t>
  </si>
  <si>
    <t>A2441</t>
  </si>
  <si>
    <t>A2442</t>
  </si>
  <si>
    <t>A2443</t>
  </si>
  <si>
    <t>A2444</t>
  </si>
  <si>
    <t>A2445</t>
  </si>
  <si>
    <t>A2446</t>
  </si>
  <si>
    <t>A2447</t>
  </si>
  <si>
    <t>A2448</t>
  </si>
  <si>
    <t>A2449</t>
  </si>
  <si>
    <t>A2450</t>
  </si>
  <si>
    <t>A2451</t>
  </si>
  <si>
    <t>A2452</t>
  </si>
  <si>
    <t>A2453</t>
  </si>
  <si>
    <t>A2454</t>
  </si>
  <si>
    <t>A2455</t>
  </si>
  <si>
    <t>A2456</t>
  </si>
  <si>
    <t>A2457</t>
  </si>
  <si>
    <t>A2458</t>
  </si>
  <si>
    <t>A2459</t>
  </si>
  <si>
    <t>A2460</t>
  </si>
  <si>
    <t>A2461</t>
  </si>
  <si>
    <t>A2462</t>
  </si>
  <si>
    <t>A2463</t>
  </si>
  <si>
    <t>A2464</t>
  </si>
  <si>
    <t>A2465</t>
  </si>
  <si>
    <t>A2466</t>
  </si>
  <si>
    <t>A2467</t>
  </si>
  <si>
    <t>A2468</t>
  </si>
  <si>
    <t>A2469</t>
  </si>
  <si>
    <t>A2470</t>
  </si>
  <si>
    <t>A2471</t>
  </si>
  <si>
    <t>A2472</t>
  </si>
  <si>
    <t>A2473</t>
  </si>
  <si>
    <t>A2474</t>
  </si>
  <si>
    <t>A2475</t>
  </si>
  <si>
    <t>A2476</t>
  </si>
  <si>
    <t>A2477</t>
  </si>
  <si>
    <t>A2478</t>
  </si>
  <si>
    <t>A2479</t>
  </si>
  <si>
    <t>A2480</t>
  </si>
  <si>
    <t>A2481</t>
  </si>
  <si>
    <t>A2482</t>
  </si>
  <si>
    <t>A2483</t>
  </si>
  <si>
    <t>A2484</t>
  </si>
  <si>
    <t>A2485</t>
  </si>
  <si>
    <t>A2486</t>
  </si>
  <si>
    <t>A2487</t>
  </si>
  <si>
    <t>A2488</t>
  </si>
  <si>
    <t>A2489</t>
  </si>
  <si>
    <t>A2490</t>
  </si>
  <si>
    <t>A2491</t>
  </si>
  <si>
    <t>A2492</t>
  </si>
  <si>
    <t>A2493</t>
  </si>
  <si>
    <t>A2494</t>
  </si>
  <si>
    <t>A2495</t>
  </si>
  <si>
    <t>A2496</t>
  </si>
  <si>
    <t>A2497</t>
  </si>
  <si>
    <t>A2498</t>
  </si>
  <si>
    <t>A2499</t>
  </si>
  <si>
    <t>A2500</t>
  </si>
  <si>
    <t>A2501</t>
  </si>
  <si>
    <t>A2502</t>
  </si>
  <si>
    <t>A2503</t>
  </si>
  <si>
    <t>A2504</t>
  </si>
  <si>
    <t>A2505</t>
  </si>
  <si>
    <t>A2506</t>
  </si>
  <si>
    <t>A2507</t>
  </si>
  <si>
    <t>A2508</t>
  </si>
  <si>
    <t>A2509</t>
  </si>
  <si>
    <t>A2510</t>
  </si>
  <si>
    <t>A2511</t>
  </si>
  <si>
    <t>A2512</t>
  </si>
  <si>
    <t>A2513</t>
  </si>
  <si>
    <t>A2514</t>
  </si>
  <si>
    <t>A2515</t>
  </si>
  <si>
    <t>A2516</t>
  </si>
  <si>
    <t>A2517</t>
  </si>
  <si>
    <t>A2518</t>
  </si>
  <si>
    <t>A2519</t>
  </si>
  <si>
    <t>A2520</t>
  </si>
  <si>
    <t>A2521</t>
  </si>
  <si>
    <t>A2522</t>
  </si>
  <si>
    <t>A2523</t>
  </si>
  <si>
    <t>A2524</t>
  </si>
  <si>
    <t>A2525</t>
  </si>
  <si>
    <t>A2526</t>
  </si>
  <si>
    <t>A2527</t>
  </si>
  <si>
    <t>A2528</t>
  </si>
  <si>
    <t>A2529</t>
  </si>
  <si>
    <t>A2530</t>
  </si>
  <si>
    <t>A2531</t>
  </si>
  <si>
    <t>A2532</t>
  </si>
  <si>
    <t>A2533</t>
  </si>
  <si>
    <t>A2534</t>
  </si>
  <si>
    <t>A2535</t>
  </si>
  <si>
    <t>A2536</t>
  </si>
  <si>
    <t>A2537</t>
  </si>
  <si>
    <t>A2538</t>
  </si>
  <si>
    <t>A2539</t>
  </si>
  <si>
    <t>A2540</t>
  </si>
  <si>
    <t>A2541</t>
  </si>
  <si>
    <t>A2542</t>
  </si>
  <si>
    <t>A2543</t>
  </si>
  <si>
    <t>A2544</t>
  </si>
  <si>
    <t>A2545</t>
  </si>
  <si>
    <t>A2546</t>
  </si>
  <si>
    <t>A2547</t>
  </si>
  <si>
    <t>A2548</t>
  </si>
  <si>
    <t>A2549</t>
  </si>
  <si>
    <t>A2550</t>
  </si>
  <si>
    <t>A2551</t>
  </si>
  <si>
    <t>A2552</t>
  </si>
  <si>
    <t>A2553</t>
  </si>
  <si>
    <t>A2554</t>
  </si>
  <si>
    <t>A2555</t>
  </si>
  <si>
    <t>A2556</t>
  </si>
  <si>
    <t>A2557</t>
  </si>
  <si>
    <t>A2558</t>
  </si>
  <si>
    <t>A2559</t>
  </si>
  <si>
    <t>A2560</t>
  </si>
  <si>
    <t>A2561</t>
  </si>
  <si>
    <t>A2562</t>
  </si>
  <si>
    <t>A2563</t>
  </si>
  <si>
    <t>A2564</t>
  </si>
  <si>
    <t>A2565</t>
  </si>
  <si>
    <t>A2566</t>
  </si>
  <si>
    <t>A2567</t>
  </si>
  <si>
    <t>A2568</t>
  </si>
  <si>
    <t>A2569</t>
  </si>
  <si>
    <t>A2570</t>
  </si>
  <si>
    <t>A2571</t>
  </si>
  <si>
    <t>A2572</t>
  </si>
  <si>
    <t>A2573</t>
  </si>
  <si>
    <t>A2574</t>
  </si>
  <si>
    <t>A2575</t>
  </si>
  <si>
    <t>A2576</t>
  </si>
  <si>
    <t>A2577</t>
  </si>
  <si>
    <t>A2578</t>
  </si>
  <si>
    <t>A2579</t>
  </si>
  <si>
    <t>A2580</t>
  </si>
  <si>
    <t>A2581</t>
  </si>
  <si>
    <t>A2582</t>
  </si>
  <si>
    <t>A2583</t>
  </si>
  <si>
    <t>A2584</t>
  </si>
  <si>
    <t>A2585</t>
  </si>
  <si>
    <t>A2586</t>
  </si>
  <si>
    <t>A2587</t>
  </si>
  <si>
    <t>A2588</t>
  </si>
  <si>
    <t>A2589</t>
  </si>
  <si>
    <t>A2590</t>
  </si>
  <si>
    <t>A2591</t>
  </si>
  <si>
    <t>A2592</t>
  </si>
  <si>
    <t>A2593</t>
  </si>
  <si>
    <t>A2594</t>
  </si>
  <si>
    <t>A2595</t>
  </si>
  <si>
    <t>A2596</t>
  </si>
  <si>
    <t>A2597</t>
  </si>
  <si>
    <t>A2598</t>
  </si>
  <si>
    <t>A2599</t>
  </si>
  <si>
    <t>A2600</t>
  </si>
  <si>
    <t>A2601</t>
  </si>
  <si>
    <t>A2602</t>
  </si>
  <si>
    <t>A2603</t>
  </si>
  <si>
    <t>A2604</t>
  </si>
  <si>
    <t>A2605</t>
  </si>
  <si>
    <t>A2606</t>
  </si>
  <si>
    <t>A2607</t>
  </si>
  <si>
    <t>A2608</t>
  </si>
  <si>
    <t>A2609</t>
  </si>
  <si>
    <t>A2610</t>
  </si>
  <si>
    <t>A2611</t>
  </si>
  <si>
    <t>A2612</t>
  </si>
  <si>
    <t>A2613</t>
  </si>
  <si>
    <t>A2614</t>
  </si>
  <si>
    <t>A2615</t>
  </si>
  <si>
    <t>A2616</t>
  </si>
  <si>
    <t>A2617</t>
  </si>
  <si>
    <t>A2618</t>
  </si>
  <si>
    <t>A2619</t>
  </si>
  <si>
    <t>A2620</t>
  </si>
  <si>
    <t>A2621</t>
  </si>
  <si>
    <t>A2622</t>
  </si>
  <si>
    <t>A2623</t>
  </si>
  <si>
    <t>A2624</t>
  </si>
  <si>
    <t>A2625</t>
  </si>
  <si>
    <t>A2626</t>
  </si>
  <si>
    <t>A2627</t>
  </si>
  <si>
    <t>A2628</t>
  </si>
  <si>
    <t>A2629</t>
  </si>
  <si>
    <t>A2630</t>
  </si>
  <si>
    <t>A2631</t>
  </si>
  <si>
    <t>A2632</t>
  </si>
  <si>
    <t>A2633</t>
  </si>
  <si>
    <t>A2634</t>
  </si>
  <si>
    <t>A2635</t>
  </si>
  <si>
    <t>A2636</t>
  </si>
  <si>
    <t>A2637</t>
  </si>
  <si>
    <t>A2638</t>
  </si>
  <si>
    <t>A2639</t>
  </si>
  <si>
    <t>A2640</t>
  </si>
  <si>
    <t>A2641</t>
  </si>
  <si>
    <t>A2642</t>
  </si>
  <si>
    <t>A2643</t>
  </si>
  <si>
    <t>A2644</t>
  </si>
  <si>
    <t>A2645</t>
  </si>
  <si>
    <t>A2646</t>
  </si>
  <si>
    <t>A2647</t>
  </si>
  <si>
    <t>A2648</t>
  </si>
  <si>
    <t>A2649</t>
  </si>
  <si>
    <t>A2650</t>
  </si>
  <si>
    <t>A2651</t>
  </si>
  <si>
    <t>A2652</t>
  </si>
  <si>
    <t>A2653</t>
  </si>
  <si>
    <t>A2654</t>
  </si>
  <si>
    <t>A2655</t>
  </si>
  <si>
    <t>A2656</t>
  </si>
  <si>
    <t>A2657</t>
  </si>
  <si>
    <t>A2658</t>
  </si>
  <si>
    <t>A2659</t>
  </si>
  <si>
    <t>A2660</t>
  </si>
  <si>
    <t>A2661</t>
  </si>
  <si>
    <t>A2662</t>
  </si>
  <si>
    <t>A2663</t>
  </si>
  <si>
    <t>A2664</t>
  </si>
  <si>
    <t>A2665</t>
  </si>
  <si>
    <t>A2666</t>
  </si>
  <si>
    <t>A2667</t>
  </si>
  <si>
    <t>A2668</t>
  </si>
  <si>
    <t>A2669</t>
  </si>
  <si>
    <t>A2670</t>
  </si>
  <si>
    <t>A2671</t>
  </si>
  <si>
    <t>A2672</t>
  </si>
  <si>
    <t>A2673</t>
  </si>
  <si>
    <t>A2674</t>
  </si>
  <si>
    <t>A2675</t>
  </si>
  <si>
    <t>A2676</t>
  </si>
  <si>
    <t>A2677</t>
  </si>
  <si>
    <t>A2678</t>
  </si>
  <si>
    <t>A2679</t>
  </si>
  <si>
    <t>A2680</t>
  </si>
  <si>
    <t>A2681</t>
  </si>
  <si>
    <t>A2682</t>
  </si>
  <si>
    <t>A2683</t>
  </si>
  <si>
    <t>A2684</t>
  </si>
  <si>
    <t>A2685</t>
  </si>
  <si>
    <t>A2686</t>
  </si>
  <si>
    <t>A2687</t>
  </si>
  <si>
    <t>A2688</t>
  </si>
  <si>
    <t>A2689</t>
  </si>
  <si>
    <t>A2690</t>
  </si>
  <si>
    <t>A2691</t>
  </si>
  <si>
    <t>A2692</t>
  </si>
  <si>
    <t>A2693</t>
  </si>
  <si>
    <t>A2694</t>
  </si>
  <si>
    <t>A2695</t>
  </si>
  <si>
    <t>A2696</t>
  </si>
  <si>
    <t>A2697</t>
  </si>
  <si>
    <t>A2698</t>
  </si>
  <si>
    <t>A2699</t>
  </si>
  <si>
    <t>A2700</t>
  </si>
  <si>
    <t>A2701</t>
  </si>
  <si>
    <t>A2702</t>
  </si>
  <si>
    <t>A2703</t>
  </si>
  <si>
    <t>A2704</t>
  </si>
  <si>
    <t>A2705</t>
  </si>
  <si>
    <t>A2706</t>
  </si>
  <si>
    <t>A2707</t>
  </si>
  <si>
    <t>A2708</t>
  </si>
  <si>
    <t>A2709</t>
  </si>
  <si>
    <t>A2710</t>
  </si>
  <si>
    <t>A2711</t>
  </si>
  <si>
    <t>A2712</t>
  </si>
  <si>
    <t>A2713</t>
  </si>
  <si>
    <t>A2714</t>
  </si>
  <si>
    <t>A2715</t>
  </si>
  <si>
    <t>A2716</t>
  </si>
  <si>
    <t>A2717</t>
  </si>
  <si>
    <t>A2718</t>
  </si>
  <si>
    <t>A2719</t>
  </si>
  <si>
    <t>A2720</t>
  </si>
  <si>
    <t>A2721</t>
  </si>
  <si>
    <t>A2722</t>
  </si>
  <si>
    <t>A2723</t>
  </si>
  <si>
    <t>A2724</t>
  </si>
  <si>
    <t>A2725</t>
  </si>
  <si>
    <t>A2726</t>
  </si>
  <si>
    <t>A2727</t>
  </si>
  <si>
    <t>A2728</t>
  </si>
  <si>
    <t>A2729</t>
  </si>
  <si>
    <t>A2730</t>
  </si>
  <si>
    <t>A2731</t>
  </si>
  <si>
    <t>A2732</t>
  </si>
  <si>
    <t>A2733</t>
  </si>
  <si>
    <t>A2734</t>
  </si>
  <si>
    <t>A2735</t>
  </si>
  <si>
    <t>A2736</t>
  </si>
  <si>
    <t>A2737</t>
  </si>
  <si>
    <t>A2738</t>
  </si>
  <si>
    <t>A2739</t>
  </si>
  <si>
    <t>A2740</t>
  </si>
  <si>
    <t>A2741</t>
  </si>
  <si>
    <t>A2742</t>
  </si>
  <si>
    <t>A2743</t>
  </si>
  <si>
    <t>A2744</t>
  </si>
  <si>
    <t>A2745</t>
  </si>
  <si>
    <t>A2746</t>
  </si>
  <si>
    <t>A2747</t>
  </si>
  <si>
    <t>A2748</t>
  </si>
  <si>
    <t>A2749</t>
  </si>
  <si>
    <t>A2750</t>
  </si>
  <si>
    <t>A2751</t>
  </si>
  <si>
    <t>A2752</t>
  </si>
  <si>
    <t>A2753</t>
  </si>
  <si>
    <t>A2754</t>
  </si>
  <si>
    <t>A2755</t>
  </si>
  <si>
    <t>A2756</t>
  </si>
  <si>
    <t>A2757</t>
  </si>
  <si>
    <t>A2758</t>
  </si>
  <si>
    <t>A2759</t>
  </si>
  <si>
    <t>A2760</t>
  </si>
  <si>
    <t>A2761</t>
  </si>
  <si>
    <t>A2762</t>
  </si>
  <si>
    <t>A2763</t>
  </si>
  <si>
    <t>A2764</t>
  </si>
  <si>
    <t>A2765</t>
  </si>
  <si>
    <t>A2766</t>
  </si>
  <si>
    <t>A2767</t>
  </si>
  <si>
    <t>A2768</t>
  </si>
  <si>
    <t>A2769</t>
  </si>
  <si>
    <t>A2770</t>
  </si>
  <si>
    <t>A2771</t>
  </si>
  <si>
    <t>A2772</t>
  </si>
  <si>
    <t>A2773</t>
  </si>
  <si>
    <t>A2774</t>
  </si>
  <si>
    <t>A2775</t>
  </si>
  <si>
    <t>A2776</t>
  </si>
  <si>
    <t>A2777</t>
  </si>
  <si>
    <t>A2778</t>
  </si>
  <si>
    <t>A2779</t>
  </si>
  <si>
    <t>A2780</t>
  </si>
  <si>
    <t>A2781</t>
  </si>
  <si>
    <t>A2782</t>
  </si>
  <si>
    <t>A2783</t>
  </si>
  <si>
    <t>A2784</t>
  </si>
  <si>
    <t>A2785</t>
  </si>
  <si>
    <t>A2786</t>
  </si>
  <si>
    <t>A2787</t>
  </si>
  <si>
    <t>A2788</t>
  </si>
  <si>
    <t>A2789</t>
  </si>
  <si>
    <t>A2790</t>
  </si>
  <si>
    <t>A2791</t>
  </si>
  <si>
    <t>A2792</t>
  </si>
  <si>
    <t>A2793</t>
  </si>
  <si>
    <t>A2794</t>
  </si>
  <si>
    <t>A2795</t>
  </si>
  <si>
    <t>A2796</t>
  </si>
  <si>
    <t>A2797</t>
  </si>
  <si>
    <t>A2798</t>
  </si>
  <si>
    <t>A2799</t>
  </si>
  <si>
    <t>A2800</t>
  </si>
  <si>
    <t>A2801</t>
  </si>
  <si>
    <t>A2802</t>
  </si>
  <si>
    <t>A2803</t>
  </si>
  <si>
    <t>A2804</t>
  </si>
  <si>
    <t>A2805</t>
  </si>
  <si>
    <t>A2806</t>
  </si>
  <si>
    <t>A2807</t>
  </si>
  <si>
    <t>A2808</t>
  </si>
  <si>
    <t>A2809</t>
  </si>
  <si>
    <t>A2810</t>
  </si>
  <si>
    <t>A2811</t>
  </si>
  <si>
    <t>A2812</t>
  </si>
  <si>
    <t>A2813</t>
  </si>
  <si>
    <t>A2814</t>
  </si>
  <si>
    <t>A2815</t>
  </si>
  <si>
    <t>A2816</t>
  </si>
  <si>
    <t>A2817</t>
  </si>
  <si>
    <t>A2818</t>
  </si>
  <si>
    <t>A2819</t>
  </si>
  <si>
    <t>A2820</t>
  </si>
  <si>
    <t>A2821</t>
  </si>
  <si>
    <t>A2822</t>
  </si>
  <si>
    <t>A2823</t>
  </si>
  <si>
    <t>A2824</t>
  </si>
  <si>
    <t>A2825</t>
  </si>
  <si>
    <t>A2826</t>
  </si>
  <si>
    <t>A2827</t>
  </si>
  <si>
    <t>A2828</t>
  </si>
  <si>
    <t>A2829</t>
  </si>
  <si>
    <t>A2830</t>
  </si>
  <si>
    <t>A2831</t>
  </si>
  <si>
    <t>A2832</t>
  </si>
  <si>
    <t>A2833</t>
  </si>
  <si>
    <t>A2834</t>
  </si>
  <si>
    <t>A2835</t>
  </si>
  <si>
    <t>A2836</t>
  </si>
  <si>
    <t>A2837</t>
  </si>
  <si>
    <t>A2838</t>
  </si>
  <si>
    <t>A2839</t>
  </si>
  <si>
    <t>A2840</t>
  </si>
  <si>
    <t>A2841</t>
  </si>
  <si>
    <t>A2842</t>
  </si>
  <si>
    <t>A2843</t>
  </si>
  <si>
    <t>A2844</t>
  </si>
  <si>
    <t>A2845</t>
  </si>
  <si>
    <t>A2846</t>
  </si>
  <si>
    <t>A2847</t>
  </si>
  <si>
    <t>A2848</t>
  </si>
  <si>
    <t>A2849</t>
  </si>
  <si>
    <t>A2850</t>
  </si>
  <si>
    <t>A2851</t>
  </si>
  <si>
    <t>A2852</t>
  </si>
  <si>
    <t>A2853</t>
  </si>
  <si>
    <t>A2854</t>
  </si>
  <si>
    <t>A2855</t>
  </si>
  <si>
    <t>A2856</t>
  </si>
  <si>
    <t>A2857</t>
  </si>
  <si>
    <t>A2858</t>
  </si>
  <si>
    <t>A2859</t>
  </si>
  <si>
    <t>A2860</t>
  </si>
  <si>
    <t>A2861</t>
  </si>
  <si>
    <t>A2862</t>
  </si>
  <si>
    <t>A2863</t>
  </si>
  <si>
    <t>A2864</t>
  </si>
  <si>
    <t>A2865</t>
  </si>
  <si>
    <t>A2866</t>
  </si>
  <si>
    <t>A2867</t>
  </si>
  <si>
    <t>A2868</t>
  </si>
  <si>
    <t>A2869</t>
  </si>
  <si>
    <t>A2870</t>
  </si>
  <si>
    <t>A2871</t>
  </si>
  <si>
    <t>A2872</t>
  </si>
  <si>
    <t>A2873</t>
  </si>
  <si>
    <t>A2874</t>
  </si>
  <si>
    <t>A2875</t>
  </si>
  <si>
    <t>A2876</t>
  </si>
  <si>
    <t>A2877</t>
  </si>
  <si>
    <t>A2878</t>
  </si>
  <si>
    <t>A2879</t>
  </si>
  <si>
    <t>A2880</t>
  </si>
  <si>
    <t>A2881</t>
  </si>
  <si>
    <t>A2882</t>
  </si>
  <si>
    <t>A2883</t>
  </si>
  <si>
    <t>A2884</t>
  </si>
  <si>
    <t>A2885</t>
  </si>
  <si>
    <t>A2886</t>
  </si>
  <si>
    <t>A2887</t>
  </si>
  <si>
    <t>A2888</t>
  </si>
  <si>
    <t>A2889</t>
  </si>
  <si>
    <t>A2890</t>
  </si>
  <si>
    <t>A2891</t>
  </si>
  <si>
    <t>A2892</t>
  </si>
  <si>
    <t>A2893</t>
  </si>
  <si>
    <t>A2894</t>
  </si>
  <si>
    <t>A2895</t>
  </si>
  <si>
    <t>A2896</t>
  </si>
  <si>
    <t>A2897</t>
  </si>
  <si>
    <t>A2898</t>
  </si>
  <si>
    <t>A2899</t>
  </si>
  <si>
    <t>A2900</t>
  </si>
  <si>
    <t>A2901</t>
  </si>
  <si>
    <t>A2902</t>
  </si>
  <si>
    <t>A2903</t>
  </si>
  <si>
    <t>A2904</t>
  </si>
  <si>
    <t>A2905</t>
  </si>
  <si>
    <t>A2906</t>
  </si>
  <si>
    <t>A2907</t>
  </si>
  <si>
    <t>A2908</t>
  </si>
  <si>
    <t>A2909</t>
  </si>
  <si>
    <t>A2910</t>
  </si>
  <si>
    <t>A2911</t>
  </si>
  <si>
    <t>A2912</t>
  </si>
  <si>
    <t>A2913</t>
  </si>
  <si>
    <t>A2914</t>
  </si>
  <si>
    <t>A2915</t>
  </si>
  <si>
    <t>A2916</t>
  </si>
  <si>
    <t>A2917</t>
  </si>
  <si>
    <t>A2918</t>
  </si>
  <si>
    <t>A2919</t>
  </si>
  <si>
    <t>A2920</t>
  </si>
  <si>
    <t>A2921</t>
  </si>
  <si>
    <t>A2922</t>
  </si>
  <si>
    <t>A2923</t>
  </si>
  <si>
    <t>A2924</t>
  </si>
  <si>
    <t>A2925</t>
  </si>
  <si>
    <t>A2926</t>
  </si>
  <si>
    <t>A2927</t>
  </si>
  <si>
    <t>A2928</t>
  </si>
  <si>
    <t>A2929</t>
  </si>
  <si>
    <t>A2930</t>
  </si>
  <si>
    <t>A2931</t>
  </si>
  <si>
    <t>A2932</t>
  </si>
  <si>
    <t>A2933</t>
  </si>
  <si>
    <t>A2934</t>
  </si>
  <si>
    <t>A2935</t>
  </si>
  <si>
    <t>A2936</t>
  </si>
  <si>
    <t>A2937</t>
  </si>
  <si>
    <t>A2938</t>
  </si>
  <si>
    <t>A2939</t>
  </si>
  <si>
    <t>A2940</t>
  </si>
  <si>
    <t>A2941</t>
  </si>
  <si>
    <t>A2942</t>
  </si>
  <si>
    <t>A2943</t>
  </si>
  <si>
    <t>A2944</t>
  </si>
  <si>
    <t>A2945</t>
  </si>
  <si>
    <t>A2946</t>
  </si>
  <si>
    <t>A2947</t>
  </si>
  <si>
    <t>A2948</t>
  </si>
  <si>
    <t>A2949</t>
  </si>
  <si>
    <t>A2950</t>
  </si>
  <si>
    <t>A2951</t>
  </si>
  <si>
    <t>A2952</t>
  </si>
  <si>
    <t>A2953</t>
  </si>
  <si>
    <t>A2954</t>
  </si>
  <si>
    <t>A2955</t>
  </si>
  <si>
    <t>A2956</t>
  </si>
  <si>
    <t>A2957</t>
  </si>
  <si>
    <t>A2958</t>
  </si>
  <si>
    <t>A2959</t>
  </si>
  <si>
    <t>A2960</t>
  </si>
  <si>
    <t>A2961</t>
  </si>
  <si>
    <t>A2962</t>
  </si>
  <si>
    <t>A2963</t>
  </si>
  <si>
    <t>A2964</t>
  </si>
  <si>
    <t>A2965</t>
  </si>
  <si>
    <t>A2966</t>
  </si>
  <si>
    <t>A2967</t>
  </si>
  <si>
    <t>A2968</t>
  </si>
  <si>
    <t>A2969</t>
  </si>
  <si>
    <t>A2970</t>
  </si>
  <si>
    <t>A2971</t>
  </si>
  <si>
    <t>A2972</t>
  </si>
  <si>
    <t>A2973</t>
  </si>
  <si>
    <t>A2974</t>
  </si>
  <si>
    <t>A2975</t>
  </si>
  <si>
    <t>A2976</t>
  </si>
  <si>
    <t>A2977</t>
  </si>
  <si>
    <t>A2978</t>
  </si>
  <si>
    <t>A2979</t>
  </si>
  <si>
    <t>A2980</t>
  </si>
  <si>
    <t>A2981</t>
  </si>
  <si>
    <t>A2982</t>
  </si>
  <si>
    <t>A2983</t>
  </si>
  <si>
    <t>A2984</t>
  </si>
  <si>
    <t>A2985</t>
  </si>
  <si>
    <t>A2986</t>
  </si>
  <si>
    <t>A2987</t>
  </si>
  <si>
    <t>A2988</t>
  </si>
  <si>
    <t>A2989</t>
  </si>
  <si>
    <t>A2990</t>
  </si>
  <si>
    <t>A2991</t>
  </si>
  <si>
    <t>A2992</t>
  </si>
  <si>
    <t>A2993</t>
  </si>
  <si>
    <t>A2994</t>
  </si>
  <si>
    <t>A2995</t>
  </si>
  <si>
    <t>A2996</t>
  </si>
  <si>
    <t>A2997</t>
  </si>
  <si>
    <t>A2998</t>
  </si>
  <si>
    <t>A2999</t>
  </si>
  <si>
    <t>A3000</t>
  </si>
  <si>
    <t>A3001</t>
  </si>
  <si>
    <t>A3002</t>
  </si>
  <si>
    <t>A3003</t>
  </si>
  <si>
    <t>A3004</t>
  </si>
  <si>
    <t>A3005</t>
  </si>
  <si>
    <t>A3006</t>
  </si>
  <si>
    <t>A3007</t>
  </si>
  <si>
    <t>A3008</t>
  </si>
  <si>
    <t>A3009</t>
  </si>
  <si>
    <t>A3010</t>
  </si>
  <si>
    <t>A3011</t>
  </si>
  <si>
    <t>A3012</t>
  </si>
  <si>
    <t>A3013</t>
  </si>
  <si>
    <t>A3014</t>
  </si>
  <si>
    <t>A3015</t>
  </si>
  <si>
    <t>A3016</t>
  </si>
  <si>
    <t>A3017</t>
  </si>
  <si>
    <t>A3018</t>
  </si>
  <si>
    <t>A3019</t>
  </si>
  <si>
    <t>A3020</t>
  </si>
  <si>
    <t>A3021</t>
  </si>
  <si>
    <t>A3022</t>
  </si>
  <si>
    <t>A3023</t>
  </si>
  <si>
    <t>A3024</t>
  </si>
  <si>
    <t>A3025</t>
  </si>
  <si>
    <t>A3026</t>
  </si>
  <si>
    <t>A3027</t>
  </si>
  <si>
    <t>A3028</t>
  </si>
  <si>
    <t>A3029</t>
  </si>
  <si>
    <t>A3030</t>
  </si>
  <si>
    <t>A3031</t>
  </si>
  <si>
    <t>A3032</t>
  </si>
  <si>
    <t>A3033</t>
  </si>
  <si>
    <t>A3034</t>
  </si>
  <si>
    <t>A3035</t>
  </si>
  <si>
    <t>A3036</t>
  </si>
  <si>
    <t>A3037</t>
  </si>
  <si>
    <t>A3038</t>
  </si>
  <si>
    <t>A3039</t>
  </si>
  <si>
    <t>A3040</t>
  </si>
  <si>
    <t>A3041</t>
  </si>
  <si>
    <t>A3042</t>
  </si>
  <si>
    <t>A3043</t>
  </si>
  <si>
    <t>A3044</t>
  </si>
  <si>
    <t>A3045</t>
  </si>
  <si>
    <t>A3046</t>
  </si>
  <si>
    <t>A3047</t>
  </si>
  <si>
    <t>A3048</t>
  </si>
  <si>
    <t>A3049</t>
  </si>
  <si>
    <t>A3050</t>
  </si>
  <si>
    <t>A3051</t>
  </si>
  <si>
    <t>A3052</t>
  </si>
  <si>
    <t>A3053</t>
  </si>
  <si>
    <t>A3054</t>
  </si>
  <si>
    <t>A3055</t>
  </si>
  <si>
    <t>A3056</t>
  </si>
  <si>
    <t>A3057</t>
  </si>
  <si>
    <t>A3058</t>
  </si>
  <si>
    <t>A3059</t>
  </si>
  <si>
    <t>A3060</t>
  </si>
  <si>
    <t>A3061</t>
  </si>
  <si>
    <t>A3062</t>
  </si>
  <si>
    <t>A3063</t>
  </si>
  <si>
    <t>A3064</t>
  </si>
  <si>
    <t>A3065</t>
  </si>
  <si>
    <t>A3066</t>
  </si>
  <si>
    <t>A3067</t>
  </si>
  <si>
    <t>A3068</t>
  </si>
  <si>
    <t>A3069</t>
  </si>
  <si>
    <t>A3070</t>
  </si>
  <si>
    <t>A3071</t>
  </si>
  <si>
    <t>A3072</t>
  </si>
  <si>
    <t>A3073</t>
  </si>
  <si>
    <t>A3074</t>
  </si>
  <si>
    <t>A3075</t>
  </si>
  <si>
    <t>A3076</t>
  </si>
  <si>
    <t>A3077</t>
  </si>
  <si>
    <t>A3078</t>
  </si>
  <si>
    <t>A3079</t>
  </si>
  <si>
    <t>A3080</t>
  </si>
  <si>
    <t>A3081</t>
  </si>
  <si>
    <t>A3082</t>
  </si>
  <si>
    <t>A3083</t>
  </si>
  <si>
    <t>A3084</t>
  </si>
  <si>
    <t>A3085</t>
  </si>
  <si>
    <t>A3086</t>
  </si>
  <si>
    <t>A3087</t>
  </si>
  <si>
    <t>A3088</t>
  </si>
  <si>
    <t>A3089</t>
  </si>
  <si>
    <t>A3090</t>
  </si>
  <si>
    <t>A3091</t>
  </si>
  <si>
    <t>A3092</t>
  </si>
  <si>
    <t>A3093</t>
  </si>
  <si>
    <t>A3094</t>
  </si>
  <si>
    <t>A3095</t>
  </si>
  <si>
    <t>A3096</t>
  </si>
  <si>
    <t>A3097</t>
  </si>
  <si>
    <t>A3098</t>
  </si>
  <si>
    <t>A3099</t>
  </si>
  <si>
    <t>A3100</t>
  </si>
  <si>
    <t>A3101</t>
  </si>
  <si>
    <t>A3102</t>
  </si>
  <si>
    <t>A3103</t>
  </si>
  <si>
    <t>A3104</t>
  </si>
  <si>
    <t>A3105</t>
  </si>
  <si>
    <t>A3106</t>
  </si>
  <si>
    <t>A3107</t>
  </si>
  <si>
    <t>A3108</t>
  </si>
  <si>
    <t>A3109</t>
  </si>
  <si>
    <t>A3110</t>
  </si>
  <si>
    <t>A3111</t>
  </si>
  <si>
    <t>A3112</t>
  </si>
  <si>
    <t>A3113</t>
  </si>
  <si>
    <t>A3114</t>
  </si>
  <si>
    <t>A3115</t>
  </si>
  <si>
    <t>A3116</t>
  </si>
  <si>
    <t>A3117</t>
  </si>
  <si>
    <t>A3118</t>
  </si>
  <si>
    <t>A3119</t>
  </si>
  <si>
    <t>A3120</t>
  </si>
  <si>
    <t>A3121</t>
  </si>
  <si>
    <t>A3122</t>
  </si>
  <si>
    <t>A3123</t>
  </si>
  <si>
    <t>A3124</t>
  </si>
  <si>
    <t>A3125</t>
  </si>
  <si>
    <t>A3126</t>
  </si>
  <si>
    <t>A3127</t>
  </si>
  <si>
    <t>A3128</t>
  </si>
  <si>
    <t>A3129</t>
  </si>
  <si>
    <t>A3130</t>
  </si>
  <si>
    <t>A3131</t>
  </si>
  <si>
    <t>A3132</t>
  </si>
  <si>
    <t>A3133</t>
  </si>
  <si>
    <t>A3134</t>
  </si>
  <si>
    <t>A3135</t>
  </si>
  <si>
    <t>A3136</t>
  </si>
  <si>
    <t>A3137</t>
  </si>
  <si>
    <t>A3138</t>
  </si>
  <si>
    <t>A3139</t>
  </si>
  <si>
    <t>A3140</t>
  </si>
  <si>
    <t>A3141</t>
  </si>
  <si>
    <t>A3142</t>
  </si>
  <si>
    <t>A3143</t>
  </si>
  <si>
    <t>A3144</t>
  </si>
  <si>
    <t>A3145</t>
  </si>
  <si>
    <t>A3146</t>
  </si>
  <si>
    <t>A3147</t>
  </si>
  <si>
    <t>A3148</t>
  </si>
  <si>
    <t>A3149</t>
  </si>
  <si>
    <t>A3150</t>
  </si>
  <si>
    <t>A3151</t>
  </si>
  <si>
    <t>A3152</t>
  </si>
  <si>
    <t>A3153</t>
  </si>
  <si>
    <t>A3154</t>
  </si>
  <si>
    <t>A3155</t>
  </si>
  <si>
    <t>A3156</t>
  </si>
  <si>
    <t>A3157</t>
  </si>
  <si>
    <t>A3158</t>
  </si>
  <si>
    <t>A3159</t>
  </si>
  <si>
    <t>A3160</t>
  </si>
  <si>
    <t>A3161</t>
  </si>
  <si>
    <t>A3162</t>
  </si>
  <si>
    <t>A3163</t>
  </si>
  <si>
    <t>A3164</t>
  </si>
  <si>
    <t>A3165</t>
  </si>
  <si>
    <t>A3166</t>
  </si>
  <si>
    <t>A3167</t>
  </si>
  <si>
    <t>A3168</t>
  </si>
  <si>
    <t>A3169</t>
  </si>
  <si>
    <t>A3170</t>
  </si>
  <si>
    <t>A3171</t>
  </si>
  <si>
    <t>A3172</t>
  </si>
  <si>
    <t>A3173</t>
  </si>
  <si>
    <t>A3174</t>
  </si>
  <si>
    <t>A3175</t>
  </si>
  <si>
    <t>A3176</t>
  </si>
  <si>
    <t>A3177</t>
  </si>
  <si>
    <t>A3178</t>
  </si>
  <si>
    <t>A3179</t>
  </si>
  <si>
    <t>A3180</t>
  </si>
  <si>
    <t>A3181</t>
  </si>
  <si>
    <t>A3182</t>
  </si>
  <si>
    <t>A3183</t>
  </si>
  <si>
    <t>A3184</t>
  </si>
  <si>
    <t>A3185</t>
  </si>
  <si>
    <t>A3186</t>
  </si>
  <si>
    <t>A3187</t>
  </si>
  <si>
    <t>A3188</t>
  </si>
  <si>
    <t>A3189</t>
  </si>
  <si>
    <t>A3190</t>
  </si>
  <si>
    <t>A3191</t>
  </si>
  <si>
    <t>A3192</t>
  </si>
  <si>
    <t>A3193</t>
  </si>
  <si>
    <t>A3194</t>
  </si>
  <si>
    <t>A3195</t>
  </si>
  <si>
    <t>A3196</t>
  </si>
  <si>
    <t>A3197</t>
  </si>
  <si>
    <t>A3198</t>
  </si>
  <si>
    <t>A3199</t>
  </si>
  <si>
    <t>A3200</t>
  </si>
  <si>
    <t>A3201</t>
  </si>
  <si>
    <t>A3202</t>
  </si>
  <si>
    <t>A3203</t>
  </si>
  <si>
    <t>A3204</t>
  </si>
  <si>
    <t>A3205</t>
  </si>
  <si>
    <t>A3206</t>
  </si>
  <si>
    <t>A3207</t>
  </si>
  <si>
    <t>A3208</t>
  </si>
  <si>
    <t>A3209</t>
  </si>
  <si>
    <t>A3210</t>
  </si>
  <si>
    <t>A3211</t>
  </si>
  <si>
    <t>A3212</t>
  </si>
  <si>
    <t>A3213</t>
  </si>
  <si>
    <t>A3214</t>
  </si>
  <si>
    <t>A3215</t>
  </si>
  <si>
    <t>A3216</t>
  </si>
  <si>
    <t>A3217</t>
  </si>
  <si>
    <t>A3218</t>
  </si>
  <si>
    <t>A3219</t>
  </si>
  <si>
    <t>A3220</t>
  </si>
  <si>
    <t>A3221</t>
  </si>
  <si>
    <t>A3222</t>
  </si>
  <si>
    <t>A3223</t>
  </si>
  <si>
    <t>A3224</t>
  </si>
  <si>
    <t>A3225</t>
  </si>
  <si>
    <t>A3226</t>
  </si>
  <si>
    <t>A3227</t>
  </si>
  <si>
    <t>A3228</t>
  </si>
  <si>
    <t>A3229</t>
  </si>
  <si>
    <t>A3230</t>
  </si>
  <si>
    <t>A3231</t>
  </si>
  <si>
    <t>A3232</t>
  </si>
  <si>
    <t>A3233</t>
  </si>
  <si>
    <t>A3234</t>
  </si>
  <si>
    <t>A3235</t>
  </si>
  <si>
    <t>A3236</t>
  </si>
  <si>
    <t>A3237</t>
  </si>
  <si>
    <t>A3238</t>
  </si>
  <si>
    <t>A3239</t>
  </si>
  <si>
    <t>A3240</t>
  </si>
  <si>
    <t>A3241</t>
  </si>
  <si>
    <t>A3242</t>
  </si>
  <si>
    <t>A3243</t>
  </si>
  <si>
    <t>A3244</t>
  </si>
  <si>
    <t>A3245</t>
  </si>
  <si>
    <t>A3246</t>
  </si>
  <si>
    <t>A3247</t>
  </si>
  <si>
    <t>A3248</t>
  </si>
  <si>
    <t>A3249</t>
  </si>
  <si>
    <t>A3250</t>
  </si>
  <si>
    <t>A3251</t>
  </si>
  <si>
    <t>A3252</t>
  </si>
  <si>
    <t>A3253</t>
  </si>
  <si>
    <t>A3254</t>
  </si>
  <si>
    <t>A3255</t>
  </si>
  <si>
    <t>A3256</t>
  </si>
  <si>
    <t>A3257</t>
  </si>
  <si>
    <t>A3258</t>
  </si>
  <si>
    <t>A3259</t>
  </si>
  <si>
    <t>A3260</t>
  </si>
  <si>
    <t>A3261</t>
  </si>
  <si>
    <t>A3262</t>
  </si>
  <si>
    <t>A3263</t>
  </si>
  <si>
    <t>A3264</t>
  </si>
  <si>
    <t>A3265</t>
  </si>
  <si>
    <t>A3266</t>
  </si>
  <si>
    <t>A3267</t>
  </si>
  <si>
    <t>A3268</t>
  </si>
  <si>
    <t>A3269</t>
  </si>
  <si>
    <t>A3270</t>
  </si>
  <si>
    <t>A3271</t>
  </si>
  <si>
    <t>A3272</t>
  </si>
  <si>
    <t>A3273</t>
  </si>
  <si>
    <t>A3274</t>
  </si>
  <si>
    <t>A3275</t>
  </si>
  <si>
    <t>A3276</t>
  </si>
  <si>
    <t>A3277</t>
  </si>
  <si>
    <t>A3278</t>
  </si>
  <si>
    <t>A3279</t>
  </si>
  <si>
    <t>A3280</t>
  </si>
  <si>
    <t>A3281</t>
  </si>
  <si>
    <t>A3282</t>
  </si>
  <si>
    <t>A3283</t>
  </si>
  <si>
    <t>A3284</t>
  </si>
  <si>
    <t>A3285</t>
  </si>
  <si>
    <t>A3286</t>
  </si>
  <si>
    <t>A3287</t>
  </si>
  <si>
    <t>A3288</t>
  </si>
  <si>
    <t>A3289</t>
  </si>
  <si>
    <t>A3290</t>
  </si>
  <si>
    <t>A3291</t>
  </si>
  <si>
    <t>A3292</t>
  </si>
  <si>
    <t>A3293</t>
  </si>
  <si>
    <t>A3294</t>
  </si>
  <si>
    <t>A3295</t>
  </si>
  <si>
    <t>A3296</t>
  </si>
  <si>
    <t>A3297</t>
  </si>
  <si>
    <t>A3298</t>
  </si>
  <si>
    <t>A3299</t>
  </si>
  <si>
    <t>A3300</t>
  </si>
  <si>
    <t>A3301</t>
  </si>
  <si>
    <t>A3302</t>
  </si>
  <si>
    <t>A3303</t>
  </si>
  <si>
    <t>A3304</t>
  </si>
  <si>
    <t>A3305</t>
  </si>
  <si>
    <t>A3306</t>
  </si>
  <si>
    <t>A3307</t>
  </si>
  <si>
    <t>A3308</t>
  </si>
  <si>
    <t>A3309</t>
  </si>
  <si>
    <t>A3310</t>
  </si>
  <si>
    <t>A3311</t>
  </si>
  <si>
    <t>A3312</t>
  </si>
  <si>
    <t>A3313</t>
  </si>
  <si>
    <t>A3314</t>
  </si>
  <si>
    <t>A3315</t>
  </si>
  <si>
    <t>A3316</t>
  </si>
  <si>
    <t>A3317</t>
  </si>
  <si>
    <t>A3318</t>
  </si>
  <si>
    <t>A3319</t>
  </si>
  <si>
    <t>A3320</t>
  </si>
  <si>
    <t>A3321</t>
  </si>
  <si>
    <t>A3322</t>
  </si>
  <si>
    <t>A3323</t>
  </si>
  <si>
    <t>A3324</t>
  </si>
  <si>
    <t>A3325</t>
  </si>
  <si>
    <t>A3326</t>
  </si>
  <si>
    <t>A3327</t>
  </si>
  <si>
    <t>A3328</t>
  </si>
  <si>
    <t>A3329</t>
  </si>
  <si>
    <t>A3330</t>
  </si>
  <si>
    <t>A3331</t>
  </si>
  <si>
    <t>A3332</t>
  </si>
  <si>
    <t>A3333</t>
  </si>
  <si>
    <t>A3334</t>
  </si>
  <si>
    <t>A3335</t>
  </si>
  <si>
    <t>A3336</t>
  </si>
  <si>
    <t>A3337</t>
  </si>
  <si>
    <t>A3338</t>
  </si>
  <si>
    <t>A3339</t>
  </si>
  <si>
    <t>A3340</t>
  </si>
  <si>
    <t>A3341</t>
  </si>
  <si>
    <t>A3342</t>
  </si>
  <si>
    <t>A3343</t>
  </si>
  <si>
    <t>A3344</t>
  </si>
  <si>
    <t>A3345</t>
  </si>
  <si>
    <t>A3346</t>
  </si>
  <si>
    <t>A3347</t>
  </si>
  <si>
    <t>A3348</t>
  </si>
  <si>
    <t>A3349</t>
  </si>
  <si>
    <t>A3350</t>
  </si>
  <si>
    <t>A3351</t>
  </si>
  <si>
    <t>A3352</t>
  </si>
  <si>
    <t>A3353</t>
  </si>
  <si>
    <t>A3354</t>
  </si>
  <si>
    <t>A3355</t>
  </si>
  <si>
    <t>A3356</t>
  </si>
  <si>
    <t>A3357</t>
  </si>
  <si>
    <t>A3358</t>
  </si>
  <si>
    <t>A3359</t>
  </si>
  <si>
    <t>A3360</t>
  </si>
  <si>
    <t>A3361</t>
  </si>
  <si>
    <t>A3362</t>
  </si>
  <si>
    <t>A3363</t>
  </si>
  <si>
    <t>A3364</t>
  </si>
  <si>
    <t>A3365</t>
  </si>
  <si>
    <t>A3366</t>
  </si>
  <si>
    <t>A3367</t>
  </si>
  <si>
    <t>A3368</t>
  </si>
  <si>
    <t>A3369</t>
  </si>
  <si>
    <t>A3370</t>
  </si>
  <si>
    <t>A3371</t>
  </si>
  <si>
    <t>A3372</t>
  </si>
  <si>
    <t>A3373</t>
  </si>
  <si>
    <t>A3374</t>
  </si>
  <si>
    <t>A3375</t>
  </si>
  <si>
    <t>A3376</t>
  </si>
  <si>
    <t>A3377</t>
  </si>
  <si>
    <t>A3378</t>
  </si>
  <si>
    <t>A3379</t>
  </si>
  <si>
    <t>A3380</t>
  </si>
  <si>
    <t>A3381</t>
  </si>
  <si>
    <t>A3382</t>
  </si>
  <si>
    <t>A3383</t>
  </si>
  <si>
    <t>A3384</t>
  </si>
  <si>
    <t>A3385</t>
  </si>
  <si>
    <t>A3386</t>
  </si>
  <si>
    <t>A3387</t>
  </si>
  <si>
    <t>A3388</t>
  </si>
  <si>
    <t>A3389</t>
  </si>
  <si>
    <t>A3390</t>
  </si>
  <si>
    <t>A3391</t>
  </si>
  <si>
    <t>A3392</t>
  </si>
  <si>
    <t>A3393</t>
  </si>
  <si>
    <t>A3394</t>
  </si>
  <si>
    <t>A3395</t>
  </si>
  <si>
    <t>A3396</t>
  </si>
  <si>
    <t>A3397</t>
  </si>
  <si>
    <t>A3398</t>
  </si>
  <si>
    <t>A3399</t>
  </si>
  <si>
    <t>A3400</t>
  </si>
  <si>
    <t>A3401</t>
  </si>
  <si>
    <t>A3402</t>
  </si>
  <si>
    <t>A3403</t>
  </si>
  <si>
    <t>A3404</t>
  </si>
  <si>
    <t>A3405</t>
  </si>
  <si>
    <t>A3406</t>
  </si>
  <si>
    <t>A3407</t>
  </si>
  <si>
    <t>A3408</t>
  </si>
  <si>
    <t>A3409</t>
  </si>
  <si>
    <t>A3410</t>
  </si>
  <si>
    <t>A3411</t>
  </si>
  <si>
    <t>A3412</t>
  </si>
  <si>
    <t>A3413</t>
  </si>
  <si>
    <t>A3414</t>
  </si>
  <si>
    <t>A3415</t>
  </si>
  <si>
    <t>A3416</t>
  </si>
  <si>
    <t>A3417</t>
  </si>
  <si>
    <t>A3418</t>
  </si>
  <si>
    <t>A3419</t>
  </si>
  <si>
    <t>A3420</t>
  </si>
  <si>
    <t>A3421</t>
  </si>
  <si>
    <t>A3422</t>
  </si>
  <si>
    <t>A3423</t>
  </si>
  <si>
    <t>A3424</t>
  </si>
  <si>
    <t>A3425</t>
  </si>
  <si>
    <t>A3426</t>
  </si>
  <si>
    <t>A3427</t>
  </si>
  <si>
    <t>A3428</t>
  </si>
  <si>
    <t>A3429</t>
  </si>
  <si>
    <t>A3430</t>
  </si>
  <si>
    <t>A3431</t>
  </si>
  <si>
    <t>A3432</t>
  </si>
  <si>
    <t>A3433</t>
  </si>
  <si>
    <t>A3434</t>
  </si>
  <si>
    <t>A3435</t>
  </si>
  <si>
    <t>A3436</t>
  </si>
  <si>
    <t>A3437</t>
  </si>
  <si>
    <t>A3438</t>
  </si>
  <si>
    <t>A3439</t>
  </si>
  <si>
    <t>A3440</t>
  </si>
  <si>
    <t>A3441</t>
  </si>
  <si>
    <t>A3442</t>
  </si>
  <si>
    <t>A3443</t>
  </si>
  <si>
    <t>A3444</t>
  </si>
  <si>
    <t>A3445</t>
  </si>
  <si>
    <t>A3446</t>
  </si>
  <si>
    <t>A3447</t>
  </si>
  <si>
    <t>A3448</t>
  </si>
  <si>
    <t>A3449</t>
  </si>
  <si>
    <t>A3450</t>
  </si>
  <si>
    <t>A3451</t>
  </si>
  <si>
    <t>A3452</t>
  </si>
  <si>
    <t>A3453</t>
  </si>
  <si>
    <t>A3454</t>
  </si>
  <si>
    <t>A3455</t>
  </si>
  <si>
    <t>A3456</t>
  </si>
  <si>
    <t>A3457</t>
  </si>
  <si>
    <t>A3458</t>
  </si>
  <si>
    <t>A3459</t>
  </si>
  <si>
    <t>A3460</t>
  </si>
  <si>
    <t>A3461</t>
  </si>
  <si>
    <t>A3462</t>
  </si>
  <si>
    <t>A3463</t>
  </si>
  <si>
    <t>A3464</t>
  </si>
  <si>
    <t>A3465</t>
  </si>
  <si>
    <t>A3466</t>
  </si>
  <si>
    <t>A3467</t>
  </si>
  <si>
    <t>A3468</t>
  </si>
  <si>
    <t>A3469</t>
  </si>
  <si>
    <t>A3470</t>
  </si>
  <si>
    <t>A3471</t>
  </si>
  <si>
    <t>A3472</t>
  </si>
  <si>
    <t>A3473</t>
  </si>
  <si>
    <t>A3474</t>
  </si>
  <si>
    <t>A3475</t>
  </si>
  <si>
    <t>A3476</t>
  </si>
  <si>
    <t>A3477</t>
  </si>
  <si>
    <t>A3478</t>
  </si>
  <si>
    <t>A3479</t>
  </si>
  <si>
    <t>A3480</t>
  </si>
  <si>
    <t>A3481</t>
  </si>
  <si>
    <t>A3482</t>
  </si>
  <si>
    <t>A3483</t>
  </si>
  <si>
    <t>A3484</t>
  </si>
  <si>
    <t>A3485</t>
  </si>
  <si>
    <t>A3486</t>
  </si>
  <si>
    <t>A3487</t>
  </si>
  <si>
    <t>A3488</t>
  </si>
  <si>
    <t>A3489</t>
  </si>
  <si>
    <t>A3490</t>
  </si>
  <si>
    <t>A3491</t>
  </si>
  <si>
    <t>A3492</t>
  </si>
  <si>
    <t>A3493</t>
  </si>
  <si>
    <t>A3494</t>
  </si>
  <si>
    <t>A3495</t>
  </si>
  <si>
    <t>A3496</t>
  </si>
  <si>
    <t>A3497</t>
  </si>
  <si>
    <t>A3498</t>
  </si>
  <si>
    <t>A3499</t>
  </si>
  <si>
    <t>A3500</t>
  </si>
  <si>
    <t>A3501</t>
  </si>
  <si>
    <t>A3502</t>
  </si>
  <si>
    <t>A3503</t>
  </si>
  <si>
    <t>A3504</t>
  </si>
  <si>
    <t>A3505</t>
  </si>
  <si>
    <t>A3506</t>
  </si>
  <si>
    <t>A3507</t>
  </si>
  <si>
    <t>A3508</t>
  </si>
  <si>
    <t>A3509</t>
  </si>
  <si>
    <t>A3510</t>
  </si>
  <si>
    <t>A3511</t>
  </si>
  <si>
    <t>A3512</t>
  </si>
  <si>
    <t>A3513</t>
  </si>
  <si>
    <t>A3514</t>
  </si>
  <si>
    <t>A3515</t>
  </si>
  <si>
    <t>A3516</t>
  </si>
  <si>
    <t>A3517</t>
  </si>
  <si>
    <t>A3518</t>
  </si>
  <si>
    <t>A3519</t>
  </si>
  <si>
    <t>A3520</t>
  </si>
  <si>
    <t>A3521</t>
  </si>
  <si>
    <t>A3522</t>
  </si>
  <si>
    <t>A3523</t>
  </si>
  <si>
    <t>A3524</t>
  </si>
  <si>
    <t>A3525</t>
  </si>
  <si>
    <t>A3526</t>
  </si>
  <si>
    <t>A3527</t>
  </si>
  <si>
    <t>A3528</t>
  </si>
  <si>
    <t>A3529</t>
  </si>
  <si>
    <t>A3530</t>
  </si>
  <si>
    <t>A3531</t>
  </si>
  <si>
    <t>A3532</t>
  </si>
  <si>
    <t>A3533</t>
  </si>
  <si>
    <t>A3534</t>
  </si>
  <si>
    <t>A3535</t>
  </si>
  <si>
    <t>A3536</t>
  </si>
  <si>
    <t>A3537</t>
  </si>
  <si>
    <t>A3538</t>
  </si>
  <si>
    <t>A3539</t>
  </si>
  <si>
    <t>A3540</t>
  </si>
  <si>
    <t>A3541</t>
  </si>
  <si>
    <t>A3542</t>
  </si>
  <si>
    <t>A3543</t>
  </si>
  <si>
    <t>A3544</t>
  </si>
  <si>
    <t>A3545</t>
  </si>
  <si>
    <t>A3546</t>
  </si>
  <si>
    <t>A3547</t>
  </si>
  <si>
    <t>A3548</t>
  </si>
  <si>
    <t>A3549</t>
  </si>
  <si>
    <t>A3550</t>
  </si>
  <si>
    <t>A3551</t>
  </si>
  <si>
    <t>A3552</t>
  </si>
  <si>
    <t>A3553</t>
  </si>
  <si>
    <t>A3554</t>
  </si>
  <si>
    <t>A3555</t>
  </si>
  <si>
    <t>A3556</t>
  </si>
  <si>
    <t>A3557</t>
  </si>
  <si>
    <t>A3558</t>
  </si>
  <si>
    <t>A3559</t>
  </si>
  <si>
    <t>A3560</t>
  </si>
  <si>
    <t>A3561</t>
  </si>
  <si>
    <t>A3562</t>
  </si>
  <si>
    <t>A3563</t>
  </si>
  <si>
    <t>A3564</t>
  </si>
  <si>
    <t>A3565</t>
  </si>
  <si>
    <t>A3566</t>
  </si>
  <si>
    <t>A3567</t>
  </si>
  <si>
    <t>A3568</t>
  </si>
  <si>
    <t>A3569</t>
  </si>
  <si>
    <t>A3570</t>
  </si>
  <si>
    <t>A3571</t>
  </si>
  <si>
    <t>A3572</t>
  </si>
  <si>
    <t>A3573</t>
  </si>
  <si>
    <t>A3574</t>
  </si>
  <si>
    <t>A3575</t>
  </si>
  <si>
    <t>A3576</t>
  </si>
  <si>
    <t>A3577</t>
  </si>
  <si>
    <t>A3578</t>
  </si>
  <si>
    <t>A3579</t>
  </si>
  <si>
    <t>A3580</t>
  </si>
  <si>
    <t>A3581</t>
  </si>
  <si>
    <t>A3582</t>
  </si>
  <si>
    <t>A3583</t>
  </si>
  <si>
    <t>A3584</t>
  </si>
  <si>
    <t>A3585</t>
  </si>
  <si>
    <t>A3586</t>
  </si>
  <si>
    <t>A3587</t>
  </si>
  <si>
    <t>A3588</t>
  </si>
  <si>
    <t>A3589</t>
  </si>
  <si>
    <t>A3590</t>
  </si>
  <si>
    <t>A3591</t>
  </si>
  <si>
    <t>A3592</t>
  </si>
  <si>
    <t>A3593</t>
  </si>
  <si>
    <t>A3594</t>
  </si>
  <si>
    <t>A3595</t>
  </si>
  <si>
    <t>A3596</t>
  </si>
  <si>
    <t>A3597</t>
  </si>
  <si>
    <t>A3598</t>
  </si>
  <si>
    <t>A3599</t>
  </si>
  <si>
    <t>A3600</t>
  </si>
  <si>
    <t>A3601</t>
  </si>
  <si>
    <t>A3602</t>
  </si>
  <si>
    <t>A3603</t>
  </si>
  <si>
    <t>A3604</t>
  </si>
  <si>
    <t>A3605</t>
  </si>
  <si>
    <t>A3606</t>
  </si>
  <si>
    <t>A3607</t>
  </si>
  <si>
    <t>A3608</t>
  </si>
  <si>
    <t>A3609</t>
  </si>
  <si>
    <t>A3610</t>
  </si>
  <si>
    <t>A3611</t>
  </si>
  <si>
    <t>A3612</t>
  </si>
  <si>
    <t>A3613</t>
  </si>
  <si>
    <t>A3614</t>
  </si>
  <si>
    <t>A3615</t>
  </si>
  <si>
    <t>A3616</t>
  </si>
  <si>
    <t>A3617</t>
  </si>
  <si>
    <t>A3618</t>
  </si>
  <si>
    <t>A3619</t>
  </si>
  <si>
    <t>A3620</t>
  </si>
  <si>
    <t>A3621</t>
  </si>
  <si>
    <t>A3622</t>
  </si>
  <si>
    <t>A3623</t>
  </si>
  <si>
    <t>A3624</t>
  </si>
  <si>
    <t>A3625</t>
  </si>
  <si>
    <t>A3626</t>
  </si>
  <si>
    <t>A3627</t>
  </si>
  <si>
    <t>A3628</t>
  </si>
  <si>
    <t>A3629</t>
  </si>
  <si>
    <t>A3630</t>
  </si>
  <si>
    <t>A3631</t>
  </si>
  <si>
    <t>A3632</t>
  </si>
  <si>
    <t>A3633</t>
  </si>
  <si>
    <t>A3634</t>
  </si>
  <si>
    <t>A3635</t>
  </si>
  <si>
    <t>A3636</t>
  </si>
  <si>
    <t>A3637</t>
  </si>
  <si>
    <t>A3638</t>
  </si>
  <si>
    <t>A3639</t>
  </si>
  <si>
    <t>A3640</t>
  </si>
  <si>
    <t>A3641</t>
  </si>
  <si>
    <t>A3642</t>
  </si>
  <si>
    <t>A3643</t>
  </si>
  <si>
    <t>A3644</t>
  </si>
  <si>
    <t>A3645</t>
  </si>
  <si>
    <t>A3646</t>
  </si>
  <si>
    <t>A3647</t>
  </si>
  <si>
    <t>A3648</t>
  </si>
  <si>
    <t>A3649</t>
  </si>
  <si>
    <t>A3650</t>
  </si>
  <si>
    <t>A3651</t>
  </si>
  <si>
    <t>A3652</t>
  </si>
  <si>
    <t>A3653</t>
  </si>
  <si>
    <t>A3654</t>
  </si>
  <si>
    <t>A3655</t>
  </si>
  <si>
    <t>A3656</t>
  </si>
  <si>
    <t>A3657</t>
  </si>
  <si>
    <t>A3658</t>
  </si>
  <si>
    <t>A3659</t>
  </si>
  <si>
    <t>A3660</t>
  </si>
  <si>
    <t>A3661</t>
  </si>
  <si>
    <t>A3662</t>
  </si>
  <si>
    <t>A3663</t>
  </si>
  <si>
    <t>A3664</t>
  </si>
  <si>
    <t>A3665</t>
  </si>
  <si>
    <t>A3666</t>
  </si>
  <si>
    <t>A3667</t>
  </si>
  <si>
    <t>A3668</t>
  </si>
  <si>
    <t>A3669</t>
  </si>
  <si>
    <t>A3670</t>
  </si>
  <si>
    <t>A3671</t>
  </si>
  <si>
    <t>A3672</t>
  </si>
  <si>
    <t>A3673</t>
  </si>
  <si>
    <t>A3674</t>
  </si>
  <si>
    <t>A3675</t>
  </si>
  <si>
    <t>A3676</t>
  </si>
  <si>
    <t>A3677</t>
  </si>
  <si>
    <t>A3678</t>
  </si>
  <si>
    <t>A3679</t>
  </si>
  <si>
    <t>A3680</t>
  </si>
  <si>
    <t>A3681</t>
  </si>
  <si>
    <t>A3682</t>
  </si>
  <si>
    <t>A3683</t>
  </si>
  <si>
    <t>A3684</t>
  </si>
  <si>
    <t>A3685</t>
  </si>
  <si>
    <t>A3686</t>
  </si>
  <si>
    <t>A3687</t>
  </si>
  <si>
    <t>A3688</t>
  </si>
  <si>
    <t>A3689</t>
  </si>
  <si>
    <t>A3690</t>
  </si>
  <si>
    <t>A3691</t>
  </si>
  <si>
    <t>A3692</t>
  </si>
  <si>
    <t>A3693</t>
  </si>
  <si>
    <t>A3694</t>
  </si>
  <si>
    <t>A3695</t>
  </si>
  <si>
    <t>A3696</t>
  </si>
  <si>
    <t>A3697</t>
  </si>
  <si>
    <t>A3698</t>
  </si>
  <si>
    <t>A3699</t>
  </si>
  <si>
    <t>A3700</t>
  </si>
  <si>
    <t>A3701</t>
  </si>
  <si>
    <t>A3702</t>
  </si>
  <si>
    <t>A3703</t>
  </si>
  <si>
    <t>A3704</t>
  </si>
  <si>
    <t>A3705</t>
  </si>
  <si>
    <t>A3706</t>
  </si>
  <si>
    <t>A3707</t>
  </si>
  <si>
    <t>A3708</t>
  </si>
  <si>
    <t>A3709</t>
  </si>
  <si>
    <t>A3710</t>
  </si>
  <si>
    <t>A3711</t>
  </si>
  <si>
    <t>A3712</t>
  </si>
  <si>
    <t>A3713</t>
  </si>
  <si>
    <t>A3714</t>
  </si>
  <si>
    <t>A3715</t>
  </si>
  <si>
    <t>A3716</t>
  </si>
  <si>
    <t>A3717</t>
  </si>
  <si>
    <t>A3718</t>
  </si>
  <si>
    <t>A3719</t>
  </si>
  <si>
    <t>A3720</t>
  </si>
  <si>
    <t>A3721</t>
  </si>
  <si>
    <t>A3722</t>
  </si>
  <si>
    <t>A3723</t>
  </si>
  <si>
    <t>A3724</t>
  </si>
  <si>
    <t>A3725</t>
  </si>
  <si>
    <t>A3726</t>
  </si>
  <si>
    <t>A3727</t>
  </si>
  <si>
    <t>A3728</t>
  </si>
  <si>
    <t>A3729</t>
  </si>
  <si>
    <t>A3730</t>
  </si>
  <si>
    <t>A3731</t>
  </si>
  <si>
    <t>A3732</t>
  </si>
  <si>
    <t>A3733</t>
  </si>
  <si>
    <t>A3734</t>
  </si>
  <si>
    <t>A3735</t>
  </si>
  <si>
    <t>A3736</t>
  </si>
  <si>
    <t>A3737</t>
  </si>
  <si>
    <t>A3738</t>
  </si>
  <si>
    <t>A3739</t>
  </si>
  <si>
    <t>A3740</t>
  </si>
  <si>
    <t>A3741</t>
  </si>
  <si>
    <t>A3742</t>
  </si>
  <si>
    <t>A3743</t>
  </si>
  <si>
    <t>A3744</t>
  </si>
  <si>
    <t>A3745</t>
  </si>
  <si>
    <t>A3746</t>
  </si>
  <si>
    <t>A3747</t>
  </si>
  <si>
    <t>A3748</t>
  </si>
  <si>
    <t>A3749</t>
  </si>
  <si>
    <t>A3750</t>
  </si>
  <si>
    <t>A3751</t>
  </si>
  <si>
    <t>A3752</t>
  </si>
  <si>
    <t>A3753</t>
  </si>
  <si>
    <t>A3754</t>
  </si>
  <si>
    <t>A3755</t>
  </si>
  <si>
    <t>A3756</t>
  </si>
  <si>
    <t>A3757</t>
  </si>
  <si>
    <t>A3758</t>
  </si>
  <si>
    <t>A3759</t>
  </si>
  <si>
    <t>A3760</t>
  </si>
  <si>
    <t>A3761</t>
  </si>
  <si>
    <t>A3762</t>
  </si>
  <si>
    <t>A3763</t>
  </si>
  <si>
    <t>A3764</t>
  </si>
  <si>
    <t>A3765</t>
  </si>
  <si>
    <t>A3766</t>
  </si>
  <si>
    <t>A3767</t>
  </si>
  <si>
    <t>A3768</t>
  </si>
  <si>
    <t>A3769</t>
  </si>
  <si>
    <t>A3770</t>
  </si>
  <si>
    <t>A3771</t>
  </si>
  <si>
    <t>A3772</t>
  </si>
  <si>
    <t>A3773</t>
  </si>
  <si>
    <t>A3774</t>
  </si>
  <si>
    <t>A3775</t>
  </si>
  <si>
    <t>A3776</t>
  </si>
  <si>
    <t>A3777</t>
  </si>
  <si>
    <t>A3778</t>
  </si>
  <si>
    <t>A3779</t>
  </si>
  <si>
    <t>A3780</t>
  </si>
  <si>
    <t>A3781</t>
  </si>
  <si>
    <t>A3782</t>
  </si>
  <si>
    <t>A3783</t>
  </si>
  <si>
    <t>A3784</t>
  </si>
  <si>
    <t>A3785</t>
  </si>
  <si>
    <t>A3786</t>
  </si>
  <si>
    <t>A3787</t>
  </si>
  <si>
    <t>A3788</t>
  </si>
  <si>
    <t>A3789</t>
  </si>
  <si>
    <t>A3790</t>
  </si>
  <si>
    <t>A3791</t>
  </si>
  <si>
    <t>A3792</t>
  </si>
  <si>
    <t>A3793</t>
  </si>
  <si>
    <t>A3794</t>
  </si>
  <si>
    <t>A3795</t>
  </si>
  <si>
    <t>A3796</t>
  </si>
  <si>
    <t>A3797</t>
  </si>
  <si>
    <t>A3798</t>
  </si>
  <si>
    <t>A3799</t>
  </si>
  <si>
    <t>A3800</t>
  </si>
  <si>
    <t>A3801</t>
  </si>
  <si>
    <t>A3802</t>
  </si>
  <si>
    <t>A3803</t>
  </si>
  <si>
    <t>A3804</t>
  </si>
  <si>
    <t>A3805</t>
  </si>
  <si>
    <t>A3806</t>
  </si>
  <si>
    <t>A3807</t>
  </si>
  <si>
    <t>A3808</t>
  </si>
  <si>
    <t>A3809</t>
  </si>
  <si>
    <t>A3810</t>
  </si>
  <si>
    <t>A3811</t>
  </si>
  <si>
    <t>A3812</t>
  </si>
  <si>
    <t>A3813</t>
  </si>
  <si>
    <t>A3814</t>
  </si>
  <si>
    <t>A3815</t>
  </si>
  <si>
    <t>A3816</t>
  </si>
  <si>
    <t>A3817</t>
  </si>
  <si>
    <t>A3818</t>
  </si>
  <si>
    <t>A3819</t>
  </si>
  <si>
    <t>A3820</t>
  </si>
  <si>
    <t>A3821</t>
  </si>
  <si>
    <t>A3822</t>
  </si>
  <si>
    <t>A3823</t>
  </si>
  <si>
    <t>A3824</t>
  </si>
  <si>
    <t>A3825</t>
  </si>
  <si>
    <t>A3826</t>
  </si>
  <si>
    <t>A3827</t>
  </si>
  <si>
    <t>A3828</t>
  </si>
  <si>
    <t>A3829</t>
  </si>
  <si>
    <t>A3830</t>
  </si>
  <si>
    <t>A3831</t>
  </si>
  <si>
    <t>A3832</t>
  </si>
  <si>
    <t>A3833</t>
  </si>
  <si>
    <t>A3834</t>
  </si>
  <si>
    <t>A3835</t>
  </si>
  <si>
    <t>A3836</t>
  </si>
  <si>
    <t>A3837</t>
  </si>
  <si>
    <t>A3838</t>
  </si>
  <si>
    <t>A3839</t>
  </si>
  <si>
    <t>A3840</t>
  </si>
  <si>
    <t>A3841</t>
  </si>
  <si>
    <t>A3842</t>
  </si>
  <si>
    <t>A3843</t>
  </si>
  <si>
    <t>A3844</t>
  </si>
  <si>
    <t>A3845</t>
  </si>
  <si>
    <t>A3846</t>
  </si>
  <si>
    <t>A3847</t>
  </si>
  <si>
    <t>A3848</t>
  </si>
  <si>
    <t>A3849</t>
  </si>
  <si>
    <t>A3850</t>
  </si>
  <si>
    <t>A3851</t>
  </si>
  <si>
    <t>A3852</t>
  </si>
  <si>
    <t>A3853</t>
  </si>
  <si>
    <t>A3854</t>
  </si>
  <si>
    <t>A3855</t>
  </si>
  <si>
    <t>A3856</t>
  </si>
  <si>
    <t>A3857</t>
  </si>
  <si>
    <t>A3858</t>
  </si>
  <si>
    <t>A3859</t>
  </si>
  <si>
    <t>A3860</t>
  </si>
  <si>
    <t>A3861</t>
  </si>
  <si>
    <t>A3862</t>
  </si>
  <si>
    <t>A3863</t>
  </si>
  <si>
    <t>A3864</t>
  </si>
  <si>
    <t>A3865</t>
  </si>
  <si>
    <t>A3866</t>
  </si>
  <si>
    <t>A3867</t>
  </si>
  <si>
    <t>A3868</t>
  </si>
  <si>
    <t>A3869</t>
  </si>
  <si>
    <t>A3870</t>
  </si>
  <si>
    <t>A3871</t>
  </si>
  <si>
    <t>A3872</t>
  </si>
  <si>
    <t>A3873</t>
  </si>
  <si>
    <t>A3874</t>
  </si>
  <si>
    <t>A3875</t>
  </si>
  <si>
    <t>A3876</t>
  </si>
  <si>
    <t>A3877</t>
  </si>
  <si>
    <t>A3878</t>
  </si>
  <si>
    <t>A3879</t>
  </si>
  <si>
    <t>A3880</t>
  </si>
  <si>
    <t>A3881</t>
  </si>
  <si>
    <t>A3882</t>
  </si>
  <si>
    <t>A3883</t>
  </si>
  <si>
    <t>A3884</t>
  </si>
  <si>
    <t>A3885</t>
  </si>
  <si>
    <t>A3886</t>
  </si>
  <si>
    <t>A3887</t>
  </si>
  <si>
    <t>A3888</t>
  </si>
  <si>
    <t>A3889</t>
  </si>
  <si>
    <t>A3890</t>
  </si>
  <si>
    <t>A3891</t>
  </si>
  <si>
    <t>A3892</t>
  </si>
  <si>
    <t>A3893</t>
  </si>
  <si>
    <t>A3894</t>
  </si>
  <si>
    <t>A3895</t>
  </si>
  <si>
    <t>A3896</t>
  </si>
  <si>
    <t>A3897</t>
  </si>
  <si>
    <t>A3898</t>
  </si>
  <si>
    <t>A3899</t>
  </si>
  <si>
    <t>A3900</t>
  </si>
  <si>
    <t>A3901</t>
  </si>
  <si>
    <t>A3902</t>
  </si>
  <si>
    <t>A3903</t>
  </si>
  <si>
    <t>A3904</t>
  </si>
  <si>
    <t>A3905</t>
  </si>
  <si>
    <t>A3906</t>
  </si>
  <si>
    <t>A3907</t>
  </si>
  <si>
    <t>A3908</t>
  </si>
  <si>
    <t>A3909</t>
  </si>
  <si>
    <t>A3910</t>
  </si>
  <si>
    <t>A3911</t>
  </si>
  <si>
    <t>A3912</t>
  </si>
  <si>
    <t>A3913</t>
  </si>
  <si>
    <t>A3914</t>
  </si>
  <si>
    <t>A3915</t>
  </si>
  <si>
    <t>A3916</t>
  </si>
  <si>
    <t>A3917</t>
  </si>
  <si>
    <t>A3918</t>
  </si>
  <si>
    <t>A3919</t>
  </si>
  <si>
    <t>A3920</t>
  </si>
  <si>
    <t>A3921</t>
  </si>
  <si>
    <t>A3922</t>
  </si>
  <si>
    <t>A3923</t>
  </si>
  <si>
    <t>A3924</t>
  </si>
  <si>
    <t>A3925</t>
  </si>
  <si>
    <t>A3926</t>
  </si>
  <si>
    <t>A3927</t>
  </si>
  <si>
    <t>A3928</t>
  </si>
  <si>
    <t>A3929</t>
  </si>
  <si>
    <t>A3930</t>
  </si>
  <si>
    <t>A3931</t>
  </si>
  <si>
    <t>A3932</t>
  </si>
  <si>
    <t>A3933</t>
  </si>
  <si>
    <t>A3934</t>
  </si>
  <si>
    <t>A3935</t>
  </si>
  <si>
    <t>A3936</t>
  </si>
  <si>
    <t>A3937</t>
  </si>
  <si>
    <t>A3938</t>
  </si>
  <si>
    <t>A3939</t>
  </si>
  <si>
    <t>A3940</t>
  </si>
  <si>
    <t>A3941</t>
  </si>
  <si>
    <t>A3942</t>
  </si>
  <si>
    <t>A3943</t>
  </si>
  <si>
    <t>A3944</t>
  </si>
  <si>
    <t>A3945</t>
  </si>
  <si>
    <t>A3946</t>
  </si>
  <si>
    <t>A3947</t>
  </si>
  <si>
    <t>A3948</t>
  </si>
  <si>
    <t>A3949</t>
  </si>
  <si>
    <t>A3950</t>
  </si>
  <si>
    <t>A3951</t>
  </si>
  <si>
    <t>A3952</t>
  </si>
  <si>
    <t>A3953</t>
  </si>
  <si>
    <t>A3954</t>
  </si>
  <si>
    <t>A3955</t>
  </si>
  <si>
    <t>A3956</t>
  </si>
  <si>
    <t>A3957</t>
  </si>
  <si>
    <t>A3958</t>
  </si>
  <si>
    <t>A3959</t>
  </si>
  <si>
    <t>A3960</t>
  </si>
  <si>
    <t>A3961</t>
  </si>
  <si>
    <t>A3962</t>
  </si>
  <si>
    <t>A3963</t>
  </si>
  <si>
    <t>A3964</t>
  </si>
  <si>
    <t>A3965</t>
  </si>
  <si>
    <t>A3966</t>
  </si>
  <si>
    <t>A3967</t>
  </si>
  <si>
    <t>A3968</t>
  </si>
  <si>
    <t>A3969</t>
  </si>
  <si>
    <t>A3970</t>
  </si>
  <si>
    <t>A3971</t>
  </si>
  <si>
    <t>A3972</t>
  </si>
  <si>
    <t>A3973</t>
  </si>
  <si>
    <t>A3974</t>
  </si>
  <si>
    <t>A3975</t>
  </si>
  <si>
    <t>A3976</t>
  </si>
  <si>
    <t>A3977</t>
  </si>
  <si>
    <t>A3978</t>
  </si>
  <si>
    <t>A3979</t>
  </si>
  <si>
    <t>A3980</t>
  </si>
  <si>
    <t>A3981</t>
  </si>
  <si>
    <t>A3982</t>
  </si>
  <si>
    <t>A3983</t>
  </si>
  <si>
    <t>A3984</t>
  </si>
  <si>
    <t>A3985</t>
  </si>
  <si>
    <t>A3986</t>
  </si>
  <si>
    <t>A3987</t>
  </si>
  <si>
    <t>A3988</t>
  </si>
  <si>
    <t>A3989</t>
  </si>
  <si>
    <t>A3990</t>
  </si>
  <si>
    <t>A3991</t>
  </si>
  <si>
    <t>A3992</t>
  </si>
  <si>
    <t>A3993</t>
  </si>
  <si>
    <t>A3994</t>
  </si>
  <si>
    <t>A3995</t>
  </si>
  <si>
    <t>A3996</t>
  </si>
  <si>
    <t>A3997</t>
  </si>
  <si>
    <t>A3998</t>
  </si>
  <si>
    <t>A3999</t>
  </si>
  <si>
    <t>A4000</t>
  </si>
  <si>
    <t>A4001</t>
  </si>
  <si>
    <t>A4002</t>
  </si>
  <si>
    <t>A4003</t>
  </si>
  <si>
    <t>A4004</t>
  </si>
  <si>
    <t>A4005</t>
  </si>
  <si>
    <t>A4006</t>
  </si>
  <si>
    <t>A4007</t>
  </si>
  <si>
    <t>A4008</t>
  </si>
  <si>
    <t>A4009</t>
  </si>
  <si>
    <t>A4010</t>
  </si>
  <si>
    <t>A4011</t>
  </si>
  <si>
    <t>A4012</t>
  </si>
  <si>
    <t>A4013</t>
  </si>
  <si>
    <t>A4014</t>
  </si>
  <si>
    <t>A4015</t>
  </si>
  <si>
    <t>A4016</t>
  </si>
  <si>
    <t>A4017</t>
  </si>
  <si>
    <t>A4018</t>
  </si>
  <si>
    <t>A4019</t>
  </si>
  <si>
    <t>A4020</t>
  </si>
  <si>
    <t>A4021</t>
  </si>
  <si>
    <t>A4022</t>
  </si>
  <si>
    <t>A4023</t>
  </si>
  <si>
    <t>A4024</t>
  </si>
  <si>
    <t>A4025</t>
  </si>
  <si>
    <t>A4026</t>
  </si>
  <si>
    <t>A4027</t>
  </si>
  <si>
    <t>A4028</t>
  </si>
  <si>
    <t>A4029</t>
  </si>
  <si>
    <t>A4030</t>
  </si>
  <si>
    <t>A4031</t>
  </si>
  <si>
    <t>A4032</t>
  </si>
  <si>
    <t>A4033</t>
  </si>
  <si>
    <t>A4034</t>
  </si>
  <si>
    <t>A4035</t>
  </si>
  <si>
    <t>A4036</t>
  </si>
  <si>
    <t>A4037</t>
  </si>
  <si>
    <t>A4038</t>
  </si>
  <si>
    <t>A4039</t>
  </si>
  <si>
    <t>A4040</t>
  </si>
  <si>
    <t>A4041</t>
  </si>
  <si>
    <t>A4042</t>
  </si>
  <si>
    <t>A4043</t>
  </si>
  <si>
    <t>A4044</t>
  </si>
  <si>
    <t>A4045</t>
  </si>
  <si>
    <t>A4046</t>
  </si>
  <si>
    <t>A4047</t>
  </si>
  <si>
    <t>A4048</t>
  </si>
  <si>
    <t>A4049</t>
  </si>
  <si>
    <t>A4050</t>
  </si>
  <si>
    <t>A4051</t>
  </si>
  <si>
    <t>A4052</t>
  </si>
  <si>
    <t>A4053</t>
  </si>
  <si>
    <t>A4054</t>
  </si>
  <si>
    <t>A4055</t>
  </si>
  <si>
    <t>A4056</t>
  </si>
  <si>
    <t>A4057</t>
  </si>
  <si>
    <t>A4058</t>
  </si>
  <si>
    <t>A4059</t>
  </si>
  <si>
    <t>A4060</t>
  </si>
  <si>
    <t>A4061</t>
  </si>
  <si>
    <t>A4062</t>
  </si>
  <si>
    <t>A4063</t>
  </si>
  <si>
    <t>A4064</t>
  </si>
  <si>
    <t>A4065</t>
  </si>
  <si>
    <t>A4066</t>
  </si>
  <si>
    <t>A4067</t>
  </si>
  <si>
    <t>A4068</t>
  </si>
  <si>
    <t>A4069</t>
  </si>
  <si>
    <t>A4070</t>
  </si>
  <si>
    <t>A4071</t>
  </si>
  <si>
    <t>A4072</t>
  </si>
  <si>
    <t>A4073</t>
  </si>
  <si>
    <t>A4074</t>
  </si>
  <si>
    <t>A4075</t>
  </si>
  <si>
    <t>A4076</t>
  </si>
  <si>
    <t>A4077</t>
  </si>
  <si>
    <t>A4078</t>
  </si>
  <si>
    <t>A4079</t>
  </si>
  <si>
    <t>A4080</t>
  </si>
  <si>
    <t>A4081</t>
  </si>
  <si>
    <t>A4082</t>
  </si>
  <si>
    <t>A4083</t>
  </si>
  <si>
    <t>A4084</t>
  </si>
  <si>
    <t>A4085</t>
  </si>
  <si>
    <t>A4086</t>
  </si>
  <si>
    <t>A4087</t>
  </si>
  <si>
    <t>A4088</t>
  </si>
  <si>
    <t>A4089</t>
  </si>
  <si>
    <t>A4090</t>
  </si>
  <si>
    <t>A4091</t>
  </si>
  <si>
    <t>A4092</t>
  </si>
  <si>
    <t>A4093</t>
  </si>
  <si>
    <t>A4094</t>
  </si>
  <si>
    <t>A4095</t>
  </si>
  <si>
    <t>A4096</t>
  </si>
  <si>
    <t>A4097</t>
  </si>
  <si>
    <t>A4098</t>
  </si>
  <si>
    <t>A4099</t>
  </si>
  <si>
    <t>A4100</t>
  </si>
  <si>
    <t>A4101</t>
  </si>
  <si>
    <t>A4102</t>
  </si>
  <si>
    <t>A4103</t>
  </si>
  <si>
    <t>A4104</t>
  </si>
  <si>
    <t>A4105</t>
  </si>
  <si>
    <t>A4106</t>
  </si>
  <si>
    <t>A4107</t>
  </si>
  <si>
    <t>A4108</t>
  </si>
  <si>
    <t>A4109</t>
  </si>
  <si>
    <t>A4110</t>
  </si>
  <si>
    <t>A4111</t>
  </si>
  <si>
    <t>A4112</t>
  </si>
  <si>
    <t>A4113</t>
  </si>
  <si>
    <t>A4114</t>
  </si>
  <si>
    <t>A4115</t>
  </si>
  <si>
    <t>A4116</t>
  </si>
  <si>
    <t>A4117</t>
  </si>
  <si>
    <t>A4118</t>
  </si>
  <si>
    <t>A4119</t>
  </si>
  <si>
    <t>A4120</t>
  </si>
  <si>
    <t>A4121</t>
  </si>
  <si>
    <t>A4122</t>
  </si>
  <si>
    <t>A4123</t>
  </si>
  <si>
    <t>A4124</t>
  </si>
  <si>
    <t>A4125</t>
  </si>
  <si>
    <t>A4126</t>
  </si>
  <si>
    <t>A4127</t>
  </si>
  <si>
    <t>A4128</t>
  </si>
  <si>
    <t>A4129</t>
  </si>
  <si>
    <t>A4130</t>
  </si>
  <si>
    <t>A4131</t>
  </si>
  <si>
    <t>A4132</t>
  </si>
  <si>
    <t>A4133</t>
  </si>
  <si>
    <t>A4134</t>
  </si>
  <si>
    <t>A4135</t>
  </si>
  <si>
    <t>A4136</t>
  </si>
  <si>
    <t>A4137</t>
  </si>
  <si>
    <t>A4138</t>
  </si>
  <si>
    <t>A4139</t>
  </si>
  <si>
    <t>A4140</t>
  </si>
  <si>
    <t>A4141</t>
  </si>
  <si>
    <t>A4142</t>
  </si>
  <si>
    <t>A4143</t>
  </si>
  <si>
    <t>A4144</t>
  </si>
  <si>
    <t>A4145</t>
  </si>
  <si>
    <t>A4146</t>
  </si>
  <si>
    <t>A4147</t>
  </si>
  <si>
    <t>A4148</t>
  </si>
  <si>
    <t>A4149</t>
  </si>
  <si>
    <t>A4150</t>
  </si>
  <si>
    <t>A4151</t>
  </si>
  <si>
    <t>A4152</t>
  </si>
  <si>
    <t>A4153</t>
  </si>
  <si>
    <t>A4154</t>
  </si>
  <si>
    <t>A4155</t>
  </si>
  <si>
    <t>A4156</t>
  </si>
  <si>
    <t>A4157</t>
  </si>
  <si>
    <t>A4158</t>
  </si>
  <si>
    <t>A4159</t>
  </si>
  <si>
    <t>A4160</t>
  </si>
  <si>
    <t>A4161</t>
  </si>
  <si>
    <t>A4162</t>
  </si>
  <si>
    <t>A4163</t>
  </si>
  <si>
    <t>A4164</t>
  </si>
  <si>
    <t>A4165</t>
  </si>
  <si>
    <t>A4166</t>
  </si>
  <si>
    <t>A4167</t>
  </si>
  <si>
    <t>A4168</t>
  </si>
  <si>
    <t>A4169</t>
  </si>
  <si>
    <t>A4170</t>
  </si>
  <si>
    <t>A4171</t>
  </si>
  <si>
    <t>A4172</t>
  </si>
  <si>
    <t>A4173</t>
  </si>
  <si>
    <t>A4174</t>
  </si>
  <si>
    <t>A4175</t>
  </si>
  <si>
    <t>A4176</t>
  </si>
  <si>
    <t>A4177</t>
  </si>
  <si>
    <t>A4178</t>
  </si>
  <si>
    <t>A4179</t>
  </si>
  <si>
    <t>A4180</t>
  </si>
  <si>
    <t>A4181</t>
  </si>
  <si>
    <t>A4182</t>
  </si>
  <si>
    <t>A4183</t>
  </si>
  <si>
    <t>A4184</t>
  </si>
  <si>
    <t>A4185</t>
  </si>
  <si>
    <t>A4186</t>
  </si>
  <si>
    <t>A4187</t>
  </si>
  <si>
    <t>A4188</t>
  </si>
  <si>
    <t>A4189</t>
  </si>
  <si>
    <t>A4190</t>
  </si>
  <si>
    <t>A4191</t>
  </si>
  <si>
    <t>A4192</t>
  </si>
  <si>
    <t>A4193</t>
  </si>
  <si>
    <t>A4194</t>
  </si>
  <si>
    <t>A4195</t>
  </si>
  <si>
    <t>A4196</t>
  </si>
  <si>
    <t>A4197</t>
  </si>
  <si>
    <t>A4198</t>
  </si>
  <si>
    <t>A4199</t>
  </si>
  <si>
    <t>A4200</t>
  </si>
  <si>
    <t>A4201</t>
  </si>
  <si>
    <t>A4202</t>
  </si>
  <si>
    <t>A4203</t>
  </si>
  <si>
    <t>A4204</t>
  </si>
  <si>
    <t>A4205</t>
  </si>
  <si>
    <t>A4206</t>
  </si>
  <si>
    <t>A4207</t>
  </si>
  <si>
    <t>A4208</t>
  </si>
  <si>
    <t>A4209</t>
  </si>
  <si>
    <t>A4210</t>
  </si>
  <si>
    <t>A4211</t>
  </si>
  <si>
    <t>A4212</t>
  </si>
  <si>
    <t>A4213</t>
  </si>
  <si>
    <t>A4214</t>
  </si>
  <si>
    <t>A4215</t>
  </si>
  <si>
    <t>A4216</t>
  </si>
  <si>
    <t>A4217</t>
  </si>
  <si>
    <t>A4218</t>
  </si>
  <si>
    <t>A4219</t>
  </si>
  <si>
    <t>A4220</t>
  </si>
  <si>
    <t>A4221</t>
  </si>
  <si>
    <t>A4222</t>
  </si>
  <si>
    <t>A4223</t>
  </si>
  <si>
    <t>A4224</t>
  </si>
  <si>
    <t>A4225</t>
  </si>
  <si>
    <t>A4226</t>
  </si>
  <si>
    <t>A4227</t>
  </si>
  <si>
    <t>A4228</t>
  </si>
  <si>
    <t>A4229</t>
  </si>
  <si>
    <t>A4230</t>
  </si>
  <si>
    <t>A4231</t>
  </si>
  <si>
    <t>A4232</t>
  </si>
  <si>
    <t>A4233</t>
  </si>
  <si>
    <t>A4234</t>
  </si>
  <si>
    <t>A4235</t>
  </si>
  <si>
    <t>A4236</t>
  </si>
  <si>
    <t>A4237</t>
  </si>
  <si>
    <t>A4238</t>
  </si>
  <si>
    <t>A4239</t>
  </si>
  <si>
    <t>A4240</t>
  </si>
  <si>
    <t>A4241</t>
  </si>
  <si>
    <t>A4242</t>
  </si>
  <si>
    <t>A4243</t>
  </si>
  <si>
    <t>A4244</t>
  </si>
  <si>
    <t>A4245</t>
  </si>
  <si>
    <t>A4246</t>
  </si>
  <si>
    <t>A4247</t>
  </si>
  <si>
    <t>A4248</t>
  </si>
  <si>
    <t>A4249</t>
  </si>
  <si>
    <t>A4250</t>
  </si>
  <si>
    <t>A4251</t>
  </si>
  <si>
    <t>A4252</t>
  </si>
  <si>
    <t>A4253</t>
  </si>
  <si>
    <t>A4254</t>
  </si>
  <si>
    <t>A4255</t>
  </si>
  <si>
    <t>A4256</t>
  </si>
  <si>
    <t>A4257</t>
  </si>
  <si>
    <t>A4258</t>
  </si>
  <si>
    <t>A4259</t>
  </si>
  <si>
    <t>A4260</t>
  </si>
  <si>
    <t>A4261</t>
  </si>
  <si>
    <t>A4262</t>
  </si>
  <si>
    <t>A4263</t>
  </si>
  <si>
    <t>A4264</t>
  </si>
  <si>
    <t>A4265</t>
  </si>
  <si>
    <t>A4266</t>
  </si>
  <si>
    <t>A4267</t>
  </si>
  <si>
    <t>A4268</t>
  </si>
  <si>
    <t>A4269</t>
  </si>
  <si>
    <t>A4270</t>
  </si>
  <si>
    <t>A4271</t>
  </si>
  <si>
    <t>A4272</t>
  </si>
  <si>
    <t>A4273</t>
  </si>
  <si>
    <t>A4274</t>
  </si>
  <si>
    <t>A4275</t>
  </si>
  <si>
    <t>A4276</t>
  </si>
  <si>
    <t>A4277</t>
  </si>
  <si>
    <t>A4278</t>
  </si>
  <si>
    <t>A4279</t>
  </si>
  <si>
    <t>A4280</t>
  </si>
  <si>
    <t>A4281</t>
  </si>
  <si>
    <t>A4282</t>
  </si>
  <si>
    <t>A4283</t>
  </si>
  <si>
    <t>A4284</t>
  </si>
  <si>
    <t>A4285</t>
  </si>
  <si>
    <t>A4286</t>
  </si>
  <si>
    <t>A4287</t>
  </si>
  <si>
    <t>A4288</t>
  </si>
  <si>
    <t>A4289</t>
  </si>
  <si>
    <t>A4290</t>
  </si>
  <si>
    <t>A4291</t>
  </si>
  <si>
    <t>A4292</t>
  </si>
  <si>
    <t>A4293</t>
  </si>
  <si>
    <t>A4294</t>
  </si>
  <si>
    <t>A4295</t>
  </si>
  <si>
    <t>A4296</t>
  </si>
  <si>
    <t>A4297</t>
  </si>
  <si>
    <t>A4298</t>
  </si>
  <si>
    <t>A4299</t>
  </si>
  <si>
    <t>A4300</t>
  </si>
  <si>
    <t>A4301</t>
  </si>
  <si>
    <t>A4302</t>
  </si>
  <si>
    <t>A4303</t>
  </si>
  <si>
    <t>A4304</t>
  </si>
  <si>
    <t>A4305</t>
  </si>
  <si>
    <t>A4306</t>
  </si>
  <si>
    <t>A4307</t>
  </si>
  <si>
    <t>A4308</t>
  </si>
  <si>
    <t>A4309</t>
  </si>
  <si>
    <t>A4310</t>
  </si>
  <si>
    <t>A4311</t>
  </si>
  <si>
    <t>A4312</t>
  </si>
  <si>
    <t>A4313</t>
  </si>
  <si>
    <t>A4314</t>
  </si>
  <si>
    <t>A4315</t>
  </si>
  <si>
    <t>A4316</t>
  </si>
  <si>
    <t>A4317</t>
  </si>
  <si>
    <t>A4318</t>
  </si>
  <si>
    <t>A4319</t>
  </si>
  <si>
    <t>A4320</t>
  </si>
  <si>
    <t>A4321</t>
  </si>
  <si>
    <t>A4322</t>
  </si>
  <si>
    <t>A4323</t>
  </si>
  <si>
    <t>A4324</t>
  </si>
  <si>
    <t>A4325</t>
  </si>
  <si>
    <t>A4326</t>
  </si>
  <si>
    <t>A4327</t>
  </si>
  <si>
    <t>A4328</t>
  </si>
  <si>
    <t>A4329</t>
  </si>
  <si>
    <t>A4330</t>
  </si>
  <si>
    <t>A4331</t>
  </si>
  <si>
    <t>A4332</t>
  </si>
  <si>
    <t>A4333</t>
  </si>
  <si>
    <t>A4334</t>
  </si>
  <si>
    <t>A4335</t>
  </si>
  <si>
    <t>A4336</t>
  </si>
  <si>
    <t>A4337</t>
  </si>
  <si>
    <t>A4338</t>
  </si>
  <si>
    <t>A4339</t>
  </si>
  <si>
    <t>A4340</t>
  </si>
  <si>
    <t>A4341</t>
  </si>
  <si>
    <t>A4342</t>
  </si>
  <si>
    <t>A4343</t>
  </si>
  <si>
    <t>A4344</t>
  </si>
  <si>
    <t>A4345</t>
  </si>
  <si>
    <t>A4346</t>
  </si>
  <si>
    <t>A4347</t>
  </si>
  <si>
    <t>A4348</t>
  </si>
  <si>
    <t>A4349</t>
  </si>
  <si>
    <t>A4350</t>
  </si>
  <si>
    <t>A4351</t>
  </si>
  <si>
    <t>A4352</t>
  </si>
  <si>
    <t>A4353</t>
  </si>
  <si>
    <t>A4354</t>
  </si>
  <si>
    <t>A4355</t>
  </si>
  <si>
    <t>A4356</t>
  </si>
  <si>
    <t>A4357</t>
  </si>
  <si>
    <t>A4358</t>
  </si>
  <si>
    <t>A4359</t>
  </si>
  <si>
    <t>A4360</t>
  </si>
  <si>
    <t>A4361</t>
  </si>
  <si>
    <t>A4362</t>
  </si>
  <si>
    <t>A4363</t>
  </si>
  <si>
    <t>A4364</t>
  </si>
  <si>
    <t>A4365</t>
  </si>
  <si>
    <t>A4366</t>
  </si>
  <si>
    <t>A4367</t>
  </si>
  <si>
    <t>A4368</t>
  </si>
  <si>
    <t>A4369</t>
  </si>
  <si>
    <t>A4370</t>
  </si>
  <si>
    <t>A4371</t>
  </si>
  <si>
    <t>A4372</t>
  </si>
  <si>
    <t>A4373</t>
  </si>
  <si>
    <t>A4374</t>
  </si>
  <si>
    <t>A4375</t>
  </si>
  <si>
    <t>A4376</t>
  </si>
  <si>
    <t>A4377</t>
  </si>
  <si>
    <t>A4378</t>
  </si>
  <si>
    <t>A4379</t>
  </si>
  <si>
    <t>A4380</t>
  </si>
  <si>
    <t>A4381</t>
  </si>
  <si>
    <t>A4382</t>
  </si>
  <si>
    <t>A4383</t>
  </si>
  <si>
    <t>A4384</t>
  </si>
  <si>
    <t>A4385</t>
  </si>
  <si>
    <t>A4386</t>
  </si>
  <si>
    <t>A4387</t>
  </si>
  <si>
    <t>A4388</t>
  </si>
  <si>
    <t>A4389</t>
  </si>
  <si>
    <t>A4390</t>
  </si>
  <si>
    <t>A4391</t>
  </si>
  <si>
    <t>A4392</t>
  </si>
  <si>
    <t>A4393</t>
  </si>
  <si>
    <t>A4394</t>
  </si>
  <si>
    <t>A4395</t>
  </si>
  <si>
    <t>A4396</t>
  </si>
  <si>
    <t>A4397</t>
  </si>
  <si>
    <t>A4398</t>
  </si>
  <si>
    <t>A4399</t>
  </si>
  <si>
    <t>A4400</t>
  </si>
  <si>
    <t>A4401</t>
  </si>
  <si>
    <t>A4402</t>
  </si>
  <si>
    <t>A4403</t>
  </si>
  <si>
    <t>A4404</t>
  </si>
  <si>
    <t>A4405</t>
  </si>
  <si>
    <t>A4406</t>
  </si>
  <si>
    <t>A4407</t>
  </si>
  <si>
    <t>A4408</t>
  </si>
  <si>
    <t>A4409</t>
  </si>
  <si>
    <t>A4410</t>
  </si>
  <si>
    <t>A4411</t>
  </si>
  <si>
    <t>A4412</t>
  </si>
  <si>
    <t>A4413</t>
  </si>
  <si>
    <t>A4414</t>
  </si>
  <si>
    <t>A4415</t>
  </si>
  <si>
    <t>A4416</t>
  </si>
  <si>
    <t>A4417</t>
  </si>
  <si>
    <t>A4418</t>
  </si>
  <si>
    <t>A4419</t>
  </si>
  <si>
    <t>A4420</t>
  </si>
  <si>
    <t>A4421</t>
  </si>
  <si>
    <t>A4422</t>
  </si>
  <si>
    <t>A4423</t>
  </si>
  <si>
    <t>A4424</t>
  </si>
  <si>
    <t>A4425</t>
  </si>
  <si>
    <t>A4426</t>
  </si>
  <si>
    <t>A4427</t>
  </si>
  <si>
    <t>A4428</t>
  </si>
  <si>
    <t>A4429</t>
  </si>
  <si>
    <t>A4430</t>
  </si>
  <si>
    <t>A4431</t>
  </si>
  <si>
    <t>A4432</t>
  </si>
  <si>
    <t>A4433</t>
  </si>
  <si>
    <t>A4434</t>
  </si>
  <si>
    <t>A4435</t>
  </si>
  <si>
    <t>A4436</t>
  </si>
  <si>
    <t>A4437</t>
  </si>
  <si>
    <t>A4438</t>
  </si>
  <si>
    <t>A4439</t>
  </si>
  <si>
    <t>A4440</t>
  </si>
  <si>
    <t>A4441</t>
  </si>
  <si>
    <t>A4442</t>
  </si>
  <si>
    <t>A4443</t>
  </si>
  <si>
    <t>A4444</t>
  </si>
  <si>
    <t>A4445</t>
  </si>
  <si>
    <t>A4446</t>
  </si>
  <si>
    <t>A4447</t>
  </si>
  <si>
    <t>A4448</t>
  </si>
  <si>
    <t>A4449</t>
  </si>
  <si>
    <t>A4450</t>
  </si>
  <si>
    <t>A4451</t>
  </si>
  <si>
    <t>A4452</t>
  </si>
  <si>
    <t>A4453</t>
  </si>
  <si>
    <t>A4454</t>
  </si>
  <si>
    <t>A4455</t>
  </si>
  <si>
    <t>A4456</t>
  </si>
  <si>
    <t>A4457</t>
  </si>
  <si>
    <t>A4458</t>
  </si>
  <si>
    <t>A4459</t>
  </si>
  <si>
    <t>A4460</t>
  </si>
  <si>
    <t>A4461</t>
  </si>
  <si>
    <t>A4462</t>
  </si>
  <si>
    <t>A4463</t>
  </si>
  <si>
    <t>A4464</t>
  </si>
  <si>
    <t>A4465</t>
  </si>
  <si>
    <t>A4466</t>
  </si>
  <si>
    <t>A4467</t>
  </si>
  <si>
    <t>A4468</t>
  </si>
  <si>
    <t>A4469</t>
  </si>
  <si>
    <t>A4470</t>
  </si>
  <si>
    <t>A4471</t>
  </si>
  <si>
    <t>A4472</t>
  </si>
  <si>
    <t>A4473</t>
  </si>
  <si>
    <t>A4474</t>
  </si>
  <si>
    <t>A4475</t>
  </si>
  <si>
    <t>A4476</t>
  </si>
  <si>
    <t>A4477</t>
  </si>
  <si>
    <t>A4478</t>
  </si>
  <si>
    <t>A4479</t>
  </si>
  <si>
    <t>A4480</t>
  </si>
  <si>
    <t>A4481</t>
  </si>
  <si>
    <t>A4482</t>
  </si>
  <si>
    <t>A4483</t>
  </si>
  <si>
    <t>A4484</t>
  </si>
  <si>
    <t>A4485</t>
  </si>
  <si>
    <t>A4486</t>
  </si>
  <si>
    <t>A4487</t>
  </si>
  <si>
    <t>A4488</t>
  </si>
  <si>
    <t>A4489</t>
  </si>
  <si>
    <t>A4490</t>
  </si>
  <si>
    <t>A4491</t>
  </si>
  <si>
    <t>A4492</t>
  </si>
  <si>
    <t>A4493</t>
  </si>
  <si>
    <t>A4494</t>
  </si>
  <si>
    <t>A4495</t>
  </si>
  <si>
    <t>A4496</t>
  </si>
  <si>
    <t>A4497</t>
  </si>
  <si>
    <t>A4498</t>
  </si>
  <si>
    <t>A4499</t>
  </si>
  <si>
    <t>A4500</t>
  </si>
  <si>
    <t>A4501</t>
  </si>
  <si>
    <t>A4502</t>
  </si>
  <si>
    <t>A4503</t>
  </si>
  <si>
    <t>A4504</t>
  </si>
  <si>
    <t>A4505</t>
  </si>
  <si>
    <t>A4506</t>
  </si>
  <si>
    <t>A4507</t>
  </si>
  <si>
    <t>A4508</t>
  </si>
  <si>
    <t>A4509</t>
  </si>
  <si>
    <t>A4510</t>
  </si>
  <si>
    <t>A4511</t>
  </si>
  <si>
    <t>A4512</t>
  </si>
  <si>
    <t>A4513</t>
  </si>
  <si>
    <t>A4514</t>
  </si>
  <si>
    <t>A4515</t>
  </si>
  <si>
    <t>A4516</t>
  </si>
  <si>
    <t>A4517</t>
  </si>
  <si>
    <t>A4518</t>
  </si>
  <si>
    <t>A4519</t>
  </si>
  <si>
    <t>A4520</t>
  </si>
  <si>
    <t>A4521</t>
  </si>
  <si>
    <t>A4522</t>
  </si>
  <si>
    <t>A4523</t>
  </si>
  <si>
    <t>A4524</t>
  </si>
  <si>
    <t>A4525</t>
  </si>
  <si>
    <t>A4526</t>
  </si>
  <si>
    <t>A4527</t>
  </si>
  <si>
    <t>A4528</t>
  </si>
  <si>
    <t>A4529</t>
  </si>
  <si>
    <t>A4530</t>
  </si>
  <si>
    <t>A4531</t>
  </si>
  <si>
    <t>A4532</t>
  </si>
  <si>
    <t>A4533</t>
  </si>
  <si>
    <t>A4534</t>
  </si>
  <si>
    <t>A4535</t>
  </si>
  <si>
    <t>A4536</t>
  </si>
  <si>
    <t>A4537</t>
  </si>
  <si>
    <t>A4538</t>
  </si>
  <si>
    <t>A4539</t>
  </si>
  <si>
    <t>A4540</t>
  </si>
  <si>
    <t>A4541</t>
  </si>
  <si>
    <t>A4542</t>
  </si>
  <si>
    <t>A4543</t>
  </si>
  <si>
    <t>A4544</t>
  </si>
  <si>
    <t>A4545</t>
  </si>
  <si>
    <t>A4546</t>
  </si>
  <si>
    <t>A4547</t>
  </si>
  <si>
    <t>A4548</t>
  </si>
  <si>
    <t>A4549</t>
  </si>
  <si>
    <t>A4550</t>
  </si>
  <si>
    <t>A4551</t>
  </si>
  <si>
    <t>A4552</t>
  </si>
  <si>
    <t>A4553</t>
  </si>
  <si>
    <t>A4554</t>
  </si>
  <si>
    <t>A4555</t>
  </si>
  <si>
    <t>A4556</t>
  </si>
  <si>
    <t>A4557</t>
  </si>
  <si>
    <t>A4558</t>
  </si>
  <si>
    <t>A4559</t>
  </si>
  <si>
    <t>A4560</t>
  </si>
  <si>
    <t>A4561</t>
  </si>
  <si>
    <t>A4562</t>
  </si>
  <si>
    <t>A4563</t>
  </si>
  <si>
    <t>A4564</t>
  </si>
  <si>
    <t>A4565</t>
  </si>
  <si>
    <t>A4566</t>
  </si>
  <si>
    <t>A4567</t>
  </si>
  <si>
    <t>A4568</t>
  </si>
  <si>
    <t>A4569</t>
  </si>
  <si>
    <t>A4570</t>
  </si>
  <si>
    <t>A4571</t>
  </si>
  <si>
    <t>A4572</t>
  </si>
  <si>
    <t>A4573</t>
  </si>
  <si>
    <t>A4574</t>
  </si>
  <si>
    <t>A4575</t>
  </si>
  <si>
    <t>A4576</t>
  </si>
  <si>
    <t>A4577</t>
  </si>
  <si>
    <t>A4578</t>
  </si>
  <si>
    <t>A4579</t>
  </si>
  <si>
    <t>A4580</t>
  </si>
  <si>
    <t>A4581</t>
  </si>
  <si>
    <t>A4582</t>
  </si>
  <si>
    <t>A4583</t>
  </si>
  <si>
    <t>A4584</t>
  </si>
  <si>
    <t>A4585</t>
  </si>
  <si>
    <t>A4586</t>
  </si>
  <si>
    <t>A4587</t>
  </si>
  <si>
    <t>A4588</t>
  </si>
  <si>
    <t>A4589</t>
  </si>
  <si>
    <t>A4590</t>
  </si>
  <si>
    <t>A4591</t>
  </si>
  <si>
    <t>A4592</t>
  </si>
  <si>
    <t>A4593</t>
  </si>
  <si>
    <t>A4594</t>
  </si>
  <si>
    <t>A4595</t>
  </si>
  <si>
    <t>A4596</t>
  </si>
  <si>
    <t>A4597</t>
  </si>
  <si>
    <t>A4598</t>
  </si>
  <si>
    <t>A4599</t>
  </si>
  <si>
    <t>A4600</t>
  </si>
  <si>
    <t>A4601</t>
  </si>
  <si>
    <t>A4602</t>
  </si>
  <si>
    <t>A4603</t>
  </si>
  <si>
    <t>A4604</t>
  </si>
  <si>
    <t>A4605</t>
  </si>
  <si>
    <t>A4606</t>
  </si>
  <si>
    <t>A4607</t>
  </si>
  <si>
    <t>A4608</t>
  </si>
  <si>
    <t>A4609</t>
  </si>
  <si>
    <t>A4610</t>
  </si>
  <si>
    <t>A4611</t>
  </si>
  <si>
    <t>A4612</t>
  </si>
  <si>
    <t>A4613</t>
  </si>
  <si>
    <t>A4614</t>
  </si>
  <si>
    <t>A4615</t>
  </si>
  <si>
    <t>A4616</t>
  </si>
  <si>
    <t>A4617</t>
  </si>
  <si>
    <t>A4618</t>
  </si>
  <si>
    <t>A4619</t>
  </si>
  <si>
    <t>A4620</t>
  </si>
  <si>
    <t>A4621</t>
  </si>
  <si>
    <t>A4622</t>
  </si>
  <si>
    <t>A4623</t>
  </si>
  <si>
    <t>A4624</t>
  </si>
  <si>
    <t>A4625</t>
  </si>
  <si>
    <t>A4626</t>
  </si>
  <si>
    <t>A4627</t>
  </si>
  <si>
    <t>A4628</t>
  </si>
  <si>
    <t>A4629</t>
  </si>
  <si>
    <t>A4630</t>
  </si>
  <si>
    <t>A4631</t>
  </si>
  <si>
    <t>A4632</t>
  </si>
  <si>
    <t>A4633</t>
  </si>
  <si>
    <t>A4634</t>
  </si>
  <si>
    <t>A4635</t>
  </si>
  <si>
    <t>A4636</t>
  </si>
  <si>
    <t>A4637</t>
  </si>
  <si>
    <t>A4638</t>
  </si>
  <si>
    <t>A4639</t>
  </si>
  <si>
    <t>A4640</t>
  </si>
  <si>
    <t>A4641</t>
  </si>
  <si>
    <t>A4642</t>
  </si>
  <si>
    <t>A4643</t>
  </si>
  <si>
    <t>A4644</t>
  </si>
  <si>
    <t>A4645</t>
  </si>
  <si>
    <t>A4646</t>
  </si>
  <si>
    <t>A4647</t>
  </si>
  <si>
    <t>A4648</t>
  </si>
  <si>
    <t>A4649</t>
  </si>
  <si>
    <t>A4650</t>
  </si>
  <si>
    <t>A4651</t>
  </si>
  <si>
    <t>A4652</t>
  </si>
  <si>
    <t>A4653</t>
  </si>
  <si>
    <t>A4654</t>
  </si>
  <si>
    <t>A4655</t>
  </si>
  <si>
    <t>A4656</t>
  </si>
  <si>
    <t>A4657</t>
  </si>
  <si>
    <t>A4658</t>
  </si>
  <si>
    <t>A4659</t>
  </si>
  <si>
    <t>A4660</t>
  </si>
  <si>
    <t>A4661</t>
  </si>
  <si>
    <t>A4662</t>
  </si>
  <si>
    <t>A4663</t>
  </si>
  <si>
    <t>A4664</t>
  </si>
  <si>
    <t>A4665</t>
  </si>
  <si>
    <t>A4666</t>
  </si>
  <si>
    <t>A4667</t>
  </si>
  <si>
    <t>A4668</t>
  </si>
  <si>
    <t>A4669</t>
  </si>
  <si>
    <t>A4670</t>
  </si>
  <si>
    <t>A4671</t>
  </si>
  <si>
    <t>A4672</t>
  </si>
  <si>
    <t>A4673</t>
  </si>
  <si>
    <t>A4674</t>
  </si>
  <si>
    <t>A4675</t>
  </si>
  <si>
    <t>A4676</t>
  </si>
  <si>
    <t>A4677</t>
  </si>
  <si>
    <t>A4678</t>
  </si>
  <si>
    <t>A4679</t>
  </si>
  <si>
    <t>A4680</t>
  </si>
  <si>
    <t>A4681</t>
  </si>
  <si>
    <t>A4682</t>
  </si>
  <si>
    <t>A4683</t>
  </si>
  <si>
    <t>A4684</t>
  </si>
  <si>
    <t>A4685</t>
  </si>
  <si>
    <t>A4686</t>
  </si>
  <si>
    <t>A4687</t>
  </si>
  <si>
    <t>A4688</t>
  </si>
  <si>
    <t>A4689</t>
  </si>
  <si>
    <t>A4690</t>
  </si>
  <si>
    <t>A4691</t>
  </si>
  <si>
    <t>A4692</t>
  </si>
  <si>
    <t>A4693</t>
  </si>
  <si>
    <t>A4694</t>
  </si>
  <si>
    <t>A4695</t>
  </si>
  <si>
    <t>A4696</t>
  </si>
  <si>
    <t>A4697</t>
  </si>
  <si>
    <t>A4698</t>
  </si>
  <si>
    <t>A4699</t>
  </si>
  <si>
    <t>A4700</t>
  </si>
  <si>
    <t>A4701</t>
  </si>
  <si>
    <t>A4702</t>
  </si>
  <si>
    <t>A4703</t>
  </si>
  <si>
    <t>A4704</t>
  </si>
  <si>
    <t>A4705</t>
  </si>
  <si>
    <t>A4706</t>
  </si>
  <si>
    <t>A4707</t>
  </si>
  <si>
    <t>A4708</t>
  </si>
  <si>
    <t>A4709</t>
  </si>
  <si>
    <t>A4710</t>
  </si>
  <si>
    <t>A4711</t>
  </si>
  <si>
    <t>A4712</t>
  </si>
  <si>
    <t>A4713</t>
  </si>
  <si>
    <t>A4714</t>
  </si>
  <si>
    <t>A4715</t>
  </si>
  <si>
    <t>A4716</t>
  </si>
  <si>
    <t>A4717</t>
  </si>
  <si>
    <t>A4718</t>
  </si>
  <si>
    <t>A4719</t>
  </si>
  <si>
    <t>A4720</t>
  </si>
  <si>
    <t>A4721</t>
  </si>
  <si>
    <t>A4722</t>
  </si>
  <si>
    <t>A4723</t>
  </si>
  <si>
    <t>A4724</t>
  </si>
  <si>
    <t>A4725</t>
  </si>
  <si>
    <t>A4726</t>
  </si>
  <si>
    <t>A4727</t>
  </si>
  <si>
    <t>A4728</t>
  </si>
  <si>
    <t>A4729</t>
  </si>
  <si>
    <t>A4730</t>
  </si>
  <si>
    <t>A4731</t>
  </si>
  <si>
    <t>A4732</t>
  </si>
  <si>
    <t>A4733</t>
  </si>
  <si>
    <t>A4734</t>
  </si>
  <si>
    <t>A4735</t>
  </si>
  <si>
    <t>A4736</t>
  </si>
  <si>
    <t>A4737</t>
  </si>
  <si>
    <t>A4738</t>
  </si>
  <si>
    <t>A4739</t>
  </si>
  <si>
    <t>A4740</t>
  </si>
  <si>
    <t>A4741</t>
  </si>
  <si>
    <t>A4742</t>
  </si>
  <si>
    <t>A4743</t>
  </si>
  <si>
    <t>A4744</t>
  </si>
  <si>
    <t>A4745</t>
  </si>
  <si>
    <t>A4746</t>
  </si>
  <si>
    <t>A4747</t>
  </si>
  <si>
    <t>A4748</t>
  </si>
  <si>
    <t>A4749</t>
  </si>
  <si>
    <t>A4750</t>
  </si>
  <si>
    <t>A4751</t>
  </si>
  <si>
    <t>A4752</t>
  </si>
  <si>
    <t>A4753</t>
  </si>
  <si>
    <t>A4754</t>
  </si>
  <si>
    <t>A4755</t>
  </si>
  <si>
    <t>A4756</t>
  </si>
  <si>
    <t>A4757</t>
  </si>
  <si>
    <t>A4758</t>
  </si>
  <si>
    <t>A4759</t>
  </si>
  <si>
    <t>A4760</t>
  </si>
  <si>
    <t>A4761</t>
  </si>
  <si>
    <t>A4762</t>
  </si>
  <si>
    <t>A4763</t>
  </si>
  <si>
    <t>A4764</t>
  </si>
  <si>
    <t>A4765</t>
  </si>
  <si>
    <t>A4766</t>
  </si>
  <si>
    <t>A4767</t>
  </si>
  <si>
    <t>A4768</t>
  </si>
  <si>
    <t>A4769</t>
  </si>
  <si>
    <t>A4770</t>
  </si>
  <si>
    <t>A4771</t>
  </si>
  <si>
    <t>A4772</t>
  </si>
  <si>
    <t>A4773</t>
  </si>
  <si>
    <t>A4774</t>
  </si>
  <si>
    <t>A4775</t>
  </si>
  <si>
    <t>A4776</t>
  </si>
  <si>
    <t>A4777</t>
  </si>
  <si>
    <t>A4778</t>
  </si>
  <si>
    <t>A4779</t>
  </si>
  <si>
    <t>A4780</t>
  </si>
  <si>
    <t>A4781</t>
  </si>
  <si>
    <t>A4782</t>
  </si>
  <si>
    <t>A4783</t>
  </si>
  <si>
    <t>A4784</t>
  </si>
  <si>
    <t>A4785</t>
  </si>
  <si>
    <t>A4786</t>
  </si>
  <si>
    <t>A4787</t>
  </si>
  <si>
    <t>A4788</t>
  </si>
  <si>
    <t>A4789</t>
  </si>
  <si>
    <t>A4790</t>
  </si>
  <si>
    <t>A4791</t>
  </si>
  <si>
    <t>A4792</t>
  </si>
  <si>
    <t>A4793</t>
  </si>
  <si>
    <t>A4794</t>
  </si>
  <si>
    <t>A4795</t>
  </si>
  <si>
    <t>A4796</t>
  </si>
  <si>
    <t>A4797</t>
  </si>
  <si>
    <t>A4798</t>
  </si>
  <si>
    <t>A4799</t>
  </si>
  <si>
    <t>A4800</t>
  </si>
  <si>
    <t>A4801</t>
  </si>
  <si>
    <t>A4802</t>
  </si>
  <si>
    <t>A4803</t>
  </si>
  <si>
    <t>A4804</t>
  </si>
  <si>
    <t>A4805</t>
  </si>
  <si>
    <t>A4806</t>
  </si>
  <si>
    <t>A4807</t>
  </si>
  <si>
    <t>A4808</t>
  </si>
  <si>
    <t>A4809</t>
  </si>
  <si>
    <t>A4810</t>
  </si>
  <si>
    <t>A4811</t>
  </si>
  <si>
    <t>A4812</t>
  </si>
  <si>
    <t>A4813</t>
  </si>
  <si>
    <t>A4814</t>
  </si>
  <si>
    <t>A4815</t>
  </si>
  <si>
    <t>A4816</t>
  </si>
  <si>
    <t>A4817</t>
  </si>
  <si>
    <t>A4818</t>
  </si>
  <si>
    <t>A4819</t>
  </si>
  <si>
    <t>A4820</t>
  </si>
  <si>
    <t>A4821</t>
  </si>
  <si>
    <t>A4822</t>
  </si>
  <si>
    <t>A4823</t>
  </si>
  <si>
    <t>A4824</t>
  </si>
  <si>
    <t>A4825</t>
  </si>
  <si>
    <t>A4826</t>
  </si>
  <si>
    <t>A4827</t>
  </si>
  <si>
    <t>A4828</t>
  </si>
  <si>
    <t>A4829</t>
  </si>
  <si>
    <t>A4830</t>
  </si>
  <si>
    <t>A4831</t>
  </si>
  <si>
    <t>A4832</t>
  </si>
  <si>
    <t>A4833</t>
  </si>
  <si>
    <t>A4834</t>
  </si>
  <si>
    <t>A4835</t>
  </si>
  <si>
    <t>A4836</t>
  </si>
  <si>
    <t>A4837</t>
  </si>
  <si>
    <t>A4838</t>
  </si>
  <si>
    <t>A4839</t>
  </si>
  <si>
    <t>A4840</t>
  </si>
  <si>
    <t>A4841</t>
  </si>
  <si>
    <t>A4842</t>
  </si>
  <si>
    <t>A4843</t>
  </si>
  <si>
    <t>A4844</t>
  </si>
  <si>
    <t>A4845</t>
  </si>
  <si>
    <t>A4846</t>
  </si>
  <si>
    <t>A4847</t>
  </si>
  <si>
    <t>A4848</t>
  </si>
  <si>
    <t>A4849</t>
  </si>
  <si>
    <t>A4850</t>
  </si>
  <si>
    <t>A4851</t>
  </si>
  <si>
    <t>A4852</t>
  </si>
  <si>
    <t>A4853</t>
  </si>
  <si>
    <t>A4854</t>
  </si>
  <si>
    <t>A4855</t>
  </si>
  <si>
    <t>A4856</t>
  </si>
  <si>
    <t>A4857</t>
  </si>
  <si>
    <t>A4858</t>
  </si>
  <si>
    <t>A4859</t>
  </si>
  <si>
    <t>A4860</t>
  </si>
  <si>
    <t>A4861</t>
  </si>
  <si>
    <t>A4862</t>
  </si>
  <si>
    <t>A4863</t>
  </si>
  <si>
    <t>A4864</t>
  </si>
  <si>
    <t>A4865</t>
  </si>
  <si>
    <t>A4866</t>
  </si>
  <si>
    <t>A4867</t>
  </si>
  <si>
    <t>A4868</t>
  </si>
  <si>
    <t>A4869</t>
  </si>
  <si>
    <t>A4870</t>
  </si>
  <si>
    <t>A4871</t>
  </si>
  <si>
    <t>A4872</t>
  </si>
  <si>
    <t>A4873</t>
  </si>
  <si>
    <t>A4874</t>
  </si>
  <si>
    <t>A4875</t>
  </si>
  <si>
    <t>A4876</t>
  </si>
  <si>
    <t>A4877</t>
  </si>
  <si>
    <t>A4878</t>
  </si>
  <si>
    <t>A4879</t>
  </si>
  <si>
    <t>A4880</t>
  </si>
  <si>
    <t>A4881</t>
  </si>
  <si>
    <t>A4882</t>
  </si>
  <si>
    <t>A4883</t>
  </si>
  <si>
    <t>A4884</t>
  </si>
  <si>
    <t>A4885</t>
  </si>
  <si>
    <t>A4886</t>
  </si>
  <si>
    <t>A4887</t>
  </si>
  <si>
    <t>A4888</t>
  </si>
  <si>
    <t>A4889</t>
  </si>
  <si>
    <t>A4890</t>
  </si>
  <si>
    <t>A4891</t>
  </si>
  <si>
    <t>A4892</t>
  </si>
  <si>
    <t>A4893</t>
  </si>
  <si>
    <t>A4894</t>
  </si>
  <si>
    <t>A4895</t>
  </si>
  <si>
    <t>A4896</t>
  </si>
  <si>
    <t>A4897</t>
  </si>
  <si>
    <t>A4898</t>
  </si>
  <si>
    <t>A4899</t>
  </si>
  <si>
    <t>A4900</t>
  </si>
  <si>
    <t>A4901</t>
  </si>
  <si>
    <t>A4902</t>
  </si>
  <si>
    <t>A4903</t>
  </si>
  <si>
    <t>A4904</t>
  </si>
  <si>
    <t>A4905</t>
  </si>
  <si>
    <t>A4906</t>
  </si>
  <si>
    <t>A4907</t>
  </si>
  <si>
    <t>A4908</t>
  </si>
  <si>
    <t>A4909</t>
  </si>
  <si>
    <t>A4910</t>
  </si>
  <si>
    <t>A4911</t>
  </si>
  <si>
    <t>A4912</t>
  </si>
  <si>
    <t>A4913</t>
  </si>
  <si>
    <t>A4914</t>
  </si>
  <si>
    <t>A4915</t>
  </si>
  <si>
    <t>A4916</t>
  </si>
  <si>
    <t>A4917</t>
  </si>
  <si>
    <t>A4918</t>
  </si>
  <si>
    <t>A4919</t>
  </si>
  <si>
    <t>A4920</t>
  </si>
  <si>
    <t>A4921</t>
  </si>
  <si>
    <t>A4922</t>
  </si>
  <si>
    <t>A4923</t>
  </si>
  <si>
    <t>A4924</t>
  </si>
  <si>
    <t>A4925</t>
  </si>
  <si>
    <t>A4926</t>
  </si>
  <si>
    <t>A4927</t>
  </si>
  <si>
    <t>A4928</t>
  </si>
  <si>
    <t>A4929</t>
  </si>
  <si>
    <t>A4930</t>
  </si>
  <si>
    <t>A4931</t>
  </si>
  <si>
    <t>A4932</t>
  </si>
  <si>
    <t>A4933</t>
  </si>
  <si>
    <t>A4934</t>
  </si>
  <si>
    <t>A4935</t>
  </si>
  <si>
    <t>A4936</t>
  </si>
  <si>
    <t>A4937</t>
  </si>
  <si>
    <t>A4938</t>
  </si>
  <si>
    <t>A4939</t>
  </si>
  <si>
    <t>A4940</t>
  </si>
  <si>
    <t>A4941</t>
  </si>
  <si>
    <t>A4942</t>
  </si>
  <si>
    <t>A4943</t>
  </si>
  <si>
    <t>A4944</t>
  </si>
  <si>
    <t>A4945</t>
  </si>
  <si>
    <t>A4946</t>
  </si>
  <si>
    <t>A4947</t>
  </si>
  <si>
    <t>A4948</t>
  </si>
  <si>
    <t>A4949</t>
  </si>
  <si>
    <t>A4950</t>
  </si>
  <si>
    <t>A4951</t>
  </si>
  <si>
    <t>A4952</t>
  </si>
  <si>
    <t>A4953</t>
  </si>
  <si>
    <t>A4954</t>
  </si>
  <si>
    <t>A4955</t>
  </si>
  <si>
    <t>A4956</t>
  </si>
  <si>
    <t>A4957</t>
  </si>
  <si>
    <t>A4958</t>
  </si>
  <si>
    <t>A4959</t>
  </si>
  <si>
    <t>A4960</t>
  </si>
  <si>
    <t>A4961</t>
  </si>
  <si>
    <t>A4962</t>
  </si>
  <si>
    <t>A4963</t>
  </si>
  <si>
    <t>A4964</t>
  </si>
  <si>
    <t>A4965</t>
  </si>
  <si>
    <t>A4966</t>
  </si>
  <si>
    <t>A4967</t>
  </si>
  <si>
    <t>A4968</t>
  </si>
  <si>
    <t>A4969</t>
  </si>
  <si>
    <t>A4970</t>
  </si>
  <si>
    <t>A4971</t>
  </si>
  <si>
    <t>A4972</t>
  </si>
  <si>
    <t>A4973</t>
  </si>
  <si>
    <t>A4974</t>
  </si>
  <si>
    <t>A4975</t>
  </si>
  <si>
    <t>A4976</t>
  </si>
  <si>
    <t>A4977</t>
  </si>
  <si>
    <t>A4978</t>
  </si>
  <si>
    <t>A4979</t>
  </si>
  <si>
    <t>A4980</t>
  </si>
  <si>
    <t>A4981</t>
  </si>
  <si>
    <t>A4982</t>
  </si>
  <si>
    <t>A4983</t>
  </si>
  <si>
    <t>A4984</t>
  </si>
  <si>
    <t>A4985</t>
  </si>
  <si>
    <t>A4986</t>
  </si>
  <si>
    <t>A4987</t>
  </si>
  <si>
    <t>A4988</t>
  </si>
  <si>
    <t>A4989</t>
  </si>
  <si>
    <t>A4990</t>
  </si>
  <si>
    <t>A4991</t>
  </si>
  <si>
    <t>A4992</t>
  </si>
  <si>
    <t>A4993</t>
  </si>
  <si>
    <t>A4994</t>
  </si>
  <si>
    <t>A4995</t>
  </si>
  <si>
    <t>A4996</t>
  </si>
  <si>
    <t>A4997</t>
  </si>
  <si>
    <t>A4998</t>
  </si>
  <si>
    <t>A4999</t>
  </si>
  <si>
    <t>A5000</t>
  </si>
  <si>
    <t>A5001</t>
  </si>
  <si>
    <t>A5002</t>
  </si>
  <si>
    <t>A5003</t>
  </si>
  <si>
    <t>A5004</t>
  </si>
  <si>
    <t>A5005</t>
  </si>
  <si>
    <t>A5006</t>
  </si>
  <si>
    <t>A5007</t>
  </si>
  <si>
    <t>A5008</t>
  </si>
  <si>
    <t>A5009</t>
  </si>
  <si>
    <t>A5010</t>
  </si>
  <si>
    <t>A5011</t>
  </si>
  <si>
    <t>A5012</t>
  </si>
  <si>
    <t>A5013</t>
  </si>
  <si>
    <t>A5014</t>
  </si>
  <si>
    <t>A5015</t>
  </si>
  <si>
    <t>A5016</t>
  </si>
  <si>
    <t>A5017</t>
  </si>
  <si>
    <t>A5018</t>
  </si>
  <si>
    <t>A5019</t>
  </si>
  <si>
    <t>A5020</t>
  </si>
  <si>
    <t>A5021</t>
  </si>
  <si>
    <t>A5022</t>
  </si>
  <si>
    <t>A5023</t>
  </si>
  <si>
    <t>A5024</t>
  </si>
  <si>
    <t>A5025</t>
  </si>
  <si>
    <t>A5026</t>
  </si>
  <si>
    <t>A5027</t>
  </si>
  <si>
    <t>A5028</t>
  </si>
  <si>
    <t>A5029</t>
  </si>
  <si>
    <t>A5030</t>
  </si>
  <si>
    <t>A5031</t>
  </si>
  <si>
    <t>A5032</t>
  </si>
  <si>
    <t>A5033</t>
  </si>
  <si>
    <t>A5034</t>
  </si>
  <si>
    <t>A5035</t>
  </si>
  <si>
    <t>A5036</t>
  </si>
  <si>
    <t>A5037</t>
  </si>
  <si>
    <t>A5038</t>
  </si>
  <si>
    <t>A5039</t>
  </si>
  <si>
    <t>A5040</t>
  </si>
  <si>
    <t>A5041</t>
  </si>
  <si>
    <t>A5042</t>
  </si>
  <si>
    <t>A5043</t>
  </si>
  <si>
    <t>A5044</t>
  </si>
  <si>
    <t>A5045</t>
  </si>
  <si>
    <t>A5046</t>
  </si>
  <si>
    <t>A5047</t>
  </si>
  <si>
    <t>A5048</t>
  </si>
  <si>
    <t>A5049</t>
  </si>
  <si>
    <t>A5050</t>
  </si>
  <si>
    <t>A5051</t>
  </si>
  <si>
    <t>A5052</t>
  </si>
  <si>
    <t>A5053</t>
  </si>
  <si>
    <t>A5054</t>
  </si>
  <si>
    <t>A5055</t>
  </si>
  <si>
    <t>A5056</t>
  </si>
  <si>
    <t>A5057</t>
  </si>
  <si>
    <t>A5058</t>
  </si>
  <si>
    <t>A5059</t>
  </si>
  <si>
    <t>A5060</t>
  </si>
  <si>
    <t>A5061</t>
  </si>
  <si>
    <t>A5062</t>
  </si>
  <si>
    <t>A5063</t>
  </si>
  <si>
    <t>A5064</t>
  </si>
  <si>
    <t>A5065</t>
  </si>
  <si>
    <t>A5066</t>
  </si>
  <si>
    <t>A5067</t>
  </si>
  <si>
    <t>A5068</t>
  </si>
  <si>
    <t>A5069</t>
  </si>
  <si>
    <t>A5070</t>
  </si>
  <si>
    <t>A5071</t>
  </si>
  <si>
    <t>A5072</t>
  </si>
  <si>
    <t>A5073</t>
  </si>
  <si>
    <t>A5074</t>
  </si>
  <si>
    <t>A5075</t>
  </si>
  <si>
    <t>A5076</t>
  </si>
  <si>
    <t>A5077</t>
  </si>
  <si>
    <t>A5078</t>
  </si>
  <si>
    <t>A5079</t>
  </si>
  <si>
    <t>A5080</t>
  </si>
  <si>
    <t>A5081</t>
  </si>
  <si>
    <t>A5082</t>
  </si>
  <si>
    <t>A5083</t>
  </si>
  <si>
    <t>A5084</t>
  </si>
  <si>
    <t>A5085</t>
  </si>
  <si>
    <t>A5086</t>
  </si>
  <si>
    <t>A5087</t>
  </si>
  <si>
    <t>A5088</t>
  </si>
  <si>
    <t>A5089</t>
  </si>
  <si>
    <t>A5090</t>
  </si>
  <si>
    <t>A5091</t>
  </si>
  <si>
    <t>A5092</t>
  </si>
  <si>
    <t>A5093</t>
  </si>
  <si>
    <t>A5094</t>
  </si>
  <si>
    <t>A5095</t>
  </si>
  <si>
    <t>A5096</t>
  </si>
  <si>
    <t>A5097</t>
  </si>
  <si>
    <t>A5098</t>
  </si>
  <si>
    <t>A5099</t>
  </si>
  <si>
    <t>A5100</t>
  </si>
  <si>
    <t>A5101</t>
  </si>
  <si>
    <t>A5102</t>
  </si>
  <si>
    <t>A5103</t>
  </si>
  <si>
    <t>A5104</t>
  </si>
  <si>
    <t>A5105</t>
  </si>
  <si>
    <t>A5106</t>
  </si>
  <si>
    <t>A5107</t>
  </si>
  <si>
    <t>A5108</t>
  </si>
  <si>
    <t>A5109</t>
  </si>
  <si>
    <t>A5110</t>
  </si>
  <si>
    <t>A5111</t>
  </si>
  <si>
    <t>A5112</t>
  </si>
  <si>
    <t>A5113</t>
  </si>
  <si>
    <t>A5114</t>
  </si>
  <si>
    <t>A5115</t>
  </si>
  <si>
    <t>A5116</t>
  </si>
  <si>
    <t>A5117</t>
  </si>
  <si>
    <t>A5118</t>
  </si>
  <si>
    <t>A5119</t>
  </si>
  <si>
    <t>A5120</t>
  </si>
  <si>
    <t>A5121</t>
  </si>
  <si>
    <t>A5122</t>
  </si>
  <si>
    <t>A5123</t>
  </si>
  <si>
    <t>A5124</t>
  </si>
  <si>
    <t>A5125</t>
  </si>
  <si>
    <t>A5126</t>
  </si>
  <si>
    <t>A5127</t>
  </si>
  <si>
    <t>A5128</t>
  </si>
  <si>
    <t>A5129</t>
  </si>
  <si>
    <t>A5130</t>
  </si>
  <si>
    <t>A5131</t>
  </si>
  <si>
    <t>A5132</t>
  </si>
  <si>
    <t>A5133</t>
  </si>
  <si>
    <t>A5134</t>
  </si>
  <si>
    <t>A5135</t>
  </si>
  <si>
    <t>A5136</t>
  </si>
  <si>
    <t>A5137</t>
  </si>
  <si>
    <t>A5138</t>
  </si>
  <si>
    <t>A5139</t>
  </si>
  <si>
    <t>A5140</t>
  </si>
  <si>
    <t>A5141</t>
  </si>
  <si>
    <t>A5142</t>
  </si>
  <si>
    <t>A5143</t>
  </si>
  <si>
    <t>A5144</t>
  </si>
  <si>
    <t>A5145</t>
  </si>
  <si>
    <t>A5146</t>
  </si>
  <si>
    <t>A5147</t>
  </si>
  <si>
    <t>A5148</t>
  </si>
  <si>
    <t>A5149</t>
  </si>
  <si>
    <t>A5150</t>
  </si>
  <si>
    <t>A5151</t>
  </si>
  <si>
    <t>A5152</t>
  </si>
  <si>
    <t>A5153</t>
  </si>
  <si>
    <t>A5154</t>
  </si>
  <si>
    <t>A5155</t>
  </si>
  <si>
    <t>A5156</t>
  </si>
  <si>
    <t>A5157</t>
  </si>
  <si>
    <t>A5158</t>
  </si>
  <si>
    <t>A5159</t>
  </si>
  <si>
    <t>A5160</t>
  </si>
  <si>
    <t>A5161</t>
  </si>
  <si>
    <t>A5162</t>
  </si>
  <si>
    <t>A5163</t>
  </si>
  <si>
    <t>A5164</t>
  </si>
  <si>
    <t>A5165</t>
  </si>
  <si>
    <t>A5166</t>
  </si>
  <si>
    <t>A5167</t>
  </si>
  <si>
    <t>A5168</t>
  </si>
  <si>
    <t>A5169</t>
  </si>
  <si>
    <t>A5170</t>
  </si>
  <si>
    <t>A5171</t>
  </si>
  <si>
    <t>A5172</t>
  </si>
  <si>
    <t>A5173</t>
  </si>
  <si>
    <t>A5174</t>
  </si>
  <si>
    <t>A5175</t>
  </si>
  <si>
    <t>A5176</t>
  </si>
  <si>
    <t>A5177</t>
  </si>
  <si>
    <t>A5178</t>
  </si>
  <si>
    <t>A5179</t>
  </si>
  <si>
    <t>A5180</t>
  </si>
  <si>
    <t>A5181</t>
  </si>
  <si>
    <t>A5182</t>
  </si>
  <si>
    <t>A5183</t>
  </si>
  <si>
    <t>A5184</t>
  </si>
  <si>
    <t>A5185</t>
  </si>
  <si>
    <t>A5186</t>
  </si>
  <si>
    <t>A5187</t>
  </si>
  <si>
    <t>A5188</t>
  </si>
  <si>
    <t>A5189</t>
  </si>
  <si>
    <t>A5190</t>
  </si>
  <si>
    <t>A5191</t>
  </si>
  <si>
    <t>A5192</t>
  </si>
  <si>
    <t>A5193</t>
  </si>
  <si>
    <t>A5194</t>
  </si>
  <si>
    <t>A5195</t>
  </si>
  <si>
    <t>A5196</t>
  </si>
  <si>
    <t>A5197</t>
  </si>
  <si>
    <t>A5198</t>
  </si>
  <si>
    <t>A5199</t>
  </si>
  <si>
    <t>A5200</t>
  </si>
  <si>
    <t>A5201</t>
  </si>
  <si>
    <t>A5202</t>
  </si>
  <si>
    <t>A5203</t>
  </si>
  <si>
    <t>A5204</t>
  </si>
  <si>
    <t>A5205</t>
  </si>
  <si>
    <t>A5206</t>
  </si>
  <si>
    <t>A5207</t>
  </si>
  <si>
    <t>A5208</t>
  </si>
  <si>
    <t>A5209</t>
  </si>
  <si>
    <t>A5210</t>
  </si>
  <si>
    <t>A5211</t>
  </si>
  <si>
    <t>A5212</t>
  </si>
  <si>
    <t>A5213</t>
  </si>
  <si>
    <t>A5214</t>
  </si>
  <si>
    <t>A5215</t>
  </si>
  <si>
    <t>A5216</t>
  </si>
  <si>
    <t>A5217</t>
  </si>
  <si>
    <t>A5218</t>
  </si>
  <si>
    <t>A5219</t>
  </si>
  <si>
    <t>A5220</t>
  </si>
  <si>
    <t>A5221</t>
  </si>
  <si>
    <t>A5222</t>
  </si>
  <si>
    <t>A5223</t>
  </si>
  <si>
    <t>A5224</t>
  </si>
  <si>
    <t>A5225</t>
  </si>
  <si>
    <t>A5226</t>
  </si>
  <si>
    <t>A5227</t>
  </si>
  <si>
    <t>A5228</t>
  </si>
  <si>
    <t>A5229</t>
  </si>
  <si>
    <t>A5230</t>
  </si>
  <si>
    <t>A5231</t>
  </si>
  <si>
    <t>A5232</t>
  </si>
  <si>
    <t>A5233</t>
  </si>
  <si>
    <t>A5234</t>
  </si>
  <si>
    <t>A5235</t>
  </si>
  <si>
    <t>A5236</t>
  </si>
  <si>
    <t>A5237</t>
  </si>
  <si>
    <t>A5238</t>
  </si>
  <si>
    <t>A5239</t>
  </si>
  <si>
    <t>A5240</t>
  </si>
  <si>
    <t>A5241</t>
  </si>
  <si>
    <t>A5242</t>
  </si>
  <si>
    <t>A5243</t>
  </si>
  <si>
    <t>A5244</t>
  </si>
  <si>
    <t>A5245</t>
  </si>
  <si>
    <t>A5246</t>
  </si>
  <si>
    <t>A5247</t>
  </si>
  <si>
    <t>A5248</t>
  </si>
  <si>
    <t>A5249</t>
  </si>
  <si>
    <t>A5250</t>
  </si>
  <si>
    <t>A5251</t>
  </si>
  <si>
    <t>A5252</t>
  </si>
  <si>
    <t>A5253</t>
  </si>
  <si>
    <t>A5254</t>
  </si>
  <si>
    <t>A5255</t>
  </si>
  <si>
    <t>A5256</t>
  </si>
  <si>
    <t>A5257</t>
  </si>
  <si>
    <t>A5258</t>
  </si>
  <si>
    <t>A5259</t>
  </si>
  <si>
    <t>A5260</t>
  </si>
  <si>
    <t>A5261</t>
  </si>
  <si>
    <t>A5262</t>
  </si>
  <si>
    <t>A5263</t>
  </si>
  <si>
    <t>A5264</t>
  </si>
  <si>
    <t>A5265</t>
  </si>
  <si>
    <t>A5266</t>
  </si>
  <si>
    <t>A5267</t>
  </si>
  <si>
    <t>A5268</t>
  </si>
  <si>
    <t>A5269</t>
  </si>
  <si>
    <t>A5270</t>
  </si>
  <si>
    <t>A5271</t>
  </si>
  <si>
    <t>A5272</t>
  </si>
  <si>
    <t>A5273</t>
  </si>
  <si>
    <t>A5274</t>
  </si>
  <si>
    <t>A5275</t>
  </si>
  <si>
    <t>A5276</t>
  </si>
  <si>
    <t>A5277</t>
  </si>
  <si>
    <t>A5278</t>
  </si>
  <si>
    <t>A5279</t>
  </si>
  <si>
    <t>A5280</t>
  </si>
  <si>
    <t>A5281</t>
  </si>
  <si>
    <t>A5282</t>
  </si>
  <si>
    <t>A5283</t>
  </si>
  <si>
    <t>A5284</t>
  </si>
  <si>
    <t>A5285</t>
  </si>
  <si>
    <t>A5286</t>
  </si>
  <si>
    <t>A5287</t>
  </si>
  <si>
    <t>A5288</t>
  </si>
  <si>
    <t>A5289</t>
  </si>
  <si>
    <t>A5290</t>
  </si>
  <si>
    <t>A5291</t>
  </si>
  <si>
    <t>A5292</t>
  </si>
  <si>
    <t>A5293</t>
  </si>
  <si>
    <t>A5294</t>
  </si>
  <si>
    <t>A5295</t>
  </si>
  <si>
    <t>A5296</t>
  </si>
  <si>
    <t>A5297</t>
  </si>
  <si>
    <t>A5298</t>
  </si>
  <si>
    <t>A5299</t>
  </si>
  <si>
    <t>A5300</t>
  </si>
  <si>
    <t>A5301</t>
  </si>
  <si>
    <t>A5302</t>
  </si>
  <si>
    <t>A5303</t>
  </si>
  <si>
    <t>A5304</t>
  </si>
  <si>
    <t>A5305</t>
  </si>
  <si>
    <t>A5306</t>
  </si>
  <si>
    <t>A5307</t>
  </si>
  <si>
    <t>A5308</t>
  </si>
  <si>
    <t>A5309</t>
  </si>
  <si>
    <t>A5310</t>
  </si>
  <si>
    <t>A5311</t>
  </si>
  <si>
    <t>A5312</t>
  </si>
  <si>
    <t>A5313</t>
  </si>
  <si>
    <t>A5314</t>
  </si>
  <si>
    <t>A5315</t>
  </si>
  <si>
    <t>A5316</t>
  </si>
  <si>
    <t>A5317</t>
  </si>
  <si>
    <t>A5318</t>
  </si>
  <si>
    <t>A5319</t>
  </si>
  <si>
    <t>A5320</t>
  </si>
  <si>
    <t>A5321</t>
  </si>
  <si>
    <t>A5322</t>
  </si>
  <si>
    <t>A5323</t>
  </si>
  <si>
    <t>A5324</t>
  </si>
  <si>
    <t>A5325</t>
  </si>
  <si>
    <t>A5326</t>
  </si>
  <si>
    <t>A5327</t>
  </si>
  <si>
    <t>A5328</t>
  </si>
  <si>
    <t>A5329</t>
  </si>
  <si>
    <t>A5330</t>
  </si>
  <si>
    <t>A5331</t>
  </si>
  <si>
    <t>A5332</t>
  </si>
  <si>
    <t>A5333</t>
  </si>
  <si>
    <t>A5334</t>
  </si>
  <si>
    <t>A5335</t>
  </si>
  <si>
    <t>A5336</t>
  </si>
  <si>
    <t>A5337</t>
  </si>
  <si>
    <t>A5338</t>
  </si>
  <si>
    <t>A5339</t>
  </si>
  <si>
    <t>A5340</t>
  </si>
  <si>
    <t>A5341</t>
  </si>
  <si>
    <t>A5342</t>
  </si>
  <si>
    <t>A5343</t>
  </si>
  <si>
    <t>A5344</t>
  </si>
  <si>
    <t>A5345</t>
  </si>
  <si>
    <t>A5346</t>
  </si>
  <si>
    <t>A5347</t>
  </si>
  <si>
    <t>A5348</t>
  </si>
  <si>
    <t>A5349</t>
  </si>
  <si>
    <t>A5350</t>
  </si>
  <si>
    <t>A5351</t>
  </si>
  <si>
    <t>A5352</t>
  </si>
  <si>
    <t>A5353</t>
  </si>
  <si>
    <t>A5354</t>
  </si>
  <si>
    <t>A5355</t>
  </si>
  <si>
    <t>A5356</t>
  </si>
  <si>
    <t>A5357</t>
  </si>
  <si>
    <t>A5358</t>
  </si>
  <si>
    <t>A5359</t>
  </si>
  <si>
    <t>A5360</t>
  </si>
  <si>
    <t>A5361</t>
  </si>
  <si>
    <t>A5362</t>
  </si>
  <si>
    <t>A5363</t>
  </si>
  <si>
    <t>A5364</t>
  </si>
  <si>
    <t>A5365</t>
  </si>
  <si>
    <t>A5366</t>
  </si>
  <si>
    <t>A5367</t>
  </si>
  <si>
    <t>A5368</t>
  </si>
  <si>
    <t>A5369</t>
  </si>
  <si>
    <t>A5370</t>
  </si>
  <si>
    <t>A5371</t>
  </si>
  <si>
    <t>A5372</t>
  </si>
  <si>
    <t>A5373</t>
  </si>
  <si>
    <t>A5374</t>
  </si>
  <si>
    <t>A5375</t>
  </si>
  <si>
    <t>A5376</t>
  </si>
  <si>
    <t>A5377</t>
  </si>
  <si>
    <t>A5378</t>
  </si>
  <si>
    <t>A5379</t>
  </si>
  <si>
    <t>A5380</t>
  </si>
  <si>
    <t>A5381</t>
  </si>
  <si>
    <t>A5382</t>
  </si>
  <si>
    <t>A5383</t>
  </si>
  <si>
    <t>A5384</t>
  </si>
  <si>
    <t>A5385</t>
  </si>
  <si>
    <t>A5386</t>
  </si>
  <si>
    <t>A5387</t>
  </si>
  <si>
    <t>A5388</t>
  </si>
  <si>
    <t>A5389</t>
  </si>
  <si>
    <t>A5390</t>
  </si>
  <si>
    <t>A5391</t>
  </si>
  <si>
    <t>A5392</t>
  </si>
  <si>
    <t>A5393</t>
  </si>
  <si>
    <t>A5394</t>
  </si>
  <si>
    <t>A5395</t>
  </si>
  <si>
    <t>A5396</t>
  </si>
  <si>
    <t>A5397</t>
  </si>
  <si>
    <t>A5398</t>
  </si>
  <si>
    <t>A5399</t>
  </si>
  <si>
    <t>A5400</t>
  </si>
  <si>
    <t>A5401</t>
  </si>
  <si>
    <t>A5402</t>
  </si>
  <si>
    <t>A5403</t>
  </si>
  <si>
    <t>A5404</t>
  </si>
  <si>
    <t>A5405</t>
  </si>
  <si>
    <t>A5406</t>
  </si>
  <si>
    <t>A5407</t>
  </si>
  <si>
    <t>A5408</t>
  </si>
  <si>
    <t>A5409</t>
  </si>
  <si>
    <t>A5410</t>
  </si>
  <si>
    <t>A5411</t>
  </si>
  <si>
    <t>A5412</t>
  </si>
  <si>
    <t>A5413</t>
  </si>
  <si>
    <t>A5414</t>
  </si>
  <si>
    <t>A5415</t>
  </si>
  <si>
    <t>A5416</t>
  </si>
  <si>
    <t>A5417</t>
  </si>
  <si>
    <t>A5418</t>
  </si>
  <si>
    <t>A5419</t>
  </si>
  <si>
    <t>A5420</t>
  </si>
  <si>
    <t>A5421</t>
  </si>
  <si>
    <t>A5422</t>
  </si>
  <si>
    <t>A5423</t>
  </si>
  <si>
    <t>A5424</t>
  </si>
  <si>
    <t>A5425</t>
  </si>
  <si>
    <t>A5426</t>
  </si>
  <si>
    <t>A5427</t>
  </si>
  <si>
    <t>A5428</t>
  </si>
  <si>
    <t>A5429</t>
  </si>
  <si>
    <t>A5430</t>
  </si>
  <si>
    <t>A5431</t>
  </si>
  <si>
    <t>A5432</t>
  </si>
  <si>
    <t>A5433</t>
  </si>
  <si>
    <t>A5434</t>
  </si>
  <si>
    <t>A5435</t>
  </si>
  <si>
    <t>A5436</t>
  </si>
  <si>
    <t>A5437</t>
  </si>
  <si>
    <t>A5438</t>
  </si>
  <si>
    <t>A5439</t>
  </si>
  <si>
    <t>A5440</t>
  </si>
  <si>
    <t>A5441</t>
  </si>
  <si>
    <t>A5442</t>
  </si>
  <si>
    <t>A5443</t>
  </si>
  <si>
    <t>A5444</t>
  </si>
  <si>
    <t>A5445</t>
  </si>
  <si>
    <t>A5446</t>
  </si>
  <si>
    <t>A5447</t>
  </si>
  <si>
    <t>A5448</t>
  </si>
  <si>
    <t>A5449</t>
  </si>
  <si>
    <t>A5450</t>
  </si>
  <si>
    <t>A5451</t>
  </si>
  <si>
    <t>A5452</t>
  </si>
  <si>
    <t>A5453</t>
  </si>
  <si>
    <t>A5454</t>
  </si>
  <si>
    <t>A5455</t>
  </si>
  <si>
    <t>A5456</t>
  </si>
  <si>
    <t>A5457</t>
  </si>
  <si>
    <t>A5458</t>
  </si>
  <si>
    <t>A5459</t>
  </si>
  <si>
    <t>A5460</t>
  </si>
  <si>
    <t>A5461</t>
  </si>
  <si>
    <t>A5462</t>
  </si>
  <si>
    <t>A5463</t>
  </si>
  <si>
    <t>A5464</t>
  </si>
  <si>
    <t>A5465</t>
  </si>
  <si>
    <t>A5466</t>
  </si>
  <si>
    <t>A5467</t>
  </si>
  <si>
    <t>A5468</t>
  </si>
  <si>
    <t>A5469</t>
  </si>
  <si>
    <t>A5470</t>
  </si>
  <si>
    <t>A5471</t>
  </si>
  <si>
    <t>A5472</t>
  </si>
  <si>
    <t>A5473</t>
  </si>
  <si>
    <t>A5474</t>
  </si>
  <si>
    <t>A5475</t>
  </si>
  <si>
    <t>A5476</t>
  </si>
  <si>
    <t>A5477</t>
  </si>
  <si>
    <t>A5478</t>
  </si>
  <si>
    <t>A5479</t>
  </si>
  <si>
    <t>A5480</t>
  </si>
  <si>
    <t>A5481</t>
  </si>
  <si>
    <t>A5482</t>
  </si>
  <si>
    <t>A5483</t>
  </si>
  <si>
    <t>A5484</t>
  </si>
  <si>
    <t>A5485</t>
  </si>
  <si>
    <t>A5486</t>
  </si>
  <si>
    <t>A5487</t>
  </si>
  <si>
    <t>A5488</t>
  </si>
  <si>
    <t>A5489</t>
  </si>
  <si>
    <t>A5490</t>
  </si>
  <si>
    <t>A5491</t>
  </si>
  <si>
    <t>A5492</t>
  </si>
  <si>
    <t>A5493</t>
  </si>
  <si>
    <t>A5494</t>
  </si>
  <si>
    <t>A5495</t>
  </si>
  <si>
    <t>A5496</t>
  </si>
  <si>
    <t>A5497</t>
  </si>
  <si>
    <t>A5498</t>
  </si>
  <si>
    <t>A5499</t>
  </si>
  <si>
    <t>A5500</t>
  </si>
  <si>
    <t>A5501</t>
  </si>
  <si>
    <t>A5502</t>
  </si>
  <si>
    <t>A5503</t>
  </si>
  <si>
    <t>A5504</t>
  </si>
  <si>
    <t>A5505</t>
  </si>
  <si>
    <t>A5506</t>
  </si>
  <si>
    <t>A5507</t>
  </si>
  <si>
    <t>A5508</t>
  </si>
  <si>
    <t>A5509</t>
  </si>
  <si>
    <t>A5510</t>
  </si>
  <si>
    <t>A5511</t>
  </si>
  <si>
    <t>A5512</t>
  </si>
  <si>
    <t>A5513</t>
  </si>
  <si>
    <t>A5514</t>
  </si>
  <si>
    <t>A5515</t>
  </si>
  <si>
    <t>A5516</t>
  </si>
  <si>
    <t>A5517</t>
  </si>
  <si>
    <t>A5518</t>
  </si>
  <si>
    <t>A5519</t>
  </si>
  <si>
    <t>A5520</t>
  </si>
  <si>
    <t>A5521</t>
  </si>
  <si>
    <t>A5522</t>
  </si>
  <si>
    <t>A5523</t>
  </si>
  <si>
    <t>A5524</t>
  </si>
  <si>
    <t>A5525</t>
  </si>
  <si>
    <t>A5526</t>
  </si>
  <si>
    <t>A5527</t>
  </si>
  <si>
    <t>A5528</t>
  </si>
  <si>
    <t>A5529</t>
  </si>
  <si>
    <t>A5530</t>
  </si>
  <si>
    <t>A5531</t>
  </si>
  <si>
    <t>A5532</t>
  </si>
  <si>
    <t>A5533</t>
  </si>
  <si>
    <t>A5534</t>
  </si>
  <si>
    <t>A5535</t>
  </si>
  <si>
    <t>A5536</t>
  </si>
  <si>
    <t>A5537</t>
  </si>
  <si>
    <t>A5538</t>
  </si>
  <si>
    <t>A5539</t>
  </si>
  <si>
    <t>A5540</t>
  </si>
  <si>
    <t>A5541</t>
  </si>
  <si>
    <t>A5542</t>
  </si>
  <si>
    <t>A5543</t>
  </si>
  <si>
    <t>A5544</t>
  </si>
  <si>
    <t>A5545</t>
  </si>
  <si>
    <t>A5546</t>
  </si>
  <si>
    <t>A5547</t>
  </si>
  <si>
    <t>A5548</t>
  </si>
  <si>
    <t>A5549</t>
  </si>
  <si>
    <t>A5550</t>
  </si>
  <si>
    <t>A5551</t>
  </si>
  <si>
    <t>A5552</t>
  </si>
  <si>
    <t>A5553</t>
  </si>
  <si>
    <t>A5554</t>
  </si>
  <si>
    <t>A5555</t>
  </si>
  <si>
    <t>A5556</t>
  </si>
  <si>
    <t>A5557</t>
  </si>
  <si>
    <t>A5558</t>
  </si>
  <si>
    <t>A5559</t>
  </si>
  <si>
    <t>A5560</t>
  </si>
  <si>
    <t>A5561</t>
  </si>
  <si>
    <t>A5562</t>
  </si>
  <si>
    <t>A5563</t>
  </si>
  <si>
    <t>A5564</t>
  </si>
  <si>
    <t>A5565</t>
  </si>
  <si>
    <t>A5566</t>
  </si>
  <si>
    <t>A5567</t>
  </si>
  <si>
    <t>A5568</t>
  </si>
  <si>
    <t>A5569</t>
  </si>
  <si>
    <t>A5570</t>
  </si>
  <si>
    <t>A5571</t>
  </si>
  <si>
    <t>A5572</t>
  </si>
  <si>
    <t>A5573</t>
  </si>
  <si>
    <t>A5574</t>
  </si>
  <si>
    <t>A5575</t>
  </si>
  <si>
    <t>A5576</t>
  </si>
  <si>
    <t>A5577</t>
  </si>
  <si>
    <t>A5578</t>
  </si>
  <si>
    <t>A5579</t>
  </si>
  <si>
    <t>A5580</t>
  </si>
  <si>
    <t>A5581</t>
  </si>
  <si>
    <t>A5582</t>
  </si>
  <si>
    <t>A5583</t>
  </si>
  <si>
    <t>A5584</t>
  </si>
  <si>
    <t>A5585</t>
  </si>
  <si>
    <t>A5586</t>
  </si>
  <si>
    <t>A5587</t>
  </si>
  <si>
    <t>A5588</t>
  </si>
  <si>
    <t>A5589</t>
  </si>
  <si>
    <t>A5590</t>
  </si>
  <si>
    <t>A5591</t>
  </si>
  <si>
    <t>A5592</t>
  </si>
  <si>
    <t>A5593</t>
  </si>
  <si>
    <t>A5594</t>
  </si>
  <si>
    <t>A5595</t>
  </si>
  <si>
    <t>A5596</t>
  </si>
  <si>
    <t>A5597</t>
  </si>
  <si>
    <t>A5598</t>
  </si>
  <si>
    <t>A5599</t>
  </si>
  <si>
    <t>A5600</t>
  </si>
  <si>
    <t>A5601</t>
  </si>
  <si>
    <t>A5602</t>
  </si>
  <si>
    <t>A5603</t>
  </si>
  <si>
    <t>A5604</t>
  </si>
  <si>
    <t>A5605</t>
  </si>
  <si>
    <t>A5606</t>
  </si>
  <si>
    <t>A5607</t>
  </si>
  <si>
    <t>A5608</t>
  </si>
  <si>
    <t>A5609</t>
  </si>
  <si>
    <t>A5610</t>
  </si>
  <si>
    <t>A5611</t>
  </si>
  <si>
    <t>A5612</t>
  </si>
  <si>
    <t>A5613</t>
  </si>
  <si>
    <t>A5614</t>
  </si>
  <si>
    <t>A5615</t>
  </si>
  <si>
    <t>A5616</t>
  </si>
  <si>
    <t>A5617</t>
  </si>
  <si>
    <t>A5618</t>
  </si>
  <si>
    <t>A5619</t>
  </si>
  <si>
    <t>A5620</t>
  </si>
  <si>
    <t>A5621</t>
  </si>
  <si>
    <t>A5622</t>
  </si>
  <si>
    <t>A5623</t>
  </si>
  <si>
    <t>A5624</t>
  </si>
  <si>
    <t>A5625</t>
  </si>
  <si>
    <t>A5626</t>
  </si>
  <si>
    <t>A5627</t>
  </si>
  <si>
    <t>A5628</t>
  </si>
  <si>
    <t>A5629</t>
  </si>
  <si>
    <t>A5630</t>
  </si>
  <si>
    <t>A5631</t>
  </si>
  <si>
    <t>A5632</t>
  </si>
  <si>
    <t>A5633</t>
  </si>
  <si>
    <t>A5634</t>
  </si>
  <si>
    <t>A5635</t>
  </si>
  <si>
    <t>A5636</t>
  </si>
  <si>
    <t>A5637</t>
  </si>
  <si>
    <t>A5638</t>
  </si>
  <si>
    <t>A5639</t>
  </si>
  <si>
    <t>A5640</t>
  </si>
  <si>
    <t>A5641</t>
  </si>
  <si>
    <t>A5642</t>
  </si>
  <si>
    <t>A5643</t>
  </si>
  <si>
    <t>A5644</t>
  </si>
  <si>
    <t>A5645</t>
  </si>
  <si>
    <t>A5646</t>
  </si>
  <si>
    <t>A5647</t>
  </si>
  <si>
    <t>A5648</t>
  </si>
  <si>
    <t>A5649</t>
  </si>
  <si>
    <t>A5650</t>
  </si>
  <si>
    <t>A5651</t>
  </si>
  <si>
    <t>A5652</t>
  </si>
  <si>
    <t>A5653</t>
  </si>
  <si>
    <t>A5654</t>
  </si>
  <si>
    <t>A5655</t>
  </si>
  <si>
    <t>A5656</t>
  </si>
  <si>
    <t>A5657</t>
  </si>
  <si>
    <t>A5658</t>
  </si>
  <si>
    <t>A5659</t>
  </si>
  <si>
    <t>A5660</t>
  </si>
  <si>
    <t>A5661</t>
  </si>
  <si>
    <t>A5662</t>
  </si>
  <si>
    <t>A5663</t>
  </si>
  <si>
    <t>A5664</t>
  </si>
  <si>
    <t>A5665</t>
  </si>
  <si>
    <t>A5666</t>
  </si>
  <si>
    <t>A5667</t>
  </si>
  <si>
    <t>A5668</t>
  </si>
  <si>
    <t>A5669</t>
  </si>
  <si>
    <t>A5670</t>
  </si>
  <si>
    <t>A5671</t>
  </si>
  <si>
    <t>A5672</t>
  </si>
  <si>
    <t>A5673</t>
  </si>
  <si>
    <t>A5674</t>
  </si>
  <si>
    <t>A5675</t>
  </si>
  <si>
    <t>A5676</t>
  </si>
  <si>
    <t>A5677</t>
  </si>
  <si>
    <t>A5678</t>
  </si>
  <si>
    <t>A5679</t>
  </si>
  <si>
    <t>A5680</t>
  </si>
  <si>
    <t>A5681</t>
  </si>
  <si>
    <t>A5682</t>
  </si>
  <si>
    <t>A5683</t>
  </si>
  <si>
    <t>A5684</t>
  </si>
  <si>
    <t>A5685</t>
  </si>
  <si>
    <t>A5686</t>
  </si>
  <si>
    <t>A5687</t>
  </si>
  <si>
    <t>A5688</t>
  </si>
  <si>
    <t>A5689</t>
  </si>
  <si>
    <t>A5690</t>
  </si>
  <si>
    <t>A5691</t>
  </si>
  <si>
    <t>A5692</t>
  </si>
  <si>
    <t>A5693</t>
  </si>
  <si>
    <t>A5694</t>
  </si>
  <si>
    <t>A5695</t>
  </si>
  <si>
    <t>A5696</t>
  </si>
  <si>
    <t>A5697</t>
  </si>
  <si>
    <t>A5698</t>
  </si>
  <si>
    <t>A5699</t>
  </si>
  <si>
    <t>A5700</t>
  </si>
  <si>
    <t>A5701</t>
  </si>
  <si>
    <t>A5702</t>
  </si>
  <si>
    <t>A5703</t>
  </si>
  <si>
    <t>A5704</t>
  </si>
  <si>
    <t>A5705</t>
  </si>
  <si>
    <t>A5706</t>
  </si>
  <si>
    <t>A5707</t>
  </si>
  <si>
    <t>A5708</t>
  </si>
  <si>
    <t>A5709</t>
  </si>
  <si>
    <t>A5710</t>
  </si>
  <si>
    <t>A5711</t>
  </si>
  <si>
    <t>A5712</t>
  </si>
  <si>
    <t>A5713</t>
  </si>
  <si>
    <t>A5714</t>
  </si>
  <si>
    <t>A5715</t>
  </si>
  <si>
    <t>A5716</t>
  </si>
  <si>
    <t>A5717</t>
  </si>
  <si>
    <t>A5718</t>
  </si>
  <si>
    <t>A5719</t>
  </si>
  <si>
    <t>A5720</t>
  </si>
  <si>
    <t>A5721</t>
  </si>
  <si>
    <t>A5722</t>
  </si>
  <si>
    <t>A5723</t>
  </si>
  <si>
    <t>A5724</t>
  </si>
  <si>
    <t>A5725</t>
  </si>
  <si>
    <t>A5726</t>
  </si>
  <si>
    <t>A5727</t>
  </si>
  <si>
    <t>A5728</t>
  </si>
  <si>
    <t>A5729</t>
  </si>
  <si>
    <t>A5730</t>
  </si>
  <si>
    <t>A5731</t>
  </si>
  <si>
    <t>A5732</t>
  </si>
  <si>
    <t>A5733</t>
  </si>
  <si>
    <t>A5734</t>
  </si>
  <si>
    <t>A5735</t>
  </si>
  <si>
    <t>A5736</t>
  </si>
  <si>
    <t>A5737</t>
  </si>
  <si>
    <t>A5738</t>
  </si>
  <si>
    <t>A5739</t>
  </si>
  <si>
    <t>A5740</t>
  </si>
  <si>
    <t>A5741</t>
  </si>
  <si>
    <t>A5742</t>
  </si>
  <si>
    <t>A5743</t>
  </si>
  <si>
    <t>A5744</t>
  </si>
  <si>
    <t>A5745</t>
  </si>
  <si>
    <t>A5746</t>
  </si>
  <si>
    <t>A5747</t>
  </si>
  <si>
    <t>A5748</t>
  </si>
  <si>
    <t>A5749</t>
  </si>
  <si>
    <t>A5750</t>
  </si>
  <si>
    <t>A5751</t>
  </si>
  <si>
    <t>A5752</t>
  </si>
  <si>
    <t>A5753</t>
  </si>
  <si>
    <t>A5754</t>
  </si>
  <si>
    <t>A5755</t>
  </si>
  <si>
    <t>A5756</t>
  </si>
  <si>
    <t>A5757</t>
  </si>
  <si>
    <t>A5758</t>
  </si>
  <si>
    <t>A5759</t>
  </si>
  <si>
    <t>A5760</t>
  </si>
  <si>
    <t>A5761</t>
  </si>
  <si>
    <t>A5762</t>
  </si>
  <si>
    <t>A5763</t>
  </si>
  <si>
    <t>A5764</t>
  </si>
  <si>
    <t>A5765</t>
  </si>
  <si>
    <t>A5766</t>
  </si>
  <si>
    <t>A5767</t>
  </si>
  <si>
    <t>A5768</t>
  </si>
  <si>
    <t>A5769</t>
  </si>
  <si>
    <t>A5770</t>
  </si>
  <si>
    <t>A5771</t>
  </si>
  <si>
    <t>A5772</t>
  </si>
  <si>
    <t>A5773</t>
  </si>
  <si>
    <t>A5774</t>
  </si>
  <si>
    <t>A5775</t>
  </si>
  <si>
    <t>A5776</t>
  </si>
  <si>
    <t>A5777</t>
  </si>
  <si>
    <t>A5778</t>
  </si>
  <si>
    <t>A5779</t>
  </si>
  <si>
    <t>A5780</t>
  </si>
  <si>
    <t>A5781</t>
  </si>
  <si>
    <t>A5782</t>
  </si>
  <si>
    <t>A5783</t>
  </si>
  <si>
    <t>A5784</t>
  </si>
  <si>
    <t>A5785</t>
  </si>
  <si>
    <t>A5786</t>
  </si>
  <si>
    <t>A5787</t>
  </si>
  <si>
    <t>A5788</t>
  </si>
  <si>
    <t>A5789</t>
  </si>
  <si>
    <t>A5790</t>
  </si>
  <si>
    <t>A5791</t>
  </si>
  <si>
    <t>A5792</t>
  </si>
  <si>
    <t>A5793</t>
  </si>
  <si>
    <t>A5794</t>
  </si>
  <si>
    <t>A5795</t>
  </si>
  <si>
    <t>A5796</t>
  </si>
  <si>
    <t>A5797</t>
  </si>
  <si>
    <t>A5798</t>
  </si>
  <si>
    <t>A5799</t>
  </si>
  <si>
    <t>A5800</t>
  </si>
  <si>
    <t>A5801</t>
  </si>
  <si>
    <t>A5802</t>
  </si>
  <si>
    <t>A5803</t>
  </si>
  <si>
    <t>A5804</t>
  </si>
  <si>
    <t>A5805</t>
  </si>
  <si>
    <t>Anggota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</si>
</sst>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3" formatCode="_-* #,##0.00_-;\-* #,##0.00_-;_-* &quot;-&quot;??_-;_-@_-"/>
    <numFmt numFmtId="164" formatCode="0.0%"/>
    <numFmt numFmtId="165" formatCode="_-* #,##0_-;\-* #,##0_-;_-* &quot;-&quot;??_-;_-@_-"/>
    <numFmt numFmtId="166" formatCode="[$-409]mmm\-yy;@"/>
    <numFmt numFmtId="167" formatCode="_(* #,##0.00_);_(* \(#,##0.00\);_(* &quot;-&quot;??_);_(@_)"/>
    <numFmt numFmtId="168" formatCode="_(* #,##0_);_(* \(#,##0\);_(* &quot;-&quot;??_);_(@_)"/>
  </numFmts>
  <fonts count="16" x14ac:knownFonts="1">
    <font>
      <sz val="11"/>
      <color indexed="8"/>
      <name val="Calibri"/>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theme="1"/>
      <name val="Calibri"/>
      <family val="2"/>
      <charset val="1"/>
      <scheme val="minor"/>
    </font>
    <font>
      <sz val="11"/>
      <color indexed="8"/>
      <name val="Calibri"/>
      <family val="2"/>
    </font>
    <font>
      <b/>
      <sz val="11"/>
      <color theme="1"/>
      <name val="Calibri"/>
      <family val="2"/>
      <charset val="1"/>
      <scheme val="minor"/>
    </font>
    <font>
      <b/>
      <sz val="11"/>
      <color rgb="FFFFFFFF"/>
      <name val="Calibri"/>
      <family val="2"/>
      <charset val="1"/>
      <scheme val="minor"/>
    </font>
    <font>
      <b/>
      <sz val="11"/>
      <color indexed="8"/>
      <name val="Calibri"/>
      <family val="2"/>
    </font>
    <font>
      <sz val="11"/>
      <color indexed="8"/>
      <name val="Calibri"/>
      <family val="2"/>
    </font>
    <font>
      <sz val="18"/>
      <color indexed="8"/>
      <name val="Calibri"/>
      <family val="2"/>
    </font>
    <font>
      <sz val="11"/>
      <color indexed="9"/>
      <name val="Calibri"/>
      <family val="2"/>
    </font>
    <font>
      <sz val="8"/>
      <name val="Calibri"/>
    </font>
  </fonts>
  <fills count="25">
    <fill>
      <patternFill patternType="none"/>
    </fill>
    <fill>
      <patternFill patternType="gray125"/>
    </fill>
    <fill>
      <patternFill patternType="solid">
        <fgColor indexed="10"/>
        <bgColor indexed="8"/>
      </patternFill>
    </fill>
    <fill>
      <patternFill patternType="solid">
        <fgColor rgb="FF434F68"/>
        <bgColor indexed="64"/>
      </patternFill>
    </fill>
    <fill>
      <patternFill patternType="solid">
        <fgColor rgb="FF636B1D"/>
        <bgColor indexed="64"/>
      </patternFill>
    </fill>
    <fill>
      <patternFill patternType="solid">
        <fgColor rgb="FFE5EDFF"/>
        <bgColor indexed="64"/>
      </patternFill>
    </fill>
    <fill>
      <patternFill patternType="solid">
        <fgColor rgb="FFFCFFE5"/>
        <bgColor indexed="64"/>
      </patternFill>
    </fill>
    <fill>
      <patternFill patternType="solid">
        <fgColor rgb="FFFFFFFF"/>
        <bgColor indexed="64"/>
      </patternFill>
    </fill>
    <fill>
      <patternFill patternType="solid">
        <fgColor theme="4" tint="-0.249977111117893"/>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7"/>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0" tint="-0.1499984740745262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bottom style="thin">
        <color indexed="64"/>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hair">
        <color indexed="64"/>
      </left>
      <right style="hair">
        <color indexed="64"/>
      </right>
      <top/>
      <bottom/>
      <diagonal/>
    </border>
  </borders>
  <cellStyleXfs count="20">
    <xf numFmtId="0" fontId="0" fillId="0" borderId="0" applyFill="0" applyProtection="0"/>
    <xf numFmtId="43" fontId="8" fillId="0" borderId="0" applyFont="0" applyFill="0" applyBorder="0" applyAlignment="0" applyProtection="0"/>
    <xf numFmtId="9" fontId="8" fillId="0" borderId="0" applyFont="0" applyFill="0" applyBorder="0" applyAlignment="0" applyProtection="0"/>
    <xf numFmtId="0" fontId="7" fillId="0" borderId="0"/>
    <xf numFmtId="0" fontId="6" fillId="0" borderId="0"/>
    <xf numFmtId="43" fontId="6" fillId="0" borderId="0" applyFont="0" applyFill="0" applyBorder="0" applyAlignment="0" applyProtection="0"/>
    <xf numFmtId="41" fontId="6" fillId="0" borderId="0" applyFont="0" applyFill="0" applyBorder="0" applyAlignment="0" applyProtection="0"/>
    <xf numFmtId="9" fontId="6" fillId="0" borderId="0" applyFont="0" applyFill="0" applyBorder="0" applyAlignment="0" applyProtection="0"/>
    <xf numFmtId="167" fontId="12" fillId="0" borderId="0" applyFont="0" applyFill="0" applyBorder="0" applyAlignment="0" applyProtection="0"/>
    <xf numFmtId="9" fontId="12" fillId="0" borderId="0" applyFont="0" applyFill="0" applyBorder="0" applyAlignment="0" applyProtection="0"/>
    <xf numFmtId="41" fontId="8"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3" fontId="12"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12" fillId="0" borderId="0" applyFill="0" applyProtection="0"/>
    <xf numFmtId="0" fontId="3" fillId="0" borderId="0"/>
    <xf numFmtId="0" fontId="2" fillId="0" borderId="0"/>
  </cellStyleXfs>
  <cellXfs count="372">
    <xf numFmtId="0" fontId="0" fillId="0" borderId="0" xfId="0" applyFill="1" applyProtection="1"/>
    <xf numFmtId="43" fontId="0" fillId="0" borderId="0" xfId="1" applyFont="1" applyFill="1" applyProtection="1"/>
    <xf numFmtId="0" fontId="0" fillId="0" borderId="1" xfId="0" applyFill="1" applyBorder="1" applyProtection="1"/>
    <xf numFmtId="0" fontId="0" fillId="0" borderId="1" xfId="0" applyFill="1" applyBorder="1" applyAlignment="1" applyProtection="1">
      <alignment horizontal="center"/>
    </xf>
    <xf numFmtId="164" fontId="0" fillId="0" borderId="1" xfId="2" applyNumberFormat="1" applyFont="1" applyFill="1" applyBorder="1" applyProtection="1"/>
    <xf numFmtId="0" fontId="0" fillId="0" borderId="0" xfId="0"/>
    <xf numFmtId="0" fontId="10" fillId="3" borderId="3" xfId="0" applyFont="1" applyFill="1" applyBorder="1" applyAlignment="1">
      <alignment horizontal="center" vertical="top"/>
    </xf>
    <xf numFmtId="0" fontId="10" fillId="3" borderId="6" xfId="0" applyFont="1" applyFill="1" applyBorder="1" applyAlignment="1">
      <alignment horizontal="center" vertical="top"/>
    </xf>
    <xf numFmtId="0" fontId="0" fillId="5" borderId="8" xfId="0" applyFill="1" applyBorder="1" applyAlignment="1">
      <alignment horizontal="center"/>
    </xf>
    <xf numFmtId="0" fontId="0" fillId="6" borderId="9" xfId="0" applyFill="1" applyBorder="1" applyAlignment="1">
      <alignment horizontal="left"/>
    </xf>
    <xf numFmtId="0" fontId="0" fillId="5" borderId="9" xfId="0" applyFill="1" applyBorder="1" applyAlignment="1">
      <alignment horizontal="left"/>
    </xf>
    <xf numFmtId="0" fontId="0" fillId="6" borderId="9" xfId="0" applyFill="1" applyBorder="1"/>
    <xf numFmtId="0" fontId="0" fillId="5" borderId="9" xfId="0" applyFill="1" applyBorder="1"/>
    <xf numFmtId="14" fontId="0" fillId="6" borderId="9" xfId="0" applyNumberFormat="1" applyFill="1" applyBorder="1" applyAlignment="1">
      <alignment horizontal="center"/>
    </xf>
    <xf numFmtId="14" fontId="0" fillId="5" borderId="9" xfId="0" applyNumberFormat="1" applyFill="1" applyBorder="1" applyAlignment="1">
      <alignment horizontal="center"/>
    </xf>
    <xf numFmtId="3" fontId="0" fillId="6" borderId="9" xfId="0" applyNumberFormat="1" applyFill="1" applyBorder="1" applyAlignment="1">
      <alignment horizontal="right"/>
    </xf>
    <xf numFmtId="0" fontId="0" fillId="5" borderId="9" xfId="0" applyFill="1" applyBorder="1" applyAlignment="1">
      <alignment horizontal="center"/>
    </xf>
    <xf numFmtId="0" fontId="0" fillId="6" borderId="9" xfId="0" applyFill="1" applyBorder="1" applyAlignment="1">
      <alignment horizontal="right"/>
    </xf>
    <xf numFmtId="3" fontId="9" fillId="7" borderId="14" xfId="0" applyNumberFormat="1" applyFont="1" applyFill="1" applyBorder="1" applyAlignment="1">
      <alignment horizontal="right"/>
    </xf>
    <xf numFmtId="0" fontId="0" fillId="0" borderId="0" xfId="0" applyFill="1"/>
    <xf numFmtId="43" fontId="0" fillId="0" borderId="0" xfId="1" applyFont="1"/>
    <xf numFmtId="0" fontId="0" fillId="0" borderId="0" xfId="0" quotePrefix="1" applyFill="1" applyProtection="1"/>
    <xf numFmtId="0" fontId="0" fillId="0" borderId="1" xfId="0" applyFill="1" applyBorder="1" applyAlignment="1" applyProtection="1">
      <alignment horizontal="right"/>
    </xf>
    <xf numFmtId="165" fontId="0" fillId="0" borderId="1" xfId="1" applyNumberFormat="1" applyFont="1" applyFill="1" applyBorder="1" applyProtection="1"/>
    <xf numFmtId="0" fontId="11" fillId="0" borderId="0" xfId="0" applyFont="1" applyFill="1" applyProtection="1"/>
    <xf numFmtId="0" fontId="12" fillId="0" borderId="1" xfId="0" applyFont="1" applyFill="1" applyBorder="1" applyProtection="1"/>
    <xf numFmtId="165" fontId="0" fillId="0" borderId="1" xfId="0" applyNumberFormat="1" applyFill="1" applyBorder="1" applyProtection="1"/>
    <xf numFmtId="0" fontId="11" fillId="0" borderId="1" xfId="0" applyFont="1" applyFill="1" applyBorder="1" applyAlignment="1" applyProtection="1">
      <alignment horizontal="center"/>
    </xf>
    <xf numFmtId="165" fontId="11" fillId="0" borderId="1" xfId="0" applyNumberFormat="1" applyFont="1" applyFill="1" applyBorder="1" applyProtection="1"/>
    <xf numFmtId="165" fontId="11" fillId="0" borderId="1" xfId="1" applyNumberFormat="1" applyFont="1" applyFill="1" applyBorder="1" applyProtection="1"/>
    <xf numFmtId="164" fontId="11" fillId="0" borderId="1" xfId="2" applyNumberFormat="1" applyFont="1" applyFill="1" applyBorder="1" applyProtection="1"/>
    <xf numFmtId="164" fontId="0" fillId="0" borderId="0" xfId="2" applyNumberFormat="1" applyFont="1" applyFill="1" applyBorder="1" applyProtection="1"/>
    <xf numFmtId="0" fontId="0" fillId="0" borderId="1" xfId="0" applyFill="1" applyBorder="1" applyAlignment="1" applyProtection="1">
      <alignment horizontal="left"/>
    </xf>
    <xf numFmtId="0" fontId="12" fillId="0" borderId="1" xfId="0" applyFont="1" applyFill="1" applyBorder="1" applyAlignment="1" applyProtection="1">
      <alignment horizontal="center"/>
    </xf>
    <xf numFmtId="0" fontId="0" fillId="8" borderId="0" xfId="0" applyFill="1" applyProtection="1"/>
    <xf numFmtId="0" fontId="9" fillId="0" borderId="3" xfId="0" applyFont="1" applyBorder="1" applyAlignment="1">
      <alignment horizontal="center" vertical="center"/>
    </xf>
    <xf numFmtId="0" fontId="9" fillId="0" borderId="6" xfId="0" applyFont="1"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9" xfId="0" applyBorder="1" applyAlignment="1">
      <alignment horizontal="left"/>
    </xf>
    <xf numFmtId="0" fontId="0" fillId="0" borderId="9" xfId="0" applyBorder="1" applyAlignment="1">
      <alignment horizontal="right"/>
    </xf>
    <xf numFmtId="14" fontId="0" fillId="0" borderId="9" xfId="0" applyNumberFormat="1" applyBorder="1" applyAlignment="1">
      <alignment horizontal="center"/>
    </xf>
    <xf numFmtId="0" fontId="0" fillId="0" borderId="10" xfId="0" applyBorder="1" applyAlignment="1">
      <alignment horizontal="right"/>
    </xf>
    <xf numFmtId="0" fontId="0" fillId="0" borderId="17" xfId="0" applyBorder="1" applyAlignment="1">
      <alignment horizontal="right"/>
    </xf>
    <xf numFmtId="0" fontId="7" fillId="0" borderId="0" xfId="3"/>
    <xf numFmtId="0" fontId="7" fillId="0" borderId="0" xfId="3" applyAlignment="1">
      <alignment horizontal="center"/>
    </xf>
    <xf numFmtId="0" fontId="12" fillId="0" borderId="0" xfId="0" applyFont="1"/>
    <xf numFmtId="0" fontId="0" fillId="0" borderId="1" xfId="0" applyBorder="1"/>
    <xf numFmtId="0" fontId="9" fillId="0" borderId="1" xfId="3" applyFont="1" applyBorder="1" applyAlignment="1">
      <alignment horizontal="center" vertical="center"/>
    </xf>
    <xf numFmtId="0" fontId="0" fillId="0" borderId="1" xfId="0" applyBorder="1" applyAlignment="1">
      <alignment horizontal="center"/>
    </xf>
    <xf numFmtId="0" fontId="0" fillId="0" borderId="1" xfId="0" applyFill="1" applyBorder="1" applyAlignment="1">
      <alignment horizontal="center"/>
    </xf>
    <xf numFmtId="0" fontId="6" fillId="0" borderId="1" xfId="3" applyFont="1" applyBorder="1"/>
    <xf numFmtId="165" fontId="7" fillId="0" borderId="1" xfId="1" applyNumberFormat="1" applyFont="1" applyBorder="1"/>
    <xf numFmtId="165" fontId="0" fillId="9" borderId="1" xfId="1" applyNumberFormat="1" applyFont="1" applyFill="1" applyBorder="1" applyProtection="1"/>
    <xf numFmtId="0" fontId="11" fillId="0" borderId="1" xfId="0" applyFont="1" applyFill="1" applyBorder="1" applyProtection="1"/>
    <xf numFmtId="0" fontId="6" fillId="0" borderId="0" xfId="4"/>
    <xf numFmtId="0" fontId="0" fillId="9" borderId="1" xfId="0" applyFill="1" applyBorder="1" applyProtection="1"/>
    <xf numFmtId="0" fontId="5" fillId="0" borderId="0" xfId="4" applyFont="1"/>
    <xf numFmtId="0" fontId="11" fillId="0" borderId="0" xfId="0" applyFont="1" applyFill="1" applyAlignment="1" applyProtection="1">
      <alignment horizontal="center"/>
    </xf>
    <xf numFmtId="0" fontId="11" fillId="15" borderId="1" xfId="0" applyFont="1" applyFill="1" applyBorder="1" applyAlignment="1" applyProtection="1">
      <alignment horizontal="center"/>
    </xf>
    <xf numFmtId="0" fontId="12" fillId="15" borderId="1" xfId="0" applyFont="1" applyFill="1" applyBorder="1" applyAlignment="1" applyProtection="1">
      <alignment horizontal="center"/>
    </xf>
    <xf numFmtId="10" fontId="0" fillId="0" borderId="1" xfId="0" applyNumberFormat="1" applyFill="1" applyBorder="1" applyProtection="1"/>
    <xf numFmtId="0" fontId="11" fillId="12" borderId="1" xfId="0" applyFont="1" applyFill="1" applyBorder="1" applyAlignment="1" applyProtection="1">
      <alignment horizontal="center"/>
    </xf>
    <xf numFmtId="0" fontId="0" fillId="12" borderId="1" xfId="0" applyFill="1" applyBorder="1" applyProtection="1"/>
    <xf numFmtId="0" fontId="11" fillId="0" borderId="0" xfId="0" applyFont="1" applyFill="1" applyAlignment="1" applyProtection="1">
      <alignment horizontal="left"/>
    </xf>
    <xf numFmtId="0" fontId="11" fillId="16" borderId="1" xfId="0" applyFont="1" applyFill="1" applyBorder="1" applyAlignment="1" applyProtection="1">
      <alignment horizontal="center"/>
    </xf>
    <xf numFmtId="0" fontId="12" fillId="16" borderId="1" xfId="0" applyFont="1" applyFill="1" applyBorder="1" applyAlignment="1" applyProtection="1">
      <alignment horizontal="center"/>
    </xf>
    <xf numFmtId="0" fontId="12" fillId="17" borderId="1" xfId="0" applyFont="1" applyFill="1" applyBorder="1" applyAlignment="1" applyProtection="1">
      <alignment horizontal="left" vertical="center"/>
    </xf>
    <xf numFmtId="0" fontId="11" fillId="18" borderId="1" xfId="0" applyFont="1" applyFill="1" applyBorder="1" applyProtection="1"/>
    <xf numFmtId="168" fontId="11" fillId="18" borderId="1" xfId="8" applyNumberFormat="1" applyFont="1" applyFill="1" applyBorder="1" applyAlignment="1" applyProtection="1"/>
    <xf numFmtId="0" fontId="11" fillId="0" borderId="0" xfId="0" applyFont="1" applyFill="1" applyAlignment="1" applyProtection="1">
      <alignment horizontal="center" vertical="center"/>
    </xf>
    <xf numFmtId="0" fontId="12" fillId="17" borderId="0" xfId="0" applyFont="1" applyFill="1" applyAlignment="1" applyProtection="1">
      <alignment horizontal="left" vertical="center"/>
    </xf>
    <xf numFmtId="0" fontId="11" fillId="13" borderId="1" xfId="0" applyFont="1" applyFill="1" applyBorder="1" applyAlignment="1" applyProtection="1">
      <alignment horizontal="center"/>
    </xf>
    <xf numFmtId="0" fontId="12" fillId="13" borderId="1" xfId="0" applyFont="1" applyFill="1" applyBorder="1" applyAlignment="1" applyProtection="1">
      <alignment horizontal="center"/>
    </xf>
    <xf numFmtId="0" fontId="11" fillId="13" borderId="1" xfId="0" applyFont="1" applyFill="1" applyBorder="1" applyProtection="1"/>
    <xf numFmtId="0" fontId="0" fillId="13" borderId="1" xfId="0" applyFill="1" applyBorder="1" applyProtection="1"/>
    <xf numFmtId="0" fontId="11" fillId="18" borderId="1" xfId="0" applyFont="1" applyFill="1" applyBorder="1" applyAlignment="1" applyProtection="1">
      <alignment horizontal="center"/>
    </xf>
    <xf numFmtId="0" fontId="11" fillId="18" borderId="21" xfId="0" applyFont="1" applyFill="1" applyBorder="1" applyAlignment="1" applyProtection="1">
      <alignment horizontal="center"/>
    </xf>
    <xf numFmtId="0" fontId="12" fillId="17" borderId="21" xfId="0" applyFont="1" applyFill="1" applyBorder="1" applyAlignment="1" applyProtection="1">
      <alignment horizontal="left" vertical="center"/>
    </xf>
    <xf numFmtId="0" fontId="0" fillId="0" borderId="21" xfId="0" applyFill="1" applyBorder="1" applyProtection="1"/>
    <xf numFmtId="0" fontId="12" fillId="13" borderId="1" xfId="0" applyFont="1" applyFill="1" applyBorder="1" applyProtection="1"/>
    <xf numFmtId="9" fontId="0" fillId="0" borderId="1" xfId="9" applyFont="1" applyFill="1" applyBorder="1" applyProtection="1"/>
    <xf numFmtId="0" fontId="12" fillId="0" borderId="0" xfId="0" applyFont="1" applyFill="1" applyProtection="1"/>
    <xf numFmtId="0" fontId="11" fillId="13" borderId="1" xfId="0" applyFont="1" applyFill="1" applyBorder="1" applyAlignment="1" applyProtection="1">
      <alignment horizontal="center" vertical="center"/>
    </xf>
    <xf numFmtId="0" fontId="11" fillId="17" borderId="0" xfId="0" applyFont="1" applyFill="1" applyAlignment="1" applyProtection="1">
      <alignment horizontal="left" vertical="center"/>
    </xf>
    <xf numFmtId="0" fontId="11" fillId="13" borderId="1" xfId="0" applyFont="1" applyFill="1" applyBorder="1" applyAlignment="1" applyProtection="1">
      <alignment horizontal="center" vertical="center" wrapText="1"/>
    </xf>
    <xf numFmtId="0" fontId="12" fillId="13" borderId="21" xfId="0" applyFont="1" applyFill="1" applyBorder="1" applyAlignment="1" applyProtection="1">
      <alignment horizontal="left" vertical="center"/>
    </xf>
    <xf numFmtId="0" fontId="0" fillId="13" borderId="21" xfId="0" applyFill="1" applyBorder="1" applyProtection="1"/>
    <xf numFmtId="164" fontId="0" fillId="0" borderId="1" xfId="9" applyNumberFormat="1" applyFont="1" applyFill="1" applyBorder="1" applyProtection="1"/>
    <xf numFmtId="41" fontId="0" fillId="0" borderId="1" xfId="0" applyNumberFormat="1" applyFill="1" applyBorder="1" applyProtection="1"/>
    <xf numFmtId="164" fontId="0" fillId="18" borderId="1" xfId="2" applyNumberFormat="1" applyFont="1" applyFill="1" applyBorder="1" applyProtection="1"/>
    <xf numFmtId="0" fontId="9" fillId="0" borderId="0" xfId="3" applyFont="1" applyAlignment="1">
      <alignment horizontal="center"/>
    </xf>
    <xf numFmtId="0" fontId="0" fillId="0" borderId="0" xfId="0" applyFill="1" applyAlignment="1" applyProtection="1">
      <alignment horizontal="left"/>
    </xf>
    <xf numFmtId="0" fontId="9" fillId="0" borderId="19" xfId="0" applyFont="1" applyBorder="1" applyAlignment="1">
      <alignment horizontal="center" vertical="center"/>
    </xf>
    <xf numFmtId="0" fontId="9" fillId="0" borderId="18" xfId="0" applyFont="1" applyBorder="1" applyAlignment="1">
      <alignment horizontal="center" vertical="center"/>
    </xf>
    <xf numFmtId="0" fontId="0" fillId="13" borderId="1" xfId="0" applyFill="1" applyBorder="1" applyAlignment="1" applyProtection="1">
      <alignment horizontal="center"/>
    </xf>
    <xf numFmtId="166" fontId="0" fillId="0" borderId="0" xfId="0" applyNumberFormat="1" applyAlignment="1">
      <alignment horizontal="center"/>
    </xf>
    <xf numFmtId="0" fontId="0" fillId="0" borderId="20" xfId="0" applyBorder="1" applyAlignment="1">
      <alignment horizontal="center" vertical="center"/>
    </xf>
    <xf numFmtId="41" fontId="0" fillId="0" borderId="0" xfId="10" applyFont="1" applyAlignment="1"/>
    <xf numFmtId="0" fontId="0" fillId="19" borderId="1" xfId="0" applyFill="1" applyBorder="1" applyAlignment="1" applyProtection="1">
      <alignment horizontal="center"/>
    </xf>
    <xf numFmtId="0" fontId="0" fillId="20" borderId="1" xfId="0" applyFill="1" applyBorder="1" applyAlignment="1" applyProtection="1">
      <alignment horizontal="center"/>
    </xf>
    <xf numFmtId="0" fontId="0" fillId="10" borderId="1" xfId="0" applyFill="1" applyBorder="1" applyAlignment="1" applyProtection="1">
      <alignment horizontal="center"/>
    </xf>
    <xf numFmtId="0" fontId="12" fillId="14" borderId="1" xfId="0" applyFont="1" applyFill="1" applyBorder="1" applyAlignment="1" applyProtection="1">
      <alignment horizontal="center"/>
    </xf>
    <xf numFmtId="0" fontId="0" fillId="11" borderId="1" xfId="0" applyFill="1" applyBorder="1" applyAlignment="1" applyProtection="1">
      <alignment horizontal="center"/>
    </xf>
    <xf numFmtId="0" fontId="0" fillId="11" borderId="9" xfId="0" applyFill="1" applyBorder="1" applyAlignment="1">
      <alignment horizontal="left"/>
    </xf>
    <xf numFmtId="0" fontId="0" fillId="21" borderId="1" xfId="0" applyFill="1" applyBorder="1" applyAlignment="1" applyProtection="1">
      <alignment horizontal="center"/>
    </xf>
    <xf numFmtId="0" fontId="14" fillId="2" borderId="0" xfId="0" applyFont="1" applyFill="1" applyAlignment="1" applyProtection="1">
      <alignment horizontal="center"/>
    </xf>
    <xf numFmtId="0" fontId="0" fillId="22" borderId="1" xfId="0" applyFill="1" applyBorder="1" applyAlignment="1" applyProtection="1">
      <alignment horizontal="center"/>
    </xf>
    <xf numFmtId="168" fontId="0" fillId="0" borderId="0" xfId="0" applyNumberFormat="1" applyFill="1" applyProtection="1"/>
    <xf numFmtId="0" fontId="0" fillId="19" borderId="1" xfId="0" applyFill="1" applyBorder="1" applyProtection="1"/>
    <xf numFmtId="0" fontId="12" fillId="13" borderId="1" xfId="0" applyFont="1" applyFill="1" applyBorder="1" applyAlignment="1" applyProtection="1">
      <alignment horizontal="left" vertical="center"/>
    </xf>
    <xf numFmtId="165" fontId="0" fillId="19" borderId="1" xfId="1" applyNumberFormat="1" applyFont="1" applyFill="1" applyBorder="1" applyProtection="1"/>
    <xf numFmtId="0" fontId="11" fillId="20" borderId="1" xfId="0" applyFont="1" applyFill="1" applyBorder="1" applyAlignment="1" applyProtection="1">
      <alignment horizontal="center"/>
    </xf>
    <xf numFmtId="10" fontId="0" fillId="21" borderId="1" xfId="0" applyNumberFormat="1" applyFill="1" applyBorder="1" applyProtection="1"/>
    <xf numFmtId="0" fontId="0" fillId="21" borderId="1" xfId="0" applyFill="1" applyBorder="1" applyProtection="1"/>
    <xf numFmtId="0" fontId="0" fillId="22" borderId="1" xfId="0" applyFill="1" applyBorder="1" applyProtection="1"/>
    <xf numFmtId="0" fontId="11" fillId="12" borderId="1" xfId="17" applyFont="1" applyFill="1" applyBorder="1" applyAlignment="1" applyProtection="1">
      <alignment horizontal="center"/>
    </xf>
    <xf numFmtId="0" fontId="12" fillId="0" borderId="1" xfId="17" applyFill="1" applyBorder="1" applyAlignment="1" applyProtection="1">
      <alignment horizontal="center"/>
    </xf>
    <xf numFmtId="0" fontId="12" fillId="11" borderId="1" xfId="17" applyFill="1" applyBorder="1" applyAlignment="1" applyProtection="1">
      <alignment horizontal="center"/>
    </xf>
    <xf numFmtId="0" fontId="12" fillId="21" borderId="1" xfId="17" applyFill="1" applyBorder="1" applyAlignment="1" applyProtection="1">
      <alignment horizontal="center"/>
    </xf>
    <xf numFmtId="0" fontId="12" fillId="22" borderId="1" xfId="17" applyFill="1" applyBorder="1" applyAlignment="1" applyProtection="1">
      <alignment horizontal="center"/>
    </xf>
    <xf numFmtId="0" fontId="12" fillId="19" borderId="1" xfId="17" applyFill="1" applyBorder="1" applyAlignment="1" applyProtection="1">
      <alignment horizontal="center"/>
    </xf>
    <xf numFmtId="0" fontId="12" fillId="14" borderId="1" xfId="17" applyFill="1" applyBorder="1" applyAlignment="1" applyProtection="1">
      <alignment horizontal="center"/>
    </xf>
    <xf numFmtId="0" fontId="11" fillId="15" borderId="1" xfId="17" applyFont="1" applyFill="1" applyBorder="1" applyAlignment="1" applyProtection="1">
      <alignment horizontal="center"/>
    </xf>
    <xf numFmtId="0" fontId="3" fillId="0" borderId="0" xfId="18"/>
    <xf numFmtId="0" fontId="3" fillId="0" borderId="9" xfId="18" applyBorder="1" applyAlignment="1">
      <alignment horizontal="left"/>
    </xf>
    <xf numFmtId="14" fontId="3" fillId="0" borderId="9" xfId="18" applyNumberFormat="1" applyBorder="1" applyAlignment="1">
      <alignment horizontal="left"/>
    </xf>
    <xf numFmtId="0" fontId="3" fillId="0" borderId="8" xfId="18" applyBorder="1" applyAlignment="1">
      <alignment horizontal="center"/>
    </xf>
    <xf numFmtId="0" fontId="12" fillId="0" borderId="1" xfId="17" applyFill="1" applyBorder="1" applyProtection="1"/>
    <xf numFmtId="9" fontId="12" fillId="0" borderId="1" xfId="17" applyNumberFormat="1" applyFill="1" applyBorder="1" applyProtection="1"/>
    <xf numFmtId="9" fontId="12" fillId="0" borderId="1" xfId="2" applyFont="1" applyFill="1" applyBorder="1" applyProtection="1"/>
    <xf numFmtId="0" fontId="12" fillId="19" borderId="1" xfId="17" applyFill="1" applyBorder="1" applyProtection="1"/>
    <xf numFmtId="0" fontId="12" fillId="21" borderId="1" xfId="17" applyFill="1" applyBorder="1" applyProtection="1"/>
    <xf numFmtId="0" fontId="2" fillId="0" borderId="0" xfId="19"/>
    <xf numFmtId="0" fontId="9" fillId="0" borderId="3" xfId="19" applyFont="1" applyBorder="1" applyAlignment="1">
      <alignment horizontal="center" vertical="center"/>
    </xf>
    <xf numFmtId="0" fontId="9" fillId="0" borderId="6" xfId="19" applyFont="1" applyBorder="1" applyAlignment="1">
      <alignment horizontal="center" vertical="center"/>
    </xf>
    <xf numFmtId="0" fontId="2" fillId="0" borderId="8" xfId="19" applyBorder="1" applyAlignment="1">
      <alignment horizontal="center"/>
    </xf>
    <xf numFmtId="0" fontId="2" fillId="0" borderId="9" xfId="19" applyBorder="1" applyAlignment="1">
      <alignment horizontal="left"/>
    </xf>
    <xf numFmtId="14" fontId="2" fillId="0" borderId="9" xfId="19" applyNumberFormat="1" applyBorder="1" applyAlignment="1">
      <alignment horizontal="left"/>
    </xf>
    <xf numFmtId="0" fontId="2" fillId="0" borderId="9" xfId="19" applyBorder="1" applyAlignment="1">
      <alignment horizontal="center"/>
    </xf>
    <xf numFmtId="0" fontId="12" fillId="22" borderId="1" xfId="17" applyFill="1" applyBorder="1" applyProtection="1"/>
    <xf numFmtId="9" fontId="0" fillId="0" borderId="0" xfId="2" applyFont="1" applyFill="1" applyProtection="1"/>
    <xf numFmtId="0" fontId="0" fillId="16" borderId="1" xfId="0" applyFill="1" applyBorder="1" applyAlignment="1" applyProtection="1">
      <alignment horizontal="center"/>
    </xf>
    <xf numFmtId="0" fontId="11" fillId="13" borderId="23" xfId="0" applyFont="1" applyFill="1" applyBorder="1" applyAlignment="1" applyProtection="1">
      <alignment horizontal="center"/>
    </xf>
    <xf numFmtId="0" fontId="0" fillId="0" borderId="0" xfId="0" applyAlignment="1">
      <alignment horizontal="center"/>
    </xf>
    <xf numFmtId="3" fontId="0" fillId="5" borderId="9" xfId="0" applyNumberFormat="1" applyFill="1" applyBorder="1" applyAlignment="1">
      <alignment horizontal="right"/>
    </xf>
    <xf numFmtId="0" fontId="0" fillId="6" borderId="10" xfId="0" applyFill="1" applyBorder="1" applyAlignment="1">
      <alignment horizontal="left"/>
    </xf>
    <xf numFmtId="0" fontId="0" fillId="5" borderId="9" xfId="0" applyFill="1" applyBorder="1" applyAlignment="1">
      <alignment horizontal="right"/>
    </xf>
    <xf numFmtId="0" fontId="0" fillId="0" borderId="26" xfId="0" applyBorder="1"/>
    <xf numFmtId="0" fontId="0" fillId="0" borderId="27" xfId="0" applyBorder="1"/>
    <xf numFmtId="165" fontId="0" fillId="0" borderId="0" xfId="0" applyNumberFormat="1" applyFill="1" applyProtection="1"/>
    <xf numFmtId="0" fontId="0" fillId="0" borderId="9" xfId="0" applyFill="1" applyBorder="1" applyProtection="1"/>
    <xf numFmtId="0" fontId="0" fillId="9" borderId="9" xfId="0" applyFill="1" applyBorder="1" applyProtection="1"/>
    <xf numFmtId="0" fontId="0" fillId="9" borderId="0" xfId="0" applyFill="1"/>
    <xf numFmtId="0" fontId="0" fillId="9" borderId="0" xfId="0" applyFill="1" applyProtection="1"/>
    <xf numFmtId="0" fontId="7" fillId="0" borderId="9" xfId="3" applyBorder="1"/>
    <xf numFmtId="0" fontId="7" fillId="0" borderId="28" xfId="3" applyBorder="1"/>
    <xf numFmtId="0" fontId="7" fillId="0" borderId="1" xfId="3" applyBorder="1"/>
    <xf numFmtId="0" fontId="0" fillId="0" borderId="31" xfId="0" applyFill="1" applyBorder="1" applyProtection="1"/>
    <xf numFmtId="0" fontId="0" fillId="0" borderId="0" xfId="0" applyFill="1" applyAlignment="1">
      <alignment horizontal="center"/>
    </xf>
    <xf numFmtId="0" fontId="9" fillId="0" borderId="19" xfId="0" applyFont="1" applyFill="1" applyBorder="1" applyAlignment="1">
      <alignment horizontal="center" vertical="center"/>
    </xf>
    <xf numFmtId="0" fontId="9" fillId="0" borderId="18"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0" xfId="0" applyFont="1" applyFill="1" applyAlignment="1">
      <alignment horizontal="center" vertical="center"/>
    </xf>
    <xf numFmtId="0" fontId="9" fillId="0" borderId="24" xfId="3" applyFont="1" applyBorder="1" applyAlignment="1">
      <alignment horizontal="center" vertical="center"/>
    </xf>
    <xf numFmtId="0" fontId="6" fillId="0" borderId="1" xfId="3" applyFont="1" applyBorder="1" applyAlignment="1">
      <alignment horizontal="center"/>
    </xf>
    <xf numFmtId="0" fontId="0" fillId="0" borderId="8" xfId="0" applyFill="1" applyBorder="1" applyAlignment="1">
      <alignment horizontal="center"/>
    </xf>
    <xf numFmtId="0" fontId="0" fillId="0" borderId="9" xfId="0" applyFill="1" applyBorder="1" applyAlignment="1">
      <alignment horizontal="center"/>
    </xf>
    <xf numFmtId="0" fontId="0" fillId="0" borderId="9" xfId="0" applyFill="1" applyBorder="1" applyAlignment="1">
      <alignment horizontal="left"/>
    </xf>
    <xf numFmtId="0" fontId="0" fillId="0" borderId="9" xfId="0" applyFill="1" applyBorder="1" applyAlignment="1">
      <alignment horizontal="right"/>
    </xf>
    <xf numFmtId="14" fontId="0" fillId="0" borderId="9" xfId="0" applyNumberFormat="1" applyFill="1" applyBorder="1" applyAlignment="1">
      <alignment horizontal="center"/>
    </xf>
    <xf numFmtId="0" fontId="0" fillId="0" borderId="30" xfId="0" applyFill="1" applyBorder="1" applyAlignment="1">
      <alignment horizontal="right"/>
    </xf>
    <xf numFmtId="0" fontId="0" fillId="0" borderId="31" xfId="0" applyFill="1" applyBorder="1" applyAlignment="1">
      <alignment horizontal="left"/>
    </xf>
    <xf numFmtId="165" fontId="7" fillId="0" borderId="1" xfId="1" applyNumberFormat="1" applyFont="1" applyFill="1" applyBorder="1" applyAlignment="1">
      <alignment horizontal="center"/>
    </xf>
    <xf numFmtId="0" fontId="0" fillId="0" borderId="1" xfId="0" applyFill="1" applyBorder="1"/>
    <xf numFmtId="0" fontId="0" fillId="0" borderId="15" xfId="0" applyFill="1" applyBorder="1" applyAlignment="1">
      <alignment horizontal="right"/>
    </xf>
    <xf numFmtId="0" fontId="7" fillId="0" borderId="31" xfId="3" applyBorder="1"/>
    <xf numFmtId="166" fontId="0" fillId="0" borderId="0" xfId="0" applyNumberFormat="1"/>
    <xf numFmtId="0" fontId="0" fillId="0" borderId="0" xfId="0" applyAlignment="1">
      <alignment horizontal="center" vertical="center"/>
    </xf>
    <xf numFmtId="0" fontId="11" fillId="16" borderId="22" xfId="0" applyFont="1" applyFill="1" applyBorder="1" applyAlignment="1" applyProtection="1">
      <alignment horizontal="center"/>
    </xf>
    <xf numFmtId="0" fontId="12" fillId="17" borderId="33" xfId="0" applyFont="1" applyFill="1" applyBorder="1" applyAlignment="1" applyProtection="1">
      <alignment horizontal="left" vertical="center"/>
    </xf>
    <xf numFmtId="0" fontId="0" fillId="0" borderId="33" xfId="0" applyFill="1" applyBorder="1" applyProtection="1"/>
    <xf numFmtId="164" fontId="0" fillId="0" borderId="33" xfId="2" applyNumberFormat="1" applyFont="1" applyFill="1" applyBorder="1" applyProtection="1"/>
    <xf numFmtId="0" fontId="12" fillId="17" borderId="36" xfId="0" applyFont="1" applyFill="1" applyBorder="1" applyAlignment="1" applyProtection="1">
      <alignment horizontal="left" vertical="center"/>
    </xf>
    <xf numFmtId="0" fontId="0" fillId="0" borderId="36" xfId="0" applyFill="1" applyBorder="1" applyProtection="1"/>
    <xf numFmtId="164" fontId="0" fillId="0" borderId="36" xfId="2" applyNumberFormat="1" applyFont="1" applyFill="1" applyBorder="1" applyProtection="1"/>
    <xf numFmtId="0" fontId="0" fillId="0" borderId="37" xfId="0" applyFill="1" applyBorder="1" applyProtection="1"/>
    <xf numFmtId="0" fontId="0" fillId="0" borderId="38" xfId="0" applyFill="1" applyBorder="1" applyProtection="1"/>
    <xf numFmtId="0" fontId="0" fillId="0" borderId="39" xfId="0" applyFill="1" applyBorder="1" applyProtection="1"/>
    <xf numFmtId="0" fontId="12" fillId="0" borderId="0" xfId="0" applyFont="1" applyFill="1" applyAlignment="1" applyProtection="1">
      <alignment horizontal="left" vertical="center"/>
    </xf>
    <xf numFmtId="0" fontId="11" fillId="0" borderId="0" xfId="0" applyFont="1" applyFill="1" applyAlignment="1" applyProtection="1">
      <alignment horizontal="left" vertical="center"/>
    </xf>
    <xf numFmtId="0" fontId="1" fillId="0" borderId="0" xfId="3" applyFont="1"/>
    <xf numFmtId="0" fontId="0" fillId="23" borderId="1" xfId="0" applyFill="1" applyBorder="1" applyAlignment="1" applyProtection="1">
      <alignment horizontal="center"/>
    </xf>
    <xf numFmtId="0" fontId="0" fillId="12" borderId="1" xfId="0" applyFill="1" applyBorder="1" applyAlignment="1" applyProtection="1">
      <alignment horizontal="center"/>
    </xf>
    <xf numFmtId="0" fontId="12" fillId="0" borderId="23" xfId="0" applyFont="1" applyFill="1" applyBorder="1" applyAlignment="1" applyProtection="1">
      <alignment horizontal="center"/>
    </xf>
    <xf numFmtId="0" fontId="12" fillId="14" borderId="23" xfId="0" applyFont="1" applyFill="1" applyBorder="1" applyAlignment="1" applyProtection="1">
      <alignment horizontal="center"/>
    </xf>
    <xf numFmtId="0" fontId="0" fillId="19" borderId="23" xfId="0" applyFill="1" applyBorder="1" applyAlignment="1" applyProtection="1">
      <alignment horizontal="center"/>
    </xf>
    <xf numFmtId="0" fontId="0" fillId="22" borderId="23" xfId="0" applyFill="1" applyBorder="1" applyAlignment="1" applyProtection="1">
      <alignment horizontal="center"/>
    </xf>
    <xf numFmtId="0" fontId="0" fillId="21" borderId="23" xfId="0" applyFill="1" applyBorder="1" applyAlignment="1" applyProtection="1">
      <alignment horizontal="center"/>
    </xf>
    <xf numFmtId="0" fontId="0" fillId="11" borderId="23" xfId="0" applyFill="1" applyBorder="1" applyAlignment="1" applyProtection="1">
      <alignment horizontal="center"/>
    </xf>
    <xf numFmtId="0" fontId="0" fillId="23" borderId="34" xfId="0" applyFill="1" applyBorder="1" applyAlignment="1" applyProtection="1">
      <alignment horizontal="center"/>
    </xf>
    <xf numFmtId="0" fontId="0" fillId="23" borderId="38" xfId="0" applyFill="1" applyBorder="1" applyAlignment="1" applyProtection="1">
      <alignment horizontal="center"/>
    </xf>
    <xf numFmtId="165" fontId="0" fillId="0" borderId="34" xfId="1" applyNumberFormat="1" applyFont="1" applyFill="1" applyBorder="1" applyProtection="1"/>
    <xf numFmtId="165" fontId="0" fillId="0" borderId="38" xfId="1" applyNumberFormat="1" applyFont="1" applyFill="1" applyBorder="1" applyProtection="1"/>
    <xf numFmtId="0" fontId="0" fillId="23" borderId="35" xfId="0" applyFill="1" applyBorder="1" applyProtection="1"/>
    <xf numFmtId="0" fontId="0" fillId="23" borderId="36" xfId="0" applyFill="1" applyBorder="1" applyProtection="1"/>
    <xf numFmtId="0" fontId="0" fillId="23" borderId="39" xfId="0" applyFill="1" applyBorder="1" applyProtection="1"/>
    <xf numFmtId="0" fontId="0" fillId="19" borderId="34" xfId="0" applyFill="1" applyBorder="1" applyAlignment="1" applyProtection="1">
      <alignment horizontal="center"/>
    </xf>
    <xf numFmtId="0" fontId="0" fillId="19" borderId="38" xfId="0" applyFill="1" applyBorder="1" applyAlignment="1" applyProtection="1">
      <alignment horizontal="center"/>
    </xf>
    <xf numFmtId="0" fontId="0" fillId="19" borderId="35" xfId="0" applyFill="1" applyBorder="1" applyProtection="1"/>
    <xf numFmtId="0" fontId="0" fillId="19" borderId="36" xfId="0" applyFill="1" applyBorder="1" applyProtection="1"/>
    <xf numFmtId="0" fontId="0" fillId="19" borderId="39" xfId="0" applyFill="1" applyBorder="1" applyProtection="1"/>
    <xf numFmtId="0" fontId="0" fillId="11" borderId="34" xfId="0" applyFill="1" applyBorder="1" applyAlignment="1" applyProtection="1">
      <alignment horizontal="center"/>
    </xf>
    <xf numFmtId="0" fontId="0" fillId="11" borderId="38" xfId="0" applyFill="1" applyBorder="1" applyAlignment="1" applyProtection="1">
      <alignment horizontal="center"/>
    </xf>
    <xf numFmtId="0" fontId="0" fillId="11" borderId="35" xfId="0" applyFill="1" applyBorder="1" applyProtection="1"/>
    <xf numFmtId="0" fontId="0" fillId="11" borderId="36" xfId="0" applyFill="1" applyBorder="1" applyProtection="1"/>
    <xf numFmtId="0" fontId="0" fillId="11" borderId="39" xfId="0" applyFill="1" applyBorder="1" applyProtection="1"/>
    <xf numFmtId="0" fontId="0" fillId="12" borderId="34" xfId="0" applyFill="1" applyBorder="1" applyAlignment="1" applyProtection="1">
      <alignment horizontal="center"/>
    </xf>
    <xf numFmtId="0" fontId="0" fillId="12" borderId="38" xfId="0" applyFill="1" applyBorder="1" applyAlignment="1" applyProtection="1">
      <alignment horizontal="center"/>
    </xf>
    <xf numFmtId="0" fontId="0" fillId="12" borderId="35" xfId="0" applyFill="1" applyBorder="1" applyProtection="1"/>
    <xf numFmtId="0" fontId="0" fillId="12" borderId="36" xfId="0" applyFill="1" applyBorder="1" applyProtection="1"/>
    <xf numFmtId="0" fontId="0" fillId="12" borderId="39" xfId="0" applyFill="1" applyBorder="1" applyProtection="1"/>
    <xf numFmtId="165" fontId="0" fillId="19" borderId="35" xfId="0" applyNumberFormat="1" applyFill="1" applyBorder="1" applyProtection="1"/>
    <xf numFmtId="165" fontId="0" fillId="19" borderId="36" xfId="0" applyNumberFormat="1" applyFill="1" applyBorder="1" applyProtection="1"/>
    <xf numFmtId="165" fontId="0" fillId="19" borderId="39" xfId="0" applyNumberFormat="1" applyFill="1" applyBorder="1" applyProtection="1"/>
    <xf numFmtId="0" fontId="12" fillId="0" borderId="23" xfId="0" applyFont="1" applyFill="1" applyBorder="1" applyProtection="1"/>
    <xf numFmtId="0" fontId="12" fillId="17" borderId="23" xfId="0" applyFont="1" applyFill="1" applyBorder="1" applyAlignment="1" applyProtection="1">
      <alignment horizontal="left" vertical="center"/>
    </xf>
    <xf numFmtId="165" fontId="0" fillId="23" borderId="35" xfId="0" applyNumberFormat="1" applyFill="1" applyBorder="1" applyProtection="1"/>
    <xf numFmtId="165" fontId="0" fillId="23" borderId="36" xfId="0" applyNumberFormat="1" applyFill="1" applyBorder="1" applyProtection="1"/>
    <xf numFmtId="165" fontId="0" fillId="23" borderId="39" xfId="0" applyNumberFormat="1" applyFill="1" applyBorder="1" applyProtection="1"/>
    <xf numFmtId="165" fontId="0" fillId="11" borderId="35" xfId="0" applyNumberFormat="1" applyFill="1" applyBorder="1" applyProtection="1"/>
    <xf numFmtId="165" fontId="0" fillId="11" borderId="36" xfId="0" applyNumberFormat="1" applyFill="1" applyBorder="1" applyProtection="1"/>
    <xf numFmtId="165" fontId="0" fillId="11" borderId="39" xfId="0" applyNumberFormat="1" applyFill="1" applyBorder="1" applyProtection="1"/>
    <xf numFmtId="165" fontId="0" fillId="12" borderId="35" xfId="0" applyNumberFormat="1" applyFill="1" applyBorder="1" applyProtection="1"/>
    <xf numFmtId="165" fontId="0" fillId="12" borderId="36" xfId="0" applyNumberFormat="1" applyFill="1" applyBorder="1" applyProtection="1"/>
    <xf numFmtId="165" fontId="0" fillId="12" borderId="39" xfId="0" applyNumberFormat="1" applyFill="1" applyBorder="1" applyProtection="1"/>
    <xf numFmtId="0" fontId="11" fillId="23" borderId="1" xfId="0" applyFont="1" applyFill="1" applyBorder="1" applyAlignment="1" applyProtection="1">
      <alignment horizontal="center" vertical="center"/>
    </xf>
    <xf numFmtId="0" fontId="11" fillId="23" borderId="1" xfId="0" applyFont="1" applyFill="1" applyBorder="1" applyAlignment="1" applyProtection="1">
      <alignment horizontal="center" vertical="center" wrapText="1"/>
    </xf>
    <xf numFmtId="0" fontId="11" fillId="19" borderId="1" xfId="0" applyFont="1" applyFill="1" applyBorder="1" applyAlignment="1" applyProtection="1">
      <alignment horizontal="center" vertical="center"/>
    </xf>
    <xf numFmtId="0" fontId="11" fillId="19" borderId="1" xfId="0" applyFont="1" applyFill="1" applyBorder="1" applyAlignment="1" applyProtection="1">
      <alignment horizontal="center" vertical="center" wrapText="1"/>
    </xf>
    <xf numFmtId="0" fontId="11" fillId="11" borderId="1" xfId="0" applyFont="1" applyFill="1" applyBorder="1" applyAlignment="1" applyProtection="1">
      <alignment horizontal="center" vertical="center"/>
    </xf>
    <xf numFmtId="0" fontId="11" fillId="11" borderId="1" xfId="0" applyFont="1" applyFill="1" applyBorder="1" applyAlignment="1" applyProtection="1">
      <alignment horizontal="center" vertical="center" wrapText="1"/>
    </xf>
    <xf numFmtId="0" fontId="11" fillId="22" borderId="1" xfId="0" applyFont="1" applyFill="1" applyBorder="1" applyAlignment="1" applyProtection="1">
      <alignment horizontal="center" vertical="center"/>
    </xf>
    <xf numFmtId="0" fontId="11" fillId="22" borderId="1" xfId="0" applyFont="1" applyFill="1" applyBorder="1" applyAlignment="1" applyProtection="1">
      <alignment horizontal="center" vertical="center" wrapText="1"/>
    </xf>
    <xf numFmtId="0" fontId="11" fillId="24" borderId="1" xfId="0" applyFont="1" applyFill="1" applyBorder="1" applyAlignment="1" applyProtection="1">
      <alignment horizontal="center" vertical="center"/>
    </xf>
    <xf numFmtId="0" fontId="11" fillId="24" borderId="1" xfId="0" applyFont="1" applyFill="1" applyBorder="1" applyAlignment="1" applyProtection="1">
      <alignment horizontal="center" vertical="center" wrapText="1"/>
    </xf>
    <xf numFmtId="0" fontId="0" fillId="0" borderId="23" xfId="0" applyFill="1" applyBorder="1" applyAlignment="1" applyProtection="1">
      <alignment horizontal="center"/>
    </xf>
    <xf numFmtId="0" fontId="0" fillId="13" borderId="23" xfId="0" applyFill="1" applyBorder="1" applyAlignment="1" applyProtection="1">
      <alignment horizontal="center"/>
    </xf>
    <xf numFmtId="0" fontId="11" fillId="19" borderId="38" xfId="0" applyFont="1" applyFill="1" applyBorder="1" applyAlignment="1" applyProtection="1">
      <alignment horizontal="center" vertical="center"/>
    </xf>
    <xf numFmtId="0" fontId="11" fillId="23" borderId="38" xfId="0" applyFont="1" applyFill="1" applyBorder="1" applyAlignment="1" applyProtection="1">
      <alignment horizontal="center" vertical="center"/>
    </xf>
    <xf numFmtId="0" fontId="11" fillId="11" borderId="38" xfId="0" applyFont="1" applyFill="1" applyBorder="1" applyAlignment="1" applyProtection="1">
      <alignment horizontal="center" vertical="center"/>
    </xf>
    <xf numFmtId="0" fontId="11" fillId="22" borderId="38" xfId="0" applyFont="1" applyFill="1" applyBorder="1" applyAlignment="1" applyProtection="1">
      <alignment horizontal="center" vertical="center"/>
    </xf>
    <xf numFmtId="0" fontId="0" fillId="22" borderId="35" xfId="0" applyFill="1" applyBorder="1" applyProtection="1"/>
    <xf numFmtId="0" fontId="0" fillId="22" borderId="36" xfId="0" applyFill="1" applyBorder="1" applyProtection="1"/>
    <xf numFmtId="0" fontId="0" fillId="22" borderId="39" xfId="0" applyFill="1" applyBorder="1" applyProtection="1"/>
    <xf numFmtId="0" fontId="11" fillId="24" borderId="38" xfId="0" applyFont="1" applyFill="1" applyBorder="1" applyAlignment="1" applyProtection="1">
      <alignment horizontal="center" vertical="center"/>
    </xf>
    <xf numFmtId="0" fontId="0" fillId="24" borderId="35" xfId="0" applyFill="1" applyBorder="1" applyProtection="1"/>
    <xf numFmtId="0" fontId="0" fillId="24" borderId="36" xfId="0" applyFill="1" applyBorder="1" applyProtection="1"/>
    <xf numFmtId="0" fontId="0" fillId="24" borderId="39" xfId="0" applyFill="1" applyBorder="1" applyProtection="1"/>
    <xf numFmtId="0" fontId="0" fillId="0" borderId="34" xfId="0" applyFill="1" applyBorder="1" applyProtection="1"/>
    <xf numFmtId="0" fontId="0" fillId="23" borderId="1" xfId="0" applyFill="1" applyBorder="1" applyProtection="1"/>
    <xf numFmtId="0" fontId="0" fillId="23" borderId="33" xfId="0" applyFill="1" applyBorder="1" applyProtection="1"/>
    <xf numFmtId="0" fontId="0" fillId="9" borderId="21" xfId="0" applyFill="1" applyBorder="1" applyProtection="1"/>
    <xf numFmtId="0" fontId="11" fillId="18" borderId="42" xfId="0" applyFont="1" applyFill="1" applyBorder="1" applyAlignment="1" applyProtection="1">
      <alignment horizontal="center"/>
    </xf>
    <xf numFmtId="165" fontId="0" fillId="9" borderId="34" xfId="1" applyNumberFormat="1" applyFont="1" applyFill="1" applyBorder="1" applyProtection="1"/>
    <xf numFmtId="41" fontId="0" fillId="9" borderId="1" xfId="0" applyNumberFormat="1" applyFill="1" applyBorder="1" applyProtection="1"/>
    <xf numFmtId="165" fontId="0" fillId="10" borderId="38" xfId="1" applyNumberFormat="1" applyFont="1" applyFill="1" applyBorder="1" applyProtection="1"/>
    <xf numFmtId="0" fontId="0" fillId="9" borderId="34" xfId="0" applyFill="1" applyBorder="1" applyProtection="1"/>
    <xf numFmtId="0" fontId="8" fillId="0" borderId="1" xfId="0" applyFont="1" applyFill="1" applyBorder="1" applyProtection="1"/>
    <xf numFmtId="165" fontId="0" fillId="0" borderId="0" xfId="1" applyNumberFormat="1" applyFont="1" applyFill="1" applyProtection="1"/>
    <xf numFmtId="0" fontId="12" fillId="17" borderId="22" xfId="0" applyFont="1" applyFill="1" applyBorder="1" applyAlignment="1" applyProtection="1">
      <alignment horizontal="left" vertical="center"/>
    </xf>
    <xf numFmtId="165" fontId="0" fillId="0" borderId="22" xfId="1" applyNumberFormat="1" applyFont="1" applyFill="1" applyBorder="1" applyProtection="1"/>
    <xf numFmtId="0" fontId="12" fillId="17" borderId="25" xfId="0" applyFont="1" applyFill="1" applyBorder="1" applyAlignment="1" applyProtection="1">
      <alignment horizontal="left" vertical="center"/>
    </xf>
    <xf numFmtId="165" fontId="0" fillId="0" borderId="25" xfId="1" applyNumberFormat="1" applyFont="1" applyFill="1" applyBorder="1" applyProtection="1"/>
    <xf numFmtId="165" fontId="0" fillId="9" borderId="25" xfId="1" applyNumberFormat="1" applyFont="1" applyFill="1" applyBorder="1" applyProtection="1"/>
    <xf numFmtId="165" fontId="0" fillId="0" borderId="33" xfId="1" applyNumberFormat="1" applyFont="1" applyFill="1" applyBorder="1" applyProtection="1"/>
    <xf numFmtId="165" fontId="0" fillId="9" borderId="33" xfId="1" applyNumberFormat="1" applyFont="1" applyFill="1" applyBorder="1" applyProtection="1"/>
    <xf numFmtId="165" fontId="0" fillId="0" borderId="37" xfId="1" applyNumberFormat="1" applyFont="1" applyFill="1" applyBorder="1" applyProtection="1"/>
    <xf numFmtId="165" fontId="0" fillId="0" borderId="36" xfId="1" applyNumberFormat="1" applyFont="1" applyFill="1" applyBorder="1" applyProtection="1"/>
    <xf numFmtId="165" fontId="0" fillId="0" borderId="39" xfId="1" applyNumberFormat="1" applyFont="1" applyFill="1" applyBorder="1" applyProtection="1"/>
    <xf numFmtId="0" fontId="12" fillId="13" borderId="23" xfId="0" applyFont="1" applyFill="1" applyBorder="1" applyAlignment="1" applyProtection="1">
      <alignment horizontal="center"/>
    </xf>
    <xf numFmtId="0" fontId="13" fillId="0" borderId="0" xfId="0" applyFont="1" applyFill="1" applyAlignment="1" applyProtection="1">
      <alignment horizontal="center"/>
    </xf>
    <xf numFmtId="0" fontId="0" fillId="0" borderId="0" xfId="0" applyFill="1" applyProtection="1"/>
    <xf numFmtId="0" fontId="11" fillId="0" borderId="16" xfId="0" applyFont="1" applyFill="1" applyBorder="1" applyAlignment="1" applyProtection="1">
      <alignment horizontal="center"/>
    </xf>
    <xf numFmtId="0" fontId="0" fillId="0" borderId="1" xfId="0" applyFill="1" applyBorder="1" applyAlignment="1" applyProtection="1">
      <alignment horizontal="center" vertical="center"/>
    </xf>
    <xf numFmtId="0" fontId="12" fillId="0" borderId="1" xfId="0" applyFont="1" applyFill="1" applyBorder="1" applyAlignment="1" applyProtection="1">
      <alignment horizontal="center" vertical="center"/>
    </xf>
    <xf numFmtId="0" fontId="12" fillId="24" borderId="32" xfId="0" applyFont="1" applyFill="1" applyBorder="1" applyAlignment="1" applyProtection="1">
      <alignment horizontal="center"/>
    </xf>
    <xf numFmtId="0" fontId="0" fillId="24" borderId="33" xfId="0" applyFill="1" applyBorder="1" applyAlignment="1" applyProtection="1">
      <alignment horizontal="center"/>
    </xf>
    <xf numFmtId="0" fontId="0" fillId="24" borderId="37" xfId="0" applyFill="1" applyBorder="1" applyAlignment="1" applyProtection="1">
      <alignment horizontal="center"/>
    </xf>
    <xf numFmtId="0" fontId="11" fillId="24" borderId="40" xfId="0" applyFont="1" applyFill="1" applyBorder="1" applyAlignment="1" applyProtection="1">
      <alignment horizontal="center" vertical="center" wrapText="1"/>
    </xf>
    <xf numFmtId="0" fontId="11" fillId="24" borderId="41" xfId="0" applyFont="1" applyFill="1" applyBorder="1" applyAlignment="1" applyProtection="1">
      <alignment horizontal="center" vertical="center" wrapText="1"/>
    </xf>
    <xf numFmtId="0" fontId="12" fillId="23" borderId="32" xfId="0" applyFont="1" applyFill="1" applyBorder="1" applyAlignment="1" applyProtection="1">
      <alignment horizontal="center"/>
    </xf>
    <xf numFmtId="0" fontId="0" fillId="23" borderId="33" xfId="0" applyFill="1" applyBorder="1" applyAlignment="1" applyProtection="1">
      <alignment horizontal="center"/>
    </xf>
    <xf numFmtId="0" fontId="0" fillId="23" borderId="37" xfId="0" applyFill="1" applyBorder="1" applyAlignment="1" applyProtection="1">
      <alignment horizontal="center"/>
    </xf>
    <xf numFmtId="0" fontId="11" fillId="23" borderId="40" xfId="0" applyFont="1" applyFill="1" applyBorder="1" applyAlignment="1" applyProtection="1">
      <alignment horizontal="center" vertical="center" wrapText="1"/>
    </xf>
    <xf numFmtId="0" fontId="11" fillId="23" borderId="41" xfId="0" applyFont="1" applyFill="1" applyBorder="1" applyAlignment="1" applyProtection="1">
      <alignment horizontal="center" vertical="center" wrapText="1"/>
    </xf>
    <xf numFmtId="0" fontId="11" fillId="13" borderId="23" xfId="0" applyFont="1" applyFill="1" applyBorder="1" applyAlignment="1" applyProtection="1">
      <alignment horizontal="center" vertical="center"/>
    </xf>
    <xf numFmtId="0" fontId="11" fillId="19" borderId="40" xfId="0" applyFont="1" applyFill="1" applyBorder="1" applyAlignment="1" applyProtection="1">
      <alignment horizontal="center" vertical="center" wrapText="1"/>
    </xf>
    <xf numFmtId="0" fontId="11" fillId="19" borderId="41" xfId="0" applyFont="1" applyFill="1" applyBorder="1" applyAlignment="1" applyProtection="1">
      <alignment horizontal="center" vertical="center" wrapText="1"/>
    </xf>
    <xf numFmtId="0" fontId="12" fillId="19" borderId="32" xfId="0" applyFont="1" applyFill="1" applyBorder="1" applyAlignment="1" applyProtection="1">
      <alignment horizontal="center"/>
    </xf>
    <xf numFmtId="0" fontId="0" fillId="19" borderId="33" xfId="0" applyFill="1" applyBorder="1" applyAlignment="1" applyProtection="1">
      <alignment horizontal="center"/>
    </xf>
    <xf numFmtId="0" fontId="0" fillId="19" borderId="37" xfId="0" applyFill="1" applyBorder="1" applyAlignment="1" applyProtection="1">
      <alignment horizontal="center"/>
    </xf>
    <xf numFmtId="0" fontId="12" fillId="11" borderId="32" xfId="0" applyFont="1" applyFill="1" applyBorder="1" applyAlignment="1" applyProtection="1">
      <alignment horizontal="center"/>
    </xf>
    <xf numFmtId="0" fontId="0" fillId="11" borderId="33" xfId="0" applyFill="1" applyBorder="1" applyAlignment="1" applyProtection="1">
      <alignment horizontal="center"/>
    </xf>
    <xf numFmtId="0" fontId="0" fillId="11" borderId="37" xfId="0" applyFill="1" applyBorder="1" applyAlignment="1" applyProtection="1">
      <alignment horizontal="center"/>
    </xf>
    <xf numFmtId="0" fontId="12" fillId="22" borderId="32" xfId="0" applyFont="1" applyFill="1" applyBorder="1" applyAlignment="1" applyProtection="1">
      <alignment horizontal="center"/>
    </xf>
    <xf numFmtId="0" fontId="0" fillId="22" borderId="33" xfId="0" applyFill="1" applyBorder="1" applyAlignment="1" applyProtection="1">
      <alignment horizontal="center"/>
    </xf>
    <xf numFmtId="0" fontId="0" fillId="22" borderId="37" xfId="0" applyFill="1" applyBorder="1" applyAlignment="1" applyProtection="1">
      <alignment horizontal="center"/>
    </xf>
    <xf numFmtId="0" fontId="11" fillId="11" borderId="40" xfId="0" applyFont="1" applyFill="1" applyBorder="1" applyAlignment="1" applyProtection="1">
      <alignment horizontal="center" vertical="center" wrapText="1"/>
    </xf>
    <xf numFmtId="0" fontId="11" fillId="11" borderId="41" xfId="0" applyFont="1" applyFill="1" applyBorder="1" applyAlignment="1" applyProtection="1">
      <alignment horizontal="center" vertical="center" wrapText="1"/>
    </xf>
    <xf numFmtId="0" fontId="11" fillId="22" borderId="40" xfId="0" applyFont="1" applyFill="1" applyBorder="1" applyAlignment="1" applyProtection="1">
      <alignment horizontal="center" vertical="center" wrapText="1"/>
    </xf>
    <xf numFmtId="0" fontId="11" fillId="22" borderId="41" xfId="0" applyFont="1" applyFill="1" applyBorder="1" applyAlignment="1" applyProtection="1">
      <alignment horizontal="center" vertical="center" wrapText="1"/>
    </xf>
    <xf numFmtId="0" fontId="12" fillId="12" borderId="32" xfId="0" applyFont="1" applyFill="1" applyBorder="1" applyAlignment="1" applyProtection="1">
      <alignment horizontal="center"/>
    </xf>
    <xf numFmtId="0" fontId="0" fillId="12" borderId="33" xfId="0" applyFill="1" applyBorder="1" applyAlignment="1" applyProtection="1">
      <alignment horizontal="center"/>
    </xf>
    <xf numFmtId="0" fontId="0" fillId="12" borderId="37" xfId="0" applyFill="1" applyBorder="1" applyAlignment="1" applyProtection="1">
      <alignment horizontal="center"/>
    </xf>
    <xf numFmtId="0" fontId="12" fillId="0" borderId="23" xfId="17" applyFill="1" applyBorder="1" applyAlignment="1" applyProtection="1">
      <alignment horizontal="center"/>
    </xf>
    <xf numFmtId="0" fontId="12" fillId="0" borderId="24" xfId="17" applyFill="1" applyBorder="1" applyAlignment="1" applyProtection="1">
      <alignment horizontal="center"/>
    </xf>
    <xf numFmtId="0" fontId="11" fillId="15" borderId="23" xfId="17" applyFont="1" applyFill="1" applyBorder="1" applyAlignment="1" applyProtection="1">
      <alignment horizontal="center"/>
    </xf>
    <xf numFmtId="0" fontId="11" fillId="15" borderId="24" xfId="17" applyFont="1" applyFill="1" applyBorder="1" applyAlignment="1" applyProtection="1">
      <alignment horizontal="center"/>
    </xf>
    <xf numFmtId="0" fontId="12" fillId="0" borderId="1" xfId="17" applyFill="1" applyBorder="1" applyAlignment="1" applyProtection="1">
      <alignment horizontal="center"/>
    </xf>
    <xf numFmtId="0" fontId="11" fillId="0" borderId="1" xfId="0" applyFont="1" applyFill="1" applyBorder="1" applyAlignment="1" applyProtection="1">
      <alignment horizontal="center" vertical="center"/>
    </xf>
    <xf numFmtId="0" fontId="11" fillId="13" borderId="1" xfId="0" applyFont="1" applyFill="1" applyBorder="1" applyAlignment="1" applyProtection="1">
      <alignment horizontal="center" vertical="center" wrapText="1"/>
    </xf>
    <xf numFmtId="0" fontId="11" fillId="13" borderId="1" xfId="0" applyFont="1" applyFill="1" applyBorder="1" applyAlignment="1" applyProtection="1">
      <alignment horizontal="center" vertical="center"/>
    </xf>
    <xf numFmtId="0" fontId="11" fillId="13" borderId="22" xfId="0" applyFont="1" applyFill="1" applyBorder="1" applyAlignment="1" applyProtection="1">
      <alignment horizontal="center" vertical="center"/>
    </xf>
    <xf numFmtId="0" fontId="11" fillId="13" borderId="25" xfId="0" applyFont="1" applyFill="1" applyBorder="1" applyAlignment="1" applyProtection="1">
      <alignment horizontal="center" vertical="center"/>
    </xf>
    <xf numFmtId="0" fontId="11" fillId="0" borderId="25" xfId="0" applyFont="1" applyFill="1" applyBorder="1" applyAlignment="1" applyProtection="1">
      <alignment horizontal="center" vertical="center"/>
    </xf>
    <xf numFmtId="0" fontId="11" fillId="0" borderId="32" xfId="0" applyFont="1" applyFill="1" applyBorder="1" applyAlignment="1" applyProtection="1">
      <alignment horizontal="center" vertical="center"/>
    </xf>
    <xf numFmtId="0" fontId="11" fillId="0" borderId="34" xfId="0" applyFont="1" applyFill="1" applyBorder="1" applyAlignment="1" applyProtection="1">
      <alignment horizontal="center" vertical="center"/>
    </xf>
    <xf numFmtId="0" fontId="11" fillId="0" borderId="35" xfId="0" applyFont="1" applyFill="1" applyBorder="1" applyAlignment="1" applyProtection="1">
      <alignment horizontal="center" vertical="center"/>
    </xf>
    <xf numFmtId="0" fontId="11" fillId="0" borderId="22" xfId="0" applyFont="1" applyFill="1" applyBorder="1" applyAlignment="1" applyProtection="1">
      <alignment horizontal="center" vertical="center"/>
    </xf>
    <xf numFmtId="0" fontId="11" fillId="12" borderId="1" xfId="0" applyFont="1" applyFill="1" applyBorder="1" applyAlignment="1" applyProtection="1">
      <alignment horizontal="center"/>
    </xf>
    <xf numFmtId="0" fontId="9" fillId="0" borderId="0" xfId="0" applyFont="1" applyAlignment="1">
      <alignment horizontal="center"/>
    </xf>
    <xf numFmtId="0" fontId="0" fillId="0" borderId="0" xfId="0"/>
    <xf numFmtId="0" fontId="0" fillId="0" borderId="0" xfId="0" applyAlignment="1">
      <alignment horizontal="center"/>
    </xf>
    <xf numFmtId="0" fontId="10" fillId="3" borderId="3" xfId="0" applyFont="1" applyFill="1" applyBorder="1" applyAlignment="1">
      <alignment horizontal="center" vertical="top"/>
    </xf>
    <xf numFmtId="0" fontId="10" fillId="3" borderId="6" xfId="0" applyFont="1" applyFill="1" applyBorder="1" applyAlignment="1">
      <alignment horizontal="center" vertical="top"/>
    </xf>
    <xf numFmtId="0" fontId="10" fillId="4" borderId="3" xfId="0" applyFont="1" applyFill="1" applyBorder="1" applyAlignment="1">
      <alignment horizontal="center" vertical="top"/>
    </xf>
    <xf numFmtId="0" fontId="10" fillId="4" borderId="6" xfId="0" applyFont="1" applyFill="1" applyBorder="1" applyAlignment="1">
      <alignment horizontal="center" vertical="top"/>
    </xf>
    <xf numFmtId="0" fontId="10" fillId="3" borderId="4" xfId="0" applyFont="1" applyFill="1" applyBorder="1" applyAlignment="1">
      <alignment horizontal="center" vertical="top"/>
    </xf>
    <xf numFmtId="0" fontId="10" fillId="3" borderId="7" xfId="0" applyFont="1" applyFill="1" applyBorder="1" applyAlignment="1">
      <alignment horizontal="center" vertical="top"/>
    </xf>
    <xf numFmtId="0" fontId="9" fillId="7" borderId="11" xfId="0" applyFont="1" applyFill="1" applyBorder="1" applyAlignment="1">
      <alignment horizontal="center"/>
    </xf>
    <xf numFmtId="0" fontId="9" fillId="7" borderId="12" xfId="0" applyFont="1" applyFill="1" applyBorder="1" applyAlignment="1">
      <alignment horizontal="center"/>
    </xf>
    <xf numFmtId="0" fontId="9" fillId="7" borderId="13" xfId="0" applyFont="1" applyFill="1" applyBorder="1" applyAlignment="1">
      <alignment horizontal="center"/>
    </xf>
    <xf numFmtId="3" fontId="9" fillId="7" borderId="15" xfId="0" applyNumberFormat="1" applyFont="1" applyFill="1" applyBorder="1" applyAlignment="1">
      <alignment horizontal="right"/>
    </xf>
    <xf numFmtId="3" fontId="9" fillId="7" borderId="12" xfId="0" applyNumberFormat="1" applyFont="1" applyFill="1" applyBorder="1" applyAlignment="1">
      <alignment horizontal="right"/>
    </xf>
    <xf numFmtId="3" fontId="9" fillId="7" borderId="13" xfId="0" applyNumberFormat="1" applyFont="1" applyFill="1" applyBorder="1" applyAlignment="1">
      <alignment horizontal="right"/>
    </xf>
    <xf numFmtId="0" fontId="10" fillId="3" borderId="2" xfId="0" applyFont="1" applyFill="1" applyBorder="1" applyAlignment="1">
      <alignment horizontal="center" vertical="top"/>
    </xf>
    <xf numFmtId="0" fontId="10" fillId="3" borderId="5" xfId="0" applyFont="1" applyFill="1" applyBorder="1" applyAlignment="1">
      <alignment horizontal="center" vertical="top"/>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2" xfId="0" applyFont="1" applyBorder="1" applyAlignment="1">
      <alignment horizontal="center" vertical="center"/>
    </xf>
    <xf numFmtId="0" fontId="9" fillId="0" borderId="5" xfId="0" applyFont="1" applyBorder="1" applyAlignment="1">
      <alignment horizontal="center" vertical="center"/>
    </xf>
    <xf numFmtId="0" fontId="9" fillId="0" borderId="3" xfId="0" applyFont="1" applyBorder="1" applyAlignment="1">
      <alignment horizontal="center" vertical="center"/>
    </xf>
    <xf numFmtId="0" fontId="9" fillId="0" borderId="6"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9" fillId="0" borderId="11" xfId="0" applyFont="1" applyFill="1" applyBorder="1" applyAlignment="1">
      <alignment horizontal="center" vertical="center"/>
    </xf>
    <xf numFmtId="0" fontId="9" fillId="0" borderId="12" xfId="0"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Fill="1" applyAlignment="1">
      <alignment horizontal="center"/>
    </xf>
    <xf numFmtId="0" fontId="0" fillId="0" borderId="0" xfId="0" applyFill="1"/>
    <xf numFmtId="0" fontId="0" fillId="0" borderId="0" xfId="0" applyFill="1" applyAlignment="1">
      <alignment horizontal="center"/>
    </xf>
    <xf numFmtId="0" fontId="9" fillId="0" borderId="3" xfId="18" applyFont="1" applyBorder="1" applyAlignment="1">
      <alignment horizontal="center" vertical="center"/>
    </xf>
    <xf numFmtId="0" fontId="9" fillId="0" borderId="6" xfId="18" applyFont="1" applyBorder="1" applyAlignment="1">
      <alignment horizontal="center" vertical="center"/>
    </xf>
    <xf numFmtId="0" fontId="9" fillId="0" borderId="2" xfId="18" applyFont="1" applyBorder="1" applyAlignment="1">
      <alignment horizontal="center" vertical="center"/>
    </xf>
    <xf numFmtId="0" fontId="9" fillId="0" borderId="5" xfId="18" applyFont="1" applyBorder="1" applyAlignment="1">
      <alignment horizontal="center" vertical="center"/>
    </xf>
    <xf numFmtId="0" fontId="9" fillId="0" borderId="3" xfId="19" applyFont="1" applyBorder="1" applyAlignment="1">
      <alignment horizontal="center" vertical="center"/>
    </xf>
    <xf numFmtId="0" fontId="9" fillId="0" borderId="6" xfId="19" applyFont="1" applyBorder="1" applyAlignment="1">
      <alignment horizontal="center" vertical="center"/>
    </xf>
    <xf numFmtId="0" fontId="9" fillId="0" borderId="2" xfId="19" applyFont="1" applyBorder="1" applyAlignment="1">
      <alignment horizontal="center" vertical="center"/>
    </xf>
    <xf numFmtId="0" fontId="9" fillId="0" borderId="5" xfId="19" applyFont="1" applyBorder="1" applyAlignment="1">
      <alignment horizontal="center" vertical="center"/>
    </xf>
    <xf numFmtId="0" fontId="8" fillId="0" borderId="0" xfId="0" applyFont="1"/>
  </cellXfs>
  <cellStyles count="20">
    <cellStyle name="Comma" xfId="1" builtinId="3"/>
    <cellStyle name="Comma [0]" xfId="10" builtinId="6"/>
    <cellStyle name="Comma [0] 2" xfId="6" xr:uid="{0CB95E5A-FA34-4CC4-AF39-D671AF3539D9}"/>
    <cellStyle name="Comma [0] 2 2" xfId="11" xr:uid="{56121024-0067-4CC2-8CF5-89066A9CF3E0}"/>
    <cellStyle name="Comma 2" xfId="5" xr:uid="{20DC33D1-C427-4BB9-8592-4C165B404EF3}"/>
    <cellStyle name="Comma 2 2" xfId="12" xr:uid="{AEC6886F-F001-4C49-AF5D-FEC155689D63}"/>
    <cellStyle name="Comma 3" xfId="8" xr:uid="{4E94BC83-6DF0-4A28-936F-CEC91327730F}"/>
    <cellStyle name="Comma 3 2" xfId="13" xr:uid="{AD517442-D20E-492F-B6BC-C5EDB0519D48}"/>
    <cellStyle name="Normal" xfId="0" builtinId="0"/>
    <cellStyle name="Normal 2" xfId="3" xr:uid="{C6BCA929-FBB1-4517-A7AC-0DFC855BAB7A}"/>
    <cellStyle name="Normal 2 2" xfId="14" xr:uid="{BBCFDFCF-4332-411D-A5AD-7155CD01B673}"/>
    <cellStyle name="Normal 3" xfId="4" xr:uid="{A77F439D-B218-4A39-8F43-797D69A4BC05}"/>
    <cellStyle name="Normal 3 2" xfId="15" xr:uid="{A0299798-48F4-4220-BDD3-3CA616D2AF54}"/>
    <cellStyle name="Normal 4" xfId="17" xr:uid="{5E391F1F-37BF-4D65-B9EF-6BA23431C7CD}"/>
    <cellStyle name="Normal 5" xfId="18" xr:uid="{4FD01FAC-0881-44AA-B2EA-8A4020071D2C}"/>
    <cellStyle name="Normal 6" xfId="19" xr:uid="{26DFB403-289A-40BE-AE42-4E9FDFABF246}"/>
    <cellStyle name="Percent" xfId="2" builtinId="5"/>
    <cellStyle name="Percent 2" xfId="7" xr:uid="{C0DAE90F-E78F-44A9-9984-EC80B1A71AE3}"/>
    <cellStyle name="Percent 2 2" xfId="16" xr:uid="{B23B92B0-C0D2-4D33-887C-A2A05778A61D}"/>
    <cellStyle name="Percent 3" xfId="9" xr:uid="{F15E73F8-C87F-48A6-AAEF-C303531641EC}"/>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80808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USIA ANGGOTA</a:t>
            </a:r>
            <a:r>
              <a:rPr lang="en-US" baseline="0"/>
              <a:t> </a:t>
            </a:r>
            <a:endParaRPr lang="en-US"/>
          </a:p>
        </c:rich>
      </c:tx>
      <c:overlay val="0"/>
      <c:spPr>
        <a:noFill/>
        <a:ln w="25400">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w="6350" cap="flat" cmpd="sng" algn="ctr">
          <a:noFill/>
          <a:prstDash val="solid"/>
          <a:round/>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ANALISA!$E$4</c:f>
              <c:strCache>
                <c:ptCount val="1"/>
                <c:pt idx="0">
                  <c:v>PBL</c:v>
                </c:pt>
              </c:strCache>
            </c:strRef>
          </c:tx>
          <c:spPr>
            <a:solidFill>
              <a:schemeClr val="accent1"/>
            </a:solidFill>
            <a:ln>
              <a:noFill/>
            </a:ln>
            <a:effectLst/>
            <a:sp3d/>
          </c:spPr>
          <c:invertIfNegative val="0"/>
          <c:cat>
            <c:strRef>
              <c:f>ANALISA!$B$5:$B$10</c:f>
              <c:strCache>
                <c:ptCount val="6"/>
                <c:pt idx="0">
                  <c:v>&lt;24 th</c:v>
                </c:pt>
                <c:pt idx="1">
                  <c:v>24 - 35 th</c:v>
                </c:pt>
                <c:pt idx="2">
                  <c:v>36 - 45 th</c:v>
                </c:pt>
                <c:pt idx="3">
                  <c:v>46 - 60 th</c:v>
                </c:pt>
                <c:pt idx="4">
                  <c:v>&gt; 60 th</c:v>
                </c:pt>
                <c:pt idx="5">
                  <c:v>Tidak Valid</c:v>
                </c:pt>
              </c:strCache>
            </c:strRef>
          </c:cat>
          <c:val>
            <c:numRef>
              <c:f>ANALISA!$E$5:$E$10</c:f>
              <c:numCache>
                <c:formatCode>General</c:formatCode>
                <c:ptCount val="6"/>
                <c:pt idx="0">
                  <c:v>166</c:v>
                </c:pt>
                <c:pt idx="1">
                  <c:v>513</c:v>
                </c:pt>
                <c:pt idx="2">
                  <c:v>653</c:v>
                </c:pt>
                <c:pt idx="3">
                  <c:v>874</c:v>
                </c:pt>
                <c:pt idx="4">
                  <c:v>410</c:v>
                </c:pt>
                <c:pt idx="5">
                  <c:v>0</c:v>
                </c:pt>
              </c:numCache>
            </c:numRef>
          </c:val>
          <c:extLst>
            <c:ext xmlns:c16="http://schemas.microsoft.com/office/drawing/2014/chart" uri="{C3380CC4-5D6E-409C-BE32-E72D297353CC}">
              <c16:uniqueId val="{00000000-AD90-49BD-B25C-1AFFC7F79D1E}"/>
            </c:ext>
          </c:extLst>
        </c:ser>
        <c:ser>
          <c:idx val="1"/>
          <c:order val="1"/>
          <c:tx>
            <c:strRef>
              <c:f>ANALISA!$F$4</c:f>
              <c:strCache>
                <c:ptCount val="1"/>
                <c:pt idx="0">
                  <c:v>KRK</c:v>
                </c:pt>
              </c:strCache>
            </c:strRef>
          </c:tx>
          <c:spPr>
            <a:solidFill>
              <a:schemeClr val="accent2"/>
            </a:solidFill>
            <a:ln>
              <a:noFill/>
            </a:ln>
            <a:effectLst/>
            <a:sp3d/>
          </c:spPr>
          <c:invertIfNegative val="0"/>
          <c:cat>
            <c:strRef>
              <c:f>ANALISA!$B$5:$B$10</c:f>
              <c:strCache>
                <c:ptCount val="6"/>
                <c:pt idx="0">
                  <c:v>&lt;24 th</c:v>
                </c:pt>
                <c:pt idx="1">
                  <c:v>24 - 35 th</c:v>
                </c:pt>
                <c:pt idx="2">
                  <c:v>36 - 45 th</c:v>
                </c:pt>
                <c:pt idx="3">
                  <c:v>46 - 60 th</c:v>
                </c:pt>
                <c:pt idx="4">
                  <c:v>&gt; 60 th</c:v>
                </c:pt>
                <c:pt idx="5">
                  <c:v>Tidak Valid</c:v>
                </c:pt>
              </c:strCache>
            </c:strRef>
          </c:cat>
          <c:val>
            <c:numRef>
              <c:f>ANALISA!$F$5:$F$10</c:f>
              <c:numCache>
                <c:formatCode>General</c:formatCode>
                <c:ptCount val="6"/>
                <c:pt idx="0">
                  <c:v>27</c:v>
                </c:pt>
                <c:pt idx="1">
                  <c:v>105</c:v>
                </c:pt>
                <c:pt idx="2">
                  <c:v>198</c:v>
                </c:pt>
                <c:pt idx="3">
                  <c:v>262</c:v>
                </c:pt>
                <c:pt idx="4">
                  <c:v>105</c:v>
                </c:pt>
                <c:pt idx="5">
                  <c:v>0</c:v>
                </c:pt>
              </c:numCache>
            </c:numRef>
          </c:val>
          <c:extLst>
            <c:ext xmlns:c16="http://schemas.microsoft.com/office/drawing/2014/chart" uri="{C3380CC4-5D6E-409C-BE32-E72D297353CC}">
              <c16:uniqueId val="{00000000-6ABE-404A-BD97-E2DDBD78245F}"/>
            </c:ext>
          </c:extLst>
        </c:ser>
        <c:ser>
          <c:idx val="2"/>
          <c:order val="2"/>
          <c:tx>
            <c:strRef>
              <c:f>ANALISA!$G$4</c:f>
              <c:strCache>
                <c:ptCount val="1"/>
                <c:pt idx="0">
                  <c:v>JBR</c:v>
                </c:pt>
              </c:strCache>
            </c:strRef>
          </c:tx>
          <c:spPr>
            <a:solidFill>
              <a:schemeClr val="accent3"/>
            </a:solidFill>
            <a:ln>
              <a:noFill/>
            </a:ln>
            <a:effectLst/>
            <a:sp3d/>
          </c:spPr>
          <c:invertIfNegative val="0"/>
          <c:cat>
            <c:strRef>
              <c:f>ANALISA!$B$5:$B$10</c:f>
              <c:strCache>
                <c:ptCount val="6"/>
                <c:pt idx="0">
                  <c:v>&lt;24 th</c:v>
                </c:pt>
                <c:pt idx="1">
                  <c:v>24 - 35 th</c:v>
                </c:pt>
                <c:pt idx="2">
                  <c:v>36 - 45 th</c:v>
                </c:pt>
                <c:pt idx="3">
                  <c:v>46 - 60 th</c:v>
                </c:pt>
                <c:pt idx="4">
                  <c:v>&gt; 60 th</c:v>
                </c:pt>
                <c:pt idx="5">
                  <c:v>Tidak Valid</c:v>
                </c:pt>
              </c:strCache>
            </c:strRef>
          </c:cat>
          <c:val>
            <c:numRef>
              <c:f>ANALISA!$G$5:$G$10</c:f>
              <c:numCache>
                <c:formatCode>General</c:formatCode>
                <c:ptCount val="6"/>
                <c:pt idx="0">
                  <c:v>50</c:v>
                </c:pt>
                <c:pt idx="1">
                  <c:v>164</c:v>
                </c:pt>
                <c:pt idx="2">
                  <c:v>211</c:v>
                </c:pt>
                <c:pt idx="3">
                  <c:v>371</c:v>
                </c:pt>
                <c:pt idx="4">
                  <c:v>148</c:v>
                </c:pt>
                <c:pt idx="5">
                  <c:v>0</c:v>
                </c:pt>
              </c:numCache>
            </c:numRef>
          </c:val>
          <c:extLst>
            <c:ext xmlns:c16="http://schemas.microsoft.com/office/drawing/2014/chart" uri="{C3380CC4-5D6E-409C-BE32-E72D297353CC}">
              <c16:uniqueId val="{00000001-6ABE-404A-BD97-E2DDBD78245F}"/>
            </c:ext>
          </c:extLst>
        </c:ser>
        <c:ser>
          <c:idx val="3"/>
          <c:order val="3"/>
          <c:tx>
            <c:strRef>
              <c:f>ANALISA!$H$4</c:f>
              <c:strCache>
                <c:ptCount val="1"/>
                <c:pt idx="0">
                  <c:v>BWI</c:v>
                </c:pt>
              </c:strCache>
            </c:strRef>
          </c:tx>
          <c:spPr>
            <a:solidFill>
              <a:schemeClr val="accent4"/>
            </a:solidFill>
            <a:ln>
              <a:noFill/>
            </a:ln>
            <a:effectLst/>
            <a:sp3d/>
          </c:spPr>
          <c:invertIfNegative val="0"/>
          <c:cat>
            <c:strRef>
              <c:f>ANALISA!$B$5:$B$10</c:f>
              <c:strCache>
                <c:ptCount val="6"/>
                <c:pt idx="0">
                  <c:v>&lt;24 th</c:v>
                </c:pt>
                <c:pt idx="1">
                  <c:v>24 - 35 th</c:v>
                </c:pt>
                <c:pt idx="2">
                  <c:v>36 - 45 th</c:v>
                </c:pt>
                <c:pt idx="3">
                  <c:v>46 - 60 th</c:v>
                </c:pt>
                <c:pt idx="4">
                  <c:v>&gt; 60 th</c:v>
                </c:pt>
                <c:pt idx="5">
                  <c:v>Tidak Valid</c:v>
                </c:pt>
              </c:strCache>
            </c:strRef>
          </c:cat>
          <c:val>
            <c:numRef>
              <c:f>ANALISA!$H$5:$H$10</c:f>
              <c:numCache>
                <c:formatCode>General</c:formatCode>
                <c:ptCount val="6"/>
                <c:pt idx="0">
                  <c:v>39</c:v>
                </c:pt>
                <c:pt idx="1">
                  <c:v>112</c:v>
                </c:pt>
                <c:pt idx="2">
                  <c:v>113</c:v>
                </c:pt>
                <c:pt idx="3">
                  <c:v>155</c:v>
                </c:pt>
                <c:pt idx="4">
                  <c:v>61</c:v>
                </c:pt>
                <c:pt idx="5">
                  <c:v>0</c:v>
                </c:pt>
              </c:numCache>
            </c:numRef>
          </c:val>
          <c:extLst>
            <c:ext xmlns:c16="http://schemas.microsoft.com/office/drawing/2014/chart" uri="{C3380CC4-5D6E-409C-BE32-E72D297353CC}">
              <c16:uniqueId val="{00000002-6ABE-404A-BD97-E2DDBD78245F}"/>
            </c:ext>
          </c:extLst>
        </c:ser>
        <c:ser>
          <c:idx val="4"/>
          <c:order val="4"/>
          <c:tx>
            <c:strRef>
              <c:f>ANALISA!$I$4</c:f>
              <c:strCache>
                <c:ptCount val="1"/>
                <c:pt idx="0">
                  <c:v>MJK</c:v>
                </c:pt>
              </c:strCache>
            </c:strRef>
          </c:tx>
          <c:spPr>
            <a:solidFill>
              <a:schemeClr val="accent5"/>
            </a:solidFill>
            <a:ln>
              <a:noFill/>
            </a:ln>
            <a:effectLst/>
            <a:sp3d/>
          </c:spPr>
          <c:invertIfNegative val="0"/>
          <c:cat>
            <c:strRef>
              <c:f>ANALISA!$B$5:$B$10</c:f>
              <c:strCache>
                <c:ptCount val="6"/>
                <c:pt idx="0">
                  <c:v>&lt;24 th</c:v>
                </c:pt>
                <c:pt idx="1">
                  <c:v>24 - 35 th</c:v>
                </c:pt>
                <c:pt idx="2">
                  <c:v>36 - 45 th</c:v>
                </c:pt>
                <c:pt idx="3">
                  <c:v>46 - 60 th</c:v>
                </c:pt>
                <c:pt idx="4">
                  <c:v>&gt; 60 th</c:v>
                </c:pt>
                <c:pt idx="5">
                  <c:v>Tidak Valid</c:v>
                </c:pt>
              </c:strCache>
            </c:strRef>
          </c:cat>
          <c:val>
            <c:numRef>
              <c:f>ANALISA!$I$5:$I$10</c:f>
              <c:numCache>
                <c:formatCode>General</c:formatCode>
                <c:ptCount val="6"/>
                <c:pt idx="0">
                  <c:v>34</c:v>
                </c:pt>
                <c:pt idx="1">
                  <c:v>46</c:v>
                </c:pt>
                <c:pt idx="2">
                  <c:v>82</c:v>
                </c:pt>
                <c:pt idx="3">
                  <c:v>156</c:v>
                </c:pt>
                <c:pt idx="4">
                  <c:v>38</c:v>
                </c:pt>
                <c:pt idx="5">
                  <c:v>0</c:v>
                </c:pt>
              </c:numCache>
            </c:numRef>
          </c:val>
          <c:extLst>
            <c:ext xmlns:c16="http://schemas.microsoft.com/office/drawing/2014/chart" uri="{C3380CC4-5D6E-409C-BE32-E72D297353CC}">
              <c16:uniqueId val="{00000003-6ABE-404A-BD97-E2DDBD78245F}"/>
            </c:ext>
          </c:extLst>
        </c:ser>
        <c:ser>
          <c:idx val="5"/>
          <c:order val="5"/>
          <c:tx>
            <c:strRef>
              <c:f>ANALISA!$J$4</c:f>
              <c:strCache>
                <c:ptCount val="1"/>
                <c:pt idx="0">
                  <c:v>MGL</c:v>
                </c:pt>
              </c:strCache>
            </c:strRef>
          </c:tx>
          <c:spPr>
            <a:solidFill>
              <a:schemeClr val="accent6"/>
            </a:solidFill>
            <a:ln>
              <a:noFill/>
            </a:ln>
            <a:effectLst/>
            <a:sp3d/>
          </c:spPr>
          <c:invertIfNegative val="0"/>
          <c:cat>
            <c:strRef>
              <c:f>ANALISA!$B$5:$B$10</c:f>
              <c:strCache>
                <c:ptCount val="6"/>
                <c:pt idx="0">
                  <c:v>&lt;24 th</c:v>
                </c:pt>
                <c:pt idx="1">
                  <c:v>24 - 35 th</c:v>
                </c:pt>
                <c:pt idx="2">
                  <c:v>36 - 45 th</c:v>
                </c:pt>
                <c:pt idx="3">
                  <c:v>46 - 60 th</c:v>
                </c:pt>
                <c:pt idx="4">
                  <c:v>&gt; 60 th</c:v>
                </c:pt>
                <c:pt idx="5">
                  <c:v>Tidak Valid</c:v>
                </c:pt>
              </c:strCache>
            </c:strRef>
          </c:cat>
          <c:val>
            <c:numRef>
              <c:f>ANALISA!$J$5:$J$10</c:f>
              <c:numCache>
                <c:formatCode>General</c:formatCode>
                <c:ptCount val="6"/>
                <c:pt idx="0">
                  <c:v>26</c:v>
                </c:pt>
                <c:pt idx="1">
                  <c:v>62</c:v>
                </c:pt>
                <c:pt idx="2">
                  <c:v>100</c:v>
                </c:pt>
                <c:pt idx="3">
                  <c:v>228</c:v>
                </c:pt>
                <c:pt idx="4">
                  <c:v>106</c:v>
                </c:pt>
                <c:pt idx="5">
                  <c:v>0</c:v>
                </c:pt>
              </c:numCache>
            </c:numRef>
          </c:val>
          <c:extLst>
            <c:ext xmlns:c16="http://schemas.microsoft.com/office/drawing/2014/chart" uri="{C3380CC4-5D6E-409C-BE32-E72D297353CC}">
              <c16:uniqueId val="{00000004-6ABE-404A-BD97-E2DDBD78245F}"/>
            </c:ext>
          </c:extLst>
        </c:ser>
        <c:ser>
          <c:idx val="6"/>
          <c:order val="6"/>
          <c:tx>
            <c:strRef>
              <c:f>ANALISA!$K$4</c:f>
              <c:strCache>
                <c:ptCount val="1"/>
                <c:pt idx="0">
                  <c:v>PML</c:v>
                </c:pt>
              </c:strCache>
            </c:strRef>
          </c:tx>
          <c:spPr>
            <a:solidFill>
              <a:schemeClr val="accent1">
                <a:lumMod val="60000"/>
              </a:schemeClr>
            </a:solidFill>
            <a:ln>
              <a:noFill/>
            </a:ln>
            <a:effectLst/>
            <a:sp3d/>
          </c:spPr>
          <c:invertIfNegative val="0"/>
          <c:cat>
            <c:strRef>
              <c:f>ANALISA!$B$5:$B$10</c:f>
              <c:strCache>
                <c:ptCount val="6"/>
                <c:pt idx="0">
                  <c:v>&lt;24 th</c:v>
                </c:pt>
                <c:pt idx="1">
                  <c:v>24 - 35 th</c:v>
                </c:pt>
                <c:pt idx="2">
                  <c:v>36 - 45 th</c:v>
                </c:pt>
                <c:pt idx="3">
                  <c:v>46 - 60 th</c:v>
                </c:pt>
                <c:pt idx="4">
                  <c:v>&gt; 60 th</c:v>
                </c:pt>
                <c:pt idx="5">
                  <c:v>Tidak Valid</c:v>
                </c:pt>
              </c:strCache>
            </c:strRef>
          </c:cat>
          <c:val>
            <c:numRef>
              <c:f>ANALISA!$K$5:$K$10</c:f>
              <c:numCache>
                <c:formatCode>General</c:formatCode>
                <c:ptCount val="6"/>
                <c:pt idx="0">
                  <c:v>0</c:v>
                </c:pt>
                <c:pt idx="1">
                  <c:v>4</c:v>
                </c:pt>
                <c:pt idx="2">
                  <c:v>91</c:v>
                </c:pt>
                <c:pt idx="3">
                  <c:v>51</c:v>
                </c:pt>
                <c:pt idx="4">
                  <c:v>2</c:v>
                </c:pt>
                <c:pt idx="5">
                  <c:v>42</c:v>
                </c:pt>
              </c:numCache>
            </c:numRef>
          </c:val>
          <c:extLst>
            <c:ext xmlns:c16="http://schemas.microsoft.com/office/drawing/2014/chart" uri="{C3380CC4-5D6E-409C-BE32-E72D297353CC}">
              <c16:uniqueId val="{00000005-6ABE-404A-BD97-E2DDBD78245F}"/>
            </c:ext>
          </c:extLst>
        </c:ser>
        <c:dLbls>
          <c:showLegendKey val="0"/>
          <c:showVal val="0"/>
          <c:showCatName val="0"/>
          <c:showSerName val="0"/>
          <c:showPercent val="0"/>
          <c:showBubbleSize val="0"/>
        </c:dLbls>
        <c:gapWidth val="55"/>
        <c:gapDepth val="55"/>
        <c:shape val="box"/>
        <c:axId val="614108336"/>
        <c:axId val="1"/>
        <c:axId val="0"/>
      </c:bar3DChart>
      <c:catAx>
        <c:axId val="61410833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0833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Klasifikasi Usia Anggota</a:t>
            </a:r>
          </a:p>
        </c:rich>
      </c:tx>
      <c:layout>
        <c:manualLayout>
          <c:xMode val="edge"/>
          <c:yMode val="edge"/>
          <c:x val="1.1628446872181808E-2"/>
          <c:y val="1.57546997385794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3650051274358668"/>
          <c:w val="1"/>
          <c:h val="0.63233985636036427"/>
        </c:manualLayout>
      </c:layout>
      <c:pie3DChart>
        <c:varyColors val="1"/>
        <c:ser>
          <c:idx val="0"/>
          <c:order val="0"/>
          <c:tx>
            <c:strRef>
              <c:f>ANALISA!$D$4</c:f>
              <c:strCache>
                <c:ptCount val="1"/>
                <c:pt idx="0">
                  <c:v>%</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C59-4985-9182-C66B8679370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C59-4985-9182-C66B8679370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C59-4985-9182-C66B8679370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6-A5B4-4080-A5E4-2A915EB89BB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272-407F-B3EC-64BCAC40232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8-7165-4E4F-BBEB-8BB58B49A330}"/>
              </c:ext>
            </c:extLst>
          </c:dPt>
          <c:dLbls>
            <c:dLbl>
              <c:idx val="3"/>
              <c:layout>
                <c:manualLayout>
                  <c:x val="0.15912861468710937"/>
                  <c:y val="-0.16344605175396049"/>
                </c:manualLayout>
              </c:layout>
              <c:tx>
                <c:rich>
                  <a:bodyPr/>
                  <a:lstStyle/>
                  <a:p>
                    <a:fld id="{97E63FF2-8EB1-45A6-8F91-A2CB6DD4DE69}" type="PERCENTAGE">
                      <a:rPr lang="en-US">
                        <a:solidFill>
                          <a:schemeClr val="bg1"/>
                        </a:solidFill>
                      </a:rPr>
                      <a:pPr/>
                      <a:t>[PERCENTAGE]</a:t>
                    </a:fld>
                    <a:endParaRPr lang="en-ID"/>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A5B4-4080-A5E4-2A915EB89BBA}"/>
                </c:ext>
              </c:extLst>
            </c:dLbl>
            <c:dLbl>
              <c:idx val="5"/>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8-7165-4E4F-BBEB-8BB58B49A33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ANALISA!$B$5:$B$10</c:f>
              <c:strCache>
                <c:ptCount val="6"/>
                <c:pt idx="0">
                  <c:v>&lt;24 th</c:v>
                </c:pt>
                <c:pt idx="1">
                  <c:v>24 - 35 th</c:v>
                </c:pt>
                <c:pt idx="2">
                  <c:v>36 - 45 th</c:v>
                </c:pt>
                <c:pt idx="3">
                  <c:v>46 - 60 th</c:v>
                </c:pt>
                <c:pt idx="4">
                  <c:v>&gt; 60 th</c:v>
                </c:pt>
                <c:pt idx="5">
                  <c:v>Tidak Valid</c:v>
                </c:pt>
              </c:strCache>
            </c:strRef>
          </c:cat>
          <c:val>
            <c:numRef>
              <c:f>ANALISA!$D$5:$D$10</c:f>
              <c:numCache>
                <c:formatCode>0.00%</c:formatCode>
                <c:ptCount val="6"/>
                <c:pt idx="0">
                  <c:v>5.8914728682170542E-2</c:v>
                </c:pt>
                <c:pt idx="1">
                  <c:v>0.17329888027562446</c:v>
                </c:pt>
                <c:pt idx="2">
                  <c:v>0.24944013781223084</c:v>
                </c:pt>
                <c:pt idx="3">
                  <c:v>0.36124031007751939</c:v>
                </c:pt>
                <c:pt idx="4">
                  <c:v>0.14987080103359174</c:v>
                </c:pt>
                <c:pt idx="5">
                  <c:v>7.2351421188630487E-3</c:v>
                </c:pt>
              </c:numCache>
            </c:numRef>
          </c:val>
          <c:extLst>
            <c:ext xmlns:c16="http://schemas.microsoft.com/office/drawing/2014/chart" uri="{C3380CC4-5D6E-409C-BE32-E72D297353CC}">
              <c16:uniqueId val="{00000006-CC59-4985-9182-C66B8679370A}"/>
            </c:ext>
          </c:extLst>
        </c:ser>
        <c:dLbls>
          <c:showLegendKey val="0"/>
          <c:showVal val="0"/>
          <c:showCatName val="0"/>
          <c:showSerName val="0"/>
          <c:showPercent val="1"/>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USIA</a:t>
            </a:r>
            <a:r>
              <a:rPr lang="en-US" baseline="0"/>
              <a:t> ANGGOTA PEMINJAM</a:t>
            </a:r>
            <a:endParaRPr lang="en-US"/>
          </a:p>
        </c:rich>
      </c:tx>
      <c:overlay val="0"/>
      <c:spPr>
        <a:noFill/>
        <a:ln w="25400">
          <a:noFill/>
        </a:ln>
      </c:spPr>
    </c:title>
    <c:autoTitleDeleted val="0"/>
    <c:view3D>
      <c:rotX val="15"/>
      <c:rotY val="20"/>
      <c:depthPercent val="100"/>
      <c:rAngAx val="1"/>
    </c:view3D>
    <c:floor>
      <c:thickness val="0"/>
      <c:spPr>
        <a:noFill/>
        <a:ln w="6350">
          <a:noFill/>
        </a:ln>
      </c:spPr>
    </c:floor>
    <c:sideWall>
      <c:thickness val="0"/>
      <c:spPr>
        <a:noFill/>
        <a:ln w="25400">
          <a:noFill/>
        </a:ln>
      </c:spPr>
    </c:sideWall>
    <c:backWall>
      <c:thickness val="0"/>
      <c:spPr>
        <a:noFill/>
        <a:ln w="25400">
          <a:noFill/>
        </a:ln>
      </c:spPr>
    </c:backWall>
    <c:plotArea>
      <c:layout/>
      <c:bar3DChart>
        <c:barDir val="col"/>
        <c:grouping val="stacked"/>
        <c:varyColors val="0"/>
        <c:ser>
          <c:idx val="0"/>
          <c:order val="0"/>
          <c:tx>
            <c:strRef>
              <c:f>ANALISA!$C$135</c:f>
              <c:strCache>
                <c:ptCount val="1"/>
                <c:pt idx="0">
                  <c:v>JUMLAH</c:v>
                </c:pt>
              </c:strCache>
            </c:strRef>
          </c:tx>
          <c:spPr>
            <a:solidFill>
              <a:srgbClr val="4472C4"/>
            </a:solidFill>
            <a:ln w="25400">
              <a:noFill/>
            </a:ln>
          </c:spPr>
          <c:invertIfNegative val="0"/>
          <c:dLbls>
            <c:spPr>
              <a:solidFill>
                <a:srgbClr val="ED7D31"/>
              </a:solidFill>
              <a:ln w="25400">
                <a:noFill/>
              </a:ln>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ANALISA!$B$136:$B$140</c:f>
              <c:strCache>
                <c:ptCount val="5"/>
                <c:pt idx="0">
                  <c:v>&lt;24 th</c:v>
                </c:pt>
                <c:pt idx="1">
                  <c:v>24 - 35 th</c:v>
                </c:pt>
                <c:pt idx="2">
                  <c:v>36 - 45 th</c:v>
                </c:pt>
                <c:pt idx="3">
                  <c:v>46 - 60 th</c:v>
                </c:pt>
                <c:pt idx="4">
                  <c:v>&gt; 60 th</c:v>
                </c:pt>
              </c:strCache>
            </c:strRef>
          </c:cat>
          <c:val>
            <c:numRef>
              <c:f>ANALISA!$C$136:$C$140</c:f>
              <c:numCache>
                <c:formatCode>General</c:formatCode>
                <c:ptCount val="5"/>
                <c:pt idx="0">
                  <c:v>51</c:v>
                </c:pt>
                <c:pt idx="1">
                  <c:v>320</c:v>
                </c:pt>
                <c:pt idx="2">
                  <c:v>478</c:v>
                </c:pt>
                <c:pt idx="3">
                  <c:v>712</c:v>
                </c:pt>
                <c:pt idx="4">
                  <c:v>177</c:v>
                </c:pt>
              </c:numCache>
            </c:numRef>
          </c:val>
          <c:extLst>
            <c:ext xmlns:c16="http://schemas.microsoft.com/office/drawing/2014/chart" uri="{C3380CC4-5D6E-409C-BE32-E72D297353CC}">
              <c16:uniqueId val="{00000000-D859-4AC4-8E8F-598461214096}"/>
            </c:ext>
          </c:extLst>
        </c:ser>
        <c:dLbls>
          <c:showLegendKey val="0"/>
          <c:showVal val="0"/>
          <c:showCatName val="0"/>
          <c:showSerName val="0"/>
          <c:showPercent val="0"/>
          <c:showBubbleSize val="0"/>
        </c:dLbls>
        <c:gapWidth val="150"/>
        <c:shape val="box"/>
        <c:axId val="614100416"/>
        <c:axId val="1"/>
        <c:axId val="0"/>
      </c:bar3DChart>
      <c:catAx>
        <c:axId val="614100416"/>
        <c:scaling>
          <c:orientation val="minMax"/>
        </c:scaling>
        <c:delete val="0"/>
        <c:axPos val="b"/>
        <c:numFmt formatCode="General"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00416"/>
        <c:crosses val="autoZero"/>
        <c:crossBetween val="between"/>
      </c:valAx>
      <c:spPr>
        <a:noFill/>
        <a:ln w="25400">
          <a:noFill/>
        </a:ln>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ANALISA!$B$160</c:f>
              <c:strCache>
                <c:ptCount val="1"/>
                <c:pt idx="0">
                  <c:v>&lt;24 th</c:v>
                </c:pt>
              </c:strCache>
            </c:strRef>
          </c:tx>
          <c:spPr>
            <a:ln w="19050" cap="rnd">
              <a:solidFill>
                <a:schemeClr val="accent1"/>
              </a:solidFill>
              <a:round/>
            </a:ln>
            <a:effectLst/>
          </c:spPr>
          <c:marker>
            <c:symbol val="none"/>
          </c:marker>
          <c:cat>
            <c:strRef>
              <c:f>ANALISA!$C$159:$H$159</c:f>
              <c:strCache>
                <c:ptCount val="6"/>
                <c:pt idx="0">
                  <c:v>KESEHATAN</c:v>
                </c:pt>
                <c:pt idx="1">
                  <c:v>KESEJAHTERAAN</c:v>
                </c:pt>
                <c:pt idx="2">
                  <c:v>Konsumtif</c:v>
                </c:pt>
                <c:pt idx="3">
                  <c:v>Pendidikan</c:v>
                </c:pt>
                <c:pt idx="4">
                  <c:v>Produktif</c:v>
                </c:pt>
                <c:pt idx="5">
                  <c:v>data kosong</c:v>
                </c:pt>
              </c:strCache>
            </c:strRef>
          </c:cat>
          <c:val>
            <c:numRef>
              <c:f>ANALISA!$C$160:$H$160</c:f>
              <c:numCache>
                <c:formatCode>General</c:formatCode>
                <c:ptCount val="6"/>
                <c:pt idx="0">
                  <c:v>0</c:v>
                </c:pt>
                <c:pt idx="1">
                  <c:v>6</c:v>
                </c:pt>
                <c:pt idx="2">
                  <c:v>23</c:v>
                </c:pt>
                <c:pt idx="3">
                  <c:v>5</c:v>
                </c:pt>
                <c:pt idx="4">
                  <c:v>16</c:v>
                </c:pt>
                <c:pt idx="5">
                  <c:v>1</c:v>
                </c:pt>
              </c:numCache>
            </c:numRef>
          </c:val>
          <c:smooth val="1"/>
          <c:extLst>
            <c:ext xmlns:c16="http://schemas.microsoft.com/office/drawing/2014/chart" uri="{C3380CC4-5D6E-409C-BE32-E72D297353CC}">
              <c16:uniqueId val="{00000000-0B57-46CF-A5E7-8E08F5911E7D}"/>
            </c:ext>
          </c:extLst>
        </c:ser>
        <c:ser>
          <c:idx val="1"/>
          <c:order val="1"/>
          <c:tx>
            <c:strRef>
              <c:f>ANALISA!$B$161</c:f>
              <c:strCache>
                <c:ptCount val="1"/>
                <c:pt idx="0">
                  <c:v>24 - 35 th</c:v>
                </c:pt>
              </c:strCache>
            </c:strRef>
          </c:tx>
          <c:spPr>
            <a:ln w="19050" cap="rnd">
              <a:solidFill>
                <a:schemeClr val="accent2"/>
              </a:solidFill>
              <a:round/>
            </a:ln>
            <a:effectLst/>
          </c:spPr>
          <c:marker>
            <c:symbol val="none"/>
          </c:marker>
          <c:cat>
            <c:strRef>
              <c:f>ANALISA!$C$159:$H$159</c:f>
              <c:strCache>
                <c:ptCount val="6"/>
                <c:pt idx="0">
                  <c:v>KESEHATAN</c:v>
                </c:pt>
                <c:pt idx="1">
                  <c:v>KESEJAHTERAAN</c:v>
                </c:pt>
                <c:pt idx="2">
                  <c:v>Konsumtif</c:v>
                </c:pt>
                <c:pt idx="3">
                  <c:v>Pendidikan</c:v>
                </c:pt>
                <c:pt idx="4">
                  <c:v>Produktif</c:v>
                </c:pt>
                <c:pt idx="5">
                  <c:v>data kosong</c:v>
                </c:pt>
              </c:strCache>
            </c:strRef>
          </c:cat>
          <c:val>
            <c:numRef>
              <c:f>ANALISA!$C$161:$H$161</c:f>
              <c:numCache>
                <c:formatCode>General</c:formatCode>
                <c:ptCount val="6"/>
                <c:pt idx="0">
                  <c:v>5</c:v>
                </c:pt>
                <c:pt idx="1">
                  <c:v>62</c:v>
                </c:pt>
                <c:pt idx="2">
                  <c:v>111</c:v>
                </c:pt>
                <c:pt idx="3">
                  <c:v>29</c:v>
                </c:pt>
                <c:pt idx="4">
                  <c:v>110</c:v>
                </c:pt>
                <c:pt idx="5">
                  <c:v>3</c:v>
                </c:pt>
              </c:numCache>
            </c:numRef>
          </c:val>
          <c:smooth val="1"/>
          <c:extLst>
            <c:ext xmlns:c16="http://schemas.microsoft.com/office/drawing/2014/chart" uri="{C3380CC4-5D6E-409C-BE32-E72D297353CC}">
              <c16:uniqueId val="{00000001-0B57-46CF-A5E7-8E08F5911E7D}"/>
            </c:ext>
          </c:extLst>
        </c:ser>
        <c:ser>
          <c:idx val="2"/>
          <c:order val="2"/>
          <c:tx>
            <c:strRef>
              <c:f>ANALISA!$B$162</c:f>
              <c:strCache>
                <c:ptCount val="1"/>
                <c:pt idx="0">
                  <c:v>36 - 45 th</c:v>
                </c:pt>
              </c:strCache>
            </c:strRef>
          </c:tx>
          <c:spPr>
            <a:ln w="19050" cap="rnd">
              <a:solidFill>
                <a:schemeClr val="accent3"/>
              </a:solidFill>
              <a:round/>
            </a:ln>
            <a:effectLst/>
          </c:spPr>
          <c:marker>
            <c:symbol val="none"/>
          </c:marker>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ANALISA!$C$159:$H$159</c:f>
              <c:strCache>
                <c:ptCount val="6"/>
                <c:pt idx="0">
                  <c:v>KESEHATAN</c:v>
                </c:pt>
                <c:pt idx="1">
                  <c:v>KESEJAHTERAAN</c:v>
                </c:pt>
                <c:pt idx="2">
                  <c:v>Konsumtif</c:v>
                </c:pt>
                <c:pt idx="3">
                  <c:v>Pendidikan</c:v>
                </c:pt>
                <c:pt idx="4">
                  <c:v>Produktif</c:v>
                </c:pt>
                <c:pt idx="5">
                  <c:v>data kosong</c:v>
                </c:pt>
              </c:strCache>
            </c:strRef>
          </c:cat>
          <c:val>
            <c:numRef>
              <c:f>ANALISA!$C$162:$H$162</c:f>
              <c:numCache>
                <c:formatCode>General</c:formatCode>
                <c:ptCount val="6"/>
                <c:pt idx="0">
                  <c:v>3</c:v>
                </c:pt>
                <c:pt idx="1">
                  <c:v>72</c:v>
                </c:pt>
                <c:pt idx="2">
                  <c:v>90</c:v>
                </c:pt>
                <c:pt idx="3">
                  <c:v>88</c:v>
                </c:pt>
                <c:pt idx="4">
                  <c:v>206</c:v>
                </c:pt>
                <c:pt idx="5">
                  <c:v>19</c:v>
                </c:pt>
              </c:numCache>
            </c:numRef>
          </c:val>
          <c:smooth val="1"/>
          <c:extLst>
            <c:ext xmlns:c16="http://schemas.microsoft.com/office/drawing/2014/chart" uri="{C3380CC4-5D6E-409C-BE32-E72D297353CC}">
              <c16:uniqueId val="{00000002-0B57-46CF-A5E7-8E08F5911E7D}"/>
            </c:ext>
          </c:extLst>
        </c:ser>
        <c:ser>
          <c:idx val="3"/>
          <c:order val="3"/>
          <c:tx>
            <c:strRef>
              <c:f>ANALISA!$B$163</c:f>
              <c:strCache>
                <c:ptCount val="1"/>
                <c:pt idx="0">
                  <c:v>46 - 60 th</c:v>
                </c:pt>
              </c:strCache>
            </c:strRef>
          </c:tx>
          <c:marker>
            <c:symbol val="none"/>
          </c:marker>
          <c:cat>
            <c:strRef>
              <c:f>ANALISA!$C$159:$H$159</c:f>
              <c:strCache>
                <c:ptCount val="6"/>
                <c:pt idx="0">
                  <c:v>KESEHATAN</c:v>
                </c:pt>
                <c:pt idx="1">
                  <c:v>KESEJAHTERAAN</c:v>
                </c:pt>
                <c:pt idx="2">
                  <c:v>Konsumtif</c:v>
                </c:pt>
                <c:pt idx="3">
                  <c:v>Pendidikan</c:v>
                </c:pt>
                <c:pt idx="4">
                  <c:v>Produktif</c:v>
                </c:pt>
                <c:pt idx="5">
                  <c:v>data kosong</c:v>
                </c:pt>
              </c:strCache>
            </c:strRef>
          </c:cat>
          <c:val>
            <c:numRef>
              <c:f>ANALISA!$C$163:$H$163</c:f>
              <c:numCache>
                <c:formatCode>General</c:formatCode>
                <c:ptCount val="6"/>
                <c:pt idx="0">
                  <c:v>9</c:v>
                </c:pt>
                <c:pt idx="1">
                  <c:v>93</c:v>
                </c:pt>
                <c:pt idx="2">
                  <c:v>141</c:v>
                </c:pt>
                <c:pt idx="3">
                  <c:v>132</c:v>
                </c:pt>
                <c:pt idx="4">
                  <c:v>287</c:v>
                </c:pt>
                <c:pt idx="5">
                  <c:v>50</c:v>
                </c:pt>
              </c:numCache>
            </c:numRef>
          </c:val>
          <c:smooth val="0"/>
          <c:extLst>
            <c:ext xmlns:c16="http://schemas.microsoft.com/office/drawing/2014/chart" uri="{C3380CC4-5D6E-409C-BE32-E72D297353CC}">
              <c16:uniqueId val="{00000000-A4EB-4385-865C-515DD7246639}"/>
            </c:ext>
          </c:extLst>
        </c:ser>
        <c:ser>
          <c:idx val="4"/>
          <c:order val="4"/>
          <c:tx>
            <c:strRef>
              <c:f>ANALISA!$B$164</c:f>
              <c:strCache>
                <c:ptCount val="1"/>
                <c:pt idx="0">
                  <c:v>&gt; 60 th</c:v>
                </c:pt>
              </c:strCache>
            </c:strRef>
          </c:tx>
          <c:marker>
            <c:symbol val="none"/>
          </c:marker>
          <c:cat>
            <c:strRef>
              <c:f>ANALISA!$C$159:$H$159</c:f>
              <c:strCache>
                <c:ptCount val="6"/>
                <c:pt idx="0">
                  <c:v>KESEHATAN</c:v>
                </c:pt>
                <c:pt idx="1">
                  <c:v>KESEJAHTERAAN</c:v>
                </c:pt>
                <c:pt idx="2">
                  <c:v>Konsumtif</c:v>
                </c:pt>
                <c:pt idx="3">
                  <c:v>Pendidikan</c:v>
                </c:pt>
                <c:pt idx="4">
                  <c:v>Produktif</c:v>
                </c:pt>
                <c:pt idx="5">
                  <c:v>data kosong</c:v>
                </c:pt>
              </c:strCache>
            </c:strRef>
          </c:cat>
          <c:val>
            <c:numRef>
              <c:f>ANALISA!$C$164:$H$164</c:f>
              <c:numCache>
                <c:formatCode>General</c:formatCode>
                <c:ptCount val="6"/>
                <c:pt idx="0">
                  <c:v>4</c:v>
                </c:pt>
                <c:pt idx="1">
                  <c:v>31</c:v>
                </c:pt>
                <c:pt idx="2">
                  <c:v>47</c:v>
                </c:pt>
                <c:pt idx="3">
                  <c:v>14</c:v>
                </c:pt>
                <c:pt idx="4">
                  <c:v>70</c:v>
                </c:pt>
                <c:pt idx="5">
                  <c:v>11</c:v>
                </c:pt>
              </c:numCache>
            </c:numRef>
          </c:val>
          <c:smooth val="0"/>
          <c:extLst>
            <c:ext xmlns:c16="http://schemas.microsoft.com/office/drawing/2014/chart" uri="{C3380CC4-5D6E-409C-BE32-E72D297353CC}">
              <c16:uniqueId val="{00000001-A4EB-4385-865C-515DD7246639}"/>
            </c:ext>
          </c:extLst>
        </c:ser>
        <c:dLbls>
          <c:showLegendKey val="0"/>
          <c:showVal val="0"/>
          <c:showCatName val="0"/>
          <c:showSerName val="0"/>
          <c:showPercent val="0"/>
          <c:showBubbleSize val="0"/>
        </c:dLbls>
        <c:smooth val="0"/>
        <c:axId val="614102216"/>
        <c:axId val="1"/>
      </c:lineChart>
      <c:catAx>
        <c:axId val="61410221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tickMarkSkip val="1"/>
        <c:noMultiLvlLbl val="0"/>
      </c:catAx>
      <c:valAx>
        <c:axId val="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02216"/>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PROFESI ANGGOTA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034862825246417E-2"/>
          <c:y val="0.25720120136158764"/>
          <c:w val="0.63938365721021073"/>
          <c:h val="0.68707745766974426"/>
        </c:manualLayout>
      </c:layout>
      <c:pie3DChart>
        <c:varyColors val="1"/>
        <c:ser>
          <c:idx val="0"/>
          <c:order val="0"/>
          <c:tx>
            <c:strRef>
              <c:f>ANALISA!$C$27</c:f>
              <c:strCache>
                <c:ptCount val="1"/>
                <c:pt idx="0">
                  <c:v>JUMLAH</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92A-4BDF-BA9D-D8D54122B2A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92A-4BDF-BA9D-D8D54122B2A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92A-4BDF-BA9D-D8D54122B2AA}"/>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92A-4BDF-BA9D-D8D54122B2AA}"/>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92A-4BDF-BA9D-D8D54122B2AA}"/>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92A-4BDF-BA9D-D8D54122B2AA}"/>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CE24-40D8-A4CA-31E15F96327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CE24-40D8-A4CA-31E15F96327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E24-40D8-A4CA-31E15F96327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E24-40D8-A4CA-31E15F96327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CE24-40D8-A4CA-31E15F963271}"/>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E24-40D8-A4CA-31E15F963271}"/>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C92A-4BDF-BA9D-D8D54122B2AA}"/>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C92A-4BDF-BA9D-D8D54122B2AA}"/>
              </c:ext>
            </c:extLst>
          </c:dPt>
          <c:dLbls>
            <c:dLbl>
              <c:idx val="6"/>
              <c:layout>
                <c:manualLayout>
                  <c:x val="7.4658063157610186E-2"/>
                  <c:y val="-7.20343343124508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E24-40D8-A4CA-31E15F963271}"/>
                </c:ext>
              </c:extLst>
            </c:dLbl>
            <c:dLbl>
              <c:idx val="7"/>
              <c:layout>
                <c:manualLayout>
                  <c:x val="-2.953694781730597E-2"/>
                  <c:y val="9.611865128350956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E24-40D8-A4CA-31E15F963271}"/>
                </c:ext>
              </c:extLst>
            </c:dLbl>
            <c:dLbl>
              <c:idx val="8"/>
              <c:layout>
                <c:manualLayout>
                  <c:x val="-3.0276789839692626E-2"/>
                  <c:y val="3.313833170877638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E24-40D8-A4CA-31E15F963271}"/>
                </c:ext>
              </c:extLst>
            </c:dLbl>
            <c:dLbl>
              <c:idx val="9"/>
              <c:layout>
                <c:manualLayout>
                  <c:x val="-3.5690441561194719E-2"/>
                  <c:y val="-3.851268387217668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E24-40D8-A4CA-31E15F963271}"/>
                </c:ext>
              </c:extLst>
            </c:dLbl>
            <c:dLbl>
              <c:idx val="10"/>
              <c:layout>
                <c:manualLayout>
                  <c:x val="-4.0345043823190554E-2"/>
                  <c:y val="-0.1114369356856260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E24-40D8-A4CA-31E15F963271}"/>
                </c:ext>
              </c:extLst>
            </c:dLbl>
            <c:dLbl>
              <c:idx val="11"/>
              <c:layout>
                <c:manualLayout>
                  <c:x val="-6.1497589644488333E-3"/>
                  <c:y val="-2.94767502066995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E24-40D8-A4CA-31E15F963271}"/>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ANALISA!$B$28:$B$41</c:f>
              <c:strCache>
                <c:ptCount val="14"/>
                <c:pt idx="0">
                  <c:v>Wiraswasta</c:v>
                </c:pt>
                <c:pt idx="1">
                  <c:v>Karyawan</c:v>
                </c:pt>
                <c:pt idx="2">
                  <c:v>Tenaga Pengajar</c:v>
                </c:pt>
                <c:pt idx="3">
                  <c:v>Aparatur/Pejabat Negara</c:v>
                </c:pt>
                <c:pt idx="4">
                  <c:v>Pelajar/Mahasiswa</c:v>
                </c:pt>
                <c:pt idx="5">
                  <c:v>Pemuka Agama</c:v>
                </c:pt>
                <c:pt idx="6">
                  <c:v>Mengurus Rumah Tangga</c:v>
                </c:pt>
                <c:pt idx="7">
                  <c:v>Tenaga Ahli</c:v>
                </c:pt>
                <c:pt idx="8">
                  <c:v>Tenaga Medis</c:v>
                </c:pt>
                <c:pt idx="9">
                  <c:v>Petani/Pekebun/Nelayan</c:v>
                </c:pt>
                <c:pt idx="10">
                  <c:v>Pensiunan</c:v>
                </c:pt>
                <c:pt idx="11">
                  <c:v>Belum/Tidak Bekerja</c:v>
                </c:pt>
                <c:pt idx="12">
                  <c:v>Lain-lain</c:v>
                </c:pt>
                <c:pt idx="13">
                  <c:v>Kosong</c:v>
                </c:pt>
              </c:strCache>
            </c:strRef>
          </c:cat>
          <c:val>
            <c:numRef>
              <c:f>ANALISA!$C$28:$C$41</c:f>
              <c:numCache>
                <c:formatCode>General</c:formatCode>
                <c:ptCount val="14"/>
                <c:pt idx="0">
                  <c:v>1369</c:v>
                </c:pt>
                <c:pt idx="1">
                  <c:v>1623</c:v>
                </c:pt>
                <c:pt idx="2">
                  <c:v>452</c:v>
                </c:pt>
                <c:pt idx="3">
                  <c:v>243</c:v>
                </c:pt>
                <c:pt idx="4">
                  <c:v>235</c:v>
                </c:pt>
                <c:pt idx="5">
                  <c:v>53</c:v>
                </c:pt>
                <c:pt idx="6">
                  <c:v>848</c:v>
                </c:pt>
                <c:pt idx="7">
                  <c:v>20</c:v>
                </c:pt>
                <c:pt idx="8">
                  <c:v>56</c:v>
                </c:pt>
                <c:pt idx="9">
                  <c:v>52</c:v>
                </c:pt>
                <c:pt idx="10">
                  <c:v>224</c:v>
                </c:pt>
                <c:pt idx="11">
                  <c:v>86</c:v>
                </c:pt>
                <c:pt idx="12">
                  <c:v>246</c:v>
                </c:pt>
                <c:pt idx="13">
                  <c:v>298</c:v>
                </c:pt>
              </c:numCache>
            </c:numRef>
          </c:val>
          <c:extLst>
            <c:ext xmlns:c16="http://schemas.microsoft.com/office/drawing/2014/chart" uri="{C3380CC4-5D6E-409C-BE32-E72D297353CC}">
              <c16:uniqueId val="{00000000-CE24-40D8-A4CA-31E15F96327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266700</xdr:colOff>
      <xdr:row>12</xdr:row>
      <xdr:rowOff>0</xdr:rowOff>
    </xdr:from>
    <xdr:to>
      <xdr:col>4</xdr:col>
      <xdr:colOff>542925</xdr:colOff>
      <xdr:row>23</xdr:row>
      <xdr:rowOff>95250</xdr:rowOff>
    </xdr:to>
    <xdr:graphicFrame macro="">
      <xdr:nvGraphicFramePr>
        <xdr:cNvPr id="2" name="Chart 1">
          <a:extLst>
            <a:ext uri="{FF2B5EF4-FFF2-40B4-BE49-F238E27FC236}">
              <a16:creationId xmlns:a16="http://schemas.microsoft.com/office/drawing/2014/main" id="{75CEFF02-6C74-4C18-9987-D56A42569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1065162</xdr:colOff>
      <xdr:row>11</xdr:row>
      <xdr:rowOff>193366</xdr:rowOff>
    </xdr:from>
    <xdr:to>
      <xdr:col>8</xdr:col>
      <xdr:colOff>244886</xdr:colOff>
      <xdr:row>24</xdr:row>
      <xdr:rowOff>81935</xdr:rowOff>
    </xdr:to>
    <xdr:graphicFrame macro="">
      <xdr:nvGraphicFramePr>
        <xdr:cNvPr id="3" name="Chart 2">
          <a:extLst>
            <a:ext uri="{FF2B5EF4-FFF2-40B4-BE49-F238E27FC236}">
              <a16:creationId xmlns:a16="http://schemas.microsoft.com/office/drawing/2014/main" id="{D14787FB-B1AB-4DF2-96D1-B099B1D84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142</xdr:row>
      <xdr:rowOff>151478</xdr:rowOff>
    </xdr:from>
    <xdr:to>
      <xdr:col>4</xdr:col>
      <xdr:colOff>1075097</xdr:colOff>
      <xdr:row>154</xdr:row>
      <xdr:rowOff>71181</xdr:rowOff>
    </xdr:to>
    <xdr:graphicFrame macro="">
      <xdr:nvGraphicFramePr>
        <xdr:cNvPr id="4" name="Chart 3">
          <a:extLst>
            <a:ext uri="{FF2B5EF4-FFF2-40B4-BE49-F238E27FC236}">
              <a16:creationId xmlns:a16="http://schemas.microsoft.com/office/drawing/2014/main" id="{92322322-53F2-4C20-8D34-CE0E302E8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285750</xdr:colOff>
      <xdr:row>165</xdr:row>
      <xdr:rowOff>57150</xdr:rowOff>
    </xdr:from>
    <xdr:to>
      <xdr:col>6</xdr:col>
      <xdr:colOff>695325</xdr:colOff>
      <xdr:row>180</xdr:row>
      <xdr:rowOff>38100</xdr:rowOff>
    </xdr:to>
    <xdr:graphicFrame macro="">
      <xdr:nvGraphicFramePr>
        <xdr:cNvPr id="5" name="Chart 2">
          <a:extLst>
            <a:ext uri="{FF2B5EF4-FFF2-40B4-BE49-F238E27FC236}">
              <a16:creationId xmlns:a16="http://schemas.microsoft.com/office/drawing/2014/main" id="{059CC0B5-8052-4C08-B5AC-9DFE1CB9A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311559</xdr:colOff>
      <xdr:row>25</xdr:row>
      <xdr:rowOff>30724</xdr:rowOff>
    </xdr:from>
    <xdr:to>
      <xdr:col>24</xdr:col>
      <xdr:colOff>194597</xdr:colOff>
      <xdr:row>41</xdr:row>
      <xdr:rowOff>143386</xdr:rowOff>
    </xdr:to>
    <xdr:graphicFrame macro="">
      <xdr:nvGraphicFramePr>
        <xdr:cNvPr id="8" name="Chart 7">
          <a:extLst>
            <a:ext uri="{FF2B5EF4-FFF2-40B4-BE49-F238E27FC236}">
              <a16:creationId xmlns:a16="http://schemas.microsoft.com/office/drawing/2014/main" id="{26A16761-8F52-43F6-9D67-E9D236400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2E2EC-BEC7-4F39-A41B-8B2E76BD2142}">
  <dimension ref="A1:J5809"/>
  <sheetViews>
    <sheetView workbookViewId="0">
      <selection activeCell="I14" sqref="I14"/>
    </sheetView>
  </sheetViews>
  <sheetFormatPr defaultRowHeight="14.4" x14ac:dyDescent="0.3"/>
  <cols>
    <col min="1" max="1" width="22.33203125" customWidth="1"/>
    <col min="2" max="2" width="10.6640625" bestFit="1" customWidth="1"/>
    <col min="3" max="3" width="14" customWidth="1"/>
    <col min="4" max="4" width="3.44140625" customWidth="1"/>
    <col min="5" max="5" width="14" customWidth="1"/>
    <col min="6" max="6" width="8.44140625" bestFit="1" customWidth="1"/>
    <col min="7" max="8" width="31.6640625" customWidth="1"/>
    <col min="9" max="9" width="42.44140625" customWidth="1"/>
    <col min="10" max="10" width="63.5546875" customWidth="1"/>
    <col min="257" max="257" width="22.33203125" customWidth="1"/>
    <col min="258" max="258" width="31.44140625" customWidth="1"/>
    <col min="259" max="259" width="14" customWidth="1"/>
    <col min="260" max="260" width="3.44140625" customWidth="1"/>
    <col min="261" max="261" width="14" customWidth="1"/>
    <col min="262" max="262" width="8.44140625" bestFit="1" customWidth="1"/>
    <col min="263" max="264" width="31.6640625" customWidth="1"/>
    <col min="265" max="265" width="42.44140625" customWidth="1"/>
    <col min="266" max="266" width="63.5546875" customWidth="1"/>
    <col min="513" max="513" width="22.33203125" customWidth="1"/>
    <col min="514" max="514" width="31.44140625" customWidth="1"/>
    <col min="515" max="515" width="14" customWidth="1"/>
    <col min="516" max="516" width="3.44140625" customWidth="1"/>
    <col min="517" max="517" width="14" customWidth="1"/>
    <col min="518" max="518" width="8.44140625" bestFit="1" customWidth="1"/>
    <col min="519" max="520" width="31.6640625" customWidth="1"/>
    <col min="521" max="521" width="42.44140625" customWidth="1"/>
    <col min="522" max="522" width="63.5546875" customWidth="1"/>
    <col min="769" max="769" width="22.33203125" customWidth="1"/>
    <col min="770" max="770" width="31.44140625" customWidth="1"/>
    <col min="771" max="771" width="14" customWidth="1"/>
    <col min="772" max="772" width="3.44140625" customWidth="1"/>
    <col min="773" max="773" width="14" customWidth="1"/>
    <col min="774" max="774" width="8.44140625" bestFit="1" customWidth="1"/>
    <col min="775" max="776" width="31.6640625" customWidth="1"/>
    <col min="777" max="777" width="42.44140625" customWidth="1"/>
    <col min="778" max="778" width="63.5546875" customWidth="1"/>
    <col min="1025" max="1025" width="22.33203125" customWidth="1"/>
    <col min="1026" max="1026" width="31.44140625" customWidth="1"/>
    <col min="1027" max="1027" width="14" customWidth="1"/>
    <col min="1028" max="1028" width="3.44140625" customWidth="1"/>
    <col min="1029" max="1029" width="14" customWidth="1"/>
    <col min="1030" max="1030" width="8.44140625" bestFit="1" customWidth="1"/>
    <col min="1031" max="1032" width="31.6640625" customWidth="1"/>
    <col min="1033" max="1033" width="42.44140625" customWidth="1"/>
    <col min="1034" max="1034" width="63.5546875" customWidth="1"/>
    <col min="1281" max="1281" width="22.33203125" customWidth="1"/>
    <col min="1282" max="1282" width="31.44140625" customWidth="1"/>
    <col min="1283" max="1283" width="14" customWidth="1"/>
    <col min="1284" max="1284" width="3.44140625" customWidth="1"/>
    <col min="1285" max="1285" width="14" customWidth="1"/>
    <col min="1286" max="1286" width="8.44140625" bestFit="1" customWidth="1"/>
    <col min="1287" max="1288" width="31.6640625" customWidth="1"/>
    <col min="1289" max="1289" width="42.44140625" customWidth="1"/>
    <col min="1290" max="1290" width="63.5546875" customWidth="1"/>
    <col min="1537" max="1537" width="22.33203125" customWidth="1"/>
    <col min="1538" max="1538" width="31.44140625" customWidth="1"/>
    <col min="1539" max="1539" width="14" customWidth="1"/>
    <col min="1540" max="1540" width="3.44140625" customWidth="1"/>
    <col min="1541" max="1541" width="14" customWidth="1"/>
    <col min="1542" max="1542" width="8.44140625" bestFit="1" customWidth="1"/>
    <col min="1543" max="1544" width="31.6640625" customWidth="1"/>
    <col min="1545" max="1545" width="42.44140625" customWidth="1"/>
    <col min="1546" max="1546" width="63.5546875" customWidth="1"/>
    <col min="1793" max="1793" width="22.33203125" customWidth="1"/>
    <col min="1794" max="1794" width="31.44140625" customWidth="1"/>
    <col min="1795" max="1795" width="14" customWidth="1"/>
    <col min="1796" max="1796" width="3.44140625" customWidth="1"/>
    <col min="1797" max="1797" width="14" customWidth="1"/>
    <col min="1798" max="1798" width="8.44140625" bestFit="1" customWidth="1"/>
    <col min="1799" max="1800" width="31.6640625" customWidth="1"/>
    <col min="1801" max="1801" width="42.44140625" customWidth="1"/>
    <col min="1802" max="1802" width="63.5546875" customWidth="1"/>
    <col min="2049" max="2049" width="22.33203125" customWidth="1"/>
    <col min="2050" max="2050" width="31.44140625" customWidth="1"/>
    <col min="2051" max="2051" width="14" customWidth="1"/>
    <col min="2052" max="2052" width="3.44140625" customWidth="1"/>
    <col min="2053" max="2053" width="14" customWidth="1"/>
    <col min="2054" max="2054" width="8.44140625" bestFit="1" customWidth="1"/>
    <col min="2055" max="2056" width="31.6640625" customWidth="1"/>
    <col min="2057" max="2057" width="42.44140625" customWidth="1"/>
    <col min="2058" max="2058" width="63.5546875" customWidth="1"/>
    <col min="2305" max="2305" width="22.33203125" customWidth="1"/>
    <col min="2306" max="2306" width="31.44140625" customWidth="1"/>
    <col min="2307" max="2307" width="14" customWidth="1"/>
    <col min="2308" max="2308" width="3.44140625" customWidth="1"/>
    <col min="2309" max="2309" width="14" customWidth="1"/>
    <col min="2310" max="2310" width="8.44140625" bestFit="1" customWidth="1"/>
    <col min="2311" max="2312" width="31.6640625" customWidth="1"/>
    <col min="2313" max="2313" width="42.44140625" customWidth="1"/>
    <col min="2314" max="2314" width="63.5546875" customWidth="1"/>
    <col min="2561" max="2561" width="22.33203125" customWidth="1"/>
    <col min="2562" max="2562" width="31.44140625" customWidth="1"/>
    <col min="2563" max="2563" width="14" customWidth="1"/>
    <col min="2564" max="2564" width="3.44140625" customWidth="1"/>
    <col min="2565" max="2565" width="14" customWidth="1"/>
    <col min="2566" max="2566" width="8.44140625" bestFit="1" customWidth="1"/>
    <col min="2567" max="2568" width="31.6640625" customWidth="1"/>
    <col min="2569" max="2569" width="42.44140625" customWidth="1"/>
    <col min="2570" max="2570" width="63.5546875" customWidth="1"/>
    <col min="2817" max="2817" width="22.33203125" customWidth="1"/>
    <col min="2818" max="2818" width="31.44140625" customWidth="1"/>
    <col min="2819" max="2819" width="14" customWidth="1"/>
    <col min="2820" max="2820" width="3.44140625" customWidth="1"/>
    <col min="2821" max="2821" width="14" customWidth="1"/>
    <col min="2822" max="2822" width="8.44140625" bestFit="1" customWidth="1"/>
    <col min="2823" max="2824" width="31.6640625" customWidth="1"/>
    <col min="2825" max="2825" width="42.44140625" customWidth="1"/>
    <col min="2826" max="2826" width="63.5546875" customWidth="1"/>
    <col min="3073" max="3073" width="22.33203125" customWidth="1"/>
    <col min="3074" max="3074" width="31.44140625" customWidth="1"/>
    <col min="3075" max="3075" width="14" customWidth="1"/>
    <col min="3076" max="3076" width="3.44140625" customWidth="1"/>
    <col min="3077" max="3077" width="14" customWidth="1"/>
    <col min="3078" max="3078" width="8.44140625" bestFit="1" customWidth="1"/>
    <col min="3079" max="3080" width="31.6640625" customWidth="1"/>
    <col min="3081" max="3081" width="42.44140625" customWidth="1"/>
    <col min="3082" max="3082" width="63.5546875" customWidth="1"/>
    <col min="3329" max="3329" width="22.33203125" customWidth="1"/>
    <col min="3330" max="3330" width="31.44140625" customWidth="1"/>
    <col min="3331" max="3331" width="14" customWidth="1"/>
    <col min="3332" max="3332" width="3.44140625" customWidth="1"/>
    <col min="3333" max="3333" width="14" customWidth="1"/>
    <col min="3334" max="3334" width="8.44140625" bestFit="1" customWidth="1"/>
    <col min="3335" max="3336" width="31.6640625" customWidth="1"/>
    <col min="3337" max="3337" width="42.44140625" customWidth="1"/>
    <col min="3338" max="3338" width="63.5546875" customWidth="1"/>
    <col min="3585" max="3585" width="22.33203125" customWidth="1"/>
    <col min="3586" max="3586" width="31.44140625" customWidth="1"/>
    <col min="3587" max="3587" width="14" customWidth="1"/>
    <col min="3588" max="3588" width="3.44140625" customWidth="1"/>
    <col min="3589" max="3589" width="14" customWidth="1"/>
    <col min="3590" max="3590" width="8.44140625" bestFit="1" customWidth="1"/>
    <col min="3591" max="3592" width="31.6640625" customWidth="1"/>
    <col min="3593" max="3593" width="42.44140625" customWidth="1"/>
    <col min="3594" max="3594" width="63.5546875" customWidth="1"/>
    <col min="3841" max="3841" width="22.33203125" customWidth="1"/>
    <col min="3842" max="3842" width="31.44140625" customWidth="1"/>
    <col min="3843" max="3843" width="14" customWidth="1"/>
    <col min="3844" max="3844" width="3.44140625" customWidth="1"/>
    <col min="3845" max="3845" width="14" customWidth="1"/>
    <col min="3846" max="3846" width="8.44140625" bestFit="1" customWidth="1"/>
    <col min="3847" max="3848" width="31.6640625" customWidth="1"/>
    <col min="3849" max="3849" width="42.44140625" customWidth="1"/>
    <col min="3850" max="3850" width="63.5546875" customWidth="1"/>
    <col min="4097" max="4097" width="22.33203125" customWidth="1"/>
    <col min="4098" max="4098" width="31.44140625" customWidth="1"/>
    <col min="4099" max="4099" width="14" customWidth="1"/>
    <col min="4100" max="4100" width="3.44140625" customWidth="1"/>
    <col min="4101" max="4101" width="14" customWidth="1"/>
    <col min="4102" max="4102" width="8.44140625" bestFit="1" customWidth="1"/>
    <col min="4103" max="4104" width="31.6640625" customWidth="1"/>
    <col min="4105" max="4105" width="42.44140625" customWidth="1"/>
    <col min="4106" max="4106" width="63.5546875" customWidth="1"/>
    <col min="4353" max="4353" width="22.33203125" customWidth="1"/>
    <col min="4354" max="4354" width="31.44140625" customWidth="1"/>
    <col min="4355" max="4355" width="14" customWidth="1"/>
    <col min="4356" max="4356" width="3.44140625" customWidth="1"/>
    <col min="4357" max="4357" width="14" customWidth="1"/>
    <col min="4358" max="4358" width="8.44140625" bestFit="1" customWidth="1"/>
    <col min="4359" max="4360" width="31.6640625" customWidth="1"/>
    <col min="4361" max="4361" width="42.44140625" customWidth="1"/>
    <col min="4362" max="4362" width="63.5546875" customWidth="1"/>
    <col min="4609" max="4609" width="22.33203125" customWidth="1"/>
    <col min="4610" max="4610" width="31.44140625" customWidth="1"/>
    <col min="4611" max="4611" width="14" customWidth="1"/>
    <col min="4612" max="4612" width="3.44140625" customWidth="1"/>
    <col min="4613" max="4613" width="14" customWidth="1"/>
    <col min="4614" max="4614" width="8.44140625" bestFit="1" customWidth="1"/>
    <col min="4615" max="4616" width="31.6640625" customWidth="1"/>
    <col min="4617" max="4617" width="42.44140625" customWidth="1"/>
    <col min="4618" max="4618" width="63.5546875" customWidth="1"/>
    <col min="4865" max="4865" width="22.33203125" customWidth="1"/>
    <col min="4866" max="4866" width="31.44140625" customWidth="1"/>
    <col min="4867" max="4867" width="14" customWidth="1"/>
    <col min="4868" max="4868" width="3.44140625" customWidth="1"/>
    <col min="4869" max="4869" width="14" customWidth="1"/>
    <col min="4870" max="4870" width="8.44140625" bestFit="1" customWidth="1"/>
    <col min="4871" max="4872" width="31.6640625" customWidth="1"/>
    <col min="4873" max="4873" width="42.44140625" customWidth="1"/>
    <col min="4874" max="4874" width="63.5546875" customWidth="1"/>
    <col min="5121" max="5121" width="22.33203125" customWidth="1"/>
    <col min="5122" max="5122" width="31.44140625" customWidth="1"/>
    <col min="5123" max="5123" width="14" customWidth="1"/>
    <col min="5124" max="5124" width="3.44140625" customWidth="1"/>
    <col min="5125" max="5125" width="14" customWidth="1"/>
    <col min="5126" max="5126" width="8.44140625" bestFit="1" customWidth="1"/>
    <col min="5127" max="5128" width="31.6640625" customWidth="1"/>
    <col min="5129" max="5129" width="42.44140625" customWidth="1"/>
    <col min="5130" max="5130" width="63.5546875" customWidth="1"/>
    <col min="5377" max="5377" width="22.33203125" customWidth="1"/>
    <col min="5378" max="5378" width="31.44140625" customWidth="1"/>
    <col min="5379" max="5379" width="14" customWidth="1"/>
    <col min="5380" max="5380" width="3.44140625" customWidth="1"/>
    <col min="5381" max="5381" width="14" customWidth="1"/>
    <col min="5382" max="5382" width="8.44140625" bestFit="1" customWidth="1"/>
    <col min="5383" max="5384" width="31.6640625" customWidth="1"/>
    <col min="5385" max="5385" width="42.44140625" customWidth="1"/>
    <col min="5386" max="5386" width="63.5546875" customWidth="1"/>
    <col min="5633" max="5633" width="22.33203125" customWidth="1"/>
    <col min="5634" max="5634" width="31.44140625" customWidth="1"/>
    <col min="5635" max="5635" width="14" customWidth="1"/>
    <col min="5636" max="5636" width="3.44140625" customWidth="1"/>
    <col min="5637" max="5637" width="14" customWidth="1"/>
    <col min="5638" max="5638" width="8.44140625" bestFit="1" customWidth="1"/>
    <col min="5639" max="5640" width="31.6640625" customWidth="1"/>
    <col min="5641" max="5641" width="42.44140625" customWidth="1"/>
    <col min="5642" max="5642" width="63.5546875" customWidth="1"/>
    <col min="5889" max="5889" width="22.33203125" customWidth="1"/>
    <col min="5890" max="5890" width="31.44140625" customWidth="1"/>
    <col min="5891" max="5891" width="14" customWidth="1"/>
    <col min="5892" max="5892" width="3.44140625" customWidth="1"/>
    <col min="5893" max="5893" width="14" customWidth="1"/>
    <col min="5894" max="5894" width="8.44140625" bestFit="1" customWidth="1"/>
    <col min="5895" max="5896" width="31.6640625" customWidth="1"/>
    <col min="5897" max="5897" width="42.44140625" customWidth="1"/>
    <col min="5898" max="5898" width="63.5546875" customWidth="1"/>
    <col min="6145" max="6145" width="22.33203125" customWidth="1"/>
    <col min="6146" max="6146" width="31.44140625" customWidth="1"/>
    <col min="6147" max="6147" width="14" customWidth="1"/>
    <col min="6148" max="6148" width="3.44140625" customWidth="1"/>
    <col min="6149" max="6149" width="14" customWidth="1"/>
    <col min="6150" max="6150" width="8.44140625" bestFit="1" customWidth="1"/>
    <col min="6151" max="6152" width="31.6640625" customWidth="1"/>
    <col min="6153" max="6153" width="42.44140625" customWidth="1"/>
    <col min="6154" max="6154" width="63.5546875" customWidth="1"/>
    <col min="6401" max="6401" width="22.33203125" customWidth="1"/>
    <col min="6402" max="6402" width="31.44140625" customWidth="1"/>
    <col min="6403" max="6403" width="14" customWidth="1"/>
    <col min="6404" max="6404" width="3.44140625" customWidth="1"/>
    <col min="6405" max="6405" width="14" customWidth="1"/>
    <col min="6406" max="6406" width="8.44140625" bestFit="1" customWidth="1"/>
    <col min="6407" max="6408" width="31.6640625" customWidth="1"/>
    <col min="6409" max="6409" width="42.44140625" customWidth="1"/>
    <col min="6410" max="6410" width="63.5546875" customWidth="1"/>
    <col min="6657" max="6657" width="22.33203125" customWidth="1"/>
    <col min="6658" max="6658" width="31.44140625" customWidth="1"/>
    <col min="6659" max="6659" width="14" customWidth="1"/>
    <col min="6660" max="6660" width="3.44140625" customWidth="1"/>
    <col min="6661" max="6661" width="14" customWidth="1"/>
    <col min="6662" max="6662" width="8.44140625" bestFit="1" customWidth="1"/>
    <col min="6663" max="6664" width="31.6640625" customWidth="1"/>
    <col min="6665" max="6665" width="42.44140625" customWidth="1"/>
    <col min="6666" max="6666" width="63.5546875" customWidth="1"/>
    <col min="6913" max="6913" width="22.33203125" customWidth="1"/>
    <col min="6914" max="6914" width="31.44140625" customWidth="1"/>
    <col min="6915" max="6915" width="14" customWidth="1"/>
    <col min="6916" max="6916" width="3.44140625" customWidth="1"/>
    <col min="6917" max="6917" width="14" customWidth="1"/>
    <col min="6918" max="6918" width="8.44140625" bestFit="1" customWidth="1"/>
    <col min="6919" max="6920" width="31.6640625" customWidth="1"/>
    <col min="6921" max="6921" width="42.44140625" customWidth="1"/>
    <col min="6922" max="6922" width="63.5546875" customWidth="1"/>
    <col min="7169" max="7169" width="22.33203125" customWidth="1"/>
    <col min="7170" max="7170" width="31.44140625" customWidth="1"/>
    <col min="7171" max="7171" width="14" customWidth="1"/>
    <col min="7172" max="7172" width="3.44140625" customWidth="1"/>
    <col min="7173" max="7173" width="14" customWidth="1"/>
    <col min="7174" max="7174" width="8.44140625" bestFit="1" customWidth="1"/>
    <col min="7175" max="7176" width="31.6640625" customWidth="1"/>
    <col min="7177" max="7177" width="42.44140625" customWidth="1"/>
    <col min="7178" max="7178" width="63.5546875" customWidth="1"/>
    <col min="7425" max="7425" width="22.33203125" customWidth="1"/>
    <col min="7426" max="7426" width="31.44140625" customWidth="1"/>
    <col min="7427" max="7427" width="14" customWidth="1"/>
    <col min="7428" max="7428" width="3.44140625" customWidth="1"/>
    <col min="7429" max="7429" width="14" customWidth="1"/>
    <col min="7430" max="7430" width="8.44140625" bestFit="1" customWidth="1"/>
    <col min="7431" max="7432" width="31.6640625" customWidth="1"/>
    <col min="7433" max="7433" width="42.44140625" customWidth="1"/>
    <col min="7434" max="7434" width="63.5546875" customWidth="1"/>
    <col min="7681" max="7681" width="22.33203125" customWidth="1"/>
    <col min="7682" max="7682" width="31.44140625" customWidth="1"/>
    <col min="7683" max="7683" width="14" customWidth="1"/>
    <col min="7684" max="7684" width="3.44140625" customWidth="1"/>
    <col min="7685" max="7685" width="14" customWidth="1"/>
    <col min="7686" max="7686" width="8.44140625" bestFit="1" customWidth="1"/>
    <col min="7687" max="7688" width="31.6640625" customWidth="1"/>
    <col min="7689" max="7689" width="42.44140625" customWidth="1"/>
    <col min="7690" max="7690" width="63.5546875" customWidth="1"/>
    <col min="7937" max="7937" width="22.33203125" customWidth="1"/>
    <col min="7938" max="7938" width="31.44140625" customWidth="1"/>
    <col min="7939" max="7939" width="14" customWidth="1"/>
    <col min="7940" max="7940" width="3.44140625" customWidth="1"/>
    <col min="7941" max="7941" width="14" customWidth="1"/>
    <col min="7942" max="7942" width="8.44140625" bestFit="1" customWidth="1"/>
    <col min="7943" max="7944" width="31.6640625" customWidth="1"/>
    <col min="7945" max="7945" width="42.44140625" customWidth="1"/>
    <col min="7946" max="7946" width="63.5546875" customWidth="1"/>
    <col min="8193" max="8193" width="22.33203125" customWidth="1"/>
    <col min="8194" max="8194" width="31.44140625" customWidth="1"/>
    <col min="8195" max="8195" width="14" customWidth="1"/>
    <col min="8196" max="8196" width="3.44140625" customWidth="1"/>
    <col min="8197" max="8197" width="14" customWidth="1"/>
    <col min="8198" max="8198" width="8.44140625" bestFit="1" customWidth="1"/>
    <col min="8199" max="8200" width="31.6640625" customWidth="1"/>
    <col min="8201" max="8201" width="42.44140625" customWidth="1"/>
    <col min="8202" max="8202" width="63.5546875" customWidth="1"/>
    <col min="8449" max="8449" width="22.33203125" customWidth="1"/>
    <col min="8450" max="8450" width="31.44140625" customWidth="1"/>
    <col min="8451" max="8451" width="14" customWidth="1"/>
    <col min="8452" max="8452" width="3.44140625" customWidth="1"/>
    <col min="8453" max="8453" width="14" customWidth="1"/>
    <col min="8454" max="8454" width="8.44140625" bestFit="1" customWidth="1"/>
    <col min="8455" max="8456" width="31.6640625" customWidth="1"/>
    <col min="8457" max="8457" width="42.44140625" customWidth="1"/>
    <col min="8458" max="8458" width="63.5546875" customWidth="1"/>
    <col min="8705" max="8705" width="22.33203125" customWidth="1"/>
    <col min="8706" max="8706" width="31.44140625" customWidth="1"/>
    <col min="8707" max="8707" width="14" customWidth="1"/>
    <col min="8708" max="8708" width="3.44140625" customWidth="1"/>
    <col min="8709" max="8709" width="14" customWidth="1"/>
    <col min="8710" max="8710" width="8.44140625" bestFit="1" customWidth="1"/>
    <col min="8711" max="8712" width="31.6640625" customWidth="1"/>
    <col min="8713" max="8713" width="42.44140625" customWidth="1"/>
    <col min="8714" max="8714" width="63.5546875" customWidth="1"/>
    <col min="8961" max="8961" width="22.33203125" customWidth="1"/>
    <col min="8962" max="8962" width="31.44140625" customWidth="1"/>
    <col min="8963" max="8963" width="14" customWidth="1"/>
    <col min="8964" max="8964" width="3.44140625" customWidth="1"/>
    <col min="8965" max="8965" width="14" customWidth="1"/>
    <col min="8966" max="8966" width="8.44140625" bestFit="1" customWidth="1"/>
    <col min="8967" max="8968" width="31.6640625" customWidth="1"/>
    <col min="8969" max="8969" width="42.44140625" customWidth="1"/>
    <col min="8970" max="8970" width="63.5546875" customWidth="1"/>
    <col min="9217" max="9217" width="22.33203125" customWidth="1"/>
    <col min="9218" max="9218" width="31.44140625" customWidth="1"/>
    <col min="9219" max="9219" width="14" customWidth="1"/>
    <col min="9220" max="9220" width="3.44140625" customWidth="1"/>
    <col min="9221" max="9221" width="14" customWidth="1"/>
    <col min="9222" max="9222" width="8.44140625" bestFit="1" customWidth="1"/>
    <col min="9223" max="9224" width="31.6640625" customWidth="1"/>
    <col min="9225" max="9225" width="42.44140625" customWidth="1"/>
    <col min="9226" max="9226" width="63.5546875" customWidth="1"/>
    <col min="9473" max="9473" width="22.33203125" customWidth="1"/>
    <col min="9474" max="9474" width="31.44140625" customWidth="1"/>
    <col min="9475" max="9475" width="14" customWidth="1"/>
    <col min="9476" max="9476" width="3.44140625" customWidth="1"/>
    <col min="9477" max="9477" width="14" customWidth="1"/>
    <col min="9478" max="9478" width="8.44140625" bestFit="1" customWidth="1"/>
    <col min="9479" max="9480" width="31.6640625" customWidth="1"/>
    <col min="9481" max="9481" width="42.44140625" customWidth="1"/>
    <col min="9482" max="9482" width="63.5546875" customWidth="1"/>
    <col min="9729" max="9729" width="22.33203125" customWidth="1"/>
    <col min="9730" max="9730" width="31.44140625" customWidth="1"/>
    <col min="9731" max="9731" width="14" customWidth="1"/>
    <col min="9732" max="9732" width="3.44140625" customWidth="1"/>
    <col min="9733" max="9733" width="14" customWidth="1"/>
    <col min="9734" max="9734" width="8.44140625" bestFit="1" customWidth="1"/>
    <col min="9735" max="9736" width="31.6640625" customWidth="1"/>
    <col min="9737" max="9737" width="42.44140625" customWidth="1"/>
    <col min="9738" max="9738" width="63.5546875" customWidth="1"/>
    <col min="9985" max="9985" width="22.33203125" customWidth="1"/>
    <col min="9986" max="9986" width="31.44140625" customWidth="1"/>
    <col min="9987" max="9987" width="14" customWidth="1"/>
    <col min="9988" max="9988" width="3.44140625" customWidth="1"/>
    <col min="9989" max="9989" width="14" customWidth="1"/>
    <col min="9990" max="9990" width="8.44140625" bestFit="1" customWidth="1"/>
    <col min="9991" max="9992" width="31.6640625" customWidth="1"/>
    <col min="9993" max="9993" width="42.44140625" customWidth="1"/>
    <col min="9994" max="9994" width="63.5546875" customWidth="1"/>
    <col min="10241" max="10241" width="22.33203125" customWidth="1"/>
    <col min="10242" max="10242" width="31.44140625" customWidth="1"/>
    <col min="10243" max="10243" width="14" customWidth="1"/>
    <col min="10244" max="10244" width="3.44140625" customWidth="1"/>
    <col min="10245" max="10245" width="14" customWidth="1"/>
    <col min="10246" max="10246" width="8.44140625" bestFit="1" customWidth="1"/>
    <col min="10247" max="10248" width="31.6640625" customWidth="1"/>
    <col min="10249" max="10249" width="42.44140625" customWidth="1"/>
    <col min="10250" max="10250" width="63.5546875" customWidth="1"/>
    <col min="10497" max="10497" width="22.33203125" customWidth="1"/>
    <col min="10498" max="10498" width="31.44140625" customWidth="1"/>
    <col min="10499" max="10499" width="14" customWidth="1"/>
    <col min="10500" max="10500" width="3.44140625" customWidth="1"/>
    <col min="10501" max="10501" width="14" customWidth="1"/>
    <col min="10502" max="10502" width="8.44140625" bestFit="1" customWidth="1"/>
    <col min="10503" max="10504" width="31.6640625" customWidth="1"/>
    <col min="10505" max="10505" width="42.44140625" customWidth="1"/>
    <col min="10506" max="10506" width="63.5546875" customWidth="1"/>
    <col min="10753" max="10753" width="22.33203125" customWidth="1"/>
    <col min="10754" max="10754" width="31.44140625" customWidth="1"/>
    <col min="10755" max="10755" width="14" customWidth="1"/>
    <col min="10756" max="10756" width="3.44140625" customWidth="1"/>
    <col min="10757" max="10757" width="14" customWidth="1"/>
    <col min="10758" max="10758" width="8.44140625" bestFit="1" customWidth="1"/>
    <col min="10759" max="10760" width="31.6640625" customWidth="1"/>
    <col min="10761" max="10761" width="42.44140625" customWidth="1"/>
    <col min="10762" max="10762" width="63.5546875" customWidth="1"/>
    <col min="11009" max="11009" width="22.33203125" customWidth="1"/>
    <col min="11010" max="11010" width="31.44140625" customWidth="1"/>
    <col min="11011" max="11011" width="14" customWidth="1"/>
    <col min="11012" max="11012" width="3.44140625" customWidth="1"/>
    <col min="11013" max="11013" width="14" customWidth="1"/>
    <col min="11014" max="11014" width="8.44140625" bestFit="1" customWidth="1"/>
    <col min="11015" max="11016" width="31.6640625" customWidth="1"/>
    <col min="11017" max="11017" width="42.44140625" customWidth="1"/>
    <col min="11018" max="11018" width="63.5546875" customWidth="1"/>
    <col min="11265" max="11265" width="22.33203125" customWidth="1"/>
    <col min="11266" max="11266" width="31.44140625" customWidth="1"/>
    <col min="11267" max="11267" width="14" customWidth="1"/>
    <col min="11268" max="11268" width="3.44140625" customWidth="1"/>
    <col min="11269" max="11269" width="14" customWidth="1"/>
    <col min="11270" max="11270" width="8.44140625" bestFit="1" customWidth="1"/>
    <col min="11271" max="11272" width="31.6640625" customWidth="1"/>
    <col min="11273" max="11273" width="42.44140625" customWidth="1"/>
    <col min="11274" max="11274" width="63.5546875" customWidth="1"/>
    <col min="11521" max="11521" width="22.33203125" customWidth="1"/>
    <col min="11522" max="11522" width="31.44140625" customWidth="1"/>
    <col min="11523" max="11523" width="14" customWidth="1"/>
    <col min="11524" max="11524" width="3.44140625" customWidth="1"/>
    <col min="11525" max="11525" width="14" customWidth="1"/>
    <col min="11526" max="11526" width="8.44140625" bestFit="1" customWidth="1"/>
    <col min="11527" max="11528" width="31.6640625" customWidth="1"/>
    <col min="11529" max="11529" width="42.44140625" customWidth="1"/>
    <col min="11530" max="11530" width="63.5546875" customWidth="1"/>
    <col min="11777" max="11777" width="22.33203125" customWidth="1"/>
    <col min="11778" max="11778" width="31.44140625" customWidth="1"/>
    <col min="11779" max="11779" width="14" customWidth="1"/>
    <col min="11780" max="11780" width="3.44140625" customWidth="1"/>
    <col min="11781" max="11781" width="14" customWidth="1"/>
    <col min="11782" max="11782" width="8.44140625" bestFit="1" customWidth="1"/>
    <col min="11783" max="11784" width="31.6640625" customWidth="1"/>
    <col min="11785" max="11785" width="42.44140625" customWidth="1"/>
    <col min="11786" max="11786" width="63.5546875" customWidth="1"/>
    <col min="12033" max="12033" width="22.33203125" customWidth="1"/>
    <col min="12034" max="12034" width="31.44140625" customWidth="1"/>
    <col min="12035" max="12035" width="14" customWidth="1"/>
    <col min="12036" max="12036" width="3.44140625" customWidth="1"/>
    <col min="12037" max="12037" width="14" customWidth="1"/>
    <col min="12038" max="12038" width="8.44140625" bestFit="1" customWidth="1"/>
    <col min="12039" max="12040" width="31.6640625" customWidth="1"/>
    <col min="12041" max="12041" width="42.44140625" customWidth="1"/>
    <col min="12042" max="12042" width="63.5546875" customWidth="1"/>
    <col min="12289" max="12289" width="22.33203125" customWidth="1"/>
    <col min="12290" max="12290" width="31.44140625" customWidth="1"/>
    <col min="12291" max="12291" width="14" customWidth="1"/>
    <col min="12292" max="12292" width="3.44140625" customWidth="1"/>
    <col min="12293" max="12293" width="14" customWidth="1"/>
    <col min="12294" max="12294" width="8.44140625" bestFit="1" customWidth="1"/>
    <col min="12295" max="12296" width="31.6640625" customWidth="1"/>
    <col min="12297" max="12297" width="42.44140625" customWidth="1"/>
    <col min="12298" max="12298" width="63.5546875" customWidth="1"/>
    <col min="12545" max="12545" width="22.33203125" customWidth="1"/>
    <col min="12546" max="12546" width="31.44140625" customWidth="1"/>
    <col min="12547" max="12547" width="14" customWidth="1"/>
    <col min="12548" max="12548" width="3.44140625" customWidth="1"/>
    <col min="12549" max="12549" width="14" customWidth="1"/>
    <col min="12550" max="12550" width="8.44140625" bestFit="1" customWidth="1"/>
    <col min="12551" max="12552" width="31.6640625" customWidth="1"/>
    <col min="12553" max="12553" width="42.44140625" customWidth="1"/>
    <col min="12554" max="12554" width="63.5546875" customWidth="1"/>
    <col min="12801" max="12801" width="22.33203125" customWidth="1"/>
    <col min="12802" max="12802" width="31.44140625" customWidth="1"/>
    <col min="12803" max="12803" width="14" customWidth="1"/>
    <col min="12804" max="12804" width="3.44140625" customWidth="1"/>
    <col min="12805" max="12805" width="14" customWidth="1"/>
    <col min="12806" max="12806" width="8.44140625" bestFit="1" customWidth="1"/>
    <col min="12807" max="12808" width="31.6640625" customWidth="1"/>
    <col min="12809" max="12809" width="42.44140625" customWidth="1"/>
    <col min="12810" max="12810" width="63.5546875" customWidth="1"/>
    <col min="13057" max="13057" width="22.33203125" customWidth="1"/>
    <col min="13058" max="13058" width="31.44140625" customWidth="1"/>
    <col min="13059" max="13059" width="14" customWidth="1"/>
    <col min="13060" max="13060" width="3.44140625" customWidth="1"/>
    <col min="13061" max="13061" width="14" customWidth="1"/>
    <col min="13062" max="13062" width="8.44140625" bestFit="1" customWidth="1"/>
    <col min="13063" max="13064" width="31.6640625" customWidth="1"/>
    <col min="13065" max="13065" width="42.44140625" customWidth="1"/>
    <col min="13066" max="13066" width="63.5546875" customWidth="1"/>
    <col min="13313" max="13313" width="22.33203125" customWidth="1"/>
    <col min="13314" max="13314" width="31.44140625" customWidth="1"/>
    <col min="13315" max="13315" width="14" customWidth="1"/>
    <col min="13316" max="13316" width="3.44140625" customWidth="1"/>
    <col min="13317" max="13317" width="14" customWidth="1"/>
    <col min="13318" max="13318" width="8.44140625" bestFit="1" customWidth="1"/>
    <col min="13319" max="13320" width="31.6640625" customWidth="1"/>
    <col min="13321" max="13321" width="42.44140625" customWidth="1"/>
    <col min="13322" max="13322" width="63.5546875" customWidth="1"/>
    <col min="13569" max="13569" width="22.33203125" customWidth="1"/>
    <col min="13570" max="13570" width="31.44140625" customWidth="1"/>
    <col min="13571" max="13571" width="14" customWidth="1"/>
    <col min="13572" max="13572" width="3.44140625" customWidth="1"/>
    <col min="13573" max="13573" width="14" customWidth="1"/>
    <col min="13574" max="13574" width="8.44140625" bestFit="1" customWidth="1"/>
    <col min="13575" max="13576" width="31.6640625" customWidth="1"/>
    <col min="13577" max="13577" width="42.44140625" customWidth="1"/>
    <col min="13578" max="13578" width="63.5546875" customWidth="1"/>
    <col min="13825" max="13825" width="22.33203125" customWidth="1"/>
    <col min="13826" max="13826" width="31.44140625" customWidth="1"/>
    <col min="13827" max="13827" width="14" customWidth="1"/>
    <col min="13828" max="13828" width="3.44140625" customWidth="1"/>
    <col min="13829" max="13829" width="14" customWidth="1"/>
    <col min="13830" max="13830" width="8.44140625" bestFit="1" customWidth="1"/>
    <col min="13831" max="13832" width="31.6640625" customWidth="1"/>
    <col min="13833" max="13833" width="42.44140625" customWidth="1"/>
    <col min="13834" max="13834" width="63.5546875" customWidth="1"/>
    <col min="14081" max="14081" width="22.33203125" customWidth="1"/>
    <col min="14082" max="14082" width="31.44140625" customWidth="1"/>
    <col min="14083" max="14083" width="14" customWidth="1"/>
    <col min="14084" max="14084" width="3.44140625" customWidth="1"/>
    <col min="14085" max="14085" width="14" customWidth="1"/>
    <col min="14086" max="14086" width="8.44140625" bestFit="1" customWidth="1"/>
    <col min="14087" max="14088" width="31.6640625" customWidth="1"/>
    <col min="14089" max="14089" width="42.44140625" customWidth="1"/>
    <col min="14090" max="14090" width="63.5546875" customWidth="1"/>
    <col min="14337" max="14337" width="22.33203125" customWidth="1"/>
    <col min="14338" max="14338" width="31.44140625" customWidth="1"/>
    <col min="14339" max="14339" width="14" customWidth="1"/>
    <col min="14340" max="14340" width="3.44140625" customWidth="1"/>
    <col min="14341" max="14341" width="14" customWidth="1"/>
    <col min="14342" max="14342" width="8.44140625" bestFit="1" customWidth="1"/>
    <col min="14343" max="14344" width="31.6640625" customWidth="1"/>
    <col min="14345" max="14345" width="42.44140625" customWidth="1"/>
    <col min="14346" max="14346" width="63.5546875" customWidth="1"/>
    <col min="14593" max="14593" width="22.33203125" customWidth="1"/>
    <col min="14594" max="14594" width="31.44140625" customWidth="1"/>
    <col min="14595" max="14595" width="14" customWidth="1"/>
    <col min="14596" max="14596" width="3.44140625" customWidth="1"/>
    <col min="14597" max="14597" width="14" customWidth="1"/>
    <col min="14598" max="14598" width="8.44140625" bestFit="1" customWidth="1"/>
    <col min="14599" max="14600" width="31.6640625" customWidth="1"/>
    <col min="14601" max="14601" width="42.44140625" customWidth="1"/>
    <col min="14602" max="14602" width="63.5546875" customWidth="1"/>
    <col min="14849" max="14849" width="22.33203125" customWidth="1"/>
    <col min="14850" max="14850" width="31.44140625" customWidth="1"/>
    <col min="14851" max="14851" width="14" customWidth="1"/>
    <col min="14852" max="14852" width="3.44140625" customWidth="1"/>
    <col min="14853" max="14853" width="14" customWidth="1"/>
    <col min="14854" max="14854" width="8.44140625" bestFit="1" customWidth="1"/>
    <col min="14855" max="14856" width="31.6640625" customWidth="1"/>
    <col min="14857" max="14857" width="42.44140625" customWidth="1"/>
    <col min="14858" max="14858" width="63.5546875" customWidth="1"/>
    <col min="15105" max="15105" width="22.33203125" customWidth="1"/>
    <col min="15106" max="15106" width="31.44140625" customWidth="1"/>
    <col min="15107" max="15107" width="14" customWidth="1"/>
    <col min="15108" max="15108" width="3.44140625" customWidth="1"/>
    <col min="15109" max="15109" width="14" customWidth="1"/>
    <col min="15110" max="15110" width="8.44140625" bestFit="1" customWidth="1"/>
    <col min="15111" max="15112" width="31.6640625" customWidth="1"/>
    <col min="15113" max="15113" width="42.44140625" customWidth="1"/>
    <col min="15114" max="15114" width="63.5546875" customWidth="1"/>
    <col min="15361" max="15361" width="22.33203125" customWidth="1"/>
    <col min="15362" max="15362" width="31.44140625" customWidth="1"/>
    <col min="15363" max="15363" width="14" customWidth="1"/>
    <col min="15364" max="15364" width="3.44140625" customWidth="1"/>
    <col min="15365" max="15365" width="14" customWidth="1"/>
    <col min="15366" max="15366" width="8.44140625" bestFit="1" customWidth="1"/>
    <col min="15367" max="15368" width="31.6640625" customWidth="1"/>
    <col min="15369" max="15369" width="42.44140625" customWidth="1"/>
    <col min="15370" max="15370" width="63.5546875" customWidth="1"/>
    <col min="15617" max="15617" width="22.33203125" customWidth="1"/>
    <col min="15618" max="15618" width="31.44140625" customWidth="1"/>
    <col min="15619" max="15619" width="14" customWidth="1"/>
    <col min="15620" max="15620" width="3.44140625" customWidth="1"/>
    <col min="15621" max="15621" width="14" customWidth="1"/>
    <col min="15622" max="15622" width="8.44140625" bestFit="1" customWidth="1"/>
    <col min="15623" max="15624" width="31.6640625" customWidth="1"/>
    <col min="15625" max="15625" width="42.44140625" customWidth="1"/>
    <col min="15626" max="15626" width="63.5546875" customWidth="1"/>
    <col min="15873" max="15873" width="22.33203125" customWidth="1"/>
    <col min="15874" max="15874" width="31.44140625" customWidth="1"/>
    <col min="15875" max="15875" width="14" customWidth="1"/>
    <col min="15876" max="15876" width="3.44140625" customWidth="1"/>
    <col min="15877" max="15877" width="14" customWidth="1"/>
    <col min="15878" max="15878" width="8.44140625" bestFit="1" customWidth="1"/>
    <col min="15879" max="15880" width="31.6640625" customWidth="1"/>
    <col min="15881" max="15881" width="42.44140625" customWidth="1"/>
    <col min="15882" max="15882" width="63.5546875" customWidth="1"/>
    <col min="16129" max="16129" width="22.33203125" customWidth="1"/>
    <col min="16130" max="16130" width="31.44140625" customWidth="1"/>
    <col min="16131" max="16131" width="14" customWidth="1"/>
    <col min="16132" max="16132" width="3.44140625" customWidth="1"/>
    <col min="16133" max="16133" width="14" customWidth="1"/>
    <col min="16134" max="16134" width="8.44140625" bestFit="1" customWidth="1"/>
    <col min="16135" max="16136" width="31.6640625" customWidth="1"/>
    <col min="16137" max="16137" width="42.44140625" customWidth="1"/>
    <col min="16138" max="16138" width="63.5546875" customWidth="1"/>
  </cols>
  <sheetData>
    <row r="1" spans="1:10" ht="23.4" x14ac:dyDescent="0.45">
      <c r="A1" s="281" t="s">
        <v>0</v>
      </c>
      <c r="B1" s="282"/>
      <c r="C1" s="282"/>
      <c r="D1" s="282"/>
      <c r="E1" s="282"/>
      <c r="F1" s="282"/>
      <c r="G1" s="282"/>
      <c r="H1" s="282"/>
      <c r="I1" s="282"/>
      <c r="J1" s="282"/>
    </row>
    <row r="3" spans="1:10" x14ac:dyDescent="0.3">
      <c r="F3">
        <v>2025</v>
      </c>
    </row>
    <row r="4" spans="1:10" x14ac:dyDescent="0.3">
      <c r="A4" s="106" t="s">
        <v>1</v>
      </c>
      <c r="B4" s="106" t="s">
        <v>2</v>
      </c>
      <c r="C4" s="106" t="s">
        <v>3</v>
      </c>
      <c r="D4" s="106" t="s">
        <v>4</v>
      </c>
      <c r="E4" s="106" t="s">
        <v>5</v>
      </c>
      <c r="F4" s="106" t="s">
        <v>9786</v>
      </c>
      <c r="G4" s="106" t="s">
        <v>6</v>
      </c>
      <c r="H4" s="106" t="s">
        <v>9792</v>
      </c>
      <c r="I4" s="106" t="s">
        <v>7</v>
      </c>
      <c r="J4" s="106" t="s">
        <v>8</v>
      </c>
    </row>
    <row r="5" spans="1:10" x14ac:dyDescent="0.3">
      <c r="A5" t="s">
        <v>9</v>
      </c>
      <c r="B5" t="s">
        <v>24224</v>
      </c>
      <c r="C5" t="s">
        <v>20486</v>
      </c>
      <c r="D5" t="s">
        <v>11</v>
      </c>
      <c r="E5" t="s">
        <v>12</v>
      </c>
      <c r="F5">
        <v>76</v>
      </c>
      <c r="G5" t="s">
        <v>13</v>
      </c>
      <c r="H5" t="s">
        <v>13</v>
      </c>
    </row>
    <row r="6" spans="1:10" x14ac:dyDescent="0.3">
      <c r="A6" t="s">
        <v>14</v>
      </c>
      <c r="B6" t="s">
        <v>24225</v>
      </c>
      <c r="C6" t="s">
        <v>20486</v>
      </c>
      <c r="D6" t="s">
        <v>11</v>
      </c>
      <c r="E6" t="s">
        <v>15</v>
      </c>
      <c r="F6">
        <v>60</v>
      </c>
      <c r="G6" t="s">
        <v>16</v>
      </c>
      <c r="H6" t="s">
        <v>9785</v>
      </c>
      <c r="I6" t="s">
        <v>17</v>
      </c>
      <c r="J6" t="s">
        <v>18</v>
      </c>
    </row>
    <row r="7" spans="1:10" x14ac:dyDescent="0.3">
      <c r="A7" t="s">
        <v>19</v>
      </c>
      <c r="B7" t="s">
        <v>24226</v>
      </c>
      <c r="C7" t="s">
        <v>20486</v>
      </c>
      <c r="D7" t="s">
        <v>11</v>
      </c>
      <c r="E7" t="s">
        <v>20</v>
      </c>
      <c r="F7">
        <v>57</v>
      </c>
      <c r="G7" t="s">
        <v>16</v>
      </c>
      <c r="H7" t="s">
        <v>9785</v>
      </c>
      <c r="I7" t="s">
        <v>17</v>
      </c>
      <c r="J7" t="s">
        <v>18</v>
      </c>
    </row>
    <row r="8" spans="1:10" x14ac:dyDescent="0.3">
      <c r="A8" t="s">
        <v>21</v>
      </c>
      <c r="B8" t="s">
        <v>24227</v>
      </c>
      <c r="C8" t="s">
        <v>20486</v>
      </c>
      <c r="D8" t="s">
        <v>22</v>
      </c>
      <c r="E8" t="s">
        <v>23</v>
      </c>
      <c r="F8">
        <v>56</v>
      </c>
      <c r="G8" t="s">
        <v>109</v>
      </c>
      <c r="H8" t="s">
        <v>9788</v>
      </c>
      <c r="I8" t="s">
        <v>17</v>
      </c>
      <c r="J8" t="s">
        <v>12100</v>
      </c>
    </row>
    <row r="9" spans="1:10" x14ac:dyDescent="0.3">
      <c r="A9" t="s">
        <v>26</v>
      </c>
      <c r="B9" t="s">
        <v>24228</v>
      </c>
      <c r="C9" t="s">
        <v>20486</v>
      </c>
      <c r="D9" t="s">
        <v>22</v>
      </c>
      <c r="E9" t="s">
        <v>27</v>
      </c>
      <c r="F9">
        <v>58</v>
      </c>
      <c r="G9" t="s">
        <v>24</v>
      </c>
      <c r="H9" t="s">
        <v>9789</v>
      </c>
      <c r="J9" t="s">
        <v>28</v>
      </c>
    </row>
    <row r="10" spans="1:10" x14ac:dyDescent="0.3">
      <c r="A10" t="s">
        <v>29</v>
      </c>
      <c r="B10" t="s">
        <v>24229</v>
      </c>
      <c r="C10" t="s">
        <v>20486</v>
      </c>
      <c r="D10" t="s">
        <v>22</v>
      </c>
      <c r="E10" t="s">
        <v>30</v>
      </c>
      <c r="F10">
        <v>58</v>
      </c>
      <c r="G10" t="s">
        <v>31</v>
      </c>
      <c r="H10" t="s">
        <v>31</v>
      </c>
      <c r="I10" t="s">
        <v>32</v>
      </c>
      <c r="J10" t="s">
        <v>33</v>
      </c>
    </row>
    <row r="11" spans="1:10" x14ac:dyDescent="0.3">
      <c r="A11" t="s">
        <v>34</v>
      </c>
      <c r="B11" t="s">
        <v>24230</v>
      </c>
      <c r="C11" t="s">
        <v>20486</v>
      </c>
      <c r="D11" t="s">
        <v>22</v>
      </c>
      <c r="E11" t="s">
        <v>35</v>
      </c>
      <c r="F11">
        <v>84</v>
      </c>
      <c r="G11" t="s">
        <v>31</v>
      </c>
      <c r="H11" t="s">
        <v>31</v>
      </c>
    </row>
    <row r="12" spans="1:10" x14ac:dyDescent="0.3">
      <c r="A12" t="s">
        <v>36</v>
      </c>
      <c r="B12" t="s">
        <v>24231</v>
      </c>
      <c r="C12" t="s">
        <v>20486</v>
      </c>
      <c r="D12" t="s">
        <v>11</v>
      </c>
      <c r="E12" t="s">
        <v>37</v>
      </c>
      <c r="F12">
        <v>59</v>
      </c>
      <c r="G12" t="s">
        <v>13</v>
      </c>
      <c r="H12" t="s">
        <v>13</v>
      </c>
      <c r="I12" t="s">
        <v>12101</v>
      </c>
      <c r="J12" t="s">
        <v>18</v>
      </c>
    </row>
    <row r="13" spans="1:10" x14ac:dyDescent="0.3">
      <c r="A13" t="s">
        <v>38</v>
      </c>
      <c r="B13" t="s">
        <v>24232</v>
      </c>
      <c r="C13" t="s">
        <v>20486</v>
      </c>
      <c r="D13" t="s">
        <v>22</v>
      </c>
      <c r="E13" t="s">
        <v>39</v>
      </c>
      <c r="F13">
        <v>60</v>
      </c>
      <c r="G13" t="s">
        <v>13</v>
      </c>
      <c r="H13" t="s">
        <v>13</v>
      </c>
      <c r="I13" t="s">
        <v>17</v>
      </c>
      <c r="J13" t="s">
        <v>18</v>
      </c>
    </row>
    <row r="14" spans="1:10" x14ac:dyDescent="0.3">
      <c r="A14" t="s">
        <v>40</v>
      </c>
      <c r="B14" t="s">
        <v>24233</v>
      </c>
      <c r="C14" t="s">
        <v>20486</v>
      </c>
      <c r="D14" t="s">
        <v>22</v>
      </c>
      <c r="E14" t="s">
        <v>41</v>
      </c>
      <c r="F14">
        <v>65</v>
      </c>
      <c r="G14" t="s">
        <v>13</v>
      </c>
      <c r="H14" t="s">
        <v>13</v>
      </c>
      <c r="J14" t="s">
        <v>18</v>
      </c>
    </row>
    <row r="15" spans="1:10" x14ac:dyDescent="0.3">
      <c r="A15" t="s">
        <v>42</v>
      </c>
      <c r="B15" t="s">
        <v>24234</v>
      </c>
      <c r="C15" t="s">
        <v>20486</v>
      </c>
      <c r="D15" t="s">
        <v>11</v>
      </c>
      <c r="E15" t="s">
        <v>43</v>
      </c>
      <c r="F15">
        <v>53</v>
      </c>
      <c r="G15" t="s">
        <v>16</v>
      </c>
      <c r="H15" t="s">
        <v>9785</v>
      </c>
      <c r="I15" t="s">
        <v>17</v>
      </c>
      <c r="J15" t="s">
        <v>18</v>
      </c>
    </row>
    <row r="16" spans="1:10" x14ac:dyDescent="0.3">
      <c r="A16" t="s">
        <v>44</v>
      </c>
      <c r="B16" t="s">
        <v>24235</v>
      </c>
      <c r="C16" t="s">
        <v>20486</v>
      </c>
      <c r="D16" t="s">
        <v>22</v>
      </c>
      <c r="E16" t="s">
        <v>45</v>
      </c>
      <c r="F16">
        <v>61</v>
      </c>
      <c r="G16" t="s">
        <v>46</v>
      </c>
      <c r="H16" t="s">
        <v>46</v>
      </c>
      <c r="I16" t="s">
        <v>47</v>
      </c>
      <c r="J16" t="s">
        <v>48</v>
      </c>
    </row>
    <row r="17" spans="1:10" x14ac:dyDescent="0.3">
      <c r="A17" t="s">
        <v>49</v>
      </c>
      <c r="B17" t="s">
        <v>24236</v>
      </c>
      <c r="C17" t="s">
        <v>20486</v>
      </c>
      <c r="D17" t="s">
        <v>22</v>
      </c>
      <c r="E17" t="s">
        <v>50</v>
      </c>
      <c r="F17">
        <v>62</v>
      </c>
      <c r="G17" t="s">
        <v>46</v>
      </c>
      <c r="H17" t="s">
        <v>46</v>
      </c>
      <c r="I17" t="s">
        <v>139</v>
      </c>
      <c r="J17" t="s">
        <v>1190</v>
      </c>
    </row>
    <row r="18" spans="1:10" x14ac:dyDescent="0.3">
      <c r="A18" t="s">
        <v>52</v>
      </c>
      <c r="B18" t="s">
        <v>24237</v>
      </c>
      <c r="C18" t="s">
        <v>20486</v>
      </c>
      <c r="D18" t="s">
        <v>22</v>
      </c>
      <c r="E18" t="s">
        <v>53</v>
      </c>
      <c r="F18">
        <v>69</v>
      </c>
      <c r="G18" t="s">
        <v>13</v>
      </c>
      <c r="H18" t="s">
        <v>13</v>
      </c>
      <c r="I18" t="s">
        <v>441</v>
      </c>
      <c r="J18" t="s">
        <v>54</v>
      </c>
    </row>
    <row r="19" spans="1:10" x14ac:dyDescent="0.3">
      <c r="A19" t="s">
        <v>55</v>
      </c>
      <c r="B19" t="s">
        <v>24238</v>
      </c>
      <c r="C19" t="s">
        <v>20486</v>
      </c>
      <c r="D19" t="s">
        <v>22</v>
      </c>
      <c r="E19" t="s">
        <v>56</v>
      </c>
      <c r="F19">
        <v>55</v>
      </c>
      <c r="G19" t="s">
        <v>16</v>
      </c>
      <c r="H19" t="s">
        <v>9785</v>
      </c>
      <c r="I19" t="s">
        <v>17</v>
      </c>
      <c r="J19" t="s">
        <v>54</v>
      </c>
    </row>
    <row r="20" spans="1:10" x14ac:dyDescent="0.3">
      <c r="A20" t="s">
        <v>57</v>
      </c>
      <c r="B20" t="s">
        <v>24239</v>
      </c>
      <c r="C20" t="s">
        <v>20486</v>
      </c>
      <c r="D20" t="s">
        <v>22</v>
      </c>
      <c r="E20" t="s">
        <v>58</v>
      </c>
      <c r="F20">
        <v>55</v>
      </c>
      <c r="G20" t="s">
        <v>16</v>
      </c>
      <c r="H20" t="s">
        <v>9785</v>
      </c>
      <c r="I20" t="s">
        <v>17</v>
      </c>
      <c r="J20" t="s">
        <v>18</v>
      </c>
    </row>
    <row r="21" spans="1:10" x14ac:dyDescent="0.3">
      <c r="A21" t="s">
        <v>59</v>
      </c>
      <c r="B21" t="s">
        <v>24240</v>
      </c>
      <c r="C21" t="s">
        <v>20486</v>
      </c>
      <c r="D21" t="s">
        <v>11</v>
      </c>
      <c r="E21" t="s">
        <v>60</v>
      </c>
      <c r="F21">
        <v>60</v>
      </c>
      <c r="G21" t="s">
        <v>16</v>
      </c>
      <c r="H21" t="s">
        <v>9785</v>
      </c>
      <c r="I21" t="s">
        <v>17</v>
      </c>
      <c r="J21" t="s">
        <v>54</v>
      </c>
    </row>
    <row r="22" spans="1:10" x14ac:dyDescent="0.3">
      <c r="A22" t="s">
        <v>61</v>
      </c>
      <c r="B22" t="s">
        <v>24241</v>
      </c>
      <c r="C22" t="s">
        <v>20486</v>
      </c>
      <c r="D22" t="s">
        <v>22</v>
      </c>
      <c r="E22" t="s">
        <v>62</v>
      </c>
      <c r="F22">
        <v>77</v>
      </c>
      <c r="G22" t="s">
        <v>13</v>
      </c>
      <c r="H22" t="s">
        <v>13</v>
      </c>
      <c r="J22" t="s">
        <v>54</v>
      </c>
    </row>
    <row r="23" spans="1:10" x14ac:dyDescent="0.3">
      <c r="A23" t="s">
        <v>63</v>
      </c>
      <c r="B23" t="s">
        <v>24242</v>
      </c>
      <c r="C23" t="s">
        <v>20486</v>
      </c>
      <c r="D23" t="s">
        <v>22</v>
      </c>
      <c r="E23" t="s">
        <v>64</v>
      </c>
      <c r="F23">
        <v>63</v>
      </c>
      <c r="G23" t="s">
        <v>13</v>
      </c>
      <c r="H23" t="s">
        <v>13</v>
      </c>
      <c r="J23" t="s">
        <v>54</v>
      </c>
    </row>
    <row r="24" spans="1:10" x14ac:dyDescent="0.3">
      <c r="A24" t="s">
        <v>65</v>
      </c>
      <c r="B24" t="s">
        <v>24243</v>
      </c>
      <c r="C24" t="s">
        <v>20486</v>
      </c>
      <c r="D24" t="s">
        <v>11</v>
      </c>
      <c r="E24" t="s">
        <v>66</v>
      </c>
      <c r="F24">
        <v>73</v>
      </c>
      <c r="G24" t="s">
        <v>13</v>
      </c>
      <c r="H24" t="s">
        <v>13</v>
      </c>
      <c r="I24" t="s">
        <v>17</v>
      </c>
      <c r="J24" t="s">
        <v>67</v>
      </c>
    </row>
    <row r="25" spans="1:10" x14ac:dyDescent="0.3">
      <c r="A25" t="s">
        <v>68</v>
      </c>
      <c r="B25" t="s">
        <v>24244</v>
      </c>
      <c r="C25" t="s">
        <v>20486</v>
      </c>
      <c r="D25" t="s">
        <v>22</v>
      </c>
      <c r="E25" t="s">
        <v>1891</v>
      </c>
      <c r="F25">
        <v>62</v>
      </c>
      <c r="G25" t="s">
        <v>24</v>
      </c>
      <c r="H25" t="s">
        <v>9789</v>
      </c>
      <c r="J25" t="s">
        <v>70</v>
      </c>
    </row>
    <row r="26" spans="1:10" x14ac:dyDescent="0.3">
      <c r="A26" t="s">
        <v>71</v>
      </c>
      <c r="B26" t="s">
        <v>24245</v>
      </c>
      <c r="C26" t="s">
        <v>20486</v>
      </c>
      <c r="D26" t="s">
        <v>11</v>
      </c>
      <c r="E26" t="s">
        <v>72</v>
      </c>
      <c r="F26">
        <v>65</v>
      </c>
      <c r="G26" t="s">
        <v>46</v>
      </c>
      <c r="H26" t="s">
        <v>46</v>
      </c>
      <c r="I26" t="s">
        <v>73</v>
      </c>
      <c r="J26" t="s">
        <v>74</v>
      </c>
    </row>
    <row r="27" spans="1:10" x14ac:dyDescent="0.3">
      <c r="A27" t="s">
        <v>75</v>
      </c>
      <c r="B27" t="s">
        <v>24246</v>
      </c>
      <c r="C27" t="s">
        <v>20486</v>
      </c>
      <c r="D27" t="s">
        <v>22</v>
      </c>
      <c r="E27" t="s">
        <v>76</v>
      </c>
      <c r="F27">
        <v>53</v>
      </c>
      <c r="G27" t="s">
        <v>16</v>
      </c>
      <c r="H27" t="s">
        <v>9785</v>
      </c>
      <c r="I27" t="s">
        <v>17</v>
      </c>
      <c r="J27" t="s">
        <v>77</v>
      </c>
    </row>
    <row r="28" spans="1:10" x14ac:dyDescent="0.3">
      <c r="A28" t="s">
        <v>78</v>
      </c>
      <c r="B28" t="s">
        <v>24247</v>
      </c>
      <c r="C28" t="s">
        <v>20486</v>
      </c>
      <c r="D28" t="s">
        <v>22</v>
      </c>
      <c r="E28" t="s">
        <v>79</v>
      </c>
      <c r="F28">
        <v>59</v>
      </c>
      <c r="G28" t="s">
        <v>16</v>
      </c>
      <c r="H28" t="s">
        <v>9785</v>
      </c>
      <c r="I28" t="s">
        <v>17</v>
      </c>
      <c r="J28" t="s">
        <v>80</v>
      </c>
    </row>
    <row r="29" spans="1:10" x14ac:dyDescent="0.3">
      <c r="A29" t="s">
        <v>81</v>
      </c>
      <c r="B29" t="s">
        <v>24248</v>
      </c>
      <c r="C29" t="s">
        <v>20486</v>
      </c>
      <c r="D29" t="s">
        <v>11</v>
      </c>
      <c r="E29" t="s">
        <v>82</v>
      </c>
      <c r="F29">
        <v>66</v>
      </c>
      <c r="G29" t="s">
        <v>13</v>
      </c>
      <c r="H29" t="s">
        <v>13</v>
      </c>
      <c r="J29" t="s">
        <v>83</v>
      </c>
    </row>
    <row r="30" spans="1:10" x14ac:dyDescent="0.3">
      <c r="A30" t="s">
        <v>86</v>
      </c>
      <c r="B30" t="s">
        <v>24249</v>
      </c>
      <c r="C30" t="s">
        <v>20486</v>
      </c>
      <c r="D30" t="s">
        <v>22</v>
      </c>
      <c r="E30" t="s">
        <v>87</v>
      </c>
      <c r="F30">
        <v>51</v>
      </c>
      <c r="G30" t="s">
        <v>88</v>
      </c>
      <c r="H30" t="s">
        <v>12065</v>
      </c>
      <c r="I30" t="s">
        <v>89</v>
      </c>
      <c r="J30" t="s">
        <v>90</v>
      </c>
    </row>
    <row r="31" spans="1:10" x14ac:dyDescent="0.3">
      <c r="A31" t="s">
        <v>91</v>
      </c>
      <c r="B31" t="s">
        <v>24250</v>
      </c>
      <c r="C31" t="s">
        <v>20486</v>
      </c>
      <c r="D31" t="s">
        <v>22</v>
      </c>
      <c r="E31" t="s">
        <v>92</v>
      </c>
      <c r="F31">
        <v>61</v>
      </c>
      <c r="G31" t="s">
        <v>13</v>
      </c>
      <c r="H31" t="s">
        <v>13</v>
      </c>
      <c r="I31" t="s">
        <v>9599</v>
      </c>
      <c r="J31" t="s">
        <v>54</v>
      </c>
    </row>
    <row r="32" spans="1:10" x14ac:dyDescent="0.3">
      <c r="A32" t="s">
        <v>93</v>
      </c>
      <c r="B32" t="s">
        <v>24251</v>
      </c>
      <c r="C32" t="s">
        <v>20486</v>
      </c>
      <c r="D32" t="s">
        <v>11</v>
      </c>
      <c r="E32" t="s">
        <v>94</v>
      </c>
      <c r="F32">
        <v>78</v>
      </c>
      <c r="G32" t="s">
        <v>13</v>
      </c>
      <c r="H32" t="s">
        <v>13</v>
      </c>
    </row>
    <row r="33" spans="1:10" x14ac:dyDescent="0.3">
      <c r="A33" t="s">
        <v>95</v>
      </c>
      <c r="B33" t="s">
        <v>24252</v>
      </c>
      <c r="C33" t="s">
        <v>20486</v>
      </c>
      <c r="D33" t="s">
        <v>11</v>
      </c>
      <c r="E33" t="s">
        <v>96</v>
      </c>
      <c r="F33">
        <v>60</v>
      </c>
      <c r="G33" t="s">
        <v>13</v>
      </c>
      <c r="H33" t="s">
        <v>13</v>
      </c>
      <c r="J33" t="s">
        <v>54</v>
      </c>
    </row>
    <row r="34" spans="1:10" x14ac:dyDescent="0.3">
      <c r="A34" t="s">
        <v>97</v>
      </c>
      <c r="B34" t="s">
        <v>24253</v>
      </c>
      <c r="C34" t="s">
        <v>20486</v>
      </c>
      <c r="D34" t="s">
        <v>22</v>
      </c>
      <c r="E34" t="s">
        <v>98</v>
      </c>
      <c r="F34">
        <v>69</v>
      </c>
      <c r="G34" t="s">
        <v>13</v>
      </c>
      <c r="H34" t="s">
        <v>13</v>
      </c>
      <c r="J34" t="s">
        <v>54</v>
      </c>
    </row>
    <row r="35" spans="1:10" x14ac:dyDescent="0.3">
      <c r="A35" t="s">
        <v>99</v>
      </c>
      <c r="B35" t="s">
        <v>24254</v>
      </c>
      <c r="C35" t="s">
        <v>20486</v>
      </c>
      <c r="D35" t="s">
        <v>22</v>
      </c>
      <c r="E35" t="s">
        <v>100</v>
      </c>
      <c r="F35">
        <v>59</v>
      </c>
      <c r="G35" t="s">
        <v>13</v>
      </c>
      <c r="H35" t="s">
        <v>9785</v>
      </c>
      <c r="I35" t="s">
        <v>17</v>
      </c>
      <c r="J35" t="s">
        <v>77</v>
      </c>
    </row>
    <row r="36" spans="1:10" x14ac:dyDescent="0.3">
      <c r="A36" t="s">
        <v>102</v>
      </c>
      <c r="B36" t="s">
        <v>24255</v>
      </c>
      <c r="C36" t="s">
        <v>20486</v>
      </c>
      <c r="D36" t="s">
        <v>22</v>
      </c>
      <c r="E36" t="s">
        <v>103</v>
      </c>
      <c r="F36">
        <v>58</v>
      </c>
      <c r="G36" t="s">
        <v>16</v>
      </c>
      <c r="H36" t="s">
        <v>9785</v>
      </c>
      <c r="I36" t="s">
        <v>17</v>
      </c>
      <c r="J36" t="s">
        <v>77</v>
      </c>
    </row>
    <row r="37" spans="1:10" x14ac:dyDescent="0.3">
      <c r="A37" t="s">
        <v>104</v>
      </c>
      <c r="B37" t="s">
        <v>24256</v>
      </c>
      <c r="C37" t="s">
        <v>20486</v>
      </c>
      <c r="D37" t="s">
        <v>22</v>
      </c>
      <c r="E37" t="s">
        <v>105</v>
      </c>
      <c r="F37">
        <v>54</v>
      </c>
      <c r="G37" t="s">
        <v>16</v>
      </c>
      <c r="H37" t="s">
        <v>9785</v>
      </c>
      <c r="I37" t="s">
        <v>17</v>
      </c>
      <c r="J37" t="s">
        <v>106</v>
      </c>
    </row>
    <row r="38" spans="1:10" x14ac:dyDescent="0.3">
      <c r="A38" t="s">
        <v>107</v>
      </c>
      <c r="B38" t="s">
        <v>24257</v>
      </c>
      <c r="C38" t="s">
        <v>20486</v>
      </c>
      <c r="D38" t="s">
        <v>22</v>
      </c>
      <c r="E38" t="s">
        <v>108</v>
      </c>
      <c r="F38">
        <v>62</v>
      </c>
      <c r="G38" t="s">
        <v>109</v>
      </c>
      <c r="H38" t="s">
        <v>9788</v>
      </c>
      <c r="I38" t="s">
        <v>110</v>
      </c>
      <c r="J38" t="s">
        <v>111</v>
      </c>
    </row>
    <row r="39" spans="1:10" x14ac:dyDescent="0.3">
      <c r="A39" t="s">
        <v>112</v>
      </c>
      <c r="B39" t="s">
        <v>24258</v>
      </c>
      <c r="C39" t="s">
        <v>20486</v>
      </c>
      <c r="D39" t="s">
        <v>11</v>
      </c>
      <c r="E39" t="s">
        <v>113</v>
      </c>
      <c r="F39">
        <v>53</v>
      </c>
      <c r="G39" t="s">
        <v>109</v>
      </c>
      <c r="H39" t="s">
        <v>9788</v>
      </c>
      <c r="I39" t="s">
        <v>85</v>
      </c>
      <c r="J39" t="s">
        <v>77</v>
      </c>
    </row>
    <row r="40" spans="1:10" x14ac:dyDescent="0.3">
      <c r="A40" t="s">
        <v>114</v>
      </c>
      <c r="B40" t="s">
        <v>24259</v>
      </c>
      <c r="C40" t="s">
        <v>20486</v>
      </c>
      <c r="D40" t="s">
        <v>22</v>
      </c>
      <c r="E40" t="s">
        <v>115</v>
      </c>
      <c r="F40">
        <v>66</v>
      </c>
      <c r="G40" t="s">
        <v>13</v>
      </c>
      <c r="H40" t="s">
        <v>13</v>
      </c>
      <c r="J40" t="s">
        <v>18</v>
      </c>
    </row>
    <row r="41" spans="1:10" x14ac:dyDescent="0.3">
      <c r="A41" t="s">
        <v>116</v>
      </c>
      <c r="B41" t="s">
        <v>24260</v>
      </c>
      <c r="C41" t="s">
        <v>20486</v>
      </c>
      <c r="D41" t="s">
        <v>22</v>
      </c>
      <c r="E41" t="s">
        <v>117</v>
      </c>
      <c r="F41">
        <v>65</v>
      </c>
      <c r="G41" t="s">
        <v>13</v>
      </c>
      <c r="H41" t="s">
        <v>13</v>
      </c>
      <c r="I41" t="s">
        <v>17</v>
      </c>
      <c r="J41" t="s">
        <v>67</v>
      </c>
    </row>
    <row r="42" spans="1:10" x14ac:dyDescent="0.3">
      <c r="A42" t="s">
        <v>118</v>
      </c>
      <c r="B42" t="s">
        <v>24261</v>
      </c>
      <c r="C42" t="s">
        <v>20486</v>
      </c>
      <c r="D42" t="s">
        <v>11</v>
      </c>
      <c r="E42" t="s">
        <v>119</v>
      </c>
      <c r="F42">
        <v>52</v>
      </c>
      <c r="G42" t="s">
        <v>109</v>
      </c>
      <c r="H42" t="s">
        <v>9788</v>
      </c>
      <c r="I42" t="s">
        <v>120</v>
      </c>
      <c r="J42" t="s">
        <v>77</v>
      </c>
    </row>
    <row r="43" spans="1:10" x14ac:dyDescent="0.3">
      <c r="A43" t="s">
        <v>121</v>
      </c>
      <c r="B43" t="s">
        <v>24262</v>
      </c>
      <c r="C43" t="s">
        <v>20486</v>
      </c>
      <c r="D43" t="s">
        <v>11</v>
      </c>
      <c r="E43" t="s">
        <v>122</v>
      </c>
      <c r="F43">
        <v>49</v>
      </c>
      <c r="G43" t="s">
        <v>109</v>
      </c>
      <c r="H43" t="s">
        <v>9788</v>
      </c>
      <c r="I43" t="s">
        <v>123</v>
      </c>
      <c r="J43" t="s">
        <v>124</v>
      </c>
    </row>
    <row r="44" spans="1:10" x14ac:dyDescent="0.3">
      <c r="A44" t="s">
        <v>125</v>
      </c>
      <c r="B44" t="s">
        <v>24263</v>
      </c>
      <c r="C44" t="s">
        <v>20486</v>
      </c>
      <c r="D44" t="s">
        <v>22</v>
      </c>
      <c r="E44" t="s">
        <v>126</v>
      </c>
      <c r="F44">
        <v>57</v>
      </c>
      <c r="G44" t="s">
        <v>16</v>
      </c>
      <c r="H44" t="s">
        <v>9785</v>
      </c>
      <c r="I44" t="s">
        <v>17</v>
      </c>
      <c r="J44" t="s">
        <v>18</v>
      </c>
    </row>
    <row r="45" spans="1:10" x14ac:dyDescent="0.3">
      <c r="A45" t="s">
        <v>127</v>
      </c>
      <c r="B45" t="s">
        <v>24264</v>
      </c>
      <c r="C45" t="s">
        <v>20486</v>
      </c>
      <c r="D45" t="s">
        <v>11</v>
      </c>
      <c r="E45" t="s">
        <v>128</v>
      </c>
      <c r="F45">
        <v>56</v>
      </c>
      <c r="G45" t="s">
        <v>16</v>
      </c>
      <c r="H45" t="s">
        <v>9785</v>
      </c>
      <c r="I45" t="s">
        <v>17</v>
      </c>
      <c r="J45" t="s">
        <v>54</v>
      </c>
    </row>
    <row r="46" spans="1:10" x14ac:dyDescent="0.3">
      <c r="A46" t="s">
        <v>129</v>
      </c>
      <c r="B46" t="s">
        <v>24265</v>
      </c>
      <c r="C46" t="s">
        <v>20486</v>
      </c>
      <c r="D46" t="s">
        <v>22</v>
      </c>
      <c r="E46" t="s">
        <v>130</v>
      </c>
      <c r="F46">
        <v>70</v>
      </c>
      <c r="G46" t="s">
        <v>243</v>
      </c>
      <c r="H46" t="s">
        <v>31</v>
      </c>
      <c r="I46" t="s">
        <v>3763</v>
      </c>
    </row>
    <row r="47" spans="1:10" x14ac:dyDescent="0.3">
      <c r="A47" t="s">
        <v>131</v>
      </c>
      <c r="B47" t="s">
        <v>24266</v>
      </c>
      <c r="C47" t="s">
        <v>20486</v>
      </c>
      <c r="D47" t="s">
        <v>11</v>
      </c>
      <c r="E47" t="s">
        <v>132</v>
      </c>
      <c r="F47">
        <v>69</v>
      </c>
      <c r="G47" t="s">
        <v>133</v>
      </c>
      <c r="H47" t="s">
        <v>9789</v>
      </c>
      <c r="I47" t="s">
        <v>134</v>
      </c>
      <c r="J47" t="s">
        <v>135</v>
      </c>
    </row>
    <row r="48" spans="1:10" x14ac:dyDescent="0.3">
      <c r="A48" t="s">
        <v>137</v>
      </c>
      <c r="B48" t="s">
        <v>24267</v>
      </c>
      <c r="C48" t="s">
        <v>20486</v>
      </c>
      <c r="D48" t="s">
        <v>22</v>
      </c>
      <c r="E48" t="s">
        <v>138</v>
      </c>
      <c r="F48">
        <v>67</v>
      </c>
      <c r="G48" t="s">
        <v>46</v>
      </c>
      <c r="H48" t="s">
        <v>46</v>
      </c>
      <c r="I48" t="s">
        <v>139</v>
      </c>
      <c r="J48" t="s">
        <v>140</v>
      </c>
    </row>
    <row r="49" spans="1:10" x14ac:dyDescent="0.3">
      <c r="A49" t="s">
        <v>141</v>
      </c>
      <c r="B49" t="s">
        <v>24268</v>
      </c>
      <c r="C49" t="s">
        <v>20486</v>
      </c>
      <c r="D49" t="s">
        <v>11</v>
      </c>
      <c r="E49" t="s">
        <v>142</v>
      </c>
      <c r="F49">
        <v>54</v>
      </c>
      <c r="G49" t="s">
        <v>16</v>
      </c>
      <c r="H49" t="s">
        <v>9785</v>
      </c>
      <c r="I49" t="s">
        <v>17</v>
      </c>
      <c r="J49" t="s">
        <v>67</v>
      </c>
    </row>
    <row r="50" spans="1:10" x14ac:dyDescent="0.3">
      <c r="A50" t="s">
        <v>143</v>
      </c>
      <c r="B50" t="s">
        <v>24269</v>
      </c>
      <c r="C50" t="s">
        <v>20486</v>
      </c>
      <c r="D50" t="s">
        <v>22</v>
      </c>
      <c r="E50" t="s">
        <v>144</v>
      </c>
      <c r="F50">
        <v>68</v>
      </c>
      <c r="G50" t="s">
        <v>13</v>
      </c>
      <c r="H50" t="s">
        <v>13</v>
      </c>
      <c r="I50" t="s">
        <v>17</v>
      </c>
      <c r="J50" t="s">
        <v>2333</v>
      </c>
    </row>
    <row r="51" spans="1:10" x14ac:dyDescent="0.3">
      <c r="A51" t="s">
        <v>145</v>
      </c>
      <c r="B51" t="s">
        <v>24270</v>
      </c>
      <c r="C51" t="s">
        <v>20486</v>
      </c>
      <c r="D51" t="s">
        <v>22</v>
      </c>
      <c r="E51" t="s">
        <v>146</v>
      </c>
      <c r="F51">
        <v>65</v>
      </c>
      <c r="G51" t="s">
        <v>13</v>
      </c>
      <c r="H51" t="s">
        <v>13</v>
      </c>
      <c r="J51" t="s">
        <v>67</v>
      </c>
    </row>
    <row r="52" spans="1:10" x14ac:dyDescent="0.3">
      <c r="A52" t="s">
        <v>147</v>
      </c>
      <c r="B52" t="s">
        <v>24271</v>
      </c>
      <c r="C52" t="s">
        <v>20486</v>
      </c>
      <c r="D52" t="s">
        <v>22</v>
      </c>
      <c r="E52" t="s">
        <v>148</v>
      </c>
      <c r="F52">
        <v>60</v>
      </c>
      <c r="G52" t="s">
        <v>46</v>
      </c>
      <c r="H52" t="s">
        <v>46</v>
      </c>
      <c r="I52" t="s">
        <v>149</v>
      </c>
      <c r="J52" t="s">
        <v>150</v>
      </c>
    </row>
    <row r="53" spans="1:10" x14ac:dyDescent="0.3">
      <c r="A53" t="s">
        <v>151</v>
      </c>
      <c r="B53" t="s">
        <v>24272</v>
      </c>
      <c r="C53" t="s">
        <v>20486</v>
      </c>
      <c r="D53" t="s">
        <v>22</v>
      </c>
      <c r="E53" t="s">
        <v>152</v>
      </c>
      <c r="F53">
        <v>54</v>
      </c>
      <c r="G53" t="s">
        <v>16</v>
      </c>
      <c r="H53" t="s">
        <v>9785</v>
      </c>
      <c r="I53" t="s">
        <v>17</v>
      </c>
      <c r="J53" t="s">
        <v>67</v>
      </c>
    </row>
    <row r="54" spans="1:10" x14ac:dyDescent="0.3">
      <c r="A54" t="s">
        <v>153</v>
      </c>
      <c r="B54" t="s">
        <v>24273</v>
      </c>
      <c r="C54" t="s">
        <v>20486</v>
      </c>
      <c r="D54" t="s">
        <v>22</v>
      </c>
      <c r="E54" t="s">
        <v>154</v>
      </c>
      <c r="F54">
        <v>61</v>
      </c>
      <c r="G54" t="s">
        <v>155</v>
      </c>
      <c r="H54" t="s">
        <v>9791</v>
      </c>
      <c r="I54" t="s">
        <v>156</v>
      </c>
    </row>
    <row r="55" spans="1:10" x14ac:dyDescent="0.3">
      <c r="A55" t="s">
        <v>157</v>
      </c>
      <c r="B55" t="s">
        <v>24274</v>
      </c>
      <c r="C55" t="s">
        <v>20486</v>
      </c>
      <c r="D55" t="s">
        <v>22</v>
      </c>
      <c r="E55" t="s">
        <v>158</v>
      </c>
      <c r="F55">
        <v>62</v>
      </c>
      <c r="G55" t="s">
        <v>13</v>
      </c>
      <c r="H55" t="s">
        <v>13</v>
      </c>
      <c r="I55" t="s">
        <v>159</v>
      </c>
      <c r="J55" t="s">
        <v>18</v>
      </c>
    </row>
    <row r="56" spans="1:10" x14ac:dyDescent="0.3">
      <c r="A56" t="s">
        <v>160</v>
      </c>
      <c r="B56" t="s">
        <v>24275</v>
      </c>
      <c r="C56" t="s">
        <v>20486</v>
      </c>
      <c r="D56" t="s">
        <v>11</v>
      </c>
      <c r="E56" t="s">
        <v>161</v>
      </c>
      <c r="F56">
        <v>64</v>
      </c>
      <c r="G56" t="s">
        <v>133</v>
      </c>
      <c r="H56" t="s">
        <v>9789</v>
      </c>
      <c r="I56" t="s">
        <v>162</v>
      </c>
      <c r="J56" t="s">
        <v>135</v>
      </c>
    </row>
    <row r="57" spans="1:10" x14ac:dyDescent="0.3">
      <c r="A57" t="s">
        <v>163</v>
      </c>
      <c r="B57" t="s">
        <v>24276</v>
      </c>
      <c r="C57" t="s">
        <v>20486</v>
      </c>
      <c r="D57" t="s">
        <v>22</v>
      </c>
      <c r="E57" t="s">
        <v>164</v>
      </c>
      <c r="F57">
        <v>59</v>
      </c>
      <c r="G57" t="s">
        <v>46</v>
      </c>
      <c r="H57" t="s">
        <v>46</v>
      </c>
      <c r="I57" t="s">
        <v>165</v>
      </c>
      <c r="J57" t="s">
        <v>166</v>
      </c>
    </row>
    <row r="58" spans="1:10" x14ac:dyDescent="0.3">
      <c r="A58" t="s">
        <v>167</v>
      </c>
      <c r="B58" t="s">
        <v>24277</v>
      </c>
      <c r="C58" t="s">
        <v>20486</v>
      </c>
      <c r="D58" t="s">
        <v>11</v>
      </c>
      <c r="E58" t="s">
        <v>6654</v>
      </c>
      <c r="F58">
        <v>54</v>
      </c>
      <c r="G58" t="s">
        <v>169</v>
      </c>
      <c r="H58" t="s">
        <v>9789</v>
      </c>
      <c r="I58" t="s">
        <v>135</v>
      </c>
      <c r="J58" t="s">
        <v>135</v>
      </c>
    </row>
    <row r="59" spans="1:10" x14ac:dyDescent="0.3">
      <c r="A59" t="s">
        <v>170</v>
      </c>
      <c r="B59" t="s">
        <v>24278</v>
      </c>
      <c r="C59" t="s">
        <v>20486</v>
      </c>
      <c r="D59" t="s">
        <v>11</v>
      </c>
      <c r="E59" t="s">
        <v>171</v>
      </c>
      <c r="F59">
        <v>54</v>
      </c>
      <c r="G59" t="s">
        <v>172</v>
      </c>
      <c r="H59" t="s">
        <v>12099</v>
      </c>
      <c r="I59" t="s">
        <v>173</v>
      </c>
      <c r="J59" t="s">
        <v>174</v>
      </c>
    </row>
    <row r="60" spans="1:10" x14ac:dyDescent="0.3">
      <c r="A60" t="s">
        <v>175</v>
      </c>
      <c r="B60" t="s">
        <v>24279</v>
      </c>
      <c r="C60" t="s">
        <v>20486</v>
      </c>
      <c r="D60" t="s">
        <v>22</v>
      </c>
      <c r="E60" t="s">
        <v>176</v>
      </c>
      <c r="F60">
        <v>47</v>
      </c>
      <c r="G60" t="s">
        <v>177</v>
      </c>
      <c r="H60" t="s">
        <v>12065</v>
      </c>
      <c r="I60" t="s">
        <v>178</v>
      </c>
      <c r="J60" t="s">
        <v>179</v>
      </c>
    </row>
    <row r="61" spans="1:10" x14ac:dyDescent="0.3">
      <c r="A61" t="s">
        <v>180</v>
      </c>
      <c r="B61" t="s">
        <v>24280</v>
      </c>
      <c r="C61" t="s">
        <v>20486</v>
      </c>
      <c r="D61" t="s">
        <v>22</v>
      </c>
      <c r="E61" t="s">
        <v>181</v>
      </c>
      <c r="F61">
        <v>64</v>
      </c>
      <c r="G61" t="s">
        <v>31</v>
      </c>
      <c r="H61" t="s">
        <v>31</v>
      </c>
      <c r="J61" t="s">
        <v>33</v>
      </c>
    </row>
    <row r="62" spans="1:10" x14ac:dyDescent="0.3">
      <c r="A62" t="s">
        <v>182</v>
      </c>
      <c r="B62" t="s">
        <v>24281</v>
      </c>
      <c r="C62" t="s">
        <v>20486</v>
      </c>
      <c r="D62" t="s">
        <v>11</v>
      </c>
      <c r="E62" t="s">
        <v>183</v>
      </c>
      <c r="F62">
        <v>56</v>
      </c>
      <c r="G62" t="s">
        <v>16</v>
      </c>
      <c r="H62" t="s">
        <v>9785</v>
      </c>
      <c r="I62" t="s">
        <v>17</v>
      </c>
      <c r="J62" t="s">
        <v>67</v>
      </c>
    </row>
    <row r="63" spans="1:10" x14ac:dyDescent="0.3">
      <c r="A63" t="s">
        <v>184</v>
      </c>
      <c r="B63" t="s">
        <v>24282</v>
      </c>
      <c r="C63" t="s">
        <v>20486</v>
      </c>
      <c r="D63" t="s">
        <v>22</v>
      </c>
      <c r="E63" t="s">
        <v>185</v>
      </c>
      <c r="F63">
        <v>62</v>
      </c>
      <c r="G63" t="s">
        <v>13</v>
      </c>
      <c r="H63" t="s">
        <v>13</v>
      </c>
      <c r="I63" t="s">
        <v>17</v>
      </c>
      <c r="J63" t="s">
        <v>186</v>
      </c>
    </row>
    <row r="64" spans="1:10" x14ac:dyDescent="0.3">
      <c r="A64" t="s">
        <v>187</v>
      </c>
      <c r="B64" t="s">
        <v>24283</v>
      </c>
      <c r="C64" t="s">
        <v>20486</v>
      </c>
      <c r="D64" t="s">
        <v>22</v>
      </c>
      <c r="E64" t="s">
        <v>188</v>
      </c>
      <c r="F64">
        <v>59</v>
      </c>
      <c r="G64" t="s">
        <v>16</v>
      </c>
      <c r="H64" t="s">
        <v>9785</v>
      </c>
      <c r="I64" t="s">
        <v>17</v>
      </c>
      <c r="J64" t="s">
        <v>54</v>
      </c>
    </row>
    <row r="65" spans="1:10" x14ac:dyDescent="0.3">
      <c r="A65" t="s">
        <v>189</v>
      </c>
      <c r="B65" t="s">
        <v>24284</v>
      </c>
      <c r="C65" t="s">
        <v>20486</v>
      </c>
      <c r="D65" t="s">
        <v>22</v>
      </c>
      <c r="E65" t="s">
        <v>190</v>
      </c>
      <c r="F65">
        <v>57</v>
      </c>
      <c r="G65" t="s">
        <v>31</v>
      </c>
      <c r="H65" t="s">
        <v>31</v>
      </c>
      <c r="J65" t="s">
        <v>33</v>
      </c>
    </row>
    <row r="66" spans="1:10" x14ac:dyDescent="0.3">
      <c r="A66" t="s">
        <v>194</v>
      </c>
      <c r="B66" t="s">
        <v>24285</v>
      </c>
      <c r="C66" t="s">
        <v>20490</v>
      </c>
      <c r="D66" t="s">
        <v>22</v>
      </c>
      <c r="E66" t="s">
        <v>196</v>
      </c>
      <c r="F66">
        <v>60</v>
      </c>
      <c r="G66" t="s">
        <v>109</v>
      </c>
      <c r="H66" t="s">
        <v>9788</v>
      </c>
      <c r="I66" t="s">
        <v>197</v>
      </c>
      <c r="J66" t="s">
        <v>25</v>
      </c>
    </row>
    <row r="67" spans="1:10" x14ac:dyDescent="0.3">
      <c r="A67" t="s">
        <v>199</v>
      </c>
      <c r="B67" t="s">
        <v>24286</v>
      </c>
      <c r="C67" t="s">
        <v>20490</v>
      </c>
      <c r="D67" t="s">
        <v>11</v>
      </c>
      <c r="E67" t="s">
        <v>200</v>
      </c>
      <c r="F67">
        <v>73</v>
      </c>
      <c r="G67" t="s">
        <v>201</v>
      </c>
      <c r="H67" t="s">
        <v>9788</v>
      </c>
    </row>
    <row r="68" spans="1:10" x14ac:dyDescent="0.3">
      <c r="A68" t="s">
        <v>202</v>
      </c>
      <c r="B68" t="s">
        <v>24287</v>
      </c>
      <c r="C68" t="s">
        <v>20490</v>
      </c>
      <c r="D68" t="s">
        <v>11</v>
      </c>
      <c r="E68" t="s">
        <v>203</v>
      </c>
      <c r="F68">
        <v>66</v>
      </c>
      <c r="G68" t="s">
        <v>201</v>
      </c>
      <c r="H68" t="s">
        <v>9788</v>
      </c>
    </row>
    <row r="69" spans="1:10" x14ac:dyDescent="0.3">
      <c r="A69" t="s">
        <v>204</v>
      </c>
      <c r="B69" t="s">
        <v>24288</v>
      </c>
      <c r="C69" t="s">
        <v>20490</v>
      </c>
      <c r="D69" t="s">
        <v>22</v>
      </c>
      <c r="E69" t="s">
        <v>205</v>
      </c>
      <c r="F69">
        <v>60</v>
      </c>
      <c r="G69" t="s">
        <v>109</v>
      </c>
      <c r="H69" t="s">
        <v>9788</v>
      </c>
      <c r="J69" t="s">
        <v>206</v>
      </c>
    </row>
    <row r="70" spans="1:10" x14ac:dyDescent="0.3">
      <c r="A70" t="s">
        <v>207</v>
      </c>
      <c r="B70" t="s">
        <v>24289</v>
      </c>
      <c r="C70" t="s">
        <v>20490</v>
      </c>
      <c r="D70" t="s">
        <v>22</v>
      </c>
      <c r="E70" t="s">
        <v>208</v>
      </c>
      <c r="F70">
        <v>56</v>
      </c>
      <c r="G70" t="s">
        <v>16</v>
      </c>
      <c r="H70" t="s">
        <v>9785</v>
      </c>
      <c r="J70" t="s">
        <v>209</v>
      </c>
    </row>
    <row r="71" spans="1:10" x14ac:dyDescent="0.3">
      <c r="A71" t="s">
        <v>210</v>
      </c>
      <c r="B71" t="s">
        <v>24290</v>
      </c>
      <c r="C71" t="s">
        <v>20490</v>
      </c>
      <c r="D71" t="s">
        <v>11</v>
      </c>
      <c r="E71" t="s">
        <v>211</v>
      </c>
      <c r="F71">
        <v>66</v>
      </c>
      <c r="G71" t="s">
        <v>16</v>
      </c>
      <c r="H71" t="s">
        <v>13</v>
      </c>
      <c r="J71" t="s">
        <v>212</v>
      </c>
    </row>
    <row r="72" spans="1:10" x14ac:dyDescent="0.3">
      <c r="A72" t="s">
        <v>215</v>
      </c>
      <c r="B72" t="s">
        <v>24291</v>
      </c>
      <c r="C72" t="s">
        <v>20490</v>
      </c>
      <c r="D72" t="s">
        <v>22</v>
      </c>
      <c r="E72" t="s">
        <v>216</v>
      </c>
      <c r="F72">
        <v>62</v>
      </c>
      <c r="G72" t="s">
        <v>213</v>
      </c>
      <c r="H72" t="s">
        <v>12065</v>
      </c>
      <c r="I72" t="s">
        <v>110</v>
      </c>
      <c r="J72" t="s">
        <v>214</v>
      </c>
    </row>
    <row r="73" spans="1:10" x14ac:dyDescent="0.3">
      <c r="A73" t="s">
        <v>217</v>
      </c>
      <c r="B73" t="s">
        <v>24292</v>
      </c>
      <c r="C73" t="s">
        <v>20490</v>
      </c>
      <c r="D73" t="s">
        <v>11</v>
      </c>
      <c r="E73" t="s">
        <v>218</v>
      </c>
      <c r="F73">
        <v>75</v>
      </c>
      <c r="G73" t="s">
        <v>109</v>
      </c>
      <c r="H73" t="s">
        <v>9788</v>
      </c>
      <c r="J73" t="s">
        <v>219</v>
      </c>
    </row>
    <row r="74" spans="1:10" x14ac:dyDescent="0.3">
      <c r="A74" t="s">
        <v>221</v>
      </c>
      <c r="B74" t="s">
        <v>24293</v>
      </c>
      <c r="C74" t="s">
        <v>20486</v>
      </c>
      <c r="D74" t="s">
        <v>22</v>
      </c>
      <c r="E74" t="s">
        <v>223</v>
      </c>
      <c r="F74">
        <v>49</v>
      </c>
      <c r="G74" t="s">
        <v>109</v>
      </c>
      <c r="H74" t="s">
        <v>9788</v>
      </c>
      <c r="I74" t="s">
        <v>224</v>
      </c>
      <c r="J74" t="s">
        <v>225</v>
      </c>
    </row>
    <row r="75" spans="1:10" x14ac:dyDescent="0.3">
      <c r="A75" t="s">
        <v>226</v>
      </c>
      <c r="B75" t="s">
        <v>24294</v>
      </c>
      <c r="C75" t="s">
        <v>20486</v>
      </c>
      <c r="D75" t="s">
        <v>22</v>
      </c>
      <c r="E75" t="s">
        <v>227</v>
      </c>
      <c r="F75">
        <v>60</v>
      </c>
      <c r="G75" t="s">
        <v>46</v>
      </c>
      <c r="H75" t="s">
        <v>46</v>
      </c>
      <c r="I75" t="s">
        <v>228</v>
      </c>
    </row>
    <row r="76" spans="1:10" x14ac:dyDescent="0.3">
      <c r="A76" t="s">
        <v>229</v>
      </c>
      <c r="B76" t="s">
        <v>24295</v>
      </c>
      <c r="C76" t="s">
        <v>20486</v>
      </c>
      <c r="D76" t="s">
        <v>22</v>
      </c>
      <c r="E76" t="s">
        <v>230</v>
      </c>
      <c r="F76">
        <v>69</v>
      </c>
      <c r="G76" t="s">
        <v>13</v>
      </c>
      <c r="H76" t="s">
        <v>13</v>
      </c>
    </row>
    <row r="77" spans="1:10" x14ac:dyDescent="0.3">
      <c r="A77" t="s">
        <v>232</v>
      </c>
      <c r="B77" t="s">
        <v>24296</v>
      </c>
      <c r="C77" t="s">
        <v>20486</v>
      </c>
      <c r="D77" t="s">
        <v>22</v>
      </c>
      <c r="E77" t="s">
        <v>233</v>
      </c>
      <c r="F77">
        <v>62</v>
      </c>
      <c r="G77" t="s">
        <v>16</v>
      </c>
      <c r="H77" t="s">
        <v>13</v>
      </c>
      <c r="I77" t="s">
        <v>17</v>
      </c>
      <c r="J77" t="s">
        <v>234</v>
      </c>
    </row>
    <row r="78" spans="1:10" x14ac:dyDescent="0.3">
      <c r="A78" t="s">
        <v>235</v>
      </c>
      <c r="B78" t="s">
        <v>24297</v>
      </c>
      <c r="C78" t="s">
        <v>20486</v>
      </c>
      <c r="D78" t="s">
        <v>22</v>
      </c>
      <c r="E78" t="s">
        <v>236</v>
      </c>
      <c r="F78">
        <v>53</v>
      </c>
      <c r="G78" t="s">
        <v>46</v>
      </c>
      <c r="H78" t="s">
        <v>46</v>
      </c>
      <c r="I78" t="s">
        <v>228</v>
      </c>
      <c r="J78" t="s">
        <v>237</v>
      </c>
    </row>
    <row r="79" spans="1:10" x14ac:dyDescent="0.3">
      <c r="A79" t="s">
        <v>238</v>
      </c>
      <c r="B79" t="s">
        <v>24298</v>
      </c>
      <c r="C79" t="s">
        <v>20486</v>
      </c>
      <c r="D79" t="s">
        <v>22</v>
      </c>
      <c r="E79" t="s">
        <v>239</v>
      </c>
      <c r="F79">
        <v>60</v>
      </c>
      <c r="G79" t="s">
        <v>31</v>
      </c>
      <c r="H79" t="s">
        <v>46</v>
      </c>
      <c r="I79" t="s">
        <v>18804</v>
      </c>
      <c r="J79" t="s">
        <v>14285</v>
      </c>
    </row>
    <row r="80" spans="1:10" x14ac:dyDescent="0.3">
      <c r="A80" t="s">
        <v>240</v>
      </c>
      <c r="B80" t="s">
        <v>24299</v>
      </c>
      <c r="C80" t="s">
        <v>20490</v>
      </c>
      <c r="D80" t="s">
        <v>11</v>
      </c>
      <c r="E80" t="s">
        <v>241</v>
      </c>
      <c r="F80">
        <v>64</v>
      </c>
      <c r="G80" t="s">
        <v>231</v>
      </c>
      <c r="H80" t="s">
        <v>46</v>
      </c>
      <c r="J80" t="s">
        <v>242</v>
      </c>
    </row>
    <row r="81" spans="1:10" x14ac:dyDescent="0.3">
      <c r="A81" t="s">
        <v>245</v>
      </c>
      <c r="B81" t="s">
        <v>24300</v>
      </c>
      <c r="C81" t="s">
        <v>20486</v>
      </c>
      <c r="D81" t="s">
        <v>22</v>
      </c>
      <c r="E81" t="s">
        <v>246</v>
      </c>
      <c r="F81">
        <v>60</v>
      </c>
      <c r="G81" t="s">
        <v>24</v>
      </c>
      <c r="H81" t="s">
        <v>9788</v>
      </c>
      <c r="J81" t="s">
        <v>247</v>
      </c>
    </row>
    <row r="82" spans="1:10" x14ac:dyDescent="0.3">
      <c r="A82" t="s">
        <v>248</v>
      </c>
      <c r="B82" t="s">
        <v>24301</v>
      </c>
      <c r="C82" t="s">
        <v>20486</v>
      </c>
      <c r="D82" t="s">
        <v>11</v>
      </c>
      <c r="E82" t="s">
        <v>249</v>
      </c>
      <c r="F82">
        <v>43</v>
      </c>
      <c r="G82" t="s">
        <v>46</v>
      </c>
      <c r="H82" t="s">
        <v>46</v>
      </c>
      <c r="I82" t="s">
        <v>228</v>
      </c>
    </row>
    <row r="83" spans="1:10" x14ac:dyDescent="0.3">
      <c r="A83" t="s">
        <v>250</v>
      </c>
      <c r="B83" t="s">
        <v>24302</v>
      </c>
      <c r="C83" t="s">
        <v>20486</v>
      </c>
      <c r="D83" t="s">
        <v>22</v>
      </c>
      <c r="E83" t="s">
        <v>251</v>
      </c>
      <c r="F83">
        <v>62</v>
      </c>
      <c r="G83" t="s">
        <v>31</v>
      </c>
      <c r="H83" t="s">
        <v>31</v>
      </c>
      <c r="J83" t="s">
        <v>252</v>
      </c>
    </row>
    <row r="84" spans="1:10" x14ac:dyDescent="0.3">
      <c r="A84" t="s">
        <v>253</v>
      </c>
      <c r="B84" t="s">
        <v>24303</v>
      </c>
      <c r="C84" t="s">
        <v>20490</v>
      </c>
      <c r="D84" t="s">
        <v>11</v>
      </c>
      <c r="E84" t="s">
        <v>254</v>
      </c>
      <c r="F84">
        <v>52</v>
      </c>
      <c r="G84" t="s">
        <v>109</v>
      </c>
      <c r="H84" t="s">
        <v>9788</v>
      </c>
      <c r="J84" t="s">
        <v>255</v>
      </c>
    </row>
    <row r="85" spans="1:10" x14ac:dyDescent="0.3">
      <c r="A85" t="s">
        <v>256</v>
      </c>
      <c r="B85" t="s">
        <v>24304</v>
      </c>
      <c r="C85" t="s">
        <v>20490</v>
      </c>
      <c r="D85" t="s">
        <v>11</v>
      </c>
      <c r="E85" t="s">
        <v>257</v>
      </c>
      <c r="F85">
        <v>58</v>
      </c>
      <c r="G85" t="s">
        <v>109</v>
      </c>
      <c r="H85" t="s">
        <v>46</v>
      </c>
      <c r="I85" t="s">
        <v>258</v>
      </c>
      <c r="J85" t="s">
        <v>259</v>
      </c>
    </row>
    <row r="86" spans="1:10" x14ac:dyDescent="0.3">
      <c r="A86" t="s">
        <v>260</v>
      </c>
      <c r="B86" t="s">
        <v>24305</v>
      </c>
      <c r="C86" t="s">
        <v>20486</v>
      </c>
      <c r="D86" t="s">
        <v>22</v>
      </c>
      <c r="E86" t="s">
        <v>261</v>
      </c>
      <c r="F86">
        <v>81</v>
      </c>
      <c r="G86" t="s">
        <v>31</v>
      </c>
      <c r="H86" t="s">
        <v>31</v>
      </c>
      <c r="J86" t="s">
        <v>33</v>
      </c>
    </row>
    <row r="87" spans="1:10" x14ac:dyDescent="0.3">
      <c r="A87" t="s">
        <v>262</v>
      </c>
      <c r="B87" t="s">
        <v>24306</v>
      </c>
      <c r="C87" t="s">
        <v>20486</v>
      </c>
      <c r="D87" t="s">
        <v>22</v>
      </c>
      <c r="E87" t="s">
        <v>263</v>
      </c>
      <c r="F87">
        <v>51</v>
      </c>
      <c r="G87" t="s">
        <v>46</v>
      </c>
      <c r="H87" t="s">
        <v>46</v>
      </c>
      <c r="I87" t="s">
        <v>228</v>
      </c>
      <c r="J87" t="s">
        <v>12102</v>
      </c>
    </row>
    <row r="88" spans="1:10" x14ac:dyDescent="0.3">
      <c r="A88" t="s">
        <v>264</v>
      </c>
      <c r="B88" t="s">
        <v>24307</v>
      </c>
      <c r="C88" t="s">
        <v>20490</v>
      </c>
      <c r="D88" t="s">
        <v>11</v>
      </c>
      <c r="E88" t="s">
        <v>265</v>
      </c>
      <c r="F88">
        <v>47</v>
      </c>
      <c r="G88" t="s">
        <v>109</v>
      </c>
      <c r="H88" t="s">
        <v>9788</v>
      </c>
    </row>
    <row r="89" spans="1:10" x14ac:dyDescent="0.3">
      <c r="A89" t="s">
        <v>266</v>
      </c>
      <c r="B89" t="s">
        <v>24308</v>
      </c>
      <c r="C89" t="s">
        <v>20490</v>
      </c>
      <c r="D89" t="s">
        <v>22</v>
      </c>
      <c r="E89" t="s">
        <v>267</v>
      </c>
      <c r="F89">
        <v>50</v>
      </c>
      <c r="G89" t="s">
        <v>201</v>
      </c>
      <c r="H89" t="s">
        <v>46</v>
      </c>
    </row>
    <row r="90" spans="1:10" x14ac:dyDescent="0.3">
      <c r="A90" t="s">
        <v>268</v>
      </c>
      <c r="B90" t="s">
        <v>24309</v>
      </c>
      <c r="C90" t="s">
        <v>20486</v>
      </c>
      <c r="D90" t="s">
        <v>22</v>
      </c>
      <c r="E90" t="s">
        <v>269</v>
      </c>
      <c r="F90">
        <v>66</v>
      </c>
      <c r="G90" t="s">
        <v>31</v>
      </c>
      <c r="H90" t="s">
        <v>31</v>
      </c>
    </row>
    <row r="91" spans="1:10" x14ac:dyDescent="0.3">
      <c r="A91" t="s">
        <v>270</v>
      </c>
      <c r="B91" t="s">
        <v>24310</v>
      </c>
      <c r="C91" t="s">
        <v>20486</v>
      </c>
      <c r="D91" t="s">
        <v>22</v>
      </c>
      <c r="E91" t="s">
        <v>271</v>
      </c>
      <c r="F91">
        <v>77</v>
      </c>
      <c r="G91" t="s">
        <v>13</v>
      </c>
      <c r="H91" t="s">
        <v>13</v>
      </c>
    </row>
    <row r="92" spans="1:10" x14ac:dyDescent="0.3">
      <c r="A92" t="s">
        <v>272</v>
      </c>
      <c r="B92" t="s">
        <v>24311</v>
      </c>
      <c r="C92" t="s">
        <v>20490</v>
      </c>
      <c r="D92" t="s">
        <v>22</v>
      </c>
      <c r="E92" t="s">
        <v>273</v>
      </c>
      <c r="F92">
        <v>46</v>
      </c>
      <c r="G92" t="s">
        <v>109</v>
      </c>
      <c r="H92" t="s">
        <v>9788</v>
      </c>
      <c r="J92" t="s">
        <v>274</v>
      </c>
    </row>
    <row r="93" spans="1:10" x14ac:dyDescent="0.3">
      <c r="A93" t="s">
        <v>12103</v>
      </c>
      <c r="B93" t="s">
        <v>24312</v>
      </c>
      <c r="C93" t="s">
        <v>20486</v>
      </c>
      <c r="D93" t="s">
        <v>22</v>
      </c>
      <c r="E93" t="s">
        <v>9784</v>
      </c>
      <c r="F93">
        <v>27</v>
      </c>
    </row>
    <row r="94" spans="1:10" x14ac:dyDescent="0.3">
      <c r="A94" t="s">
        <v>276</v>
      </c>
      <c r="B94" t="s">
        <v>24313</v>
      </c>
      <c r="C94" t="s">
        <v>20486</v>
      </c>
      <c r="D94" t="s">
        <v>22</v>
      </c>
      <c r="E94" t="s">
        <v>277</v>
      </c>
      <c r="F94">
        <v>70</v>
      </c>
      <c r="G94" t="s">
        <v>46</v>
      </c>
      <c r="H94" t="s">
        <v>46</v>
      </c>
      <c r="I94" t="s">
        <v>278</v>
      </c>
    </row>
    <row r="95" spans="1:10" x14ac:dyDescent="0.3">
      <c r="A95" t="s">
        <v>279</v>
      </c>
      <c r="B95" t="s">
        <v>24314</v>
      </c>
      <c r="C95" t="s">
        <v>20486</v>
      </c>
      <c r="D95" t="s">
        <v>22</v>
      </c>
      <c r="E95" t="s">
        <v>280</v>
      </c>
      <c r="F95">
        <v>54</v>
      </c>
      <c r="G95" t="s">
        <v>24</v>
      </c>
      <c r="H95" t="s">
        <v>9789</v>
      </c>
      <c r="I95" t="s">
        <v>281</v>
      </c>
    </row>
    <row r="96" spans="1:10" x14ac:dyDescent="0.3">
      <c r="A96" t="s">
        <v>282</v>
      </c>
      <c r="B96" t="s">
        <v>24315</v>
      </c>
      <c r="C96" t="s">
        <v>20490</v>
      </c>
      <c r="D96" t="s">
        <v>11</v>
      </c>
      <c r="E96" t="s">
        <v>283</v>
      </c>
      <c r="F96">
        <v>52</v>
      </c>
      <c r="H96" t="s">
        <v>9788</v>
      </c>
    </row>
    <row r="97" spans="1:10" x14ac:dyDescent="0.3">
      <c r="A97" t="s">
        <v>284</v>
      </c>
      <c r="B97" t="s">
        <v>24316</v>
      </c>
      <c r="C97" t="s">
        <v>20490</v>
      </c>
      <c r="D97" t="s">
        <v>11</v>
      </c>
      <c r="E97" t="s">
        <v>285</v>
      </c>
      <c r="F97">
        <v>77</v>
      </c>
      <c r="G97" t="s">
        <v>13</v>
      </c>
      <c r="H97" t="s">
        <v>13</v>
      </c>
    </row>
    <row r="98" spans="1:10" x14ac:dyDescent="0.3">
      <c r="A98" t="s">
        <v>286</v>
      </c>
      <c r="B98" t="s">
        <v>24317</v>
      </c>
      <c r="C98" t="s">
        <v>20490</v>
      </c>
      <c r="D98" t="s">
        <v>22</v>
      </c>
      <c r="E98" t="s">
        <v>287</v>
      </c>
      <c r="F98">
        <v>53</v>
      </c>
      <c r="G98" t="s">
        <v>370</v>
      </c>
      <c r="H98" t="s">
        <v>46</v>
      </c>
    </row>
    <row r="99" spans="1:10" x14ac:dyDescent="0.3">
      <c r="A99" t="s">
        <v>288</v>
      </c>
      <c r="B99" t="s">
        <v>24318</v>
      </c>
      <c r="C99" t="s">
        <v>20486</v>
      </c>
      <c r="D99" t="s">
        <v>11</v>
      </c>
      <c r="E99" t="s">
        <v>289</v>
      </c>
      <c r="F99">
        <v>55</v>
      </c>
      <c r="G99" t="s">
        <v>16</v>
      </c>
      <c r="H99" t="s">
        <v>9785</v>
      </c>
      <c r="I99" t="s">
        <v>17</v>
      </c>
      <c r="J99" t="s">
        <v>18</v>
      </c>
    </row>
    <row r="100" spans="1:10" x14ac:dyDescent="0.3">
      <c r="A100" t="s">
        <v>290</v>
      </c>
      <c r="B100" t="s">
        <v>24319</v>
      </c>
      <c r="C100" t="s">
        <v>20490</v>
      </c>
      <c r="D100" t="s">
        <v>22</v>
      </c>
      <c r="E100" t="s">
        <v>291</v>
      </c>
      <c r="F100">
        <v>52</v>
      </c>
      <c r="G100" t="s">
        <v>231</v>
      </c>
      <c r="H100" t="s">
        <v>9788</v>
      </c>
    </row>
    <row r="101" spans="1:10" x14ac:dyDescent="0.3">
      <c r="A101" t="s">
        <v>292</v>
      </c>
      <c r="B101" t="s">
        <v>24320</v>
      </c>
      <c r="C101" t="s">
        <v>20486</v>
      </c>
      <c r="D101" t="s">
        <v>22</v>
      </c>
      <c r="E101" t="s">
        <v>293</v>
      </c>
      <c r="F101">
        <v>53</v>
      </c>
      <c r="G101" t="s">
        <v>2055</v>
      </c>
      <c r="H101" t="s">
        <v>9789</v>
      </c>
    </row>
    <row r="102" spans="1:10" x14ac:dyDescent="0.3">
      <c r="A102" t="s">
        <v>294</v>
      </c>
      <c r="B102" t="s">
        <v>24321</v>
      </c>
      <c r="C102" t="s">
        <v>20490</v>
      </c>
      <c r="D102" t="s">
        <v>11</v>
      </c>
      <c r="E102" t="s">
        <v>295</v>
      </c>
      <c r="F102">
        <v>54</v>
      </c>
      <c r="G102" t="s">
        <v>109</v>
      </c>
      <c r="H102" t="s">
        <v>9788</v>
      </c>
    </row>
    <row r="103" spans="1:10" x14ac:dyDescent="0.3">
      <c r="A103" t="s">
        <v>12104</v>
      </c>
      <c r="B103" t="s">
        <v>24322</v>
      </c>
      <c r="C103" t="s">
        <v>20486</v>
      </c>
      <c r="D103" t="s">
        <v>22</v>
      </c>
      <c r="E103" t="s">
        <v>9783</v>
      </c>
      <c r="F103">
        <v>25</v>
      </c>
      <c r="G103" t="s">
        <v>337</v>
      </c>
      <c r="H103" t="s">
        <v>337</v>
      </c>
    </row>
    <row r="104" spans="1:10" x14ac:dyDescent="0.3">
      <c r="A104" t="s">
        <v>12105</v>
      </c>
      <c r="B104" t="s">
        <v>24323</v>
      </c>
      <c r="C104" t="s">
        <v>20486</v>
      </c>
      <c r="D104" t="s">
        <v>11</v>
      </c>
      <c r="E104" t="s">
        <v>9555</v>
      </c>
      <c r="F104">
        <v>25</v>
      </c>
      <c r="H104" t="s">
        <v>9788</v>
      </c>
    </row>
    <row r="105" spans="1:10" x14ac:dyDescent="0.3">
      <c r="A105" t="s">
        <v>296</v>
      </c>
      <c r="B105" t="s">
        <v>24324</v>
      </c>
      <c r="C105" t="s">
        <v>20486</v>
      </c>
      <c r="D105" t="s">
        <v>11</v>
      </c>
      <c r="E105" t="s">
        <v>297</v>
      </c>
      <c r="F105">
        <v>40</v>
      </c>
      <c r="G105" t="s">
        <v>16</v>
      </c>
      <c r="H105" t="s">
        <v>9785</v>
      </c>
      <c r="I105" t="s">
        <v>17</v>
      </c>
      <c r="J105" t="s">
        <v>298</v>
      </c>
    </row>
    <row r="106" spans="1:10" x14ac:dyDescent="0.3">
      <c r="A106" t="s">
        <v>299</v>
      </c>
      <c r="B106" t="s">
        <v>24325</v>
      </c>
      <c r="C106" t="s">
        <v>20486</v>
      </c>
      <c r="D106" t="s">
        <v>22</v>
      </c>
      <c r="E106" t="s">
        <v>300</v>
      </c>
      <c r="F106">
        <v>34</v>
      </c>
      <c r="G106" t="s">
        <v>109</v>
      </c>
      <c r="H106" t="s">
        <v>9788</v>
      </c>
    </row>
    <row r="107" spans="1:10" x14ac:dyDescent="0.3">
      <c r="A107" t="s">
        <v>301</v>
      </c>
      <c r="B107" t="s">
        <v>24326</v>
      </c>
      <c r="C107" t="s">
        <v>20486</v>
      </c>
      <c r="D107" t="s">
        <v>11</v>
      </c>
      <c r="E107" t="s">
        <v>302</v>
      </c>
      <c r="F107">
        <v>38</v>
      </c>
      <c r="G107" t="s">
        <v>109</v>
      </c>
      <c r="H107" t="s">
        <v>9788</v>
      </c>
    </row>
    <row r="108" spans="1:10" x14ac:dyDescent="0.3">
      <c r="A108" t="s">
        <v>303</v>
      </c>
      <c r="B108" t="s">
        <v>24327</v>
      </c>
      <c r="C108" t="s">
        <v>20486</v>
      </c>
      <c r="D108" t="s">
        <v>11</v>
      </c>
      <c r="E108" t="s">
        <v>304</v>
      </c>
      <c r="F108">
        <v>33</v>
      </c>
      <c r="G108" t="s">
        <v>46</v>
      </c>
      <c r="H108" t="s">
        <v>46</v>
      </c>
    </row>
    <row r="109" spans="1:10" x14ac:dyDescent="0.3">
      <c r="A109" t="s">
        <v>305</v>
      </c>
      <c r="B109" t="s">
        <v>24328</v>
      </c>
      <c r="C109" t="s">
        <v>20486</v>
      </c>
      <c r="D109" t="s">
        <v>22</v>
      </c>
      <c r="E109" t="s">
        <v>306</v>
      </c>
      <c r="F109">
        <v>30</v>
      </c>
      <c r="G109" t="s">
        <v>172</v>
      </c>
      <c r="H109" t="s">
        <v>12099</v>
      </c>
    </row>
    <row r="110" spans="1:10" x14ac:dyDescent="0.3">
      <c r="A110" t="s">
        <v>307</v>
      </c>
      <c r="B110" t="s">
        <v>24329</v>
      </c>
      <c r="C110" t="s">
        <v>20486</v>
      </c>
      <c r="D110" t="s">
        <v>22</v>
      </c>
      <c r="E110" t="s">
        <v>308</v>
      </c>
      <c r="F110">
        <v>34</v>
      </c>
      <c r="G110" t="s">
        <v>109</v>
      </c>
      <c r="H110" t="s">
        <v>9788</v>
      </c>
    </row>
    <row r="111" spans="1:10" x14ac:dyDescent="0.3">
      <c r="A111" t="s">
        <v>309</v>
      </c>
      <c r="B111" t="s">
        <v>24330</v>
      </c>
      <c r="C111" t="s">
        <v>20486</v>
      </c>
      <c r="D111" t="s">
        <v>11</v>
      </c>
      <c r="E111" t="s">
        <v>310</v>
      </c>
      <c r="F111">
        <v>30</v>
      </c>
      <c r="G111" t="s">
        <v>46</v>
      </c>
      <c r="H111" t="s">
        <v>46</v>
      </c>
      <c r="I111" t="s">
        <v>228</v>
      </c>
    </row>
    <row r="112" spans="1:10" x14ac:dyDescent="0.3">
      <c r="A112" t="s">
        <v>311</v>
      </c>
      <c r="B112" t="s">
        <v>24331</v>
      </c>
      <c r="C112" t="s">
        <v>20490</v>
      </c>
      <c r="D112" t="s">
        <v>22</v>
      </c>
      <c r="E112" t="s">
        <v>312</v>
      </c>
      <c r="F112">
        <v>70</v>
      </c>
      <c r="G112" t="s">
        <v>31</v>
      </c>
      <c r="H112" t="s">
        <v>31</v>
      </c>
    </row>
    <row r="113" spans="1:10" x14ac:dyDescent="0.3">
      <c r="A113" t="s">
        <v>313</v>
      </c>
      <c r="B113" t="s">
        <v>24332</v>
      </c>
      <c r="C113" t="s">
        <v>20490</v>
      </c>
      <c r="D113" t="s">
        <v>22</v>
      </c>
      <c r="E113" t="s">
        <v>314</v>
      </c>
      <c r="F113">
        <v>65</v>
      </c>
      <c r="G113" t="s">
        <v>109</v>
      </c>
      <c r="H113" t="s">
        <v>9788</v>
      </c>
      <c r="J113" t="s">
        <v>315</v>
      </c>
    </row>
    <row r="114" spans="1:10" x14ac:dyDescent="0.3">
      <c r="A114" t="s">
        <v>316</v>
      </c>
      <c r="B114" t="s">
        <v>24333</v>
      </c>
      <c r="C114" t="s">
        <v>20486</v>
      </c>
      <c r="D114" t="s">
        <v>22</v>
      </c>
      <c r="E114" t="s">
        <v>317</v>
      </c>
      <c r="F114">
        <v>72</v>
      </c>
      <c r="G114" t="s">
        <v>13</v>
      </c>
      <c r="H114" t="s">
        <v>13</v>
      </c>
      <c r="J114" t="s">
        <v>318</v>
      </c>
    </row>
    <row r="115" spans="1:10" x14ac:dyDescent="0.3">
      <c r="A115" t="s">
        <v>319</v>
      </c>
      <c r="B115" t="s">
        <v>24334</v>
      </c>
      <c r="C115" t="s">
        <v>20486</v>
      </c>
      <c r="D115" t="s">
        <v>22</v>
      </c>
      <c r="E115" t="s">
        <v>320</v>
      </c>
      <c r="F115">
        <v>75</v>
      </c>
      <c r="G115" t="s">
        <v>31</v>
      </c>
      <c r="H115" t="s">
        <v>31</v>
      </c>
    </row>
    <row r="116" spans="1:10" x14ac:dyDescent="0.3">
      <c r="A116" t="s">
        <v>321</v>
      </c>
      <c r="B116" t="s">
        <v>24335</v>
      </c>
      <c r="C116" t="s">
        <v>20486</v>
      </c>
      <c r="D116" t="s">
        <v>22</v>
      </c>
      <c r="E116" t="s">
        <v>322</v>
      </c>
      <c r="F116">
        <v>56</v>
      </c>
      <c r="G116" t="s">
        <v>109</v>
      </c>
      <c r="H116" t="s">
        <v>9788</v>
      </c>
      <c r="I116" t="s">
        <v>14286</v>
      </c>
      <c r="J116" t="s">
        <v>14287</v>
      </c>
    </row>
    <row r="117" spans="1:10" x14ac:dyDescent="0.3">
      <c r="A117" t="s">
        <v>324</v>
      </c>
      <c r="B117" t="s">
        <v>24336</v>
      </c>
      <c r="C117" t="s">
        <v>20486</v>
      </c>
      <c r="D117" t="s">
        <v>11</v>
      </c>
      <c r="E117" t="s">
        <v>325</v>
      </c>
      <c r="F117">
        <v>63</v>
      </c>
      <c r="G117" t="s">
        <v>46</v>
      </c>
      <c r="H117" t="s">
        <v>46</v>
      </c>
      <c r="I117" t="s">
        <v>228</v>
      </c>
      <c r="J117" t="s">
        <v>326</v>
      </c>
    </row>
    <row r="118" spans="1:10" x14ac:dyDescent="0.3">
      <c r="A118" t="s">
        <v>327</v>
      </c>
      <c r="B118" t="s">
        <v>24337</v>
      </c>
      <c r="C118" t="s">
        <v>20486</v>
      </c>
      <c r="D118" t="s">
        <v>11</v>
      </c>
      <c r="E118" t="s">
        <v>328</v>
      </c>
      <c r="F118">
        <v>52</v>
      </c>
      <c r="G118" t="s">
        <v>329</v>
      </c>
      <c r="H118" t="s">
        <v>46</v>
      </c>
      <c r="I118" t="s">
        <v>330</v>
      </c>
    </row>
    <row r="119" spans="1:10" x14ac:dyDescent="0.3">
      <c r="A119" t="s">
        <v>331</v>
      </c>
      <c r="B119" t="s">
        <v>24338</v>
      </c>
      <c r="C119" t="s">
        <v>20486</v>
      </c>
      <c r="D119" t="s">
        <v>22</v>
      </c>
      <c r="E119" t="s">
        <v>332</v>
      </c>
      <c r="F119">
        <v>67</v>
      </c>
      <c r="G119" t="s">
        <v>155</v>
      </c>
      <c r="H119" t="s">
        <v>9791</v>
      </c>
      <c r="I119" t="s">
        <v>156</v>
      </c>
    </row>
    <row r="120" spans="1:10" x14ac:dyDescent="0.3">
      <c r="A120" t="s">
        <v>333</v>
      </c>
      <c r="B120" t="s">
        <v>24339</v>
      </c>
      <c r="C120" t="s">
        <v>20486</v>
      </c>
      <c r="D120" t="s">
        <v>11</v>
      </c>
      <c r="E120" t="s">
        <v>334</v>
      </c>
      <c r="F120">
        <v>31</v>
      </c>
      <c r="H120" t="s">
        <v>46</v>
      </c>
    </row>
    <row r="121" spans="1:10" x14ac:dyDescent="0.3">
      <c r="A121" t="s">
        <v>335</v>
      </c>
      <c r="B121" t="s">
        <v>24340</v>
      </c>
      <c r="C121" t="s">
        <v>20486</v>
      </c>
      <c r="D121" t="s">
        <v>11</v>
      </c>
      <c r="E121" t="s">
        <v>336</v>
      </c>
      <c r="F121">
        <v>27</v>
      </c>
      <c r="G121" t="s">
        <v>337</v>
      </c>
      <c r="H121" t="s">
        <v>9788</v>
      </c>
    </row>
    <row r="122" spans="1:10" x14ac:dyDescent="0.3">
      <c r="A122" t="s">
        <v>341</v>
      </c>
      <c r="B122" t="s">
        <v>24341</v>
      </c>
      <c r="C122" t="s">
        <v>20486</v>
      </c>
      <c r="D122" t="s">
        <v>22</v>
      </c>
      <c r="E122" t="s">
        <v>342</v>
      </c>
      <c r="F122">
        <v>79</v>
      </c>
      <c r="G122" t="s">
        <v>13</v>
      </c>
      <c r="H122" t="s">
        <v>13</v>
      </c>
      <c r="J122" t="s">
        <v>343</v>
      </c>
    </row>
    <row r="123" spans="1:10" x14ac:dyDescent="0.3">
      <c r="A123" t="s">
        <v>344</v>
      </c>
      <c r="B123" t="s">
        <v>24342</v>
      </c>
      <c r="C123" t="s">
        <v>20486</v>
      </c>
      <c r="D123" t="s">
        <v>11</v>
      </c>
      <c r="E123" t="s">
        <v>345</v>
      </c>
      <c r="F123">
        <v>76</v>
      </c>
      <c r="G123" t="s">
        <v>46</v>
      </c>
      <c r="H123" t="s">
        <v>46</v>
      </c>
      <c r="I123" t="s">
        <v>346</v>
      </c>
      <c r="J123" t="s">
        <v>347</v>
      </c>
    </row>
    <row r="124" spans="1:10" x14ac:dyDescent="0.3">
      <c r="A124" t="s">
        <v>348</v>
      </c>
      <c r="B124" t="s">
        <v>24343</v>
      </c>
      <c r="C124" t="s">
        <v>20486</v>
      </c>
      <c r="D124" t="s">
        <v>22</v>
      </c>
      <c r="E124" t="s">
        <v>349</v>
      </c>
      <c r="F124">
        <v>55</v>
      </c>
      <c r="G124" t="s">
        <v>31</v>
      </c>
      <c r="H124" t="s">
        <v>31</v>
      </c>
    </row>
    <row r="125" spans="1:10" x14ac:dyDescent="0.3">
      <c r="A125" t="s">
        <v>351</v>
      </c>
      <c r="B125" t="s">
        <v>24344</v>
      </c>
      <c r="C125" t="s">
        <v>20490</v>
      </c>
      <c r="D125" t="s">
        <v>22</v>
      </c>
      <c r="E125" t="s">
        <v>352</v>
      </c>
      <c r="F125">
        <v>66</v>
      </c>
      <c r="G125" t="s">
        <v>31</v>
      </c>
      <c r="H125" t="s">
        <v>31</v>
      </c>
    </row>
    <row r="126" spans="1:10" x14ac:dyDescent="0.3">
      <c r="A126" t="s">
        <v>355</v>
      </c>
      <c r="B126" t="s">
        <v>24345</v>
      </c>
      <c r="C126" t="s">
        <v>20490</v>
      </c>
      <c r="D126" t="s">
        <v>22</v>
      </c>
      <c r="E126" t="s">
        <v>356</v>
      </c>
      <c r="F126">
        <v>49</v>
      </c>
      <c r="G126" t="s">
        <v>109</v>
      </c>
      <c r="H126" t="s">
        <v>9788</v>
      </c>
    </row>
    <row r="127" spans="1:10" x14ac:dyDescent="0.3">
      <c r="A127" t="s">
        <v>358</v>
      </c>
      <c r="B127" t="s">
        <v>24346</v>
      </c>
      <c r="C127" t="s">
        <v>20486</v>
      </c>
      <c r="D127" t="s">
        <v>11</v>
      </c>
      <c r="E127" t="s">
        <v>359</v>
      </c>
      <c r="F127">
        <v>31</v>
      </c>
      <c r="G127" t="s">
        <v>109</v>
      </c>
      <c r="H127" t="s">
        <v>9788</v>
      </c>
      <c r="I127" t="s">
        <v>360</v>
      </c>
      <c r="J127" t="s">
        <v>361</v>
      </c>
    </row>
    <row r="128" spans="1:10" x14ac:dyDescent="0.3">
      <c r="A128" t="s">
        <v>362</v>
      </c>
      <c r="B128" t="s">
        <v>24347</v>
      </c>
      <c r="C128" t="s">
        <v>20486</v>
      </c>
      <c r="D128" t="s">
        <v>22</v>
      </c>
      <c r="E128" t="s">
        <v>363</v>
      </c>
      <c r="F128">
        <v>25</v>
      </c>
      <c r="G128" t="s">
        <v>109</v>
      </c>
      <c r="H128" t="s">
        <v>9788</v>
      </c>
      <c r="I128" t="s">
        <v>364</v>
      </c>
      <c r="J128" t="s">
        <v>365</v>
      </c>
    </row>
    <row r="129" spans="1:10" x14ac:dyDescent="0.3">
      <c r="A129" t="s">
        <v>366</v>
      </c>
      <c r="B129" t="s">
        <v>24348</v>
      </c>
      <c r="C129" t="s">
        <v>20490</v>
      </c>
      <c r="D129" t="s">
        <v>22</v>
      </c>
      <c r="E129" t="s">
        <v>367</v>
      </c>
      <c r="F129">
        <v>72</v>
      </c>
      <c r="G129" t="s">
        <v>220</v>
      </c>
      <c r="H129" t="s">
        <v>46</v>
      </c>
    </row>
    <row r="130" spans="1:10" x14ac:dyDescent="0.3">
      <c r="A130" t="s">
        <v>368</v>
      </c>
      <c r="B130" t="s">
        <v>24349</v>
      </c>
      <c r="C130" t="s">
        <v>20490</v>
      </c>
      <c r="D130" t="s">
        <v>22</v>
      </c>
      <c r="E130" t="s">
        <v>369</v>
      </c>
      <c r="F130">
        <v>55</v>
      </c>
      <c r="G130" t="s">
        <v>370</v>
      </c>
      <c r="H130" t="s">
        <v>46</v>
      </c>
      <c r="I130" t="s">
        <v>371</v>
      </c>
    </row>
    <row r="131" spans="1:10" x14ac:dyDescent="0.3">
      <c r="A131" t="s">
        <v>373</v>
      </c>
      <c r="B131" t="s">
        <v>24350</v>
      </c>
      <c r="C131" t="s">
        <v>20486</v>
      </c>
      <c r="D131" t="s">
        <v>22</v>
      </c>
      <c r="E131" t="s">
        <v>374</v>
      </c>
      <c r="F131">
        <v>35</v>
      </c>
      <c r="G131" t="s">
        <v>109</v>
      </c>
      <c r="H131" t="s">
        <v>9788</v>
      </c>
    </row>
    <row r="132" spans="1:10" x14ac:dyDescent="0.3">
      <c r="A132" t="s">
        <v>375</v>
      </c>
      <c r="B132" t="s">
        <v>24351</v>
      </c>
      <c r="C132" t="s">
        <v>20486</v>
      </c>
      <c r="D132" t="s">
        <v>11</v>
      </c>
      <c r="E132" t="s">
        <v>376</v>
      </c>
      <c r="F132">
        <v>33</v>
      </c>
      <c r="G132" t="s">
        <v>109</v>
      </c>
      <c r="H132" t="s">
        <v>9788</v>
      </c>
      <c r="I132" t="s">
        <v>377</v>
      </c>
    </row>
    <row r="133" spans="1:10" x14ac:dyDescent="0.3">
      <c r="A133" t="s">
        <v>378</v>
      </c>
      <c r="B133" t="s">
        <v>24352</v>
      </c>
      <c r="C133" t="s">
        <v>20490</v>
      </c>
      <c r="D133" t="s">
        <v>22</v>
      </c>
      <c r="E133" t="s">
        <v>379</v>
      </c>
      <c r="F133">
        <v>63</v>
      </c>
      <c r="G133" t="s">
        <v>31</v>
      </c>
      <c r="H133" t="s">
        <v>31</v>
      </c>
    </row>
    <row r="134" spans="1:10" x14ac:dyDescent="0.3">
      <c r="A134" t="s">
        <v>380</v>
      </c>
      <c r="B134" t="s">
        <v>24353</v>
      </c>
      <c r="C134" t="s">
        <v>20490</v>
      </c>
      <c r="D134" t="s">
        <v>11</v>
      </c>
      <c r="E134" t="s">
        <v>381</v>
      </c>
      <c r="F134">
        <v>40</v>
      </c>
      <c r="G134" t="s">
        <v>109</v>
      </c>
      <c r="H134" t="s">
        <v>9788</v>
      </c>
      <c r="J134" t="s">
        <v>225</v>
      </c>
    </row>
    <row r="135" spans="1:10" x14ac:dyDescent="0.3">
      <c r="A135" t="s">
        <v>382</v>
      </c>
      <c r="B135" t="s">
        <v>24354</v>
      </c>
      <c r="C135" t="s">
        <v>20486</v>
      </c>
      <c r="D135" t="s">
        <v>22</v>
      </c>
      <c r="E135" t="s">
        <v>383</v>
      </c>
      <c r="F135">
        <v>48</v>
      </c>
      <c r="G135" t="s">
        <v>46</v>
      </c>
      <c r="H135" t="s">
        <v>46</v>
      </c>
      <c r="I135" t="s">
        <v>228</v>
      </c>
      <c r="J135" t="s">
        <v>384</v>
      </c>
    </row>
    <row r="136" spans="1:10" x14ac:dyDescent="0.3">
      <c r="A136" t="s">
        <v>385</v>
      </c>
      <c r="B136" t="s">
        <v>24355</v>
      </c>
      <c r="C136" t="s">
        <v>20490</v>
      </c>
      <c r="D136" t="s">
        <v>22</v>
      </c>
      <c r="E136" t="s">
        <v>386</v>
      </c>
      <c r="F136">
        <v>59</v>
      </c>
      <c r="G136" t="s">
        <v>370</v>
      </c>
      <c r="H136" t="s">
        <v>46</v>
      </c>
      <c r="I136" t="s">
        <v>387</v>
      </c>
    </row>
    <row r="137" spans="1:10" x14ac:dyDescent="0.3">
      <c r="A137" t="s">
        <v>389</v>
      </c>
      <c r="B137" t="s">
        <v>24356</v>
      </c>
      <c r="C137" t="s">
        <v>20486</v>
      </c>
      <c r="D137" t="s">
        <v>11</v>
      </c>
      <c r="E137" t="s">
        <v>390</v>
      </c>
      <c r="F137">
        <v>63</v>
      </c>
      <c r="G137" t="s">
        <v>13</v>
      </c>
      <c r="H137" t="s">
        <v>13</v>
      </c>
      <c r="J137" t="s">
        <v>391</v>
      </c>
    </row>
    <row r="138" spans="1:10" x14ac:dyDescent="0.3">
      <c r="A138" t="s">
        <v>392</v>
      </c>
      <c r="B138" t="s">
        <v>24357</v>
      </c>
      <c r="C138" t="s">
        <v>20486</v>
      </c>
      <c r="D138" t="s">
        <v>22</v>
      </c>
      <c r="E138" t="s">
        <v>393</v>
      </c>
      <c r="F138">
        <v>66</v>
      </c>
      <c r="G138" t="s">
        <v>31</v>
      </c>
      <c r="H138" t="s">
        <v>31</v>
      </c>
    </row>
    <row r="139" spans="1:10" x14ac:dyDescent="0.3">
      <c r="A139" t="s">
        <v>394</v>
      </c>
      <c r="B139" t="s">
        <v>24358</v>
      </c>
      <c r="C139" t="s">
        <v>20486</v>
      </c>
      <c r="D139" t="s">
        <v>11</v>
      </c>
      <c r="E139" t="s">
        <v>395</v>
      </c>
      <c r="F139">
        <v>85</v>
      </c>
      <c r="G139" t="s">
        <v>13</v>
      </c>
      <c r="H139" t="s">
        <v>13</v>
      </c>
    </row>
    <row r="140" spans="1:10" x14ac:dyDescent="0.3">
      <c r="A140" t="s">
        <v>396</v>
      </c>
      <c r="B140" t="s">
        <v>24359</v>
      </c>
      <c r="C140" t="s">
        <v>20486</v>
      </c>
      <c r="D140" t="s">
        <v>11</v>
      </c>
      <c r="E140" t="s">
        <v>397</v>
      </c>
      <c r="F140">
        <v>59</v>
      </c>
      <c r="G140" t="s">
        <v>46</v>
      </c>
      <c r="H140" t="s">
        <v>46</v>
      </c>
      <c r="I140" t="s">
        <v>110</v>
      </c>
      <c r="J140" t="s">
        <v>398</v>
      </c>
    </row>
    <row r="141" spans="1:10" x14ac:dyDescent="0.3">
      <c r="A141" t="s">
        <v>399</v>
      </c>
      <c r="B141" t="s">
        <v>24360</v>
      </c>
      <c r="C141" t="s">
        <v>20490</v>
      </c>
      <c r="D141" t="s">
        <v>22</v>
      </c>
      <c r="E141" t="s">
        <v>400</v>
      </c>
      <c r="F141">
        <v>97</v>
      </c>
      <c r="G141" t="s">
        <v>31</v>
      </c>
      <c r="H141" t="s">
        <v>31</v>
      </c>
    </row>
    <row r="142" spans="1:10" x14ac:dyDescent="0.3">
      <c r="A142" t="s">
        <v>401</v>
      </c>
      <c r="B142" t="s">
        <v>24361</v>
      </c>
      <c r="C142" t="s">
        <v>20486</v>
      </c>
      <c r="D142" t="s">
        <v>22</v>
      </c>
      <c r="E142" t="s">
        <v>402</v>
      </c>
      <c r="F142">
        <v>77</v>
      </c>
      <c r="G142" t="s">
        <v>13</v>
      </c>
      <c r="H142" t="s">
        <v>13</v>
      </c>
      <c r="J142" t="s">
        <v>403</v>
      </c>
    </row>
    <row r="143" spans="1:10" x14ac:dyDescent="0.3">
      <c r="A143" t="s">
        <v>404</v>
      </c>
      <c r="B143" t="s">
        <v>24362</v>
      </c>
      <c r="C143" t="s">
        <v>20486</v>
      </c>
      <c r="D143" t="s">
        <v>22</v>
      </c>
      <c r="E143" t="s">
        <v>405</v>
      </c>
      <c r="F143">
        <v>64</v>
      </c>
      <c r="G143" t="s">
        <v>13</v>
      </c>
      <c r="H143" t="s">
        <v>13</v>
      </c>
      <c r="J143" t="s">
        <v>54</v>
      </c>
    </row>
    <row r="144" spans="1:10" x14ac:dyDescent="0.3">
      <c r="A144" t="s">
        <v>406</v>
      </c>
      <c r="B144" t="s">
        <v>24363</v>
      </c>
      <c r="C144" t="s">
        <v>20486</v>
      </c>
      <c r="D144" t="s">
        <v>11</v>
      </c>
      <c r="E144" t="s">
        <v>407</v>
      </c>
      <c r="F144">
        <v>69</v>
      </c>
      <c r="G144" t="s">
        <v>13</v>
      </c>
      <c r="H144" t="s">
        <v>13</v>
      </c>
      <c r="J144" t="s">
        <v>408</v>
      </c>
    </row>
    <row r="145" spans="1:10" x14ac:dyDescent="0.3">
      <c r="A145" t="s">
        <v>409</v>
      </c>
      <c r="B145" t="s">
        <v>24364</v>
      </c>
      <c r="C145" t="s">
        <v>20490</v>
      </c>
      <c r="D145" t="s">
        <v>22</v>
      </c>
      <c r="E145" t="s">
        <v>410</v>
      </c>
      <c r="F145">
        <v>81</v>
      </c>
      <c r="G145" t="s">
        <v>173</v>
      </c>
      <c r="H145" t="s">
        <v>12099</v>
      </c>
    </row>
    <row r="146" spans="1:10" x14ac:dyDescent="0.3">
      <c r="A146" t="s">
        <v>411</v>
      </c>
      <c r="B146" t="s">
        <v>24365</v>
      </c>
      <c r="C146" t="s">
        <v>20490</v>
      </c>
      <c r="D146" t="s">
        <v>22</v>
      </c>
      <c r="E146" t="s">
        <v>412</v>
      </c>
      <c r="F146">
        <v>68</v>
      </c>
      <c r="G146" t="s">
        <v>31</v>
      </c>
      <c r="H146" t="s">
        <v>31</v>
      </c>
    </row>
    <row r="147" spans="1:10" x14ac:dyDescent="0.3">
      <c r="A147" t="s">
        <v>413</v>
      </c>
      <c r="B147" t="s">
        <v>24366</v>
      </c>
      <c r="C147" t="s">
        <v>20490</v>
      </c>
      <c r="D147" t="s">
        <v>22</v>
      </c>
      <c r="E147" t="s">
        <v>414</v>
      </c>
      <c r="F147">
        <v>50</v>
      </c>
      <c r="G147" t="s">
        <v>220</v>
      </c>
      <c r="H147" t="s">
        <v>46</v>
      </c>
    </row>
    <row r="148" spans="1:10" x14ac:dyDescent="0.3">
      <c r="A148" t="s">
        <v>415</v>
      </c>
      <c r="B148" t="s">
        <v>24367</v>
      </c>
      <c r="C148" t="s">
        <v>20490</v>
      </c>
      <c r="D148" t="s">
        <v>22</v>
      </c>
      <c r="E148" t="s">
        <v>416</v>
      </c>
      <c r="F148">
        <v>51</v>
      </c>
      <c r="G148" t="s">
        <v>109</v>
      </c>
      <c r="H148" t="s">
        <v>9788</v>
      </c>
    </row>
    <row r="149" spans="1:10" x14ac:dyDescent="0.3">
      <c r="A149" t="s">
        <v>417</v>
      </c>
      <c r="B149" t="s">
        <v>24368</v>
      </c>
      <c r="C149" t="s">
        <v>20486</v>
      </c>
      <c r="D149" t="s">
        <v>22</v>
      </c>
      <c r="E149" t="s">
        <v>418</v>
      </c>
      <c r="F149">
        <v>44</v>
      </c>
      <c r="G149" t="s">
        <v>31</v>
      </c>
      <c r="H149" t="s">
        <v>31</v>
      </c>
      <c r="J149" t="s">
        <v>33</v>
      </c>
    </row>
    <row r="150" spans="1:10" x14ac:dyDescent="0.3">
      <c r="A150" t="s">
        <v>419</v>
      </c>
      <c r="B150" t="s">
        <v>24369</v>
      </c>
      <c r="C150" t="s">
        <v>20486</v>
      </c>
      <c r="D150" t="s">
        <v>11</v>
      </c>
      <c r="E150" t="s">
        <v>420</v>
      </c>
      <c r="F150">
        <v>49</v>
      </c>
      <c r="G150" t="s">
        <v>172</v>
      </c>
      <c r="H150" t="s">
        <v>12099</v>
      </c>
      <c r="I150" t="s">
        <v>421</v>
      </c>
      <c r="J150" t="s">
        <v>422</v>
      </c>
    </row>
    <row r="151" spans="1:10" x14ac:dyDescent="0.3">
      <c r="A151" t="s">
        <v>423</v>
      </c>
      <c r="B151" t="s">
        <v>24370</v>
      </c>
      <c r="C151" t="s">
        <v>20486</v>
      </c>
      <c r="D151" t="s">
        <v>22</v>
      </c>
      <c r="E151" t="s">
        <v>424</v>
      </c>
      <c r="F151">
        <v>71</v>
      </c>
      <c r="G151" t="s">
        <v>46</v>
      </c>
      <c r="H151" t="s">
        <v>46</v>
      </c>
      <c r="J151" t="s">
        <v>14288</v>
      </c>
    </row>
    <row r="152" spans="1:10" x14ac:dyDescent="0.3">
      <c r="A152" t="s">
        <v>426</v>
      </c>
      <c r="B152" t="s">
        <v>24371</v>
      </c>
      <c r="C152" t="s">
        <v>20490</v>
      </c>
      <c r="D152" t="s">
        <v>22</v>
      </c>
      <c r="E152" t="s">
        <v>427</v>
      </c>
      <c r="F152">
        <v>64</v>
      </c>
      <c r="G152" t="s">
        <v>31</v>
      </c>
      <c r="H152" t="s">
        <v>31</v>
      </c>
    </row>
    <row r="153" spans="1:10" x14ac:dyDescent="0.3">
      <c r="A153" t="s">
        <v>428</v>
      </c>
      <c r="B153" t="s">
        <v>24372</v>
      </c>
      <c r="C153" t="s">
        <v>20490</v>
      </c>
      <c r="D153" t="s">
        <v>22</v>
      </c>
      <c r="E153" t="s">
        <v>429</v>
      </c>
      <c r="F153">
        <v>56</v>
      </c>
      <c r="G153" t="s">
        <v>109</v>
      </c>
      <c r="H153" t="s">
        <v>9788</v>
      </c>
      <c r="J153" t="s">
        <v>430</v>
      </c>
    </row>
    <row r="154" spans="1:10" x14ac:dyDescent="0.3">
      <c r="A154" t="s">
        <v>431</v>
      </c>
      <c r="B154" t="s">
        <v>24373</v>
      </c>
      <c r="C154" t="s">
        <v>20486</v>
      </c>
      <c r="D154" t="s">
        <v>22</v>
      </c>
      <c r="E154" t="s">
        <v>432</v>
      </c>
      <c r="F154">
        <v>73</v>
      </c>
      <c r="G154" t="s">
        <v>31</v>
      </c>
      <c r="H154" t="s">
        <v>31</v>
      </c>
    </row>
    <row r="155" spans="1:10" x14ac:dyDescent="0.3">
      <c r="A155" t="s">
        <v>433</v>
      </c>
      <c r="B155" t="s">
        <v>24374</v>
      </c>
      <c r="C155" t="s">
        <v>20486</v>
      </c>
      <c r="D155" t="s">
        <v>11</v>
      </c>
      <c r="E155" t="s">
        <v>434</v>
      </c>
      <c r="F155">
        <v>90</v>
      </c>
      <c r="G155" t="s">
        <v>13</v>
      </c>
      <c r="H155" t="s">
        <v>13</v>
      </c>
      <c r="I155" t="s">
        <v>110</v>
      </c>
    </row>
    <row r="156" spans="1:10" x14ac:dyDescent="0.3">
      <c r="A156" t="s">
        <v>435</v>
      </c>
      <c r="B156" t="s">
        <v>24375</v>
      </c>
      <c r="C156" t="s">
        <v>20490</v>
      </c>
      <c r="D156" t="s">
        <v>22</v>
      </c>
      <c r="E156" t="s">
        <v>436</v>
      </c>
      <c r="F156">
        <v>58</v>
      </c>
      <c r="H156" t="s">
        <v>46</v>
      </c>
    </row>
    <row r="157" spans="1:10" x14ac:dyDescent="0.3">
      <c r="A157" t="s">
        <v>437</v>
      </c>
      <c r="B157" t="s">
        <v>24376</v>
      </c>
      <c r="C157" t="s">
        <v>20490</v>
      </c>
      <c r="D157" t="s">
        <v>22</v>
      </c>
      <c r="E157" t="s">
        <v>438</v>
      </c>
      <c r="F157">
        <v>52</v>
      </c>
      <c r="G157" t="s">
        <v>220</v>
      </c>
      <c r="H157" t="s">
        <v>46</v>
      </c>
    </row>
    <row r="158" spans="1:10" x14ac:dyDescent="0.3">
      <c r="A158" t="s">
        <v>439</v>
      </c>
      <c r="B158" t="s">
        <v>24377</v>
      </c>
      <c r="C158" t="s">
        <v>20490</v>
      </c>
      <c r="D158" t="s">
        <v>22</v>
      </c>
      <c r="E158" t="s">
        <v>440</v>
      </c>
      <c r="F158">
        <v>64</v>
      </c>
      <c r="G158" t="s">
        <v>441</v>
      </c>
      <c r="H158" t="s">
        <v>13</v>
      </c>
    </row>
    <row r="159" spans="1:10" x14ac:dyDescent="0.3">
      <c r="A159" t="s">
        <v>442</v>
      </c>
      <c r="B159" t="s">
        <v>24378</v>
      </c>
      <c r="C159" t="s">
        <v>20486</v>
      </c>
      <c r="D159" t="s">
        <v>11</v>
      </c>
      <c r="E159" t="s">
        <v>443</v>
      </c>
      <c r="F159">
        <v>65</v>
      </c>
      <c r="G159" t="s">
        <v>13</v>
      </c>
      <c r="H159" t="s">
        <v>13</v>
      </c>
      <c r="I159" t="s">
        <v>441</v>
      </c>
      <c r="J159" t="s">
        <v>6124</v>
      </c>
    </row>
    <row r="160" spans="1:10" x14ac:dyDescent="0.3">
      <c r="A160" t="s">
        <v>444</v>
      </c>
      <c r="B160" t="s">
        <v>24379</v>
      </c>
      <c r="C160" t="s">
        <v>20486</v>
      </c>
      <c r="D160" t="s">
        <v>22</v>
      </c>
      <c r="E160" t="s">
        <v>445</v>
      </c>
      <c r="F160">
        <v>75</v>
      </c>
      <c r="G160" t="s">
        <v>31</v>
      </c>
      <c r="H160" t="s">
        <v>31</v>
      </c>
      <c r="J160" t="s">
        <v>33</v>
      </c>
    </row>
    <row r="161" spans="1:10" x14ac:dyDescent="0.3">
      <c r="A161" t="s">
        <v>446</v>
      </c>
      <c r="B161" t="s">
        <v>24380</v>
      </c>
      <c r="C161" t="s">
        <v>20490</v>
      </c>
      <c r="D161" t="s">
        <v>11</v>
      </c>
      <c r="E161" t="s">
        <v>447</v>
      </c>
      <c r="F161">
        <v>54</v>
      </c>
      <c r="G161" t="s">
        <v>231</v>
      </c>
      <c r="H161" t="s">
        <v>9788</v>
      </c>
    </row>
    <row r="162" spans="1:10" x14ac:dyDescent="0.3">
      <c r="A162" t="s">
        <v>450</v>
      </c>
      <c r="B162" t="s">
        <v>24381</v>
      </c>
      <c r="C162" t="s">
        <v>20487</v>
      </c>
      <c r="D162" t="s">
        <v>11</v>
      </c>
      <c r="E162" t="s">
        <v>451</v>
      </c>
      <c r="F162">
        <v>56</v>
      </c>
      <c r="G162" t="s">
        <v>109</v>
      </c>
      <c r="H162" t="s">
        <v>9785</v>
      </c>
      <c r="I162" t="s">
        <v>449</v>
      </c>
      <c r="J162" t="s">
        <v>452</v>
      </c>
    </row>
    <row r="163" spans="1:10" x14ac:dyDescent="0.3">
      <c r="A163" t="s">
        <v>453</v>
      </c>
      <c r="B163" t="s">
        <v>24382</v>
      </c>
      <c r="C163" t="s">
        <v>20487</v>
      </c>
      <c r="D163" t="s">
        <v>22</v>
      </c>
      <c r="E163" t="s">
        <v>454</v>
      </c>
      <c r="F163">
        <v>67</v>
      </c>
      <c r="G163" t="s">
        <v>13</v>
      </c>
      <c r="H163" t="s">
        <v>13</v>
      </c>
      <c r="I163" t="s">
        <v>449</v>
      </c>
      <c r="J163" t="s">
        <v>452</v>
      </c>
    </row>
    <row r="164" spans="1:10" x14ac:dyDescent="0.3">
      <c r="A164" t="s">
        <v>455</v>
      </c>
      <c r="B164" t="s">
        <v>24383</v>
      </c>
      <c r="C164" t="s">
        <v>20487</v>
      </c>
      <c r="D164" t="s">
        <v>22</v>
      </c>
      <c r="E164" t="s">
        <v>456</v>
      </c>
      <c r="F164">
        <v>65</v>
      </c>
      <c r="G164" t="s">
        <v>13</v>
      </c>
      <c r="H164" t="s">
        <v>13</v>
      </c>
      <c r="I164" t="s">
        <v>12106</v>
      </c>
      <c r="J164" t="s">
        <v>457</v>
      </c>
    </row>
    <row r="165" spans="1:10" x14ac:dyDescent="0.3">
      <c r="A165" t="s">
        <v>458</v>
      </c>
      <c r="B165" t="s">
        <v>24384</v>
      </c>
      <c r="C165" t="s">
        <v>20487</v>
      </c>
      <c r="D165" t="s">
        <v>22</v>
      </c>
      <c r="E165" t="s">
        <v>459</v>
      </c>
      <c r="F165">
        <v>68</v>
      </c>
      <c r="G165" t="s">
        <v>13</v>
      </c>
      <c r="H165" t="s">
        <v>13</v>
      </c>
      <c r="I165" t="s">
        <v>449</v>
      </c>
      <c r="J165" t="s">
        <v>460</v>
      </c>
    </row>
    <row r="166" spans="1:10" x14ac:dyDescent="0.3">
      <c r="A166" t="s">
        <v>461</v>
      </c>
      <c r="B166" t="s">
        <v>24385</v>
      </c>
      <c r="C166" t="s">
        <v>20487</v>
      </c>
      <c r="D166" t="s">
        <v>11</v>
      </c>
      <c r="E166" t="s">
        <v>462</v>
      </c>
      <c r="F166">
        <v>65</v>
      </c>
      <c r="G166" t="s">
        <v>13</v>
      </c>
      <c r="H166" t="s">
        <v>13</v>
      </c>
      <c r="I166" t="s">
        <v>12106</v>
      </c>
      <c r="J166" t="s">
        <v>463</v>
      </c>
    </row>
    <row r="167" spans="1:10" x14ac:dyDescent="0.3">
      <c r="A167" t="s">
        <v>464</v>
      </c>
      <c r="B167" t="s">
        <v>24386</v>
      </c>
      <c r="C167" t="s">
        <v>20487</v>
      </c>
      <c r="D167" t="s">
        <v>11</v>
      </c>
      <c r="E167" t="s">
        <v>69</v>
      </c>
      <c r="F167">
        <v>63</v>
      </c>
      <c r="G167" t="s">
        <v>109</v>
      </c>
      <c r="H167" t="s">
        <v>9788</v>
      </c>
      <c r="I167" t="s">
        <v>465</v>
      </c>
      <c r="J167" t="s">
        <v>466</v>
      </c>
    </row>
    <row r="168" spans="1:10" x14ac:dyDescent="0.3">
      <c r="A168" t="s">
        <v>468</v>
      </c>
      <c r="B168" t="s">
        <v>24387</v>
      </c>
      <c r="C168" t="s">
        <v>20487</v>
      </c>
      <c r="D168" t="s">
        <v>22</v>
      </c>
      <c r="E168" t="s">
        <v>275</v>
      </c>
      <c r="F168">
        <v>57</v>
      </c>
      <c r="G168" t="s">
        <v>24</v>
      </c>
      <c r="H168" t="s">
        <v>9789</v>
      </c>
    </row>
    <row r="169" spans="1:10" x14ac:dyDescent="0.3">
      <c r="A169" t="s">
        <v>469</v>
      </c>
      <c r="B169" t="s">
        <v>24388</v>
      </c>
      <c r="C169" t="s">
        <v>20490</v>
      </c>
      <c r="D169" t="s">
        <v>11</v>
      </c>
      <c r="E169" t="s">
        <v>470</v>
      </c>
      <c r="F169">
        <v>60</v>
      </c>
      <c r="G169" t="s">
        <v>109</v>
      </c>
      <c r="H169" t="s">
        <v>9788</v>
      </c>
    </row>
    <row r="170" spans="1:10" x14ac:dyDescent="0.3">
      <c r="A170" t="s">
        <v>471</v>
      </c>
      <c r="B170" t="s">
        <v>24389</v>
      </c>
      <c r="C170" t="s">
        <v>20490</v>
      </c>
      <c r="D170" t="s">
        <v>22</v>
      </c>
      <c r="E170" t="s">
        <v>472</v>
      </c>
      <c r="F170">
        <v>69</v>
      </c>
      <c r="G170" t="s">
        <v>31</v>
      </c>
      <c r="H170" t="s">
        <v>31</v>
      </c>
    </row>
    <row r="171" spans="1:10" x14ac:dyDescent="0.3">
      <c r="A171" t="s">
        <v>473</v>
      </c>
      <c r="B171" t="s">
        <v>24390</v>
      </c>
      <c r="C171" t="s">
        <v>20486</v>
      </c>
      <c r="D171" t="s">
        <v>11</v>
      </c>
      <c r="E171" t="s">
        <v>474</v>
      </c>
      <c r="F171">
        <v>44</v>
      </c>
      <c r="G171" t="s">
        <v>46</v>
      </c>
      <c r="H171" t="s">
        <v>46</v>
      </c>
      <c r="J171" t="s">
        <v>475</v>
      </c>
    </row>
    <row r="172" spans="1:10" x14ac:dyDescent="0.3">
      <c r="A172" t="s">
        <v>476</v>
      </c>
      <c r="B172" t="s">
        <v>24391</v>
      </c>
      <c r="C172" t="s">
        <v>20486</v>
      </c>
      <c r="D172" t="s">
        <v>22</v>
      </c>
      <c r="E172" t="s">
        <v>477</v>
      </c>
      <c r="F172">
        <v>58</v>
      </c>
      <c r="G172" t="s">
        <v>13</v>
      </c>
      <c r="H172" t="s">
        <v>13</v>
      </c>
      <c r="I172" t="s">
        <v>17</v>
      </c>
      <c r="J172" t="s">
        <v>478</v>
      </c>
    </row>
    <row r="173" spans="1:10" x14ac:dyDescent="0.3">
      <c r="A173" t="s">
        <v>479</v>
      </c>
      <c r="B173" t="s">
        <v>24392</v>
      </c>
      <c r="C173" t="s">
        <v>20487</v>
      </c>
      <c r="D173" t="s">
        <v>22</v>
      </c>
      <c r="E173" t="s">
        <v>480</v>
      </c>
      <c r="F173">
        <v>51</v>
      </c>
      <c r="G173" t="s">
        <v>109</v>
      </c>
      <c r="H173" t="s">
        <v>9788</v>
      </c>
      <c r="I173" t="s">
        <v>481</v>
      </c>
      <c r="J173" t="s">
        <v>452</v>
      </c>
    </row>
    <row r="174" spans="1:10" x14ac:dyDescent="0.3">
      <c r="A174" t="s">
        <v>482</v>
      </c>
      <c r="B174" t="s">
        <v>24393</v>
      </c>
      <c r="C174" t="s">
        <v>20486</v>
      </c>
      <c r="D174" t="s">
        <v>11</v>
      </c>
      <c r="E174" t="s">
        <v>483</v>
      </c>
      <c r="F174">
        <v>63</v>
      </c>
      <c r="G174" t="s">
        <v>46</v>
      </c>
      <c r="H174" t="s">
        <v>46</v>
      </c>
      <c r="J174" t="s">
        <v>484</v>
      </c>
    </row>
    <row r="175" spans="1:10" x14ac:dyDescent="0.3">
      <c r="A175" t="s">
        <v>485</v>
      </c>
      <c r="B175" t="s">
        <v>24394</v>
      </c>
      <c r="C175" t="s">
        <v>20487</v>
      </c>
      <c r="D175" t="s">
        <v>22</v>
      </c>
      <c r="E175" t="s">
        <v>486</v>
      </c>
      <c r="F175">
        <v>63</v>
      </c>
      <c r="G175" t="s">
        <v>13</v>
      </c>
      <c r="H175" t="s">
        <v>13</v>
      </c>
      <c r="I175" t="s">
        <v>12106</v>
      </c>
      <c r="J175" t="s">
        <v>487</v>
      </c>
    </row>
    <row r="176" spans="1:10" x14ac:dyDescent="0.3">
      <c r="A176" t="s">
        <v>488</v>
      </c>
      <c r="B176" t="s">
        <v>24395</v>
      </c>
      <c r="C176" t="s">
        <v>20486</v>
      </c>
      <c r="D176" t="s">
        <v>11</v>
      </c>
      <c r="E176" t="s">
        <v>489</v>
      </c>
      <c r="F176">
        <v>76</v>
      </c>
      <c r="G176" t="s">
        <v>13</v>
      </c>
      <c r="H176" t="s">
        <v>13</v>
      </c>
      <c r="J176" t="s">
        <v>490</v>
      </c>
    </row>
    <row r="177" spans="1:10" x14ac:dyDescent="0.3">
      <c r="A177" t="s">
        <v>491</v>
      </c>
      <c r="B177" t="s">
        <v>24396</v>
      </c>
      <c r="C177" t="s">
        <v>20486</v>
      </c>
      <c r="D177" t="s">
        <v>22</v>
      </c>
      <c r="E177" t="s">
        <v>492</v>
      </c>
      <c r="F177">
        <v>61</v>
      </c>
      <c r="H177" t="s">
        <v>9788</v>
      </c>
      <c r="J177" t="s">
        <v>493</v>
      </c>
    </row>
    <row r="178" spans="1:10" x14ac:dyDescent="0.3">
      <c r="A178" t="s">
        <v>494</v>
      </c>
      <c r="B178" t="s">
        <v>24397</v>
      </c>
      <c r="C178" t="s">
        <v>20486</v>
      </c>
      <c r="D178" t="s">
        <v>22</v>
      </c>
      <c r="E178" t="s">
        <v>495</v>
      </c>
      <c r="F178">
        <v>45</v>
      </c>
      <c r="G178" t="s">
        <v>31</v>
      </c>
      <c r="H178" t="s">
        <v>9788</v>
      </c>
      <c r="J178" t="s">
        <v>496</v>
      </c>
    </row>
    <row r="179" spans="1:10" x14ac:dyDescent="0.3">
      <c r="A179" t="s">
        <v>497</v>
      </c>
      <c r="B179" t="s">
        <v>24398</v>
      </c>
      <c r="C179" t="s">
        <v>20486</v>
      </c>
      <c r="D179" t="s">
        <v>22</v>
      </c>
      <c r="E179" t="s">
        <v>498</v>
      </c>
      <c r="F179">
        <v>74</v>
      </c>
      <c r="G179" t="s">
        <v>46</v>
      </c>
      <c r="H179" t="s">
        <v>46</v>
      </c>
      <c r="J179" t="s">
        <v>74</v>
      </c>
    </row>
    <row r="180" spans="1:10" x14ac:dyDescent="0.3">
      <c r="A180" t="s">
        <v>499</v>
      </c>
      <c r="B180" t="s">
        <v>24399</v>
      </c>
      <c r="C180" t="s">
        <v>20486</v>
      </c>
      <c r="D180" t="s">
        <v>22</v>
      </c>
      <c r="E180" t="s">
        <v>500</v>
      </c>
      <c r="F180">
        <v>84</v>
      </c>
      <c r="G180" t="s">
        <v>31</v>
      </c>
      <c r="H180" t="s">
        <v>31</v>
      </c>
    </row>
    <row r="181" spans="1:10" x14ac:dyDescent="0.3">
      <c r="A181" t="s">
        <v>501</v>
      </c>
      <c r="B181" t="s">
        <v>24400</v>
      </c>
      <c r="C181" t="s">
        <v>20486</v>
      </c>
      <c r="D181" t="s">
        <v>11</v>
      </c>
      <c r="E181" t="s">
        <v>502</v>
      </c>
      <c r="F181">
        <v>75</v>
      </c>
      <c r="G181" t="s">
        <v>46</v>
      </c>
      <c r="H181" t="s">
        <v>46</v>
      </c>
    </row>
    <row r="182" spans="1:10" x14ac:dyDescent="0.3">
      <c r="A182" t="s">
        <v>503</v>
      </c>
      <c r="B182" t="s">
        <v>24401</v>
      </c>
      <c r="C182" t="s">
        <v>20486</v>
      </c>
      <c r="D182" t="s">
        <v>11</v>
      </c>
      <c r="E182" t="s">
        <v>504</v>
      </c>
      <c r="F182">
        <v>57</v>
      </c>
      <c r="G182" t="s">
        <v>2055</v>
      </c>
      <c r="H182" t="s">
        <v>9789</v>
      </c>
      <c r="I182" t="s">
        <v>12107</v>
      </c>
    </row>
    <row r="183" spans="1:10" x14ac:dyDescent="0.3">
      <c r="A183" t="s">
        <v>506</v>
      </c>
      <c r="B183" t="s">
        <v>24402</v>
      </c>
      <c r="C183" t="s">
        <v>20486</v>
      </c>
      <c r="D183" t="s">
        <v>22</v>
      </c>
      <c r="E183" t="s">
        <v>507</v>
      </c>
      <c r="F183">
        <v>76</v>
      </c>
      <c r="G183" t="s">
        <v>46</v>
      </c>
      <c r="H183" t="s">
        <v>46</v>
      </c>
      <c r="I183" t="s">
        <v>139</v>
      </c>
      <c r="J183" t="s">
        <v>505</v>
      </c>
    </row>
    <row r="184" spans="1:10" x14ac:dyDescent="0.3">
      <c r="A184" t="s">
        <v>508</v>
      </c>
      <c r="B184" t="s">
        <v>24403</v>
      </c>
      <c r="C184" t="s">
        <v>20487</v>
      </c>
      <c r="D184" t="s">
        <v>11</v>
      </c>
      <c r="E184" t="s">
        <v>509</v>
      </c>
      <c r="F184">
        <v>75</v>
      </c>
      <c r="G184" t="s">
        <v>13</v>
      </c>
      <c r="H184" t="s">
        <v>13</v>
      </c>
      <c r="I184" t="s">
        <v>441</v>
      </c>
      <c r="J184" t="s">
        <v>452</v>
      </c>
    </row>
    <row r="185" spans="1:10" x14ac:dyDescent="0.3">
      <c r="A185" t="s">
        <v>12108</v>
      </c>
      <c r="B185" t="s">
        <v>24404</v>
      </c>
      <c r="C185" t="s">
        <v>20486</v>
      </c>
      <c r="D185" t="s">
        <v>22</v>
      </c>
      <c r="E185" t="s">
        <v>9782</v>
      </c>
      <c r="F185">
        <v>24</v>
      </c>
      <c r="H185" t="s">
        <v>337</v>
      </c>
    </row>
    <row r="186" spans="1:10" x14ac:dyDescent="0.3">
      <c r="A186" t="s">
        <v>510</v>
      </c>
      <c r="B186" t="s">
        <v>24405</v>
      </c>
      <c r="C186" t="s">
        <v>20486</v>
      </c>
      <c r="D186" t="s">
        <v>11</v>
      </c>
      <c r="E186" t="s">
        <v>511</v>
      </c>
      <c r="F186">
        <v>30</v>
      </c>
      <c r="G186" t="s">
        <v>109</v>
      </c>
      <c r="H186" t="s">
        <v>9788</v>
      </c>
      <c r="J186" t="s">
        <v>364</v>
      </c>
    </row>
    <row r="187" spans="1:10" x14ac:dyDescent="0.3">
      <c r="A187" t="s">
        <v>512</v>
      </c>
      <c r="B187" t="s">
        <v>24406</v>
      </c>
      <c r="C187" t="s">
        <v>20486</v>
      </c>
      <c r="D187" t="s">
        <v>11</v>
      </c>
      <c r="E187" t="s">
        <v>513</v>
      </c>
      <c r="F187">
        <v>59</v>
      </c>
      <c r="G187" t="s">
        <v>31</v>
      </c>
      <c r="H187" t="s">
        <v>31</v>
      </c>
      <c r="I187" t="s">
        <v>384</v>
      </c>
    </row>
    <row r="188" spans="1:10" x14ac:dyDescent="0.3">
      <c r="A188" t="s">
        <v>514</v>
      </c>
      <c r="B188" t="s">
        <v>24407</v>
      </c>
      <c r="C188" t="s">
        <v>20487</v>
      </c>
      <c r="D188" t="s">
        <v>22</v>
      </c>
      <c r="E188" t="s">
        <v>515</v>
      </c>
      <c r="F188">
        <v>64</v>
      </c>
      <c r="G188" t="s">
        <v>13</v>
      </c>
      <c r="H188" t="s">
        <v>13</v>
      </c>
      <c r="I188" t="s">
        <v>441</v>
      </c>
      <c r="J188" t="s">
        <v>463</v>
      </c>
    </row>
    <row r="189" spans="1:10" x14ac:dyDescent="0.3">
      <c r="A189" t="s">
        <v>516</v>
      </c>
      <c r="B189" t="s">
        <v>24408</v>
      </c>
      <c r="C189" t="s">
        <v>20486</v>
      </c>
      <c r="D189" t="s">
        <v>22</v>
      </c>
      <c r="E189" t="s">
        <v>517</v>
      </c>
      <c r="F189">
        <v>72</v>
      </c>
      <c r="G189" t="s">
        <v>155</v>
      </c>
      <c r="H189" t="s">
        <v>9791</v>
      </c>
    </row>
    <row r="190" spans="1:10" x14ac:dyDescent="0.3">
      <c r="A190" t="s">
        <v>518</v>
      </c>
      <c r="B190" t="s">
        <v>24409</v>
      </c>
      <c r="C190" t="s">
        <v>20486</v>
      </c>
      <c r="D190" t="s">
        <v>22</v>
      </c>
      <c r="E190" t="s">
        <v>519</v>
      </c>
      <c r="F190">
        <v>69</v>
      </c>
      <c r="G190" t="s">
        <v>13</v>
      </c>
      <c r="H190" t="s">
        <v>13</v>
      </c>
      <c r="I190" t="s">
        <v>17</v>
      </c>
    </row>
    <row r="191" spans="1:10" x14ac:dyDescent="0.3">
      <c r="A191" t="s">
        <v>520</v>
      </c>
      <c r="B191" t="s">
        <v>24410</v>
      </c>
      <c r="C191" t="s">
        <v>20490</v>
      </c>
      <c r="D191" t="s">
        <v>22</v>
      </c>
      <c r="E191" t="s">
        <v>521</v>
      </c>
      <c r="F191">
        <v>71</v>
      </c>
      <c r="G191" t="s">
        <v>31</v>
      </c>
      <c r="H191" t="s">
        <v>31</v>
      </c>
    </row>
    <row r="192" spans="1:10" x14ac:dyDescent="0.3">
      <c r="A192" t="s">
        <v>522</v>
      </c>
      <c r="B192" t="s">
        <v>24411</v>
      </c>
      <c r="C192" t="s">
        <v>20490</v>
      </c>
      <c r="D192" t="s">
        <v>11</v>
      </c>
      <c r="E192" t="s">
        <v>523</v>
      </c>
      <c r="F192">
        <v>54</v>
      </c>
      <c r="G192" t="s">
        <v>231</v>
      </c>
      <c r="H192" t="s">
        <v>46</v>
      </c>
    </row>
    <row r="193" spans="1:10" x14ac:dyDescent="0.3">
      <c r="A193" t="s">
        <v>524</v>
      </c>
      <c r="B193" t="s">
        <v>24412</v>
      </c>
      <c r="C193" t="s">
        <v>20486</v>
      </c>
      <c r="D193" t="s">
        <v>22</v>
      </c>
      <c r="E193" t="s">
        <v>525</v>
      </c>
      <c r="F193">
        <v>61</v>
      </c>
      <c r="G193" t="s">
        <v>13</v>
      </c>
      <c r="H193" t="s">
        <v>13</v>
      </c>
      <c r="J193" t="s">
        <v>526</v>
      </c>
    </row>
    <row r="194" spans="1:10" x14ac:dyDescent="0.3">
      <c r="A194" t="s">
        <v>527</v>
      </c>
      <c r="B194" t="s">
        <v>24413</v>
      </c>
      <c r="C194" t="s">
        <v>20486</v>
      </c>
      <c r="D194" t="s">
        <v>22</v>
      </c>
      <c r="E194" t="s">
        <v>528</v>
      </c>
      <c r="F194">
        <v>62</v>
      </c>
      <c r="G194" t="s">
        <v>31</v>
      </c>
      <c r="H194" t="s">
        <v>46</v>
      </c>
      <c r="I194" t="s">
        <v>12109</v>
      </c>
      <c r="J194" t="s">
        <v>12110</v>
      </c>
    </row>
    <row r="195" spans="1:10" x14ac:dyDescent="0.3">
      <c r="A195" t="s">
        <v>529</v>
      </c>
      <c r="B195" t="s">
        <v>24414</v>
      </c>
      <c r="C195" t="s">
        <v>20486</v>
      </c>
      <c r="D195" t="s">
        <v>22</v>
      </c>
      <c r="E195" t="s">
        <v>530</v>
      </c>
      <c r="F195">
        <v>68</v>
      </c>
      <c r="G195" t="s">
        <v>531</v>
      </c>
      <c r="H195" t="s">
        <v>46</v>
      </c>
      <c r="I195" t="s">
        <v>532</v>
      </c>
    </row>
    <row r="196" spans="1:10" x14ac:dyDescent="0.3">
      <c r="A196" t="s">
        <v>533</v>
      </c>
      <c r="B196" t="s">
        <v>24415</v>
      </c>
      <c r="C196" t="s">
        <v>20486</v>
      </c>
      <c r="D196" t="s">
        <v>22</v>
      </c>
      <c r="E196" t="s">
        <v>534</v>
      </c>
      <c r="F196">
        <v>57</v>
      </c>
      <c r="G196" t="s">
        <v>109</v>
      </c>
      <c r="H196" t="s">
        <v>9788</v>
      </c>
      <c r="J196" t="s">
        <v>535</v>
      </c>
    </row>
    <row r="197" spans="1:10" x14ac:dyDescent="0.3">
      <c r="A197" t="s">
        <v>536</v>
      </c>
      <c r="B197" t="s">
        <v>24416</v>
      </c>
      <c r="C197" t="s">
        <v>20486</v>
      </c>
      <c r="D197" t="s">
        <v>22</v>
      </c>
      <c r="E197" t="s">
        <v>537</v>
      </c>
      <c r="F197">
        <v>82</v>
      </c>
      <c r="G197" t="s">
        <v>13</v>
      </c>
      <c r="H197" t="s">
        <v>13</v>
      </c>
    </row>
    <row r="198" spans="1:10" x14ac:dyDescent="0.3">
      <c r="A198" t="s">
        <v>538</v>
      </c>
      <c r="B198" t="s">
        <v>24417</v>
      </c>
      <c r="C198" t="s">
        <v>20487</v>
      </c>
      <c r="D198" t="s">
        <v>11</v>
      </c>
      <c r="E198" t="s">
        <v>539</v>
      </c>
      <c r="F198">
        <v>61</v>
      </c>
      <c r="G198" t="s">
        <v>540</v>
      </c>
      <c r="H198" t="s">
        <v>12074</v>
      </c>
      <c r="J198" t="s">
        <v>541</v>
      </c>
    </row>
    <row r="199" spans="1:10" x14ac:dyDescent="0.3">
      <c r="A199" t="s">
        <v>542</v>
      </c>
      <c r="B199" t="s">
        <v>24418</v>
      </c>
      <c r="C199" t="s">
        <v>20486</v>
      </c>
      <c r="D199" t="s">
        <v>22</v>
      </c>
      <c r="E199" t="s">
        <v>543</v>
      </c>
      <c r="F199">
        <v>62</v>
      </c>
      <c r="G199" t="s">
        <v>31</v>
      </c>
      <c r="H199" t="s">
        <v>31</v>
      </c>
      <c r="J199" t="s">
        <v>33</v>
      </c>
    </row>
    <row r="200" spans="1:10" x14ac:dyDescent="0.3">
      <c r="A200" t="s">
        <v>544</v>
      </c>
      <c r="B200" t="s">
        <v>24419</v>
      </c>
      <c r="C200" t="s">
        <v>20487</v>
      </c>
      <c r="D200" t="s">
        <v>22</v>
      </c>
      <c r="E200" t="s">
        <v>545</v>
      </c>
      <c r="F200">
        <v>46</v>
      </c>
      <c r="G200" t="s">
        <v>193</v>
      </c>
      <c r="H200" t="s">
        <v>31</v>
      </c>
    </row>
    <row r="201" spans="1:10" x14ac:dyDescent="0.3">
      <c r="A201" t="s">
        <v>546</v>
      </c>
      <c r="B201" t="s">
        <v>24420</v>
      </c>
      <c r="C201" t="s">
        <v>20486</v>
      </c>
      <c r="D201" t="s">
        <v>11</v>
      </c>
      <c r="E201" t="s">
        <v>547</v>
      </c>
      <c r="F201">
        <v>42</v>
      </c>
      <c r="G201" t="s">
        <v>109</v>
      </c>
      <c r="H201" t="s">
        <v>9788</v>
      </c>
      <c r="I201" t="s">
        <v>548</v>
      </c>
      <c r="J201" t="s">
        <v>549</v>
      </c>
    </row>
    <row r="202" spans="1:10" x14ac:dyDescent="0.3">
      <c r="A202" t="s">
        <v>550</v>
      </c>
      <c r="B202" t="s">
        <v>24421</v>
      </c>
      <c r="C202" t="s">
        <v>20486</v>
      </c>
      <c r="D202" t="s">
        <v>22</v>
      </c>
      <c r="E202" t="s">
        <v>551</v>
      </c>
      <c r="F202">
        <v>60</v>
      </c>
      <c r="G202" t="s">
        <v>109</v>
      </c>
      <c r="H202" t="s">
        <v>9788</v>
      </c>
    </row>
    <row r="203" spans="1:10" x14ac:dyDescent="0.3">
      <c r="A203" t="s">
        <v>552</v>
      </c>
      <c r="B203" t="s">
        <v>24422</v>
      </c>
      <c r="C203" t="s">
        <v>20490</v>
      </c>
      <c r="D203" t="s">
        <v>11</v>
      </c>
      <c r="E203" t="s">
        <v>553</v>
      </c>
      <c r="F203">
        <v>70</v>
      </c>
      <c r="G203" t="s">
        <v>201</v>
      </c>
      <c r="H203" t="s">
        <v>46</v>
      </c>
    </row>
    <row r="204" spans="1:10" x14ac:dyDescent="0.3">
      <c r="A204" t="s">
        <v>554</v>
      </c>
      <c r="B204" t="s">
        <v>24423</v>
      </c>
      <c r="C204" t="s">
        <v>20486</v>
      </c>
      <c r="D204" t="s">
        <v>11</v>
      </c>
      <c r="E204" t="s">
        <v>555</v>
      </c>
      <c r="F204">
        <v>73</v>
      </c>
      <c r="G204" t="s">
        <v>13</v>
      </c>
      <c r="H204" t="s">
        <v>14289</v>
      </c>
      <c r="I204" t="s">
        <v>556</v>
      </c>
      <c r="J204" t="s">
        <v>557</v>
      </c>
    </row>
    <row r="205" spans="1:10" x14ac:dyDescent="0.3">
      <c r="A205" t="s">
        <v>558</v>
      </c>
      <c r="B205" t="s">
        <v>24424</v>
      </c>
      <c r="C205" t="s">
        <v>20486</v>
      </c>
      <c r="D205" t="s">
        <v>22</v>
      </c>
      <c r="E205" t="s">
        <v>559</v>
      </c>
      <c r="F205">
        <v>64</v>
      </c>
      <c r="G205" t="s">
        <v>31</v>
      </c>
      <c r="H205" t="s">
        <v>31</v>
      </c>
      <c r="I205" t="s">
        <v>32</v>
      </c>
      <c r="J205" t="s">
        <v>560</v>
      </c>
    </row>
    <row r="206" spans="1:10" x14ac:dyDescent="0.3">
      <c r="A206" t="s">
        <v>561</v>
      </c>
      <c r="B206" t="s">
        <v>24425</v>
      </c>
      <c r="C206" t="s">
        <v>20486</v>
      </c>
      <c r="D206" t="s">
        <v>22</v>
      </c>
      <c r="E206" t="s">
        <v>562</v>
      </c>
      <c r="F206">
        <v>51</v>
      </c>
      <c r="G206" t="s">
        <v>109</v>
      </c>
      <c r="H206" t="s">
        <v>9788</v>
      </c>
      <c r="I206" t="s">
        <v>32</v>
      </c>
      <c r="J206" t="s">
        <v>252</v>
      </c>
    </row>
    <row r="207" spans="1:10" x14ac:dyDescent="0.3">
      <c r="A207" t="s">
        <v>563</v>
      </c>
      <c r="B207" t="s">
        <v>24426</v>
      </c>
      <c r="C207" t="s">
        <v>20486</v>
      </c>
      <c r="D207" t="s">
        <v>22</v>
      </c>
      <c r="E207" t="s">
        <v>564</v>
      </c>
      <c r="F207">
        <v>66</v>
      </c>
      <c r="G207" t="s">
        <v>31</v>
      </c>
      <c r="H207" t="s">
        <v>31</v>
      </c>
    </row>
    <row r="208" spans="1:10" x14ac:dyDescent="0.3">
      <c r="A208" t="s">
        <v>565</v>
      </c>
      <c r="B208" t="s">
        <v>24427</v>
      </c>
      <c r="C208" t="s">
        <v>20487</v>
      </c>
      <c r="D208" t="s">
        <v>22</v>
      </c>
      <c r="E208" t="s">
        <v>566</v>
      </c>
      <c r="F208">
        <v>54</v>
      </c>
      <c r="G208" t="s">
        <v>193</v>
      </c>
      <c r="H208" t="s">
        <v>31</v>
      </c>
    </row>
    <row r="209" spans="1:10" x14ac:dyDescent="0.3">
      <c r="A209" t="s">
        <v>567</v>
      </c>
      <c r="B209" t="s">
        <v>24428</v>
      </c>
      <c r="C209" t="s">
        <v>20488</v>
      </c>
      <c r="D209" t="s">
        <v>22</v>
      </c>
      <c r="E209" t="s">
        <v>569</v>
      </c>
      <c r="F209">
        <v>65</v>
      </c>
      <c r="G209" t="s">
        <v>13</v>
      </c>
      <c r="H209" t="s">
        <v>13</v>
      </c>
      <c r="I209" t="s">
        <v>570</v>
      </c>
      <c r="J209" t="s">
        <v>571</v>
      </c>
    </row>
    <row r="210" spans="1:10" x14ac:dyDescent="0.3">
      <c r="A210" t="s">
        <v>572</v>
      </c>
      <c r="B210" t="s">
        <v>24429</v>
      </c>
      <c r="C210" t="s">
        <v>20488</v>
      </c>
      <c r="D210" t="s">
        <v>22</v>
      </c>
      <c r="E210" t="s">
        <v>573</v>
      </c>
      <c r="F210">
        <v>71</v>
      </c>
      <c r="G210" t="s">
        <v>13</v>
      </c>
      <c r="H210" t="s">
        <v>13</v>
      </c>
      <c r="I210" t="s">
        <v>318</v>
      </c>
      <c r="J210" t="s">
        <v>574</v>
      </c>
    </row>
    <row r="211" spans="1:10" x14ac:dyDescent="0.3">
      <c r="A211" t="s">
        <v>575</v>
      </c>
      <c r="B211" t="s">
        <v>24430</v>
      </c>
      <c r="C211" t="s">
        <v>20488</v>
      </c>
      <c r="D211" t="s">
        <v>11</v>
      </c>
      <c r="E211" t="s">
        <v>576</v>
      </c>
      <c r="F211">
        <v>54</v>
      </c>
      <c r="G211" t="s">
        <v>16</v>
      </c>
      <c r="H211" t="s">
        <v>9785</v>
      </c>
      <c r="I211" t="s">
        <v>449</v>
      </c>
      <c r="J211" t="s">
        <v>577</v>
      </c>
    </row>
    <row r="212" spans="1:10" x14ac:dyDescent="0.3">
      <c r="A212" t="s">
        <v>578</v>
      </c>
      <c r="B212" t="s">
        <v>24431</v>
      </c>
      <c r="C212" t="s">
        <v>20488</v>
      </c>
      <c r="D212" t="s">
        <v>11</v>
      </c>
      <c r="E212" t="s">
        <v>579</v>
      </c>
      <c r="F212">
        <v>63</v>
      </c>
      <c r="G212" t="s">
        <v>13</v>
      </c>
      <c r="H212" t="s">
        <v>13</v>
      </c>
      <c r="I212" t="s">
        <v>198</v>
      </c>
      <c r="J212" t="s">
        <v>574</v>
      </c>
    </row>
    <row r="213" spans="1:10" x14ac:dyDescent="0.3">
      <c r="A213" t="s">
        <v>580</v>
      </c>
      <c r="B213" t="s">
        <v>24432</v>
      </c>
      <c r="C213" t="s">
        <v>20488</v>
      </c>
      <c r="D213" t="s">
        <v>22</v>
      </c>
      <c r="E213" t="s">
        <v>581</v>
      </c>
      <c r="F213">
        <v>70</v>
      </c>
      <c r="G213" t="s">
        <v>13</v>
      </c>
      <c r="H213" t="s">
        <v>13</v>
      </c>
      <c r="I213" t="s">
        <v>582</v>
      </c>
      <c r="J213" t="s">
        <v>571</v>
      </c>
    </row>
    <row r="214" spans="1:10" x14ac:dyDescent="0.3">
      <c r="A214" t="s">
        <v>583</v>
      </c>
      <c r="B214" t="s">
        <v>24433</v>
      </c>
      <c r="C214" t="s">
        <v>20488</v>
      </c>
      <c r="D214" t="s">
        <v>22</v>
      </c>
      <c r="E214" t="s">
        <v>584</v>
      </c>
      <c r="F214">
        <v>70</v>
      </c>
      <c r="G214" t="s">
        <v>13</v>
      </c>
      <c r="H214" t="s">
        <v>13</v>
      </c>
      <c r="I214" t="s">
        <v>570</v>
      </c>
      <c r="J214" t="s">
        <v>571</v>
      </c>
    </row>
    <row r="215" spans="1:10" x14ac:dyDescent="0.3">
      <c r="A215" t="s">
        <v>585</v>
      </c>
      <c r="B215" t="s">
        <v>24434</v>
      </c>
      <c r="C215" t="s">
        <v>20488</v>
      </c>
      <c r="D215" t="s">
        <v>22</v>
      </c>
      <c r="E215" t="s">
        <v>586</v>
      </c>
      <c r="F215">
        <v>66</v>
      </c>
      <c r="G215" t="s">
        <v>13</v>
      </c>
      <c r="H215" t="s">
        <v>13</v>
      </c>
      <c r="I215" t="s">
        <v>570</v>
      </c>
      <c r="J215" t="s">
        <v>577</v>
      </c>
    </row>
    <row r="216" spans="1:10" x14ac:dyDescent="0.3">
      <c r="A216" t="s">
        <v>587</v>
      </c>
      <c r="B216" t="s">
        <v>24435</v>
      </c>
      <c r="C216" t="s">
        <v>20488</v>
      </c>
      <c r="D216" t="s">
        <v>11</v>
      </c>
      <c r="E216" t="s">
        <v>588</v>
      </c>
      <c r="F216">
        <v>58</v>
      </c>
      <c r="G216" t="s">
        <v>16</v>
      </c>
      <c r="H216" t="s">
        <v>9785</v>
      </c>
      <c r="I216" t="s">
        <v>449</v>
      </c>
      <c r="J216" t="s">
        <v>577</v>
      </c>
    </row>
    <row r="217" spans="1:10" x14ac:dyDescent="0.3">
      <c r="A217" t="s">
        <v>590</v>
      </c>
      <c r="B217" t="s">
        <v>24436</v>
      </c>
      <c r="C217" t="s">
        <v>20488</v>
      </c>
      <c r="D217" t="s">
        <v>22</v>
      </c>
      <c r="E217" t="s">
        <v>591</v>
      </c>
      <c r="F217">
        <v>76</v>
      </c>
      <c r="G217" t="s">
        <v>13</v>
      </c>
      <c r="H217" t="s">
        <v>13</v>
      </c>
      <c r="I217" t="s">
        <v>441</v>
      </c>
      <c r="J217" t="s">
        <v>571</v>
      </c>
    </row>
    <row r="218" spans="1:10" x14ac:dyDescent="0.3">
      <c r="A218" t="s">
        <v>592</v>
      </c>
      <c r="B218" t="s">
        <v>24437</v>
      </c>
      <c r="C218" t="s">
        <v>20488</v>
      </c>
      <c r="D218" t="s">
        <v>22</v>
      </c>
      <c r="E218" t="s">
        <v>593</v>
      </c>
      <c r="F218">
        <v>43</v>
      </c>
      <c r="G218" t="s">
        <v>31</v>
      </c>
      <c r="H218" t="s">
        <v>31</v>
      </c>
      <c r="I218" t="s">
        <v>33</v>
      </c>
    </row>
    <row r="219" spans="1:10" x14ac:dyDescent="0.3">
      <c r="A219" t="s">
        <v>594</v>
      </c>
      <c r="B219" t="s">
        <v>24438</v>
      </c>
      <c r="C219" t="s">
        <v>20490</v>
      </c>
      <c r="D219" t="s">
        <v>22</v>
      </c>
      <c r="E219" t="s">
        <v>595</v>
      </c>
      <c r="F219">
        <v>64</v>
      </c>
      <c r="G219" t="s">
        <v>201</v>
      </c>
      <c r="H219" t="s">
        <v>46</v>
      </c>
    </row>
    <row r="220" spans="1:10" x14ac:dyDescent="0.3">
      <c r="A220" t="s">
        <v>596</v>
      </c>
      <c r="B220" t="s">
        <v>24439</v>
      </c>
      <c r="C220" t="s">
        <v>20486</v>
      </c>
      <c r="D220" t="s">
        <v>22</v>
      </c>
      <c r="E220" t="s">
        <v>597</v>
      </c>
      <c r="F220">
        <v>68</v>
      </c>
      <c r="G220" t="s">
        <v>16</v>
      </c>
      <c r="H220" t="s">
        <v>13</v>
      </c>
      <c r="I220" t="s">
        <v>198</v>
      </c>
    </row>
    <row r="221" spans="1:10" x14ac:dyDescent="0.3">
      <c r="A221" t="s">
        <v>598</v>
      </c>
      <c r="B221" t="s">
        <v>24440</v>
      </c>
      <c r="C221" t="s">
        <v>20486</v>
      </c>
      <c r="D221" t="s">
        <v>22</v>
      </c>
      <c r="E221" t="s">
        <v>599</v>
      </c>
      <c r="F221">
        <v>29</v>
      </c>
    </row>
    <row r="222" spans="1:10" x14ac:dyDescent="0.3">
      <c r="A222" t="s">
        <v>600</v>
      </c>
      <c r="B222" t="s">
        <v>24441</v>
      </c>
      <c r="C222" t="s">
        <v>20486</v>
      </c>
      <c r="D222" t="s">
        <v>11</v>
      </c>
      <c r="E222" t="s">
        <v>601</v>
      </c>
      <c r="F222">
        <v>31</v>
      </c>
    </row>
    <row r="223" spans="1:10" x14ac:dyDescent="0.3">
      <c r="A223" t="s">
        <v>602</v>
      </c>
      <c r="B223" t="s">
        <v>24442</v>
      </c>
      <c r="C223" t="s">
        <v>20486</v>
      </c>
      <c r="D223" t="s">
        <v>11</v>
      </c>
      <c r="E223" t="s">
        <v>603</v>
      </c>
      <c r="F223">
        <v>66</v>
      </c>
      <c r="G223" t="s">
        <v>46</v>
      </c>
      <c r="H223" t="s">
        <v>46</v>
      </c>
      <c r="I223" t="s">
        <v>139</v>
      </c>
      <c r="J223" t="s">
        <v>604</v>
      </c>
    </row>
    <row r="224" spans="1:10" x14ac:dyDescent="0.3">
      <c r="A224" t="s">
        <v>605</v>
      </c>
      <c r="B224" t="s">
        <v>24443</v>
      </c>
      <c r="C224" t="s">
        <v>20486</v>
      </c>
      <c r="D224" t="s">
        <v>22</v>
      </c>
      <c r="E224" t="s">
        <v>606</v>
      </c>
      <c r="F224">
        <v>48</v>
      </c>
      <c r="G224" t="s">
        <v>109</v>
      </c>
      <c r="H224" t="s">
        <v>9788</v>
      </c>
      <c r="J224" t="s">
        <v>607</v>
      </c>
    </row>
    <row r="225" spans="1:10" x14ac:dyDescent="0.3">
      <c r="A225" t="s">
        <v>608</v>
      </c>
      <c r="B225" t="s">
        <v>24444</v>
      </c>
      <c r="C225" t="s">
        <v>20488</v>
      </c>
      <c r="D225" t="s">
        <v>22</v>
      </c>
      <c r="E225" t="s">
        <v>609</v>
      </c>
      <c r="F225">
        <v>56</v>
      </c>
      <c r="G225" t="s">
        <v>16</v>
      </c>
      <c r="H225" t="s">
        <v>9785</v>
      </c>
      <c r="I225" t="s">
        <v>449</v>
      </c>
      <c r="J225" t="s">
        <v>12111</v>
      </c>
    </row>
    <row r="226" spans="1:10" x14ac:dyDescent="0.3">
      <c r="A226" t="s">
        <v>611</v>
      </c>
      <c r="B226" t="s">
        <v>24445</v>
      </c>
      <c r="C226" t="s">
        <v>20488</v>
      </c>
      <c r="D226" t="s">
        <v>11</v>
      </c>
      <c r="E226" t="s">
        <v>612</v>
      </c>
      <c r="F226">
        <v>65</v>
      </c>
      <c r="G226" t="s">
        <v>133</v>
      </c>
      <c r="H226" t="s">
        <v>9789</v>
      </c>
      <c r="I226" t="s">
        <v>12112</v>
      </c>
      <c r="J226" t="s">
        <v>12113</v>
      </c>
    </row>
    <row r="227" spans="1:10" x14ac:dyDescent="0.3">
      <c r="A227" t="s">
        <v>613</v>
      </c>
      <c r="B227" t="s">
        <v>24446</v>
      </c>
      <c r="C227" t="s">
        <v>20488</v>
      </c>
      <c r="D227" t="s">
        <v>22</v>
      </c>
      <c r="E227" t="s">
        <v>614</v>
      </c>
      <c r="F227">
        <v>49</v>
      </c>
      <c r="G227" t="s">
        <v>31</v>
      </c>
      <c r="H227" t="s">
        <v>31</v>
      </c>
      <c r="I227" t="s">
        <v>33</v>
      </c>
    </row>
    <row r="228" spans="1:10" x14ac:dyDescent="0.3">
      <c r="A228" t="s">
        <v>615</v>
      </c>
      <c r="B228" t="s">
        <v>24447</v>
      </c>
      <c r="C228" t="s">
        <v>20488</v>
      </c>
      <c r="D228" t="s">
        <v>22</v>
      </c>
      <c r="E228" t="s">
        <v>616</v>
      </c>
      <c r="F228">
        <v>64</v>
      </c>
      <c r="G228" t="s">
        <v>13</v>
      </c>
      <c r="H228" t="s">
        <v>14289</v>
      </c>
      <c r="I228" t="s">
        <v>198</v>
      </c>
      <c r="J228" t="s">
        <v>617</v>
      </c>
    </row>
    <row r="229" spans="1:10" x14ac:dyDescent="0.3">
      <c r="A229" t="s">
        <v>618</v>
      </c>
      <c r="B229" t="s">
        <v>24448</v>
      </c>
      <c r="C229" t="s">
        <v>20490</v>
      </c>
      <c r="D229" t="s">
        <v>22</v>
      </c>
      <c r="E229" t="s">
        <v>619</v>
      </c>
      <c r="F229">
        <v>45</v>
      </c>
      <c r="G229" t="s">
        <v>220</v>
      </c>
      <c r="H229" t="s">
        <v>46</v>
      </c>
    </row>
    <row r="230" spans="1:10" x14ac:dyDescent="0.3">
      <c r="A230" t="s">
        <v>620</v>
      </c>
      <c r="B230" t="s">
        <v>24449</v>
      </c>
      <c r="C230" t="s">
        <v>20490</v>
      </c>
      <c r="D230" t="s">
        <v>22</v>
      </c>
      <c r="E230" t="s">
        <v>621</v>
      </c>
      <c r="F230">
        <v>52</v>
      </c>
      <c r="H230" t="s">
        <v>46</v>
      </c>
    </row>
    <row r="231" spans="1:10" x14ac:dyDescent="0.3">
      <c r="A231" t="s">
        <v>622</v>
      </c>
      <c r="B231" t="s">
        <v>24450</v>
      </c>
      <c r="C231" t="s">
        <v>20486</v>
      </c>
      <c r="D231" t="s">
        <v>11</v>
      </c>
      <c r="E231" t="s">
        <v>623</v>
      </c>
      <c r="F231">
        <v>69</v>
      </c>
      <c r="G231" t="s">
        <v>109</v>
      </c>
      <c r="H231" t="s">
        <v>9788</v>
      </c>
    </row>
    <row r="232" spans="1:10" x14ac:dyDescent="0.3">
      <c r="A232" t="s">
        <v>624</v>
      </c>
      <c r="B232" t="s">
        <v>24451</v>
      </c>
      <c r="C232" t="s">
        <v>20486</v>
      </c>
      <c r="D232" t="s">
        <v>11</v>
      </c>
      <c r="E232" t="s">
        <v>625</v>
      </c>
      <c r="F232">
        <v>40</v>
      </c>
      <c r="G232" t="s">
        <v>109</v>
      </c>
      <c r="H232" t="s">
        <v>9788</v>
      </c>
      <c r="I232" t="s">
        <v>224</v>
      </c>
      <c r="J232" t="s">
        <v>225</v>
      </c>
    </row>
    <row r="233" spans="1:10" x14ac:dyDescent="0.3">
      <c r="A233" t="s">
        <v>628</v>
      </c>
      <c r="B233" t="s">
        <v>24452</v>
      </c>
      <c r="C233" t="s">
        <v>20489</v>
      </c>
      <c r="D233" t="s">
        <v>22</v>
      </c>
      <c r="E233" t="s">
        <v>629</v>
      </c>
      <c r="F233">
        <v>57</v>
      </c>
      <c r="G233" t="s">
        <v>16</v>
      </c>
      <c r="H233" t="s">
        <v>9785</v>
      </c>
      <c r="I233" t="s">
        <v>449</v>
      </c>
      <c r="J233" t="s">
        <v>627</v>
      </c>
    </row>
    <row r="234" spans="1:10" x14ac:dyDescent="0.3">
      <c r="A234" t="s">
        <v>630</v>
      </c>
      <c r="B234" t="s">
        <v>24453</v>
      </c>
      <c r="C234" t="s">
        <v>20489</v>
      </c>
      <c r="D234" t="s">
        <v>22</v>
      </c>
      <c r="E234" t="s">
        <v>631</v>
      </c>
      <c r="F234">
        <v>68</v>
      </c>
      <c r="G234" t="s">
        <v>13</v>
      </c>
      <c r="H234" t="s">
        <v>13</v>
      </c>
      <c r="I234" t="s">
        <v>17</v>
      </c>
      <c r="J234" t="s">
        <v>627</v>
      </c>
    </row>
    <row r="235" spans="1:10" x14ac:dyDescent="0.3">
      <c r="A235" t="s">
        <v>632</v>
      </c>
      <c r="B235" t="s">
        <v>24454</v>
      </c>
      <c r="C235" t="s">
        <v>20489</v>
      </c>
      <c r="D235" t="s">
        <v>11</v>
      </c>
      <c r="E235" t="s">
        <v>633</v>
      </c>
      <c r="F235">
        <v>54</v>
      </c>
      <c r="G235" t="s">
        <v>16</v>
      </c>
      <c r="H235" t="s">
        <v>9785</v>
      </c>
      <c r="I235" t="s">
        <v>17</v>
      </c>
      <c r="J235" t="s">
        <v>627</v>
      </c>
    </row>
    <row r="236" spans="1:10" x14ac:dyDescent="0.3">
      <c r="A236" t="s">
        <v>634</v>
      </c>
      <c r="B236" t="s">
        <v>24455</v>
      </c>
      <c r="C236" t="s">
        <v>20489</v>
      </c>
      <c r="D236" t="s">
        <v>22</v>
      </c>
      <c r="E236" t="s">
        <v>635</v>
      </c>
      <c r="F236">
        <v>58</v>
      </c>
      <c r="G236" t="s">
        <v>16</v>
      </c>
      <c r="H236" t="s">
        <v>9785</v>
      </c>
      <c r="I236" t="s">
        <v>17</v>
      </c>
      <c r="J236" t="s">
        <v>627</v>
      </c>
    </row>
    <row r="237" spans="1:10" x14ac:dyDescent="0.3">
      <c r="A237" t="s">
        <v>636</v>
      </c>
      <c r="B237" t="s">
        <v>24456</v>
      </c>
      <c r="C237" t="s">
        <v>20489</v>
      </c>
      <c r="D237" t="s">
        <v>22</v>
      </c>
      <c r="E237" t="s">
        <v>637</v>
      </c>
      <c r="F237">
        <v>48</v>
      </c>
      <c r="G237" t="s">
        <v>16</v>
      </c>
      <c r="H237" t="s">
        <v>9785</v>
      </c>
      <c r="I237" t="s">
        <v>17</v>
      </c>
      <c r="J237" t="s">
        <v>627</v>
      </c>
    </row>
    <row r="238" spans="1:10" x14ac:dyDescent="0.3">
      <c r="A238" t="s">
        <v>638</v>
      </c>
      <c r="B238" t="s">
        <v>24457</v>
      </c>
      <c r="C238" t="s">
        <v>20489</v>
      </c>
      <c r="D238" t="s">
        <v>22</v>
      </c>
      <c r="E238" t="s">
        <v>639</v>
      </c>
      <c r="F238">
        <v>63</v>
      </c>
      <c r="G238" t="s">
        <v>13</v>
      </c>
      <c r="H238" t="s">
        <v>13</v>
      </c>
      <c r="I238" t="s">
        <v>17</v>
      </c>
      <c r="J238" t="s">
        <v>627</v>
      </c>
    </row>
    <row r="239" spans="1:10" x14ac:dyDescent="0.3">
      <c r="A239" t="s">
        <v>640</v>
      </c>
      <c r="B239" t="s">
        <v>24458</v>
      </c>
      <c r="C239" t="s">
        <v>20489</v>
      </c>
      <c r="D239" t="s">
        <v>22</v>
      </c>
      <c r="E239" t="s">
        <v>641</v>
      </c>
      <c r="F239">
        <v>54</v>
      </c>
      <c r="G239" t="s">
        <v>16</v>
      </c>
      <c r="H239" t="s">
        <v>9785</v>
      </c>
      <c r="I239" t="s">
        <v>17</v>
      </c>
      <c r="J239" t="s">
        <v>642</v>
      </c>
    </row>
    <row r="240" spans="1:10" x14ac:dyDescent="0.3">
      <c r="A240" t="s">
        <v>643</v>
      </c>
      <c r="B240" t="s">
        <v>24459</v>
      </c>
      <c r="C240" t="s">
        <v>20489</v>
      </c>
      <c r="D240" t="s">
        <v>22</v>
      </c>
      <c r="E240" t="s">
        <v>644</v>
      </c>
      <c r="F240">
        <v>55</v>
      </c>
      <c r="G240" t="s">
        <v>16</v>
      </c>
      <c r="H240" t="s">
        <v>9785</v>
      </c>
      <c r="I240" t="s">
        <v>17</v>
      </c>
      <c r="J240" t="s">
        <v>642</v>
      </c>
    </row>
    <row r="241" spans="1:10" x14ac:dyDescent="0.3">
      <c r="A241" t="s">
        <v>645</v>
      </c>
      <c r="B241" t="s">
        <v>24460</v>
      </c>
      <c r="C241" t="s">
        <v>20489</v>
      </c>
      <c r="D241" t="s">
        <v>22</v>
      </c>
      <c r="E241" t="s">
        <v>646</v>
      </c>
      <c r="F241">
        <v>58</v>
      </c>
      <c r="G241" t="s">
        <v>16</v>
      </c>
      <c r="H241" t="s">
        <v>9785</v>
      </c>
      <c r="I241" t="s">
        <v>17</v>
      </c>
      <c r="J241" t="s">
        <v>642</v>
      </c>
    </row>
    <row r="242" spans="1:10" x14ac:dyDescent="0.3">
      <c r="A242" t="s">
        <v>647</v>
      </c>
      <c r="B242" t="s">
        <v>24461</v>
      </c>
      <c r="C242" t="s">
        <v>20488</v>
      </c>
      <c r="D242" t="s">
        <v>22</v>
      </c>
      <c r="E242" t="s">
        <v>20</v>
      </c>
      <c r="F242">
        <v>57</v>
      </c>
      <c r="G242" t="s">
        <v>16</v>
      </c>
      <c r="H242" t="s">
        <v>9785</v>
      </c>
      <c r="I242" t="s">
        <v>449</v>
      </c>
      <c r="J242" t="s">
        <v>574</v>
      </c>
    </row>
    <row r="243" spans="1:10" x14ac:dyDescent="0.3">
      <c r="A243" t="s">
        <v>648</v>
      </c>
      <c r="B243" t="s">
        <v>24462</v>
      </c>
      <c r="C243" t="s">
        <v>20488</v>
      </c>
      <c r="D243" t="s">
        <v>22</v>
      </c>
      <c r="E243" t="s">
        <v>649</v>
      </c>
      <c r="F243">
        <v>54</v>
      </c>
      <c r="G243" t="s">
        <v>16</v>
      </c>
      <c r="H243" t="s">
        <v>9785</v>
      </c>
      <c r="I243" t="s">
        <v>449</v>
      </c>
      <c r="J243" t="s">
        <v>577</v>
      </c>
    </row>
    <row r="244" spans="1:10" x14ac:dyDescent="0.3">
      <c r="A244" t="s">
        <v>650</v>
      </c>
      <c r="B244" t="s">
        <v>24463</v>
      </c>
      <c r="C244" t="s">
        <v>20488</v>
      </c>
      <c r="D244" t="s">
        <v>11</v>
      </c>
      <c r="E244" t="s">
        <v>651</v>
      </c>
      <c r="F244">
        <v>57</v>
      </c>
      <c r="G244" t="s">
        <v>16</v>
      </c>
      <c r="H244" t="s">
        <v>9785</v>
      </c>
      <c r="I244" t="s">
        <v>449</v>
      </c>
      <c r="J244" t="s">
        <v>617</v>
      </c>
    </row>
    <row r="245" spans="1:10" x14ac:dyDescent="0.3">
      <c r="A245" t="s">
        <v>652</v>
      </c>
      <c r="B245" t="s">
        <v>24464</v>
      </c>
      <c r="C245" t="s">
        <v>20488</v>
      </c>
      <c r="D245" t="s">
        <v>22</v>
      </c>
      <c r="E245" t="s">
        <v>653</v>
      </c>
      <c r="F245">
        <v>61</v>
      </c>
      <c r="G245" t="s">
        <v>16</v>
      </c>
      <c r="H245" t="s">
        <v>9785</v>
      </c>
      <c r="I245" t="s">
        <v>441</v>
      </c>
      <c r="J245" t="s">
        <v>654</v>
      </c>
    </row>
    <row r="246" spans="1:10" x14ac:dyDescent="0.3">
      <c r="A246" t="s">
        <v>655</v>
      </c>
      <c r="B246" t="s">
        <v>24465</v>
      </c>
      <c r="C246" t="s">
        <v>20488</v>
      </c>
      <c r="D246" t="s">
        <v>22</v>
      </c>
      <c r="E246" t="s">
        <v>656</v>
      </c>
      <c r="F246">
        <v>50</v>
      </c>
      <c r="G246" t="s">
        <v>16</v>
      </c>
      <c r="H246" t="s">
        <v>9785</v>
      </c>
      <c r="I246" t="s">
        <v>449</v>
      </c>
      <c r="J246" t="s">
        <v>654</v>
      </c>
    </row>
    <row r="247" spans="1:10" x14ac:dyDescent="0.3">
      <c r="A247" t="s">
        <v>658</v>
      </c>
      <c r="B247" t="s">
        <v>24466</v>
      </c>
      <c r="C247" t="s">
        <v>20489</v>
      </c>
      <c r="D247" t="s">
        <v>11</v>
      </c>
      <c r="E247" t="s">
        <v>659</v>
      </c>
      <c r="F247">
        <v>46</v>
      </c>
      <c r="G247" t="s">
        <v>109</v>
      </c>
      <c r="H247" t="s">
        <v>9788</v>
      </c>
      <c r="I247" t="s">
        <v>660</v>
      </c>
      <c r="J247" t="s">
        <v>642</v>
      </c>
    </row>
    <row r="248" spans="1:10" x14ac:dyDescent="0.3">
      <c r="A248" t="s">
        <v>661</v>
      </c>
      <c r="B248" t="s">
        <v>24467</v>
      </c>
      <c r="C248" t="s">
        <v>20487</v>
      </c>
      <c r="D248" t="s">
        <v>22</v>
      </c>
      <c r="E248" t="s">
        <v>662</v>
      </c>
      <c r="F248">
        <v>43</v>
      </c>
      <c r="G248" t="s">
        <v>88</v>
      </c>
      <c r="H248" t="s">
        <v>12065</v>
      </c>
      <c r="J248" t="s">
        <v>663</v>
      </c>
    </row>
    <row r="249" spans="1:10" x14ac:dyDescent="0.3">
      <c r="A249" t="s">
        <v>664</v>
      </c>
      <c r="B249" t="s">
        <v>24468</v>
      </c>
      <c r="C249" t="s">
        <v>20486</v>
      </c>
      <c r="D249" t="s">
        <v>22</v>
      </c>
      <c r="E249" t="s">
        <v>665</v>
      </c>
      <c r="F249">
        <v>55</v>
      </c>
      <c r="G249" t="s">
        <v>31</v>
      </c>
      <c r="H249" t="s">
        <v>31</v>
      </c>
    </row>
    <row r="250" spans="1:10" x14ac:dyDescent="0.3">
      <c r="A250" t="s">
        <v>666</v>
      </c>
      <c r="B250" t="s">
        <v>24469</v>
      </c>
      <c r="C250" t="s">
        <v>20490</v>
      </c>
      <c r="D250" t="s">
        <v>22</v>
      </c>
      <c r="E250" t="s">
        <v>667</v>
      </c>
      <c r="F250">
        <v>50</v>
      </c>
      <c r="G250" t="s">
        <v>109</v>
      </c>
      <c r="H250" t="s">
        <v>46</v>
      </c>
    </row>
    <row r="251" spans="1:10" x14ac:dyDescent="0.3">
      <c r="A251" t="s">
        <v>670</v>
      </c>
      <c r="B251" t="s">
        <v>24470</v>
      </c>
      <c r="C251" t="s">
        <v>20486</v>
      </c>
      <c r="D251" t="s">
        <v>11</v>
      </c>
      <c r="E251" t="s">
        <v>671</v>
      </c>
      <c r="F251">
        <v>63</v>
      </c>
      <c r="G251" t="s">
        <v>46</v>
      </c>
      <c r="H251" t="s">
        <v>46</v>
      </c>
      <c r="I251" t="s">
        <v>672</v>
      </c>
      <c r="J251" t="s">
        <v>673</v>
      </c>
    </row>
    <row r="252" spans="1:10" x14ac:dyDescent="0.3">
      <c r="A252" t="s">
        <v>674</v>
      </c>
      <c r="B252" t="s">
        <v>24471</v>
      </c>
      <c r="C252" t="s">
        <v>20486</v>
      </c>
      <c r="D252" t="s">
        <v>22</v>
      </c>
      <c r="E252" t="s">
        <v>675</v>
      </c>
      <c r="F252">
        <v>53</v>
      </c>
      <c r="G252" t="s">
        <v>46</v>
      </c>
      <c r="H252" t="s">
        <v>46</v>
      </c>
      <c r="I252" t="s">
        <v>12114</v>
      </c>
      <c r="J252" t="s">
        <v>74</v>
      </c>
    </row>
    <row r="253" spans="1:10" x14ac:dyDescent="0.3">
      <c r="A253" t="s">
        <v>677</v>
      </c>
      <c r="B253" t="s">
        <v>24472</v>
      </c>
      <c r="C253" t="s">
        <v>20486</v>
      </c>
      <c r="D253" t="s">
        <v>22</v>
      </c>
      <c r="E253" t="s">
        <v>372</v>
      </c>
      <c r="F253">
        <v>62</v>
      </c>
      <c r="G253" t="s">
        <v>31</v>
      </c>
      <c r="H253" t="s">
        <v>31</v>
      </c>
    </row>
    <row r="254" spans="1:10" x14ac:dyDescent="0.3">
      <c r="A254" t="s">
        <v>678</v>
      </c>
      <c r="B254" t="s">
        <v>24473</v>
      </c>
      <c r="C254" t="s">
        <v>20487</v>
      </c>
      <c r="D254" t="s">
        <v>22</v>
      </c>
      <c r="E254" t="s">
        <v>679</v>
      </c>
      <c r="F254">
        <v>79</v>
      </c>
      <c r="G254" t="s">
        <v>231</v>
      </c>
      <c r="H254" t="s">
        <v>46</v>
      </c>
    </row>
    <row r="255" spans="1:10" x14ac:dyDescent="0.3">
      <c r="A255" t="s">
        <v>680</v>
      </c>
      <c r="B255" t="s">
        <v>24474</v>
      </c>
      <c r="C255" t="s">
        <v>20488</v>
      </c>
      <c r="D255" t="s">
        <v>11</v>
      </c>
      <c r="E255" t="s">
        <v>681</v>
      </c>
      <c r="F255">
        <v>55</v>
      </c>
      <c r="G255" t="s">
        <v>13</v>
      </c>
      <c r="H255" t="s">
        <v>13</v>
      </c>
      <c r="I255" t="s">
        <v>449</v>
      </c>
      <c r="J255" t="s">
        <v>682</v>
      </c>
    </row>
    <row r="256" spans="1:10" x14ac:dyDescent="0.3">
      <c r="A256" t="s">
        <v>683</v>
      </c>
      <c r="B256" t="s">
        <v>24475</v>
      </c>
      <c r="C256" t="s">
        <v>20488</v>
      </c>
      <c r="D256" t="s">
        <v>22</v>
      </c>
      <c r="E256" t="s">
        <v>684</v>
      </c>
      <c r="F256">
        <v>56</v>
      </c>
      <c r="G256" t="s">
        <v>16</v>
      </c>
      <c r="H256" t="s">
        <v>9785</v>
      </c>
      <c r="I256" t="s">
        <v>449</v>
      </c>
      <c r="J256" t="s">
        <v>610</v>
      </c>
    </row>
    <row r="257" spans="1:10" x14ac:dyDescent="0.3">
      <c r="A257" t="s">
        <v>685</v>
      </c>
      <c r="B257" t="s">
        <v>24476</v>
      </c>
      <c r="C257" t="s">
        <v>20486</v>
      </c>
      <c r="D257" t="s">
        <v>11</v>
      </c>
      <c r="E257" t="s">
        <v>686</v>
      </c>
      <c r="F257">
        <v>46</v>
      </c>
      <c r="G257" t="s">
        <v>16</v>
      </c>
      <c r="H257" t="s">
        <v>9785</v>
      </c>
      <c r="I257" t="s">
        <v>17</v>
      </c>
      <c r="J257" t="s">
        <v>67</v>
      </c>
    </row>
    <row r="258" spans="1:10" x14ac:dyDescent="0.3">
      <c r="A258" t="s">
        <v>687</v>
      </c>
      <c r="B258" t="s">
        <v>24477</v>
      </c>
      <c r="C258" t="s">
        <v>20486</v>
      </c>
      <c r="D258" t="s">
        <v>22</v>
      </c>
      <c r="E258" t="s">
        <v>688</v>
      </c>
      <c r="F258">
        <v>55</v>
      </c>
      <c r="G258" t="s">
        <v>16</v>
      </c>
      <c r="H258" t="s">
        <v>9785</v>
      </c>
      <c r="I258" t="s">
        <v>17</v>
      </c>
      <c r="J258" t="s">
        <v>67</v>
      </c>
    </row>
    <row r="259" spans="1:10" x14ac:dyDescent="0.3">
      <c r="A259" t="s">
        <v>689</v>
      </c>
      <c r="B259" t="s">
        <v>24478</v>
      </c>
      <c r="C259" t="s">
        <v>20487</v>
      </c>
      <c r="D259" t="s">
        <v>22</v>
      </c>
      <c r="E259" t="s">
        <v>690</v>
      </c>
      <c r="F259">
        <v>72</v>
      </c>
      <c r="G259" t="s">
        <v>31</v>
      </c>
      <c r="H259" t="s">
        <v>31</v>
      </c>
    </row>
    <row r="260" spans="1:10" x14ac:dyDescent="0.3">
      <c r="A260" t="s">
        <v>691</v>
      </c>
      <c r="B260" t="s">
        <v>24479</v>
      </c>
      <c r="C260" t="s">
        <v>20487</v>
      </c>
      <c r="D260" t="s">
        <v>22</v>
      </c>
      <c r="E260" t="s">
        <v>692</v>
      </c>
      <c r="F260">
        <v>62</v>
      </c>
      <c r="G260" t="s">
        <v>13</v>
      </c>
      <c r="H260" t="s">
        <v>13</v>
      </c>
      <c r="I260" t="s">
        <v>441</v>
      </c>
      <c r="J260" t="s">
        <v>693</v>
      </c>
    </row>
    <row r="261" spans="1:10" x14ac:dyDescent="0.3">
      <c r="A261" t="s">
        <v>694</v>
      </c>
      <c r="B261" t="s">
        <v>24480</v>
      </c>
      <c r="C261" t="s">
        <v>20486</v>
      </c>
      <c r="D261" t="s">
        <v>11</v>
      </c>
      <c r="E261" t="s">
        <v>695</v>
      </c>
      <c r="F261">
        <v>66</v>
      </c>
      <c r="G261" t="s">
        <v>172</v>
      </c>
      <c r="H261" t="s">
        <v>12099</v>
      </c>
      <c r="I261" t="s">
        <v>17</v>
      </c>
      <c r="J261" t="s">
        <v>696</v>
      </c>
    </row>
    <row r="262" spans="1:10" x14ac:dyDescent="0.3">
      <c r="A262" t="s">
        <v>697</v>
      </c>
      <c r="B262" t="s">
        <v>24481</v>
      </c>
      <c r="C262" t="s">
        <v>20487</v>
      </c>
      <c r="D262" t="s">
        <v>11</v>
      </c>
      <c r="E262" t="s">
        <v>698</v>
      </c>
      <c r="F262">
        <v>64</v>
      </c>
      <c r="G262" t="s">
        <v>13</v>
      </c>
      <c r="H262" t="s">
        <v>13</v>
      </c>
      <c r="I262" t="s">
        <v>441</v>
      </c>
      <c r="J262" t="s">
        <v>463</v>
      </c>
    </row>
    <row r="263" spans="1:10" x14ac:dyDescent="0.3">
      <c r="A263" t="s">
        <v>699</v>
      </c>
      <c r="B263" t="s">
        <v>24482</v>
      </c>
      <c r="C263" t="s">
        <v>20490</v>
      </c>
      <c r="D263" t="s">
        <v>22</v>
      </c>
      <c r="E263" t="s">
        <v>700</v>
      </c>
      <c r="F263">
        <v>57</v>
      </c>
      <c r="G263" t="s">
        <v>441</v>
      </c>
      <c r="H263" t="s">
        <v>9785</v>
      </c>
    </row>
    <row r="264" spans="1:10" x14ac:dyDescent="0.3">
      <c r="A264" t="s">
        <v>701</v>
      </c>
      <c r="B264" t="s">
        <v>24483</v>
      </c>
      <c r="C264" t="s">
        <v>20486</v>
      </c>
      <c r="D264" t="s">
        <v>22</v>
      </c>
      <c r="E264" t="s">
        <v>702</v>
      </c>
      <c r="F264">
        <v>48</v>
      </c>
      <c r="G264" t="s">
        <v>109</v>
      </c>
      <c r="H264" t="s">
        <v>9788</v>
      </c>
      <c r="I264" t="s">
        <v>703</v>
      </c>
      <c r="J264" t="s">
        <v>704</v>
      </c>
    </row>
    <row r="265" spans="1:10" x14ac:dyDescent="0.3">
      <c r="A265" t="s">
        <v>705</v>
      </c>
      <c r="B265" t="s">
        <v>24484</v>
      </c>
      <c r="C265" t="s">
        <v>20486</v>
      </c>
      <c r="D265" t="s">
        <v>22</v>
      </c>
      <c r="E265" t="s">
        <v>328</v>
      </c>
      <c r="F265">
        <v>52</v>
      </c>
      <c r="G265" t="s">
        <v>172</v>
      </c>
      <c r="H265" t="s">
        <v>12099</v>
      </c>
    </row>
    <row r="266" spans="1:10" x14ac:dyDescent="0.3">
      <c r="A266" t="s">
        <v>706</v>
      </c>
      <c r="B266" t="s">
        <v>24485</v>
      </c>
      <c r="C266" t="s">
        <v>20486</v>
      </c>
      <c r="D266" t="s">
        <v>22</v>
      </c>
      <c r="E266" t="s">
        <v>707</v>
      </c>
      <c r="F266">
        <v>68</v>
      </c>
      <c r="G266" t="s">
        <v>172</v>
      </c>
      <c r="H266" t="s">
        <v>12099</v>
      </c>
    </row>
    <row r="267" spans="1:10" x14ac:dyDescent="0.3">
      <c r="A267" t="s">
        <v>708</v>
      </c>
      <c r="B267" t="s">
        <v>24486</v>
      </c>
      <c r="C267" t="s">
        <v>20488</v>
      </c>
      <c r="D267" t="s">
        <v>22</v>
      </c>
      <c r="E267" t="s">
        <v>709</v>
      </c>
      <c r="F267">
        <v>50</v>
      </c>
      <c r="G267" t="s">
        <v>46</v>
      </c>
      <c r="H267" t="s">
        <v>46</v>
      </c>
      <c r="I267" t="s">
        <v>710</v>
      </c>
      <c r="J267" t="s">
        <v>12115</v>
      </c>
    </row>
    <row r="268" spans="1:10" x14ac:dyDescent="0.3">
      <c r="A268" t="s">
        <v>711</v>
      </c>
      <c r="B268" t="s">
        <v>24487</v>
      </c>
      <c r="C268" t="s">
        <v>20486</v>
      </c>
      <c r="D268" t="s">
        <v>22</v>
      </c>
      <c r="E268" t="s">
        <v>712</v>
      </c>
      <c r="F268">
        <v>52</v>
      </c>
      <c r="G268" t="s">
        <v>172</v>
      </c>
      <c r="H268" t="s">
        <v>12099</v>
      </c>
      <c r="I268" t="s">
        <v>421</v>
      </c>
      <c r="J268" t="s">
        <v>713</v>
      </c>
    </row>
    <row r="269" spans="1:10" x14ac:dyDescent="0.3">
      <c r="A269" t="s">
        <v>714</v>
      </c>
      <c r="B269" t="s">
        <v>24488</v>
      </c>
      <c r="C269" t="s">
        <v>20487</v>
      </c>
      <c r="D269" t="s">
        <v>11</v>
      </c>
      <c r="E269" t="s">
        <v>715</v>
      </c>
      <c r="F269">
        <v>51</v>
      </c>
      <c r="G269" t="s">
        <v>109</v>
      </c>
      <c r="H269" t="s">
        <v>46</v>
      </c>
      <c r="I269" t="s">
        <v>716</v>
      </c>
    </row>
    <row r="270" spans="1:10" x14ac:dyDescent="0.3">
      <c r="A270" t="s">
        <v>717</v>
      </c>
      <c r="B270" t="s">
        <v>24489</v>
      </c>
      <c r="C270" t="s">
        <v>20486</v>
      </c>
      <c r="D270" t="s">
        <v>11</v>
      </c>
      <c r="E270" t="s">
        <v>718</v>
      </c>
      <c r="F270">
        <v>53</v>
      </c>
      <c r="G270" t="s">
        <v>46</v>
      </c>
      <c r="H270" t="s">
        <v>46</v>
      </c>
    </row>
    <row r="271" spans="1:10" x14ac:dyDescent="0.3">
      <c r="A271" t="s">
        <v>719</v>
      </c>
      <c r="B271" t="s">
        <v>24490</v>
      </c>
      <c r="C271" t="s">
        <v>20488</v>
      </c>
      <c r="D271" t="s">
        <v>22</v>
      </c>
      <c r="E271" t="s">
        <v>720</v>
      </c>
      <c r="F271">
        <v>61</v>
      </c>
      <c r="G271" t="s">
        <v>16</v>
      </c>
      <c r="H271" t="s">
        <v>9785</v>
      </c>
      <c r="I271" t="s">
        <v>449</v>
      </c>
      <c r="J271" t="s">
        <v>721</v>
      </c>
    </row>
    <row r="272" spans="1:10" x14ac:dyDescent="0.3">
      <c r="A272" t="s">
        <v>722</v>
      </c>
      <c r="B272" t="s">
        <v>24491</v>
      </c>
      <c r="C272" t="s">
        <v>20486</v>
      </c>
      <c r="D272" t="s">
        <v>11</v>
      </c>
      <c r="E272" t="s">
        <v>723</v>
      </c>
      <c r="F272">
        <v>52</v>
      </c>
      <c r="G272" t="s">
        <v>109</v>
      </c>
      <c r="H272" t="s">
        <v>9788</v>
      </c>
    </row>
    <row r="273" spans="1:10" x14ac:dyDescent="0.3">
      <c r="A273" t="s">
        <v>726</v>
      </c>
      <c r="B273" t="s">
        <v>24492</v>
      </c>
      <c r="C273" t="s">
        <v>20486</v>
      </c>
      <c r="D273" t="s">
        <v>22</v>
      </c>
      <c r="E273" t="s">
        <v>727</v>
      </c>
      <c r="F273">
        <v>75</v>
      </c>
      <c r="G273" t="s">
        <v>31</v>
      </c>
      <c r="H273" t="s">
        <v>31</v>
      </c>
    </row>
    <row r="274" spans="1:10" x14ac:dyDescent="0.3">
      <c r="A274" t="s">
        <v>728</v>
      </c>
      <c r="B274" t="s">
        <v>24493</v>
      </c>
      <c r="C274" t="s">
        <v>20486</v>
      </c>
      <c r="D274" t="s">
        <v>22</v>
      </c>
      <c r="E274" t="s">
        <v>729</v>
      </c>
      <c r="F274">
        <v>54</v>
      </c>
      <c r="G274" t="s">
        <v>16</v>
      </c>
      <c r="H274" t="s">
        <v>9785</v>
      </c>
      <c r="I274" t="s">
        <v>17</v>
      </c>
      <c r="J274" t="s">
        <v>730</v>
      </c>
    </row>
    <row r="275" spans="1:10" x14ac:dyDescent="0.3">
      <c r="A275" t="s">
        <v>732</v>
      </c>
      <c r="B275" t="s">
        <v>24494</v>
      </c>
      <c r="C275" t="s">
        <v>20490</v>
      </c>
      <c r="D275" t="s">
        <v>22</v>
      </c>
      <c r="E275" t="s">
        <v>733</v>
      </c>
      <c r="F275">
        <v>43</v>
      </c>
      <c r="G275" t="s">
        <v>31</v>
      </c>
      <c r="H275" t="s">
        <v>31</v>
      </c>
    </row>
    <row r="276" spans="1:10" x14ac:dyDescent="0.3">
      <c r="A276" t="s">
        <v>734</v>
      </c>
      <c r="B276" t="s">
        <v>24495</v>
      </c>
      <c r="C276" t="s">
        <v>20486</v>
      </c>
      <c r="D276" t="s">
        <v>22</v>
      </c>
      <c r="E276" t="s">
        <v>735</v>
      </c>
      <c r="F276">
        <v>74</v>
      </c>
      <c r="G276" t="s">
        <v>31</v>
      </c>
      <c r="H276" t="s">
        <v>31</v>
      </c>
    </row>
    <row r="277" spans="1:10" x14ac:dyDescent="0.3">
      <c r="A277" t="s">
        <v>736</v>
      </c>
      <c r="B277" t="s">
        <v>24496</v>
      </c>
      <c r="C277" t="s">
        <v>20487</v>
      </c>
      <c r="D277" t="s">
        <v>22</v>
      </c>
      <c r="E277" t="s">
        <v>737</v>
      </c>
      <c r="F277">
        <v>65</v>
      </c>
      <c r="G277" t="s">
        <v>109</v>
      </c>
      <c r="H277" t="s">
        <v>9785</v>
      </c>
      <c r="I277" t="s">
        <v>449</v>
      </c>
      <c r="J277" t="s">
        <v>487</v>
      </c>
    </row>
    <row r="278" spans="1:10" x14ac:dyDescent="0.3">
      <c r="A278" t="s">
        <v>738</v>
      </c>
      <c r="B278" t="s">
        <v>24497</v>
      </c>
      <c r="C278" t="s">
        <v>20487</v>
      </c>
      <c r="D278" t="s">
        <v>22</v>
      </c>
      <c r="E278" t="s">
        <v>739</v>
      </c>
      <c r="F278">
        <v>83</v>
      </c>
      <c r="G278" t="s">
        <v>31</v>
      </c>
      <c r="H278" t="s">
        <v>31</v>
      </c>
    </row>
    <row r="279" spans="1:10" x14ac:dyDescent="0.3">
      <c r="A279" t="s">
        <v>741</v>
      </c>
      <c r="B279" t="s">
        <v>24498</v>
      </c>
      <c r="C279" t="s">
        <v>20486</v>
      </c>
      <c r="D279" t="s">
        <v>22</v>
      </c>
      <c r="E279" t="s">
        <v>742</v>
      </c>
      <c r="F279">
        <v>78</v>
      </c>
    </row>
    <row r="280" spans="1:10" x14ac:dyDescent="0.3">
      <c r="A280" t="s">
        <v>743</v>
      </c>
      <c r="B280" t="s">
        <v>24499</v>
      </c>
      <c r="C280" t="s">
        <v>20487</v>
      </c>
      <c r="D280" t="s">
        <v>11</v>
      </c>
      <c r="E280" t="s">
        <v>744</v>
      </c>
      <c r="F280">
        <v>68</v>
      </c>
      <c r="G280" t="s">
        <v>201</v>
      </c>
      <c r="H280" t="s">
        <v>46</v>
      </c>
    </row>
    <row r="281" spans="1:10" x14ac:dyDescent="0.3">
      <c r="A281" t="s">
        <v>745</v>
      </c>
      <c r="B281" t="s">
        <v>24500</v>
      </c>
      <c r="C281" t="s">
        <v>20490</v>
      </c>
      <c r="D281" t="s">
        <v>22</v>
      </c>
      <c r="E281" t="s">
        <v>746</v>
      </c>
      <c r="F281">
        <v>50</v>
      </c>
      <c r="G281" t="s">
        <v>370</v>
      </c>
      <c r="H281" t="s">
        <v>46</v>
      </c>
      <c r="J281" t="s">
        <v>747</v>
      </c>
    </row>
    <row r="282" spans="1:10" x14ac:dyDescent="0.3">
      <c r="A282" t="s">
        <v>749</v>
      </c>
      <c r="B282" t="s">
        <v>24501</v>
      </c>
      <c r="C282" t="s">
        <v>20486</v>
      </c>
      <c r="D282" t="s">
        <v>22</v>
      </c>
      <c r="E282" t="s">
        <v>750</v>
      </c>
      <c r="F282">
        <v>59</v>
      </c>
      <c r="G282" t="s">
        <v>31</v>
      </c>
      <c r="H282" t="s">
        <v>31</v>
      </c>
      <c r="J282" t="s">
        <v>33</v>
      </c>
    </row>
    <row r="283" spans="1:10" x14ac:dyDescent="0.3">
      <c r="A283" t="s">
        <v>754</v>
      </c>
      <c r="B283" t="s">
        <v>24502</v>
      </c>
      <c r="C283" t="s">
        <v>20486</v>
      </c>
      <c r="D283" t="s">
        <v>22</v>
      </c>
      <c r="E283" t="s">
        <v>755</v>
      </c>
      <c r="F283">
        <v>43</v>
      </c>
      <c r="G283" t="s">
        <v>109</v>
      </c>
      <c r="H283" t="s">
        <v>9788</v>
      </c>
      <c r="I283" t="s">
        <v>12116</v>
      </c>
      <c r="J283" t="s">
        <v>12117</v>
      </c>
    </row>
    <row r="284" spans="1:10" x14ac:dyDescent="0.3">
      <c r="A284" t="s">
        <v>756</v>
      </c>
      <c r="B284" t="s">
        <v>24503</v>
      </c>
      <c r="C284" t="s">
        <v>20487</v>
      </c>
      <c r="D284" t="s">
        <v>22</v>
      </c>
      <c r="E284" t="s">
        <v>757</v>
      </c>
      <c r="F284">
        <v>58</v>
      </c>
      <c r="G284" t="s">
        <v>46</v>
      </c>
      <c r="H284" t="s">
        <v>46</v>
      </c>
      <c r="J284" t="s">
        <v>758</v>
      </c>
    </row>
    <row r="285" spans="1:10" x14ac:dyDescent="0.3">
      <c r="A285" t="s">
        <v>759</v>
      </c>
      <c r="B285" t="s">
        <v>24504</v>
      </c>
      <c r="C285" t="s">
        <v>20490</v>
      </c>
      <c r="D285" t="s">
        <v>22</v>
      </c>
      <c r="E285" t="s">
        <v>760</v>
      </c>
      <c r="F285">
        <v>55</v>
      </c>
      <c r="G285" t="s">
        <v>109</v>
      </c>
      <c r="H285" t="s">
        <v>9788</v>
      </c>
    </row>
    <row r="286" spans="1:10" x14ac:dyDescent="0.3">
      <c r="A286" t="s">
        <v>761</v>
      </c>
      <c r="B286" t="s">
        <v>24505</v>
      </c>
      <c r="C286" t="s">
        <v>20486</v>
      </c>
      <c r="D286" t="s">
        <v>22</v>
      </c>
      <c r="E286" t="s">
        <v>762</v>
      </c>
      <c r="F286">
        <v>77</v>
      </c>
      <c r="G286" t="s">
        <v>13</v>
      </c>
      <c r="H286" t="s">
        <v>13</v>
      </c>
    </row>
    <row r="287" spans="1:10" x14ac:dyDescent="0.3">
      <c r="A287" t="s">
        <v>763</v>
      </c>
      <c r="B287" t="s">
        <v>24506</v>
      </c>
      <c r="C287" t="s">
        <v>20490</v>
      </c>
      <c r="D287" t="s">
        <v>11</v>
      </c>
      <c r="E287" t="s">
        <v>764</v>
      </c>
      <c r="F287">
        <v>98</v>
      </c>
      <c r="G287" t="s">
        <v>13</v>
      </c>
      <c r="H287" t="s">
        <v>13</v>
      </c>
      <c r="J287" t="s">
        <v>766</v>
      </c>
    </row>
    <row r="288" spans="1:10" x14ac:dyDescent="0.3">
      <c r="A288" t="s">
        <v>767</v>
      </c>
      <c r="B288" t="s">
        <v>24507</v>
      </c>
      <c r="C288" t="s">
        <v>20486</v>
      </c>
      <c r="D288" t="s">
        <v>22</v>
      </c>
      <c r="E288" t="s">
        <v>768</v>
      </c>
      <c r="F288">
        <v>58</v>
      </c>
      <c r="G288" t="s">
        <v>31</v>
      </c>
      <c r="H288" t="s">
        <v>31</v>
      </c>
    </row>
    <row r="289" spans="1:10" x14ac:dyDescent="0.3">
      <c r="A289" t="s">
        <v>769</v>
      </c>
      <c r="B289" t="s">
        <v>24508</v>
      </c>
      <c r="C289" t="s">
        <v>20488</v>
      </c>
      <c r="D289" t="s">
        <v>22</v>
      </c>
      <c r="E289" t="s">
        <v>770</v>
      </c>
      <c r="F289">
        <v>52</v>
      </c>
      <c r="G289" t="s">
        <v>16</v>
      </c>
      <c r="H289" t="s">
        <v>9785</v>
      </c>
      <c r="I289" t="s">
        <v>449</v>
      </c>
    </row>
    <row r="290" spans="1:10" x14ac:dyDescent="0.3">
      <c r="A290" t="s">
        <v>771</v>
      </c>
      <c r="B290" t="s">
        <v>24509</v>
      </c>
      <c r="C290" t="s">
        <v>20487</v>
      </c>
      <c r="D290" t="s">
        <v>11</v>
      </c>
      <c r="E290" t="s">
        <v>772</v>
      </c>
      <c r="F290">
        <v>62</v>
      </c>
      <c r="G290" t="s">
        <v>201</v>
      </c>
      <c r="H290" t="s">
        <v>46</v>
      </c>
      <c r="J290" t="s">
        <v>773</v>
      </c>
    </row>
    <row r="291" spans="1:10" x14ac:dyDescent="0.3">
      <c r="A291" t="s">
        <v>774</v>
      </c>
      <c r="B291" t="s">
        <v>24510</v>
      </c>
      <c r="C291" t="s">
        <v>20490</v>
      </c>
      <c r="D291" t="s">
        <v>22</v>
      </c>
      <c r="E291" t="s">
        <v>775</v>
      </c>
      <c r="F291">
        <v>42</v>
      </c>
      <c r="G291" t="s">
        <v>220</v>
      </c>
      <c r="H291" t="s">
        <v>46</v>
      </c>
      <c r="J291" t="s">
        <v>776</v>
      </c>
    </row>
    <row r="292" spans="1:10" x14ac:dyDescent="0.3">
      <c r="A292" t="s">
        <v>777</v>
      </c>
      <c r="B292" t="s">
        <v>24511</v>
      </c>
      <c r="C292" t="s">
        <v>20486</v>
      </c>
      <c r="D292" t="s">
        <v>11</v>
      </c>
      <c r="E292" t="s">
        <v>778</v>
      </c>
      <c r="F292">
        <v>44</v>
      </c>
      <c r="G292" t="s">
        <v>109</v>
      </c>
      <c r="H292" t="s">
        <v>9788</v>
      </c>
      <c r="I292" t="s">
        <v>779</v>
      </c>
      <c r="J292" t="s">
        <v>780</v>
      </c>
    </row>
    <row r="293" spans="1:10" x14ac:dyDescent="0.3">
      <c r="A293" t="s">
        <v>781</v>
      </c>
      <c r="B293" t="s">
        <v>24512</v>
      </c>
      <c r="C293" t="s">
        <v>20486</v>
      </c>
      <c r="D293" t="s">
        <v>22</v>
      </c>
      <c r="E293" t="s">
        <v>782</v>
      </c>
      <c r="F293">
        <v>57</v>
      </c>
      <c r="G293" t="s">
        <v>109</v>
      </c>
      <c r="H293" t="s">
        <v>9788</v>
      </c>
    </row>
    <row r="294" spans="1:10" x14ac:dyDescent="0.3">
      <c r="A294" t="s">
        <v>783</v>
      </c>
      <c r="B294" t="s">
        <v>24513</v>
      </c>
      <c r="C294" t="s">
        <v>20486</v>
      </c>
      <c r="D294" t="s">
        <v>22</v>
      </c>
      <c r="E294" t="s">
        <v>784</v>
      </c>
      <c r="F294">
        <v>28</v>
      </c>
      <c r="G294" t="s">
        <v>109</v>
      </c>
      <c r="H294" t="s">
        <v>9788</v>
      </c>
    </row>
    <row r="295" spans="1:10" x14ac:dyDescent="0.3">
      <c r="A295" t="s">
        <v>785</v>
      </c>
      <c r="B295" t="s">
        <v>24514</v>
      </c>
      <c r="C295" t="s">
        <v>20486</v>
      </c>
      <c r="D295" t="s">
        <v>11</v>
      </c>
      <c r="E295" t="s">
        <v>786</v>
      </c>
      <c r="F295">
        <v>29</v>
      </c>
    </row>
    <row r="296" spans="1:10" x14ac:dyDescent="0.3">
      <c r="A296" t="s">
        <v>787</v>
      </c>
      <c r="B296" t="s">
        <v>24515</v>
      </c>
      <c r="C296" t="s">
        <v>20486</v>
      </c>
      <c r="D296" t="s">
        <v>22</v>
      </c>
      <c r="E296" t="s">
        <v>788</v>
      </c>
      <c r="F296">
        <v>65</v>
      </c>
      <c r="G296" t="s">
        <v>31</v>
      </c>
      <c r="H296" t="s">
        <v>31</v>
      </c>
    </row>
    <row r="297" spans="1:10" x14ac:dyDescent="0.3">
      <c r="A297" t="s">
        <v>789</v>
      </c>
      <c r="B297" t="s">
        <v>24516</v>
      </c>
      <c r="C297" t="s">
        <v>20490</v>
      </c>
      <c r="D297" t="s">
        <v>11</v>
      </c>
      <c r="E297" t="s">
        <v>790</v>
      </c>
      <c r="F297">
        <v>59</v>
      </c>
      <c r="G297" t="s">
        <v>109</v>
      </c>
      <c r="H297" t="s">
        <v>9788</v>
      </c>
    </row>
    <row r="298" spans="1:10" x14ac:dyDescent="0.3">
      <c r="A298" t="s">
        <v>791</v>
      </c>
      <c r="B298" t="s">
        <v>24517</v>
      </c>
      <c r="C298" t="s">
        <v>20490</v>
      </c>
      <c r="D298" t="s">
        <v>22</v>
      </c>
      <c r="E298" t="s">
        <v>792</v>
      </c>
      <c r="F298">
        <v>57</v>
      </c>
      <c r="G298" t="s">
        <v>31</v>
      </c>
      <c r="H298" t="s">
        <v>31</v>
      </c>
    </row>
    <row r="299" spans="1:10" x14ac:dyDescent="0.3">
      <c r="A299" t="s">
        <v>793</v>
      </c>
      <c r="B299" t="s">
        <v>24518</v>
      </c>
      <c r="C299" t="s">
        <v>20488</v>
      </c>
      <c r="D299" t="s">
        <v>22</v>
      </c>
      <c r="E299" t="s">
        <v>794</v>
      </c>
      <c r="F299">
        <v>74</v>
      </c>
      <c r="G299" t="s">
        <v>31</v>
      </c>
      <c r="H299" t="s">
        <v>243</v>
      </c>
    </row>
    <row r="300" spans="1:10" x14ac:dyDescent="0.3">
      <c r="A300" t="s">
        <v>795</v>
      </c>
      <c r="B300" t="s">
        <v>24519</v>
      </c>
      <c r="C300" t="s">
        <v>20488</v>
      </c>
      <c r="D300" t="s">
        <v>22</v>
      </c>
      <c r="E300" t="s">
        <v>796</v>
      </c>
      <c r="F300">
        <v>58</v>
      </c>
      <c r="G300" t="s">
        <v>16</v>
      </c>
      <c r="H300" t="s">
        <v>9785</v>
      </c>
      <c r="I300" t="s">
        <v>449</v>
      </c>
    </row>
    <row r="301" spans="1:10" x14ac:dyDescent="0.3">
      <c r="A301" t="s">
        <v>797</v>
      </c>
      <c r="B301" t="s">
        <v>24520</v>
      </c>
      <c r="C301" t="s">
        <v>20488</v>
      </c>
      <c r="D301" t="s">
        <v>22</v>
      </c>
      <c r="E301" t="s">
        <v>798</v>
      </c>
      <c r="F301">
        <v>53</v>
      </c>
      <c r="G301" t="s">
        <v>16</v>
      </c>
      <c r="H301" t="s">
        <v>9785</v>
      </c>
      <c r="I301" t="s">
        <v>12728</v>
      </c>
      <c r="J301" t="s">
        <v>654</v>
      </c>
    </row>
    <row r="302" spans="1:10" x14ac:dyDescent="0.3">
      <c r="A302" t="s">
        <v>799</v>
      </c>
      <c r="B302" t="s">
        <v>24521</v>
      </c>
      <c r="C302" t="s">
        <v>20488</v>
      </c>
      <c r="D302" t="s">
        <v>22</v>
      </c>
      <c r="E302" t="s">
        <v>800</v>
      </c>
      <c r="F302">
        <v>51</v>
      </c>
      <c r="G302" t="s">
        <v>16</v>
      </c>
      <c r="H302" t="s">
        <v>9785</v>
      </c>
      <c r="I302" t="s">
        <v>449</v>
      </c>
      <c r="J302" t="s">
        <v>721</v>
      </c>
    </row>
    <row r="303" spans="1:10" x14ac:dyDescent="0.3">
      <c r="A303" t="s">
        <v>803</v>
      </c>
      <c r="B303" t="s">
        <v>24522</v>
      </c>
      <c r="C303" t="s">
        <v>20488</v>
      </c>
      <c r="D303" t="s">
        <v>22</v>
      </c>
      <c r="E303" t="s">
        <v>804</v>
      </c>
      <c r="F303">
        <v>56</v>
      </c>
      <c r="G303" t="s">
        <v>46</v>
      </c>
      <c r="H303" t="s">
        <v>46</v>
      </c>
    </row>
    <row r="304" spans="1:10" x14ac:dyDescent="0.3">
      <c r="A304" t="s">
        <v>805</v>
      </c>
      <c r="B304" t="s">
        <v>24523</v>
      </c>
      <c r="C304" t="s">
        <v>20488</v>
      </c>
      <c r="D304" t="s">
        <v>22</v>
      </c>
      <c r="E304" t="s">
        <v>806</v>
      </c>
      <c r="F304">
        <v>57</v>
      </c>
      <c r="G304" t="s">
        <v>16</v>
      </c>
      <c r="H304" t="s">
        <v>9785</v>
      </c>
      <c r="I304" t="s">
        <v>449</v>
      </c>
      <c r="J304" t="s">
        <v>807</v>
      </c>
    </row>
    <row r="305" spans="1:10" x14ac:dyDescent="0.3">
      <c r="A305" t="s">
        <v>808</v>
      </c>
      <c r="B305" t="s">
        <v>24524</v>
      </c>
      <c r="C305" t="s">
        <v>20488</v>
      </c>
      <c r="D305" t="s">
        <v>11</v>
      </c>
      <c r="E305" t="s">
        <v>809</v>
      </c>
      <c r="F305">
        <v>56</v>
      </c>
      <c r="G305" t="s">
        <v>16</v>
      </c>
      <c r="H305" t="s">
        <v>9785</v>
      </c>
      <c r="I305" t="s">
        <v>449</v>
      </c>
      <c r="J305" t="s">
        <v>810</v>
      </c>
    </row>
    <row r="306" spans="1:10" x14ac:dyDescent="0.3">
      <c r="A306" t="s">
        <v>811</v>
      </c>
      <c r="B306" t="s">
        <v>24525</v>
      </c>
      <c r="C306" t="s">
        <v>20490</v>
      </c>
      <c r="D306" t="s">
        <v>11</v>
      </c>
      <c r="E306" t="s">
        <v>812</v>
      </c>
      <c r="F306">
        <v>99</v>
      </c>
      <c r="G306" t="s">
        <v>198</v>
      </c>
      <c r="H306" t="s">
        <v>13</v>
      </c>
      <c r="J306" t="s">
        <v>766</v>
      </c>
    </row>
    <row r="307" spans="1:10" x14ac:dyDescent="0.3">
      <c r="A307" t="s">
        <v>813</v>
      </c>
      <c r="B307" t="s">
        <v>24526</v>
      </c>
      <c r="C307" t="s">
        <v>20490</v>
      </c>
      <c r="D307" t="s">
        <v>22</v>
      </c>
      <c r="E307" t="s">
        <v>814</v>
      </c>
      <c r="F307">
        <v>54</v>
      </c>
      <c r="G307" t="s">
        <v>16</v>
      </c>
      <c r="H307" t="s">
        <v>9785</v>
      </c>
      <c r="J307" t="s">
        <v>339</v>
      </c>
    </row>
    <row r="308" spans="1:10" x14ac:dyDescent="0.3">
      <c r="A308" t="s">
        <v>12118</v>
      </c>
      <c r="B308" t="s">
        <v>24527</v>
      </c>
      <c r="C308" t="s">
        <v>20486</v>
      </c>
      <c r="D308" t="s">
        <v>11</v>
      </c>
      <c r="E308" t="s">
        <v>9781</v>
      </c>
      <c r="F308">
        <v>21</v>
      </c>
      <c r="H308" t="s">
        <v>337</v>
      </c>
    </row>
    <row r="309" spans="1:10" x14ac:dyDescent="0.3">
      <c r="A309" t="s">
        <v>815</v>
      </c>
      <c r="B309" t="s">
        <v>24528</v>
      </c>
      <c r="C309" t="s">
        <v>20488</v>
      </c>
      <c r="D309" t="s">
        <v>22</v>
      </c>
      <c r="E309" t="s">
        <v>816</v>
      </c>
      <c r="F309">
        <v>60</v>
      </c>
      <c r="G309" t="s">
        <v>16</v>
      </c>
      <c r="H309" t="s">
        <v>9785</v>
      </c>
      <c r="I309" t="s">
        <v>449</v>
      </c>
      <c r="J309" t="s">
        <v>4746</v>
      </c>
    </row>
    <row r="310" spans="1:10" x14ac:dyDescent="0.3">
      <c r="A310" t="s">
        <v>818</v>
      </c>
      <c r="B310" t="s">
        <v>24529</v>
      </c>
      <c r="C310" t="s">
        <v>20490</v>
      </c>
      <c r="D310" t="s">
        <v>22</v>
      </c>
      <c r="E310" t="s">
        <v>819</v>
      </c>
      <c r="F310">
        <v>49</v>
      </c>
      <c r="G310" t="s">
        <v>109</v>
      </c>
      <c r="H310" t="s">
        <v>9788</v>
      </c>
      <c r="J310" t="s">
        <v>339</v>
      </c>
    </row>
    <row r="311" spans="1:10" x14ac:dyDescent="0.3">
      <c r="A311" t="s">
        <v>820</v>
      </c>
      <c r="B311" t="s">
        <v>24530</v>
      </c>
      <c r="C311" t="s">
        <v>20489</v>
      </c>
      <c r="D311" t="s">
        <v>11</v>
      </c>
      <c r="E311" t="s">
        <v>821</v>
      </c>
      <c r="F311">
        <v>37</v>
      </c>
      <c r="G311" t="s">
        <v>16</v>
      </c>
      <c r="H311" t="s">
        <v>9785</v>
      </c>
      <c r="I311" t="s">
        <v>17</v>
      </c>
      <c r="J311" t="s">
        <v>822</v>
      </c>
    </row>
    <row r="312" spans="1:10" x14ac:dyDescent="0.3">
      <c r="A312" t="s">
        <v>823</v>
      </c>
      <c r="B312" t="s">
        <v>24531</v>
      </c>
      <c r="C312" t="s">
        <v>20489</v>
      </c>
      <c r="D312" t="s">
        <v>11</v>
      </c>
      <c r="E312" t="s">
        <v>824</v>
      </c>
      <c r="F312">
        <v>33</v>
      </c>
      <c r="G312" t="s">
        <v>213</v>
      </c>
      <c r="H312" t="s">
        <v>12065</v>
      </c>
      <c r="I312" t="s">
        <v>110</v>
      </c>
      <c r="J312" t="s">
        <v>826</v>
      </c>
    </row>
    <row r="313" spans="1:10" x14ac:dyDescent="0.3">
      <c r="A313" t="s">
        <v>828</v>
      </c>
      <c r="B313" t="s">
        <v>24532</v>
      </c>
      <c r="C313" t="s">
        <v>20490</v>
      </c>
      <c r="D313" t="s">
        <v>22</v>
      </c>
      <c r="E313" t="s">
        <v>829</v>
      </c>
      <c r="F313">
        <v>57</v>
      </c>
      <c r="G313" t="s">
        <v>31</v>
      </c>
      <c r="H313" t="s">
        <v>31</v>
      </c>
    </row>
    <row r="314" spans="1:10" x14ac:dyDescent="0.3">
      <c r="A314" t="s">
        <v>830</v>
      </c>
      <c r="B314" t="s">
        <v>24533</v>
      </c>
      <c r="C314" t="s">
        <v>20487</v>
      </c>
      <c r="D314" t="s">
        <v>22</v>
      </c>
      <c r="E314" t="s">
        <v>831</v>
      </c>
      <c r="F314">
        <v>47</v>
      </c>
      <c r="G314" t="s">
        <v>109</v>
      </c>
      <c r="H314" t="s">
        <v>9788</v>
      </c>
      <c r="J314" t="s">
        <v>832</v>
      </c>
    </row>
    <row r="315" spans="1:10" x14ac:dyDescent="0.3">
      <c r="A315" t="s">
        <v>834</v>
      </c>
      <c r="B315" t="s">
        <v>24534</v>
      </c>
      <c r="C315" t="s">
        <v>20489</v>
      </c>
      <c r="D315" t="s">
        <v>22</v>
      </c>
      <c r="E315" t="s">
        <v>835</v>
      </c>
      <c r="F315">
        <v>72</v>
      </c>
      <c r="G315" t="s">
        <v>13</v>
      </c>
      <c r="H315" t="s">
        <v>13</v>
      </c>
      <c r="I315" t="s">
        <v>173</v>
      </c>
    </row>
    <row r="316" spans="1:10" x14ac:dyDescent="0.3">
      <c r="A316" t="s">
        <v>836</v>
      </c>
      <c r="B316" t="s">
        <v>24535</v>
      </c>
      <c r="C316" t="s">
        <v>20487</v>
      </c>
      <c r="D316" t="s">
        <v>22</v>
      </c>
      <c r="E316" t="s">
        <v>837</v>
      </c>
      <c r="F316">
        <v>56</v>
      </c>
      <c r="G316" t="s">
        <v>46</v>
      </c>
      <c r="H316" t="s">
        <v>46</v>
      </c>
      <c r="J316" t="s">
        <v>838</v>
      </c>
    </row>
    <row r="317" spans="1:10" x14ac:dyDescent="0.3">
      <c r="A317" t="s">
        <v>839</v>
      </c>
      <c r="B317" t="s">
        <v>24536</v>
      </c>
      <c r="C317" t="s">
        <v>20490</v>
      </c>
      <c r="D317" t="s">
        <v>11</v>
      </c>
      <c r="E317" t="s">
        <v>840</v>
      </c>
      <c r="F317">
        <v>59</v>
      </c>
      <c r="G317" t="s">
        <v>201</v>
      </c>
      <c r="H317" t="s">
        <v>46</v>
      </c>
    </row>
    <row r="318" spans="1:10" x14ac:dyDescent="0.3">
      <c r="A318" t="s">
        <v>841</v>
      </c>
      <c r="B318" t="s">
        <v>24537</v>
      </c>
      <c r="C318" t="s">
        <v>20486</v>
      </c>
      <c r="D318" t="s">
        <v>22</v>
      </c>
      <c r="E318" t="s">
        <v>842</v>
      </c>
      <c r="F318">
        <v>45</v>
      </c>
      <c r="G318" t="s">
        <v>172</v>
      </c>
      <c r="H318" t="s">
        <v>9785</v>
      </c>
      <c r="I318" t="s">
        <v>17</v>
      </c>
      <c r="J318" t="s">
        <v>843</v>
      </c>
    </row>
    <row r="319" spans="1:10" x14ac:dyDescent="0.3">
      <c r="A319" t="s">
        <v>844</v>
      </c>
      <c r="B319" t="s">
        <v>24538</v>
      </c>
      <c r="C319" t="s">
        <v>20486</v>
      </c>
      <c r="D319" t="s">
        <v>11</v>
      </c>
      <c r="E319" t="s">
        <v>500</v>
      </c>
      <c r="F319">
        <v>84</v>
      </c>
      <c r="G319" t="s">
        <v>243</v>
      </c>
      <c r="H319" t="s">
        <v>243</v>
      </c>
    </row>
    <row r="320" spans="1:10" x14ac:dyDescent="0.3">
      <c r="A320" t="s">
        <v>12119</v>
      </c>
      <c r="B320" t="s">
        <v>24539</v>
      </c>
      <c r="C320" t="s">
        <v>20486</v>
      </c>
      <c r="D320" t="s">
        <v>11</v>
      </c>
      <c r="E320" t="s">
        <v>9780</v>
      </c>
      <c r="F320">
        <v>24</v>
      </c>
      <c r="G320" t="s">
        <v>337</v>
      </c>
      <c r="H320" t="s">
        <v>337</v>
      </c>
    </row>
    <row r="321" spans="1:10" x14ac:dyDescent="0.3">
      <c r="A321" t="s">
        <v>845</v>
      </c>
      <c r="B321" t="s">
        <v>24540</v>
      </c>
      <c r="C321" t="s">
        <v>20488</v>
      </c>
      <c r="D321" t="s">
        <v>22</v>
      </c>
      <c r="E321" t="s">
        <v>846</v>
      </c>
      <c r="F321">
        <v>55</v>
      </c>
      <c r="G321" t="s">
        <v>16</v>
      </c>
      <c r="H321" t="s">
        <v>9785</v>
      </c>
      <c r="I321" t="s">
        <v>807</v>
      </c>
    </row>
    <row r="322" spans="1:10" x14ac:dyDescent="0.3">
      <c r="A322" t="s">
        <v>847</v>
      </c>
      <c r="B322" t="s">
        <v>24541</v>
      </c>
      <c r="C322" t="s">
        <v>20486</v>
      </c>
      <c r="D322" t="s">
        <v>22</v>
      </c>
      <c r="E322" t="s">
        <v>848</v>
      </c>
      <c r="F322">
        <v>58</v>
      </c>
      <c r="G322" t="s">
        <v>46</v>
      </c>
      <c r="H322" t="s">
        <v>46</v>
      </c>
      <c r="I322" t="s">
        <v>149</v>
      </c>
      <c r="J322" t="s">
        <v>149</v>
      </c>
    </row>
    <row r="323" spans="1:10" x14ac:dyDescent="0.3">
      <c r="A323" t="s">
        <v>12120</v>
      </c>
      <c r="B323" t="s">
        <v>24542</v>
      </c>
      <c r="C323" t="s">
        <v>20486</v>
      </c>
      <c r="D323" t="s">
        <v>22</v>
      </c>
      <c r="E323" t="s">
        <v>9779</v>
      </c>
      <c r="F323">
        <v>25</v>
      </c>
      <c r="G323" t="s">
        <v>337</v>
      </c>
      <c r="H323" t="s">
        <v>337</v>
      </c>
    </row>
    <row r="324" spans="1:10" x14ac:dyDescent="0.3">
      <c r="A324" t="s">
        <v>849</v>
      </c>
      <c r="B324" t="s">
        <v>24543</v>
      </c>
      <c r="C324" t="s">
        <v>20487</v>
      </c>
      <c r="D324" t="s">
        <v>22</v>
      </c>
      <c r="E324" t="s">
        <v>850</v>
      </c>
      <c r="F324">
        <v>57</v>
      </c>
      <c r="G324" t="s">
        <v>46</v>
      </c>
      <c r="H324" t="s">
        <v>46</v>
      </c>
      <c r="I324" t="s">
        <v>220</v>
      </c>
      <c r="J324" t="s">
        <v>851</v>
      </c>
    </row>
    <row r="325" spans="1:10" x14ac:dyDescent="0.3">
      <c r="A325" t="s">
        <v>852</v>
      </c>
      <c r="B325" t="s">
        <v>24544</v>
      </c>
      <c r="C325" t="s">
        <v>20488</v>
      </c>
      <c r="D325" t="s">
        <v>11</v>
      </c>
      <c r="E325" t="s">
        <v>853</v>
      </c>
      <c r="F325">
        <v>47</v>
      </c>
      <c r="G325" t="s">
        <v>16</v>
      </c>
      <c r="H325" t="s">
        <v>9785</v>
      </c>
      <c r="I325" t="s">
        <v>441</v>
      </c>
    </row>
    <row r="326" spans="1:10" x14ac:dyDescent="0.3">
      <c r="A326" t="s">
        <v>854</v>
      </c>
      <c r="B326" t="s">
        <v>24545</v>
      </c>
      <c r="C326" t="s">
        <v>20488</v>
      </c>
      <c r="D326" t="s">
        <v>11</v>
      </c>
      <c r="E326" t="s">
        <v>855</v>
      </c>
      <c r="F326">
        <v>57</v>
      </c>
      <c r="G326" t="s">
        <v>16</v>
      </c>
      <c r="H326" t="s">
        <v>9785</v>
      </c>
      <c r="I326" t="s">
        <v>441</v>
      </c>
      <c r="J326" t="s">
        <v>574</v>
      </c>
    </row>
    <row r="327" spans="1:10" x14ac:dyDescent="0.3">
      <c r="A327" t="s">
        <v>856</v>
      </c>
      <c r="B327" t="s">
        <v>24546</v>
      </c>
      <c r="C327" t="s">
        <v>20488</v>
      </c>
      <c r="D327" t="s">
        <v>22</v>
      </c>
      <c r="E327" t="s">
        <v>857</v>
      </c>
      <c r="F327">
        <v>63</v>
      </c>
      <c r="G327" t="s">
        <v>31</v>
      </c>
      <c r="H327" t="s">
        <v>31</v>
      </c>
      <c r="I327" t="s">
        <v>33</v>
      </c>
    </row>
    <row r="328" spans="1:10" x14ac:dyDescent="0.3">
      <c r="A328" t="s">
        <v>858</v>
      </c>
      <c r="B328" t="s">
        <v>24547</v>
      </c>
      <c r="C328" t="s">
        <v>20488</v>
      </c>
      <c r="D328" t="s">
        <v>11</v>
      </c>
      <c r="E328" t="s">
        <v>859</v>
      </c>
      <c r="F328">
        <v>61</v>
      </c>
      <c r="G328" t="s">
        <v>13</v>
      </c>
      <c r="H328" t="s">
        <v>13</v>
      </c>
    </row>
    <row r="329" spans="1:10" x14ac:dyDescent="0.3">
      <c r="A329" t="s">
        <v>860</v>
      </c>
      <c r="B329" t="s">
        <v>24548</v>
      </c>
      <c r="C329" t="s">
        <v>20488</v>
      </c>
      <c r="D329" t="s">
        <v>22</v>
      </c>
      <c r="E329" t="s">
        <v>861</v>
      </c>
      <c r="F329">
        <v>59</v>
      </c>
      <c r="G329" t="s">
        <v>31</v>
      </c>
      <c r="H329" t="s">
        <v>31</v>
      </c>
      <c r="I329" t="s">
        <v>33</v>
      </c>
    </row>
    <row r="330" spans="1:10" x14ac:dyDescent="0.3">
      <c r="A330" t="s">
        <v>863</v>
      </c>
      <c r="B330" t="s">
        <v>24549</v>
      </c>
      <c r="C330" t="s">
        <v>20488</v>
      </c>
      <c r="D330" t="s">
        <v>22</v>
      </c>
      <c r="E330" t="s">
        <v>864</v>
      </c>
      <c r="F330">
        <v>67</v>
      </c>
      <c r="G330" t="s">
        <v>31</v>
      </c>
      <c r="H330" t="s">
        <v>31</v>
      </c>
      <c r="I330" t="s">
        <v>33</v>
      </c>
    </row>
    <row r="331" spans="1:10" x14ac:dyDescent="0.3">
      <c r="A331" t="s">
        <v>865</v>
      </c>
      <c r="B331" t="s">
        <v>24550</v>
      </c>
      <c r="C331" t="s">
        <v>20488</v>
      </c>
      <c r="D331" t="s">
        <v>22</v>
      </c>
      <c r="E331" t="s">
        <v>866</v>
      </c>
      <c r="F331">
        <v>27</v>
      </c>
      <c r="G331" t="s">
        <v>88</v>
      </c>
      <c r="H331" t="s">
        <v>12065</v>
      </c>
      <c r="I331" t="s">
        <v>101</v>
      </c>
    </row>
    <row r="332" spans="1:10" x14ac:dyDescent="0.3">
      <c r="A332" t="s">
        <v>867</v>
      </c>
      <c r="B332" t="s">
        <v>24551</v>
      </c>
      <c r="C332" t="s">
        <v>20490</v>
      </c>
      <c r="D332" t="s">
        <v>22</v>
      </c>
      <c r="E332" t="s">
        <v>868</v>
      </c>
      <c r="F332">
        <v>59</v>
      </c>
      <c r="G332" t="s">
        <v>220</v>
      </c>
      <c r="H332" t="s">
        <v>46</v>
      </c>
    </row>
    <row r="333" spans="1:10" x14ac:dyDescent="0.3">
      <c r="A333" t="s">
        <v>869</v>
      </c>
      <c r="B333" t="s">
        <v>24552</v>
      </c>
      <c r="C333" t="s">
        <v>20487</v>
      </c>
      <c r="D333" t="s">
        <v>22</v>
      </c>
      <c r="E333" t="s">
        <v>564</v>
      </c>
      <c r="F333">
        <v>66</v>
      </c>
      <c r="G333" t="s">
        <v>173</v>
      </c>
      <c r="H333" t="s">
        <v>12099</v>
      </c>
    </row>
    <row r="334" spans="1:10" x14ac:dyDescent="0.3">
      <c r="A334" t="s">
        <v>870</v>
      </c>
      <c r="B334" t="s">
        <v>24553</v>
      </c>
      <c r="C334" t="s">
        <v>20486</v>
      </c>
      <c r="D334" t="s">
        <v>22</v>
      </c>
      <c r="E334" t="s">
        <v>871</v>
      </c>
      <c r="F334">
        <v>61</v>
      </c>
      <c r="G334" t="s">
        <v>243</v>
      </c>
      <c r="H334" t="s">
        <v>13</v>
      </c>
      <c r="I334" t="s">
        <v>3763</v>
      </c>
    </row>
    <row r="335" spans="1:10" x14ac:dyDescent="0.3">
      <c r="A335" t="s">
        <v>872</v>
      </c>
      <c r="B335" t="s">
        <v>24554</v>
      </c>
      <c r="C335" t="s">
        <v>20490</v>
      </c>
      <c r="D335" t="s">
        <v>22</v>
      </c>
      <c r="E335" t="s">
        <v>873</v>
      </c>
      <c r="F335">
        <v>62</v>
      </c>
      <c r="G335" t="s">
        <v>31</v>
      </c>
      <c r="H335" t="s">
        <v>31</v>
      </c>
    </row>
    <row r="336" spans="1:10" x14ac:dyDescent="0.3">
      <c r="A336" t="s">
        <v>874</v>
      </c>
      <c r="B336" t="s">
        <v>24555</v>
      </c>
      <c r="C336" t="s">
        <v>20490</v>
      </c>
      <c r="D336" t="s">
        <v>22</v>
      </c>
      <c r="E336" t="s">
        <v>875</v>
      </c>
      <c r="F336">
        <v>60</v>
      </c>
      <c r="G336" t="s">
        <v>201</v>
      </c>
      <c r="H336" t="s">
        <v>46</v>
      </c>
    </row>
    <row r="337" spans="1:10" x14ac:dyDescent="0.3">
      <c r="A337" t="s">
        <v>877</v>
      </c>
      <c r="B337" t="s">
        <v>24556</v>
      </c>
      <c r="C337" t="s">
        <v>20490</v>
      </c>
      <c r="D337" t="s">
        <v>22</v>
      </c>
      <c r="E337" t="s">
        <v>878</v>
      </c>
      <c r="F337">
        <v>62</v>
      </c>
      <c r="G337" t="s">
        <v>31</v>
      </c>
      <c r="H337" t="s">
        <v>31</v>
      </c>
    </row>
    <row r="338" spans="1:10" x14ac:dyDescent="0.3">
      <c r="A338" t="s">
        <v>879</v>
      </c>
      <c r="B338" t="s">
        <v>24557</v>
      </c>
      <c r="C338" t="s">
        <v>20490</v>
      </c>
      <c r="D338" t="s">
        <v>11</v>
      </c>
      <c r="E338" t="s">
        <v>880</v>
      </c>
      <c r="F338">
        <v>53</v>
      </c>
      <c r="G338" t="s">
        <v>109</v>
      </c>
      <c r="H338" t="s">
        <v>9788</v>
      </c>
    </row>
    <row r="339" spans="1:10" x14ac:dyDescent="0.3">
      <c r="A339" t="s">
        <v>881</v>
      </c>
      <c r="B339" t="s">
        <v>24558</v>
      </c>
      <c r="C339" t="s">
        <v>20486</v>
      </c>
      <c r="D339" t="s">
        <v>22</v>
      </c>
      <c r="E339" t="s">
        <v>882</v>
      </c>
      <c r="F339">
        <v>59</v>
      </c>
      <c r="G339" t="s">
        <v>109</v>
      </c>
      <c r="H339" t="s">
        <v>9788</v>
      </c>
      <c r="I339" t="s">
        <v>883</v>
      </c>
      <c r="J339" t="s">
        <v>166</v>
      </c>
    </row>
    <row r="340" spans="1:10" x14ac:dyDescent="0.3">
      <c r="A340" t="s">
        <v>884</v>
      </c>
      <c r="B340" t="s">
        <v>24559</v>
      </c>
      <c r="C340" t="s">
        <v>20486</v>
      </c>
      <c r="D340" t="s">
        <v>22</v>
      </c>
      <c r="E340" t="s">
        <v>885</v>
      </c>
      <c r="F340">
        <v>57</v>
      </c>
      <c r="G340" t="s">
        <v>46</v>
      </c>
      <c r="H340" t="s">
        <v>46</v>
      </c>
      <c r="I340" t="s">
        <v>139</v>
      </c>
      <c r="J340" t="s">
        <v>12121</v>
      </c>
    </row>
    <row r="341" spans="1:10" x14ac:dyDescent="0.3">
      <c r="A341" t="s">
        <v>887</v>
      </c>
      <c r="B341" t="s">
        <v>24560</v>
      </c>
      <c r="C341" t="s">
        <v>20486</v>
      </c>
      <c r="D341" t="s">
        <v>11</v>
      </c>
      <c r="E341" t="s">
        <v>888</v>
      </c>
      <c r="F341">
        <v>32</v>
      </c>
      <c r="G341" t="s">
        <v>109</v>
      </c>
      <c r="H341" t="s">
        <v>9788</v>
      </c>
    </row>
    <row r="342" spans="1:10" x14ac:dyDescent="0.3">
      <c r="A342" t="s">
        <v>889</v>
      </c>
      <c r="B342" t="s">
        <v>24561</v>
      </c>
      <c r="C342" t="s">
        <v>20486</v>
      </c>
      <c r="D342" t="s">
        <v>11</v>
      </c>
      <c r="E342" t="s">
        <v>890</v>
      </c>
      <c r="F342">
        <v>44</v>
      </c>
      <c r="G342" t="s">
        <v>109</v>
      </c>
      <c r="H342" t="s">
        <v>9788</v>
      </c>
      <c r="J342" t="s">
        <v>12122</v>
      </c>
    </row>
    <row r="343" spans="1:10" x14ac:dyDescent="0.3">
      <c r="A343" t="s">
        <v>891</v>
      </c>
      <c r="B343" t="s">
        <v>24562</v>
      </c>
      <c r="C343" t="s">
        <v>20486</v>
      </c>
      <c r="D343" t="s">
        <v>11</v>
      </c>
      <c r="E343" t="s">
        <v>892</v>
      </c>
      <c r="F343">
        <v>26</v>
      </c>
    </row>
    <row r="344" spans="1:10" x14ac:dyDescent="0.3">
      <c r="A344" t="s">
        <v>893</v>
      </c>
      <c r="B344" t="s">
        <v>24563</v>
      </c>
      <c r="C344" t="s">
        <v>20490</v>
      </c>
      <c r="D344" t="s">
        <v>22</v>
      </c>
      <c r="E344" t="s">
        <v>894</v>
      </c>
      <c r="F344">
        <v>51</v>
      </c>
      <c r="G344" t="s">
        <v>16</v>
      </c>
      <c r="H344" t="s">
        <v>9785</v>
      </c>
    </row>
    <row r="345" spans="1:10" x14ac:dyDescent="0.3">
      <c r="A345" t="s">
        <v>895</v>
      </c>
      <c r="B345" t="s">
        <v>24564</v>
      </c>
      <c r="C345" t="s">
        <v>20486</v>
      </c>
      <c r="D345" t="s">
        <v>22</v>
      </c>
      <c r="E345" t="s">
        <v>896</v>
      </c>
      <c r="F345">
        <v>63</v>
      </c>
      <c r="G345" t="s">
        <v>13</v>
      </c>
      <c r="H345" t="s">
        <v>13</v>
      </c>
      <c r="J345" t="s">
        <v>897</v>
      </c>
    </row>
    <row r="346" spans="1:10" x14ac:dyDescent="0.3">
      <c r="A346" t="s">
        <v>898</v>
      </c>
      <c r="B346" t="s">
        <v>24565</v>
      </c>
      <c r="C346" t="s">
        <v>20486</v>
      </c>
      <c r="D346" t="s">
        <v>22</v>
      </c>
      <c r="E346" t="s">
        <v>899</v>
      </c>
      <c r="F346">
        <v>58</v>
      </c>
      <c r="G346" t="s">
        <v>133</v>
      </c>
      <c r="H346" t="s">
        <v>9789</v>
      </c>
      <c r="I346" t="s">
        <v>900</v>
      </c>
      <c r="J346" t="s">
        <v>901</v>
      </c>
    </row>
    <row r="347" spans="1:10" x14ac:dyDescent="0.3">
      <c r="A347" t="s">
        <v>902</v>
      </c>
      <c r="B347" t="s">
        <v>24566</v>
      </c>
      <c r="C347" t="s">
        <v>20489</v>
      </c>
      <c r="D347" t="s">
        <v>22</v>
      </c>
      <c r="E347" t="s">
        <v>903</v>
      </c>
      <c r="F347">
        <v>49</v>
      </c>
      <c r="G347" t="s">
        <v>16</v>
      </c>
      <c r="H347" t="s">
        <v>9785</v>
      </c>
      <c r="I347" t="s">
        <v>17</v>
      </c>
      <c r="J347" t="s">
        <v>642</v>
      </c>
    </row>
    <row r="348" spans="1:10" x14ac:dyDescent="0.3">
      <c r="A348" t="s">
        <v>904</v>
      </c>
      <c r="B348" t="s">
        <v>24567</v>
      </c>
      <c r="C348" t="s">
        <v>20486</v>
      </c>
      <c r="D348" t="s">
        <v>11</v>
      </c>
      <c r="E348" t="s">
        <v>905</v>
      </c>
      <c r="F348">
        <v>52</v>
      </c>
      <c r="G348" t="s">
        <v>243</v>
      </c>
      <c r="H348" t="s">
        <v>243</v>
      </c>
    </row>
    <row r="349" spans="1:10" x14ac:dyDescent="0.3">
      <c r="A349" t="s">
        <v>906</v>
      </c>
      <c r="B349" t="s">
        <v>24568</v>
      </c>
      <c r="C349" t="s">
        <v>20487</v>
      </c>
      <c r="D349" t="s">
        <v>11</v>
      </c>
      <c r="E349" t="s">
        <v>907</v>
      </c>
      <c r="F349">
        <v>60</v>
      </c>
      <c r="G349" t="s">
        <v>46</v>
      </c>
      <c r="H349" t="s">
        <v>46</v>
      </c>
      <c r="I349" t="s">
        <v>74</v>
      </c>
      <c r="J349" t="s">
        <v>12123</v>
      </c>
    </row>
    <row r="350" spans="1:10" x14ac:dyDescent="0.3">
      <c r="A350" t="s">
        <v>12124</v>
      </c>
      <c r="B350" t="s">
        <v>24569</v>
      </c>
      <c r="C350" t="s">
        <v>20488</v>
      </c>
      <c r="D350" t="s">
        <v>22</v>
      </c>
      <c r="E350" t="s">
        <v>909</v>
      </c>
      <c r="F350">
        <v>56</v>
      </c>
      <c r="G350" t="s">
        <v>31</v>
      </c>
      <c r="H350" t="s">
        <v>31</v>
      </c>
    </row>
    <row r="351" spans="1:10" x14ac:dyDescent="0.3">
      <c r="A351" t="s">
        <v>12125</v>
      </c>
      <c r="B351" t="s">
        <v>24570</v>
      </c>
      <c r="C351" t="s">
        <v>20488</v>
      </c>
      <c r="D351" t="s">
        <v>11</v>
      </c>
      <c r="E351" t="s">
        <v>9447</v>
      </c>
      <c r="F351">
        <v>28</v>
      </c>
      <c r="G351" t="s">
        <v>109</v>
      </c>
      <c r="H351" t="s">
        <v>9788</v>
      </c>
    </row>
    <row r="352" spans="1:10" x14ac:dyDescent="0.3">
      <c r="A352" t="s">
        <v>910</v>
      </c>
      <c r="B352" t="s">
        <v>24571</v>
      </c>
      <c r="C352" t="s">
        <v>20486</v>
      </c>
      <c r="D352" t="s">
        <v>22</v>
      </c>
      <c r="E352" t="s">
        <v>911</v>
      </c>
      <c r="F352">
        <v>62</v>
      </c>
      <c r="G352" t="s">
        <v>31</v>
      </c>
      <c r="H352" t="s">
        <v>31</v>
      </c>
    </row>
    <row r="353" spans="1:10" x14ac:dyDescent="0.3">
      <c r="A353" t="s">
        <v>912</v>
      </c>
      <c r="B353" t="s">
        <v>24572</v>
      </c>
      <c r="C353" t="s">
        <v>20487</v>
      </c>
      <c r="D353" t="s">
        <v>11</v>
      </c>
      <c r="E353" t="s">
        <v>913</v>
      </c>
      <c r="F353">
        <v>62</v>
      </c>
      <c r="G353" t="s">
        <v>231</v>
      </c>
      <c r="H353" t="s">
        <v>9788</v>
      </c>
    </row>
    <row r="354" spans="1:10" x14ac:dyDescent="0.3">
      <c r="A354" t="s">
        <v>915</v>
      </c>
      <c r="B354" t="s">
        <v>24573</v>
      </c>
      <c r="C354" t="s">
        <v>20486</v>
      </c>
      <c r="D354" t="s">
        <v>11</v>
      </c>
      <c r="E354" t="s">
        <v>916</v>
      </c>
      <c r="F354">
        <v>35</v>
      </c>
      <c r="G354" t="s">
        <v>46</v>
      </c>
      <c r="H354" t="s">
        <v>46</v>
      </c>
      <c r="I354" t="s">
        <v>917</v>
      </c>
      <c r="J354" t="s">
        <v>918</v>
      </c>
    </row>
    <row r="355" spans="1:10" x14ac:dyDescent="0.3">
      <c r="A355" t="s">
        <v>919</v>
      </c>
      <c r="B355" t="s">
        <v>24574</v>
      </c>
      <c r="C355" t="s">
        <v>20487</v>
      </c>
      <c r="D355" t="s">
        <v>11</v>
      </c>
      <c r="E355" t="s">
        <v>920</v>
      </c>
      <c r="F355">
        <v>40</v>
      </c>
      <c r="G355" t="s">
        <v>231</v>
      </c>
      <c r="H355" t="s">
        <v>9788</v>
      </c>
    </row>
    <row r="356" spans="1:10" x14ac:dyDescent="0.3">
      <c r="A356" t="s">
        <v>921</v>
      </c>
      <c r="B356" t="s">
        <v>24575</v>
      </c>
      <c r="C356" t="s">
        <v>20490</v>
      </c>
      <c r="D356" t="s">
        <v>22</v>
      </c>
      <c r="E356" t="s">
        <v>922</v>
      </c>
      <c r="F356">
        <v>76</v>
      </c>
      <c r="G356" t="s">
        <v>31</v>
      </c>
      <c r="H356" t="s">
        <v>31</v>
      </c>
    </row>
    <row r="357" spans="1:10" x14ac:dyDescent="0.3">
      <c r="A357" t="s">
        <v>924</v>
      </c>
      <c r="B357" t="s">
        <v>24576</v>
      </c>
      <c r="C357" t="s">
        <v>20486</v>
      </c>
      <c r="D357" t="s">
        <v>11</v>
      </c>
      <c r="E357" t="s">
        <v>925</v>
      </c>
      <c r="F357">
        <v>59</v>
      </c>
      <c r="G357" t="s">
        <v>46</v>
      </c>
      <c r="H357" t="s">
        <v>46</v>
      </c>
      <c r="I357" t="s">
        <v>139</v>
      </c>
      <c r="J357" t="s">
        <v>926</v>
      </c>
    </row>
    <row r="358" spans="1:10" x14ac:dyDescent="0.3">
      <c r="A358" t="s">
        <v>927</v>
      </c>
      <c r="B358" t="s">
        <v>24577</v>
      </c>
      <c r="C358" t="s">
        <v>20487</v>
      </c>
      <c r="D358" t="s">
        <v>11</v>
      </c>
      <c r="E358" t="s">
        <v>928</v>
      </c>
      <c r="F358">
        <v>69</v>
      </c>
      <c r="G358" t="s">
        <v>109</v>
      </c>
      <c r="H358" t="s">
        <v>9788</v>
      </c>
      <c r="J358" t="s">
        <v>929</v>
      </c>
    </row>
    <row r="359" spans="1:10" x14ac:dyDescent="0.3">
      <c r="A359" t="s">
        <v>930</v>
      </c>
      <c r="B359" t="s">
        <v>24578</v>
      </c>
      <c r="C359" t="s">
        <v>20486</v>
      </c>
      <c r="D359" t="s">
        <v>11</v>
      </c>
      <c r="E359" t="s">
        <v>931</v>
      </c>
      <c r="F359">
        <v>41</v>
      </c>
      <c r="G359" t="s">
        <v>109</v>
      </c>
      <c r="H359" t="s">
        <v>9788</v>
      </c>
      <c r="I359" t="s">
        <v>224</v>
      </c>
      <c r="J359" t="s">
        <v>932</v>
      </c>
    </row>
    <row r="360" spans="1:10" x14ac:dyDescent="0.3">
      <c r="A360" t="s">
        <v>933</v>
      </c>
      <c r="B360" t="s">
        <v>24579</v>
      </c>
      <c r="C360" t="s">
        <v>20486</v>
      </c>
      <c r="D360" t="s">
        <v>22</v>
      </c>
      <c r="E360" t="s">
        <v>934</v>
      </c>
      <c r="F360">
        <v>33</v>
      </c>
      <c r="G360" t="s">
        <v>109</v>
      </c>
      <c r="H360" t="s">
        <v>9788</v>
      </c>
      <c r="I360" t="s">
        <v>935</v>
      </c>
      <c r="J360" t="s">
        <v>936</v>
      </c>
    </row>
    <row r="361" spans="1:10" x14ac:dyDescent="0.3">
      <c r="A361" t="s">
        <v>937</v>
      </c>
      <c r="B361" t="s">
        <v>24580</v>
      </c>
      <c r="C361" t="s">
        <v>20486</v>
      </c>
      <c r="D361" t="s">
        <v>11</v>
      </c>
      <c r="E361" t="s">
        <v>938</v>
      </c>
      <c r="F361">
        <v>31</v>
      </c>
      <c r="G361" t="s">
        <v>109</v>
      </c>
      <c r="H361" t="s">
        <v>9788</v>
      </c>
    </row>
    <row r="362" spans="1:10" x14ac:dyDescent="0.3">
      <c r="A362" t="s">
        <v>939</v>
      </c>
      <c r="B362" t="s">
        <v>24581</v>
      </c>
      <c r="C362" t="s">
        <v>20486</v>
      </c>
      <c r="D362" t="s">
        <v>11</v>
      </c>
      <c r="E362" t="s">
        <v>940</v>
      </c>
      <c r="F362">
        <v>53</v>
      </c>
      <c r="G362" t="s">
        <v>109</v>
      </c>
      <c r="H362" t="s">
        <v>9788</v>
      </c>
      <c r="I362" t="s">
        <v>228</v>
      </c>
      <c r="J362" t="s">
        <v>941</v>
      </c>
    </row>
    <row r="363" spans="1:10" x14ac:dyDescent="0.3">
      <c r="A363" t="s">
        <v>942</v>
      </c>
      <c r="B363" t="s">
        <v>24582</v>
      </c>
      <c r="C363" t="s">
        <v>20486</v>
      </c>
      <c r="D363" t="s">
        <v>22</v>
      </c>
      <c r="E363" t="s">
        <v>943</v>
      </c>
      <c r="F363">
        <v>42</v>
      </c>
      <c r="G363" t="s">
        <v>109</v>
      </c>
      <c r="H363" t="s">
        <v>9788</v>
      </c>
    </row>
    <row r="364" spans="1:10" x14ac:dyDescent="0.3">
      <c r="A364" t="s">
        <v>944</v>
      </c>
      <c r="B364" t="s">
        <v>24583</v>
      </c>
      <c r="C364" t="s">
        <v>20486</v>
      </c>
      <c r="D364" t="s">
        <v>22</v>
      </c>
      <c r="E364" t="s">
        <v>945</v>
      </c>
      <c r="F364">
        <v>52</v>
      </c>
      <c r="G364" t="s">
        <v>133</v>
      </c>
      <c r="H364" t="s">
        <v>9789</v>
      </c>
      <c r="I364" t="s">
        <v>360</v>
      </c>
      <c r="J364" t="s">
        <v>166</v>
      </c>
    </row>
    <row r="365" spans="1:10" x14ac:dyDescent="0.3">
      <c r="A365" t="s">
        <v>947</v>
      </c>
      <c r="B365" t="s">
        <v>24584</v>
      </c>
      <c r="C365" t="s">
        <v>20486</v>
      </c>
      <c r="D365" t="s">
        <v>11</v>
      </c>
      <c r="E365" t="s">
        <v>486</v>
      </c>
      <c r="F365">
        <v>63</v>
      </c>
      <c r="G365" t="s">
        <v>172</v>
      </c>
      <c r="H365" t="s">
        <v>12099</v>
      </c>
    </row>
    <row r="366" spans="1:10" x14ac:dyDescent="0.3">
      <c r="A366" t="s">
        <v>948</v>
      </c>
      <c r="B366" t="s">
        <v>24585</v>
      </c>
      <c r="C366" t="s">
        <v>20486</v>
      </c>
      <c r="D366" t="s">
        <v>11</v>
      </c>
      <c r="E366" t="s">
        <v>949</v>
      </c>
      <c r="F366">
        <v>54</v>
      </c>
      <c r="G366" t="s">
        <v>109</v>
      </c>
      <c r="H366" t="s">
        <v>9788</v>
      </c>
    </row>
    <row r="367" spans="1:10" x14ac:dyDescent="0.3">
      <c r="A367" t="s">
        <v>950</v>
      </c>
      <c r="B367" t="s">
        <v>24586</v>
      </c>
      <c r="C367" t="s">
        <v>20487</v>
      </c>
      <c r="D367" t="s">
        <v>11</v>
      </c>
      <c r="E367" t="s">
        <v>951</v>
      </c>
      <c r="F367">
        <v>55</v>
      </c>
      <c r="G367" t="s">
        <v>46</v>
      </c>
      <c r="H367" t="s">
        <v>46</v>
      </c>
      <c r="J367" t="s">
        <v>952</v>
      </c>
    </row>
    <row r="368" spans="1:10" x14ac:dyDescent="0.3">
      <c r="A368" t="s">
        <v>953</v>
      </c>
      <c r="B368" t="s">
        <v>24587</v>
      </c>
      <c r="C368" t="s">
        <v>20486</v>
      </c>
      <c r="D368" t="s">
        <v>11</v>
      </c>
      <c r="E368" t="s">
        <v>954</v>
      </c>
      <c r="F368">
        <v>46</v>
      </c>
      <c r="G368" t="s">
        <v>955</v>
      </c>
      <c r="H368" t="s">
        <v>9788</v>
      </c>
      <c r="I368" t="s">
        <v>956</v>
      </c>
      <c r="J368" t="s">
        <v>956</v>
      </c>
    </row>
    <row r="369" spans="1:10" x14ac:dyDescent="0.3">
      <c r="A369" t="s">
        <v>957</v>
      </c>
      <c r="B369" t="s">
        <v>24588</v>
      </c>
      <c r="C369" t="s">
        <v>20487</v>
      </c>
      <c r="D369" t="s">
        <v>11</v>
      </c>
      <c r="E369" t="s">
        <v>958</v>
      </c>
      <c r="F369">
        <v>70</v>
      </c>
      <c r="G369" t="s">
        <v>959</v>
      </c>
      <c r="H369" t="s">
        <v>9785</v>
      </c>
      <c r="J369" t="s">
        <v>960</v>
      </c>
    </row>
    <row r="370" spans="1:10" x14ac:dyDescent="0.3">
      <c r="A370" t="s">
        <v>961</v>
      </c>
      <c r="B370" t="s">
        <v>24589</v>
      </c>
      <c r="C370" t="s">
        <v>20487</v>
      </c>
      <c r="D370" t="s">
        <v>11</v>
      </c>
      <c r="E370" t="s">
        <v>962</v>
      </c>
      <c r="F370">
        <v>46</v>
      </c>
      <c r="G370" t="s">
        <v>231</v>
      </c>
      <c r="H370" t="s">
        <v>9788</v>
      </c>
      <c r="J370" t="s">
        <v>963</v>
      </c>
    </row>
    <row r="371" spans="1:10" x14ac:dyDescent="0.3">
      <c r="A371" t="s">
        <v>964</v>
      </c>
      <c r="B371" t="s">
        <v>24590</v>
      </c>
      <c r="C371" t="s">
        <v>20486</v>
      </c>
      <c r="D371" t="s">
        <v>11</v>
      </c>
      <c r="E371" t="s">
        <v>965</v>
      </c>
      <c r="F371">
        <v>54</v>
      </c>
      <c r="G371" t="s">
        <v>109</v>
      </c>
      <c r="H371" t="s">
        <v>9788</v>
      </c>
    </row>
    <row r="372" spans="1:10" x14ac:dyDescent="0.3">
      <c r="A372" t="s">
        <v>966</v>
      </c>
      <c r="B372" t="s">
        <v>24591</v>
      </c>
      <c r="C372" t="s">
        <v>20486</v>
      </c>
      <c r="D372" t="s">
        <v>11</v>
      </c>
      <c r="E372" t="s">
        <v>967</v>
      </c>
      <c r="F372">
        <v>47</v>
      </c>
      <c r="G372" t="s">
        <v>109</v>
      </c>
      <c r="H372" t="s">
        <v>9788</v>
      </c>
      <c r="I372" t="s">
        <v>968</v>
      </c>
      <c r="J372" t="s">
        <v>12126</v>
      </c>
    </row>
    <row r="373" spans="1:10" x14ac:dyDescent="0.3">
      <c r="A373" t="s">
        <v>969</v>
      </c>
      <c r="B373" t="s">
        <v>24592</v>
      </c>
      <c r="C373" t="s">
        <v>20486</v>
      </c>
      <c r="D373" t="s">
        <v>11</v>
      </c>
      <c r="E373" t="s">
        <v>970</v>
      </c>
      <c r="F373">
        <v>51</v>
      </c>
      <c r="G373" t="s">
        <v>109</v>
      </c>
      <c r="H373" t="s">
        <v>9788</v>
      </c>
      <c r="I373" t="s">
        <v>971</v>
      </c>
      <c r="J373" t="s">
        <v>972</v>
      </c>
    </row>
    <row r="374" spans="1:10" x14ac:dyDescent="0.3">
      <c r="A374" t="s">
        <v>973</v>
      </c>
      <c r="B374" t="s">
        <v>24593</v>
      </c>
      <c r="C374" t="s">
        <v>20490</v>
      </c>
      <c r="D374" t="s">
        <v>11</v>
      </c>
      <c r="E374" t="s">
        <v>974</v>
      </c>
      <c r="F374">
        <v>42</v>
      </c>
      <c r="G374" t="s">
        <v>441</v>
      </c>
      <c r="H374" t="s">
        <v>9785</v>
      </c>
      <c r="J374" t="s">
        <v>975</v>
      </c>
    </row>
    <row r="375" spans="1:10" x14ac:dyDescent="0.3">
      <c r="A375" t="s">
        <v>976</v>
      </c>
      <c r="B375" t="s">
        <v>24594</v>
      </c>
      <c r="C375" t="s">
        <v>20486</v>
      </c>
      <c r="D375" t="s">
        <v>22</v>
      </c>
      <c r="E375" t="s">
        <v>977</v>
      </c>
      <c r="F375">
        <v>46</v>
      </c>
      <c r="G375" t="s">
        <v>109</v>
      </c>
      <c r="H375" t="s">
        <v>9788</v>
      </c>
    </row>
    <row r="376" spans="1:10" x14ac:dyDescent="0.3">
      <c r="A376" t="s">
        <v>978</v>
      </c>
      <c r="B376" t="s">
        <v>24595</v>
      </c>
      <c r="C376" t="s">
        <v>20486</v>
      </c>
      <c r="D376" t="s">
        <v>11</v>
      </c>
      <c r="E376" t="s">
        <v>979</v>
      </c>
      <c r="F376">
        <v>50</v>
      </c>
      <c r="G376" t="s">
        <v>109</v>
      </c>
      <c r="H376" t="s">
        <v>9788</v>
      </c>
      <c r="I376" t="s">
        <v>980</v>
      </c>
    </row>
    <row r="377" spans="1:10" x14ac:dyDescent="0.3">
      <c r="A377" t="s">
        <v>981</v>
      </c>
      <c r="B377" t="s">
        <v>24596</v>
      </c>
      <c r="C377" t="s">
        <v>20487</v>
      </c>
      <c r="D377" t="s">
        <v>11</v>
      </c>
      <c r="E377" t="s">
        <v>982</v>
      </c>
      <c r="F377">
        <v>69</v>
      </c>
      <c r="G377" t="s">
        <v>13</v>
      </c>
      <c r="H377" t="s">
        <v>13</v>
      </c>
      <c r="I377" t="s">
        <v>4133</v>
      </c>
      <c r="J377" t="s">
        <v>12127</v>
      </c>
    </row>
    <row r="378" spans="1:10" x14ac:dyDescent="0.3">
      <c r="A378" t="s">
        <v>984</v>
      </c>
      <c r="B378" t="s">
        <v>24597</v>
      </c>
      <c r="C378" t="s">
        <v>20486</v>
      </c>
      <c r="D378" t="s">
        <v>11</v>
      </c>
      <c r="E378" t="s">
        <v>985</v>
      </c>
      <c r="F378">
        <v>44</v>
      </c>
      <c r="G378" t="s">
        <v>172</v>
      </c>
      <c r="H378" t="s">
        <v>12099</v>
      </c>
      <c r="I378" t="s">
        <v>17</v>
      </c>
      <c r="J378" t="s">
        <v>986</v>
      </c>
    </row>
    <row r="379" spans="1:10" x14ac:dyDescent="0.3">
      <c r="A379" t="s">
        <v>987</v>
      </c>
      <c r="B379" t="s">
        <v>24598</v>
      </c>
      <c r="C379" t="s">
        <v>20486</v>
      </c>
      <c r="D379" t="s">
        <v>22</v>
      </c>
      <c r="E379" t="s">
        <v>988</v>
      </c>
      <c r="F379">
        <v>53</v>
      </c>
      <c r="G379" t="s">
        <v>31</v>
      </c>
      <c r="H379" t="s">
        <v>31</v>
      </c>
    </row>
    <row r="380" spans="1:10" x14ac:dyDescent="0.3">
      <c r="A380" t="s">
        <v>989</v>
      </c>
      <c r="B380" t="s">
        <v>24599</v>
      </c>
      <c r="C380" t="s">
        <v>20490</v>
      </c>
      <c r="D380" t="s">
        <v>11</v>
      </c>
      <c r="E380" t="s">
        <v>990</v>
      </c>
      <c r="F380">
        <v>47</v>
      </c>
      <c r="G380" t="s">
        <v>201</v>
      </c>
      <c r="H380" t="s">
        <v>46</v>
      </c>
    </row>
    <row r="381" spans="1:10" x14ac:dyDescent="0.3">
      <c r="A381" t="s">
        <v>991</v>
      </c>
      <c r="B381" t="s">
        <v>24600</v>
      </c>
      <c r="C381" t="s">
        <v>20490</v>
      </c>
      <c r="D381" t="s">
        <v>22</v>
      </c>
      <c r="E381" t="s">
        <v>992</v>
      </c>
      <c r="F381">
        <v>77</v>
      </c>
      <c r="G381" t="s">
        <v>31</v>
      </c>
      <c r="H381" t="s">
        <v>31</v>
      </c>
    </row>
    <row r="382" spans="1:10" x14ac:dyDescent="0.3">
      <c r="A382" t="s">
        <v>993</v>
      </c>
      <c r="B382" t="s">
        <v>24601</v>
      </c>
      <c r="C382" t="s">
        <v>20490</v>
      </c>
      <c r="D382" t="s">
        <v>11</v>
      </c>
      <c r="E382" t="s">
        <v>994</v>
      </c>
      <c r="F382">
        <v>52</v>
      </c>
      <c r="G382" t="s">
        <v>172</v>
      </c>
      <c r="H382" t="s">
        <v>12099</v>
      </c>
      <c r="J382" t="s">
        <v>766</v>
      </c>
    </row>
    <row r="383" spans="1:10" x14ac:dyDescent="0.3">
      <c r="A383" t="s">
        <v>995</v>
      </c>
      <c r="B383" t="s">
        <v>24602</v>
      </c>
      <c r="C383" t="s">
        <v>20486</v>
      </c>
      <c r="D383" t="s">
        <v>11</v>
      </c>
      <c r="E383" t="s">
        <v>996</v>
      </c>
      <c r="F383">
        <v>75</v>
      </c>
      <c r="G383" t="s">
        <v>172</v>
      </c>
      <c r="H383" t="s">
        <v>12099</v>
      </c>
      <c r="J383" t="s">
        <v>997</v>
      </c>
    </row>
    <row r="384" spans="1:10" x14ac:dyDescent="0.3">
      <c r="A384" t="s">
        <v>998</v>
      </c>
      <c r="B384" t="s">
        <v>24603</v>
      </c>
      <c r="C384" t="s">
        <v>20486</v>
      </c>
      <c r="D384" t="s">
        <v>22</v>
      </c>
      <c r="E384" t="s">
        <v>999</v>
      </c>
      <c r="F384">
        <v>57</v>
      </c>
      <c r="G384" t="s">
        <v>16</v>
      </c>
      <c r="H384" t="s">
        <v>9785</v>
      </c>
      <c r="I384" t="s">
        <v>17</v>
      </c>
      <c r="J384" t="s">
        <v>1000</v>
      </c>
    </row>
    <row r="385" spans="1:10" x14ac:dyDescent="0.3">
      <c r="A385" t="s">
        <v>1001</v>
      </c>
      <c r="B385" t="s">
        <v>24604</v>
      </c>
      <c r="C385" t="s">
        <v>20486</v>
      </c>
      <c r="D385" t="s">
        <v>22</v>
      </c>
      <c r="E385" t="s">
        <v>1002</v>
      </c>
      <c r="F385">
        <v>64</v>
      </c>
      <c r="G385" t="s">
        <v>172</v>
      </c>
      <c r="H385" t="s">
        <v>12099</v>
      </c>
      <c r="I385" t="s">
        <v>17</v>
      </c>
      <c r="J385" t="s">
        <v>1003</v>
      </c>
    </row>
    <row r="386" spans="1:10" x14ac:dyDescent="0.3">
      <c r="A386" t="s">
        <v>12128</v>
      </c>
      <c r="B386" t="s">
        <v>24605</v>
      </c>
      <c r="C386" t="s">
        <v>20486</v>
      </c>
      <c r="D386" t="s">
        <v>22</v>
      </c>
      <c r="E386" t="s">
        <v>9778</v>
      </c>
      <c r="F386">
        <v>21</v>
      </c>
      <c r="H386" t="s">
        <v>337</v>
      </c>
      <c r="J386" t="s">
        <v>7568</v>
      </c>
    </row>
    <row r="387" spans="1:10" x14ac:dyDescent="0.3">
      <c r="A387" t="s">
        <v>1004</v>
      </c>
      <c r="B387" t="s">
        <v>24606</v>
      </c>
      <c r="C387" t="s">
        <v>20486</v>
      </c>
      <c r="D387" t="s">
        <v>22</v>
      </c>
      <c r="E387" t="s">
        <v>1005</v>
      </c>
      <c r="F387">
        <v>50</v>
      </c>
      <c r="G387" t="s">
        <v>172</v>
      </c>
      <c r="H387" t="s">
        <v>12099</v>
      </c>
      <c r="I387" t="s">
        <v>421</v>
      </c>
      <c r="J387" t="s">
        <v>1006</v>
      </c>
    </row>
    <row r="388" spans="1:10" x14ac:dyDescent="0.3">
      <c r="A388" t="s">
        <v>1007</v>
      </c>
      <c r="B388" t="s">
        <v>24607</v>
      </c>
      <c r="C388" t="s">
        <v>20486</v>
      </c>
      <c r="D388" t="s">
        <v>22</v>
      </c>
      <c r="E388" t="s">
        <v>1008</v>
      </c>
      <c r="F388">
        <v>55</v>
      </c>
      <c r="G388" t="s">
        <v>16</v>
      </c>
      <c r="H388" t="s">
        <v>9785</v>
      </c>
      <c r="I388" t="s">
        <v>17</v>
      </c>
    </row>
    <row r="389" spans="1:10" x14ac:dyDescent="0.3">
      <c r="A389" t="s">
        <v>1009</v>
      </c>
      <c r="B389" t="s">
        <v>24608</v>
      </c>
      <c r="C389" t="s">
        <v>20488</v>
      </c>
      <c r="D389" t="s">
        <v>11</v>
      </c>
      <c r="E389" t="s">
        <v>1010</v>
      </c>
      <c r="F389">
        <v>49</v>
      </c>
      <c r="G389" t="s">
        <v>109</v>
      </c>
      <c r="H389" t="s">
        <v>9788</v>
      </c>
      <c r="I389" t="s">
        <v>1011</v>
      </c>
      <c r="J389" t="s">
        <v>1012</v>
      </c>
    </row>
    <row r="390" spans="1:10" x14ac:dyDescent="0.3">
      <c r="A390" t="s">
        <v>1013</v>
      </c>
      <c r="B390" t="s">
        <v>24609</v>
      </c>
      <c r="C390" t="s">
        <v>20487</v>
      </c>
      <c r="D390" t="s">
        <v>11</v>
      </c>
      <c r="E390" t="s">
        <v>1014</v>
      </c>
      <c r="F390">
        <v>58</v>
      </c>
      <c r="G390" t="s">
        <v>231</v>
      </c>
      <c r="H390" t="s">
        <v>9788</v>
      </c>
    </row>
    <row r="391" spans="1:10" x14ac:dyDescent="0.3">
      <c r="A391" t="s">
        <v>1015</v>
      </c>
      <c r="B391" t="s">
        <v>24610</v>
      </c>
      <c r="C391" t="s">
        <v>20490</v>
      </c>
      <c r="D391" t="s">
        <v>22</v>
      </c>
      <c r="E391" t="s">
        <v>876</v>
      </c>
      <c r="F391">
        <v>56</v>
      </c>
      <c r="G391" t="s">
        <v>31</v>
      </c>
      <c r="H391" t="s">
        <v>31</v>
      </c>
    </row>
    <row r="392" spans="1:10" x14ac:dyDescent="0.3">
      <c r="A392" t="s">
        <v>1016</v>
      </c>
      <c r="B392" t="s">
        <v>24611</v>
      </c>
      <c r="C392" t="s">
        <v>20486</v>
      </c>
      <c r="D392" t="s">
        <v>11</v>
      </c>
      <c r="E392" t="s">
        <v>1017</v>
      </c>
      <c r="F392">
        <v>54</v>
      </c>
      <c r="G392" t="s">
        <v>46</v>
      </c>
      <c r="H392" t="s">
        <v>46</v>
      </c>
      <c r="I392" t="s">
        <v>1018</v>
      </c>
      <c r="J392" t="s">
        <v>1019</v>
      </c>
    </row>
    <row r="393" spans="1:10" x14ac:dyDescent="0.3">
      <c r="A393" t="s">
        <v>1020</v>
      </c>
      <c r="B393" t="s">
        <v>24612</v>
      </c>
      <c r="C393" t="s">
        <v>20486</v>
      </c>
      <c r="D393" t="s">
        <v>11</v>
      </c>
      <c r="E393" t="s">
        <v>1021</v>
      </c>
      <c r="F393">
        <v>40</v>
      </c>
      <c r="G393" t="s">
        <v>109</v>
      </c>
      <c r="H393" t="s">
        <v>9788</v>
      </c>
    </row>
    <row r="394" spans="1:10" x14ac:dyDescent="0.3">
      <c r="A394" t="s">
        <v>1022</v>
      </c>
      <c r="B394" t="s">
        <v>24613</v>
      </c>
      <c r="C394" t="s">
        <v>20490</v>
      </c>
      <c r="D394" t="s">
        <v>22</v>
      </c>
      <c r="E394" t="s">
        <v>1023</v>
      </c>
      <c r="F394">
        <v>63</v>
      </c>
      <c r="G394" t="s">
        <v>201</v>
      </c>
      <c r="H394" t="s">
        <v>46</v>
      </c>
    </row>
    <row r="395" spans="1:10" x14ac:dyDescent="0.3">
      <c r="A395" t="s">
        <v>1024</v>
      </c>
      <c r="B395" t="s">
        <v>24614</v>
      </c>
      <c r="C395" t="s">
        <v>20490</v>
      </c>
      <c r="D395" t="s">
        <v>11</v>
      </c>
      <c r="E395" t="s">
        <v>1025</v>
      </c>
      <c r="F395">
        <v>66</v>
      </c>
      <c r="G395" t="s">
        <v>201</v>
      </c>
      <c r="H395" t="s">
        <v>46</v>
      </c>
    </row>
    <row r="396" spans="1:10" x14ac:dyDescent="0.3">
      <c r="A396" t="s">
        <v>1026</v>
      </c>
      <c r="B396" t="s">
        <v>24615</v>
      </c>
      <c r="C396" t="s">
        <v>20486</v>
      </c>
      <c r="D396" t="s">
        <v>22</v>
      </c>
      <c r="E396" t="s">
        <v>1027</v>
      </c>
      <c r="F396">
        <v>47</v>
      </c>
      <c r="G396" t="s">
        <v>133</v>
      </c>
      <c r="H396" t="s">
        <v>9789</v>
      </c>
      <c r="I396" t="s">
        <v>1028</v>
      </c>
      <c r="J396" t="s">
        <v>1029</v>
      </c>
    </row>
    <row r="397" spans="1:10" x14ac:dyDescent="0.3">
      <c r="A397" t="s">
        <v>1030</v>
      </c>
      <c r="B397" t="s">
        <v>24616</v>
      </c>
      <c r="C397" t="s">
        <v>20486</v>
      </c>
      <c r="D397" t="s">
        <v>11</v>
      </c>
      <c r="E397" t="s">
        <v>1031</v>
      </c>
      <c r="F397">
        <v>23</v>
      </c>
      <c r="H397" t="s">
        <v>337</v>
      </c>
      <c r="J397" t="s">
        <v>54</v>
      </c>
    </row>
    <row r="398" spans="1:10" x14ac:dyDescent="0.3">
      <c r="A398" t="s">
        <v>1032</v>
      </c>
      <c r="B398" t="s">
        <v>24617</v>
      </c>
      <c r="C398" t="s">
        <v>20487</v>
      </c>
      <c r="D398" t="s">
        <v>11</v>
      </c>
      <c r="E398" t="s">
        <v>1033</v>
      </c>
      <c r="F398">
        <v>52</v>
      </c>
      <c r="G398" t="s">
        <v>46</v>
      </c>
      <c r="H398" t="s">
        <v>46</v>
      </c>
      <c r="J398" t="s">
        <v>1034</v>
      </c>
    </row>
    <row r="399" spans="1:10" x14ac:dyDescent="0.3">
      <c r="A399" t="s">
        <v>1035</v>
      </c>
      <c r="B399" t="s">
        <v>24618</v>
      </c>
      <c r="C399" t="s">
        <v>20486</v>
      </c>
      <c r="D399" t="s">
        <v>22</v>
      </c>
      <c r="E399" t="s">
        <v>1036</v>
      </c>
      <c r="F399">
        <v>56</v>
      </c>
      <c r="G399" t="s">
        <v>109</v>
      </c>
      <c r="H399" t="s">
        <v>9788</v>
      </c>
      <c r="I399" t="s">
        <v>1037</v>
      </c>
      <c r="J399" t="s">
        <v>1038</v>
      </c>
    </row>
    <row r="400" spans="1:10" x14ac:dyDescent="0.3">
      <c r="A400" t="s">
        <v>1039</v>
      </c>
      <c r="B400" t="s">
        <v>24619</v>
      </c>
      <c r="C400" t="s">
        <v>20486</v>
      </c>
      <c r="D400" t="s">
        <v>22</v>
      </c>
      <c r="E400" t="s">
        <v>1040</v>
      </c>
      <c r="F400">
        <v>43</v>
      </c>
      <c r="G400" t="s">
        <v>109</v>
      </c>
      <c r="H400" t="s">
        <v>9788</v>
      </c>
      <c r="I400" t="s">
        <v>224</v>
      </c>
      <c r="J400" t="s">
        <v>225</v>
      </c>
    </row>
    <row r="401" spans="1:10" x14ac:dyDescent="0.3">
      <c r="A401" t="s">
        <v>1041</v>
      </c>
      <c r="B401" t="s">
        <v>24620</v>
      </c>
      <c r="C401" t="s">
        <v>20486</v>
      </c>
      <c r="D401" t="s">
        <v>22</v>
      </c>
      <c r="E401" t="s">
        <v>1042</v>
      </c>
      <c r="F401">
        <v>63</v>
      </c>
    </row>
    <row r="402" spans="1:10" x14ac:dyDescent="0.3">
      <c r="A402" t="s">
        <v>12129</v>
      </c>
      <c r="B402" t="s">
        <v>24621</v>
      </c>
      <c r="C402" t="s">
        <v>20488</v>
      </c>
      <c r="D402" t="s">
        <v>11</v>
      </c>
      <c r="E402" t="s">
        <v>9777</v>
      </c>
      <c r="F402">
        <v>32</v>
      </c>
      <c r="G402" t="s">
        <v>109</v>
      </c>
      <c r="H402" t="s">
        <v>9788</v>
      </c>
    </row>
    <row r="403" spans="1:10" x14ac:dyDescent="0.3">
      <c r="A403" t="s">
        <v>1043</v>
      </c>
      <c r="B403" t="s">
        <v>24622</v>
      </c>
      <c r="C403" t="s">
        <v>20487</v>
      </c>
      <c r="D403" t="s">
        <v>22</v>
      </c>
      <c r="E403" t="s">
        <v>1044</v>
      </c>
      <c r="F403">
        <v>59</v>
      </c>
      <c r="G403" t="s">
        <v>201</v>
      </c>
      <c r="H403" t="s">
        <v>46</v>
      </c>
    </row>
    <row r="404" spans="1:10" x14ac:dyDescent="0.3">
      <c r="A404" t="s">
        <v>1045</v>
      </c>
      <c r="B404" t="s">
        <v>24623</v>
      </c>
      <c r="C404" t="s">
        <v>20486</v>
      </c>
      <c r="D404" t="s">
        <v>22</v>
      </c>
      <c r="E404" t="s">
        <v>1046</v>
      </c>
      <c r="F404">
        <v>71</v>
      </c>
    </row>
    <row r="405" spans="1:10" x14ac:dyDescent="0.3">
      <c r="A405" t="s">
        <v>1048</v>
      </c>
      <c r="B405" t="s">
        <v>24624</v>
      </c>
      <c r="C405" t="s">
        <v>20486</v>
      </c>
      <c r="D405" t="s">
        <v>22</v>
      </c>
      <c r="E405" t="s">
        <v>1049</v>
      </c>
      <c r="F405">
        <v>73</v>
      </c>
      <c r="G405" t="s">
        <v>31</v>
      </c>
      <c r="H405" t="s">
        <v>31</v>
      </c>
    </row>
    <row r="406" spans="1:10" x14ac:dyDescent="0.3">
      <c r="A406" t="s">
        <v>1050</v>
      </c>
      <c r="B406" t="s">
        <v>24625</v>
      </c>
      <c r="C406" t="s">
        <v>20486</v>
      </c>
      <c r="D406" t="s">
        <v>22</v>
      </c>
      <c r="E406" t="s">
        <v>1036</v>
      </c>
      <c r="F406">
        <v>56</v>
      </c>
      <c r="G406" t="s">
        <v>31</v>
      </c>
      <c r="H406" t="s">
        <v>31</v>
      </c>
    </row>
    <row r="407" spans="1:10" x14ac:dyDescent="0.3">
      <c r="A407" t="s">
        <v>1051</v>
      </c>
      <c r="B407" t="s">
        <v>24626</v>
      </c>
      <c r="C407" t="s">
        <v>20486</v>
      </c>
      <c r="D407" t="s">
        <v>11</v>
      </c>
      <c r="E407" t="s">
        <v>1052</v>
      </c>
      <c r="F407">
        <v>30</v>
      </c>
      <c r="G407" t="s">
        <v>109</v>
      </c>
      <c r="H407" t="s">
        <v>9788</v>
      </c>
    </row>
    <row r="408" spans="1:10" x14ac:dyDescent="0.3">
      <c r="A408" t="s">
        <v>1053</v>
      </c>
      <c r="B408" t="s">
        <v>24627</v>
      </c>
      <c r="C408" t="s">
        <v>20490</v>
      </c>
      <c r="D408" t="s">
        <v>22</v>
      </c>
      <c r="E408" t="s">
        <v>1054</v>
      </c>
      <c r="F408">
        <v>50</v>
      </c>
      <c r="G408" t="s">
        <v>959</v>
      </c>
      <c r="H408" t="s">
        <v>9785</v>
      </c>
      <c r="J408" t="s">
        <v>339</v>
      </c>
    </row>
    <row r="409" spans="1:10" x14ac:dyDescent="0.3">
      <c r="A409" t="s">
        <v>12130</v>
      </c>
      <c r="B409" t="s">
        <v>24628</v>
      </c>
      <c r="C409" t="s">
        <v>20486</v>
      </c>
      <c r="D409" t="s">
        <v>22</v>
      </c>
      <c r="E409" t="s">
        <v>8151</v>
      </c>
      <c r="F409">
        <v>22</v>
      </c>
      <c r="G409" t="s">
        <v>243</v>
      </c>
      <c r="H409" t="s">
        <v>337</v>
      </c>
    </row>
    <row r="410" spans="1:10" x14ac:dyDescent="0.3">
      <c r="A410" t="s">
        <v>1055</v>
      </c>
      <c r="B410" t="s">
        <v>24629</v>
      </c>
      <c r="C410" t="s">
        <v>20486</v>
      </c>
      <c r="D410" t="s">
        <v>11</v>
      </c>
      <c r="E410" t="s">
        <v>1056</v>
      </c>
      <c r="F410">
        <v>39</v>
      </c>
      <c r="G410" t="s">
        <v>827</v>
      </c>
      <c r="H410" t="s">
        <v>12099</v>
      </c>
      <c r="I410" t="s">
        <v>1057</v>
      </c>
      <c r="J410" t="s">
        <v>1058</v>
      </c>
    </row>
    <row r="411" spans="1:10" x14ac:dyDescent="0.3">
      <c r="A411" t="s">
        <v>1059</v>
      </c>
      <c r="B411" t="s">
        <v>24630</v>
      </c>
      <c r="C411" t="s">
        <v>20487</v>
      </c>
      <c r="D411" t="s">
        <v>11</v>
      </c>
      <c r="E411" t="s">
        <v>1060</v>
      </c>
      <c r="F411">
        <v>63</v>
      </c>
      <c r="G411" t="s">
        <v>13</v>
      </c>
      <c r="H411" t="s">
        <v>13</v>
      </c>
      <c r="I411" t="s">
        <v>441</v>
      </c>
      <c r="J411" t="s">
        <v>1061</v>
      </c>
    </row>
    <row r="412" spans="1:10" x14ac:dyDescent="0.3">
      <c r="A412" t="s">
        <v>1062</v>
      </c>
      <c r="B412" t="s">
        <v>24631</v>
      </c>
      <c r="C412" t="s">
        <v>20487</v>
      </c>
      <c r="D412" t="s">
        <v>22</v>
      </c>
      <c r="E412" t="s">
        <v>1063</v>
      </c>
      <c r="F412">
        <v>22</v>
      </c>
      <c r="G412" t="s">
        <v>337</v>
      </c>
      <c r="H412" t="s">
        <v>337</v>
      </c>
    </row>
    <row r="413" spans="1:10" x14ac:dyDescent="0.3">
      <c r="A413" t="s">
        <v>1064</v>
      </c>
      <c r="B413" t="s">
        <v>24632</v>
      </c>
      <c r="C413" t="s">
        <v>20487</v>
      </c>
      <c r="D413" t="s">
        <v>22</v>
      </c>
      <c r="E413" t="s">
        <v>1065</v>
      </c>
      <c r="F413">
        <v>72</v>
      </c>
      <c r="G413" t="s">
        <v>13</v>
      </c>
      <c r="H413" t="s">
        <v>13</v>
      </c>
    </row>
    <row r="414" spans="1:10" x14ac:dyDescent="0.3">
      <c r="A414" t="s">
        <v>1066</v>
      </c>
      <c r="B414" t="s">
        <v>24633</v>
      </c>
      <c r="C414" t="s">
        <v>20488</v>
      </c>
      <c r="D414" t="s">
        <v>22</v>
      </c>
      <c r="E414" t="s">
        <v>1067</v>
      </c>
      <c r="F414">
        <v>76</v>
      </c>
      <c r="G414" t="s">
        <v>31</v>
      </c>
      <c r="H414" t="s">
        <v>31</v>
      </c>
      <c r="I414" t="s">
        <v>33</v>
      </c>
    </row>
    <row r="415" spans="1:10" x14ac:dyDescent="0.3">
      <c r="A415" t="s">
        <v>12131</v>
      </c>
      <c r="B415" t="s">
        <v>24634</v>
      </c>
      <c r="C415" t="s">
        <v>20486</v>
      </c>
      <c r="D415" t="s">
        <v>22</v>
      </c>
      <c r="E415" t="s">
        <v>8078</v>
      </c>
      <c r="F415">
        <v>28</v>
      </c>
    </row>
    <row r="416" spans="1:10" x14ac:dyDescent="0.3">
      <c r="A416" t="s">
        <v>1068</v>
      </c>
      <c r="B416" t="s">
        <v>24635</v>
      </c>
      <c r="C416" t="s">
        <v>20487</v>
      </c>
      <c r="D416" t="s">
        <v>22</v>
      </c>
      <c r="E416" t="s">
        <v>18805</v>
      </c>
      <c r="F416">
        <v>64</v>
      </c>
      <c r="G416" t="s">
        <v>31</v>
      </c>
      <c r="H416" t="s">
        <v>31</v>
      </c>
    </row>
    <row r="417" spans="1:10" x14ac:dyDescent="0.3">
      <c r="A417" t="s">
        <v>1070</v>
      </c>
      <c r="B417" t="s">
        <v>24636</v>
      </c>
      <c r="C417" t="s">
        <v>20487</v>
      </c>
      <c r="D417" t="s">
        <v>11</v>
      </c>
      <c r="E417" t="s">
        <v>1071</v>
      </c>
      <c r="F417">
        <v>60</v>
      </c>
      <c r="G417" t="s">
        <v>31</v>
      </c>
      <c r="H417" t="s">
        <v>31</v>
      </c>
    </row>
    <row r="418" spans="1:10" x14ac:dyDescent="0.3">
      <c r="A418" t="s">
        <v>1072</v>
      </c>
      <c r="B418" t="s">
        <v>24637</v>
      </c>
      <c r="C418" t="s">
        <v>20486</v>
      </c>
      <c r="D418" t="s">
        <v>11</v>
      </c>
      <c r="E418" t="s">
        <v>1073</v>
      </c>
      <c r="F418">
        <v>52</v>
      </c>
      <c r="G418" t="s">
        <v>133</v>
      </c>
      <c r="H418" t="s">
        <v>9789</v>
      </c>
      <c r="I418" t="s">
        <v>1074</v>
      </c>
      <c r="J418" t="s">
        <v>12132</v>
      </c>
    </row>
    <row r="419" spans="1:10" x14ac:dyDescent="0.3">
      <c r="A419" t="s">
        <v>1075</v>
      </c>
      <c r="B419" t="s">
        <v>24638</v>
      </c>
      <c r="C419" t="s">
        <v>20487</v>
      </c>
      <c r="D419" t="s">
        <v>11</v>
      </c>
      <c r="E419" t="s">
        <v>1076</v>
      </c>
      <c r="F419">
        <v>63</v>
      </c>
      <c r="G419" t="s">
        <v>172</v>
      </c>
      <c r="H419" t="s">
        <v>9785</v>
      </c>
      <c r="I419" t="s">
        <v>318</v>
      </c>
      <c r="J419" t="s">
        <v>1077</v>
      </c>
    </row>
    <row r="420" spans="1:10" x14ac:dyDescent="0.3">
      <c r="A420" t="s">
        <v>1078</v>
      </c>
      <c r="B420" t="s">
        <v>24639</v>
      </c>
      <c r="C420" t="s">
        <v>20486</v>
      </c>
      <c r="D420" t="s">
        <v>11</v>
      </c>
      <c r="E420" t="s">
        <v>1079</v>
      </c>
      <c r="F420">
        <v>70</v>
      </c>
      <c r="G420" t="s">
        <v>46</v>
      </c>
      <c r="H420" t="s">
        <v>46</v>
      </c>
      <c r="I420" t="s">
        <v>883</v>
      </c>
      <c r="J420" t="s">
        <v>166</v>
      </c>
    </row>
    <row r="421" spans="1:10" x14ac:dyDescent="0.3">
      <c r="A421" t="s">
        <v>1080</v>
      </c>
      <c r="B421" t="s">
        <v>24640</v>
      </c>
      <c r="C421" t="s">
        <v>20487</v>
      </c>
      <c r="D421" t="s">
        <v>11</v>
      </c>
      <c r="E421" t="s">
        <v>1081</v>
      </c>
      <c r="F421">
        <v>60</v>
      </c>
      <c r="G421" t="s">
        <v>220</v>
      </c>
      <c r="H421" t="s">
        <v>46</v>
      </c>
    </row>
    <row r="422" spans="1:10" x14ac:dyDescent="0.3">
      <c r="A422" t="s">
        <v>1082</v>
      </c>
      <c r="B422" t="s">
        <v>24641</v>
      </c>
      <c r="C422" t="s">
        <v>20487</v>
      </c>
      <c r="D422" t="s">
        <v>11</v>
      </c>
      <c r="E422" t="s">
        <v>1083</v>
      </c>
      <c r="F422">
        <v>70</v>
      </c>
      <c r="G422" t="s">
        <v>13</v>
      </c>
      <c r="H422" t="s">
        <v>13</v>
      </c>
      <c r="I422" t="s">
        <v>441</v>
      </c>
      <c r="J422" t="s">
        <v>12133</v>
      </c>
    </row>
    <row r="423" spans="1:10" x14ac:dyDescent="0.3">
      <c r="A423" t="s">
        <v>1084</v>
      </c>
      <c r="B423" t="s">
        <v>24642</v>
      </c>
      <c r="C423" t="s">
        <v>20486</v>
      </c>
      <c r="D423" t="s">
        <v>11</v>
      </c>
      <c r="E423" t="s">
        <v>1085</v>
      </c>
      <c r="F423">
        <v>74</v>
      </c>
      <c r="G423" t="s">
        <v>109</v>
      </c>
      <c r="H423" t="s">
        <v>9788</v>
      </c>
    </row>
    <row r="424" spans="1:10" x14ac:dyDescent="0.3">
      <c r="A424" t="s">
        <v>1086</v>
      </c>
      <c r="B424" t="s">
        <v>24643</v>
      </c>
      <c r="C424" t="s">
        <v>20488</v>
      </c>
      <c r="D424" t="s">
        <v>22</v>
      </c>
      <c r="E424" t="s">
        <v>1087</v>
      </c>
      <c r="F424">
        <v>60</v>
      </c>
      <c r="G424" t="s">
        <v>46</v>
      </c>
      <c r="H424" t="s">
        <v>46</v>
      </c>
      <c r="I424" t="s">
        <v>1088</v>
      </c>
    </row>
    <row r="425" spans="1:10" x14ac:dyDescent="0.3">
      <c r="A425" t="s">
        <v>1089</v>
      </c>
      <c r="B425" t="s">
        <v>24644</v>
      </c>
      <c r="C425" t="s">
        <v>20487</v>
      </c>
      <c r="D425" t="s">
        <v>22</v>
      </c>
      <c r="E425" t="s">
        <v>1090</v>
      </c>
      <c r="F425">
        <v>48</v>
      </c>
      <c r="G425" t="s">
        <v>31</v>
      </c>
      <c r="H425" t="s">
        <v>31</v>
      </c>
    </row>
    <row r="426" spans="1:10" x14ac:dyDescent="0.3">
      <c r="A426" t="s">
        <v>1092</v>
      </c>
      <c r="B426" t="s">
        <v>24645</v>
      </c>
      <c r="C426" t="s">
        <v>20487</v>
      </c>
      <c r="D426" t="s">
        <v>22</v>
      </c>
      <c r="E426" t="s">
        <v>1093</v>
      </c>
      <c r="F426">
        <v>58</v>
      </c>
      <c r="G426" t="s">
        <v>172</v>
      </c>
      <c r="H426" t="s">
        <v>12099</v>
      </c>
      <c r="J426" t="s">
        <v>9109</v>
      </c>
    </row>
    <row r="427" spans="1:10" x14ac:dyDescent="0.3">
      <c r="A427" t="s">
        <v>12134</v>
      </c>
      <c r="B427" t="s">
        <v>24646</v>
      </c>
      <c r="C427" t="s">
        <v>20488</v>
      </c>
      <c r="D427" t="s">
        <v>11</v>
      </c>
      <c r="E427" t="s">
        <v>1094</v>
      </c>
      <c r="F427">
        <v>71</v>
      </c>
      <c r="G427" t="s">
        <v>13</v>
      </c>
      <c r="H427" t="s">
        <v>13</v>
      </c>
    </row>
    <row r="428" spans="1:10" x14ac:dyDescent="0.3">
      <c r="A428" t="s">
        <v>1095</v>
      </c>
      <c r="B428" t="s">
        <v>24647</v>
      </c>
      <c r="C428" t="s">
        <v>20486</v>
      </c>
      <c r="D428" t="s">
        <v>22</v>
      </c>
      <c r="E428" t="s">
        <v>1096</v>
      </c>
      <c r="F428">
        <v>62</v>
      </c>
      <c r="G428" t="s">
        <v>16</v>
      </c>
      <c r="H428" t="s">
        <v>9785</v>
      </c>
      <c r="I428" t="s">
        <v>17</v>
      </c>
      <c r="J428" t="s">
        <v>1097</v>
      </c>
    </row>
    <row r="429" spans="1:10" x14ac:dyDescent="0.3">
      <c r="A429" t="s">
        <v>1098</v>
      </c>
      <c r="B429" t="s">
        <v>24648</v>
      </c>
      <c r="C429" t="s">
        <v>20486</v>
      </c>
      <c r="D429" t="s">
        <v>22</v>
      </c>
      <c r="E429" t="s">
        <v>1099</v>
      </c>
      <c r="F429">
        <v>57</v>
      </c>
      <c r="G429" t="s">
        <v>31</v>
      </c>
      <c r="H429" t="s">
        <v>31</v>
      </c>
      <c r="J429" t="s">
        <v>33</v>
      </c>
    </row>
    <row r="430" spans="1:10" x14ac:dyDescent="0.3">
      <c r="A430" t="s">
        <v>1100</v>
      </c>
      <c r="B430" t="s">
        <v>24649</v>
      </c>
      <c r="C430" t="s">
        <v>20490</v>
      </c>
      <c r="D430" t="s">
        <v>22</v>
      </c>
      <c r="E430" t="s">
        <v>1101</v>
      </c>
      <c r="F430">
        <v>46</v>
      </c>
      <c r="G430" t="s">
        <v>109</v>
      </c>
      <c r="H430" t="s">
        <v>9788</v>
      </c>
    </row>
    <row r="431" spans="1:10" x14ac:dyDescent="0.3">
      <c r="A431" t="s">
        <v>1102</v>
      </c>
      <c r="B431" t="s">
        <v>24650</v>
      </c>
      <c r="C431" t="s">
        <v>20488</v>
      </c>
      <c r="D431" t="s">
        <v>22</v>
      </c>
      <c r="E431" t="s">
        <v>1103</v>
      </c>
      <c r="F431">
        <v>56</v>
      </c>
      <c r="G431" t="s">
        <v>31</v>
      </c>
      <c r="H431" t="s">
        <v>31</v>
      </c>
      <c r="I431" t="s">
        <v>33</v>
      </c>
    </row>
    <row r="432" spans="1:10" x14ac:dyDescent="0.3">
      <c r="A432" t="s">
        <v>1104</v>
      </c>
      <c r="B432" t="s">
        <v>24651</v>
      </c>
      <c r="C432" t="s">
        <v>20487</v>
      </c>
      <c r="D432" t="s">
        <v>11</v>
      </c>
      <c r="E432" t="s">
        <v>1105</v>
      </c>
      <c r="F432">
        <v>56</v>
      </c>
      <c r="G432" t="s">
        <v>16</v>
      </c>
      <c r="H432" t="s">
        <v>9785</v>
      </c>
      <c r="J432" t="s">
        <v>12135</v>
      </c>
    </row>
    <row r="433" spans="1:10" x14ac:dyDescent="0.3">
      <c r="A433" t="s">
        <v>1106</v>
      </c>
      <c r="B433" t="s">
        <v>24652</v>
      </c>
      <c r="C433" t="s">
        <v>20487</v>
      </c>
      <c r="D433" t="s">
        <v>22</v>
      </c>
      <c r="E433" t="s">
        <v>1107</v>
      </c>
      <c r="F433">
        <v>56</v>
      </c>
      <c r="G433" t="s">
        <v>231</v>
      </c>
      <c r="H433" t="s">
        <v>9788</v>
      </c>
    </row>
    <row r="434" spans="1:10" x14ac:dyDescent="0.3">
      <c r="A434" t="s">
        <v>1108</v>
      </c>
      <c r="B434" t="s">
        <v>24653</v>
      </c>
      <c r="C434" t="s">
        <v>20486</v>
      </c>
      <c r="D434" t="s">
        <v>22</v>
      </c>
      <c r="E434" t="s">
        <v>64</v>
      </c>
      <c r="F434">
        <v>63</v>
      </c>
      <c r="G434" t="s">
        <v>109</v>
      </c>
      <c r="H434" t="s">
        <v>9788</v>
      </c>
    </row>
    <row r="435" spans="1:10" x14ac:dyDescent="0.3">
      <c r="A435" t="s">
        <v>1110</v>
      </c>
      <c r="B435" t="s">
        <v>24654</v>
      </c>
      <c r="C435" t="s">
        <v>20486</v>
      </c>
      <c r="D435" t="s">
        <v>22</v>
      </c>
      <c r="E435" t="s">
        <v>1111</v>
      </c>
      <c r="F435">
        <v>57</v>
      </c>
      <c r="G435" t="s">
        <v>133</v>
      </c>
      <c r="H435" t="s">
        <v>9789</v>
      </c>
    </row>
    <row r="436" spans="1:10" x14ac:dyDescent="0.3">
      <c r="A436" t="s">
        <v>1112</v>
      </c>
      <c r="B436" t="s">
        <v>24655</v>
      </c>
      <c r="C436" t="s">
        <v>20487</v>
      </c>
      <c r="D436" t="s">
        <v>22</v>
      </c>
      <c r="E436" t="s">
        <v>1113</v>
      </c>
      <c r="F436">
        <v>64</v>
      </c>
      <c r="G436" t="s">
        <v>33</v>
      </c>
      <c r="H436" t="s">
        <v>31</v>
      </c>
    </row>
    <row r="437" spans="1:10" x14ac:dyDescent="0.3">
      <c r="A437" t="s">
        <v>1114</v>
      </c>
      <c r="B437" t="s">
        <v>24656</v>
      </c>
      <c r="C437" t="s">
        <v>20488</v>
      </c>
      <c r="D437" t="s">
        <v>11</v>
      </c>
      <c r="E437" t="s">
        <v>1115</v>
      </c>
      <c r="F437">
        <v>61</v>
      </c>
      <c r="G437" t="s">
        <v>13</v>
      </c>
      <c r="H437" t="s">
        <v>13</v>
      </c>
    </row>
    <row r="438" spans="1:10" x14ac:dyDescent="0.3">
      <c r="A438" t="s">
        <v>1116</v>
      </c>
      <c r="B438" t="s">
        <v>24657</v>
      </c>
      <c r="C438" t="s">
        <v>20486</v>
      </c>
      <c r="D438" t="s">
        <v>22</v>
      </c>
      <c r="E438" t="s">
        <v>1117</v>
      </c>
      <c r="F438">
        <v>60</v>
      </c>
      <c r="G438" t="s">
        <v>16</v>
      </c>
      <c r="H438" t="s">
        <v>9785</v>
      </c>
      <c r="I438" t="s">
        <v>17</v>
      </c>
      <c r="J438" t="s">
        <v>1118</v>
      </c>
    </row>
    <row r="439" spans="1:10" x14ac:dyDescent="0.3">
      <c r="A439" t="s">
        <v>1119</v>
      </c>
      <c r="B439" t="s">
        <v>24658</v>
      </c>
      <c r="C439" t="s">
        <v>20486</v>
      </c>
      <c r="D439" t="s">
        <v>22</v>
      </c>
      <c r="E439" t="s">
        <v>1120</v>
      </c>
      <c r="F439">
        <v>59</v>
      </c>
      <c r="G439" t="s">
        <v>13</v>
      </c>
      <c r="H439" t="s">
        <v>13</v>
      </c>
      <c r="I439" t="s">
        <v>1121</v>
      </c>
      <c r="J439" t="s">
        <v>1122</v>
      </c>
    </row>
    <row r="440" spans="1:10" x14ac:dyDescent="0.3">
      <c r="A440" t="s">
        <v>12136</v>
      </c>
      <c r="B440" t="s">
        <v>24659</v>
      </c>
      <c r="C440" t="s">
        <v>20488</v>
      </c>
      <c r="D440" t="s">
        <v>11</v>
      </c>
      <c r="E440" t="s">
        <v>9776</v>
      </c>
      <c r="F440">
        <v>26</v>
      </c>
      <c r="G440" t="s">
        <v>337</v>
      </c>
      <c r="H440" t="s">
        <v>337</v>
      </c>
    </row>
    <row r="441" spans="1:10" x14ac:dyDescent="0.3">
      <c r="A441" t="s">
        <v>12137</v>
      </c>
      <c r="B441" t="s">
        <v>24660</v>
      </c>
      <c r="C441" t="s">
        <v>20488</v>
      </c>
      <c r="D441" t="s">
        <v>11</v>
      </c>
      <c r="E441" t="s">
        <v>9775</v>
      </c>
      <c r="F441">
        <v>22</v>
      </c>
      <c r="G441" t="s">
        <v>337</v>
      </c>
      <c r="H441" t="s">
        <v>337</v>
      </c>
      <c r="J441" t="s">
        <v>12138</v>
      </c>
    </row>
    <row r="442" spans="1:10" x14ac:dyDescent="0.3">
      <c r="A442" t="s">
        <v>1123</v>
      </c>
      <c r="B442" t="s">
        <v>24661</v>
      </c>
      <c r="C442" t="s">
        <v>20488</v>
      </c>
      <c r="D442" t="s">
        <v>11</v>
      </c>
      <c r="E442" t="s">
        <v>1124</v>
      </c>
      <c r="F442">
        <v>60</v>
      </c>
      <c r="G442" t="s">
        <v>109</v>
      </c>
      <c r="H442" t="s">
        <v>9788</v>
      </c>
      <c r="I442" t="s">
        <v>660</v>
      </c>
      <c r="J442" t="s">
        <v>1125</v>
      </c>
    </row>
    <row r="443" spans="1:10" x14ac:dyDescent="0.3">
      <c r="A443" t="s">
        <v>1126</v>
      </c>
      <c r="B443" t="s">
        <v>24662</v>
      </c>
      <c r="C443" t="s">
        <v>20487</v>
      </c>
      <c r="D443" t="s">
        <v>22</v>
      </c>
      <c r="E443" t="s">
        <v>1127</v>
      </c>
      <c r="F443">
        <v>57</v>
      </c>
      <c r="G443" t="s">
        <v>46</v>
      </c>
      <c r="H443" t="s">
        <v>46</v>
      </c>
      <c r="I443" t="s">
        <v>14290</v>
      </c>
    </row>
    <row r="444" spans="1:10" x14ac:dyDescent="0.3">
      <c r="A444" t="s">
        <v>1128</v>
      </c>
      <c r="B444" t="s">
        <v>24663</v>
      </c>
      <c r="C444" t="s">
        <v>20486</v>
      </c>
      <c r="D444" t="s">
        <v>11</v>
      </c>
      <c r="E444" t="s">
        <v>1129</v>
      </c>
      <c r="F444">
        <v>72</v>
      </c>
      <c r="G444" t="s">
        <v>1130</v>
      </c>
      <c r="H444" t="s">
        <v>9789</v>
      </c>
      <c r="I444" t="s">
        <v>923</v>
      </c>
    </row>
    <row r="445" spans="1:10" x14ac:dyDescent="0.3">
      <c r="A445" t="s">
        <v>1131</v>
      </c>
      <c r="B445" t="s">
        <v>24664</v>
      </c>
      <c r="C445" t="s">
        <v>20486</v>
      </c>
      <c r="D445" t="s">
        <v>22</v>
      </c>
      <c r="E445" t="s">
        <v>1132</v>
      </c>
      <c r="F445">
        <v>32</v>
      </c>
      <c r="G445" t="s">
        <v>109</v>
      </c>
      <c r="H445" t="s">
        <v>9788</v>
      </c>
      <c r="I445" t="s">
        <v>779</v>
      </c>
      <c r="J445" t="s">
        <v>12139</v>
      </c>
    </row>
    <row r="446" spans="1:10" x14ac:dyDescent="0.3">
      <c r="A446" t="s">
        <v>1133</v>
      </c>
      <c r="B446" t="s">
        <v>24665</v>
      </c>
      <c r="C446" t="s">
        <v>20486</v>
      </c>
      <c r="D446" t="s">
        <v>22</v>
      </c>
      <c r="E446" t="s">
        <v>1134</v>
      </c>
      <c r="F446">
        <v>57</v>
      </c>
      <c r="G446" t="s">
        <v>31</v>
      </c>
      <c r="H446" t="s">
        <v>31</v>
      </c>
      <c r="J446" t="s">
        <v>33</v>
      </c>
    </row>
    <row r="447" spans="1:10" x14ac:dyDescent="0.3">
      <c r="A447" t="s">
        <v>1135</v>
      </c>
      <c r="B447" t="s">
        <v>24666</v>
      </c>
      <c r="C447" t="s">
        <v>20486</v>
      </c>
      <c r="D447" t="s">
        <v>22</v>
      </c>
      <c r="E447" t="s">
        <v>1136</v>
      </c>
      <c r="F447">
        <v>45</v>
      </c>
      <c r="G447" t="s">
        <v>46</v>
      </c>
      <c r="H447" t="s">
        <v>46</v>
      </c>
      <c r="I447" t="s">
        <v>1137</v>
      </c>
      <c r="J447" t="s">
        <v>1137</v>
      </c>
    </row>
    <row r="448" spans="1:10" x14ac:dyDescent="0.3">
      <c r="A448" t="s">
        <v>1138</v>
      </c>
      <c r="B448" t="s">
        <v>24667</v>
      </c>
      <c r="C448" t="s">
        <v>20486</v>
      </c>
      <c r="D448" t="s">
        <v>22</v>
      </c>
      <c r="E448" t="s">
        <v>1139</v>
      </c>
      <c r="F448">
        <v>67</v>
      </c>
      <c r="G448" t="s">
        <v>31</v>
      </c>
      <c r="H448" t="s">
        <v>31</v>
      </c>
    </row>
    <row r="449" spans="1:10" x14ac:dyDescent="0.3">
      <c r="A449" t="s">
        <v>1140</v>
      </c>
      <c r="B449" t="s">
        <v>24668</v>
      </c>
      <c r="C449" t="s">
        <v>20486</v>
      </c>
      <c r="D449" t="s">
        <v>11</v>
      </c>
      <c r="E449" t="s">
        <v>1141</v>
      </c>
      <c r="F449">
        <v>63</v>
      </c>
      <c r="G449" t="s">
        <v>46</v>
      </c>
      <c r="H449" t="s">
        <v>46</v>
      </c>
      <c r="I449" t="s">
        <v>1142</v>
      </c>
    </row>
    <row r="450" spans="1:10" x14ac:dyDescent="0.3">
      <c r="A450" t="s">
        <v>1143</v>
      </c>
      <c r="B450" t="s">
        <v>24669</v>
      </c>
      <c r="C450" t="s">
        <v>20486</v>
      </c>
      <c r="D450" t="s">
        <v>11</v>
      </c>
      <c r="E450" t="s">
        <v>1144</v>
      </c>
      <c r="F450">
        <v>50</v>
      </c>
      <c r="G450" t="s">
        <v>109</v>
      </c>
      <c r="H450" t="s">
        <v>9788</v>
      </c>
      <c r="I450" t="s">
        <v>1145</v>
      </c>
    </row>
    <row r="451" spans="1:10" x14ac:dyDescent="0.3">
      <c r="A451" t="s">
        <v>1146</v>
      </c>
      <c r="B451" t="s">
        <v>24670</v>
      </c>
      <c r="C451" t="s">
        <v>20487</v>
      </c>
      <c r="D451" t="s">
        <v>22</v>
      </c>
      <c r="E451" t="s">
        <v>1147</v>
      </c>
      <c r="F451">
        <v>64</v>
      </c>
      <c r="G451" t="s">
        <v>46</v>
      </c>
      <c r="H451" t="s">
        <v>46</v>
      </c>
      <c r="I451" t="s">
        <v>220</v>
      </c>
      <c r="J451" t="s">
        <v>1148</v>
      </c>
    </row>
    <row r="452" spans="1:10" x14ac:dyDescent="0.3">
      <c r="A452" t="s">
        <v>1149</v>
      </c>
      <c r="B452" t="s">
        <v>24671</v>
      </c>
      <c r="C452" t="s">
        <v>20487</v>
      </c>
      <c r="D452" t="s">
        <v>22</v>
      </c>
      <c r="E452" t="s">
        <v>1150</v>
      </c>
      <c r="F452">
        <v>58</v>
      </c>
      <c r="G452" t="s">
        <v>33</v>
      </c>
      <c r="H452" t="s">
        <v>31</v>
      </c>
    </row>
    <row r="453" spans="1:10" x14ac:dyDescent="0.3">
      <c r="A453" t="s">
        <v>1151</v>
      </c>
      <c r="B453" t="s">
        <v>24672</v>
      </c>
      <c r="C453" t="s">
        <v>20486</v>
      </c>
      <c r="D453" t="s">
        <v>22</v>
      </c>
      <c r="E453" t="s">
        <v>1152</v>
      </c>
      <c r="F453">
        <v>67</v>
      </c>
      <c r="G453" t="s">
        <v>109</v>
      </c>
      <c r="H453" t="s">
        <v>9788</v>
      </c>
    </row>
    <row r="454" spans="1:10" x14ac:dyDescent="0.3">
      <c r="A454" t="s">
        <v>1153</v>
      </c>
      <c r="B454" t="s">
        <v>24673</v>
      </c>
      <c r="C454" t="s">
        <v>20486</v>
      </c>
      <c r="D454" t="s">
        <v>11</v>
      </c>
      <c r="E454" t="s">
        <v>1154</v>
      </c>
      <c r="F454">
        <v>57</v>
      </c>
      <c r="G454" t="s">
        <v>109</v>
      </c>
      <c r="H454" t="s">
        <v>9788</v>
      </c>
      <c r="I454" t="s">
        <v>883</v>
      </c>
      <c r="J454" t="s">
        <v>166</v>
      </c>
    </row>
    <row r="455" spans="1:10" x14ac:dyDescent="0.3">
      <c r="A455" t="s">
        <v>1155</v>
      </c>
      <c r="B455" t="s">
        <v>24674</v>
      </c>
      <c r="C455" t="s">
        <v>20488</v>
      </c>
      <c r="D455" t="s">
        <v>22</v>
      </c>
      <c r="E455" t="s">
        <v>1156</v>
      </c>
      <c r="F455">
        <v>58</v>
      </c>
      <c r="G455" t="s">
        <v>31</v>
      </c>
      <c r="H455" t="s">
        <v>31</v>
      </c>
      <c r="I455" t="s">
        <v>33</v>
      </c>
    </row>
    <row r="456" spans="1:10" x14ac:dyDescent="0.3">
      <c r="A456" t="s">
        <v>1157</v>
      </c>
      <c r="B456" t="s">
        <v>24675</v>
      </c>
      <c r="C456" t="s">
        <v>20486</v>
      </c>
      <c r="D456" t="s">
        <v>11</v>
      </c>
      <c r="E456" t="s">
        <v>1158</v>
      </c>
      <c r="F456">
        <v>47</v>
      </c>
      <c r="G456" t="s">
        <v>109</v>
      </c>
      <c r="H456" t="s">
        <v>9788</v>
      </c>
      <c r="J456" t="s">
        <v>12140</v>
      </c>
    </row>
    <row r="457" spans="1:10" x14ac:dyDescent="0.3">
      <c r="A457" t="s">
        <v>1159</v>
      </c>
      <c r="B457" t="s">
        <v>24676</v>
      </c>
      <c r="C457" t="s">
        <v>20486</v>
      </c>
      <c r="D457" t="s">
        <v>11</v>
      </c>
      <c r="E457" t="s">
        <v>1160</v>
      </c>
      <c r="F457">
        <v>56</v>
      </c>
      <c r="G457" t="s">
        <v>133</v>
      </c>
      <c r="H457" t="s">
        <v>9789</v>
      </c>
      <c r="I457" t="s">
        <v>883</v>
      </c>
      <c r="J457" t="s">
        <v>1161</v>
      </c>
    </row>
    <row r="458" spans="1:10" x14ac:dyDescent="0.3">
      <c r="A458" t="s">
        <v>1162</v>
      </c>
      <c r="B458" t="s">
        <v>24677</v>
      </c>
      <c r="C458" t="s">
        <v>20487</v>
      </c>
      <c r="D458" t="s">
        <v>11</v>
      </c>
      <c r="E458" t="s">
        <v>1163</v>
      </c>
      <c r="F458">
        <v>51</v>
      </c>
      <c r="G458" t="s">
        <v>201</v>
      </c>
      <c r="H458" t="s">
        <v>46</v>
      </c>
    </row>
    <row r="459" spans="1:10" x14ac:dyDescent="0.3">
      <c r="A459" t="s">
        <v>1164</v>
      </c>
      <c r="B459" t="s">
        <v>24678</v>
      </c>
      <c r="C459" t="s">
        <v>20487</v>
      </c>
      <c r="D459" t="s">
        <v>11</v>
      </c>
      <c r="E459" t="s">
        <v>1165</v>
      </c>
      <c r="F459">
        <v>70</v>
      </c>
      <c r="G459" t="s">
        <v>198</v>
      </c>
      <c r="H459" t="s">
        <v>13</v>
      </c>
      <c r="J459" t="s">
        <v>1166</v>
      </c>
    </row>
    <row r="460" spans="1:10" x14ac:dyDescent="0.3">
      <c r="A460" t="s">
        <v>1167</v>
      </c>
      <c r="B460" t="s">
        <v>24679</v>
      </c>
      <c r="C460" t="s">
        <v>20487</v>
      </c>
      <c r="D460" t="s">
        <v>11</v>
      </c>
      <c r="E460" t="s">
        <v>1168</v>
      </c>
      <c r="F460">
        <v>74</v>
      </c>
      <c r="G460" t="s">
        <v>46</v>
      </c>
      <c r="H460" t="s">
        <v>46</v>
      </c>
      <c r="J460" t="s">
        <v>1169</v>
      </c>
    </row>
    <row r="461" spans="1:10" x14ac:dyDescent="0.3">
      <c r="A461" t="s">
        <v>1170</v>
      </c>
      <c r="B461" t="s">
        <v>24680</v>
      </c>
      <c r="C461" t="s">
        <v>20487</v>
      </c>
      <c r="D461" t="s">
        <v>11</v>
      </c>
      <c r="E461" t="s">
        <v>1171</v>
      </c>
      <c r="F461">
        <v>48</v>
      </c>
      <c r="G461" t="s">
        <v>201</v>
      </c>
      <c r="H461" t="s">
        <v>46</v>
      </c>
    </row>
    <row r="462" spans="1:10" x14ac:dyDescent="0.3">
      <c r="A462" t="s">
        <v>1172</v>
      </c>
      <c r="B462" t="s">
        <v>24681</v>
      </c>
      <c r="C462" t="s">
        <v>20490</v>
      </c>
      <c r="D462" t="s">
        <v>22</v>
      </c>
      <c r="E462" t="s">
        <v>1173</v>
      </c>
      <c r="F462">
        <v>75</v>
      </c>
      <c r="G462" t="s">
        <v>231</v>
      </c>
      <c r="H462" t="s">
        <v>9788</v>
      </c>
    </row>
    <row r="463" spans="1:10" x14ac:dyDescent="0.3">
      <c r="A463" t="s">
        <v>1174</v>
      </c>
      <c r="B463" t="s">
        <v>24682</v>
      </c>
      <c r="C463" t="s">
        <v>20486</v>
      </c>
      <c r="D463" t="s">
        <v>11</v>
      </c>
      <c r="E463" t="s">
        <v>1175</v>
      </c>
      <c r="F463">
        <v>56</v>
      </c>
      <c r="G463" t="s">
        <v>109</v>
      </c>
      <c r="H463" t="s">
        <v>9788</v>
      </c>
      <c r="I463" t="s">
        <v>980</v>
      </c>
      <c r="J463" t="s">
        <v>963</v>
      </c>
    </row>
    <row r="464" spans="1:10" x14ac:dyDescent="0.3">
      <c r="A464" t="s">
        <v>1176</v>
      </c>
      <c r="B464" t="s">
        <v>24683</v>
      </c>
      <c r="C464" t="s">
        <v>20487</v>
      </c>
      <c r="D464" t="s">
        <v>22</v>
      </c>
      <c r="E464" t="s">
        <v>1177</v>
      </c>
      <c r="F464">
        <v>56</v>
      </c>
      <c r="G464" t="s">
        <v>172</v>
      </c>
      <c r="H464" t="s">
        <v>9785</v>
      </c>
      <c r="I464" t="s">
        <v>441</v>
      </c>
      <c r="J464" t="s">
        <v>1178</v>
      </c>
    </row>
    <row r="465" spans="1:10" x14ac:dyDescent="0.3">
      <c r="A465" t="s">
        <v>1179</v>
      </c>
      <c r="B465" t="s">
        <v>24684</v>
      </c>
      <c r="C465" t="s">
        <v>20486</v>
      </c>
      <c r="D465" t="s">
        <v>22</v>
      </c>
      <c r="E465" t="s">
        <v>1180</v>
      </c>
      <c r="F465">
        <v>47</v>
      </c>
      <c r="G465" t="s">
        <v>46</v>
      </c>
      <c r="H465" t="s">
        <v>46</v>
      </c>
      <c r="I465" t="s">
        <v>228</v>
      </c>
    </row>
    <row r="466" spans="1:10" x14ac:dyDescent="0.3">
      <c r="A466" t="s">
        <v>1181</v>
      </c>
      <c r="B466" t="s">
        <v>24685</v>
      </c>
      <c r="C466" t="s">
        <v>20490</v>
      </c>
      <c r="D466" t="s">
        <v>22</v>
      </c>
      <c r="E466" t="s">
        <v>1182</v>
      </c>
      <c r="F466">
        <v>39</v>
      </c>
      <c r="G466" t="s">
        <v>220</v>
      </c>
      <c r="H466" t="s">
        <v>46</v>
      </c>
      <c r="J466" t="s">
        <v>1183</v>
      </c>
    </row>
    <row r="467" spans="1:10" x14ac:dyDescent="0.3">
      <c r="A467" t="s">
        <v>1184</v>
      </c>
      <c r="B467" t="s">
        <v>24686</v>
      </c>
      <c r="C467" t="s">
        <v>20487</v>
      </c>
      <c r="D467" t="s">
        <v>22</v>
      </c>
      <c r="E467" t="s">
        <v>1185</v>
      </c>
      <c r="F467">
        <v>62</v>
      </c>
      <c r="G467" t="s">
        <v>31</v>
      </c>
      <c r="H467" t="s">
        <v>31</v>
      </c>
    </row>
    <row r="468" spans="1:10" x14ac:dyDescent="0.3">
      <c r="A468" t="s">
        <v>1186</v>
      </c>
      <c r="B468" t="s">
        <v>24687</v>
      </c>
      <c r="C468" t="s">
        <v>20487</v>
      </c>
      <c r="D468" t="s">
        <v>11</v>
      </c>
      <c r="E468" t="s">
        <v>1187</v>
      </c>
      <c r="F468">
        <v>58</v>
      </c>
      <c r="G468" t="s">
        <v>201</v>
      </c>
      <c r="H468" t="s">
        <v>46</v>
      </c>
    </row>
    <row r="469" spans="1:10" x14ac:dyDescent="0.3">
      <c r="A469" t="s">
        <v>1188</v>
      </c>
      <c r="B469" t="s">
        <v>24688</v>
      </c>
      <c r="C469" t="s">
        <v>20490</v>
      </c>
      <c r="D469" t="s">
        <v>11</v>
      </c>
      <c r="E469" t="s">
        <v>1189</v>
      </c>
      <c r="F469">
        <v>69</v>
      </c>
      <c r="G469" t="s">
        <v>172</v>
      </c>
      <c r="H469" t="s">
        <v>12099</v>
      </c>
    </row>
    <row r="470" spans="1:10" x14ac:dyDescent="0.3">
      <c r="A470" t="s">
        <v>1191</v>
      </c>
      <c r="B470" t="s">
        <v>24689</v>
      </c>
      <c r="C470" t="s">
        <v>20486</v>
      </c>
      <c r="D470" t="s">
        <v>11</v>
      </c>
      <c r="E470" t="s">
        <v>1192</v>
      </c>
      <c r="F470">
        <v>53</v>
      </c>
      <c r="G470" t="s">
        <v>46</v>
      </c>
      <c r="H470" t="s">
        <v>46</v>
      </c>
      <c r="I470" t="s">
        <v>228</v>
      </c>
      <c r="J470" t="s">
        <v>1193</v>
      </c>
    </row>
    <row r="471" spans="1:10" x14ac:dyDescent="0.3">
      <c r="A471" t="s">
        <v>1194</v>
      </c>
      <c r="B471" t="s">
        <v>24690</v>
      </c>
      <c r="C471" t="s">
        <v>20486</v>
      </c>
      <c r="D471" t="s">
        <v>22</v>
      </c>
      <c r="E471" t="s">
        <v>1195</v>
      </c>
      <c r="F471">
        <v>57</v>
      </c>
      <c r="G471" t="s">
        <v>16</v>
      </c>
      <c r="H471" t="s">
        <v>9785</v>
      </c>
      <c r="I471" t="s">
        <v>17</v>
      </c>
      <c r="J471" t="s">
        <v>1196</v>
      </c>
    </row>
    <row r="472" spans="1:10" x14ac:dyDescent="0.3">
      <c r="A472" t="s">
        <v>1198</v>
      </c>
      <c r="B472" t="s">
        <v>24691</v>
      </c>
      <c r="C472" t="s">
        <v>20486</v>
      </c>
      <c r="D472" t="s">
        <v>22</v>
      </c>
      <c r="E472" t="s">
        <v>1199</v>
      </c>
      <c r="F472">
        <v>40</v>
      </c>
      <c r="G472" t="s">
        <v>1200</v>
      </c>
      <c r="H472" t="s">
        <v>9788</v>
      </c>
      <c r="I472" t="s">
        <v>421</v>
      </c>
      <c r="J472" t="s">
        <v>1201</v>
      </c>
    </row>
    <row r="473" spans="1:10" x14ac:dyDescent="0.3">
      <c r="A473" t="s">
        <v>1202</v>
      </c>
      <c r="B473" t="s">
        <v>24692</v>
      </c>
      <c r="C473" t="s">
        <v>20486</v>
      </c>
      <c r="D473" t="s">
        <v>22</v>
      </c>
      <c r="E473" t="s">
        <v>1203</v>
      </c>
      <c r="F473">
        <v>47</v>
      </c>
      <c r="G473" t="s">
        <v>172</v>
      </c>
      <c r="H473" t="s">
        <v>12099</v>
      </c>
      <c r="I473" t="s">
        <v>1204</v>
      </c>
      <c r="J473" t="s">
        <v>1205</v>
      </c>
    </row>
    <row r="474" spans="1:10" x14ac:dyDescent="0.3">
      <c r="A474" t="s">
        <v>1206</v>
      </c>
      <c r="B474" t="s">
        <v>24693</v>
      </c>
      <c r="C474" t="s">
        <v>20487</v>
      </c>
      <c r="D474" t="s">
        <v>11</v>
      </c>
      <c r="E474" t="s">
        <v>1207</v>
      </c>
      <c r="F474">
        <v>56</v>
      </c>
      <c r="G474" t="s">
        <v>173</v>
      </c>
      <c r="H474" t="s">
        <v>12099</v>
      </c>
      <c r="J474" t="s">
        <v>1208</v>
      </c>
    </row>
    <row r="475" spans="1:10" x14ac:dyDescent="0.3">
      <c r="A475" t="s">
        <v>1209</v>
      </c>
      <c r="B475" t="s">
        <v>24694</v>
      </c>
      <c r="C475" t="s">
        <v>20487</v>
      </c>
      <c r="D475" t="s">
        <v>11</v>
      </c>
      <c r="E475" t="s">
        <v>1210</v>
      </c>
      <c r="F475">
        <v>56</v>
      </c>
      <c r="G475" t="s">
        <v>231</v>
      </c>
      <c r="H475" t="s">
        <v>9788</v>
      </c>
    </row>
    <row r="476" spans="1:10" x14ac:dyDescent="0.3">
      <c r="A476" t="s">
        <v>1211</v>
      </c>
      <c r="B476" t="s">
        <v>24695</v>
      </c>
      <c r="C476" t="s">
        <v>20486</v>
      </c>
      <c r="D476" t="s">
        <v>22</v>
      </c>
      <c r="E476" t="s">
        <v>1212</v>
      </c>
      <c r="F476">
        <v>56</v>
      </c>
      <c r="G476" t="s">
        <v>46</v>
      </c>
      <c r="H476" t="s">
        <v>46</v>
      </c>
      <c r="I476" t="s">
        <v>228</v>
      </c>
      <c r="J476" t="s">
        <v>1213</v>
      </c>
    </row>
    <row r="477" spans="1:10" x14ac:dyDescent="0.3">
      <c r="A477" t="s">
        <v>1214</v>
      </c>
      <c r="B477" t="s">
        <v>24696</v>
      </c>
      <c r="C477" t="s">
        <v>20486</v>
      </c>
      <c r="D477" t="s">
        <v>11</v>
      </c>
      <c r="E477" t="s">
        <v>1215</v>
      </c>
      <c r="F477">
        <v>63</v>
      </c>
      <c r="G477" t="s">
        <v>172</v>
      </c>
      <c r="H477" t="s">
        <v>12099</v>
      </c>
      <c r="I477" t="s">
        <v>1216</v>
      </c>
      <c r="J477" t="s">
        <v>1217</v>
      </c>
    </row>
    <row r="478" spans="1:10" x14ac:dyDescent="0.3">
      <c r="A478" t="s">
        <v>1218</v>
      </c>
      <c r="B478" t="s">
        <v>24697</v>
      </c>
      <c r="C478" t="s">
        <v>20486</v>
      </c>
      <c r="D478" t="s">
        <v>11</v>
      </c>
      <c r="E478" t="s">
        <v>1219</v>
      </c>
      <c r="F478">
        <v>55</v>
      </c>
      <c r="G478" t="s">
        <v>109</v>
      </c>
      <c r="H478" t="s">
        <v>9788</v>
      </c>
    </row>
    <row r="479" spans="1:10" x14ac:dyDescent="0.3">
      <c r="A479" t="s">
        <v>1220</v>
      </c>
      <c r="B479" t="s">
        <v>24698</v>
      </c>
      <c r="C479" t="s">
        <v>20486</v>
      </c>
      <c r="D479" t="s">
        <v>11</v>
      </c>
      <c r="E479" t="s">
        <v>1221</v>
      </c>
      <c r="F479">
        <v>26</v>
      </c>
      <c r="G479" t="s">
        <v>109</v>
      </c>
      <c r="H479" t="s">
        <v>9788</v>
      </c>
    </row>
    <row r="480" spans="1:10" x14ac:dyDescent="0.3">
      <c r="A480" t="s">
        <v>1222</v>
      </c>
      <c r="B480" t="s">
        <v>24699</v>
      </c>
      <c r="C480" t="s">
        <v>20488</v>
      </c>
      <c r="D480" t="s">
        <v>22</v>
      </c>
      <c r="E480" t="s">
        <v>1223</v>
      </c>
      <c r="F480">
        <v>67</v>
      </c>
      <c r="G480" t="s">
        <v>109</v>
      </c>
      <c r="H480" t="s">
        <v>9788</v>
      </c>
      <c r="I480" t="s">
        <v>481</v>
      </c>
    </row>
    <row r="481" spans="1:10" x14ac:dyDescent="0.3">
      <c r="A481" t="s">
        <v>1224</v>
      </c>
      <c r="B481" t="s">
        <v>24700</v>
      </c>
      <c r="C481" t="s">
        <v>20488</v>
      </c>
      <c r="D481" t="s">
        <v>11</v>
      </c>
      <c r="E481" t="s">
        <v>1225</v>
      </c>
      <c r="F481">
        <v>50</v>
      </c>
      <c r="G481" t="s">
        <v>1226</v>
      </c>
      <c r="H481" t="s">
        <v>9791</v>
      </c>
      <c r="I481" t="s">
        <v>1227</v>
      </c>
    </row>
    <row r="482" spans="1:10" x14ac:dyDescent="0.3">
      <c r="A482" t="s">
        <v>1228</v>
      </c>
      <c r="B482" t="s">
        <v>24701</v>
      </c>
      <c r="C482" t="s">
        <v>20487</v>
      </c>
      <c r="D482" t="s">
        <v>11</v>
      </c>
      <c r="E482" t="s">
        <v>1229</v>
      </c>
      <c r="F482">
        <v>63</v>
      </c>
      <c r="G482" t="s">
        <v>13</v>
      </c>
      <c r="H482" t="s">
        <v>13</v>
      </c>
      <c r="I482" t="s">
        <v>1230</v>
      </c>
      <c r="J482" t="s">
        <v>1231</v>
      </c>
    </row>
    <row r="483" spans="1:10" x14ac:dyDescent="0.3">
      <c r="A483" t="s">
        <v>1232</v>
      </c>
      <c r="B483" t="s">
        <v>24702</v>
      </c>
      <c r="C483" t="s">
        <v>20487</v>
      </c>
      <c r="D483" t="s">
        <v>11</v>
      </c>
      <c r="E483" t="s">
        <v>1233</v>
      </c>
      <c r="F483">
        <v>68</v>
      </c>
      <c r="G483" t="s">
        <v>173</v>
      </c>
      <c r="H483" t="s">
        <v>12099</v>
      </c>
    </row>
    <row r="484" spans="1:10" x14ac:dyDescent="0.3">
      <c r="A484" t="s">
        <v>1234</v>
      </c>
      <c r="B484" t="s">
        <v>24703</v>
      </c>
      <c r="C484" t="s">
        <v>20486</v>
      </c>
      <c r="D484" t="s">
        <v>22</v>
      </c>
      <c r="E484" t="s">
        <v>1235</v>
      </c>
      <c r="F484">
        <v>43</v>
      </c>
      <c r="G484" t="s">
        <v>1200</v>
      </c>
      <c r="H484" t="s">
        <v>9788</v>
      </c>
      <c r="I484" t="s">
        <v>110</v>
      </c>
      <c r="J484" t="s">
        <v>1236</v>
      </c>
    </row>
    <row r="485" spans="1:10" x14ac:dyDescent="0.3">
      <c r="A485" t="s">
        <v>1237</v>
      </c>
      <c r="B485" t="s">
        <v>24704</v>
      </c>
      <c r="C485" t="s">
        <v>20487</v>
      </c>
      <c r="D485" t="s">
        <v>11</v>
      </c>
      <c r="E485" t="s">
        <v>1238</v>
      </c>
      <c r="F485">
        <v>51</v>
      </c>
      <c r="G485" t="s">
        <v>109</v>
      </c>
      <c r="H485" t="s">
        <v>9788</v>
      </c>
      <c r="J485" t="s">
        <v>225</v>
      </c>
    </row>
    <row r="486" spans="1:10" x14ac:dyDescent="0.3">
      <c r="A486" t="s">
        <v>1239</v>
      </c>
      <c r="B486" t="s">
        <v>24705</v>
      </c>
      <c r="C486" t="s">
        <v>20486</v>
      </c>
      <c r="D486" t="s">
        <v>22</v>
      </c>
      <c r="E486" t="s">
        <v>1240</v>
      </c>
      <c r="F486">
        <v>58</v>
      </c>
      <c r="G486" t="s">
        <v>172</v>
      </c>
      <c r="H486" t="s">
        <v>12099</v>
      </c>
      <c r="I486" t="s">
        <v>110</v>
      </c>
      <c r="J486" t="s">
        <v>12141</v>
      </c>
    </row>
    <row r="487" spans="1:10" x14ac:dyDescent="0.3">
      <c r="A487" t="s">
        <v>1241</v>
      </c>
      <c r="B487" t="s">
        <v>24706</v>
      </c>
      <c r="C487" t="s">
        <v>20490</v>
      </c>
      <c r="D487" t="s">
        <v>22</v>
      </c>
      <c r="E487" t="s">
        <v>1242</v>
      </c>
      <c r="F487">
        <v>72</v>
      </c>
      <c r="G487" t="s">
        <v>220</v>
      </c>
      <c r="H487" t="s">
        <v>46</v>
      </c>
    </row>
    <row r="488" spans="1:10" x14ac:dyDescent="0.3">
      <c r="A488" t="s">
        <v>1243</v>
      </c>
      <c r="B488" t="s">
        <v>24707</v>
      </c>
      <c r="C488" t="s">
        <v>20488</v>
      </c>
      <c r="D488" t="s">
        <v>11</v>
      </c>
      <c r="E488" t="s">
        <v>1244</v>
      </c>
      <c r="F488">
        <v>36</v>
      </c>
      <c r="G488" t="s">
        <v>109</v>
      </c>
      <c r="H488" t="s">
        <v>9788</v>
      </c>
    </row>
    <row r="489" spans="1:10" x14ac:dyDescent="0.3">
      <c r="A489" t="s">
        <v>1245</v>
      </c>
      <c r="B489" t="s">
        <v>24708</v>
      </c>
      <c r="C489" t="s">
        <v>20488</v>
      </c>
      <c r="D489" t="s">
        <v>11</v>
      </c>
      <c r="E489" t="s">
        <v>1246</v>
      </c>
      <c r="F489">
        <v>77</v>
      </c>
      <c r="G489" t="s">
        <v>13</v>
      </c>
      <c r="H489" t="s">
        <v>13</v>
      </c>
    </row>
    <row r="490" spans="1:10" x14ac:dyDescent="0.3">
      <c r="A490" t="s">
        <v>1249</v>
      </c>
      <c r="B490" t="s">
        <v>24709</v>
      </c>
      <c r="C490" t="s">
        <v>20487</v>
      </c>
      <c r="D490" t="s">
        <v>11</v>
      </c>
      <c r="E490" t="s">
        <v>1250</v>
      </c>
      <c r="F490">
        <v>52</v>
      </c>
      <c r="G490" t="s">
        <v>46</v>
      </c>
      <c r="H490" t="s">
        <v>46</v>
      </c>
      <c r="J490" t="s">
        <v>1251</v>
      </c>
    </row>
    <row r="491" spans="1:10" x14ac:dyDescent="0.3">
      <c r="A491" t="s">
        <v>1252</v>
      </c>
      <c r="B491" t="s">
        <v>24710</v>
      </c>
      <c r="C491" t="s">
        <v>20489</v>
      </c>
      <c r="D491" t="s">
        <v>22</v>
      </c>
      <c r="E491" t="s">
        <v>1253</v>
      </c>
      <c r="F491">
        <v>71</v>
      </c>
      <c r="G491" t="s">
        <v>31</v>
      </c>
      <c r="H491" t="s">
        <v>31</v>
      </c>
      <c r="I491" t="s">
        <v>33</v>
      </c>
    </row>
    <row r="492" spans="1:10" x14ac:dyDescent="0.3">
      <c r="A492" t="s">
        <v>1254</v>
      </c>
      <c r="B492" t="s">
        <v>24711</v>
      </c>
      <c r="C492" t="s">
        <v>20486</v>
      </c>
      <c r="D492" t="s">
        <v>11</v>
      </c>
      <c r="E492" t="s">
        <v>1255</v>
      </c>
      <c r="F492">
        <v>61</v>
      </c>
      <c r="G492" t="s">
        <v>13</v>
      </c>
      <c r="H492" t="s">
        <v>13</v>
      </c>
      <c r="I492" t="s">
        <v>8693</v>
      </c>
      <c r="J492" t="s">
        <v>14291</v>
      </c>
    </row>
    <row r="493" spans="1:10" x14ac:dyDescent="0.3">
      <c r="A493" t="s">
        <v>1256</v>
      </c>
      <c r="B493" t="s">
        <v>24712</v>
      </c>
      <c r="C493" t="s">
        <v>20486</v>
      </c>
      <c r="D493" t="s">
        <v>11</v>
      </c>
      <c r="E493" t="s">
        <v>1257</v>
      </c>
      <c r="F493">
        <v>61</v>
      </c>
      <c r="G493" t="s">
        <v>109</v>
      </c>
      <c r="H493" t="s">
        <v>9788</v>
      </c>
    </row>
    <row r="494" spans="1:10" x14ac:dyDescent="0.3">
      <c r="A494" t="s">
        <v>1258</v>
      </c>
      <c r="B494" t="s">
        <v>24713</v>
      </c>
      <c r="C494" t="s">
        <v>20487</v>
      </c>
      <c r="D494" t="s">
        <v>22</v>
      </c>
      <c r="E494" t="s">
        <v>1259</v>
      </c>
      <c r="F494">
        <v>71</v>
      </c>
      <c r="G494" t="s">
        <v>201</v>
      </c>
      <c r="H494" t="s">
        <v>46</v>
      </c>
      <c r="J494" t="s">
        <v>1260</v>
      </c>
    </row>
    <row r="495" spans="1:10" x14ac:dyDescent="0.3">
      <c r="A495" t="s">
        <v>1261</v>
      </c>
      <c r="B495" t="s">
        <v>24714</v>
      </c>
      <c r="C495" t="s">
        <v>20490</v>
      </c>
      <c r="D495" t="s">
        <v>22</v>
      </c>
      <c r="E495" t="s">
        <v>1262</v>
      </c>
      <c r="F495">
        <v>47</v>
      </c>
      <c r="G495" t="s">
        <v>109</v>
      </c>
      <c r="H495" t="s">
        <v>9788</v>
      </c>
    </row>
    <row r="496" spans="1:10" x14ac:dyDescent="0.3">
      <c r="A496" t="s">
        <v>1263</v>
      </c>
      <c r="B496" t="s">
        <v>24715</v>
      </c>
      <c r="C496" t="s">
        <v>20488</v>
      </c>
      <c r="D496" t="s">
        <v>22</v>
      </c>
      <c r="E496" t="s">
        <v>1264</v>
      </c>
      <c r="F496">
        <v>57</v>
      </c>
      <c r="G496" t="s">
        <v>31</v>
      </c>
      <c r="H496" t="s">
        <v>31</v>
      </c>
      <c r="I496" t="s">
        <v>33</v>
      </c>
    </row>
    <row r="497" spans="1:10" x14ac:dyDescent="0.3">
      <c r="A497" t="s">
        <v>1265</v>
      </c>
      <c r="B497" t="s">
        <v>24716</v>
      </c>
      <c r="C497" t="s">
        <v>20488</v>
      </c>
      <c r="D497" t="s">
        <v>11</v>
      </c>
      <c r="E497" t="s">
        <v>1266</v>
      </c>
      <c r="F497">
        <v>67</v>
      </c>
      <c r="G497" t="s">
        <v>46</v>
      </c>
      <c r="H497" t="s">
        <v>46</v>
      </c>
    </row>
    <row r="498" spans="1:10" x14ac:dyDescent="0.3">
      <c r="A498" t="s">
        <v>1267</v>
      </c>
      <c r="B498" t="s">
        <v>24717</v>
      </c>
      <c r="C498" t="s">
        <v>20487</v>
      </c>
      <c r="D498" t="s">
        <v>22</v>
      </c>
      <c r="E498" t="s">
        <v>1268</v>
      </c>
      <c r="F498">
        <v>48</v>
      </c>
      <c r="G498" t="s">
        <v>1269</v>
      </c>
      <c r="H498" t="s">
        <v>12074</v>
      </c>
    </row>
    <row r="499" spans="1:10" x14ac:dyDescent="0.3">
      <c r="A499" t="s">
        <v>1270</v>
      </c>
      <c r="B499" t="s">
        <v>24718</v>
      </c>
      <c r="C499" t="s">
        <v>20486</v>
      </c>
      <c r="D499" t="s">
        <v>22</v>
      </c>
      <c r="E499" t="s">
        <v>1271</v>
      </c>
      <c r="F499">
        <v>52</v>
      </c>
      <c r="G499" t="s">
        <v>46</v>
      </c>
      <c r="H499" t="s">
        <v>46</v>
      </c>
      <c r="I499" t="s">
        <v>228</v>
      </c>
      <c r="J499" t="s">
        <v>1272</v>
      </c>
    </row>
    <row r="500" spans="1:10" x14ac:dyDescent="0.3">
      <c r="A500" t="s">
        <v>1273</v>
      </c>
      <c r="B500" t="s">
        <v>24719</v>
      </c>
      <c r="C500" t="s">
        <v>20490</v>
      </c>
      <c r="D500" t="s">
        <v>22</v>
      </c>
      <c r="E500" t="s">
        <v>1274</v>
      </c>
      <c r="F500">
        <v>52</v>
      </c>
      <c r="G500" t="s">
        <v>109</v>
      </c>
      <c r="H500" t="s">
        <v>9788</v>
      </c>
    </row>
    <row r="501" spans="1:10" x14ac:dyDescent="0.3">
      <c r="A501" t="s">
        <v>1277</v>
      </c>
      <c r="B501" t="s">
        <v>24720</v>
      </c>
      <c r="C501" t="s">
        <v>20486</v>
      </c>
      <c r="D501" t="s">
        <v>22</v>
      </c>
      <c r="E501" t="s">
        <v>1278</v>
      </c>
      <c r="F501">
        <v>55</v>
      </c>
      <c r="G501" t="s">
        <v>177</v>
      </c>
      <c r="H501" t="s">
        <v>12065</v>
      </c>
      <c r="I501" t="s">
        <v>110</v>
      </c>
      <c r="J501" t="s">
        <v>1279</v>
      </c>
    </row>
    <row r="502" spans="1:10" x14ac:dyDescent="0.3">
      <c r="A502" t="s">
        <v>1280</v>
      </c>
      <c r="B502" t="s">
        <v>24721</v>
      </c>
      <c r="C502" t="s">
        <v>20488</v>
      </c>
      <c r="D502" t="s">
        <v>22</v>
      </c>
      <c r="E502" t="s">
        <v>1281</v>
      </c>
      <c r="F502">
        <v>46</v>
      </c>
      <c r="G502" t="s">
        <v>16</v>
      </c>
      <c r="H502" t="s">
        <v>9785</v>
      </c>
      <c r="I502" t="s">
        <v>449</v>
      </c>
      <c r="J502" t="s">
        <v>610</v>
      </c>
    </row>
    <row r="503" spans="1:10" x14ac:dyDescent="0.3">
      <c r="A503" t="s">
        <v>1282</v>
      </c>
      <c r="B503" t="s">
        <v>24722</v>
      </c>
      <c r="C503" t="s">
        <v>20486</v>
      </c>
      <c r="D503" t="s">
        <v>22</v>
      </c>
      <c r="E503" t="s">
        <v>1283</v>
      </c>
      <c r="F503">
        <v>55</v>
      </c>
      <c r="G503" t="s">
        <v>31</v>
      </c>
      <c r="H503" t="s">
        <v>31</v>
      </c>
    </row>
    <row r="504" spans="1:10" x14ac:dyDescent="0.3">
      <c r="A504" t="s">
        <v>1284</v>
      </c>
      <c r="B504" t="s">
        <v>24723</v>
      </c>
      <c r="C504" t="s">
        <v>20486</v>
      </c>
      <c r="D504" t="s">
        <v>22</v>
      </c>
      <c r="E504" t="s">
        <v>1285</v>
      </c>
      <c r="F504">
        <v>71</v>
      </c>
      <c r="G504" t="s">
        <v>13</v>
      </c>
      <c r="H504" t="s">
        <v>13</v>
      </c>
    </row>
    <row r="505" spans="1:10" x14ac:dyDescent="0.3">
      <c r="A505" t="s">
        <v>1287</v>
      </c>
      <c r="B505" t="s">
        <v>24724</v>
      </c>
      <c r="C505" t="s">
        <v>20487</v>
      </c>
      <c r="D505" t="s">
        <v>11</v>
      </c>
      <c r="E505" t="s">
        <v>1288</v>
      </c>
      <c r="F505">
        <v>45</v>
      </c>
    </row>
    <row r="506" spans="1:10" x14ac:dyDescent="0.3">
      <c r="A506" t="s">
        <v>1291</v>
      </c>
      <c r="B506" t="s">
        <v>24725</v>
      </c>
      <c r="C506" t="s">
        <v>20487</v>
      </c>
      <c r="D506" t="s">
        <v>11</v>
      </c>
      <c r="E506" t="s">
        <v>1292</v>
      </c>
      <c r="F506">
        <v>50</v>
      </c>
    </row>
    <row r="507" spans="1:10" x14ac:dyDescent="0.3">
      <c r="A507" t="s">
        <v>1293</v>
      </c>
      <c r="B507" t="s">
        <v>24726</v>
      </c>
      <c r="C507" t="s">
        <v>20488</v>
      </c>
      <c r="D507" t="s">
        <v>11</v>
      </c>
      <c r="E507" t="s">
        <v>1294</v>
      </c>
      <c r="F507">
        <v>57</v>
      </c>
      <c r="G507" t="s">
        <v>133</v>
      </c>
      <c r="H507" t="s">
        <v>9789</v>
      </c>
      <c r="J507" t="s">
        <v>1295</v>
      </c>
    </row>
    <row r="508" spans="1:10" x14ac:dyDescent="0.3">
      <c r="A508" t="s">
        <v>1296</v>
      </c>
      <c r="B508" t="s">
        <v>24727</v>
      </c>
      <c r="C508" t="s">
        <v>20486</v>
      </c>
      <c r="D508" t="s">
        <v>22</v>
      </c>
      <c r="E508" t="s">
        <v>1297</v>
      </c>
      <c r="F508">
        <v>70</v>
      </c>
      <c r="G508" t="s">
        <v>46</v>
      </c>
      <c r="H508" t="s">
        <v>46</v>
      </c>
      <c r="I508" t="s">
        <v>384</v>
      </c>
    </row>
    <row r="509" spans="1:10" x14ac:dyDescent="0.3">
      <c r="A509" t="s">
        <v>1298</v>
      </c>
      <c r="B509" t="s">
        <v>24728</v>
      </c>
      <c r="C509" t="s">
        <v>20488</v>
      </c>
      <c r="D509" t="s">
        <v>22</v>
      </c>
      <c r="E509" t="s">
        <v>1299</v>
      </c>
      <c r="F509">
        <v>51</v>
      </c>
      <c r="G509" t="s">
        <v>16</v>
      </c>
      <c r="H509" t="s">
        <v>9785</v>
      </c>
      <c r="I509" t="s">
        <v>449</v>
      </c>
      <c r="J509" t="s">
        <v>1125</v>
      </c>
    </row>
    <row r="510" spans="1:10" x14ac:dyDescent="0.3">
      <c r="A510" t="s">
        <v>1300</v>
      </c>
      <c r="B510" t="s">
        <v>24729</v>
      </c>
      <c r="C510" t="s">
        <v>20487</v>
      </c>
      <c r="D510" t="s">
        <v>11</v>
      </c>
      <c r="E510" t="s">
        <v>1301</v>
      </c>
      <c r="F510">
        <v>40</v>
      </c>
    </row>
    <row r="511" spans="1:10" x14ac:dyDescent="0.3">
      <c r="A511" t="s">
        <v>1303</v>
      </c>
      <c r="B511" t="s">
        <v>24730</v>
      </c>
      <c r="C511" t="s">
        <v>20490</v>
      </c>
      <c r="D511" t="s">
        <v>22</v>
      </c>
      <c r="E511" t="s">
        <v>1304</v>
      </c>
      <c r="F511">
        <v>45</v>
      </c>
      <c r="G511" t="s">
        <v>370</v>
      </c>
      <c r="H511" t="s">
        <v>46</v>
      </c>
      <c r="J511" t="s">
        <v>1305</v>
      </c>
    </row>
    <row r="512" spans="1:10" x14ac:dyDescent="0.3">
      <c r="A512" t="s">
        <v>1306</v>
      </c>
      <c r="B512" t="s">
        <v>24731</v>
      </c>
      <c r="C512" t="s">
        <v>20490</v>
      </c>
      <c r="D512" t="s">
        <v>22</v>
      </c>
      <c r="E512" t="s">
        <v>1307</v>
      </c>
      <c r="F512">
        <v>62</v>
      </c>
      <c r="G512" t="s">
        <v>31</v>
      </c>
      <c r="H512" t="s">
        <v>31</v>
      </c>
    </row>
    <row r="513" spans="1:10" x14ac:dyDescent="0.3">
      <c r="A513" t="s">
        <v>1308</v>
      </c>
      <c r="B513" t="s">
        <v>24732</v>
      </c>
      <c r="C513" t="s">
        <v>20490</v>
      </c>
      <c r="D513" t="s">
        <v>11</v>
      </c>
      <c r="E513" t="s">
        <v>1309</v>
      </c>
      <c r="F513">
        <v>55</v>
      </c>
      <c r="H513" t="s">
        <v>46</v>
      </c>
      <c r="J513" t="s">
        <v>1310</v>
      </c>
    </row>
    <row r="514" spans="1:10" x14ac:dyDescent="0.3">
      <c r="A514" t="s">
        <v>1311</v>
      </c>
      <c r="B514" t="s">
        <v>24733</v>
      </c>
      <c r="C514" t="s">
        <v>20490</v>
      </c>
      <c r="D514" t="s">
        <v>22</v>
      </c>
      <c r="E514" t="s">
        <v>1312</v>
      </c>
      <c r="F514">
        <v>58</v>
      </c>
      <c r="G514" t="s">
        <v>33</v>
      </c>
      <c r="H514" t="s">
        <v>31</v>
      </c>
    </row>
    <row r="515" spans="1:10" x14ac:dyDescent="0.3">
      <c r="A515" t="s">
        <v>1313</v>
      </c>
      <c r="B515" t="s">
        <v>24734</v>
      </c>
      <c r="C515" t="s">
        <v>20488</v>
      </c>
      <c r="D515" t="s">
        <v>22</v>
      </c>
      <c r="E515" t="s">
        <v>1314</v>
      </c>
      <c r="F515">
        <v>59</v>
      </c>
      <c r="G515" t="s">
        <v>16</v>
      </c>
      <c r="H515" t="s">
        <v>9785</v>
      </c>
      <c r="I515" t="s">
        <v>449</v>
      </c>
      <c r="J515" t="s">
        <v>1125</v>
      </c>
    </row>
    <row r="516" spans="1:10" x14ac:dyDescent="0.3">
      <c r="A516" t="s">
        <v>1315</v>
      </c>
      <c r="B516" t="s">
        <v>24735</v>
      </c>
      <c r="C516" t="s">
        <v>20487</v>
      </c>
      <c r="D516" t="s">
        <v>11</v>
      </c>
      <c r="E516" t="s">
        <v>1316</v>
      </c>
      <c r="F516">
        <v>30</v>
      </c>
    </row>
    <row r="517" spans="1:10" x14ac:dyDescent="0.3">
      <c r="A517" t="s">
        <v>1317</v>
      </c>
      <c r="B517" t="s">
        <v>24736</v>
      </c>
      <c r="C517" t="s">
        <v>20487</v>
      </c>
      <c r="D517" t="s">
        <v>22</v>
      </c>
      <c r="E517" t="s">
        <v>1318</v>
      </c>
      <c r="F517">
        <v>24</v>
      </c>
    </row>
    <row r="518" spans="1:10" x14ac:dyDescent="0.3">
      <c r="A518" t="s">
        <v>1319</v>
      </c>
      <c r="B518" t="s">
        <v>24737</v>
      </c>
      <c r="C518" t="s">
        <v>20487</v>
      </c>
      <c r="D518" t="s">
        <v>11</v>
      </c>
      <c r="E518" t="s">
        <v>1320</v>
      </c>
      <c r="F518">
        <v>56</v>
      </c>
      <c r="G518" t="s">
        <v>959</v>
      </c>
      <c r="H518" t="s">
        <v>9785</v>
      </c>
      <c r="J518" t="s">
        <v>753</v>
      </c>
    </row>
    <row r="519" spans="1:10" x14ac:dyDescent="0.3">
      <c r="A519" t="s">
        <v>12142</v>
      </c>
      <c r="B519" t="s">
        <v>24738</v>
      </c>
      <c r="C519" t="s">
        <v>20486</v>
      </c>
      <c r="D519" t="s">
        <v>11</v>
      </c>
      <c r="E519" t="s">
        <v>9774</v>
      </c>
      <c r="F519">
        <v>19</v>
      </c>
    </row>
    <row r="520" spans="1:10" x14ac:dyDescent="0.3">
      <c r="A520" t="s">
        <v>1321</v>
      </c>
      <c r="B520" t="s">
        <v>24739</v>
      </c>
      <c r="C520" t="s">
        <v>20488</v>
      </c>
      <c r="D520" t="s">
        <v>22</v>
      </c>
      <c r="E520" t="s">
        <v>1322</v>
      </c>
      <c r="F520">
        <v>58</v>
      </c>
      <c r="G520" t="s">
        <v>13</v>
      </c>
      <c r="H520" t="s">
        <v>13</v>
      </c>
      <c r="I520" t="s">
        <v>1323</v>
      </c>
    </row>
    <row r="521" spans="1:10" x14ac:dyDescent="0.3">
      <c r="A521" t="s">
        <v>1324</v>
      </c>
      <c r="B521" t="s">
        <v>24740</v>
      </c>
      <c r="C521" t="s">
        <v>20486</v>
      </c>
      <c r="D521" t="s">
        <v>11</v>
      </c>
      <c r="E521" t="s">
        <v>1325</v>
      </c>
      <c r="F521">
        <v>65</v>
      </c>
      <c r="G521" t="s">
        <v>13</v>
      </c>
      <c r="H521" t="s">
        <v>13</v>
      </c>
    </row>
    <row r="522" spans="1:10" x14ac:dyDescent="0.3">
      <c r="A522" t="s">
        <v>1326</v>
      </c>
      <c r="B522" t="s">
        <v>24741</v>
      </c>
      <c r="C522" t="s">
        <v>20490</v>
      </c>
      <c r="D522" t="s">
        <v>22</v>
      </c>
      <c r="E522" t="s">
        <v>1327</v>
      </c>
      <c r="F522">
        <v>50</v>
      </c>
      <c r="G522" t="s">
        <v>231</v>
      </c>
      <c r="H522" t="s">
        <v>9788</v>
      </c>
      <c r="J522" t="s">
        <v>1328</v>
      </c>
    </row>
    <row r="523" spans="1:10" x14ac:dyDescent="0.3">
      <c r="A523" t="s">
        <v>1329</v>
      </c>
      <c r="B523" t="s">
        <v>24742</v>
      </c>
      <c r="C523" t="s">
        <v>20486</v>
      </c>
      <c r="D523" t="s">
        <v>11</v>
      </c>
      <c r="E523" t="s">
        <v>1330</v>
      </c>
      <c r="F523">
        <v>49</v>
      </c>
      <c r="G523" t="s">
        <v>1331</v>
      </c>
      <c r="H523" t="s">
        <v>9788</v>
      </c>
      <c r="I523" t="s">
        <v>883</v>
      </c>
      <c r="J523" t="s">
        <v>166</v>
      </c>
    </row>
    <row r="524" spans="1:10" x14ac:dyDescent="0.3">
      <c r="A524" t="s">
        <v>1332</v>
      </c>
      <c r="B524" t="s">
        <v>24743</v>
      </c>
      <c r="C524" t="s">
        <v>20486</v>
      </c>
      <c r="D524" t="s">
        <v>22</v>
      </c>
      <c r="E524" t="s">
        <v>1333</v>
      </c>
      <c r="F524">
        <v>45</v>
      </c>
      <c r="G524" t="s">
        <v>46</v>
      </c>
      <c r="H524" t="s">
        <v>46</v>
      </c>
      <c r="I524" t="s">
        <v>228</v>
      </c>
      <c r="J524" t="s">
        <v>1334</v>
      </c>
    </row>
    <row r="525" spans="1:10" x14ac:dyDescent="0.3">
      <c r="A525" t="s">
        <v>1335</v>
      </c>
      <c r="B525" t="s">
        <v>24744</v>
      </c>
      <c r="C525" t="s">
        <v>20486</v>
      </c>
      <c r="D525" t="s">
        <v>22</v>
      </c>
      <c r="E525" t="s">
        <v>1336</v>
      </c>
      <c r="F525">
        <v>61</v>
      </c>
      <c r="G525" t="s">
        <v>46</v>
      </c>
      <c r="H525" t="s">
        <v>46</v>
      </c>
      <c r="I525" t="s">
        <v>1337</v>
      </c>
      <c r="J525" t="s">
        <v>12143</v>
      </c>
    </row>
    <row r="526" spans="1:10" x14ac:dyDescent="0.3">
      <c r="A526" t="s">
        <v>1339</v>
      </c>
      <c r="B526" t="s">
        <v>24745</v>
      </c>
      <c r="C526" t="s">
        <v>20488</v>
      </c>
      <c r="D526" t="s">
        <v>11</v>
      </c>
      <c r="E526" t="s">
        <v>1340</v>
      </c>
      <c r="F526">
        <v>59</v>
      </c>
      <c r="G526" t="s">
        <v>109</v>
      </c>
      <c r="H526" t="s">
        <v>9788</v>
      </c>
    </row>
    <row r="527" spans="1:10" x14ac:dyDescent="0.3">
      <c r="A527" t="s">
        <v>1341</v>
      </c>
      <c r="B527" t="s">
        <v>24746</v>
      </c>
      <c r="C527" t="s">
        <v>20488</v>
      </c>
      <c r="D527" t="s">
        <v>11</v>
      </c>
      <c r="E527" t="s">
        <v>1342</v>
      </c>
      <c r="F527">
        <v>55</v>
      </c>
      <c r="G527" t="s">
        <v>16</v>
      </c>
      <c r="H527" t="s">
        <v>9785</v>
      </c>
      <c r="I527" t="s">
        <v>449</v>
      </c>
      <c r="J527" t="s">
        <v>1125</v>
      </c>
    </row>
    <row r="528" spans="1:10" x14ac:dyDescent="0.3">
      <c r="A528" t="s">
        <v>1343</v>
      </c>
      <c r="B528" t="s">
        <v>24747</v>
      </c>
      <c r="C528" t="s">
        <v>20486</v>
      </c>
      <c r="D528" t="s">
        <v>11</v>
      </c>
      <c r="E528" t="s">
        <v>1344</v>
      </c>
      <c r="F528">
        <v>56</v>
      </c>
      <c r="G528" t="s">
        <v>46</v>
      </c>
      <c r="H528" t="s">
        <v>46</v>
      </c>
      <c r="I528" t="s">
        <v>228</v>
      </c>
    </row>
    <row r="529" spans="1:10" x14ac:dyDescent="0.3">
      <c r="A529" t="s">
        <v>1345</v>
      </c>
      <c r="B529" t="s">
        <v>24748</v>
      </c>
      <c r="C529" t="s">
        <v>20486</v>
      </c>
      <c r="D529" t="s">
        <v>22</v>
      </c>
      <c r="E529" t="s">
        <v>1346</v>
      </c>
      <c r="F529">
        <v>59</v>
      </c>
      <c r="G529" t="s">
        <v>109</v>
      </c>
      <c r="H529" t="s">
        <v>9788</v>
      </c>
    </row>
    <row r="530" spans="1:10" x14ac:dyDescent="0.3">
      <c r="A530" t="s">
        <v>1347</v>
      </c>
      <c r="B530" t="s">
        <v>24749</v>
      </c>
      <c r="C530" t="s">
        <v>20487</v>
      </c>
      <c r="D530" t="s">
        <v>11</v>
      </c>
      <c r="E530" t="s">
        <v>1348</v>
      </c>
      <c r="F530">
        <v>41</v>
      </c>
      <c r="G530" t="s">
        <v>201</v>
      </c>
      <c r="H530" t="s">
        <v>46</v>
      </c>
    </row>
    <row r="531" spans="1:10" x14ac:dyDescent="0.3">
      <c r="A531" t="s">
        <v>1349</v>
      </c>
      <c r="B531" t="s">
        <v>24750</v>
      </c>
      <c r="C531" t="s">
        <v>20486</v>
      </c>
      <c r="D531" t="s">
        <v>22</v>
      </c>
      <c r="E531" t="s">
        <v>1350</v>
      </c>
      <c r="F531">
        <v>45</v>
      </c>
      <c r="G531" t="s">
        <v>31</v>
      </c>
      <c r="H531" t="s">
        <v>31</v>
      </c>
      <c r="J531" t="s">
        <v>33</v>
      </c>
    </row>
    <row r="532" spans="1:10" x14ac:dyDescent="0.3">
      <c r="A532" t="s">
        <v>1351</v>
      </c>
      <c r="B532" t="s">
        <v>24751</v>
      </c>
      <c r="C532" t="s">
        <v>20488</v>
      </c>
      <c r="D532" t="s">
        <v>11</v>
      </c>
      <c r="E532" t="s">
        <v>1352</v>
      </c>
      <c r="F532">
        <v>38</v>
      </c>
      <c r="G532" t="s">
        <v>109</v>
      </c>
      <c r="H532" t="s">
        <v>9788</v>
      </c>
      <c r="I532" t="s">
        <v>1011</v>
      </c>
      <c r="J532" t="s">
        <v>1353</v>
      </c>
    </row>
    <row r="533" spans="1:10" x14ac:dyDescent="0.3">
      <c r="A533" t="s">
        <v>1354</v>
      </c>
      <c r="B533" t="s">
        <v>24752</v>
      </c>
      <c r="C533" t="s">
        <v>20490</v>
      </c>
      <c r="D533" t="s">
        <v>22</v>
      </c>
      <c r="E533" t="s">
        <v>1355</v>
      </c>
      <c r="F533">
        <v>68</v>
      </c>
      <c r="G533" t="s">
        <v>220</v>
      </c>
      <c r="H533" t="s">
        <v>46</v>
      </c>
    </row>
    <row r="534" spans="1:10" x14ac:dyDescent="0.3">
      <c r="A534" t="s">
        <v>12144</v>
      </c>
      <c r="B534" t="s">
        <v>24753</v>
      </c>
      <c r="C534" t="s">
        <v>20490</v>
      </c>
      <c r="D534" t="s">
        <v>22</v>
      </c>
      <c r="E534" t="s">
        <v>9773</v>
      </c>
      <c r="F534">
        <v>19</v>
      </c>
    </row>
    <row r="535" spans="1:10" x14ac:dyDescent="0.3">
      <c r="A535" t="s">
        <v>1357</v>
      </c>
      <c r="B535" t="s">
        <v>24754</v>
      </c>
      <c r="C535" t="s">
        <v>20490</v>
      </c>
      <c r="D535" t="s">
        <v>22</v>
      </c>
      <c r="E535" t="s">
        <v>1358</v>
      </c>
      <c r="F535">
        <v>61</v>
      </c>
      <c r="G535" t="s">
        <v>33</v>
      </c>
      <c r="H535" t="s">
        <v>31</v>
      </c>
    </row>
    <row r="536" spans="1:10" x14ac:dyDescent="0.3">
      <c r="A536" t="s">
        <v>1359</v>
      </c>
      <c r="B536" t="s">
        <v>24755</v>
      </c>
      <c r="C536" t="s">
        <v>20490</v>
      </c>
      <c r="D536" t="s">
        <v>11</v>
      </c>
      <c r="E536" t="s">
        <v>1360</v>
      </c>
      <c r="F536">
        <v>46</v>
      </c>
      <c r="G536" t="s">
        <v>220</v>
      </c>
      <c r="H536" t="s">
        <v>46</v>
      </c>
    </row>
    <row r="537" spans="1:10" x14ac:dyDescent="0.3">
      <c r="A537" t="s">
        <v>1361</v>
      </c>
      <c r="B537" t="s">
        <v>24756</v>
      </c>
      <c r="C537" t="s">
        <v>20488</v>
      </c>
      <c r="D537" t="s">
        <v>11</v>
      </c>
      <c r="E537" t="s">
        <v>1362</v>
      </c>
      <c r="F537">
        <v>41</v>
      </c>
      <c r="G537" t="s">
        <v>109</v>
      </c>
      <c r="H537" t="s">
        <v>9788</v>
      </c>
    </row>
    <row r="538" spans="1:10" x14ac:dyDescent="0.3">
      <c r="A538" t="s">
        <v>1363</v>
      </c>
      <c r="B538" t="s">
        <v>24757</v>
      </c>
      <c r="C538" t="s">
        <v>20487</v>
      </c>
      <c r="D538" t="s">
        <v>11</v>
      </c>
      <c r="E538" t="s">
        <v>1364</v>
      </c>
      <c r="F538">
        <v>51</v>
      </c>
      <c r="G538" t="s">
        <v>201</v>
      </c>
      <c r="H538" t="s">
        <v>46</v>
      </c>
    </row>
    <row r="539" spans="1:10" x14ac:dyDescent="0.3">
      <c r="A539" t="s">
        <v>1365</v>
      </c>
      <c r="B539" t="s">
        <v>24758</v>
      </c>
      <c r="C539" t="s">
        <v>20490</v>
      </c>
      <c r="D539" t="s">
        <v>11</v>
      </c>
      <c r="E539" t="s">
        <v>1366</v>
      </c>
      <c r="F539">
        <v>54</v>
      </c>
      <c r="G539" t="s">
        <v>1331</v>
      </c>
      <c r="H539" t="s">
        <v>9788</v>
      </c>
      <c r="I539" t="s">
        <v>1074</v>
      </c>
      <c r="J539" t="s">
        <v>1367</v>
      </c>
    </row>
    <row r="540" spans="1:10" x14ac:dyDescent="0.3">
      <c r="A540" t="s">
        <v>1369</v>
      </c>
      <c r="B540" t="s">
        <v>24759</v>
      </c>
      <c r="C540" t="s">
        <v>20487</v>
      </c>
      <c r="D540" t="s">
        <v>11</v>
      </c>
      <c r="E540" t="s">
        <v>1370</v>
      </c>
      <c r="F540">
        <v>60</v>
      </c>
      <c r="G540" t="s">
        <v>46</v>
      </c>
      <c r="H540" t="s">
        <v>46</v>
      </c>
      <c r="I540" t="s">
        <v>220</v>
      </c>
    </row>
    <row r="541" spans="1:10" x14ac:dyDescent="0.3">
      <c r="A541" t="s">
        <v>1371</v>
      </c>
      <c r="B541" t="s">
        <v>24760</v>
      </c>
      <c r="C541" t="s">
        <v>20486</v>
      </c>
      <c r="D541" t="s">
        <v>22</v>
      </c>
      <c r="E541" t="s">
        <v>1372</v>
      </c>
      <c r="F541">
        <v>55</v>
      </c>
      <c r="G541" t="s">
        <v>155</v>
      </c>
      <c r="H541" t="s">
        <v>9791</v>
      </c>
    </row>
    <row r="542" spans="1:10" x14ac:dyDescent="0.3">
      <c r="A542" t="s">
        <v>1373</v>
      </c>
      <c r="B542" t="s">
        <v>24761</v>
      </c>
      <c r="C542" t="s">
        <v>20486</v>
      </c>
      <c r="D542" t="s">
        <v>11</v>
      </c>
      <c r="E542" t="s">
        <v>1374</v>
      </c>
      <c r="F542">
        <v>40</v>
      </c>
      <c r="G542" t="s">
        <v>109</v>
      </c>
      <c r="H542" t="s">
        <v>9788</v>
      </c>
    </row>
    <row r="543" spans="1:10" x14ac:dyDescent="0.3">
      <c r="A543" t="s">
        <v>1375</v>
      </c>
      <c r="B543" t="s">
        <v>24762</v>
      </c>
      <c r="C543" t="s">
        <v>20486</v>
      </c>
      <c r="D543" t="s">
        <v>22</v>
      </c>
      <c r="E543" t="s">
        <v>1376</v>
      </c>
      <c r="F543">
        <v>41</v>
      </c>
      <c r="G543" t="s">
        <v>109</v>
      </c>
      <c r="H543" t="s">
        <v>9788</v>
      </c>
      <c r="I543" t="s">
        <v>1377</v>
      </c>
      <c r="J543" t="s">
        <v>1378</v>
      </c>
    </row>
    <row r="544" spans="1:10" x14ac:dyDescent="0.3">
      <c r="A544" t="s">
        <v>1379</v>
      </c>
      <c r="B544" t="s">
        <v>24763</v>
      </c>
      <c r="C544" t="s">
        <v>20489</v>
      </c>
      <c r="D544" t="s">
        <v>22</v>
      </c>
      <c r="E544" t="s">
        <v>1380</v>
      </c>
      <c r="F544">
        <v>43</v>
      </c>
      <c r="G544" t="s">
        <v>16</v>
      </c>
      <c r="H544" t="s">
        <v>9785</v>
      </c>
      <c r="I544" t="s">
        <v>17</v>
      </c>
      <c r="J544" t="s">
        <v>642</v>
      </c>
    </row>
    <row r="545" spans="1:10" x14ac:dyDescent="0.3">
      <c r="A545" t="s">
        <v>1381</v>
      </c>
      <c r="B545" t="s">
        <v>24764</v>
      </c>
      <c r="C545" t="s">
        <v>20486</v>
      </c>
      <c r="D545" t="s">
        <v>22</v>
      </c>
      <c r="E545" t="s">
        <v>1382</v>
      </c>
      <c r="F545">
        <v>49</v>
      </c>
      <c r="G545" t="s">
        <v>177</v>
      </c>
      <c r="H545" t="s">
        <v>12065</v>
      </c>
      <c r="I545" t="s">
        <v>110</v>
      </c>
      <c r="J545" t="s">
        <v>1279</v>
      </c>
    </row>
    <row r="546" spans="1:10" x14ac:dyDescent="0.3">
      <c r="A546" t="s">
        <v>12145</v>
      </c>
      <c r="B546" t="s">
        <v>24765</v>
      </c>
      <c r="C546" t="s">
        <v>20486</v>
      </c>
      <c r="D546" t="s">
        <v>22</v>
      </c>
      <c r="E546" t="s">
        <v>9772</v>
      </c>
      <c r="F546">
        <v>23</v>
      </c>
      <c r="H546" t="s">
        <v>337</v>
      </c>
      <c r="J546" t="s">
        <v>9771</v>
      </c>
    </row>
    <row r="547" spans="1:10" x14ac:dyDescent="0.3">
      <c r="A547" t="s">
        <v>1384</v>
      </c>
      <c r="B547" t="s">
        <v>24766</v>
      </c>
      <c r="C547" t="s">
        <v>20486</v>
      </c>
      <c r="D547" t="s">
        <v>22</v>
      </c>
      <c r="E547" t="s">
        <v>1385</v>
      </c>
      <c r="F547">
        <v>70</v>
      </c>
      <c r="G547" t="s">
        <v>109</v>
      </c>
      <c r="H547" t="s">
        <v>9788</v>
      </c>
    </row>
    <row r="548" spans="1:10" x14ac:dyDescent="0.3">
      <c r="A548" t="s">
        <v>1386</v>
      </c>
      <c r="B548" t="s">
        <v>24767</v>
      </c>
      <c r="C548" t="s">
        <v>20486</v>
      </c>
      <c r="D548" t="s">
        <v>11</v>
      </c>
      <c r="E548" t="s">
        <v>1387</v>
      </c>
      <c r="F548">
        <v>42</v>
      </c>
      <c r="G548" t="s">
        <v>46</v>
      </c>
      <c r="H548" t="s">
        <v>46</v>
      </c>
      <c r="J548" t="s">
        <v>1388</v>
      </c>
    </row>
    <row r="549" spans="1:10" x14ac:dyDescent="0.3">
      <c r="A549" t="s">
        <v>1390</v>
      </c>
      <c r="B549" t="s">
        <v>24768</v>
      </c>
      <c r="C549" t="s">
        <v>20487</v>
      </c>
      <c r="D549" t="s">
        <v>22</v>
      </c>
      <c r="E549" t="s">
        <v>1391</v>
      </c>
      <c r="F549">
        <v>50</v>
      </c>
      <c r="G549" t="s">
        <v>172</v>
      </c>
      <c r="H549" t="s">
        <v>9785</v>
      </c>
      <c r="I549" t="s">
        <v>441</v>
      </c>
      <c r="J549" t="s">
        <v>1392</v>
      </c>
    </row>
    <row r="550" spans="1:10" x14ac:dyDescent="0.3">
      <c r="A550" t="s">
        <v>1393</v>
      </c>
      <c r="B550" t="s">
        <v>24769</v>
      </c>
      <c r="C550" t="s">
        <v>20486</v>
      </c>
      <c r="D550" t="s">
        <v>22</v>
      </c>
      <c r="E550" t="s">
        <v>1394</v>
      </c>
      <c r="F550">
        <v>53</v>
      </c>
      <c r="G550" t="s">
        <v>46</v>
      </c>
      <c r="H550" t="s">
        <v>46</v>
      </c>
      <c r="I550" t="s">
        <v>1395</v>
      </c>
      <c r="J550" t="s">
        <v>1396</v>
      </c>
    </row>
    <row r="551" spans="1:10" x14ac:dyDescent="0.3">
      <c r="A551" t="s">
        <v>1397</v>
      </c>
      <c r="B551" t="s">
        <v>24770</v>
      </c>
      <c r="C551" t="s">
        <v>20486</v>
      </c>
      <c r="D551" t="s">
        <v>22</v>
      </c>
      <c r="E551" t="s">
        <v>1398</v>
      </c>
      <c r="F551">
        <v>59</v>
      </c>
      <c r="G551" t="s">
        <v>1399</v>
      </c>
      <c r="H551" t="s">
        <v>12065</v>
      </c>
      <c r="I551" t="s">
        <v>1377</v>
      </c>
      <c r="J551" t="s">
        <v>1400</v>
      </c>
    </row>
    <row r="552" spans="1:10" x14ac:dyDescent="0.3">
      <c r="A552" t="s">
        <v>1401</v>
      </c>
      <c r="B552" t="s">
        <v>24771</v>
      </c>
      <c r="C552" t="s">
        <v>20486</v>
      </c>
      <c r="D552" t="s">
        <v>11</v>
      </c>
      <c r="E552" t="s">
        <v>1402</v>
      </c>
      <c r="F552">
        <v>53</v>
      </c>
      <c r="G552" t="s">
        <v>133</v>
      </c>
      <c r="H552" t="s">
        <v>9789</v>
      </c>
      <c r="I552" t="s">
        <v>883</v>
      </c>
      <c r="J552" t="s">
        <v>166</v>
      </c>
    </row>
    <row r="553" spans="1:10" x14ac:dyDescent="0.3">
      <c r="A553" t="s">
        <v>1403</v>
      </c>
      <c r="B553" t="s">
        <v>24772</v>
      </c>
      <c r="C553" t="s">
        <v>20488</v>
      </c>
      <c r="D553" t="s">
        <v>22</v>
      </c>
      <c r="E553" t="s">
        <v>1404</v>
      </c>
      <c r="F553">
        <v>56</v>
      </c>
      <c r="G553" t="s">
        <v>540</v>
      </c>
      <c r="H553" t="s">
        <v>12074</v>
      </c>
    </row>
    <row r="554" spans="1:10" x14ac:dyDescent="0.3">
      <c r="A554" t="s">
        <v>1405</v>
      </c>
      <c r="B554" t="s">
        <v>24773</v>
      </c>
      <c r="C554" t="s">
        <v>20486</v>
      </c>
      <c r="D554" t="s">
        <v>11</v>
      </c>
      <c r="E554" t="s">
        <v>934</v>
      </c>
      <c r="F554">
        <v>33</v>
      </c>
      <c r="G554" t="s">
        <v>16</v>
      </c>
      <c r="H554" t="s">
        <v>9785</v>
      </c>
      <c r="I554" t="s">
        <v>17</v>
      </c>
      <c r="J554" t="s">
        <v>12146</v>
      </c>
    </row>
    <row r="555" spans="1:10" x14ac:dyDescent="0.3">
      <c r="A555" t="s">
        <v>1406</v>
      </c>
      <c r="B555" t="s">
        <v>24774</v>
      </c>
      <c r="C555" t="s">
        <v>20486</v>
      </c>
      <c r="D555" t="s">
        <v>11</v>
      </c>
      <c r="E555" t="s">
        <v>1407</v>
      </c>
      <c r="F555">
        <v>30</v>
      </c>
      <c r="G555" t="s">
        <v>337</v>
      </c>
      <c r="H555" t="s">
        <v>9788</v>
      </c>
      <c r="I555" t="s">
        <v>18806</v>
      </c>
      <c r="J555" t="s">
        <v>12147</v>
      </c>
    </row>
    <row r="556" spans="1:10" x14ac:dyDescent="0.3">
      <c r="A556" t="s">
        <v>1408</v>
      </c>
      <c r="B556" t="s">
        <v>24775</v>
      </c>
      <c r="C556" t="s">
        <v>20487</v>
      </c>
      <c r="D556" t="s">
        <v>11</v>
      </c>
      <c r="E556" t="s">
        <v>1409</v>
      </c>
      <c r="F556">
        <v>53</v>
      </c>
      <c r="G556" t="s">
        <v>201</v>
      </c>
      <c r="H556" t="s">
        <v>46</v>
      </c>
    </row>
    <row r="557" spans="1:10" x14ac:dyDescent="0.3">
      <c r="A557" t="s">
        <v>1410</v>
      </c>
      <c r="B557" t="s">
        <v>24776</v>
      </c>
      <c r="C557" t="s">
        <v>20488</v>
      </c>
      <c r="D557" t="s">
        <v>22</v>
      </c>
      <c r="E557" t="s">
        <v>1411</v>
      </c>
      <c r="F557">
        <v>62</v>
      </c>
      <c r="G557" t="s">
        <v>46</v>
      </c>
      <c r="H557" t="s">
        <v>46</v>
      </c>
      <c r="I557" t="s">
        <v>1412</v>
      </c>
    </row>
    <row r="558" spans="1:10" x14ac:dyDescent="0.3">
      <c r="A558" t="s">
        <v>1413</v>
      </c>
      <c r="B558" t="s">
        <v>24777</v>
      </c>
      <c r="C558" t="s">
        <v>20488</v>
      </c>
      <c r="D558" t="s">
        <v>22</v>
      </c>
      <c r="E558" t="s">
        <v>1414</v>
      </c>
      <c r="F558">
        <v>43</v>
      </c>
      <c r="G558" t="s">
        <v>16</v>
      </c>
      <c r="H558" t="s">
        <v>9785</v>
      </c>
      <c r="I558" t="s">
        <v>449</v>
      </c>
      <c r="J558" t="s">
        <v>1125</v>
      </c>
    </row>
    <row r="559" spans="1:10" x14ac:dyDescent="0.3">
      <c r="A559" t="s">
        <v>1415</v>
      </c>
      <c r="B559" t="s">
        <v>24778</v>
      </c>
      <c r="C559" t="s">
        <v>20488</v>
      </c>
      <c r="D559" t="s">
        <v>11</v>
      </c>
      <c r="E559" t="s">
        <v>1416</v>
      </c>
      <c r="F559">
        <v>60</v>
      </c>
      <c r="G559" t="s">
        <v>109</v>
      </c>
      <c r="H559" t="s">
        <v>9788</v>
      </c>
    </row>
    <row r="560" spans="1:10" x14ac:dyDescent="0.3">
      <c r="A560" t="s">
        <v>1417</v>
      </c>
      <c r="B560" t="s">
        <v>24779</v>
      </c>
      <c r="C560" t="s">
        <v>20488</v>
      </c>
      <c r="D560" t="s">
        <v>11</v>
      </c>
      <c r="E560" t="s">
        <v>1418</v>
      </c>
      <c r="F560">
        <v>50</v>
      </c>
      <c r="G560" t="s">
        <v>109</v>
      </c>
      <c r="H560" t="s">
        <v>9788</v>
      </c>
    </row>
    <row r="561" spans="1:10" x14ac:dyDescent="0.3">
      <c r="A561" t="s">
        <v>1419</v>
      </c>
      <c r="B561" t="s">
        <v>24780</v>
      </c>
      <c r="C561" t="s">
        <v>20490</v>
      </c>
      <c r="D561" t="s">
        <v>22</v>
      </c>
      <c r="E561" t="s">
        <v>1420</v>
      </c>
      <c r="F561">
        <v>61</v>
      </c>
      <c r="G561" t="s">
        <v>31</v>
      </c>
      <c r="H561" t="s">
        <v>31</v>
      </c>
    </row>
    <row r="562" spans="1:10" x14ac:dyDescent="0.3">
      <c r="A562" t="s">
        <v>1421</v>
      </c>
      <c r="B562" t="s">
        <v>24781</v>
      </c>
      <c r="C562" t="s">
        <v>20486</v>
      </c>
      <c r="D562" t="s">
        <v>11</v>
      </c>
      <c r="E562" t="s">
        <v>1422</v>
      </c>
      <c r="F562">
        <v>84</v>
      </c>
      <c r="G562" t="s">
        <v>13</v>
      </c>
      <c r="H562" t="s">
        <v>13</v>
      </c>
    </row>
    <row r="563" spans="1:10" x14ac:dyDescent="0.3">
      <c r="A563" t="s">
        <v>1423</v>
      </c>
      <c r="B563" t="s">
        <v>24782</v>
      </c>
      <c r="C563" t="s">
        <v>20486</v>
      </c>
      <c r="D563" t="s">
        <v>11</v>
      </c>
      <c r="E563" t="s">
        <v>1424</v>
      </c>
      <c r="F563">
        <v>48</v>
      </c>
      <c r="G563" t="s">
        <v>109</v>
      </c>
      <c r="H563" t="s">
        <v>9788</v>
      </c>
      <c r="I563" t="s">
        <v>1425</v>
      </c>
      <c r="J563" t="s">
        <v>1426</v>
      </c>
    </row>
    <row r="564" spans="1:10" x14ac:dyDescent="0.3">
      <c r="A564" t="s">
        <v>1427</v>
      </c>
      <c r="B564" t="s">
        <v>24783</v>
      </c>
      <c r="C564" t="s">
        <v>20486</v>
      </c>
      <c r="D564" t="s">
        <v>22</v>
      </c>
      <c r="E564" t="s">
        <v>1428</v>
      </c>
      <c r="F564">
        <v>46</v>
      </c>
      <c r="G564" t="s">
        <v>109</v>
      </c>
      <c r="H564" t="s">
        <v>9788</v>
      </c>
    </row>
    <row r="565" spans="1:10" x14ac:dyDescent="0.3">
      <c r="A565" t="s">
        <v>1429</v>
      </c>
      <c r="B565" t="s">
        <v>24784</v>
      </c>
      <c r="C565" t="s">
        <v>20488</v>
      </c>
      <c r="D565" t="s">
        <v>11</v>
      </c>
      <c r="E565" t="s">
        <v>1430</v>
      </c>
      <c r="F565">
        <v>26</v>
      </c>
      <c r="G565" t="s">
        <v>109</v>
      </c>
      <c r="H565" t="s">
        <v>9788</v>
      </c>
      <c r="I565" t="s">
        <v>222</v>
      </c>
      <c r="J565" t="s">
        <v>12148</v>
      </c>
    </row>
    <row r="566" spans="1:10" x14ac:dyDescent="0.3">
      <c r="A566" t="s">
        <v>1432</v>
      </c>
      <c r="B566" t="s">
        <v>24785</v>
      </c>
      <c r="C566" t="s">
        <v>20488</v>
      </c>
      <c r="D566" t="s">
        <v>22</v>
      </c>
      <c r="E566" t="s">
        <v>12149</v>
      </c>
      <c r="F566">
        <v>29</v>
      </c>
      <c r="G566" t="s">
        <v>109</v>
      </c>
      <c r="H566" t="s">
        <v>9788</v>
      </c>
      <c r="I566" t="s">
        <v>481</v>
      </c>
      <c r="J566" t="s">
        <v>12150</v>
      </c>
    </row>
    <row r="567" spans="1:10" x14ac:dyDescent="0.3">
      <c r="A567" t="s">
        <v>1433</v>
      </c>
      <c r="B567" t="s">
        <v>24786</v>
      </c>
      <c r="C567" t="s">
        <v>20488</v>
      </c>
      <c r="D567" t="s">
        <v>22</v>
      </c>
      <c r="E567" t="s">
        <v>1434</v>
      </c>
      <c r="F567">
        <v>19</v>
      </c>
      <c r="G567" t="s">
        <v>337</v>
      </c>
      <c r="H567" t="s">
        <v>337</v>
      </c>
    </row>
    <row r="568" spans="1:10" x14ac:dyDescent="0.3">
      <c r="A568" t="s">
        <v>1435</v>
      </c>
      <c r="B568" t="s">
        <v>24787</v>
      </c>
      <c r="C568" t="s">
        <v>20488</v>
      </c>
      <c r="D568" t="s">
        <v>22</v>
      </c>
      <c r="E568" t="s">
        <v>1436</v>
      </c>
      <c r="F568">
        <v>69</v>
      </c>
      <c r="G568" t="s">
        <v>31</v>
      </c>
      <c r="H568" t="s">
        <v>31</v>
      </c>
      <c r="I568" t="s">
        <v>33</v>
      </c>
    </row>
    <row r="569" spans="1:10" x14ac:dyDescent="0.3">
      <c r="A569" t="s">
        <v>1437</v>
      </c>
      <c r="B569" t="s">
        <v>24788</v>
      </c>
      <c r="C569" t="s">
        <v>20489</v>
      </c>
      <c r="D569" t="s">
        <v>22</v>
      </c>
      <c r="E569" t="s">
        <v>1438</v>
      </c>
      <c r="F569">
        <v>48</v>
      </c>
      <c r="G569" t="s">
        <v>370</v>
      </c>
      <c r="H569" t="s">
        <v>46</v>
      </c>
      <c r="I569" t="s">
        <v>228</v>
      </c>
      <c r="J569" t="s">
        <v>1440</v>
      </c>
    </row>
    <row r="570" spans="1:10" x14ac:dyDescent="0.3">
      <c r="A570" t="s">
        <v>1442</v>
      </c>
      <c r="B570" t="s">
        <v>24789</v>
      </c>
      <c r="C570" t="s">
        <v>20486</v>
      </c>
      <c r="D570" t="s">
        <v>22</v>
      </c>
      <c r="E570" t="s">
        <v>1443</v>
      </c>
      <c r="F570">
        <v>41</v>
      </c>
      <c r="G570" t="s">
        <v>109</v>
      </c>
      <c r="H570" t="s">
        <v>9788</v>
      </c>
      <c r="I570" t="s">
        <v>971</v>
      </c>
      <c r="J570" t="s">
        <v>972</v>
      </c>
    </row>
    <row r="571" spans="1:10" x14ac:dyDescent="0.3">
      <c r="A571" t="s">
        <v>1445</v>
      </c>
      <c r="B571" t="s">
        <v>24790</v>
      </c>
      <c r="C571" t="s">
        <v>20486</v>
      </c>
      <c r="D571" t="s">
        <v>11</v>
      </c>
      <c r="E571" t="s">
        <v>1446</v>
      </c>
      <c r="F571">
        <v>19</v>
      </c>
      <c r="G571" t="s">
        <v>337</v>
      </c>
      <c r="H571" t="s">
        <v>337</v>
      </c>
    </row>
    <row r="572" spans="1:10" x14ac:dyDescent="0.3">
      <c r="A572" t="s">
        <v>1447</v>
      </c>
      <c r="B572" t="s">
        <v>24791</v>
      </c>
      <c r="C572" t="s">
        <v>20487</v>
      </c>
      <c r="D572" t="s">
        <v>11</v>
      </c>
      <c r="E572" t="s">
        <v>1448</v>
      </c>
      <c r="F572">
        <v>70</v>
      </c>
      <c r="G572" t="s">
        <v>201</v>
      </c>
      <c r="H572" t="s">
        <v>46</v>
      </c>
      <c r="J572" t="s">
        <v>1449</v>
      </c>
    </row>
    <row r="573" spans="1:10" x14ac:dyDescent="0.3">
      <c r="A573" t="s">
        <v>1450</v>
      </c>
      <c r="B573" t="s">
        <v>24792</v>
      </c>
      <c r="C573" t="s">
        <v>20486</v>
      </c>
      <c r="D573" t="s">
        <v>11</v>
      </c>
      <c r="E573" t="s">
        <v>1451</v>
      </c>
      <c r="F573">
        <v>60</v>
      </c>
      <c r="G573" t="s">
        <v>172</v>
      </c>
      <c r="H573" t="s">
        <v>12099</v>
      </c>
      <c r="J573" t="s">
        <v>315</v>
      </c>
    </row>
    <row r="574" spans="1:10" x14ac:dyDescent="0.3">
      <c r="A574" t="s">
        <v>1452</v>
      </c>
      <c r="B574" t="s">
        <v>24793</v>
      </c>
      <c r="C574" t="s">
        <v>20487</v>
      </c>
      <c r="D574" t="s">
        <v>11</v>
      </c>
      <c r="E574" t="s">
        <v>1453</v>
      </c>
      <c r="F574">
        <v>46</v>
      </c>
      <c r="G574" t="s">
        <v>46</v>
      </c>
      <c r="H574" t="s">
        <v>46</v>
      </c>
      <c r="J574" t="s">
        <v>1454</v>
      </c>
    </row>
    <row r="575" spans="1:10" x14ac:dyDescent="0.3">
      <c r="A575" t="s">
        <v>1455</v>
      </c>
      <c r="B575" t="s">
        <v>24794</v>
      </c>
      <c r="C575" t="s">
        <v>20486</v>
      </c>
      <c r="D575" t="s">
        <v>22</v>
      </c>
      <c r="E575" t="s">
        <v>1456</v>
      </c>
      <c r="F575">
        <v>63</v>
      </c>
      <c r="G575" t="s">
        <v>31</v>
      </c>
      <c r="H575" t="s">
        <v>31</v>
      </c>
    </row>
    <row r="576" spans="1:10" x14ac:dyDescent="0.3">
      <c r="A576" t="s">
        <v>1457</v>
      </c>
      <c r="B576" t="s">
        <v>24795</v>
      </c>
      <c r="C576" t="s">
        <v>20487</v>
      </c>
      <c r="D576" t="s">
        <v>22</v>
      </c>
      <c r="E576" t="s">
        <v>1458</v>
      </c>
      <c r="F576">
        <v>69</v>
      </c>
      <c r="G576" t="s">
        <v>46</v>
      </c>
      <c r="H576" t="s">
        <v>46</v>
      </c>
      <c r="J576" t="s">
        <v>1459</v>
      </c>
    </row>
    <row r="577" spans="1:10" x14ac:dyDescent="0.3">
      <c r="A577" t="s">
        <v>1460</v>
      </c>
      <c r="B577" t="s">
        <v>24796</v>
      </c>
      <c r="C577" t="s">
        <v>20486</v>
      </c>
      <c r="D577" t="s">
        <v>11</v>
      </c>
      <c r="E577" t="s">
        <v>1461</v>
      </c>
      <c r="F577">
        <v>52</v>
      </c>
      <c r="G577" t="s">
        <v>109</v>
      </c>
      <c r="H577" t="s">
        <v>9788</v>
      </c>
      <c r="I577" t="s">
        <v>1462</v>
      </c>
      <c r="J577" t="s">
        <v>1463</v>
      </c>
    </row>
    <row r="578" spans="1:10" x14ac:dyDescent="0.3">
      <c r="A578" t="s">
        <v>1464</v>
      </c>
      <c r="B578" t="s">
        <v>24797</v>
      </c>
      <c r="C578" t="s">
        <v>20486</v>
      </c>
      <c r="D578" t="s">
        <v>22</v>
      </c>
      <c r="E578" t="s">
        <v>76</v>
      </c>
      <c r="F578">
        <v>53</v>
      </c>
      <c r="G578" t="s">
        <v>172</v>
      </c>
      <c r="H578" t="s">
        <v>12099</v>
      </c>
      <c r="J578" t="s">
        <v>12151</v>
      </c>
    </row>
    <row r="579" spans="1:10" x14ac:dyDescent="0.3">
      <c r="A579" t="s">
        <v>1465</v>
      </c>
      <c r="B579" t="s">
        <v>24798</v>
      </c>
      <c r="C579" t="s">
        <v>20488</v>
      </c>
      <c r="D579" t="s">
        <v>22</v>
      </c>
      <c r="E579" t="s">
        <v>1466</v>
      </c>
      <c r="F579">
        <v>73</v>
      </c>
      <c r="G579" t="s">
        <v>31</v>
      </c>
      <c r="H579" t="s">
        <v>31</v>
      </c>
      <c r="I579" t="s">
        <v>33</v>
      </c>
    </row>
    <row r="580" spans="1:10" x14ac:dyDescent="0.3">
      <c r="A580" t="s">
        <v>1467</v>
      </c>
      <c r="B580" t="s">
        <v>24799</v>
      </c>
      <c r="C580" t="s">
        <v>20490</v>
      </c>
      <c r="D580" t="s">
        <v>22</v>
      </c>
      <c r="E580" t="s">
        <v>1368</v>
      </c>
      <c r="F580">
        <v>51</v>
      </c>
      <c r="H580" t="s">
        <v>46</v>
      </c>
      <c r="J580" t="s">
        <v>1468</v>
      </c>
    </row>
    <row r="581" spans="1:10" x14ac:dyDescent="0.3">
      <c r="A581" t="s">
        <v>1469</v>
      </c>
      <c r="B581" t="s">
        <v>24800</v>
      </c>
      <c r="C581" t="s">
        <v>20486</v>
      </c>
      <c r="D581" t="s">
        <v>22</v>
      </c>
      <c r="E581" t="s">
        <v>1470</v>
      </c>
      <c r="F581">
        <v>63</v>
      </c>
    </row>
    <row r="582" spans="1:10" x14ac:dyDescent="0.3">
      <c r="A582" t="s">
        <v>1471</v>
      </c>
      <c r="B582" t="s">
        <v>24801</v>
      </c>
      <c r="C582" t="s">
        <v>20486</v>
      </c>
      <c r="D582" t="s">
        <v>22</v>
      </c>
      <c r="E582" t="s">
        <v>1472</v>
      </c>
      <c r="F582">
        <v>39</v>
      </c>
    </row>
    <row r="583" spans="1:10" x14ac:dyDescent="0.3">
      <c r="A583" t="s">
        <v>1473</v>
      </c>
      <c r="B583" t="s">
        <v>24802</v>
      </c>
      <c r="C583" t="s">
        <v>20486</v>
      </c>
      <c r="D583" t="s">
        <v>22</v>
      </c>
      <c r="E583" t="s">
        <v>1474</v>
      </c>
      <c r="F583">
        <v>60</v>
      </c>
    </row>
    <row r="584" spans="1:10" x14ac:dyDescent="0.3">
      <c r="A584" t="s">
        <v>1475</v>
      </c>
      <c r="B584" t="s">
        <v>24803</v>
      </c>
      <c r="C584" t="s">
        <v>20488</v>
      </c>
      <c r="D584" t="s">
        <v>22</v>
      </c>
      <c r="E584" t="s">
        <v>1476</v>
      </c>
      <c r="F584">
        <v>56</v>
      </c>
      <c r="G584" t="s">
        <v>133</v>
      </c>
      <c r="H584" t="s">
        <v>9789</v>
      </c>
      <c r="I584" t="s">
        <v>1412</v>
      </c>
    </row>
    <row r="585" spans="1:10" x14ac:dyDescent="0.3">
      <c r="A585" t="s">
        <v>1477</v>
      </c>
      <c r="B585" t="s">
        <v>24804</v>
      </c>
      <c r="C585" t="s">
        <v>20487</v>
      </c>
      <c r="D585" t="s">
        <v>22</v>
      </c>
      <c r="E585" t="s">
        <v>1478</v>
      </c>
      <c r="F585">
        <v>50</v>
      </c>
      <c r="G585" t="s">
        <v>46</v>
      </c>
      <c r="H585" t="s">
        <v>46</v>
      </c>
      <c r="I585" t="s">
        <v>228</v>
      </c>
      <c r="J585" t="s">
        <v>1479</v>
      </c>
    </row>
    <row r="586" spans="1:10" x14ac:dyDescent="0.3">
      <c r="A586" t="s">
        <v>1480</v>
      </c>
      <c r="B586" t="s">
        <v>24805</v>
      </c>
      <c r="C586" t="s">
        <v>20487</v>
      </c>
      <c r="D586" t="s">
        <v>22</v>
      </c>
      <c r="E586" t="s">
        <v>1481</v>
      </c>
      <c r="F586">
        <v>66</v>
      </c>
      <c r="G586" t="s">
        <v>959</v>
      </c>
      <c r="H586" t="s">
        <v>9785</v>
      </c>
    </row>
    <row r="587" spans="1:10" x14ac:dyDescent="0.3">
      <c r="A587" t="s">
        <v>1482</v>
      </c>
      <c r="B587" t="s">
        <v>24806</v>
      </c>
      <c r="C587" t="s">
        <v>20486</v>
      </c>
      <c r="D587" t="s">
        <v>22</v>
      </c>
      <c r="E587" t="s">
        <v>1483</v>
      </c>
      <c r="F587">
        <v>54</v>
      </c>
      <c r="G587" t="s">
        <v>46</v>
      </c>
      <c r="H587" t="s">
        <v>46</v>
      </c>
      <c r="I587" t="s">
        <v>1484</v>
      </c>
      <c r="J587" t="s">
        <v>1485</v>
      </c>
    </row>
    <row r="588" spans="1:10" x14ac:dyDescent="0.3">
      <c r="A588" t="s">
        <v>1486</v>
      </c>
      <c r="B588" t="s">
        <v>24807</v>
      </c>
      <c r="C588" t="s">
        <v>20487</v>
      </c>
      <c r="D588" t="s">
        <v>11</v>
      </c>
      <c r="E588" t="s">
        <v>1487</v>
      </c>
      <c r="F588">
        <v>56</v>
      </c>
      <c r="G588" t="s">
        <v>201</v>
      </c>
      <c r="H588" t="s">
        <v>46</v>
      </c>
    </row>
    <row r="589" spans="1:10" x14ac:dyDescent="0.3">
      <c r="A589" t="s">
        <v>1488</v>
      </c>
      <c r="B589" t="s">
        <v>24808</v>
      </c>
      <c r="C589" t="s">
        <v>20486</v>
      </c>
      <c r="D589" t="s">
        <v>11</v>
      </c>
      <c r="E589" t="s">
        <v>1489</v>
      </c>
      <c r="F589">
        <v>41</v>
      </c>
      <c r="G589" t="s">
        <v>109</v>
      </c>
      <c r="H589" t="s">
        <v>9788</v>
      </c>
    </row>
    <row r="590" spans="1:10" x14ac:dyDescent="0.3">
      <c r="A590" t="s">
        <v>1491</v>
      </c>
      <c r="B590" t="s">
        <v>24809</v>
      </c>
      <c r="C590" t="s">
        <v>20486</v>
      </c>
      <c r="D590" t="s">
        <v>22</v>
      </c>
      <c r="E590" t="s">
        <v>1492</v>
      </c>
      <c r="F590">
        <v>48</v>
      </c>
      <c r="G590" t="s">
        <v>31</v>
      </c>
      <c r="H590" t="s">
        <v>31</v>
      </c>
    </row>
    <row r="591" spans="1:10" x14ac:dyDescent="0.3">
      <c r="A591" t="s">
        <v>1493</v>
      </c>
      <c r="B591" t="s">
        <v>24810</v>
      </c>
      <c r="C591" t="s">
        <v>20486</v>
      </c>
      <c r="D591" t="s">
        <v>11</v>
      </c>
      <c r="E591" t="s">
        <v>1494</v>
      </c>
      <c r="F591">
        <v>57</v>
      </c>
      <c r="G591" t="s">
        <v>133</v>
      </c>
      <c r="H591" t="s">
        <v>9789</v>
      </c>
      <c r="J591" t="s">
        <v>1495</v>
      </c>
    </row>
    <row r="592" spans="1:10" x14ac:dyDescent="0.3">
      <c r="A592" t="s">
        <v>1496</v>
      </c>
      <c r="B592" t="s">
        <v>24811</v>
      </c>
      <c r="C592" t="s">
        <v>20486</v>
      </c>
      <c r="D592" t="s">
        <v>22</v>
      </c>
      <c r="E592" t="s">
        <v>619</v>
      </c>
      <c r="F592">
        <v>45</v>
      </c>
      <c r="G592" t="s">
        <v>16</v>
      </c>
      <c r="H592" t="s">
        <v>9785</v>
      </c>
      <c r="I592" t="s">
        <v>17</v>
      </c>
      <c r="J592" t="s">
        <v>1497</v>
      </c>
    </row>
    <row r="593" spans="1:10" x14ac:dyDescent="0.3">
      <c r="A593" t="s">
        <v>1498</v>
      </c>
      <c r="B593" t="s">
        <v>24812</v>
      </c>
      <c r="C593" t="s">
        <v>20487</v>
      </c>
      <c r="D593" t="s">
        <v>11</v>
      </c>
      <c r="E593" t="s">
        <v>1499</v>
      </c>
      <c r="F593">
        <v>65</v>
      </c>
      <c r="G593" t="s">
        <v>1269</v>
      </c>
      <c r="H593" t="s">
        <v>12074</v>
      </c>
    </row>
    <row r="594" spans="1:10" x14ac:dyDescent="0.3">
      <c r="A594" t="s">
        <v>1501</v>
      </c>
      <c r="B594" t="s">
        <v>24813</v>
      </c>
      <c r="C594" t="s">
        <v>20488</v>
      </c>
      <c r="D594" t="s">
        <v>22</v>
      </c>
      <c r="E594" t="s">
        <v>1502</v>
      </c>
      <c r="F594">
        <v>58</v>
      </c>
      <c r="G594" t="s">
        <v>31</v>
      </c>
      <c r="H594" t="s">
        <v>31</v>
      </c>
      <c r="I594" t="s">
        <v>33</v>
      </c>
    </row>
    <row r="595" spans="1:10" x14ac:dyDescent="0.3">
      <c r="A595" t="s">
        <v>12152</v>
      </c>
      <c r="B595" t="s">
        <v>24814</v>
      </c>
      <c r="C595" t="s">
        <v>20488</v>
      </c>
      <c r="D595" t="s">
        <v>22</v>
      </c>
      <c r="E595" t="s">
        <v>1503</v>
      </c>
      <c r="F595">
        <v>62</v>
      </c>
      <c r="G595" t="s">
        <v>31</v>
      </c>
      <c r="H595" t="s">
        <v>31</v>
      </c>
    </row>
    <row r="596" spans="1:10" x14ac:dyDescent="0.3">
      <c r="A596" t="s">
        <v>12153</v>
      </c>
      <c r="B596" t="s">
        <v>24815</v>
      </c>
      <c r="C596" t="s">
        <v>20488</v>
      </c>
      <c r="D596" t="s">
        <v>11</v>
      </c>
      <c r="E596" t="s">
        <v>1504</v>
      </c>
      <c r="F596">
        <v>66</v>
      </c>
      <c r="G596" t="s">
        <v>31</v>
      </c>
      <c r="H596" t="s">
        <v>31</v>
      </c>
    </row>
    <row r="597" spans="1:10" x14ac:dyDescent="0.3">
      <c r="A597" t="s">
        <v>12154</v>
      </c>
      <c r="B597" t="s">
        <v>24816</v>
      </c>
      <c r="C597" t="s">
        <v>20488</v>
      </c>
      <c r="D597" t="s">
        <v>11</v>
      </c>
      <c r="E597" t="s">
        <v>9770</v>
      </c>
      <c r="F597">
        <v>18</v>
      </c>
      <c r="G597" t="s">
        <v>337</v>
      </c>
      <c r="H597" t="s">
        <v>337</v>
      </c>
    </row>
    <row r="598" spans="1:10" x14ac:dyDescent="0.3">
      <c r="A598" t="s">
        <v>1505</v>
      </c>
      <c r="B598" t="s">
        <v>24817</v>
      </c>
      <c r="C598" t="s">
        <v>20490</v>
      </c>
      <c r="D598" t="s">
        <v>11</v>
      </c>
      <c r="E598" t="s">
        <v>1506</v>
      </c>
      <c r="F598">
        <v>67</v>
      </c>
      <c r="G598" t="s">
        <v>1507</v>
      </c>
      <c r="H598" t="s">
        <v>46</v>
      </c>
      <c r="J598" t="s">
        <v>1508</v>
      </c>
    </row>
    <row r="599" spans="1:10" x14ac:dyDescent="0.3">
      <c r="A599" t="s">
        <v>1509</v>
      </c>
      <c r="B599" t="s">
        <v>24818</v>
      </c>
      <c r="C599" t="s">
        <v>20490</v>
      </c>
      <c r="D599" t="s">
        <v>11</v>
      </c>
      <c r="E599" t="s">
        <v>146</v>
      </c>
      <c r="F599">
        <v>65</v>
      </c>
      <c r="G599" t="s">
        <v>109</v>
      </c>
      <c r="H599" t="s">
        <v>9788</v>
      </c>
    </row>
    <row r="600" spans="1:10" x14ac:dyDescent="0.3">
      <c r="A600" t="s">
        <v>12155</v>
      </c>
      <c r="B600" t="s">
        <v>24819</v>
      </c>
      <c r="C600" t="s">
        <v>20490</v>
      </c>
      <c r="D600" t="s">
        <v>11</v>
      </c>
      <c r="E600" t="s">
        <v>9769</v>
      </c>
      <c r="F600">
        <v>21</v>
      </c>
    </row>
    <row r="601" spans="1:10" x14ac:dyDescent="0.3">
      <c r="A601" t="s">
        <v>1510</v>
      </c>
      <c r="B601" t="s">
        <v>24820</v>
      </c>
      <c r="C601" t="s">
        <v>20486</v>
      </c>
      <c r="D601" t="s">
        <v>22</v>
      </c>
      <c r="E601" t="s">
        <v>1511</v>
      </c>
      <c r="F601">
        <v>41</v>
      </c>
      <c r="G601" t="s">
        <v>46</v>
      </c>
      <c r="H601" t="s">
        <v>46</v>
      </c>
    </row>
    <row r="602" spans="1:10" x14ac:dyDescent="0.3">
      <c r="A602" t="s">
        <v>1512</v>
      </c>
      <c r="B602" t="s">
        <v>24821</v>
      </c>
      <c r="C602" t="s">
        <v>20487</v>
      </c>
      <c r="D602" t="s">
        <v>22</v>
      </c>
      <c r="E602" t="s">
        <v>1513</v>
      </c>
      <c r="F602">
        <v>65</v>
      </c>
      <c r="G602" t="s">
        <v>46</v>
      </c>
      <c r="H602" t="s">
        <v>46</v>
      </c>
      <c r="I602" t="s">
        <v>220</v>
      </c>
      <c r="J602" t="s">
        <v>1514</v>
      </c>
    </row>
    <row r="603" spans="1:10" x14ac:dyDescent="0.3">
      <c r="A603" t="s">
        <v>1515</v>
      </c>
      <c r="B603" t="s">
        <v>24822</v>
      </c>
      <c r="C603" t="s">
        <v>20490</v>
      </c>
      <c r="D603" t="s">
        <v>11</v>
      </c>
      <c r="E603" t="s">
        <v>1516</v>
      </c>
      <c r="F603">
        <v>75</v>
      </c>
      <c r="G603" t="s">
        <v>243</v>
      </c>
      <c r="H603" t="s">
        <v>243</v>
      </c>
      <c r="J603" t="s">
        <v>1517</v>
      </c>
    </row>
    <row r="604" spans="1:10" x14ac:dyDescent="0.3">
      <c r="A604" t="s">
        <v>12156</v>
      </c>
      <c r="B604" t="s">
        <v>24823</v>
      </c>
      <c r="C604" t="s">
        <v>20486</v>
      </c>
      <c r="D604" t="s">
        <v>22</v>
      </c>
      <c r="E604" t="s">
        <v>9768</v>
      </c>
      <c r="F604">
        <v>19</v>
      </c>
      <c r="G604" t="s">
        <v>243</v>
      </c>
      <c r="H604" t="s">
        <v>337</v>
      </c>
      <c r="I604" t="s">
        <v>18807</v>
      </c>
      <c r="J604" t="s">
        <v>14292</v>
      </c>
    </row>
    <row r="605" spans="1:10" x14ac:dyDescent="0.3">
      <c r="A605" t="s">
        <v>1518</v>
      </c>
      <c r="B605" t="s">
        <v>24824</v>
      </c>
      <c r="C605" t="s">
        <v>20488</v>
      </c>
      <c r="D605" t="s">
        <v>22</v>
      </c>
      <c r="E605" t="s">
        <v>1519</v>
      </c>
      <c r="F605">
        <v>61</v>
      </c>
      <c r="G605" t="s">
        <v>31</v>
      </c>
      <c r="H605" t="s">
        <v>31</v>
      </c>
      <c r="I605" t="s">
        <v>33</v>
      </c>
    </row>
    <row r="606" spans="1:10" x14ac:dyDescent="0.3">
      <c r="A606" t="s">
        <v>1520</v>
      </c>
      <c r="B606" t="s">
        <v>24825</v>
      </c>
      <c r="C606" t="s">
        <v>20486</v>
      </c>
      <c r="D606" t="s">
        <v>11</v>
      </c>
      <c r="E606" t="s">
        <v>1521</v>
      </c>
      <c r="F606">
        <v>56</v>
      </c>
      <c r="G606" t="s">
        <v>46</v>
      </c>
      <c r="H606" t="s">
        <v>46</v>
      </c>
      <c r="J606" t="s">
        <v>1522</v>
      </c>
    </row>
    <row r="607" spans="1:10" x14ac:dyDescent="0.3">
      <c r="A607" t="s">
        <v>1523</v>
      </c>
      <c r="B607" t="s">
        <v>24826</v>
      </c>
      <c r="C607" t="s">
        <v>20486</v>
      </c>
      <c r="D607" t="s">
        <v>11</v>
      </c>
      <c r="E607" t="s">
        <v>1524</v>
      </c>
      <c r="F607">
        <v>61</v>
      </c>
      <c r="G607" t="s">
        <v>1525</v>
      </c>
      <c r="H607" t="s">
        <v>9789</v>
      </c>
      <c r="I607" t="s">
        <v>1526</v>
      </c>
      <c r="J607" t="s">
        <v>1527</v>
      </c>
    </row>
    <row r="608" spans="1:10" x14ac:dyDescent="0.3">
      <c r="A608" t="s">
        <v>1528</v>
      </c>
      <c r="B608" t="s">
        <v>24827</v>
      </c>
      <c r="C608" t="s">
        <v>20488</v>
      </c>
      <c r="D608" t="s">
        <v>22</v>
      </c>
      <c r="E608" t="s">
        <v>1529</v>
      </c>
      <c r="F608">
        <v>74</v>
      </c>
      <c r="G608" t="s">
        <v>31</v>
      </c>
      <c r="H608" t="s">
        <v>31</v>
      </c>
      <c r="I608" t="s">
        <v>33</v>
      </c>
    </row>
    <row r="609" spans="1:10" x14ac:dyDescent="0.3">
      <c r="A609" t="s">
        <v>1530</v>
      </c>
      <c r="B609" t="s">
        <v>24828</v>
      </c>
      <c r="C609" t="s">
        <v>20487</v>
      </c>
      <c r="D609" t="s">
        <v>11</v>
      </c>
      <c r="E609" t="s">
        <v>1531</v>
      </c>
      <c r="F609">
        <v>73</v>
      </c>
      <c r="G609" t="s">
        <v>231</v>
      </c>
      <c r="H609" t="s">
        <v>9788</v>
      </c>
    </row>
    <row r="610" spans="1:10" x14ac:dyDescent="0.3">
      <c r="A610" t="s">
        <v>1532</v>
      </c>
      <c r="B610" t="s">
        <v>24829</v>
      </c>
      <c r="C610" t="s">
        <v>20488</v>
      </c>
      <c r="D610" t="s">
        <v>11</v>
      </c>
      <c r="E610" t="s">
        <v>1533</v>
      </c>
      <c r="F610">
        <v>60</v>
      </c>
      <c r="G610" t="s">
        <v>109</v>
      </c>
      <c r="H610" t="s">
        <v>9788</v>
      </c>
      <c r="I610" t="s">
        <v>1534</v>
      </c>
      <c r="J610" t="s">
        <v>1535</v>
      </c>
    </row>
    <row r="611" spans="1:10" x14ac:dyDescent="0.3">
      <c r="A611" t="s">
        <v>1536</v>
      </c>
      <c r="B611" t="s">
        <v>24830</v>
      </c>
      <c r="C611" t="s">
        <v>20486</v>
      </c>
      <c r="D611" t="s">
        <v>11</v>
      </c>
      <c r="E611" t="s">
        <v>1537</v>
      </c>
      <c r="F611">
        <v>68</v>
      </c>
      <c r="G611" t="s">
        <v>46</v>
      </c>
      <c r="H611" t="s">
        <v>46</v>
      </c>
      <c r="I611" t="s">
        <v>228</v>
      </c>
      <c r="J611" t="s">
        <v>1538</v>
      </c>
    </row>
    <row r="612" spans="1:10" x14ac:dyDescent="0.3">
      <c r="A612" t="s">
        <v>1539</v>
      </c>
      <c r="B612" t="s">
        <v>24831</v>
      </c>
      <c r="C612" t="s">
        <v>20486</v>
      </c>
      <c r="D612" t="s">
        <v>11</v>
      </c>
      <c r="E612" t="s">
        <v>1540</v>
      </c>
      <c r="F612">
        <v>57</v>
      </c>
      <c r="G612" t="s">
        <v>16</v>
      </c>
      <c r="H612" t="s">
        <v>9785</v>
      </c>
      <c r="I612" t="s">
        <v>17</v>
      </c>
      <c r="J612" t="s">
        <v>1541</v>
      </c>
    </row>
    <row r="613" spans="1:10" x14ac:dyDescent="0.3">
      <c r="A613" t="s">
        <v>1542</v>
      </c>
      <c r="B613" t="s">
        <v>24832</v>
      </c>
      <c r="C613" t="s">
        <v>20488</v>
      </c>
      <c r="D613" t="s">
        <v>22</v>
      </c>
      <c r="E613" t="s">
        <v>1543</v>
      </c>
      <c r="F613">
        <v>53</v>
      </c>
      <c r="G613" t="s">
        <v>31</v>
      </c>
      <c r="H613" t="s">
        <v>31</v>
      </c>
      <c r="I613" t="s">
        <v>33</v>
      </c>
    </row>
    <row r="614" spans="1:10" x14ac:dyDescent="0.3">
      <c r="A614" t="s">
        <v>1544</v>
      </c>
      <c r="B614" t="s">
        <v>24833</v>
      </c>
      <c r="C614" t="s">
        <v>20487</v>
      </c>
      <c r="D614" t="s">
        <v>22</v>
      </c>
      <c r="E614" t="s">
        <v>1545</v>
      </c>
      <c r="F614">
        <v>42</v>
      </c>
      <c r="G614" t="s">
        <v>16</v>
      </c>
      <c r="H614" t="s">
        <v>9785</v>
      </c>
      <c r="I614" t="s">
        <v>1546</v>
      </c>
      <c r="J614" t="s">
        <v>1547</v>
      </c>
    </row>
    <row r="615" spans="1:10" x14ac:dyDescent="0.3">
      <c r="A615" t="s">
        <v>1548</v>
      </c>
      <c r="B615" t="s">
        <v>24834</v>
      </c>
      <c r="C615" t="s">
        <v>20486</v>
      </c>
      <c r="D615" t="s">
        <v>22</v>
      </c>
      <c r="E615" t="s">
        <v>1549</v>
      </c>
      <c r="F615">
        <v>69</v>
      </c>
      <c r="G615" t="s">
        <v>13</v>
      </c>
      <c r="H615" t="s">
        <v>13</v>
      </c>
    </row>
    <row r="616" spans="1:10" x14ac:dyDescent="0.3">
      <c r="A616" t="s">
        <v>1550</v>
      </c>
      <c r="B616" t="s">
        <v>24835</v>
      </c>
      <c r="C616" t="s">
        <v>20490</v>
      </c>
      <c r="D616" t="s">
        <v>11</v>
      </c>
      <c r="E616" t="s">
        <v>1551</v>
      </c>
      <c r="F616">
        <v>31</v>
      </c>
      <c r="G616" t="s">
        <v>109</v>
      </c>
      <c r="H616" t="s">
        <v>9788</v>
      </c>
    </row>
    <row r="617" spans="1:10" x14ac:dyDescent="0.3">
      <c r="A617" t="s">
        <v>1552</v>
      </c>
      <c r="B617" t="s">
        <v>24836</v>
      </c>
      <c r="C617" t="s">
        <v>20486</v>
      </c>
      <c r="D617" t="s">
        <v>22</v>
      </c>
      <c r="E617" t="s">
        <v>1553</v>
      </c>
      <c r="F617">
        <v>73</v>
      </c>
      <c r="G617" t="s">
        <v>31</v>
      </c>
      <c r="H617" t="s">
        <v>31</v>
      </c>
    </row>
    <row r="618" spans="1:10" x14ac:dyDescent="0.3">
      <c r="A618" t="s">
        <v>1554</v>
      </c>
      <c r="B618" t="s">
        <v>24837</v>
      </c>
      <c r="C618" t="s">
        <v>20488</v>
      </c>
      <c r="D618" t="s">
        <v>11</v>
      </c>
      <c r="E618" t="s">
        <v>1555</v>
      </c>
      <c r="F618">
        <v>59</v>
      </c>
      <c r="G618" t="s">
        <v>109</v>
      </c>
      <c r="H618" t="s">
        <v>9788</v>
      </c>
    </row>
    <row r="619" spans="1:10" x14ac:dyDescent="0.3">
      <c r="A619" t="s">
        <v>1556</v>
      </c>
      <c r="B619" t="s">
        <v>24838</v>
      </c>
      <c r="C619" t="s">
        <v>20490</v>
      </c>
      <c r="D619" t="s">
        <v>22</v>
      </c>
      <c r="E619" t="s">
        <v>1557</v>
      </c>
      <c r="F619">
        <v>59</v>
      </c>
      <c r="G619" t="s">
        <v>370</v>
      </c>
      <c r="H619" t="s">
        <v>243</v>
      </c>
      <c r="J619" t="s">
        <v>1558</v>
      </c>
    </row>
    <row r="620" spans="1:10" x14ac:dyDescent="0.3">
      <c r="A620" t="s">
        <v>12158</v>
      </c>
      <c r="B620" t="s">
        <v>24839</v>
      </c>
      <c r="C620" t="s">
        <v>20486</v>
      </c>
      <c r="D620" t="s">
        <v>22</v>
      </c>
      <c r="E620" t="s">
        <v>9767</v>
      </c>
      <c r="F620">
        <v>20</v>
      </c>
    </row>
    <row r="621" spans="1:10" x14ac:dyDescent="0.3">
      <c r="A621" t="s">
        <v>1559</v>
      </c>
      <c r="B621" t="s">
        <v>24840</v>
      </c>
      <c r="C621" t="s">
        <v>20490</v>
      </c>
      <c r="D621" t="s">
        <v>22</v>
      </c>
      <c r="E621" t="s">
        <v>1560</v>
      </c>
      <c r="F621">
        <v>31</v>
      </c>
      <c r="G621" t="s">
        <v>109</v>
      </c>
      <c r="H621" t="s">
        <v>9788</v>
      </c>
      <c r="J621" t="s">
        <v>1561</v>
      </c>
    </row>
    <row r="622" spans="1:10" x14ac:dyDescent="0.3">
      <c r="A622" t="s">
        <v>1562</v>
      </c>
      <c r="B622" t="s">
        <v>24841</v>
      </c>
      <c r="C622" t="s">
        <v>20486</v>
      </c>
      <c r="D622" t="s">
        <v>11</v>
      </c>
      <c r="E622" t="s">
        <v>1470</v>
      </c>
      <c r="F622">
        <v>63</v>
      </c>
    </row>
    <row r="623" spans="1:10" x14ac:dyDescent="0.3">
      <c r="A623" t="s">
        <v>1564</v>
      </c>
      <c r="B623" t="s">
        <v>24842</v>
      </c>
      <c r="C623" t="s">
        <v>20487</v>
      </c>
      <c r="D623" t="s">
        <v>11</v>
      </c>
      <c r="E623" t="s">
        <v>1565</v>
      </c>
      <c r="F623">
        <v>57</v>
      </c>
      <c r="G623" t="s">
        <v>1269</v>
      </c>
      <c r="H623" t="s">
        <v>12074</v>
      </c>
    </row>
    <row r="624" spans="1:10" x14ac:dyDescent="0.3">
      <c r="A624" t="s">
        <v>1566</v>
      </c>
      <c r="B624" t="s">
        <v>24843</v>
      </c>
      <c r="C624" t="s">
        <v>20487</v>
      </c>
      <c r="D624" t="s">
        <v>11</v>
      </c>
      <c r="E624" t="s">
        <v>1567</v>
      </c>
      <c r="F624">
        <v>28</v>
      </c>
    </row>
    <row r="625" spans="1:10" x14ac:dyDescent="0.3">
      <c r="A625" t="s">
        <v>1568</v>
      </c>
      <c r="B625" t="s">
        <v>24844</v>
      </c>
      <c r="C625" t="s">
        <v>20486</v>
      </c>
      <c r="D625" t="s">
        <v>22</v>
      </c>
      <c r="E625" t="s">
        <v>1569</v>
      </c>
      <c r="F625">
        <v>69</v>
      </c>
      <c r="G625" t="s">
        <v>31</v>
      </c>
      <c r="H625" t="s">
        <v>31</v>
      </c>
    </row>
    <row r="626" spans="1:10" x14ac:dyDescent="0.3">
      <c r="A626" t="s">
        <v>1570</v>
      </c>
      <c r="B626" t="s">
        <v>24845</v>
      </c>
      <c r="C626" t="s">
        <v>20490</v>
      </c>
      <c r="D626" t="s">
        <v>22</v>
      </c>
      <c r="E626" t="s">
        <v>1571</v>
      </c>
      <c r="F626">
        <v>67</v>
      </c>
      <c r="G626" t="s">
        <v>31</v>
      </c>
      <c r="H626" t="s">
        <v>31</v>
      </c>
    </row>
    <row r="627" spans="1:10" x14ac:dyDescent="0.3">
      <c r="A627" t="s">
        <v>1572</v>
      </c>
      <c r="B627" t="s">
        <v>24846</v>
      </c>
      <c r="C627" t="s">
        <v>20486</v>
      </c>
      <c r="D627" t="s">
        <v>22</v>
      </c>
      <c r="E627" t="s">
        <v>1573</v>
      </c>
      <c r="F627">
        <v>73</v>
      </c>
      <c r="G627" t="s">
        <v>133</v>
      </c>
      <c r="H627" t="s">
        <v>9789</v>
      </c>
      <c r="I627" t="s">
        <v>1574</v>
      </c>
      <c r="J627" t="s">
        <v>1575</v>
      </c>
    </row>
    <row r="628" spans="1:10" x14ac:dyDescent="0.3">
      <c r="A628" t="s">
        <v>1576</v>
      </c>
      <c r="B628" t="s">
        <v>24847</v>
      </c>
      <c r="C628" t="s">
        <v>20486</v>
      </c>
      <c r="D628" t="s">
        <v>22</v>
      </c>
      <c r="E628" t="s">
        <v>1577</v>
      </c>
      <c r="F628">
        <v>39</v>
      </c>
      <c r="G628" t="s">
        <v>1200</v>
      </c>
      <c r="H628" t="s">
        <v>9788</v>
      </c>
      <c r="J628" t="s">
        <v>1578</v>
      </c>
    </row>
    <row r="629" spans="1:10" x14ac:dyDescent="0.3">
      <c r="A629" t="s">
        <v>1579</v>
      </c>
      <c r="B629" t="s">
        <v>24848</v>
      </c>
      <c r="C629" t="s">
        <v>20487</v>
      </c>
      <c r="D629" t="s">
        <v>11</v>
      </c>
      <c r="E629" t="s">
        <v>1580</v>
      </c>
      <c r="F629">
        <v>57</v>
      </c>
      <c r="G629" t="s">
        <v>231</v>
      </c>
      <c r="H629" t="s">
        <v>9788</v>
      </c>
    </row>
    <row r="630" spans="1:10" x14ac:dyDescent="0.3">
      <c r="A630" t="s">
        <v>1581</v>
      </c>
      <c r="B630" t="s">
        <v>24849</v>
      </c>
      <c r="C630" t="s">
        <v>20486</v>
      </c>
      <c r="D630" t="s">
        <v>11</v>
      </c>
      <c r="E630" t="s">
        <v>1582</v>
      </c>
      <c r="F630">
        <v>52</v>
      </c>
      <c r="G630" t="s">
        <v>172</v>
      </c>
      <c r="H630" t="s">
        <v>12099</v>
      </c>
      <c r="I630" t="s">
        <v>421</v>
      </c>
      <c r="J630" t="s">
        <v>1583</v>
      </c>
    </row>
    <row r="631" spans="1:10" x14ac:dyDescent="0.3">
      <c r="A631" t="s">
        <v>1584</v>
      </c>
      <c r="B631" t="s">
        <v>24850</v>
      </c>
      <c r="C631" t="s">
        <v>20488</v>
      </c>
      <c r="D631" t="s">
        <v>11</v>
      </c>
      <c r="E631" t="s">
        <v>1585</v>
      </c>
      <c r="F631">
        <v>29</v>
      </c>
      <c r="G631" t="s">
        <v>109</v>
      </c>
      <c r="H631" t="s">
        <v>9788</v>
      </c>
    </row>
    <row r="632" spans="1:10" x14ac:dyDescent="0.3">
      <c r="A632" t="s">
        <v>1586</v>
      </c>
      <c r="B632" t="s">
        <v>24851</v>
      </c>
      <c r="C632" t="s">
        <v>20486</v>
      </c>
      <c r="D632" t="s">
        <v>22</v>
      </c>
      <c r="E632" t="s">
        <v>1587</v>
      </c>
      <c r="F632">
        <v>61</v>
      </c>
      <c r="G632" t="s">
        <v>31</v>
      </c>
      <c r="H632" t="s">
        <v>31</v>
      </c>
      <c r="J632" t="s">
        <v>33</v>
      </c>
    </row>
    <row r="633" spans="1:10" x14ac:dyDescent="0.3">
      <c r="A633" t="s">
        <v>1588</v>
      </c>
      <c r="B633" t="s">
        <v>24852</v>
      </c>
      <c r="C633" t="s">
        <v>20487</v>
      </c>
      <c r="D633" t="s">
        <v>11</v>
      </c>
      <c r="E633" t="s">
        <v>1589</v>
      </c>
      <c r="F633">
        <v>65</v>
      </c>
      <c r="G633" t="s">
        <v>384</v>
      </c>
    </row>
    <row r="634" spans="1:10" x14ac:dyDescent="0.3">
      <c r="A634" t="s">
        <v>1590</v>
      </c>
      <c r="B634" t="s">
        <v>24853</v>
      </c>
      <c r="C634" t="s">
        <v>20487</v>
      </c>
      <c r="D634" t="s">
        <v>22</v>
      </c>
      <c r="E634" t="s">
        <v>1591</v>
      </c>
      <c r="F634">
        <v>56</v>
      </c>
      <c r="G634" t="s">
        <v>46</v>
      </c>
      <c r="H634" t="s">
        <v>46</v>
      </c>
      <c r="J634" t="s">
        <v>1558</v>
      </c>
    </row>
    <row r="635" spans="1:10" x14ac:dyDescent="0.3">
      <c r="A635" t="s">
        <v>1592</v>
      </c>
      <c r="B635" t="s">
        <v>24854</v>
      </c>
      <c r="C635" t="s">
        <v>20488</v>
      </c>
      <c r="D635" t="s">
        <v>22</v>
      </c>
      <c r="E635" t="s">
        <v>1593</v>
      </c>
      <c r="F635">
        <v>63</v>
      </c>
      <c r="G635" t="s">
        <v>31</v>
      </c>
      <c r="H635" t="s">
        <v>31</v>
      </c>
      <c r="I635" t="s">
        <v>33</v>
      </c>
    </row>
    <row r="636" spans="1:10" x14ac:dyDescent="0.3">
      <c r="A636" t="s">
        <v>1594</v>
      </c>
      <c r="B636" t="s">
        <v>24855</v>
      </c>
      <c r="C636" t="s">
        <v>20487</v>
      </c>
      <c r="D636" t="s">
        <v>11</v>
      </c>
      <c r="E636" t="s">
        <v>1595</v>
      </c>
      <c r="F636">
        <v>50</v>
      </c>
      <c r="G636" t="s">
        <v>46</v>
      </c>
      <c r="H636" t="s">
        <v>46</v>
      </c>
      <c r="I636" t="s">
        <v>228</v>
      </c>
      <c r="J636" t="s">
        <v>10579</v>
      </c>
    </row>
    <row r="637" spans="1:10" x14ac:dyDescent="0.3">
      <c r="A637" t="s">
        <v>1596</v>
      </c>
      <c r="B637" t="s">
        <v>24856</v>
      </c>
      <c r="C637" t="s">
        <v>20488</v>
      </c>
      <c r="D637" t="s">
        <v>22</v>
      </c>
      <c r="E637" t="s">
        <v>1597</v>
      </c>
      <c r="F637">
        <v>60</v>
      </c>
      <c r="G637" t="s">
        <v>16</v>
      </c>
      <c r="H637" t="s">
        <v>9785</v>
      </c>
      <c r="I637" t="s">
        <v>449</v>
      </c>
      <c r="J637" t="s">
        <v>1125</v>
      </c>
    </row>
    <row r="638" spans="1:10" x14ac:dyDescent="0.3">
      <c r="A638" t="s">
        <v>1598</v>
      </c>
      <c r="B638" t="s">
        <v>24857</v>
      </c>
      <c r="C638" t="s">
        <v>20488</v>
      </c>
      <c r="D638" t="s">
        <v>22</v>
      </c>
      <c r="E638" t="s">
        <v>1599</v>
      </c>
      <c r="F638">
        <v>24</v>
      </c>
      <c r="G638" t="s">
        <v>109</v>
      </c>
      <c r="H638" t="s">
        <v>337</v>
      </c>
    </row>
    <row r="639" spans="1:10" x14ac:dyDescent="0.3">
      <c r="A639" t="s">
        <v>1600</v>
      </c>
      <c r="B639" t="s">
        <v>24858</v>
      </c>
      <c r="C639" t="s">
        <v>20486</v>
      </c>
      <c r="D639" t="s">
        <v>22</v>
      </c>
      <c r="E639" t="s">
        <v>1601</v>
      </c>
      <c r="F639">
        <v>65</v>
      </c>
      <c r="G639" t="s">
        <v>46</v>
      </c>
      <c r="H639" t="s">
        <v>46</v>
      </c>
      <c r="I639" t="s">
        <v>139</v>
      </c>
      <c r="J639" t="s">
        <v>1388</v>
      </c>
    </row>
    <row r="640" spans="1:10" x14ac:dyDescent="0.3">
      <c r="A640" t="s">
        <v>1602</v>
      </c>
      <c r="B640" t="s">
        <v>24859</v>
      </c>
      <c r="C640" t="s">
        <v>20489</v>
      </c>
      <c r="D640" t="s">
        <v>11</v>
      </c>
      <c r="E640" t="s">
        <v>1603</v>
      </c>
      <c r="F640">
        <v>61</v>
      </c>
      <c r="G640" t="s">
        <v>13</v>
      </c>
      <c r="H640" t="s">
        <v>13</v>
      </c>
      <c r="I640" t="s">
        <v>173</v>
      </c>
      <c r="J640" t="s">
        <v>1604</v>
      </c>
    </row>
    <row r="641" spans="1:10" x14ac:dyDescent="0.3">
      <c r="A641" t="s">
        <v>1605</v>
      </c>
      <c r="B641" t="s">
        <v>24860</v>
      </c>
      <c r="C641" t="s">
        <v>20489</v>
      </c>
      <c r="D641" t="s">
        <v>22</v>
      </c>
      <c r="E641" t="s">
        <v>1606</v>
      </c>
      <c r="F641">
        <v>58</v>
      </c>
      <c r="G641" t="s">
        <v>109</v>
      </c>
      <c r="H641" t="s">
        <v>9788</v>
      </c>
      <c r="I641" t="s">
        <v>17</v>
      </c>
      <c r="J641" t="s">
        <v>1607</v>
      </c>
    </row>
    <row r="642" spans="1:10" x14ac:dyDescent="0.3">
      <c r="A642" t="s">
        <v>1608</v>
      </c>
      <c r="B642" t="s">
        <v>24861</v>
      </c>
      <c r="C642" t="s">
        <v>20489</v>
      </c>
      <c r="D642" t="s">
        <v>22</v>
      </c>
      <c r="E642" t="s">
        <v>1609</v>
      </c>
      <c r="F642">
        <v>56</v>
      </c>
      <c r="G642" t="s">
        <v>13</v>
      </c>
      <c r="H642" t="s">
        <v>13</v>
      </c>
      <c r="I642" t="s">
        <v>17</v>
      </c>
      <c r="J642" t="s">
        <v>1610</v>
      </c>
    </row>
    <row r="643" spans="1:10" x14ac:dyDescent="0.3">
      <c r="A643" t="s">
        <v>1611</v>
      </c>
      <c r="B643" t="s">
        <v>24862</v>
      </c>
      <c r="C643" t="s">
        <v>20486</v>
      </c>
      <c r="D643" t="s">
        <v>11</v>
      </c>
      <c r="E643" t="s">
        <v>1612</v>
      </c>
      <c r="F643">
        <v>52</v>
      </c>
      <c r="G643" t="s">
        <v>109</v>
      </c>
      <c r="H643" t="s">
        <v>9788</v>
      </c>
      <c r="I643" t="s">
        <v>971</v>
      </c>
    </row>
    <row r="644" spans="1:10" x14ac:dyDescent="0.3">
      <c r="A644" t="s">
        <v>1614</v>
      </c>
      <c r="B644" t="s">
        <v>24863</v>
      </c>
      <c r="C644" t="s">
        <v>20487</v>
      </c>
      <c r="D644" t="s">
        <v>11</v>
      </c>
      <c r="E644" t="s">
        <v>1615</v>
      </c>
      <c r="F644">
        <v>56</v>
      </c>
      <c r="G644" t="s">
        <v>46</v>
      </c>
      <c r="H644" t="s">
        <v>46</v>
      </c>
    </row>
    <row r="645" spans="1:10" x14ac:dyDescent="0.3">
      <c r="A645" t="s">
        <v>1616</v>
      </c>
      <c r="B645" t="s">
        <v>24864</v>
      </c>
      <c r="C645" t="s">
        <v>20488</v>
      </c>
      <c r="D645" t="s">
        <v>22</v>
      </c>
      <c r="E645" t="s">
        <v>1617</v>
      </c>
      <c r="F645">
        <v>58</v>
      </c>
      <c r="G645" t="s">
        <v>109</v>
      </c>
      <c r="H645" t="s">
        <v>9788</v>
      </c>
    </row>
    <row r="646" spans="1:10" x14ac:dyDescent="0.3">
      <c r="A646" t="s">
        <v>12159</v>
      </c>
      <c r="B646" t="s">
        <v>24865</v>
      </c>
      <c r="C646" t="s">
        <v>20488</v>
      </c>
      <c r="D646" t="s">
        <v>22</v>
      </c>
      <c r="E646" t="s">
        <v>9766</v>
      </c>
      <c r="F646">
        <v>25</v>
      </c>
      <c r="G646" t="s">
        <v>109</v>
      </c>
      <c r="H646" t="s">
        <v>9788</v>
      </c>
    </row>
    <row r="647" spans="1:10" x14ac:dyDescent="0.3">
      <c r="A647" t="s">
        <v>12160</v>
      </c>
      <c r="B647" t="s">
        <v>24866</v>
      </c>
      <c r="C647" t="s">
        <v>20488</v>
      </c>
      <c r="D647" t="s">
        <v>11</v>
      </c>
      <c r="E647" t="s">
        <v>9765</v>
      </c>
      <c r="F647">
        <v>31</v>
      </c>
      <c r="G647" t="s">
        <v>109</v>
      </c>
      <c r="H647" t="s">
        <v>9788</v>
      </c>
    </row>
    <row r="648" spans="1:10" x14ac:dyDescent="0.3">
      <c r="A648" t="s">
        <v>1618</v>
      </c>
      <c r="B648" t="s">
        <v>24867</v>
      </c>
      <c r="C648" t="s">
        <v>20490</v>
      </c>
      <c r="D648" t="s">
        <v>11</v>
      </c>
      <c r="E648" t="s">
        <v>1619</v>
      </c>
      <c r="F648">
        <v>62</v>
      </c>
      <c r="G648" t="s">
        <v>243</v>
      </c>
      <c r="H648" t="s">
        <v>243</v>
      </c>
    </row>
    <row r="649" spans="1:10" x14ac:dyDescent="0.3">
      <c r="A649" t="s">
        <v>1620</v>
      </c>
      <c r="B649" t="s">
        <v>24868</v>
      </c>
      <c r="C649" t="s">
        <v>20486</v>
      </c>
      <c r="D649" t="s">
        <v>11</v>
      </c>
      <c r="E649" t="s">
        <v>1621</v>
      </c>
      <c r="F649">
        <v>43</v>
      </c>
      <c r="G649" t="s">
        <v>109</v>
      </c>
      <c r="H649" t="s">
        <v>9788</v>
      </c>
      <c r="I649" t="s">
        <v>1425</v>
      </c>
      <c r="J649" t="s">
        <v>1426</v>
      </c>
    </row>
    <row r="650" spans="1:10" x14ac:dyDescent="0.3">
      <c r="A650" t="s">
        <v>1622</v>
      </c>
      <c r="B650" t="s">
        <v>24869</v>
      </c>
      <c r="C650" t="s">
        <v>20487</v>
      </c>
      <c r="D650" t="s">
        <v>11</v>
      </c>
      <c r="E650" t="s">
        <v>1623</v>
      </c>
      <c r="F650">
        <v>45</v>
      </c>
      <c r="G650" t="s">
        <v>4481</v>
      </c>
      <c r="H650" t="s">
        <v>12099</v>
      </c>
    </row>
    <row r="651" spans="1:10" x14ac:dyDescent="0.3">
      <c r="A651" t="s">
        <v>1625</v>
      </c>
      <c r="B651" t="s">
        <v>24870</v>
      </c>
      <c r="C651" t="s">
        <v>20486</v>
      </c>
      <c r="D651" t="s">
        <v>22</v>
      </c>
      <c r="E651" t="s">
        <v>1626</v>
      </c>
      <c r="F651">
        <v>56</v>
      </c>
      <c r="G651" t="s">
        <v>46</v>
      </c>
      <c r="H651" t="s">
        <v>46</v>
      </c>
      <c r="J651" t="s">
        <v>1627</v>
      </c>
    </row>
    <row r="652" spans="1:10" x14ac:dyDescent="0.3">
      <c r="A652" t="s">
        <v>1628</v>
      </c>
      <c r="B652" t="s">
        <v>24871</v>
      </c>
      <c r="C652" t="s">
        <v>20488</v>
      </c>
      <c r="D652" t="s">
        <v>22</v>
      </c>
      <c r="E652" t="s">
        <v>1629</v>
      </c>
      <c r="F652">
        <v>72</v>
      </c>
      <c r="G652" t="s">
        <v>31</v>
      </c>
      <c r="H652" t="s">
        <v>31</v>
      </c>
      <c r="I652" t="s">
        <v>33</v>
      </c>
    </row>
    <row r="653" spans="1:10" x14ac:dyDescent="0.3">
      <c r="A653" t="s">
        <v>1635</v>
      </c>
      <c r="B653" t="s">
        <v>24872</v>
      </c>
      <c r="C653" t="s">
        <v>20488</v>
      </c>
      <c r="D653" t="s">
        <v>22</v>
      </c>
      <c r="E653" t="s">
        <v>1636</v>
      </c>
      <c r="F653">
        <v>62</v>
      </c>
      <c r="G653" t="s">
        <v>31</v>
      </c>
      <c r="H653" t="s">
        <v>31</v>
      </c>
      <c r="I653" t="s">
        <v>33</v>
      </c>
    </row>
    <row r="654" spans="1:10" x14ac:dyDescent="0.3">
      <c r="A654" t="s">
        <v>1637</v>
      </c>
      <c r="B654" t="s">
        <v>24873</v>
      </c>
      <c r="C654" t="s">
        <v>20487</v>
      </c>
      <c r="D654" t="s">
        <v>22</v>
      </c>
      <c r="E654" t="s">
        <v>1638</v>
      </c>
      <c r="F654">
        <v>51</v>
      </c>
      <c r="G654" t="s">
        <v>201</v>
      </c>
      <c r="H654" t="s">
        <v>46</v>
      </c>
    </row>
    <row r="655" spans="1:10" x14ac:dyDescent="0.3">
      <c r="A655" t="s">
        <v>1639</v>
      </c>
      <c r="B655" t="s">
        <v>24874</v>
      </c>
      <c r="C655" t="s">
        <v>20490</v>
      </c>
      <c r="D655" t="s">
        <v>22</v>
      </c>
      <c r="E655" t="s">
        <v>1640</v>
      </c>
      <c r="F655">
        <v>75</v>
      </c>
      <c r="G655" t="s">
        <v>155</v>
      </c>
      <c r="H655" t="s">
        <v>9791</v>
      </c>
    </row>
    <row r="656" spans="1:10" x14ac:dyDescent="0.3">
      <c r="A656" t="s">
        <v>1641</v>
      </c>
      <c r="B656" t="s">
        <v>24875</v>
      </c>
      <c r="C656" t="s">
        <v>20486</v>
      </c>
      <c r="D656" t="s">
        <v>22</v>
      </c>
      <c r="E656" t="s">
        <v>657</v>
      </c>
      <c r="F656">
        <v>52</v>
      </c>
      <c r="G656" t="s">
        <v>109</v>
      </c>
      <c r="H656" t="s">
        <v>9788</v>
      </c>
      <c r="I656" t="s">
        <v>1642</v>
      </c>
      <c r="J656" t="s">
        <v>1643</v>
      </c>
    </row>
    <row r="657" spans="1:10" x14ac:dyDescent="0.3">
      <c r="A657" t="s">
        <v>1644</v>
      </c>
      <c r="B657" t="s">
        <v>24876</v>
      </c>
      <c r="C657" t="s">
        <v>20486</v>
      </c>
      <c r="D657" t="s">
        <v>11</v>
      </c>
      <c r="E657" t="s">
        <v>1645</v>
      </c>
      <c r="F657">
        <v>61</v>
      </c>
      <c r="G657" t="s">
        <v>46</v>
      </c>
      <c r="H657" t="s">
        <v>46</v>
      </c>
      <c r="I657" t="s">
        <v>1646</v>
      </c>
    </row>
    <row r="658" spans="1:10" x14ac:dyDescent="0.3">
      <c r="A658" t="s">
        <v>1648</v>
      </c>
      <c r="B658" t="s">
        <v>24877</v>
      </c>
      <c r="C658" t="s">
        <v>20490</v>
      </c>
      <c r="D658" t="s">
        <v>11</v>
      </c>
      <c r="E658" t="s">
        <v>1649</v>
      </c>
      <c r="F658">
        <v>46</v>
      </c>
      <c r="G658" t="s">
        <v>109</v>
      </c>
      <c r="H658" t="s">
        <v>9788</v>
      </c>
    </row>
    <row r="659" spans="1:10" x14ac:dyDescent="0.3">
      <c r="A659" t="s">
        <v>1650</v>
      </c>
      <c r="B659" t="s">
        <v>24878</v>
      </c>
      <c r="C659" t="s">
        <v>20486</v>
      </c>
      <c r="D659" t="s">
        <v>22</v>
      </c>
      <c r="E659" t="s">
        <v>1651</v>
      </c>
      <c r="F659">
        <v>67</v>
      </c>
      <c r="G659" t="s">
        <v>13</v>
      </c>
      <c r="H659" t="s">
        <v>13</v>
      </c>
    </row>
    <row r="660" spans="1:10" x14ac:dyDescent="0.3">
      <c r="A660" t="s">
        <v>1652</v>
      </c>
      <c r="B660" t="s">
        <v>24879</v>
      </c>
      <c r="C660" t="s">
        <v>20490</v>
      </c>
      <c r="D660" t="s">
        <v>22</v>
      </c>
      <c r="E660" t="s">
        <v>1653</v>
      </c>
      <c r="F660">
        <v>61</v>
      </c>
      <c r="G660" t="s">
        <v>31</v>
      </c>
      <c r="H660" t="s">
        <v>31</v>
      </c>
    </row>
    <row r="661" spans="1:10" x14ac:dyDescent="0.3">
      <c r="A661" t="s">
        <v>1654</v>
      </c>
      <c r="B661" t="s">
        <v>24880</v>
      </c>
      <c r="C661" t="s">
        <v>20486</v>
      </c>
      <c r="D661" t="s">
        <v>11</v>
      </c>
      <c r="E661" t="s">
        <v>1655</v>
      </c>
      <c r="F661">
        <v>38</v>
      </c>
      <c r="G661" t="s">
        <v>1200</v>
      </c>
      <c r="H661" t="s">
        <v>9788</v>
      </c>
      <c r="I661" t="s">
        <v>1656</v>
      </c>
      <c r="J661" t="s">
        <v>1657</v>
      </c>
    </row>
    <row r="662" spans="1:10" x14ac:dyDescent="0.3">
      <c r="A662" t="s">
        <v>1658</v>
      </c>
      <c r="B662" t="s">
        <v>24881</v>
      </c>
      <c r="C662" t="s">
        <v>20488</v>
      </c>
      <c r="D662" t="s">
        <v>11</v>
      </c>
      <c r="E662" t="s">
        <v>1659</v>
      </c>
      <c r="F662">
        <v>46</v>
      </c>
      <c r="G662" t="s">
        <v>109</v>
      </c>
      <c r="H662" t="s">
        <v>9788</v>
      </c>
    </row>
    <row r="663" spans="1:10" x14ac:dyDescent="0.3">
      <c r="A663" t="s">
        <v>1660</v>
      </c>
      <c r="B663" t="s">
        <v>24882</v>
      </c>
      <c r="C663" t="s">
        <v>20487</v>
      </c>
      <c r="D663" t="s">
        <v>11</v>
      </c>
      <c r="E663" t="s">
        <v>1661</v>
      </c>
      <c r="F663">
        <v>45</v>
      </c>
      <c r="G663" t="s">
        <v>46</v>
      </c>
      <c r="H663" t="s">
        <v>46</v>
      </c>
      <c r="I663" t="s">
        <v>220</v>
      </c>
    </row>
    <row r="664" spans="1:10" x14ac:dyDescent="0.3">
      <c r="A664" t="s">
        <v>1662</v>
      </c>
      <c r="B664" t="s">
        <v>24883</v>
      </c>
      <c r="C664" t="s">
        <v>20487</v>
      </c>
      <c r="D664" t="s">
        <v>22</v>
      </c>
      <c r="E664" t="s">
        <v>1663</v>
      </c>
      <c r="F664">
        <v>67</v>
      </c>
    </row>
    <row r="665" spans="1:10" x14ac:dyDescent="0.3">
      <c r="A665" t="s">
        <v>1664</v>
      </c>
      <c r="B665" t="s">
        <v>24884</v>
      </c>
      <c r="C665" t="s">
        <v>20486</v>
      </c>
      <c r="D665" t="s">
        <v>11</v>
      </c>
      <c r="E665" t="s">
        <v>1665</v>
      </c>
      <c r="F665">
        <v>65</v>
      </c>
      <c r="G665" t="s">
        <v>172</v>
      </c>
      <c r="H665" t="s">
        <v>12099</v>
      </c>
    </row>
    <row r="666" spans="1:10" x14ac:dyDescent="0.3">
      <c r="A666" t="s">
        <v>1666</v>
      </c>
      <c r="B666" t="s">
        <v>24885</v>
      </c>
      <c r="C666" t="s">
        <v>20488</v>
      </c>
      <c r="D666" t="s">
        <v>22</v>
      </c>
      <c r="E666" t="s">
        <v>1667</v>
      </c>
      <c r="F666">
        <v>50</v>
      </c>
      <c r="G666" t="s">
        <v>31</v>
      </c>
      <c r="H666" t="s">
        <v>31</v>
      </c>
      <c r="I666" t="s">
        <v>33</v>
      </c>
    </row>
    <row r="667" spans="1:10" x14ac:dyDescent="0.3">
      <c r="A667" t="s">
        <v>1668</v>
      </c>
      <c r="B667" t="s">
        <v>24886</v>
      </c>
      <c r="C667" t="s">
        <v>20486</v>
      </c>
      <c r="D667" t="s">
        <v>22</v>
      </c>
      <c r="E667" t="s">
        <v>1669</v>
      </c>
      <c r="F667">
        <v>52</v>
      </c>
    </row>
    <row r="668" spans="1:10" x14ac:dyDescent="0.3">
      <c r="A668" t="s">
        <v>12161</v>
      </c>
      <c r="B668" t="s">
        <v>24887</v>
      </c>
      <c r="C668" t="s">
        <v>20486</v>
      </c>
      <c r="D668" t="s">
        <v>11</v>
      </c>
      <c r="E668" t="s">
        <v>9764</v>
      </c>
      <c r="F668">
        <v>18</v>
      </c>
      <c r="H668" t="s">
        <v>337</v>
      </c>
    </row>
    <row r="669" spans="1:10" x14ac:dyDescent="0.3">
      <c r="A669" t="s">
        <v>1670</v>
      </c>
      <c r="B669" t="s">
        <v>24888</v>
      </c>
      <c r="C669" t="s">
        <v>20488</v>
      </c>
      <c r="D669" t="s">
        <v>22</v>
      </c>
      <c r="E669" t="s">
        <v>1671</v>
      </c>
      <c r="F669">
        <v>45</v>
      </c>
      <c r="G669" t="s">
        <v>31</v>
      </c>
      <c r="H669" t="s">
        <v>31</v>
      </c>
      <c r="I669" t="s">
        <v>33</v>
      </c>
    </row>
    <row r="670" spans="1:10" x14ac:dyDescent="0.3">
      <c r="A670" t="s">
        <v>1672</v>
      </c>
      <c r="B670" t="s">
        <v>24889</v>
      </c>
      <c r="C670" t="s">
        <v>20486</v>
      </c>
      <c r="D670" t="s">
        <v>22</v>
      </c>
      <c r="E670" t="s">
        <v>1673</v>
      </c>
      <c r="F670">
        <v>58</v>
      </c>
      <c r="G670" t="s">
        <v>46</v>
      </c>
      <c r="H670" t="s">
        <v>46</v>
      </c>
      <c r="I670" t="s">
        <v>1674</v>
      </c>
      <c r="J670" t="s">
        <v>1675</v>
      </c>
    </row>
    <row r="671" spans="1:10" x14ac:dyDescent="0.3">
      <c r="A671" t="s">
        <v>1676</v>
      </c>
      <c r="B671" t="s">
        <v>24890</v>
      </c>
      <c r="C671" t="s">
        <v>20489</v>
      </c>
      <c r="D671" t="s">
        <v>11</v>
      </c>
      <c r="E671" t="s">
        <v>1677</v>
      </c>
      <c r="F671">
        <v>54</v>
      </c>
      <c r="G671" t="s">
        <v>109</v>
      </c>
      <c r="H671" t="s">
        <v>9788</v>
      </c>
      <c r="I671" t="s">
        <v>12162</v>
      </c>
      <c r="J671" t="s">
        <v>1679</v>
      </c>
    </row>
    <row r="672" spans="1:10" x14ac:dyDescent="0.3">
      <c r="A672" t="s">
        <v>1680</v>
      </c>
      <c r="B672" t="s">
        <v>24891</v>
      </c>
      <c r="C672" t="s">
        <v>20489</v>
      </c>
      <c r="D672" t="s">
        <v>11</v>
      </c>
      <c r="E672" t="s">
        <v>1681</v>
      </c>
      <c r="F672">
        <v>25</v>
      </c>
      <c r="G672" t="s">
        <v>109</v>
      </c>
      <c r="H672" t="s">
        <v>9788</v>
      </c>
      <c r="I672" t="s">
        <v>360</v>
      </c>
      <c r="J672" t="s">
        <v>1682</v>
      </c>
    </row>
    <row r="673" spans="1:10" x14ac:dyDescent="0.3">
      <c r="A673" t="s">
        <v>1683</v>
      </c>
      <c r="B673" t="s">
        <v>24892</v>
      </c>
      <c r="C673" t="s">
        <v>20488</v>
      </c>
      <c r="D673" t="s">
        <v>22</v>
      </c>
      <c r="E673" t="s">
        <v>684</v>
      </c>
      <c r="F673">
        <v>56</v>
      </c>
      <c r="G673" t="s">
        <v>31</v>
      </c>
      <c r="H673" t="s">
        <v>31</v>
      </c>
      <c r="I673" t="s">
        <v>33</v>
      </c>
    </row>
    <row r="674" spans="1:10" x14ac:dyDescent="0.3">
      <c r="A674" t="s">
        <v>1684</v>
      </c>
      <c r="B674" t="s">
        <v>24893</v>
      </c>
      <c r="C674" t="s">
        <v>20487</v>
      </c>
      <c r="D674" t="s">
        <v>11</v>
      </c>
      <c r="E674" t="s">
        <v>1685</v>
      </c>
      <c r="F674">
        <v>39</v>
      </c>
      <c r="G674" t="s">
        <v>109</v>
      </c>
      <c r="H674" t="s">
        <v>9788</v>
      </c>
    </row>
    <row r="675" spans="1:10" x14ac:dyDescent="0.3">
      <c r="A675" t="s">
        <v>1686</v>
      </c>
      <c r="B675" t="s">
        <v>24894</v>
      </c>
      <c r="C675" t="s">
        <v>20490</v>
      </c>
      <c r="D675" t="s">
        <v>11</v>
      </c>
      <c r="E675" t="s">
        <v>1687</v>
      </c>
      <c r="F675">
        <v>69</v>
      </c>
      <c r="G675" t="s">
        <v>109</v>
      </c>
      <c r="H675" t="s">
        <v>9788</v>
      </c>
      <c r="J675" t="s">
        <v>209</v>
      </c>
    </row>
    <row r="676" spans="1:10" x14ac:dyDescent="0.3">
      <c r="A676" t="s">
        <v>1688</v>
      </c>
      <c r="B676" t="s">
        <v>24895</v>
      </c>
      <c r="C676" t="s">
        <v>20490</v>
      </c>
      <c r="D676" t="s">
        <v>22</v>
      </c>
      <c r="E676" t="s">
        <v>1689</v>
      </c>
      <c r="F676">
        <v>48</v>
      </c>
      <c r="G676" t="s">
        <v>231</v>
      </c>
      <c r="H676" t="s">
        <v>9788</v>
      </c>
    </row>
    <row r="677" spans="1:10" x14ac:dyDescent="0.3">
      <c r="A677" t="s">
        <v>1690</v>
      </c>
      <c r="B677" t="s">
        <v>24896</v>
      </c>
      <c r="C677" t="s">
        <v>20488</v>
      </c>
      <c r="D677" t="s">
        <v>11</v>
      </c>
      <c r="E677" t="s">
        <v>1691</v>
      </c>
      <c r="F677">
        <v>36</v>
      </c>
      <c r="G677" t="s">
        <v>109</v>
      </c>
      <c r="H677" t="s">
        <v>9788</v>
      </c>
    </row>
    <row r="678" spans="1:10" x14ac:dyDescent="0.3">
      <c r="A678" t="s">
        <v>1692</v>
      </c>
      <c r="B678" t="s">
        <v>24897</v>
      </c>
      <c r="C678" t="s">
        <v>20487</v>
      </c>
      <c r="D678" t="s">
        <v>11</v>
      </c>
      <c r="E678" t="s">
        <v>1189</v>
      </c>
      <c r="F678">
        <v>69</v>
      </c>
      <c r="G678" t="s">
        <v>46</v>
      </c>
      <c r="H678" t="s">
        <v>46</v>
      </c>
    </row>
    <row r="679" spans="1:10" x14ac:dyDescent="0.3">
      <c r="A679" t="s">
        <v>12163</v>
      </c>
      <c r="B679" t="s">
        <v>24898</v>
      </c>
      <c r="C679" t="s">
        <v>20486</v>
      </c>
      <c r="D679" t="s">
        <v>22</v>
      </c>
      <c r="E679" t="s">
        <v>9763</v>
      </c>
      <c r="F679">
        <v>21</v>
      </c>
    </row>
    <row r="680" spans="1:10" x14ac:dyDescent="0.3">
      <c r="A680" t="s">
        <v>1693</v>
      </c>
      <c r="B680" t="s">
        <v>24899</v>
      </c>
      <c r="C680" t="s">
        <v>20490</v>
      </c>
      <c r="D680" t="s">
        <v>22</v>
      </c>
      <c r="E680" t="s">
        <v>1694</v>
      </c>
      <c r="F680">
        <v>65</v>
      </c>
      <c r="G680" t="s">
        <v>201</v>
      </c>
      <c r="H680" t="s">
        <v>46</v>
      </c>
    </row>
    <row r="681" spans="1:10" x14ac:dyDescent="0.3">
      <c r="A681" t="s">
        <v>12164</v>
      </c>
      <c r="B681" t="s">
        <v>24900</v>
      </c>
      <c r="C681" t="s">
        <v>20488</v>
      </c>
      <c r="D681" t="s">
        <v>11</v>
      </c>
      <c r="E681" t="s">
        <v>9762</v>
      </c>
      <c r="F681">
        <v>20</v>
      </c>
      <c r="G681" t="s">
        <v>46</v>
      </c>
      <c r="H681" t="s">
        <v>46</v>
      </c>
      <c r="I681" t="s">
        <v>228</v>
      </c>
      <c r="J681" t="s">
        <v>9403</v>
      </c>
    </row>
    <row r="682" spans="1:10" x14ac:dyDescent="0.3">
      <c r="A682" t="s">
        <v>1696</v>
      </c>
      <c r="B682" t="s">
        <v>24901</v>
      </c>
      <c r="C682" t="s">
        <v>20488</v>
      </c>
      <c r="D682" t="s">
        <v>11</v>
      </c>
      <c r="E682" t="s">
        <v>1697</v>
      </c>
      <c r="F682">
        <v>78</v>
      </c>
      <c r="G682" t="s">
        <v>13</v>
      </c>
      <c r="H682" t="s">
        <v>13</v>
      </c>
    </row>
    <row r="683" spans="1:10" x14ac:dyDescent="0.3">
      <c r="A683" t="s">
        <v>12165</v>
      </c>
      <c r="B683" t="s">
        <v>24902</v>
      </c>
      <c r="C683" t="s">
        <v>20488</v>
      </c>
      <c r="D683" t="s">
        <v>22</v>
      </c>
      <c r="E683" t="s">
        <v>9761</v>
      </c>
      <c r="F683">
        <v>24</v>
      </c>
      <c r="G683" t="s">
        <v>88</v>
      </c>
      <c r="H683" t="s">
        <v>337</v>
      </c>
    </row>
    <row r="684" spans="1:10" x14ac:dyDescent="0.3">
      <c r="A684" t="s">
        <v>1698</v>
      </c>
      <c r="B684" t="s">
        <v>24903</v>
      </c>
      <c r="C684" t="s">
        <v>20489</v>
      </c>
      <c r="D684" t="s">
        <v>22</v>
      </c>
      <c r="E684" t="s">
        <v>1699</v>
      </c>
      <c r="F684">
        <v>51</v>
      </c>
      <c r="G684" t="s">
        <v>109</v>
      </c>
      <c r="H684" t="s">
        <v>9788</v>
      </c>
      <c r="I684" t="s">
        <v>17</v>
      </c>
      <c r="J684" t="s">
        <v>1700</v>
      </c>
    </row>
    <row r="685" spans="1:10" x14ac:dyDescent="0.3">
      <c r="A685" t="s">
        <v>1701</v>
      </c>
      <c r="B685" t="s">
        <v>24904</v>
      </c>
      <c r="C685" t="s">
        <v>20489</v>
      </c>
      <c r="D685" t="s">
        <v>22</v>
      </c>
      <c r="E685" t="s">
        <v>1702</v>
      </c>
      <c r="F685">
        <v>53</v>
      </c>
      <c r="G685" t="s">
        <v>31</v>
      </c>
      <c r="H685" t="s">
        <v>31</v>
      </c>
      <c r="I685" t="s">
        <v>33</v>
      </c>
    </row>
    <row r="686" spans="1:10" x14ac:dyDescent="0.3">
      <c r="A686" t="s">
        <v>1704</v>
      </c>
      <c r="B686" t="s">
        <v>24905</v>
      </c>
      <c r="C686" t="s">
        <v>20486</v>
      </c>
      <c r="D686" t="s">
        <v>22</v>
      </c>
      <c r="E686" t="s">
        <v>136</v>
      </c>
      <c r="F686">
        <v>70</v>
      </c>
      <c r="G686" t="s">
        <v>31</v>
      </c>
      <c r="H686" t="s">
        <v>31</v>
      </c>
      <c r="J686" t="s">
        <v>33</v>
      </c>
    </row>
    <row r="687" spans="1:10" x14ac:dyDescent="0.3">
      <c r="A687" t="s">
        <v>1705</v>
      </c>
      <c r="B687" t="s">
        <v>24906</v>
      </c>
      <c r="C687" t="s">
        <v>20490</v>
      </c>
      <c r="D687" t="s">
        <v>11</v>
      </c>
      <c r="E687" t="s">
        <v>1706</v>
      </c>
      <c r="F687">
        <v>63</v>
      </c>
      <c r="G687" t="s">
        <v>109</v>
      </c>
      <c r="H687" t="s">
        <v>9788</v>
      </c>
    </row>
    <row r="688" spans="1:10" x14ac:dyDescent="0.3">
      <c r="A688" t="s">
        <v>1707</v>
      </c>
      <c r="B688" t="s">
        <v>24907</v>
      </c>
      <c r="C688" t="s">
        <v>20487</v>
      </c>
      <c r="D688" t="s">
        <v>22</v>
      </c>
      <c r="E688" t="s">
        <v>1708</v>
      </c>
      <c r="F688">
        <v>51</v>
      </c>
      <c r="G688" t="s">
        <v>31</v>
      </c>
      <c r="H688" t="s">
        <v>31</v>
      </c>
    </row>
    <row r="689" spans="1:10" x14ac:dyDescent="0.3">
      <c r="A689" t="s">
        <v>1709</v>
      </c>
      <c r="B689" t="s">
        <v>24908</v>
      </c>
      <c r="C689" t="s">
        <v>20486</v>
      </c>
      <c r="D689" t="s">
        <v>22</v>
      </c>
      <c r="E689" t="s">
        <v>1710</v>
      </c>
      <c r="F689">
        <v>48</v>
      </c>
      <c r="G689" t="s">
        <v>46</v>
      </c>
      <c r="H689" t="s">
        <v>46</v>
      </c>
    </row>
    <row r="690" spans="1:10" x14ac:dyDescent="0.3">
      <c r="A690" t="s">
        <v>1711</v>
      </c>
      <c r="B690" t="s">
        <v>24909</v>
      </c>
      <c r="C690" t="s">
        <v>20488</v>
      </c>
      <c r="D690" t="s">
        <v>22</v>
      </c>
      <c r="E690" t="s">
        <v>1712</v>
      </c>
      <c r="F690">
        <v>81</v>
      </c>
      <c r="G690" t="s">
        <v>31</v>
      </c>
      <c r="H690" t="s">
        <v>31</v>
      </c>
      <c r="I690" t="s">
        <v>33</v>
      </c>
    </row>
    <row r="691" spans="1:10" x14ac:dyDescent="0.3">
      <c r="A691" t="s">
        <v>1713</v>
      </c>
      <c r="B691" t="s">
        <v>24910</v>
      </c>
      <c r="C691" t="s">
        <v>20487</v>
      </c>
      <c r="D691" t="s">
        <v>22</v>
      </c>
      <c r="E691" t="s">
        <v>1714</v>
      </c>
      <c r="F691">
        <v>45</v>
      </c>
      <c r="G691" t="s">
        <v>231</v>
      </c>
      <c r="H691" t="s">
        <v>9788</v>
      </c>
    </row>
    <row r="692" spans="1:10" x14ac:dyDescent="0.3">
      <c r="A692" t="s">
        <v>1715</v>
      </c>
      <c r="B692" t="s">
        <v>24911</v>
      </c>
      <c r="C692" t="s">
        <v>20488</v>
      </c>
      <c r="D692" t="s">
        <v>22</v>
      </c>
      <c r="E692" t="s">
        <v>1716</v>
      </c>
      <c r="F692">
        <v>65</v>
      </c>
      <c r="G692" t="s">
        <v>31</v>
      </c>
      <c r="H692" t="s">
        <v>31</v>
      </c>
      <c r="I692" t="s">
        <v>33</v>
      </c>
    </row>
    <row r="693" spans="1:10" x14ac:dyDescent="0.3">
      <c r="A693" t="s">
        <v>1717</v>
      </c>
      <c r="B693" t="s">
        <v>24912</v>
      </c>
      <c r="C693" t="s">
        <v>20488</v>
      </c>
      <c r="D693" t="s">
        <v>11</v>
      </c>
      <c r="E693" t="s">
        <v>1718</v>
      </c>
      <c r="F693">
        <v>68</v>
      </c>
      <c r="G693" t="s">
        <v>13</v>
      </c>
      <c r="H693" t="s">
        <v>13</v>
      </c>
    </row>
    <row r="694" spans="1:10" x14ac:dyDescent="0.3">
      <c r="A694" t="s">
        <v>1719</v>
      </c>
      <c r="B694" t="s">
        <v>24913</v>
      </c>
      <c r="C694" t="s">
        <v>20488</v>
      </c>
      <c r="D694" t="s">
        <v>22</v>
      </c>
      <c r="E694" t="s">
        <v>1720</v>
      </c>
      <c r="F694">
        <v>48</v>
      </c>
      <c r="G694" t="s">
        <v>31</v>
      </c>
      <c r="H694" t="s">
        <v>31</v>
      </c>
      <c r="I694" t="s">
        <v>33</v>
      </c>
      <c r="J694" t="s">
        <v>9535</v>
      </c>
    </row>
    <row r="695" spans="1:10" x14ac:dyDescent="0.3">
      <c r="A695" t="s">
        <v>1721</v>
      </c>
      <c r="B695" t="s">
        <v>24914</v>
      </c>
      <c r="C695" t="s">
        <v>20488</v>
      </c>
      <c r="D695" t="s">
        <v>22</v>
      </c>
      <c r="E695" t="s">
        <v>1722</v>
      </c>
      <c r="F695">
        <v>54</v>
      </c>
      <c r="G695" t="s">
        <v>31</v>
      </c>
      <c r="H695" t="s">
        <v>31</v>
      </c>
      <c r="I695" t="s">
        <v>33</v>
      </c>
    </row>
    <row r="696" spans="1:10" x14ac:dyDescent="0.3">
      <c r="A696" t="s">
        <v>1723</v>
      </c>
      <c r="B696" t="s">
        <v>24915</v>
      </c>
      <c r="C696" t="s">
        <v>20488</v>
      </c>
      <c r="D696" t="s">
        <v>22</v>
      </c>
      <c r="E696" t="s">
        <v>1724</v>
      </c>
      <c r="F696">
        <v>58</v>
      </c>
      <c r="G696" t="s">
        <v>31</v>
      </c>
      <c r="H696" t="s">
        <v>31</v>
      </c>
      <c r="I696" t="s">
        <v>33</v>
      </c>
    </row>
    <row r="697" spans="1:10" x14ac:dyDescent="0.3">
      <c r="A697" t="s">
        <v>1725</v>
      </c>
      <c r="B697" t="s">
        <v>24916</v>
      </c>
      <c r="C697" t="s">
        <v>20488</v>
      </c>
      <c r="D697" t="s">
        <v>22</v>
      </c>
      <c r="E697" t="s">
        <v>1726</v>
      </c>
      <c r="F697">
        <v>18</v>
      </c>
      <c r="G697" t="s">
        <v>337</v>
      </c>
      <c r="H697" t="s">
        <v>337</v>
      </c>
    </row>
    <row r="698" spans="1:10" x14ac:dyDescent="0.3">
      <c r="A698" t="s">
        <v>1727</v>
      </c>
      <c r="B698" t="s">
        <v>24917</v>
      </c>
      <c r="C698" t="s">
        <v>20486</v>
      </c>
      <c r="D698" t="s">
        <v>11</v>
      </c>
      <c r="E698" t="s">
        <v>633</v>
      </c>
      <c r="F698">
        <v>54</v>
      </c>
      <c r="G698" t="s">
        <v>243</v>
      </c>
      <c r="H698" t="s">
        <v>243</v>
      </c>
    </row>
    <row r="699" spans="1:10" x14ac:dyDescent="0.3">
      <c r="A699" t="s">
        <v>1728</v>
      </c>
      <c r="B699" t="s">
        <v>24918</v>
      </c>
      <c r="C699" t="s">
        <v>20488</v>
      </c>
      <c r="D699" t="s">
        <v>11</v>
      </c>
      <c r="E699" t="s">
        <v>1729</v>
      </c>
      <c r="F699">
        <v>79</v>
      </c>
      <c r="G699" t="s">
        <v>540</v>
      </c>
      <c r="H699" t="s">
        <v>12074</v>
      </c>
    </row>
    <row r="700" spans="1:10" x14ac:dyDescent="0.3">
      <c r="A700" t="s">
        <v>1730</v>
      </c>
      <c r="B700" t="s">
        <v>24919</v>
      </c>
      <c r="C700" t="s">
        <v>20490</v>
      </c>
      <c r="D700" t="s">
        <v>22</v>
      </c>
      <c r="E700" t="s">
        <v>1731</v>
      </c>
      <c r="F700">
        <v>67</v>
      </c>
      <c r="G700" t="s">
        <v>109</v>
      </c>
      <c r="H700" t="s">
        <v>9788</v>
      </c>
    </row>
    <row r="701" spans="1:10" x14ac:dyDescent="0.3">
      <c r="A701" t="s">
        <v>1732</v>
      </c>
      <c r="B701" t="s">
        <v>24920</v>
      </c>
      <c r="C701" t="s">
        <v>20486</v>
      </c>
      <c r="D701" t="s">
        <v>22</v>
      </c>
      <c r="E701" t="s">
        <v>1733</v>
      </c>
      <c r="F701">
        <v>49</v>
      </c>
      <c r="G701" t="s">
        <v>172</v>
      </c>
      <c r="H701" t="s">
        <v>12099</v>
      </c>
    </row>
    <row r="702" spans="1:10" x14ac:dyDescent="0.3">
      <c r="A702" t="s">
        <v>1734</v>
      </c>
      <c r="B702" t="s">
        <v>24921</v>
      </c>
      <c r="C702" t="s">
        <v>20487</v>
      </c>
      <c r="D702" t="s">
        <v>11</v>
      </c>
      <c r="E702" t="s">
        <v>1735</v>
      </c>
      <c r="F702">
        <v>53</v>
      </c>
    </row>
    <row r="703" spans="1:10" x14ac:dyDescent="0.3">
      <c r="A703" t="s">
        <v>1736</v>
      </c>
      <c r="B703" t="s">
        <v>24922</v>
      </c>
      <c r="C703" t="s">
        <v>20487</v>
      </c>
      <c r="D703" t="s">
        <v>11</v>
      </c>
      <c r="E703" t="s">
        <v>1737</v>
      </c>
      <c r="F703">
        <v>47</v>
      </c>
      <c r="G703" t="s">
        <v>231</v>
      </c>
      <c r="H703" t="s">
        <v>9788</v>
      </c>
    </row>
    <row r="704" spans="1:10" x14ac:dyDescent="0.3">
      <c r="A704" t="s">
        <v>1739</v>
      </c>
      <c r="B704" t="s">
        <v>24923</v>
      </c>
      <c r="C704" t="s">
        <v>20487</v>
      </c>
      <c r="D704" t="s">
        <v>22</v>
      </c>
      <c r="E704" t="s">
        <v>1740</v>
      </c>
      <c r="F704">
        <v>89</v>
      </c>
      <c r="G704" t="s">
        <v>198</v>
      </c>
      <c r="H704" t="s">
        <v>13</v>
      </c>
    </row>
    <row r="705" spans="1:10" x14ac:dyDescent="0.3">
      <c r="A705" t="s">
        <v>1741</v>
      </c>
      <c r="B705" t="s">
        <v>24924</v>
      </c>
      <c r="C705" t="s">
        <v>20490</v>
      </c>
      <c r="D705" t="s">
        <v>11</v>
      </c>
      <c r="E705" t="s">
        <v>1742</v>
      </c>
      <c r="F705">
        <v>64</v>
      </c>
      <c r="G705" t="s">
        <v>109</v>
      </c>
      <c r="H705" t="s">
        <v>9788</v>
      </c>
      <c r="J705" t="s">
        <v>1743</v>
      </c>
    </row>
    <row r="706" spans="1:10" x14ac:dyDescent="0.3">
      <c r="A706" t="s">
        <v>1744</v>
      </c>
      <c r="B706" t="s">
        <v>24925</v>
      </c>
      <c r="C706" t="s">
        <v>20488</v>
      </c>
      <c r="D706" t="s">
        <v>22</v>
      </c>
      <c r="E706" t="s">
        <v>1745</v>
      </c>
      <c r="F706">
        <v>71</v>
      </c>
      <c r="G706" t="s">
        <v>31</v>
      </c>
      <c r="H706" t="s">
        <v>31</v>
      </c>
      <c r="I706" t="s">
        <v>33</v>
      </c>
    </row>
    <row r="707" spans="1:10" x14ac:dyDescent="0.3">
      <c r="A707" t="s">
        <v>1746</v>
      </c>
      <c r="B707" t="s">
        <v>24926</v>
      </c>
      <c r="C707" t="s">
        <v>20488</v>
      </c>
      <c r="D707" t="s">
        <v>11</v>
      </c>
      <c r="E707" t="s">
        <v>1747</v>
      </c>
      <c r="F707">
        <v>46</v>
      </c>
      <c r="G707" t="s">
        <v>16</v>
      </c>
      <c r="H707" t="s">
        <v>9785</v>
      </c>
      <c r="I707" t="s">
        <v>449</v>
      </c>
      <c r="J707" t="s">
        <v>1125</v>
      </c>
    </row>
    <row r="708" spans="1:10" x14ac:dyDescent="0.3">
      <c r="A708" t="s">
        <v>1748</v>
      </c>
      <c r="B708" t="s">
        <v>24927</v>
      </c>
      <c r="C708" t="s">
        <v>20488</v>
      </c>
      <c r="D708" t="s">
        <v>22</v>
      </c>
      <c r="E708" t="s">
        <v>1749</v>
      </c>
      <c r="F708">
        <v>64</v>
      </c>
      <c r="G708" t="s">
        <v>540</v>
      </c>
      <c r="H708" t="s">
        <v>12074</v>
      </c>
    </row>
    <row r="709" spans="1:10" x14ac:dyDescent="0.3">
      <c r="A709" t="s">
        <v>1750</v>
      </c>
      <c r="B709" t="s">
        <v>24928</v>
      </c>
      <c r="C709" t="s">
        <v>20488</v>
      </c>
      <c r="D709" t="s">
        <v>22</v>
      </c>
      <c r="E709" t="s">
        <v>1751</v>
      </c>
      <c r="F709">
        <v>54</v>
      </c>
      <c r="G709" t="s">
        <v>31</v>
      </c>
      <c r="H709" t="s">
        <v>31</v>
      </c>
      <c r="I709" t="s">
        <v>33</v>
      </c>
    </row>
    <row r="710" spans="1:10" x14ac:dyDescent="0.3">
      <c r="A710" t="s">
        <v>1752</v>
      </c>
      <c r="B710" t="s">
        <v>24929</v>
      </c>
      <c r="C710" t="s">
        <v>20487</v>
      </c>
      <c r="D710" t="s">
        <v>11</v>
      </c>
      <c r="E710" t="s">
        <v>1753</v>
      </c>
      <c r="F710">
        <v>51</v>
      </c>
      <c r="G710" t="s">
        <v>109</v>
      </c>
      <c r="H710" t="s">
        <v>9788</v>
      </c>
      <c r="J710" t="s">
        <v>2639</v>
      </c>
    </row>
    <row r="711" spans="1:10" x14ac:dyDescent="0.3">
      <c r="A711" t="s">
        <v>1754</v>
      </c>
      <c r="B711" t="s">
        <v>24930</v>
      </c>
      <c r="C711" t="s">
        <v>20490</v>
      </c>
      <c r="D711" t="s">
        <v>11</v>
      </c>
      <c r="E711" t="s">
        <v>1755</v>
      </c>
      <c r="F711">
        <v>68</v>
      </c>
      <c r="H711" t="s">
        <v>46</v>
      </c>
    </row>
    <row r="712" spans="1:10" x14ac:dyDescent="0.3">
      <c r="A712" t="s">
        <v>1756</v>
      </c>
      <c r="B712" t="s">
        <v>24931</v>
      </c>
      <c r="C712" t="s">
        <v>20488</v>
      </c>
      <c r="D712" t="s">
        <v>22</v>
      </c>
      <c r="E712" t="s">
        <v>1757</v>
      </c>
      <c r="F712">
        <v>44</v>
      </c>
      <c r="G712" t="s">
        <v>370</v>
      </c>
      <c r="H712" t="s">
        <v>46</v>
      </c>
      <c r="I712" t="s">
        <v>1758</v>
      </c>
    </row>
    <row r="713" spans="1:10" x14ac:dyDescent="0.3">
      <c r="A713" t="s">
        <v>1759</v>
      </c>
      <c r="B713" t="s">
        <v>24932</v>
      </c>
      <c r="C713" t="s">
        <v>20487</v>
      </c>
      <c r="D713" t="s">
        <v>22</v>
      </c>
      <c r="E713" t="s">
        <v>1402</v>
      </c>
      <c r="F713">
        <v>53</v>
      </c>
      <c r="G713" t="s">
        <v>33</v>
      </c>
      <c r="H713" t="s">
        <v>31</v>
      </c>
    </row>
    <row r="714" spans="1:10" x14ac:dyDescent="0.3">
      <c r="A714" t="s">
        <v>1760</v>
      </c>
      <c r="B714" t="s">
        <v>24933</v>
      </c>
      <c r="C714" t="s">
        <v>20486</v>
      </c>
      <c r="D714" t="s">
        <v>11</v>
      </c>
      <c r="E714" t="s">
        <v>1761</v>
      </c>
      <c r="F714">
        <v>69</v>
      </c>
      <c r="G714" t="s">
        <v>13</v>
      </c>
      <c r="H714" t="s">
        <v>13</v>
      </c>
      <c r="I714" t="s">
        <v>1762</v>
      </c>
      <c r="J714" t="s">
        <v>1230</v>
      </c>
    </row>
    <row r="715" spans="1:10" x14ac:dyDescent="0.3">
      <c r="A715" t="s">
        <v>1763</v>
      </c>
      <c r="B715" t="s">
        <v>24934</v>
      </c>
      <c r="C715" t="s">
        <v>20487</v>
      </c>
      <c r="D715" t="s">
        <v>22</v>
      </c>
      <c r="E715" t="s">
        <v>1764</v>
      </c>
      <c r="F715">
        <v>51</v>
      </c>
      <c r="G715" t="s">
        <v>959</v>
      </c>
      <c r="H715" t="s">
        <v>9785</v>
      </c>
      <c r="J715" t="s">
        <v>1765</v>
      </c>
    </row>
    <row r="716" spans="1:10" x14ac:dyDescent="0.3">
      <c r="A716" t="s">
        <v>1766</v>
      </c>
      <c r="B716" t="s">
        <v>24935</v>
      </c>
      <c r="C716" t="s">
        <v>20486</v>
      </c>
      <c r="D716" t="s">
        <v>22</v>
      </c>
      <c r="E716" t="s">
        <v>1767</v>
      </c>
      <c r="F716">
        <v>56</v>
      </c>
      <c r="G716" t="s">
        <v>46</v>
      </c>
      <c r="H716" t="s">
        <v>46</v>
      </c>
      <c r="I716" t="s">
        <v>228</v>
      </c>
      <c r="J716" t="s">
        <v>1768</v>
      </c>
    </row>
    <row r="717" spans="1:10" x14ac:dyDescent="0.3">
      <c r="A717" t="s">
        <v>1769</v>
      </c>
      <c r="B717" t="s">
        <v>24936</v>
      </c>
      <c r="C717" t="s">
        <v>20486</v>
      </c>
      <c r="D717" t="s">
        <v>22</v>
      </c>
      <c r="E717" t="s">
        <v>1770</v>
      </c>
      <c r="F717">
        <v>43</v>
      </c>
      <c r="G717" t="s">
        <v>109</v>
      </c>
      <c r="H717" t="s">
        <v>9788</v>
      </c>
      <c r="I717" t="s">
        <v>971</v>
      </c>
      <c r="J717" t="s">
        <v>225</v>
      </c>
    </row>
    <row r="718" spans="1:10" x14ac:dyDescent="0.3">
      <c r="A718" t="s">
        <v>1771</v>
      </c>
      <c r="B718" t="s">
        <v>24937</v>
      </c>
      <c r="C718" t="s">
        <v>20490</v>
      </c>
      <c r="D718" t="s">
        <v>11</v>
      </c>
      <c r="E718" t="s">
        <v>1772</v>
      </c>
      <c r="F718">
        <v>49</v>
      </c>
      <c r="G718" t="s">
        <v>109</v>
      </c>
      <c r="H718" t="s">
        <v>9788</v>
      </c>
      <c r="I718" t="s">
        <v>1773</v>
      </c>
    </row>
    <row r="719" spans="1:10" x14ac:dyDescent="0.3">
      <c r="A719" t="s">
        <v>1774</v>
      </c>
      <c r="B719" t="s">
        <v>24938</v>
      </c>
      <c r="C719" t="s">
        <v>20490</v>
      </c>
      <c r="D719" t="s">
        <v>11</v>
      </c>
      <c r="E719" t="s">
        <v>1775</v>
      </c>
      <c r="F719">
        <v>18</v>
      </c>
      <c r="G719" t="s">
        <v>337</v>
      </c>
      <c r="H719" t="s">
        <v>337</v>
      </c>
    </row>
    <row r="720" spans="1:10" x14ac:dyDescent="0.3">
      <c r="A720" t="s">
        <v>1776</v>
      </c>
      <c r="B720" t="s">
        <v>24939</v>
      </c>
      <c r="C720" t="s">
        <v>20486</v>
      </c>
      <c r="D720" t="s">
        <v>22</v>
      </c>
      <c r="E720" t="s">
        <v>1777</v>
      </c>
      <c r="F720">
        <v>44</v>
      </c>
      <c r="G720" t="s">
        <v>31</v>
      </c>
      <c r="H720" t="s">
        <v>31</v>
      </c>
    </row>
    <row r="721" spans="1:10" x14ac:dyDescent="0.3">
      <c r="A721" t="s">
        <v>1778</v>
      </c>
      <c r="B721" t="s">
        <v>24940</v>
      </c>
      <c r="C721" t="s">
        <v>20488</v>
      </c>
      <c r="D721" t="s">
        <v>22</v>
      </c>
      <c r="E721" t="s">
        <v>1779</v>
      </c>
      <c r="F721">
        <v>46</v>
      </c>
      <c r="G721" t="s">
        <v>31</v>
      </c>
      <c r="H721" t="s">
        <v>31</v>
      </c>
      <c r="I721" t="s">
        <v>33</v>
      </c>
    </row>
    <row r="722" spans="1:10" x14ac:dyDescent="0.3">
      <c r="A722" t="s">
        <v>1780</v>
      </c>
      <c r="B722" t="s">
        <v>24941</v>
      </c>
      <c r="C722" t="s">
        <v>20488</v>
      </c>
      <c r="D722" t="s">
        <v>22</v>
      </c>
      <c r="E722" t="s">
        <v>1781</v>
      </c>
      <c r="F722">
        <v>79</v>
      </c>
      <c r="G722" t="s">
        <v>31</v>
      </c>
      <c r="H722" t="s">
        <v>31</v>
      </c>
      <c r="I722" t="s">
        <v>33</v>
      </c>
    </row>
    <row r="723" spans="1:10" x14ac:dyDescent="0.3">
      <c r="A723" t="s">
        <v>1782</v>
      </c>
      <c r="B723" t="s">
        <v>24942</v>
      </c>
      <c r="C723" t="s">
        <v>20491</v>
      </c>
      <c r="D723" t="s">
        <v>22</v>
      </c>
      <c r="E723" t="s">
        <v>1784</v>
      </c>
      <c r="F723">
        <v>45</v>
      </c>
      <c r="G723" t="s">
        <v>172</v>
      </c>
      <c r="H723" t="s">
        <v>12099</v>
      </c>
      <c r="I723" t="s">
        <v>441</v>
      </c>
      <c r="J723" t="s">
        <v>1785</v>
      </c>
    </row>
    <row r="724" spans="1:10" x14ac:dyDescent="0.3">
      <c r="A724" t="s">
        <v>1786</v>
      </c>
      <c r="B724" t="s">
        <v>24943</v>
      </c>
      <c r="C724" t="s">
        <v>20491</v>
      </c>
      <c r="D724" t="s">
        <v>22</v>
      </c>
      <c r="E724" t="s">
        <v>1787</v>
      </c>
      <c r="F724">
        <v>67</v>
      </c>
      <c r="G724" t="s">
        <v>13</v>
      </c>
      <c r="H724" t="s">
        <v>13</v>
      </c>
      <c r="I724" t="s">
        <v>17</v>
      </c>
      <c r="J724" t="s">
        <v>1788</v>
      </c>
    </row>
    <row r="725" spans="1:10" x14ac:dyDescent="0.3">
      <c r="A725" t="s">
        <v>1789</v>
      </c>
      <c r="B725" t="s">
        <v>24944</v>
      </c>
      <c r="C725" t="s">
        <v>20491</v>
      </c>
      <c r="D725" t="s">
        <v>22</v>
      </c>
      <c r="E725" t="s">
        <v>1790</v>
      </c>
      <c r="F725">
        <v>47</v>
      </c>
      <c r="G725" t="s">
        <v>16</v>
      </c>
      <c r="H725" t="s">
        <v>9785</v>
      </c>
      <c r="I725" t="s">
        <v>231</v>
      </c>
      <c r="J725" t="s">
        <v>1788</v>
      </c>
    </row>
    <row r="726" spans="1:10" x14ac:dyDescent="0.3">
      <c r="A726" t="s">
        <v>1791</v>
      </c>
      <c r="B726" t="s">
        <v>24945</v>
      </c>
      <c r="C726" t="s">
        <v>20491</v>
      </c>
      <c r="D726" t="s">
        <v>22</v>
      </c>
      <c r="E726" t="s">
        <v>1792</v>
      </c>
      <c r="F726">
        <v>69</v>
      </c>
      <c r="G726" t="s">
        <v>31</v>
      </c>
      <c r="H726" t="s">
        <v>31</v>
      </c>
      <c r="J726" t="s">
        <v>1788</v>
      </c>
    </row>
    <row r="727" spans="1:10" x14ac:dyDescent="0.3">
      <c r="A727" t="s">
        <v>1793</v>
      </c>
      <c r="B727" t="s">
        <v>24946</v>
      </c>
      <c r="C727" t="s">
        <v>20491</v>
      </c>
      <c r="D727" t="s">
        <v>22</v>
      </c>
      <c r="E727" t="s">
        <v>1794</v>
      </c>
      <c r="F727">
        <v>43</v>
      </c>
      <c r="G727" t="s">
        <v>16</v>
      </c>
      <c r="H727" t="s">
        <v>9785</v>
      </c>
      <c r="I727" t="s">
        <v>231</v>
      </c>
      <c r="J727" t="s">
        <v>1795</v>
      </c>
    </row>
    <row r="728" spans="1:10" x14ac:dyDescent="0.3">
      <c r="A728" t="s">
        <v>1796</v>
      </c>
      <c r="B728" t="s">
        <v>24947</v>
      </c>
      <c r="C728" t="s">
        <v>20491</v>
      </c>
      <c r="D728" t="s">
        <v>11</v>
      </c>
      <c r="E728" t="s">
        <v>1797</v>
      </c>
      <c r="F728">
        <v>54</v>
      </c>
      <c r="G728" t="s">
        <v>16</v>
      </c>
      <c r="H728" t="s">
        <v>9785</v>
      </c>
      <c r="I728" t="s">
        <v>231</v>
      </c>
      <c r="J728" t="s">
        <v>1788</v>
      </c>
    </row>
    <row r="729" spans="1:10" x14ac:dyDescent="0.3">
      <c r="A729" t="s">
        <v>1798</v>
      </c>
      <c r="B729" t="s">
        <v>24948</v>
      </c>
      <c r="C729" t="s">
        <v>20491</v>
      </c>
      <c r="D729" t="s">
        <v>11</v>
      </c>
      <c r="E729" t="s">
        <v>1799</v>
      </c>
      <c r="F729">
        <v>49</v>
      </c>
      <c r="G729" t="s">
        <v>109</v>
      </c>
      <c r="H729" t="s">
        <v>9788</v>
      </c>
      <c r="I729" t="s">
        <v>123</v>
      </c>
      <c r="J729" t="s">
        <v>1788</v>
      </c>
    </row>
    <row r="730" spans="1:10" x14ac:dyDescent="0.3">
      <c r="A730" t="s">
        <v>1800</v>
      </c>
      <c r="B730" t="s">
        <v>24949</v>
      </c>
      <c r="C730" t="s">
        <v>20491</v>
      </c>
      <c r="D730" t="s">
        <v>11</v>
      </c>
      <c r="E730" t="s">
        <v>1801</v>
      </c>
      <c r="F730">
        <v>76</v>
      </c>
      <c r="G730" t="s">
        <v>109</v>
      </c>
      <c r="H730" t="s">
        <v>9788</v>
      </c>
      <c r="I730" t="s">
        <v>1802</v>
      </c>
      <c r="J730" t="s">
        <v>1803</v>
      </c>
    </row>
    <row r="731" spans="1:10" x14ac:dyDescent="0.3">
      <c r="A731" t="s">
        <v>1804</v>
      </c>
      <c r="B731" t="s">
        <v>24950</v>
      </c>
      <c r="C731" t="s">
        <v>20491</v>
      </c>
      <c r="D731" t="s">
        <v>11</v>
      </c>
      <c r="E731" t="s">
        <v>1805</v>
      </c>
      <c r="F731">
        <v>74</v>
      </c>
      <c r="G731" t="s">
        <v>13</v>
      </c>
      <c r="H731" t="s">
        <v>13</v>
      </c>
      <c r="J731" t="s">
        <v>1788</v>
      </c>
    </row>
    <row r="732" spans="1:10" x14ac:dyDescent="0.3">
      <c r="A732" t="s">
        <v>1806</v>
      </c>
      <c r="B732" t="s">
        <v>24951</v>
      </c>
      <c r="C732" t="s">
        <v>20491</v>
      </c>
      <c r="D732" t="s">
        <v>22</v>
      </c>
      <c r="E732" t="s">
        <v>1807</v>
      </c>
      <c r="F732">
        <v>60</v>
      </c>
      <c r="G732" t="s">
        <v>16</v>
      </c>
      <c r="H732" t="s">
        <v>9785</v>
      </c>
      <c r="I732" t="s">
        <v>231</v>
      </c>
      <c r="J732" t="s">
        <v>1788</v>
      </c>
    </row>
    <row r="733" spans="1:10" x14ac:dyDescent="0.3">
      <c r="A733" t="s">
        <v>1808</v>
      </c>
      <c r="B733" t="s">
        <v>24952</v>
      </c>
      <c r="C733" t="s">
        <v>20491</v>
      </c>
      <c r="D733" t="s">
        <v>11</v>
      </c>
      <c r="E733" t="s">
        <v>1809</v>
      </c>
      <c r="F733">
        <v>62</v>
      </c>
      <c r="G733" t="s">
        <v>13</v>
      </c>
      <c r="H733" t="s">
        <v>13</v>
      </c>
      <c r="I733" t="s">
        <v>231</v>
      </c>
      <c r="J733" t="s">
        <v>1810</v>
      </c>
    </row>
    <row r="734" spans="1:10" x14ac:dyDescent="0.3">
      <c r="A734" t="s">
        <v>1811</v>
      </c>
      <c r="B734" t="s">
        <v>24953</v>
      </c>
      <c r="C734" t="s">
        <v>20491</v>
      </c>
      <c r="D734" t="s">
        <v>11</v>
      </c>
      <c r="E734" t="s">
        <v>1812</v>
      </c>
      <c r="F734">
        <v>55</v>
      </c>
      <c r="G734" t="s">
        <v>441</v>
      </c>
      <c r="H734" t="s">
        <v>9785</v>
      </c>
      <c r="J734" t="s">
        <v>1810</v>
      </c>
    </row>
    <row r="735" spans="1:10" x14ac:dyDescent="0.3">
      <c r="A735" t="s">
        <v>1813</v>
      </c>
      <c r="B735" t="s">
        <v>24954</v>
      </c>
      <c r="C735" t="s">
        <v>20491</v>
      </c>
      <c r="D735" t="s">
        <v>22</v>
      </c>
      <c r="E735" t="s">
        <v>1814</v>
      </c>
      <c r="F735">
        <v>52</v>
      </c>
      <c r="G735" t="s">
        <v>31</v>
      </c>
      <c r="H735" t="s">
        <v>31</v>
      </c>
      <c r="J735" t="s">
        <v>676</v>
      </c>
    </row>
    <row r="736" spans="1:10" x14ac:dyDescent="0.3">
      <c r="A736" t="s">
        <v>1815</v>
      </c>
      <c r="B736" t="s">
        <v>24955</v>
      </c>
      <c r="C736" t="s">
        <v>20491</v>
      </c>
      <c r="D736" t="s">
        <v>22</v>
      </c>
      <c r="E736" t="s">
        <v>1816</v>
      </c>
      <c r="F736">
        <v>56</v>
      </c>
      <c r="G736" t="s">
        <v>24</v>
      </c>
      <c r="H736" t="s">
        <v>9789</v>
      </c>
      <c r="J736" t="s">
        <v>1817</v>
      </c>
    </row>
    <row r="737" spans="1:10" x14ac:dyDescent="0.3">
      <c r="A737" t="s">
        <v>1818</v>
      </c>
      <c r="B737" t="s">
        <v>24956</v>
      </c>
      <c r="C737" t="s">
        <v>20491</v>
      </c>
      <c r="D737" t="s">
        <v>22</v>
      </c>
      <c r="E737" t="s">
        <v>1819</v>
      </c>
      <c r="F737">
        <v>57</v>
      </c>
      <c r="G737" t="s">
        <v>1820</v>
      </c>
      <c r="H737" t="s">
        <v>9788</v>
      </c>
      <c r="I737" t="s">
        <v>231</v>
      </c>
      <c r="J737" t="s">
        <v>1821</v>
      </c>
    </row>
    <row r="738" spans="1:10" x14ac:dyDescent="0.3">
      <c r="A738" t="s">
        <v>1822</v>
      </c>
      <c r="B738" t="s">
        <v>24957</v>
      </c>
      <c r="C738" t="s">
        <v>20491</v>
      </c>
      <c r="D738" t="s">
        <v>22</v>
      </c>
      <c r="E738" t="s">
        <v>1036</v>
      </c>
      <c r="F738">
        <v>56</v>
      </c>
      <c r="G738" t="s">
        <v>1820</v>
      </c>
      <c r="H738" t="s">
        <v>9788</v>
      </c>
      <c r="I738" t="s">
        <v>231</v>
      </c>
      <c r="J738" t="s">
        <v>1821</v>
      </c>
    </row>
    <row r="739" spans="1:10" x14ac:dyDescent="0.3">
      <c r="A739" t="s">
        <v>1823</v>
      </c>
      <c r="B739" t="s">
        <v>24958</v>
      </c>
      <c r="C739" t="s">
        <v>20491</v>
      </c>
      <c r="D739" t="s">
        <v>22</v>
      </c>
      <c r="E739" t="s">
        <v>1824</v>
      </c>
      <c r="F739">
        <v>70</v>
      </c>
      <c r="G739" t="s">
        <v>13</v>
      </c>
      <c r="H739" t="s">
        <v>13</v>
      </c>
      <c r="I739" t="s">
        <v>17</v>
      </c>
      <c r="J739" t="s">
        <v>1825</v>
      </c>
    </row>
    <row r="740" spans="1:10" x14ac:dyDescent="0.3">
      <c r="A740" t="s">
        <v>1826</v>
      </c>
      <c r="B740" t="s">
        <v>24959</v>
      </c>
      <c r="C740" t="s">
        <v>20491</v>
      </c>
      <c r="D740" t="s">
        <v>22</v>
      </c>
      <c r="E740" t="s">
        <v>1827</v>
      </c>
      <c r="F740">
        <v>57</v>
      </c>
      <c r="G740" t="s">
        <v>441</v>
      </c>
      <c r="H740" t="s">
        <v>9785</v>
      </c>
      <c r="J740" t="s">
        <v>1828</v>
      </c>
    </row>
    <row r="741" spans="1:10" x14ac:dyDescent="0.3">
      <c r="A741" t="s">
        <v>1829</v>
      </c>
      <c r="B741" t="s">
        <v>24960</v>
      </c>
      <c r="C741" t="s">
        <v>20491</v>
      </c>
      <c r="D741" t="s">
        <v>22</v>
      </c>
      <c r="E741" t="s">
        <v>1830</v>
      </c>
      <c r="F741">
        <v>67</v>
      </c>
      <c r="G741" t="s">
        <v>109</v>
      </c>
      <c r="H741" t="s">
        <v>9788</v>
      </c>
      <c r="I741" t="s">
        <v>1831</v>
      </c>
      <c r="J741" t="s">
        <v>1832</v>
      </c>
    </row>
    <row r="742" spans="1:10" x14ac:dyDescent="0.3">
      <c r="A742" t="s">
        <v>1833</v>
      </c>
      <c r="B742" t="s">
        <v>24961</v>
      </c>
      <c r="C742" t="s">
        <v>20491</v>
      </c>
      <c r="D742" t="s">
        <v>11</v>
      </c>
      <c r="E742" t="s">
        <v>1834</v>
      </c>
      <c r="F742">
        <v>65</v>
      </c>
      <c r="G742" t="s">
        <v>16</v>
      </c>
      <c r="H742" t="s">
        <v>9785</v>
      </c>
      <c r="I742" t="s">
        <v>231</v>
      </c>
      <c r="J742" t="s">
        <v>1825</v>
      </c>
    </row>
    <row r="743" spans="1:10" x14ac:dyDescent="0.3">
      <c r="A743" t="s">
        <v>1835</v>
      </c>
      <c r="B743" t="s">
        <v>24962</v>
      </c>
      <c r="C743" t="s">
        <v>20491</v>
      </c>
      <c r="D743" t="s">
        <v>22</v>
      </c>
      <c r="E743" t="s">
        <v>1836</v>
      </c>
      <c r="F743">
        <v>70</v>
      </c>
      <c r="G743" t="s">
        <v>31</v>
      </c>
      <c r="H743" t="s">
        <v>31</v>
      </c>
    </row>
    <row r="744" spans="1:10" x14ac:dyDescent="0.3">
      <c r="A744" t="s">
        <v>1837</v>
      </c>
      <c r="B744" t="s">
        <v>24963</v>
      </c>
      <c r="C744" t="s">
        <v>20491</v>
      </c>
      <c r="D744" t="s">
        <v>22</v>
      </c>
      <c r="E744" t="s">
        <v>1838</v>
      </c>
      <c r="F744">
        <v>60</v>
      </c>
      <c r="G744" t="s">
        <v>31</v>
      </c>
      <c r="H744" t="s">
        <v>31</v>
      </c>
    </row>
    <row r="745" spans="1:10" x14ac:dyDescent="0.3">
      <c r="A745" t="s">
        <v>1839</v>
      </c>
      <c r="B745" t="s">
        <v>24964</v>
      </c>
      <c r="C745" t="s">
        <v>20491</v>
      </c>
      <c r="D745" t="s">
        <v>22</v>
      </c>
      <c r="E745" t="s">
        <v>1840</v>
      </c>
      <c r="F745">
        <v>68</v>
      </c>
      <c r="G745" t="s">
        <v>13</v>
      </c>
      <c r="H745" t="s">
        <v>13</v>
      </c>
    </row>
    <row r="746" spans="1:10" x14ac:dyDescent="0.3">
      <c r="A746" t="s">
        <v>12166</v>
      </c>
      <c r="B746" t="s">
        <v>24965</v>
      </c>
      <c r="C746" t="s">
        <v>20491</v>
      </c>
      <c r="D746" t="s">
        <v>22</v>
      </c>
      <c r="E746" t="s">
        <v>6208</v>
      </c>
      <c r="F746">
        <v>26</v>
      </c>
      <c r="G746" t="s">
        <v>109</v>
      </c>
      <c r="H746" t="s">
        <v>9788</v>
      </c>
    </row>
    <row r="747" spans="1:10" x14ac:dyDescent="0.3">
      <c r="A747" t="s">
        <v>1841</v>
      </c>
      <c r="B747" t="s">
        <v>24966</v>
      </c>
      <c r="C747" t="s">
        <v>20491</v>
      </c>
      <c r="D747" t="s">
        <v>22</v>
      </c>
      <c r="E747" t="s">
        <v>1842</v>
      </c>
      <c r="F747">
        <v>54</v>
      </c>
      <c r="G747" t="s">
        <v>46</v>
      </c>
      <c r="H747" t="s">
        <v>46</v>
      </c>
      <c r="I747" t="s">
        <v>1843</v>
      </c>
    </row>
    <row r="748" spans="1:10" x14ac:dyDescent="0.3">
      <c r="A748" t="s">
        <v>1844</v>
      </c>
      <c r="B748" t="s">
        <v>24967</v>
      </c>
      <c r="C748" t="s">
        <v>20491</v>
      </c>
      <c r="D748" t="s">
        <v>22</v>
      </c>
      <c r="E748" t="s">
        <v>1845</v>
      </c>
      <c r="F748">
        <v>58</v>
      </c>
      <c r="G748" t="s">
        <v>46</v>
      </c>
      <c r="H748" t="s">
        <v>46</v>
      </c>
      <c r="I748" t="s">
        <v>1846</v>
      </c>
      <c r="J748" t="s">
        <v>220</v>
      </c>
    </row>
    <row r="749" spans="1:10" x14ac:dyDescent="0.3">
      <c r="A749" t="s">
        <v>1847</v>
      </c>
      <c r="B749" t="s">
        <v>24968</v>
      </c>
      <c r="C749" t="s">
        <v>20491</v>
      </c>
      <c r="D749" t="s">
        <v>22</v>
      </c>
      <c r="E749" t="s">
        <v>1848</v>
      </c>
      <c r="F749">
        <v>45</v>
      </c>
      <c r="G749" t="s">
        <v>46</v>
      </c>
      <c r="H749" t="s">
        <v>46</v>
      </c>
    </row>
    <row r="750" spans="1:10" x14ac:dyDescent="0.3">
      <c r="A750" t="s">
        <v>1849</v>
      </c>
      <c r="B750" t="s">
        <v>24969</v>
      </c>
      <c r="C750" t="s">
        <v>20491</v>
      </c>
      <c r="D750" t="s">
        <v>22</v>
      </c>
      <c r="E750" t="s">
        <v>1850</v>
      </c>
      <c r="F750">
        <v>56</v>
      </c>
      <c r="G750" t="s">
        <v>46</v>
      </c>
      <c r="H750" t="s">
        <v>31</v>
      </c>
    </row>
    <row r="751" spans="1:10" x14ac:dyDescent="0.3">
      <c r="A751" t="s">
        <v>1851</v>
      </c>
      <c r="B751" t="s">
        <v>24970</v>
      </c>
      <c r="C751" t="s">
        <v>20491</v>
      </c>
      <c r="D751" t="s">
        <v>22</v>
      </c>
      <c r="E751" t="s">
        <v>1852</v>
      </c>
      <c r="F751">
        <v>58</v>
      </c>
      <c r="G751" t="s">
        <v>172</v>
      </c>
      <c r="H751" t="s">
        <v>12099</v>
      </c>
      <c r="I751" t="s">
        <v>1853</v>
      </c>
      <c r="J751" t="s">
        <v>1854</v>
      </c>
    </row>
    <row r="752" spans="1:10" x14ac:dyDescent="0.3">
      <c r="A752" t="s">
        <v>1855</v>
      </c>
      <c r="B752" t="s">
        <v>24971</v>
      </c>
      <c r="C752" t="s">
        <v>20491</v>
      </c>
      <c r="D752" t="s">
        <v>22</v>
      </c>
      <c r="E752" t="s">
        <v>1856</v>
      </c>
      <c r="F752">
        <v>76</v>
      </c>
      <c r="G752" t="s">
        <v>31</v>
      </c>
      <c r="H752" t="s">
        <v>31</v>
      </c>
    </row>
    <row r="753" spans="1:10" x14ac:dyDescent="0.3">
      <c r="A753" t="s">
        <v>1857</v>
      </c>
      <c r="B753" t="s">
        <v>24972</v>
      </c>
      <c r="C753" t="s">
        <v>20491</v>
      </c>
      <c r="D753" t="s">
        <v>22</v>
      </c>
      <c r="E753" t="s">
        <v>1858</v>
      </c>
      <c r="F753">
        <v>43</v>
      </c>
      <c r="G753" t="s">
        <v>109</v>
      </c>
      <c r="H753" t="s">
        <v>9788</v>
      </c>
      <c r="I753" t="s">
        <v>1859</v>
      </c>
      <c r="J753" t="s">
        <v>1860</v>
      </c>
    </row>
    <row r="754" spans="1:10" x14ac:dyDescent="0.3">
      <c r="A754" t="s">
        <v>1862</v>
      </c>
      <c r="B754" t="s">
        <v>24973</v>
      </c>
      <c r="C754" t="s">
        <v>20491</v>
      </c>
      <c r="D754" t="s">
        <v>11</v>
      </c>
      <c r="E754" t="s">
        <v>1863</v>
      </c>
      <c r="F754">
        <v>63</v>
      </c>
      <c r="G754" t="s">
        <v>13</v>
      </c>
      <c r="H754" t="s">
        <v>13</v>
      </c>
      <c r="J754" t="s">
        <v>1825</v>
      </c>
    </row>
    <row r="755" spans="1:10" x14ac:dyDescent="0.3">
      <c r="A755" t="s">
        <v>1864</v>
      </c>
      <c r="B755" t="s">
        <v>24974</v>
      </c>
      <c r="C755" t="s">
        <v>20491</v>
      </c>
      <c r="D755" t="s">
        <v>22</v>
      </c>
      <c r="E755" t="s">
        <v>1865</v>
      </c>
      <c r="F755">
        <v>66</v>
      </c>
      <c r="G755" t="s">
        <v>13</v>
      </c>
      <c r="H755" t="s">
        <v>13</v>
      </c>
      <c r="I755" t="s">
        <v>17</v>
      </c>
    </row>
    <row r="756" spans="1:10" x14ac:dyDescent="0.3">
      <c r="A756" t="s">
        <v>1866</v>
      </c>
      <c r="B756" t="s">
        <v>24975</v>
      </c>
      <c r="C756" t="s">
        <v>20491</v>
      </c>
      <c r="D756" t="s">
        <v>11</v>
      </c>
      <c r="E756" t="s">
        <v>1867</v>
      </c>
      <c r="F756">
        <v>69</v>
      </c>
      <c r="G756" t="s">
        <v>31</v>
      </c>
      <c r="H756" t="s">
        <v>31</v>
      </c>
    </row>
    <row r="757" spans="1:10" x14ac:dyDescent="0.3">
      <c r="A757" t="s">
        <v>1868</v>
      </c>
      <c r="B757" t="s">
        <v>24976</v>
      </c>
      <c r="C757" t="s">
        <v>20491</v>
      </c>
      <c r="D757" t="s">
        <v>11</v>
      </c>
      <c r="E757" t="s">
        <v>1869</v>
      </c>
      <c r="F757">
        <v>80</v>
      </c>
      <c r="G757" t="s">
        <v>13</v>
      </c>
      <c r="H757" t="s">
        <v>13</v>
      </c>
      <c r="I757" t="s">
        <v>17</v>
      </c>
    </row>
    <row r="758" spans="1:10" x14ac:dyDescent="0.3">
      <c r="A758" t="s">
        <v>1870</v>
      </c>
      <c r="B758" t="s">
        <v>24977</v>
      </c>
      <c r="C758" t="s">
        <v>20491</v>
      </c>
      <c r="D758" t="s">
        <v>22</v>
      </c>
      <c r="E758" t="s">
        <v>1871</v>
      </c>
      <c r="F758">
        <v>25</v>
      </c>
      <c r="G758" t="s">
        <v>109</v>
      </c>
      <c r="H758" t="s">
        <v>9788</v>
      </c>
    </row>
    <row r="759" spans="1:10" x14ac:dyDescent="0.3">
      <c r="A759" t="s">
        <v>1872</v>
      </c>
      <c r="B759" t="s">
        <v>24978</v>
      </c>
      <c r="C759" t="s">
        <v>20491</v>
      </c>
      <c r="D759" t="s">
        <v>11</v>
      </c>
      <c r="E759" t="s">
        <v>1873</v>
      </c>
      <c r="F759">
        <v>64</v>
      </c>
      <c r="G759" t="s">
        <v>13</v>
      </c>
      <c r="H759" t="s">
        <v>13</v>
      </c>
    </row>
    <row r="760" spans="1:10" x14ac:dyDescent="0.3">
      <c r="A760" t="s">
        <v>1874</v>
      </c>
      <c r="B760" t="s">
        <v>24979</v>
      </c>
      <c r="C760" t="s">
        <v>20491</v>
      </c>
      <c r="D760" t="s">
        <v>22</v>
      </c>
      <c r="E760" t="s">
        <v>1875</v>
      </c>
      <c r="F760">
        <v>50</v>
      </c>
      <c r="G760" t="s">
        <v>201</v>
      </c>
      <c r="H760" t="s">
        <v>46</v>
      </c>
    </row>
    <row r="761" spans="1:10" x14ac:dyDescent="0.3">
      <c r="A761" t="s">
        <v>1876</v>
      </c>
      <c r="B761" t="s">
        <v>24980</v>
      </c>
      <c r="C761" t="s">
        <v>20491</v>
      </c>
      <c r="D761" t="s">
        <v>22</v>
      </c>
      <c r="E761" t="s">
        <v>1877</v>
      </c>
      <c r="F761">
        <v>65</v>
      </c>
      <c r="G761" t="s">
        <v>46</v>
      </c>
      <c r="H761" t="s">
        <v>46</v>
      </c>
      <c r="I761" t="s">
        <v>1878</v>
      </c>
      <c r="J761" t="s">
        <v>1879</v>
      </c>
    </row>
    <row r="762" spans="1:10" x14ac:dyDescent="0.3">
      <c r="A762" t="s">
        <v>12167</v>
      </c>
      <c r="B762" t="s">
        <v>24981</v>
      </c>
      <c r="C762" t="s">
        <v>20491</v>
      </c>
      <c r="D762" t="s">
        <v>11</v>
      </c>
      <c r="E762" t="s">
        <v>9760</v>
      </c>
      <c r="F762">
        <v>24</v>
      </c>
      <c r="G762" t="s">
        <v>46</v>
      </c>
      <c r="H762" t="s">
        <v>46</v>
      </c>
    </row>
    <row r="763" spans="1:10" x14ac:dyDescent="0.3">
      <c r="A763" t="s">
        <v>12168</v>
      </c>
      <c r="B763" t="s">
        <v>24982</v>
      </c>
      <c r="C763" t="s">
        <v>20491</v>
      </c>
      <c r="D763" t="s">
        <v>11</v>
      </c>
      <c r="E763" t="s">
        <v>9759</v>
      </c>
      <c r="F763">
        <v>18</v>
      </c>
      <c r="G763" t="s">
        <v>337</v>
      </c>
      <c r="H763" t="s">
        <v>337</v>
      </c>
    </row>
    <row r="764" spans="1:10" x14ac:dyDescent="0.3">
      <c r="A764" t="s">
        <v>1880</v>
      </c>
      <c r="B764" t="s">
        <v>24983</v>
      </c>
      <c r="C764" t="s">
        <v>20486</v>
      </c>
      <c r="D764" t="s">
        <v>11</v>
      </c>
      <c r="E764" t="s">
        <v>1881</v>
      </c>
      <c r="F764">
        <v>53</v>
      </c>
      <c r="G764" t="s">
        <v>46</v>
      </c>
      <c r="H764" t="s">
        <v>46</v>
      </c>
    </row>
    <row r="765" spans="1:10" x14ac:dyDescent="0.3">
      <c r="A765" t="s">
        <v>1882</v>
      </c>
      <c r="B765" t="s">
        <v>24984</v>
      </c>
      <c r="C765" t="s">
        <v>20491</v>
      </c>
      <c r="D765" t="s">
        <v>11</v>
      </c>
      <c r="E765" t="s">
        <v>451</v>
      </c>
      <c r="F765">
        <v>56</v>
      </c>
      <c r="G765" t="s">
        <v>109</v>
      </c>
      <c r="H765" t="s">
        <v>9788</v>
      </c>
      <c r="I765" t="s">
        <v>441</v>
      </c>
      <c r="J765" t="s">
        <v>1883</v>
      </c>
    </row>
    <row r="766" spans="1:10" x14ac:dyDescent="0.3">
      <c r="A766" t="s">
        <v>1884</v>
      </c>
      <c r="B766" t="s">
        <v>24985</v>
      </c>
      <c r="C766" t="s">
        <v>20491</v>
      </c>
      <c r="D766" t="s">
        <v>22</v>
      </c>
      <c r="E766" t="s">
        <v>1885</v>
      </c>
      <c r="F766">
        <v>47</v>
      </c>
      <c r="G766" t="s">
        <v>231</v>
      </c>
      <c r="H766" t="s">
        <v>9788</v>
      </c>
      <c r="J766" t="s">
        <v>1886</v>
      </c>
    </row>
    <row r="767" spans="1:10" x14ac:dyDescent="0.3">
      <c r="A767" t="s">
        <v>1887</v>
      </c>
      <c r="B767" t="s">
        <v>24986</v>
      </c>
      <c r="C767" t="s">
        <v>20491</v>
      </c>
      <c r="D767" t="s">
        <v>11</v>
      </c>
      <c r="E767" t="s">
        <v>1888</v>
      </c>
      <c r="F767">
        <v>55</v>
      </c>
      <c r="G767" t="s">
        <v>441</v>
      </c>
      <c r="H767" t="s">
        <v>9785</v>
      </c>
      <c r="J767" t="s">
        <v>1889</v>
      </c>
    </row>
    <row r="768" spans="1:10" x14ac:dyDescent="0.3">
      <c r="A768" t="s">
        <v>1890</v>
      </c>
      <c r="B768" t="s">
        <v>24987</v>
      </c>
      <c r="C768" t="s">
        <v>20491</v>
      </c>
      <c r="D768" t="s">
        <v>11</v>
      </c>
      <c r="E768" t="s">
        <v>1891</v>
      </c>
      <c r="F768">
        <v>62</v>
      </c>
      <c r="G768" t="s">
        <v>231</v>
      </c>
      <c r="H768" t="s">
        <v>9788</v>
      </c>
    </row>
    <row r="769" spans="1:10" x14ac:dyDescent="0.3">
      <c r="A769" t="s">
        <v>1892</v>
      </c>
      <c r="B769" t="s">
        <v>24988</v>
      </c>
      <c r="C769" t="s">
        <v>20487</v>
      </c>
      <c r="D769" t="s">
        <v>22</v>
      </c>
      <c r="E769" t="s">
        <v>1893</v>
      </c>
      <c r="F769">
        <v>49</v>
      </c>
      <c r="G769" t="s">
        <v>231</v>
      </c>
      <c r="H769" t="s">
        <v>9788</v>
      </c>
      <c r="J769" t="s">
        <v>1894</v>
      </c>
    </row>
    <row r="770" spans="1:10" x14ac:dyDescent="0.3">
      <c r="A770" t="s">
        <v>1895</v>
      </c>
      <c r="B770" t="s">
        <v>24989</v>
      </c>
      <c r="C770" t="s">
        <v>20486</v>
      </c>
      <c r="D770" t="s">
        <v>11</v>
      </c>
      <c r="E770" t="s">
        <v>1896</v>
      </c>
      <c r="F770">
        <v>66</v>
      </c>
      <c r="G770" t="s">
        <v>370</v>
      </c>
      <c r="H770" t="s">
        <v>46</v>
      </c>
      <c r="I770" t="s">
        <v>228</v>
      </c>
      <c r="J770" t="s">
        <v>1897</v>
      </c>
    </row>
    <row r="771" spans="1:10" x14ac:dyDescent="0.3">
      <c r="A771" t="s">
        <v>1898</v>
      </c>
      <c r="B771" t="s">
        <v>24990</v>
      </c>
      <c r="C771" t="s">
        <v>20489</v>
      </c>
      <c r="D771" t="s">
        <v>22</v>
      </c>
      <c r="E771" t="s">
        <v>1899</v>
      </c>
      <c r="F771">
        <v>50</v>
      </c>
      <c r="G771" t="s">
        <v>31</v>
      </c>
      <c r="H771" t="s">
        <v>31</v>
      </c>
      <c r="I771" t="s">
        <v>33</v>
      </c>
    </row>
    <row r="772" spans="1:10" x14ac:dyDescent="0.3">
      <c r="A772" t="s">
        <v>1900</v>
      </c>
      <c r="B772" t="s">
        <v>24991</v>
      </c>
      <c r="C772" t="s">
        <v>20486</v>
      </c>
      <c r="D772" t="s">
        <v>22</v>
      </c>
      <c r="E772" t="s">
        <v>1901</v>
      </c>
      <c r="F772">
        <v>48</v>
      </c>
      <c r="G772" t="s">
        <v>243</v>
      </c>
      <c r="H772" t="s">
        <v>31</v>
      </c>
      <c r="I772" t="s">
        <v>3763</v>
      </c>
    </row>
    <row r="773" spans="1:10" x14ac:dyDescent="0.3">
      <c r="A773" t="s">
        <v>1902</v>
      </c>
      <c r="B773" t="s">
        <v>24992</v>
      </c>
      <c r="C773" t="s">
        <v>20486</v>
      </c>
      <c r="D773" t="s">
        <v>11</v>
      </c>
      <c r="E773" t="s">
        <v>1903</v>
      </c>
      <c r="F773">
        <v>59</v>
      </c>
      <c r="G773" t="s">
        <v>46</v>
      </c>
      <c r="H773" t="s">
        <v>46</v>
      </c>
      <c r="I773" t="s">
        <v>1904</v>
      </c>
    </row>
    <row r="774" spans="1:10" x14ac:dyDescent="0.3">
      <c r="A774" t="s">
        <v>1905</v>
      </c>
      <c r="B774" t="s">
        <v>24993</v>
      </c>
      <c r="C774" t="s">
        <v>20488</v>
      </c>
      <c r="D774" t="s">
        <v>22</v>
      </c>
      <c r="E774" t="s">
        <v>1906</v>
      </c>
      <c r="F774">
        <v>39</v>
      </c>
      <c r="G774" t="s">
        <v>31</v>
      </c>
      <c r="H774" t="s">
        <v>31</v>
      </c>
      <c r="I774" t="s">
        <v>33</v>
      </c>
    </row>
    <row r="775" spans="1:10" x14ac:dyDescent="0.3">
      <c r="A775" t="s">
        <v>1907</v>
      </c>
      <c r="B775" t="s">
        <v>24994</v>
      </c>
      <c r="C775" t="s">
        <v>20487</v>
      </c>
      <c r="D775" t="s">
        <v>11</v>
      </c>
      <c r="E775" t="s">
        <v>1908</v>
      </c>
      <c r="F775">
        <v>54</v>
      </c>
      <c r="G775" t="s">
        <v>231</v>
      </c>
      <c r="H775" t="s">
        <v>9788</v>
      </c>
    </row>
    <row r="776" spans="1:10" x14ac:dyDescent="0.3">
      <c r="A776" t="s">
        <v>1909</v>
      </c>
      <c r="B776" t="s">
        <v>24995</v>
      </c>
      <c r="C776" t="s">
        <v>20490</v>
      </c>
      <c r="D776" t="s">
        <v>22</v>
      </c>
      <c r="E776" t="s">
        <v>1910</v>
      </c>
      <c r="F776">
        <v>52</v>
      </c>
      <c r="G776" t="s">
        <v>16</v>
      </c>
      <c r="H776" t="s">
        <v>9785</v>
      </c>
      <c r="J776" t="s">
        <v>1911</v>
      </c>
    </row>
    <row r="777" spans="1:10" x14ac:dyDescent="0.3">
      <c r="A777" t="s">
        <v>1913</v>
      </c>
      <c r="B777" t="s">
        <v>24996</v>
      </c>
      <c r="C777" t="s">
        <v>20488</v>
      </c>
      <c r="D777" t="s">
        <v>22</v>
      </c>
      <c r="E777" t="s">
        <v>1914</v>
      </c>
      <c r="F777">
        <v>42</v>
      </c>
      <c r="G777" t="s">
        <v>31</v>
      </c>
      <c r="H777" t="s">
        <v>31</v>
      </c>
      <c r="I777" t="s">
        <v>33</v>
      </c>
    </row>
    <row r="778" spans="1:10" x14ac:dyDescent="0.3">
      <c r="A778" t="s">
        <v>1915</v>
      </c>
      <c r="B778" t="s">
        <v>24997</v>
      </c>
      <c r="C778" t="s">
        <v>20488</v>
      </c>
      <c r="D778" t="s">
        <v>22</v>
      </c>
      <c r="E778" t="s">
        <v>1916</v>
      </c>
      <c r="F778">
        <v>66</v>
      </c>
      <c r="G778" t="s">
        <v>31</v>
      </c>
      <c r="H778" t="s">
        <v>31</v>
      </c>
      <c r="I778" t="s">
        <v>33</v>
      </c>
    </row>
    <row r="779" spans="1:10" x14ac:dyDescent="0.3">
      <c r="A779" t="s">
        <v>1917</v>
      </c>
      <c r="B779" t="s">
        <v>24998</v>
      </c>
      <c r="C779" t="s">
        <v>20488</v>
      </c>
      <c r="D779" t="s">
        <v>11</v>
      </c>
      <c r="E779" t="s">
        <v>1918</v>
      </c>
      <c r="F779">
        <v>71</v>
      </c>
      <c r="G779" t="s">
        <v>13</v>
      </c>
      <c r="H779" t="s">
        <v>13</v>
      </c>
    </row>
    <row r="780" spans="1:10" x14ac:dyDescent="0.3">
      <c r="A780" t="s">
        <v>1919</v>
      </c>
      <c r="B780" t="s">
        <v>24999</v>
      </c>
      <c r="C780" t="s">
        <v>20488</v>
      </c>
      <c r="D780" t="s">
        <v>22</v>
      </c>
      <c r="E780" t="s">
        <v>1920</v>
      </c>
      <c r="F780">
        <v>48</v>
      </c>
      <c r="G780" t="s">
        <v>31</v>
      </c>
      <c r="H780" t="s">
        <v>31</v>
      </c>
    </row>
    <row r="781" spans="1:10" x14ac:dyDescent="0.3">
      <c r="A781" t="s">
        <v>1922</v>
      </c>
      <c r="B781" t="s">
        <v>25000</v>
      </c>
      <c r="C781" t="s">
        <v>20487</v>
      </c>
      <c r="D781" t="s">
        <v>11</v>
      </c>
      <c r="E781" t="s">
        <v>1923</v>
      </c>
      <c r="F781">
        <v>46</v>
      </c>
      <c r="G781" t="s">
        <v>959</v>
      </c>
      <c r="H781" t="s">
        <v>9785</v>
      </c>
      <c r="J781" t="s">
        <v>1924</v>
      </c>
    </row>
    <row r="782" spans="1:10" x14ac:dyDescent="0.3">
      <c r="A782" t="s">
        <v>1926</v>
      </c>
      <c r="B782" t="s">
        <v>25001</v>
      </c>
      <c r="C782" t="s">
        <v>20488</v>
      </c>
      <c r="D782" t="s">
        <v>22</v>
      </c>
      <c r="E782" t="s">
        <v>1927</v>
      </c>
      <c r="F782">
        <v>55</v>
      </c>
      <c r="G782" t="s">
        <v>109</v>
      </c>
      <c r="H782" t="s">
        <v>9788</v>
      </c>
      <c r="I782" t="s">
        <v>12169</v>
      </c>
      <c r="J782" t="s">
        <v>12170</v>
      </c>
    </row>
    <row r="783" spans="1:10" x14ac:dyDescent="0.3">
      <c r="A783" t="s">
        <v>1928</v>
      </c>
      <c r="B783" t="s">
        <v>25002</v>
      </c>
      <c r="C783" t="s">
        <v>20490</v>
      </c>
      <c r="D783" t="s">
        <v>22</v>
      </c>
      <c r="E783" t="s">
        <v>1929</v>
      </c>
      <c r="F783">
        <v>21</v>
      </c>
      <c r="G783" t="s">
        <v>337</v>
      </c>
      <c r="H783" t="s">
        <v>337</v>
      </c>
    </row>
    <row r="784" spans="1:10" x14ac:dyDescent="0.3">
      <c r="A784" t="s">
        <v>1930</v>
      </c>
      <c r="B784" t="s">
        <v>25003</v>
      </c>
      <c r="C784" t="s">
        <v>20488</v>
      </c>
      <c r="D784" t="s">
        <v>22</v>
      </c>
      <c r="E784" t="s">
        <v>1931</v>
      </c>
      <c r="F784">
        <v>52</v>
      </c>
      <c r="G784" t="s">
        <v>31</v>
      </c>
      <c r="H784" t="s">
        <v>31</v>
      </c>
      <c r="I784" t="s">
        <v>33</v>
      </c>
    </row>
    <row r="785" spans="1:10" x14ac:dyDescent="0.3">
      <c r="A785" t="s">
        <v>1932</v>
      </c>
      <c r="B785" t="s">
        <v>25004</v>
      </c>
      <c r="C785" t="s">
        <v>20488</v>
      </c>
      <c r="D785" t="s">
        <v>11</v>
      </c>
      <c r="E785" t="s">
        <v>1933</v>
      </c>
      <c r="F785">
        <v>45</v>
      </c>
      <c r="G785" t="s">
        <v>109</v>
      </c>
      <c r="H785" t="s">
        <v>9788</v>
      </c>
    </row>
    <row r="786" spans="1:10" x14ac:dyDescent="0.3">
      <c r="A786" t="s">
        <v>12171</v>
      </c>
      <c r="B786" t="s">
        <v>25005</v>
      </c>
      <c r="C786" t="s">
        <v>20486</v>
      </c>
      <c r="D786" t="s">
        <v>11</v>
      </c>
      <c r="E786" t="s">
        <v>9758</v>
      </c>
      <c r="F786">
        <v>18</v>
      </c>
      <c r="H786" t="s">
        <v>337</v>
      </c>
      <c r="J786" t="s">
        <v>9757</v>
      </c>
    </row>
    <row r="787" spans="1:10" x14ac:dyDescent="0.3">
      <c r="A787" t="s">
        <v>1934</v>
      </c>
      <c r="B787" t="s">
        <v>25006</v>
      </c>
      <c r="C787" t="s">
        <v>20486</v>
      </c>
      <c r="D787" t="s">
        <v>22</v>
      </c>
      <c r="E787" t="s">
        <v>1935</v>
      </c>
      <c r="F787">
        <v>54</v>
      </c>
      <c r="G787" t="s">
        <v>955</v>
      </c>
      <c r="H787" t="s">
        <v>9788</v>
      </c>
    </row>
    <row r="788" spans="1:10" x14ac:dyDescent="0.3">
      <c r="A788" t="s">
        <v>1936</v>
      </c>
      <c r="B788" t="s">
        <v>25007</v>
      </c>
      <c r="C788" t="s">
        <v>20486</v>
      </c>
      <c r="D788" t="s">
        <v>22</v>
      </c>
      <c r="E788" t="s">
        <v>1937</v>
      </c>
      <c r="F788">
        <v>75</v>
      </c>
    </row>
    <row r="789" spans="1:10" x14ac:dyDescent="0.3">
      <c r="A789" t="s">
        <v>1938</v>
      </c>
      <c r="B789" t="s">
        <v>25008</v>
      </c>
      <c r="C789" t="s">
        <v>20486</v>
      </c>
      <c r="D789" t="s">
        <v>22</v>
      </c>
      <c r="E789" t="s">
        <v>1939</v>
      </c>
      <c r="F789">
        <v>46</v>
      </c>
      <c r="G789" t="s">
        <v>46</v>
      </c>
      <c r="H789" t="s">
        <v>46</v>
      </c>
    </row>
    <row r="790" spans="1:10" x14ac:dyDescent="0.3">
      <c r="A790" t="s">
        <v>1940</v>
      </c>
      <c r="B790" t="s">
        <v>25009</v>
      </c>
      <c r="C790" t="s">
        <v>20487</v>
      </c>
      <c r="D790" t="s">
        <v>11</v>
      </c>
      <c r="E790" t="s">
        <v>1941</v>
      </c>
      <c r="F790">
        <v>46</v>
      </c>
      <c r="G790" t="s">
        <v>46</v>
      </c>
      <c r="H790" t="s">
        <v>46</v>
      </c>
      <c r="J790" t="s">
        <v>14293</v>
      </c>
    </row>
    <row r="791" spans="1:10" x14ac:dyDescent="0.3">
      <c r="A791" t="s">
        <v>1942</v>
      </c>
      <c r="B791" t="s">
        <v>25010</v>
      </c>
      <c r="C791" t="s">
        <v>20487</v>
      </c>
      <c r="D791" t="s">
        <v>11</v>
      </c>
      <c r="E791" t="s">
        <v>1943</v>
      </c>
      <c r="F791">
        <v>58</v>
      </c>
      <c r="G791" t="s">
        <v>201</v>
      </c>
      <c r="H791" t="s">
        <v>46</v>
      </c>
    </row>
    <row r="792" spans="1:10" x14ac:dyDescent="0.3">
      <c r="A792" t="s">
        <v>1944</v>
      </c>
      <c r="B792" t="s">
        <v>25011</v>
      </c>
      <c r="C792" t="s">
        <v>20486</v>
      </c>
      <c r="D792" t="s">
        <v>22</v>
      </c>
      <c r="E792" t="s">
        <v>1945</v>
      </c>
      <c r="F792">
        <v>49</v>
      </c>
      <c r="G792" t="s">
        <v>46</v>
      </c>
      <c r="H792" t="s">
        <v>46</v>
      </c>
      <c r="I792" t="s">
        <v>532</v>
      </c>
      <c r="J792" t="s">
        <v>1412</v>
      </c>
    </row>
    <row r="793" spans="1:10" x14ac:dyDescent="0.3">
      <c r="A793" t="s">
        <v>1946</v>
      </c>
      <c r="B793" t="s">
        <v>25012</v>
      </c>
      <c r="C793" t="s">
        <v>20488</v>
      </c>
      <c r="D793" t="s">
        <v>22</v>
      </c>
      <c r="E793" t="s">
        <v>1947</v>
      </c>
      <c r="F793">
        <v>52</v>
      </c>
      <c r="G793" t="s">
        <v>31</v>
      </c>
      <c r="H793" t="s">
        <v>31</v>
      </c>
      <c r="I793" t="s">
        <v>33</v>
      </c>
    </row>
    <row r="794" spans="1:10" x14ac:dyDescent="0.3">
      <c r="A794" t="s">
        <v>1948</v>
      </c>
      <c r="B794" t="s">
        <v>25013</v>
      </c>
      <c r="C794" t="s">
        <v>20490</v>
      </c>
      <c r="D794" t="s">
        <v>11</v>
      </c>
      <c r="E794" t="s">
        <v>1925</v>
      </c>
      <c r="F794">
        <v>44</v>
      </c>
    </row>
    <row r="795" spans="1:10" x14ac:dyDescent="0.3">
      <c r="A795" t="s">
        <v>12172</v>
      </c>
      <c r="B795" t="s">
        <v>25014</v>
      </c>
      <c r="C795" t="s">
        <v>20487</v>
      </c>
      <c r="D795" t="s">
        <v>22</v>
      </c>
      <c r="E795" t="s">
        <v>9756</v>
      </c>
      <c r="F795">
        <v>20</v>
      </c>
    </row>
    <row r="796" spans="1:10" x14ac:dyDescent="0.3">
      <c r="A796" t="s">
        <v>1949</v>
      </c>
      <c r="B796" t="s">
        <v>25015</v>
      </c>
      <c r="C796" t="s">
        <v>20491</v>
      </c>
      <c r="D796" t="s">
        <v>11</v>
      </c>
      <c r="E796" t="s">
        <v>1950</v>
      </c>
      <c r="F796">
        <v>46</v>
      </c>
      <c r="G796" t="s">
        <v>172</v>
      </c>
      <c r="H796" t="s">
        <v>12099</v>
      </c>
      <c r="I796" t="s">
        <v>441</v>
      </c>
      <c r="J796" t="s">
        <v>1951</v>
      </c>
    </row>
    <row r="797" spans="1:10" x14ac:dyDescent="0.3">
      <c r="A797" t="s">
        <v>1952</v>
      </c>
      <c r="B797" t="s">
        <v>25016</v>
      </c>
      <c r="C797" t="s">
        <v>20490</v>
      </c>
      <c r="D797" t="s">
        <v>11</v>
      </c>
      <c r="E797" t="s">
        <v>1953</v>
      </c>
      <c r="F797">
        <v>62</v>
      </c>
      <c r="G797" t="s">
        <v>540</v>
      </c>
      <c r="H797" t="s">
        <v>12074</v>
      </c>
      <c r="J797" t="s">
        <v>1269</v>
      </c>
    </row>
    <row r="798" spans="1:10" x14ac:dyDescent="0.3">
      <c r="A798" t="s">
        <v>1954</v>
      </c>
      <c r="B798" t="s">
        <v>25017</v>
      </c>
      <c r="C798" t="s">
        <v>20486</v>
      </c>
      <c r="D798" t="s">
        <v>22</v>
      </c>
      <c r="E798" t="s">
        <v>1955</v>
      </c>
      <c r="F798">
        <v>65</v>
      </c>
      <c r="G798" t="s">
        <v>13</v>
      </c>
      <c r="H798" t="s">
        <v>13</v>
      </c>
    </row>
    <row r="799" spans="1:10" x14ac:dyDescent="0.3">
      <c r="A799" t="s">
        <v>1956</v>
      </c>
      <c r="B799" t="s">
        <v>25018</v>
      </c>
      <c r="C799" t="s">
        <v>20486</v>
      </c>
      <c r="D799" t="s">
        <v>11</v>
      </c>
      <c r="E799" t="s">
        <v>1957</v>
      </c>
      <c r="F799">
        <v>46</v>
      </c>
      <c r="G799" t="s">
        <v>109</v>
      </c>
      <c r="H799" t="s">
        <v>9788</v>
      </c>
    </row>
    <row r="800" spans="1:10" x14ac:dyDescent="0.3">
      <c r="A800" t="s">
        <v>1958</v>
      </c>
      <c r="B800" t="s">
        <v>25019</v>
      </c>
      <c r="C800" t="s">
        <v>20486</v>
      </c>
      <c r="D800" t="s">
        <v>22</v>
      </c>
      <c r="E800" t="s">
        <v>1959</v>
      </c>
      <c r="F800">
        <v>47</v>
      </c>
      <c r="G800" t="s">
        <v>46</v>
      </c>
      <c r="H800" t="s">
        <v>46</v>
      </c>
    </row>
    <row r="801" spans="1:10" x14ac:dyDescent="0.3">
      <c r="A801" t="s">
        <v>1960</v>
      </c>
      <c r="B801" t="s">
        <v>25020</v>
      </c>
      <c r="C801" t="s">
        <v>20486</v>
      </c>
      <c r="D801" t="s">
        <v>22</v>
      </c>
      <c r="E801" t="s">
        <v>1961</v>
      </c>
      <c r="F801">
        <v>62</v>
      </c>
      <c r="G801" t="s">
        <v>31</v>
      </c>
      <c r="H801" t="s">
        <v>31</v>
      </c>
      <c r="J801" t="s">
        <v>33</v>
      </c>
    </row>
    <row r="802" spans="1:10" x14ac:dyDescent="0.3">
      <c r="A802" t="s">
        <v>1962</v>
      </c>
      <c r="B802" t="s">
        <v>25021</v>
      </c>
      <c r="C802" t="s">
        <v>20488</v>
      </c>
      <c r="D802" t="s">
        <v>22</v>
      </c>
      <c r="E802" t="s">
        <v>1963</v>
      </c>
      <c r="F802">
        <v>46</v>
      </c>
      <c r="G802" t="s">
        <v>31</v>
      </c>
      <c r="H802" t="s">
        <v>31</v>
      </c>
      <c r="I802" t="s">
        <v>33</v>
      </c>
    </row>
    <row r="803" spans="1:10" x14ac:dyDescent="0.3">
      <c r="A803" t="s">
        <v>1964</v>
      </c>
      <c r="B803" t="s">
        <v>25022</v>
      </c>
      <c r="C803" t="s">
        <v>20488</v>
      </c>
      <c r="D803" t="s">
        <v>11</v>
      </c>
      <c r="E803" t="s">
        <v>1965</v>
      </c>
      <c r="F803">
        <v>60</v>
      </c>
      <c r="G803" t="s">
        <v>46</v>
      </c>
      <c r="H803" t="s">
        <v>46</v>
      </c>
    </row>
    <row r="804" spans="1:10" x14ac:dyDescent="0.3">
      <c r="A804" t="s">
        <v>1966</v>
      </c>
      <c r="B804" t="s">
        <v>25023</v>
      </c>
      <c r="C804" t="s">
        <v>20486</v>
      </c>
      <c r="D804" t="s">
        <v>11</v>
      </c>
      <c r="E804" t="s">
        <v>1967</v>
      </c>
      <c r="F804">
        <v>57</v>
      </c>
      <c r="G804" t="s">
        <v>109</v>
      </c>
      <c r="H804" t="s">
        <v>9788</v>
      </c>
      <c r="I804" t="s">
        <v>201</v>
      </c>
      <c r="J804" t="s">
        <v>14294</v>
      </c>
    </row>
    <row r="805" spans="1:10" x14ac:dyDescent="0.3">
      <c r="A805" t="s">
        <v>1970</v>
      </c>
      <c r="B805" t="s">
        <v>25024</v>
      </c>
      <c r="C805" t="s">
        <v>20489</v>
      </c>
      <c r="D805" t="s">
        <v>11</v>
      </c>
      <c r="E805" t="s">
        <v>1971</v>
      </c>
      <c r="F805">
        <v>51</v>
      </c>
      <c r="G805" t="s">
        <v>133</v>
      </c>
      <c r="H805" t="s">
        <v>9789</v>
      </c>
      <c r="I805" t="s">
        <v>1972</v>
      </c>
    </row>
    <row r="806" spans="1:10" x14ac:dyDescent="0.3">
      <c r="A806" t="s">
        <v>12173</v>
      </c>
      <c r="B806" t="s">
        <v>25025</v>
      </c>
      <c r="C806" t="s">
        <v>20488</v>
      </c>
      <c r="D806" t="s">
        <v>22</v>
      </c>
      <c r="E806" t="s">
        <v>1973</v>
      </c>
      <c r="F806">
        <v>57</v>
      </c>
      <c r="G806" t="s">
        <v>16</v>
      </c>
      <c r="H806" t="s">
        <v>9785</v>
      </c>
    </row>
    <row r="807" spans="1:10" x14ac:dyDescent="0.3">
      <c r="A807" t="s">
        <v>12174</v>
      </c>
      <c r="B807" t="s">
        <v>25026</v>
      </c>
      <c r="C807" t="s">
        <v>20490</v>
      </c>
      <c r="D807" t="s">
        <v>11</v>
      </c>
      <c r="E807" t="s">
        <v>9755</v>
      </c>
      <c r="F807">
        <v>18</v>
      </c>
      <c r="G807" t="s">
        <v>337</v>
      </c>
      <c r="H807" t="s">
        <v>337</v>
      </c>
    </row>
    <row r="808" spans="1:10" x14ac:dyDescent="0.3">
      <c r="A808" t="s">
        <v>1974</v>
      </c>
      <c r="B808" t="s">
        <v>25027</v>
      </c>
      <c r="C808" t="s">
        <v>20487</v>
      </c>
      <c r="D808" t="s">
        <v>11</v>
      </c>
      <c r="E808" t="s">
        <v>295</v>
      </c>
      <c r="F808">
        <v>54</v>
      </c>
      <c r="G808" t="s">
        <v>1269</v>
      </c>
      <c r="H808" t="s">
        <v>12074</v>
      </c>
    </row>
    <row r="809" spans="1:10" x14ac:dyDescent="0.3">
      <c r="A809" t="s">
        <v>1975</v>
      </c>
      <c r="B809" t="s">
        <v>25028</v>
      </c>
      <c r="C809" t="s">
        <v>20486</v>
      </c>
      <c r="D809" t="s">
        <v>11</v>
      </c>
      <c r="E809" t="s">
        <v>1976</v>
      </c>
      <c r="F809">
        <v>24</v>
      </c>
    </row>
    <row r="810" spans="1:10" x14ac:dyDescent="0.3">
      <c r="A810" t="s">
        <v>1977</v>
      </c>
      <c r="B810" t="s">
        <v>25029</v>
      </c>
      <c r="C810" t="s">
        <v>20486</v>
      </c>
      <c r="D810" t="s">
        <v>22</v>
      </c>
      <c r="E810" t="s">
        <v>1978</v>
      </c>
      <c r="F810">
        <v>48</v>
      </c>
      <c r="G810" t="s">
        <v>31</v>
      </c>
      <c r="H810" t="s">
        <v>31</v>
      </c>
      <c r="J810" t="s">
        <v>33</v>
      </c>
    </row>
    <row r="811" spans="1:10" x14ac:dyDescent="0.3">
      <c r="A811" t="s">
        <v>12175</v>
      </c>
      <c r="B811" t="s">
        <v>25030</v>
      </c>
      <c r="C811" t="s">
        <v>20488</v>
      </c>
      <c r="D811" t="s">
        <v>11</v>
      </c>
      <c r="E811" t="s">
        <v>9753</v>
      </c>
      <c r="F811">
        <v>25</v>
      </c>
      <c r="G811" t="s">
        <v>337</v>
      </c>
      <c r="H811" t="s">
        <v>337</v>
      </c>
      <c r="J811" t="s">
        <v>9752</v>
      </c>
    </row>
    <row r="812" spans="1:10" x14ac:dyDescent="0.3">
      <c r="A812" t="s">
        <v>12176</v>
      </c>
      <c r="B812" t="s">
        <v>25031</v>
      </c>
      <c r="C812" t="s">
        <v>20488</v>
      </c>
      <c r="D812" t="s">
        <v>11</v>
      </c>
      <c r="E812" t="s">
        <v>9751</v>
      </c>
      <c r="F812">
        <v>23</v>
      </c>
      <c r="G812" t="s">
        <v>337</v>
      </c>
      <c r="H812" t="s">
        <v>337</v>
      </c>
    </row>
    <row r="813" spans="1:10" x14ac:dyDescent="0.3">
      <c r="A813" t="s">
        <v>1979</v>
      </c>
      <c r="B813" t="s">
        <v>25032</v>
      </c>
      <c r="C813" t="s">
        <v>20486</v>
      </c>
      <c r="D813" t="s">
        <v>22</v>
      </c>
      <c r="E813" t="s">
        <v>1980</v>
      </c>
      <c r="F813">
        <v>44</v>
      </c>
      <c r="G813" t="s">
        <v>109</v>
      </c>
      <c r="H813" t="s">
        <v>9788</v>
      </c>
      <c r="I813" t="s">
        <v>5194</v>
      </c>
      <c r="J813" t="s">
        <v>12177</v>
      </c>
    </row>
    <row r="814" spans="1:10" x14ac:dyDescent="0.3">
      <c r="A814" t="s">
        <v>1981</v>
      </c>
      <c r="B814" t="s">
        <v>25033</v>
      </c>
      <c r="C814" t="s">
        <v>20488</v>
      </c>
      <c r="D814" t="s">
        <v>11</v>
      </c>
      <c r="E814" t="s">
        <v>1982</v>
      </c>
      <c r="F814">
        <v>70</v>
      </c>
      <c r="G814" t="s">
        <v>109</v>
      </c>
      <c r="H814" t="s">
        <v>9788</v>
      </c>
      <c r="I814" t="s">
        <v>1983</v>
      </c>
      <c r="J814" t="s">
        <v>1984</v>
      </c>
    </row>
    <row r="815" spans="1:10" x14ac:dyDescent="0.3">
      <c r="A815" t="s">
        <v>1985</v>
      </c>
      <c r="B815" t="s">
        <v>25034</v>
      </c>
      <c r="C815" t="s">
        <v>20488</v>
      </c>
      <c r="D815" t="s">
        <v>22</v>
      </c>
      <c r="E815" t="s">
        <v>1986</v>
      </c>
      <c r="F815">
        <v>43</v>
      </c>
      <c r="G815" t="s">
        <v>16</v>
      </c>
      <c r="H815" t="s">
        <v>9785</v>
      </c>
      <c r="I815" t="s">
        <v>449</v>
      </c>
      <c r="J815" t="s">
        <v>1987</v>
      </c>
    </row>
    <row r="816" spans="1:10" x14ac:dyDescent="0.3">
      <c r="A816" t="s">
        <v>1988</v>
      </c>
      <c r="B816" t="s">
        <v>25035</v>
      </c>
      <c r="C816" t="s">
        <v>20488</v>
      </c>
      <c r="D816" t="s">
        <v>11</v>
      </c>
      <c r="E816" t="s">
        <v>1989</v>
      </c>
      <c r="F816">
        <v>52</v>
      </c>
      <c r="G816" t="s">
        <v>109</v>
      </c>
      <c r="H816" t="s">
        <v>9788</v>
      </c>
    </row>
    <row r="817" spans="1:10" x14ac:dyDescent="0.3">
      <c r="A817" t="s">
        <v>1990</v>
      </c>
      <c r="B817" t="s">
        <v>25036</v>
      </c>
      <c r="C817" t="s">
        <v>20486</v>
      </c>
      <c r="D817" t="s">
        <v>11</v>
      </c>
      <c r="E817" t="s">
        <v>1991</v>
      </c>
      <c r="F817">
        <v>60</v>
      </c>
      <c r="G817" t="s">
        <v>1992</v>
      </c>
      <c r="H817" t="s">
        <v>9791</v>
      </c>
    </row>
    <row r="818" spans="1:10" x14ac:dyDescent="0.3">
      <c r="A818" t="s">
        <v>1993</v>
      </c>
      <c r="B818" t="s">
        <v>25037</v>
      </c>
      <c r="C818" t="s">
        <v>20491</v>
      </c>
      <c r="D818" t="s">
        <v>11</v>
      </c>
      <c r="E818" t="s">
        <v>1994</v>
      </c>
      <c r="F818">
        <v>58</v>
      </c>
      <c r="G818" t="s">
        <v>46</v>
      </c>
      <c r="H818" t="s">
        <v>46</v>
      </c>
      <c r="I818" t="s">
        <v>1995</v>
      </c>
    </row>
    <row r="819" spans="1:10" x14ac:dyDescent="0.3">
      <c r="A819" t="s">
        <v>1996</v>
      </c>
      <c r="B819" t="s">
        <v>25038</v>
      </c>
      <c r="C819" t="s">
        <v>20488</v>
      </c>
      <c r="D819" t="s">
        <v>22</v>
      </c>
      <c r="E819" t="s">
        <v>1997</v>
      </c>
      <c r="F819">
        <v>46</v>
      </c>
      <c r="G819" t="s">
        <v>109</v>
      </c>
      <c r="H819" t="s">
        <v>9788</v>
      </c>
    </row>
    <row r="820" spans="1:10" x14ac:dyDescent="0.3">
      <c r="A820" t="s">
        <v>1998</v>
      </c>
      <c r="B820" t="s">
        <v>25039</v>
      </c>
      <c r="C820" t="s">
        <v>20486</v>
      </c>
      <c r="D820" t="s">
        <v>22</v>
      </c>
      <c r="E820" t="s">
        <v>1999</v>
      </c>
      <c r="F820">
        <v>62</v>
      </c>
      <c r="G820" t="s">
        <v>31</v>
      </c>
      <c r="H820" t="s">
        <v>31</v>
      </c>
    </row>
    <row r="821" spans="1:10" x14ac:dyDescent="0.3">
      <c r="A821" t="s">
        <v>2000</v>
      </c>
      <c r="B821" t="s">
        <v>25040</v>
      </c>
      <c r="C821" t="s">
        <v>20486</v>
      </c>
      <c r="D821" t="s">
        <v>22</v>
      </c>
      <c r="E821" t="s">
        <v>2001</v>
      </c>
      <c r="F821">
        <v>69</v>
      </c>
      <c r="G821" t="s">
        <v>31</v>
      </c>
      <c r="H821" t="s">
        <v>31</v>
      </c>
      <c r="J821" t="s">
        <v>33</v>
      </c>
    </row>
    <row r="822" spans="1:10" x14ac:dyDescent="0.3">
      <c r="A822" t="s">
        <v>2002</v>
      </c>
      <c r="B822" t="s">
        <v>25041</v>
      </c>
      <c r="C822" t="s">
        <v>20486</v>
      </c>
      <c r="D822" t="s">
        <v>11</v>
      </c>
      <c r="E822" t="s">
        <v>2003</v>
      </c>
      <c r="F822">
        <v>78</v>
      </c>
      <c r="G822" t="s">
        <v>46</v>
      </c>
      <c r="H822" t="s">
        <v>46</v>
      </c>
      <c r="I822" t="s">
        <v>139</v>
      </c>
      <c r="J822" t="s">
        <v>2004</v>
      </c>
    </row>
    <row r="823" spans="1:10" x14ac:dyDescent="0.3">
      <c r="A823" t="s">
        <v>2005</v>
      </c>
      <c r="B823" t="s">
        <v>25042</v>
      </c>
      <c r="C823" t="s">
        <v>20486</v>
      </c>
      <c r="D823" t="s">
        <v>22</v>
      </c>
      <c r="E823" t="s">
        <v>2006</v>
      </c>
      <c r="F823">
        <v>79</v>
      </c>
      <c r="G823" t="s">
        <v>109</v>
      </c>
      <c r="H823" t="s">
        <v>9788</v>
      </c>
      <c r="J823" t="s">
        <v>676</v>
      </c>
    </row>
    <row r="824" spans="1:10" x14ac:dyDescent="0.3">
      <c r="A824" t="s">
        <v>2007</v>
      </c>
      <c r="B824" t="s">
        <v>25043</v>
      </c>
      <c r="C824" t="s">
        <v>20486</v>
      </c>
      <c r="D824" t="s">
        <v>11</v>
      </c>
      <c r="E824" t="s">
        <v>2008</v>
      </c>
      <c r="F824">
        <v>30</v>
      </c>
      <c r="G824" t="s">
        <v>329</v>
      </c>
      <c r="H824" t="s">
        <v>9789</v>
      </c>
      <c r="I824" t="s">
        <v>12178</v>
      </c>
    </row>
    <row r="825" spans="1:10" x14ac:dyDescent="0.3">
      <c r="A825" t="s">
        <v>12179</v>
      </c>
      <c r="B825" t="s">
        <v>25044</v>
      </c>
      <c r="C825" t="s">
        <v>20486</v>
      </c>
      <c r="D825" t="s">
        <v>22</v>
      </c>
      <c r="E825" t="s">
        <v>9750</v>
      </c>
      <c r="F825">
        <v>21</v>
      </c>
    </row>
    <row r="826" spans="1:10" x14ac:dyDescent="0.3">
      <c r="A826" t="s">
        <v>2009</v>
      </c>
      <c r="B826" t="s">
        <v>25045</v>
      </c>
      <c r="C826" t="s">
        <v>20486</v>
      </c>
      <c r="D826" t="s">
        <v>11</v>
      </c>
      <c r="E826" t="s">
        <v>2010</v>
      </c>
      <c r="F826">
        <v>29</v>
      </c>
      <c r="G826" t="s">
        <v>133</v>
      </c>
      <c r="H826" t="s">
        <v>9789</v>
      </c>
      <c r="J826" t="s">
        <v>2011</v>
      </c>
    </row>
    <row r="827" spans="1:10" x14ac:dyDescent="0.3">
      <c r="A827" t="s">
        <v>2012</v>
      </c>
      <c r="B827" t="s">
        <v>25046</v>
      </c>
      <c r="C827" t="s">
        <v>20486</v>
      </c>
      <c r="D827" t="s">
        <v>11</v>
      </c>
      <c r="E827" t="s">
        <v>2013</v>
      </c>
      <c r="F827">
        <v>48</v>
      </c>
      <c r="G827" t="s">
        <v>109</v>
      </c>
      <c r="H827" t="s">
        <v>9788</v>
      </c>
      <c r="I827" t="s">
        <v>2014</v>
      </c>
      <c r="J827" t="s">
        <v>54</v>
      </c>
    </row>
    <row r="828" spans="1:10" x14ac:dyDescent="0.3">
      <c r="A828" t="s">
        <v>12180</v>
      </c>
      <c r="B828" t="s">
        <v>25047</v>
      </c>
      <c r="C828" t="s">
        <v>20486</v>
      </c>
      <c r="D828" t="s">
        <v>22</v>
      </c>
      <c r="E828" t="s">
        <v>9749</v>
      </c>
      <c r="F828">
        <v>19</v>
      </c>
      <c r="H828" t="s">
        <v>337</v>
      </c>
      <c r="J828" t="s">
        <v>9637</v>
      </c>
    </row>
    <row r="829" spans="1:10" x14ac:dyDescent="0.3">
      <c r="A829" t="s">
        <v>2015</v>
      </c>
      <c r="B829" t="s">
        <v>25048</v>
      </c>
      <c r="C829" t="s">
        <v>20486</v>
      </c>
      <c r="D829" t="s">
        <v>22</v>
      </c>
      <c r="E829" t="s">
        <v>2016</v>
      </c>
      <c r="F829">
        <v>59</v>
      </c>
      <c r="G829" t="s">
        <v>109</v>
      </c>
      <c r="H829" t="s">
        <v>9788</v>
      </c>
      <c r="J829" t="s">
        <v>54</v>
      </c>
    </row>
    <row r="830" spans="1:10" x14ac:dyDescent="0.3">
      <c r="A830" t="s">
        <v>12181</v>
      </c>
      <c r="B830" t="s">
        <v>25049</v>
      </c>
      <c r="C830" t="s">
        <v>20490</v>
      </c>
      <c r="D830" t="s">
        <v>22</v>
      </c>
      <c r="E830" t="s">
        <v>9748</v>
      </c>
      <c r="F830">
        <v>18</v>
      </c>
      <c r="H830" t="s">
        <v>337</v>
      </c>
    </row>
    <row r="831" spans="1:10" x14ac:dyDescent="0.3">
      <c r="A831" t="s">
        <v>2017</v>
      </c>
      <c r="B831" t="s">
        <v>25050</v>
      </c>
      <c r="C831" t="s">
        <v>20488</v>
      </c>
      <c r="D831" t="s">
        <v>22</v>
      </c>
      <c r="E831" t="s">
        <v>2018</v>
      </c>
      <c r="F831">
        <v>61</v>
      </c>
      <c r="G831" t="s">
        <v>31</v>
      </c>
      <c r="H831" t="s">
        <v>31</v>
      </c>
      <c r="I831" t="s">
        <v>33</v>
      </c>
    </row>
    <row r="832" spans="1:10" x14ac:dyDescent="0.3">
      <c r="A832" t="s">
        <v>2019</v>
      </c>
      <c r="B832" t="s">
        <v>25051</v>
      </c>
      <c r="C832" t="s">
        <v>20488</v>
      </c>
      <c r="D832" t="s">
        <v>11</v>
      </c>
      <c r="E832" t="s">
        <v>2020</v>
      </c>
      <c r="F832">
        <v>27</v>
      </c>
      <c r="G832" t="s">
        <v>337</v>
      </c>
      <c r="H832" t="s">
        <v>337</v>
      </c>
    </row>
    <row r="833" spans="1:10" x14ac:dyDescent="0.3">
      <c r="A833" t="s">
        <v>2021</v>
      </c>
      <c r="B833" t="s">
        <v>25052</v>
      </c>
      <c r="C833" t="s">
        <v>20491</v>
      </c>
      <c r="D833" t="s">
        <v>11</v>
      </c>
      <c r="E833" t="s">
        <v>2022</v>
      </c>
      <c r="F833">
        <v>70</v>
      </c>
      <c r="G833" t="s">
        <v>13</v>
      </c>
      <c r="H833" t="s">
        <v>13</v>
      </c>
      <c r="I833" t="s">
        <v>173</v>
      </c>
      <c r="J833" t="s">
        <v>408</v>
      </c>
    </row>
    <row r="834" spans="1:10" x14ac:dyDescent="0.3">
      <c r="A834" t="s">
        <v>2023</v>
      </c>
      <c r="B834" t="s">
        <v>25053</v>
      </c>
      <c r="C834" t="s">
        <v>20491</v>
      </c>
      <c r="D834" t="s">
        <v>11</v>
      </c>
      <c r="E834" t="s">
        <v>2024</v>
      </c>
      <c r="F834">
        <v>82</v>
      </c>
      <c r="G834" t="s">
        <v>13</v>
      </c>
      <c r="H834" t="s">
        <v>13</v>
      </c>
      <c r="I834" t="s">
        <v>17</v>
      </c>
    </row>
    <row r="835" spans="1:10" x14ac:dyDescent="0.3">
      <c r="A835" t="s">
        <v>2025</v>
      </c>
      <c r="B835" t="s">
        <v>25054</v>
      </c>
      <c r="C835" t="s">
        <v>20488</v>
      </c>
      <c r="D835" t="s">
        <v>22</v>
      </c>
      <c r="E835" t="s">
        <v>2026</v>
      </c>
      <c r="F835">
        <v>51</v>
      </c>
      <c r="G835" t="s">
        <v>88</v>
      </c>
      <c r="H835" t="s">
        <v>12065</v>
      </c>
      <c r="I835" t="s">
        <v>101</v>
      </c>
      <c r="J835" t="s">
        <v>2027</v>
      </c>
    </row>
    <row r="836" spans="1:10" x14ac:dyDescent="0.3">
      <c r="A836" t="s">
        <v>2028</v>
      </c>
      <c r="B836" t="s">
        <v>25055</v>
      </c>
      <c r="C836" t="s">
        <v>20486</v>
      </c>
      <c r="D836" t="s">
        <v>11</v>
      </c>
      <c r="E836" t="s">
        <v>2029</v>
      </c>
      <c r="F836">
        <v>40</v>
      </c>
      <c r="G836" t="s">
        <v>172</v>
      </c>
      <c r="H836" t="s">
        <v>12099</v>
      </c>
      <c r="J836" t="s">
        <v>2030</v>
      </c>
    </row>
    <row r="837" spans="1:10" x14ac:dyDescent="0.3">
      <c r="A837" t="s">
        <v>2031</v>
      </c>
      <c r="B837" t="s">
        <v>25056</v>
      </c>
      <c r="C837" t="s">
        <v>20488</v>
      </c>
      <c r="D837" t="s">
        <v>11</v>
      </c>
      <c r="E837" t="s">
        <v>1921</v>
      </c>
      <c r="F837">
        <v>63</v>
      </c>
      <c r="G837" t="s">
        <v>109</v>
      </c>
      <c r="H837" t="s">
        <v>9788</v>
      </c>
    </row>
    <row r="838" spans="1:10" x14ac:dyDescent="0.3">
      <c r="A838" t="s">
        <v>2032</v>
      </c>
      <c r="B838" t="s">
        <v>25057</v>
      </c>
      <c r="C838" t="s">
        <v>20486</v>
      </c>
      <c r="D838" t="s">
        <v>11</v>
      </c>
      <c r="E838" t="s">
        <v>2033</v>
      </c>
      <c r="F838">
        <v>38</v>
      </c>
      <c r="G838" t="s">
        <v>109</v>
      </c>
      <c r="H838" t="s">
        <v>9788</v>
      </c>
      <c r="I838" t="s">
        <v>971</v>
      </c>
      <c r="J838" t="s">
        <v>225</v>
      </c>
    </row>
    <row r="839" spans="1:10" x14ac:dyDescent="0.3">
      <c r="A839" t="s">
        <v>2034</v>
      </c>
      <c r="B839" t="s">
        <v>25058</v>
      </c>
      <c r="C839" t="s">
        <v>20488</v>
      </c>
      <c r="D839" t="s">
        <v>11</v>
      </c>
      <c r="E839" t="s">
        <v>2035</v>
      </c>
      <c r="F839">
        <v>46</v>
      </c>
      <c r="G839" t="s">
        <v>16</v>
      </c>
      <c r="H839" t="s">
        <v>9785</v>
      </c>
      <c r="I839" t="s">
        <v>449</v>
      </c>
      <c r="J839" t="s">
        <v>2036</v>
      </c>
    </row>
    <row r="840" spans="1:10" x14ac:dyDescent="0.3">
      <c r="A840" t="s">
        <v>2037</v>
      </c>
      <c r="B840" t="s">
        <v>25059</v>
      </c>
      <c r="C840" t="s">
        <v>20486</v>
      </c>
      <c r="D840" t="s">
        <v>22</v>
      </c>
      <c r="E840" t="s">
        <v>2038</v>
      </c>
      <c r="F840">
        <v>25</v>
      </c>
      <c r="G840" t="s">
        <v>16</v>
      </c>
      <c r="H840" t="s">
        <v>9785</v>
      </c>
      <c r="J840" t="s">
        <v>12182</v>
      </c>
    </row>
    <row r="841" spans="1:10" x14ac:dyDescent="0.3">
      <c r="A841" t="s">
        <v>2039</v>
      </c>
      <c r="B841" t="s">
        <v>25060</v>
      </c>
      <c r="C841" t="s">
        <v>20490</v>
      </c>
      <c r="D841" t="s">
        <v>22</v>
      </c>
      <c r="E841" t="s">
        <v>2040</v>
      </c>
      <c r="F841">
        <v>60</v>
      </c>
      <c r="G841" t="s">
        <v>109</v>
      </c>
      <c r="H841" t="s">
        <v>9788</v>
      </c>
    </row>
    <row r="842" spans="1:10" x14ac:dyDescent="0.3">
      <c r="A842" t="s">
        <v>2041</v>
      </c>
      <c r="B842" t="s">
        <v>25061</v>
      </c>
      <c r="C842" t="s">
        <v>20490</v>
      </c>
      <c r="D842" t="s">
        <v>22</v>
      </c>
      <c r="E842" t="s">
        <v>2042</v>
      </c>
      <c r="F842">
        <v>65</v>
      </c>
      <c r="G842" t="s">
        <v>13</v>
      </c>
      <c r="H842" t="s">
        <v>13</v>
      </c>
      <c r="I842" t="s">
        <v>18808</v>
      </c>
      <c r="J842" t="s">
        <v>2043</v>
      </c>
    </row>
    <row r="843" spans="1:10" x14ac:dyDescent="0.3">
      <c r="A843" t="s">
        <v>12183</v>
      </c>
      <c r="B843" t="s">
        <v>25062</v>
      </c>
      <c r="C843" t="s">
        <v>20489</v>
      </c>
      <c r="D843" t="s">
        <v>11</v>
      </c>
      <c r="E843" t="s">
        <v>9747</v>
      </c>
      <c r="F843">
        <v>18</v>
      </c>
      <c r="G843" t="s">
        <v>337</v>
      </c>
      <c r="H843" t="s">
        <v>337</v>
      </c>
    </row>
    <row r="844" spans="1:10" x14ac:dyDescent="0.3">
      <c r="A844" t="s">
        <v>2044</v>
      </c>
      <c r="B844" t="s">
        <v>25063</v>
      </c>
      <c r="C844" t="s">
        <v>20487</v>
      </c>
      <c r="D844" t="s">
        <v>22</v>
      </c>
      <c r="E844" t="s">
        <v>1891</v>
      </c>
      <c r="F844">
        <v>62</v>
      </c>
      <c r="G844" t="s">
        <v>24</v>
      </c>
      <c r="H844" t="s">
        <v>9789</v>
      </c>
    </row>
    <row r="845" spans="1:10" x14ac:dyDescent="0.3">
      <c r="A845" t="s">
        <v>2045</v>
      </c>
      <c r="B845" t="s">
        <v>25064</v>
      </c>
      <c r="C845" t="s">
        <v>20486</v>
      </c>
      <c r="D845" t="s">
        <v>22</v>
      </c>
      <c r="E845" t="s">
        <v>2046</v>
      </c>
      <c r="F845">
        <v>36</v>
      </c>
      <c r="G845" t="s">
        <v>1200</v>
      </c>
      <c r="H845" t="s">
        <v>9788</v>
      </c>
      <c r="I845" t="s">
        <v>421</v>
      </c>
      <c r="J845" t="s">
        <v>2047</v>
      </c>
    </row>
    <row r="846" spans="1:10" x14ac:dyDescent="0.3">
      <c r="A846" t="s">
        <v>2048</v>
      </c>
      <c r="B846" t="s">
        <v>25065</v>
      </c>
      <c r="C846" t="s">
        <v>20487</v>
      </c>
      <c r="D846" t="s">
        <v>11</v>
      </c>
      <c r="E846" t="s">
        <v>2049</v>
      </c>
      <c r="F846">
        <v>45</v>
      </c>
      <c r="G846" t="s">
        <v>201</v>
      </c>
      <c r="H846" t="s">
        <v>46</v>
      </c>
      <c r="J846" t="s">
        <v>2050</v>
      </c>
    </row>
    <row r="847" spans="1:10" x14ac:dyDescent="0.3">
      <c r="A847" t="s">
        <v>2051</v>
      </c>
      <c r="B847" t="s">
        <v>25066</v>
      </c>
      <c r="C847" t="s">
        <v>20486</v>
      </c>
      <c r="D847" t="s">
        <v>22</v>
      </c>
      <c r="E847" t="s">
        <v>2052</v>
      </c>
      <c r="F847">
        <v>43</v>
      </c>
      <c r="G847" t="s">
        <v>109</v>
      </c>
      <c r="H847" t="s">
        <v>9788</v>
      </c>
      <c r="J847" t="s">
        <v>2053</v>
      </c>
    </row>
    <row r="848" spans="1:10" x14ac:dyDescent="0.3">
      <c r="A848" t="s">
        <v>2056</v>
      </c>
      <c r="B848" t="s">
        <v>25067</v>
      </c>
      <c r="C848" t="s">
        <v>20489</v>
      </c>
      <c r="D848" t="s">
        <v>11</v>
      </c>
      <c r="E848" t="s">
        <v>2057</v>
      </c>
      <c r="F848">
        <v>57</v>
      </c>
      <c r="G848" t="s">
        <v>172</v>
      </c>
      <c r="H848" t="s">
        <v>12099</v>
      </c>
      <c r="I848" t="s">
        <v>17</v>
      </c>
    </row>
    <row r="849" spans="1:10" x14ac:dyDescent="0.3">
      <c r="A849" t="s">
        <v>2058</v>
      </c>
      <c r="B849" t="s">
        <v>25068</v>
      </c>
      <c r="C849" t="s">
        <v>20489</v>
      </c>
      <c r="D849" t="s">
        <v>22</v>
      </c>
      <c r="E849" t="s">
        <v>2059</v>
      </c>
      <c r="F849">
        <v>27</v>
      </c>
      <c r="G849" t="s">
        <v>109</v>
      </c>
      <c r="H849" t="s">
        <v>9788</v>
      </c>
      <c r="I849" t="s">
        <v>364</v>
      </c>
    </row>
    <row r="850" spans="1:10" x14ac:dyDescent="0.3">
      <c r="A850" t="s">
        <v>2060</v>
      </c>
      <c r="B850" t="s">
        <v>25069</v>
      </c>
      <c r="C850" t="s">
        <v>20486</v>
      </c>
      <c r="D850" t="s">
        <v>11</v>
      </c>
      <c r="E850" t="s">
        <v>2061</v>
      </c>
      <c r="F850">
        <v>53</v>
      </c>
      <c r="G850" t="s">
        <v>46</v>
      </c>
      <c r="H850" t="s">
        <v>46</v>
      </c>
      <c r="I850" t="s">
        <v>2062</v>
      </c>
      <c r="J850" t="s">
        <v>2063</v>
      </c>
    </row>
    <row r="851" spans="1:10" x14ac:dyDescent="0.3">
      <c r="A851" t="s">
        <v>2064</v>
      </c>
      <c r="B851" t="s">
        <v>25070</v>
      </c>
      <c r="C851" t="s">
        <v>20486</v>
      </c>
      <c r="D851" t="s">
        <v>11</v>
      </c>
      <c r="E851" t="s">
        <v>2065</v>
      </c>
      <c r="F851">
        <v>51</v>
      </c>
      <c r="G851" t="s">
        <v>1331</v>
      </c>
      <c r="H851" t="s">
        <v>9789</v>
      </c>
      <c r="I851" t="s">
        <v>923</v>
      </c>
      <c r="J851" t="s">
        <v>2066</v>
      </c>
    </row>
    <row r="852" spans="1:10" x14ac:dyDescent="0.3">
      <c r="A852" t="s">
        <v>12184</v>
      </c>
      <c r="B852" t="s">
        <v>25071</v>
      </c>
      <c r="C852" t="s">
        <v>20488</v>
      </c>
      <c r="D852" t="s">
        <v>22</v>
      </c>
      <c r="E852" t="s">
        <v>6152</v>
      </c>
      <c r="F852">
        <v>25</v>
      </c>
      <c r="G852" t="s">
        <v>46</v>
      </c>
      <c r="H852" t="s">
        <v>46</v>
      </c>
      <c r="I852" t="s">
        <v>1828</v>
      </c>
    </row>
    <row r="853" spans="1:10" x14ac:dyDescent="0.3">
      <c r="A853" t="s">
        <v>2067</v>
      </c>
      <c r="B853" t="s">
        <v>25072</v>
      </c>
      <c r="C853" t="s">
        <v>20486</v>
      </c>
      <c r="D853" t="s">
        <v>11</v>
      </c>
      <c r="E853" t="s">
        <v>2068</v>
      </c>
      <c r="F853">
        <v>54</v>
      </c>
      <c r="G853" t="s">
        <v>109</v>
      </c>
      <c r="H853" t="s">
        <v>9788</v>
      </c>
      <c r="I853" t="s">
        <v>360</v>
      </c>
      <c r="J853" t="s">
        <v>18809</v>
      </c>
    </row>
    <row r="854" spans="1:10" x14ac:dyDescent="0.3">
      <c r="A854" t="s">
        <v>2069</v>
      </c>
      <c r="B854" t="s">
        <v>25073</v>
      </c>
      <c r="C854" t="s">
        <v>20486</v>
      </c>
      <c r="D854" t="s">
        <v>11</v>
      </c>
      <c r="E854" t="s">
        <v>2070</v>
      </c>
      <c r="F854">
        <v>49</v>
      </c>
      <c r="G854" t="s">
        <v>109</v>
      </c>
      <c r="H854" t="s">
        <v>9788</v>
      </c>
    </row>
    <row r="855" spans="1:10" x14ac:dyDescent="0.3">
      <c r="A855" t="s">
        <v>2071</v>
      </c>
      <c r="B855" t="s">
        <v>25074</v>
      </c>
      <c r="C855" t="s">
        <v>20486</v>
      </c>
      <c r="D855" t="s">
        <v>11</v>
      </c>
      <c r="E855" t="s">
        <v>2072</v>
      </c>
      <c r="F855">
        <v>52</v>
      </c>
      <c r="G855" t="s">
        <v>109</v>
      </c>
      <c r="H855" t="s">
        <v>9788</v>
      </c>
      <c r="J855" t="s">
        <v>2073</v>
      </c>
    </row>
    <row r="856" spans="1:10" x14ac:dyDescent="0.3">
      <c r="A856" t="s">
        <v>2074</v>
      </c>
      <c r="B856" t="s">
        <v>25075</v>
      </c>
      <c r="C856" t="s">
        <v>20489</v>
      </c>
      <c r="D856" t="s">
        <v>11</v>
      </c>
      <c r="E856" t="s">
        <v>2075</v>
      </c>
      <c r="F856">
        <v>51</v>
      </c>
      <c r="G856" t="s">
        <v>172</v>
      </c>
      <c r="H856" t="s">
        <v>12099</v>
      </c>
      <c r="I856" t="s">
        <v>17</v>
      </c>
      <c r="J856" t="s">
        <v>2076</v>
      </c>
    </row>
    <row r="857" spans="1:10" x14ac:dyDescent="0.3">
      <c r="A857" t="s">
        <v>2077</v>
      </c>
      <c r="B857" t="s">
        <v>25076</v>
      </c>
      <c r="C857" t="s">
        <v>20487</v>
      </c>
      <c r="D857" t="s">
        <v>22</v>
      </c>
      <c r="E857" t="s">
        <v>2078</v>
      </c>
      <c r="F857">
        <v>57</v>
      </c>
      <c r="G857" t="s">
        <v>109</v>
      </c>
      <c r="H857" t="s">
        <v>9788</v>
      </c>
      <c r="J857" t="s">
        <v>2079</v>
      </c>
    </row>
    <row r="858" spans="1:10" x14ac:dyDescent="0.3">
      <c r="A858" t="s">
        <v>2080</v>
      </c>
      <c r="B858" t="s">
        <v>25077</v>
      </c>
      <c r="C858" t="s">
        <v>20488</v>
      </c>
      <c r="D858" t="s">
        <v>11</v>
      </c>
      <c r="E858" t="s">
        <v>2081</v>
      </c>
      <c r="F858">
        <v>64</v>
      </c>
      <c r="G858" t="s">
        <v>109</v>
      </c>
      <c r="H858" t="s">
        <v>9788</v>
      </c>
      <c r="I858" t="s">
        <v>2082</v>
      </c>
      <c r="J858" t="s">
        <v>2083</v>
      </c>
    </row>
    <row r="859" spans="1:10" x14ac:dyDescent="0.3">
      <c r="A859" t="s">
        <v>2084</v>
      </c>
      <c r="B859" t="s">
        <v>25078</v>
      </c>
      <c r="C859" t="s">
        <v>20488</v>
      </c>
      <c r="D859" t="s">
        <v>11</v>
      </c>
      <c r="E859" t="s">
        <v>2085</v>
      </c>
      <c r="F859">
        <v>42</v>
      </c>
      <c r="G859" t="s">
        <v>109</v>
      </c>
      <c r="H859" t="s">
        <v>9788</v>
      </c>
    </row>
    <row r="860" spans="1:10" x14ac:dyDescent="0.3">
      <c r="A860" t="s">
        <v>2086</v>
      </c>
      <c r="B860" t="s">
        <v>25079</v>
      </c>
      <c r="C860" t="s">
        <v>20488</v>
      </c>
      <c r="D860" t="s">
        <v>22</v>
      </c>
      <c r="E860" t="s">
        <v>2087</v>
      </c>
      <c r="F860">
        <v>50</v>
      </c>
      <c r="G860" t="s">
        <v>16</v>
      </c>
      <c r="H860" t="s">
        <v>9785</v>
      </c>
      <c r="I860" t="s">
        <v>449</v>
      </c>
      <c r="J860" t="s">
        <v>2088</v>
      </c>
    </row>
    <row r="861" spans="1:10" x14ac:dyDescent="0.3">
      <c r="A861" t="s">
        <v>2089</v>
      </c>
      <c r="B861" t="s">
        <v>25080</v>
      </c>
      <c r="C861" t="s">
        <v>20488</v>
      </c>
      <c r="D861" t="s">
        <v>22</v>
      </c>
      <c r="E861" t="s">
        <v>2090</v>
      </c>
      <c r="F861">
        <v>53</v>
      </c>
      <c r="G861" t="s">
        <v>109</v>
      </c>
      <c r="H861" t="s">
        <v>9788</v>
      </c>
      <c r="I861" t="s">
        <v>2091</v>
      </c>
      <c r="J861" t="s">
        <v>12185</v>
      </c>
    </row>
    <row r="862" spans="1:10" x14ac:dyDescent="0.3">
      <c r="A862" t="s">
        <v>2092</v>
      </c>
      <c r="B862" t="s">
        <v>25081</v>
      </c>
      <c r="C862" t="s">
        <v>20488</v>
      </c>
      <c r="D862" t="s">
        <v>11</v>
      </c>
      <c r="E862" t="s">
        <v>2093</v>
      </c>
      <c r="F862">
        <v>56</v>
      </c>
      <c r="G862" t="s">
        <v>31</v>
      </c>
      <c r="H862" t="s">
        <v>31</v>
      </c>
      <c r="I862" t="s">
        <v>33</v>
      </c>
    </row>
    <row r="863" spans="1:10" x14ac:dyDescent="0.3">
      <c r="A863" t="s">
        <v>2094</v>
      </c>
      <c r="B863" t="s">
        <v>25082</v>
      </c>
      <c r="C863" t="s">
        <v>20487</v>
      </c>
      <c r="D863" t="s">
        <v>11</v>
      </c>
      <c r="E863" t="s">
        <v>2095</v>
      </c>
      <c r="F863">
        <v>61</v>
      </c>
      <c r="G863" t="s">
        <v>441</v>
      </c>
      <c r="H863" t="s">
        <v>9785</v>
      </c>
      <c r="J863" t="s">
        <v>463</v>
      </c>
    </row>
    <row r="864" spans="1:10" x14ac:dyDescent="0.3">
      <c r="A864" t="s">
        <v>2096</v>
      </c>
      <c r="B864" t="s">
        <v>25083</v>
      </c>
      <c r="C864" t="s">
        <v>20486</v>
      </c>
      <c r="D864" t="s">
        <v>22</v>
      </c>
      <c r="E864" t="s">
        <v>2097</v>
      </c>
      <c r="F864">
        <v>50</v>
      </c>
      <c r="G864" t="s">
        <v>31</v>
      </c>
      <c r="H864" t="s">
        <v>31</v>
      </c>
      <c r="J864" t="s">
        <v>33</v>
      </c>
    </row>
    <row r="865" spans="1:10" x14ac:dyDescent="0.3">
      <c r="A865" t="s">
        <v>2098</v>
      </c>
      <c r="B865" t="s">
        <v>25084</v>
      </c>
      <c r="C865" t="s">
        <v>20488</v>
      </c>
      <c r="D865" t="s">
        <v>11</v>
      </c>
      <c r="E865" t="s">
        <v>2099</v>
      </c>
      <c r="F865">
        <v>43</v>
      </c>
      <c r="G865" t="s">
        <v>16</v>
      </c>
      <c r="H865" t="s">
        <v>9785</v>
      </c>
      <c r="I865" t="s">
        <v>2100</v>
      </c>
    </row>
    <row r="866" spans="1:10" x14ac:dyDescent="0.3">
      <c r="A866" t="s">
        <v>12186</v>
      </c>
      <c r="B866" t="s">
        <v>25085</v>
      </c>
      <c r="C866" t="s">
        <v>20486</v>
      </c>
      <c r="D866" t="s">
        <v>22</v>
      </c>
      <c r="E866" t="s">
        <v>9746</v>
      </c>
      <c r="F866">
        <v>17</v>
      </c>
      <c r="G866" t="s">
        <v>337</v>
      </c>
      <c r="H866" t="s">
        <v>337</v>
      </c>
      <c r="J866" t="s">
        <v>12187</v>
      </c>
    </row>
    <row r="867" spans="1:10" x14ac:dyDescent="0.3">
      <c r="A867" t="s">
        <v>2101</v>
      </c>
      <c r="B867" t="s">
        <v>25086</v>
      </c>
      <c r="C867" t="s">
        <v>20491</v>
      </c>
      <c r="D867" t="s">
        <v>22</v>
      </c>
      <c r="E867" t="s">
        <v>2102</v>
      </c>
      <c r="F867">
        <v>32</v>
      </c>
      <c r="G867" t="s">
        <v>16</v>
      </c>
      <c r="H867" t="s">
        <v>9785</v>
      </c>
    </row>
    <row r="868" spans="1:10" x14ac:dyDescent="0.3">
      <c r="A868" t="s">
        <v>2103</v>
      </c>
      <c r="B868" t="s">
        <v>25087</v>
      </c>
      <c r="C868" t="s">
        <v>20487</v>
      </c>
      <c r="D868" t="s">
        <v>11</v>
      </c>
      <c r="E868" t="s">
        <v>573</v>
      </c>
      <c r="F868">
        <v>71</v>
      </c>
      <c r="G868" t="s">
        <v>13</v>
      </c>
      <c r="H868" t="s">
        <v>13</v>
      </c>
      <c r="I868" t="s">
        <v>12188</v>
      </c>
      <c r="J868" t="s">
        <v>12189</v>
      </c>
    </row>
    <row r="869" spans="1:10" x14ac:dyDescent="0.3">
      <c r="A869" t="s">
        <v>2104</v>
      </c>
      <c r="B869" t="s">
        <v>25088</v>
      </c>
      <c r="C869" t="s">
        <v>20486</v>
      </c>
      <c r="D869" t="s">
        <v>11</v>
      </c>
      <c r="E869" t="s">
        <v>2105</v>
      </c>
      <c r="F869">
        <v>73</v>
      </c>
    </row>
    <row r="870" spans="1:10" x14ac:dyDescent="0.3">
      <c r="A870" t="s">
        <v>2106</v>
      </c>
      <c r="B870" t="s">
        <v>25089</v>
      </c>
      <c r="C870" t="s">
        <v>20488</v>
      </c>
      <c r="D870" t="s">
        <v>11</v>
      </c>
      <c r="E870" t="s">
        <v>2107</v>
      </c>
      <c r="F870">
        <v>61</v>
      </c>
      <c r="G870" t="s">
        <v>46</v>
      </c>
      <c r="H870" t="s">
        <v>46</v>
      </c>
      <c r="I870" t="s">
        <v>1968</v>
      </c>
      <c r="J870" t="s">
        <v>2108</v>
      </c>
    </row>
    <row r="871" spans="1:10" x14ac:dyDescent="0.3">
      <c r="A871" t="s">
        <v>2109</v>
      </c>
      <c r="B871" t="s">
        <v>25090</v>
      </c>
      <c r="C871" t="s">
        <v>20486</v>
      </c>
      <c r="D871" t="s">
        <v>11</v>
      </c>
      <c r="E871" t="s">
        <v>2110</v>
      </c>
      <c r="F871">
        <v>19</v>
      </c>
      <c r="G871" t="s">
        <v>337</v>
      </c>
      <c r="H871" t="s">
        <v>337</v>
      </c>
      <c r="I871" t="s">
        <v>2111</v>
      </c>
    </row>
    <row r="872" spans="1:10" x14ac:dyDescent="0.3">
      <c r="A872" t="s">
        <v>2112</v>
      </c>
      <c r="B872" t="s">
        <v>25091</v>
      </c>
      <c r="C872" t="s">
        <v>20488</v>
      </c>
      <c r="D872" t="s">
        <v>22</v>
      </c>
      <c r="E872" t="s">
        <v>2113</v>
      </c>
      <c r="F872">
        <v>17</v>
      </c>
      <c r="G872" t="s">
        <v>337</v>
      </c>
      <c r="H872" t="s">
        <v>337</v>
      </c>
    </row>
    <row r="873" spans="1:10" x14ac:dyDescent="0.3">
      <c r="A873" t="s">
        <v>2114</v>
      </c>
      <c r="B873" t="s">
        <v>25092</v>
      </c>
      <c r="C873" t="s">
        <v>20488</v>
      </c>
      <c r="D873" t="s">
        <v>22</v>
      </c>
      <c r="E873" t="s">
        <v>2115</v>
      </c>
      <c r="F873">
        <v>71</v>
      </c>
      <c r="G873" t="s">
        <v>31</v>
      </c>
      <c r="H873" t="s">
        <v>31</v>
      </c>
      <c r="I873" t="s">
        <v>33</v>
      </c>
    </row>
    <row r="874" spans="1:10" x14ac:dyDescent="0.3">
      <c r="A874" t="s">
        <v>2116</v>
      </c>
      <c r="B874" t="s">
        <v>25093</v>
      </c>
      <c r="C874" t="s">
        <v>20487</v>
      </c>
      <c r="D874" t="s">
        <v>22</v>
      </c>
      <c r="E874" t="s">
        <v>2117</v>
      </c>
      <c r="F874">
        <v>57</v>
      </c>
      <c r="G874" t="s">
        <v>31</v>
      </c>
      <c r="H874" t="s">
        <v>31</v>
      </c>
    </row>
    <row r="875" spans="1:10" x14ac:dyDescent="0.3">
      <c r="A875" t="s">
        <v>2118</v>
      </c>
      <c r="B875" t="s">
        <v>25094</v>
      </c>
      <c r="C875" t="s">
        <v>20486</v>
      </c>
      <c r="D875" t="s">
        <v>22</v>
      </c>
      <c r="E875" t="s">
        <v>2119</v>
      </c>
      <c r="F875">
        <v>72</v>
      </c>
      <c r="G875" t="s">
        <v>13</v>
      </c>
      <c r="H875" t="s">
        <v>13</v>
      </c>
      <c r="I875" t="s">
        <v>173</v>
      </c>
      <c r="J875" t="s">
        <v>12190</v>
      </c>
    </row>
    <row r="876" spans="1:10" x14ac:dyDescent="0.3">
      <c r="A876" t="s">
        <v>12191</v>
      </c>
      <c r="B876" t="s">
        <v>25095</v>
      </c>
      <c r="C876" t="s">
        <v>20486</v>
      </c>
      <c r="D876" t="s">
        <v>11</v>
      </c>
      <c r="E876" t="s">
        <v>8103</v>
      </c>
      <c r="F876">
        <v>34</v>
      </c>
      <c r="G876" t="s">
        <v>337</v>
      </c>
      <c r="H876" t="s">
        <v>337</v>
      </c>
    </row>
    <row r="877" spans="1:10" x14ac:dyDescent="0.3">
      <c r="A877" t="s">
        <v>2120</v>
      </c>
      <c r="B877" t="s">
        <v>25096</v>
      </c>
      <c r="C877" t="s">
        <v>20489</v>
      </c>
      <c r="D877" t="s">
        <v>22</v>
      </c>
      <c r="E877" t="s">
        <v>2121</v>
      </c>
      <c r="F877">
        <v>53</v>
      </c>
      <c r="G877" t="s">
        <v>24</v>
      </c>
      <c r="H877" t="s">
        <v>9789</v>
      </c>
      <c r="I877" t="s">
        <v>281</v>
      </c>
      <c r="J877" t="s">
        <v>12192</v>
      </c>
    </row>
    <row r="878" spans="1:10" x14ac:dyDescent="0.3">
      <c r="A878" t="s">
        <v>2122</v>
      </c>
      <c r="B878" t="s">
        <v>25097</v>
      </c>
      <c r="C878" t="s">
        <v>20487</v>
      </c>
      <c r="D878" t="s">
        <v>22</v>
      </c>
      <c r="E878" t="s">
        <v>2123</v>
      </c>
      <c r="F878">
        <v>41</v>
      </c>
      <c r="G878" t="s">
        <v>16</v>
      </c>
      <c r="H878" t="s">
        <v>9785</v>
      </c>
      <c r="I878" t="s">
        <v>14295</v>
      </c>
      <c r="J878" t="s">
        <v>2124</v>
      </c>
    </row>
    <row r="879" spans="1:10" x14ac:dyDescent="0.3">
      <c r="A879" t="s">
        <v>2125</v>
      </c>
      <c r="B879" t="s">
        <v>25098</v>
      </c>
      <c r="C879" t="s">
        <v>20486</v>
      </c>
      <c r="D879" t="s">
        <v>22</v>
      </c>
      <c r="E879" t="s">
        <v>2126</v>
      </c>
      <c r="F879">
        <v>46</v>
      </c>
      <c r="G879" t="s">
        <v>46</v>
      </c>
      <c r="H879" t="s">
        <v>46</v>
      </c>
    </row>
    <row r="880" spans="1:10" x14ac:dyDescent="0.3">
      <c r="A880" t="s">
        <v>2127</v>
      </c>
      <c r="B880" t="s">
        <v>25099</v>
      </c>
      <c r="C880" t="s">
        <v>20488</v>
      </c>
      <c r="D880" t="s">
        <v>11</v>
      </c>
      <c r="E880" t="s">
        <v>2128</v>
      </c>
      <c r="F880">
        <v>56</v>
      </c>
      <c r="G880" t="s">
        <v>109</v>
      </c>
      <c r="H880" t="s">
        <v>9788</v>
      </c>
    </row>
    <row r="881" spans="1:10" x14ac:dyDescent="0.3">
      <c r="A881" t="s">
        <v>2129</v>
      </c>
      <c r="B881" t="s">
        <v>25100</v>
      </c>
      <c r="C881" t="s">
        <v>20487</v>
      </c>
      <c r="D881" t="s">
        <v>11</v>
      </c>
      <c r="E881" t="s">
        <v>2130</v>
      </c>
      <c r="F881">
        <v>68</v>
      </c>
      <c r="G881" t="s">
        <v>88</v>
      </c>
      <c r="H881" t="s">
        <v>9788</v>
      </c>
      <c r="J881" t="s">
        <v>1894</v>
      </c>
    </row>
    <row r="882" spans="1:10" x14ac:dyDescent="0.3">
      <c r="A882" t="s">
        <v>2131</v>
      </c>
      <c r="B882" t="s">
        <v>25101</v>
      </c>
      <c r="C882" t="s">
        <v>20491</v>
      </c>
      <c r="D882" t="s">
        <v>22</v>
      </c>
      <c r="E882" t="s">
        <v>2132</v>
      </c>
      <c r="F882">
        <v>29</v>
      </c>
      <c r="G882" t="s">
        <v>337</v>
      </c>
      <c r="H882" t="s">
        <v>337</v>
      </c>
    </row>
    <row r="883" spans="1:10" x14ac:dyDescent="0.3">
      <c r="A883" t="s">
        <v>2133</v>
      </c>
      <c r="B883" t="s">
        <v>25102</v>
      </c>
      <c r="C883" t="s">
        <v>20491</v>
      </c>
      <c r="D883" t="s">
        <v>22</v>
      </c>
      <c r="E883" t="s">
        <v>2134</v>
      </c>
      <c r="F883">
        <v>54</v>
      </c>
      <c r="G883" t="s">
        <v>201</v>
      </c>
      <c r="H883" t="s">
        <v>46</v>
      </c>
    </row>
    <row r="884" spans="1:10" x14ac:dyDescent="0.3">
      <c r="A884" t="s">
        <v>2135</v>
      </c>
      <c r="B884" t="s">
        <v>25103</v>
      </c>
      <c r="C884" t="s">
        <v>20490</v>
      </c>
      <c r="D884" t="s">
        <v>11</v>
      </c>
      <c r="E884" t="s">
        <v>2136</v>
      </c>
      <c r="F884">
        <v>48</v>
      </c>
      <c r="G884" t="s">
        <v>370</v>
      </c>
      <c r="H884" t="s">
        <v>46</v>
      </c>
    </row>
    <row r="885" spans="1:10" x14ac:dyDescent="0.3">
      <c r="A885" t="s">
        <v>2137</v>
      </c>
      <c r="B885" t="s">
        <v>25104</v>
      </c>
      <c r="C885" t="s">
        <v>20486</v>
      </c>
      <c r="D885" t="s">
        <v>11</v>
      </c>
      <c r="E885" t="s">
        <v>589</v>
      </c>
      <c r="F885">
        <v>53</v>
      </c>
    </row>
    <row r="886" spans="1:10" x14ac:dyDescent="0.3">
      <c r="A886" t="s">
        <v>2138</v>
      </c>
      <c r="B886" t="s">
        <v>25105</v>
      </c>
      <c r="C886" t="s">
        <v>20488</v>
      </c>
      <c r="D886" t="s">
        <v>11</v>
      </c>
      <c r="E886" t="s">
        <v>2139</v>
      </c>
      <c r="F886">
        <v>48</v>
      </c>
      <c r="G886" t="s">
        <v>109</v>
      </c>
      <c r="H886" t="s">
        <v>9788</v>
      </c>
    </row>
    <row r="887" spans="1:10" x14ac:dyDescent="0.3">
      <c r="A887" t="s">
        <v>2140</v>
      </c>
      <c r="B887" t="s">
        <v>25106</v>
      </c>
      <c r="C887" t="s">
        <v>20486</v>
      </c>
      <c r="D887" t="s">
        <v>22</v>
      </c>
      <c r="E887" t="s">
        <v>2141</v>
      </c>
      <c r="F887">
        <v>42</v>
      </c>
    </row>
    <row r="888" spans="1:10" x14ac:dyDescent="0.3">
      <c r="A888" t="s">
        <v>2142</v>
      </c>
      <c r="B888" t="s">
        <v>25107</v>
      </c>
      <c r="C888" t="s">
        <v>20490</v>
      </c>
      <c r="D888" t="s">
        <v>11</v>
      </c>
      <c r="E888" t="s">
        <v>2143</v>
      </c>
      <c r="F888">
        <v>52</v>
      </c>
      <c r="G888" t="s">
        <v>201</v>
      </c>
      <c r="H888" t="s">
        <v>46</v>
      </c>
      <c r="J888" t="s">
        <v>2144</v>
      </c>
    </row>
    <row r="889" spans="1:10" x14ac:dyDescent="0.3">
      <c r="A889" t="s">
        <v>2145</v>
      </c>
      <c r="B889" t="s">
        <v>25108</v>
      </c>
      <c r="C889" t="s">
        <v>20489</v>
      </c>
      <c r="D889" t="s">
        <v>22</v>
      </c>
      <c r="E889" t="s">
        <v>2123</v>
      </c>
      <c r="F889">
        <v>41</v>
      </c>
      <c r="G889" t="s">
        <v>109</v>
      </c>
      <c r="H889" t="s">
        <v>9788</v>
      </c>
      <c r="I889" t="s">
        <v>360</v>
      </c>
      <c r="J889" t="s">
        <v>2146</v>
      </c>
    </row>
    <row r="890" spans="1:10" x14ac:dyDescent="0.3">
      <c r="A890" t="s">
        <v>2147</v>
      </c>
      <c r="B890" t="s">
        <v>25109</v>
      </c>
      <c r="C890" t="s">
        <v>20489</v>
      </c>
      <c r="D890" t="s">
        <v>11</v>
      </c>
      <c r="E890" t="s">
        <v>2148</v>
      </c>
      <c r="F890">
        <v>40</v>
      </c>
      <c r="G890" t="s">
        <v>2149</v>
      </c>
      <c r="H890" t="s">
        <v>46</v>
      </c>
      <c r="I890" t="s">
        <v>2150</v>
      </c>
    </row>
    <row r="891" spans="1:10" x14ac:dyDescent="0.3">
      <c r="A891" t="s">
        <v>2151</v>
      </c>
      <c r="B891" t="s">
        <v>25110</v>
      </c>
      <c r="C891" t="s">
        <v>20490</v>
      </c>
      <c r="D891" t="s">
        <v>22</v>
      </c>
      <c r="E891" t="s">
        <v>2152</v>
      </c>
      <c r="F891">
        <v>48</v>
      </c>
      <c r="G891" t="s">
        <v>31</v>
      </c>
      <c r="H891" t="s">
        <v>31</v>
      </c>
    </row>
    <row r="892" spans="1:10" x14ac:dyDescent="0.3">
      <c r="A892" t="s">
        <v>2153</v>
      </c>
      <c r="B892" t="s">
        <v>25111</v>
      </c>
      <c r="C892" t="s">
        <v>20486</v>
      </c>
      <c r="D892" t="s">
        <v>11</v>
      </c>
      <c r="E892" t="s">
        <v>2154</v>
      </c>
      <c r="F892">
        <v>44</v>
      </c>
    </row>
    <row r="893" spans="1:10" x14ac:dyDescent="0.3">
      <c r="A893" t="s">
        <v>2155</v>
      </c>
      <c r="B893" t="s">
        <v>25112</v>
      </c>
      <c r="C893" t="s">
        <v>20486</v>
      </c>
      <c r="D893" t="s">
        <v>11</v>
      </c>
      <c r="E893" t="s">
        <v>2156</v>
      </c>
      <c r="F893">
        <v>47</v>
      </c>
      <c r="G893" t="s">
        <v>172</v>
      </c>
      <c r="H893" t="s">
        <v>12099</v>
      </c>
      <c r="I893" t="s">
        <v>17</v>
      </c>
      <c r="J893" t="s">
        <v>8976</v>
      </c>
    </row>
    <row r="894" spans="1:10" x14ac:dyDescent="0.3">
      <c r="A894" t="s">
        <v>12193</v>
      </c>
      <c r="B894" t="s">
        <v>25113</v>
      </c>
      <c r="C894" t="s">
        <v>20488</v>
      </c>
      <c r="D894" t="s">
        <v>11</v>
      </c>
      <c r="E894" t="s">
        <v>9745</v>
      </c>
      <c r="F894">
        <v>22</v>
      </c>
      <c r="G894" t="s">
        <v>337</v>
      </c>
      <c r="H894" t="s">
        <v>337</v>
      </c>
    </row>
    <row r="895" spans="1:10" x14ac:dyDescent="0.3">
      <c r="A895" t="s">
        <v>12194</v>
      </c>
      <c r="B895" t="s">
        <v>25114</v>
      </c>
      <c r="C895" t="s">
        <v>20488</v>
      </c>
      <c r="D895" t="s">
        <v>11</v>
      </c>
      <c r="E895" t="s">
        <v>9744</v>
      </c>
      <c r="F895">
        <v>19</v>
      </c>
      <c r="G895" t="s">
        <v>337</v>
      </c>
      <c r="H895" t="s">
        <v>337</v>
      </c>
    </row>
    <row r="896" spans="1:10" x14ac:dyDescent="0.3">
      <c r="A896" t="s">
        <v>2157</v>
      </c>
      <c r="B896" t="s">
        <v>25115</v>
      </c>
      <c r="C896" t="s">
        <v>20490</v>
      </c>
      <c r="D896" t="s">
        <v>22</v>
      </c>
      <c r="E896" t="s">
        <v>2158</v>
      </c>
      <c r="F896">
        <v>65</v>
      </c>
      <c r="G896" t="s">
        <v>31</v>
      </c>
      <c r="H896" t="s">
        <v>31</v>
      </c>
    </row>
    <row r="897" spans="1:10" x14ac:dyDescent="0.3">
      <c r="A897" t="s">
        <v>12195</v>
      </c>
      <c r="B897" t="s">
        <v>25116</v>
      </c>
      <c r="C897" t="s">
        <v>20490</v>
      </c>
      <c r="D897" t="s">
        <v>22</v>
      </c>
      <c r="E897" t="s">
        <v>9743</v>
      </c>
      <c r="F897">
        <v>17</v>
      </c>
      <c r="H897" t="s">
        <v>337</v>
      </c>
    </row>
    <row r="898" spans="1:10" x14ac:dyDescent="0.3">
      <c r="A898" t="s">
        <v>12196</v>
      </c>
      <c r="B898" t="s">
        <v>25117</v>
      </c>
      <c r="C898" t="s">
        <v>20488</v>
      </c>
      <c r="D898" t="s">
        <v>11</v>
      </c>
      <c r="E898" t="s">
        <v>9742</v>
      </c>
      <c r="F898">
        <v>17</v>
      </c>
      <c r="G898" t="s">
        <v>337</v>
      </c>
      <c r="H898" t="s">
        <v>337</v>
      </c>
    </row>
    <row r="899" spans="1:10" x14ac:dyDescent="0.3">
      <c r="A899" t="s">
        <v>2159</v>
      </c>
      <c r="B899" t="s">
        <v>25118</v>
      </c>
      <c r="C899" t="s">
        <v>20486</v>
      </c>
      <c r="D899" t="s">
        <v>22</v>
      </c>
      <c r="E899" t="s">
        <v>2160</v>
      </c>
      <c r="F899">
        <v>59</v>
      </c>
      <c r="G899" t="s">
        <v>46</v>
      </c>
      <c r="H899" t="s">
        <v>46</v>
      </c>
      <c r="I899" t="s">
        <v>228</v>
      </c>
      <c r="J899" t="s">
        <v>149</v>
      </c>
    </row>
    <row r="900" spans="1:10" x14ac:dyDescent="0.3">
      <c r="A900" t="s">
        <v>2161</v>
      </c>
      <c r="B900" t="s">
        <v>25119</v>
      </c>
      <c r="C900" t="s">
        <v>20486</v>
      </c>
      <c r="D900" t="s">
        <v>11</v>
      </c>
      <c r="E900" t="s">
        <v>2162</v>
      </c>
      <c r="F900">
        <v>46</v>
      </c>
      <c r="G900" t="s">
        <v>109</v>
      </c>
      <c r="H900" t="s">
        <v>9788</v>
      </c>
      <c r="J900" t="s">
        <v>2163</v>
      </c>
    </row>
    <row r="901" spans="1:10" x14ac:dyDescent="0.3">
      <c r="A901" t="s">
        <v>2164</v>
      </c>
      <c r="B901" t="s">
        <v>25120</v>
      </c>
      <c r="C901" t="s">
        <v>20491</v>
      </c>
      <c r="D901" t="s">
        <v>22</v>
      </c>
      <c r="E901" t="s">
        <v>2165</v>
      </c>
      <c r="F901">
        <v>38</v>
      </c>
      <c r="G901" t="s">
        <v>109</v>
      </c>
      <c r="H901" t="s">
        <v>9788</v>
      </c>
      <c r="I901" t="s">
        <v>441</v>
      </c>
      <c r="J901" t="s">
        <v>1788</v>
      </c>
    </row>
    <row r="902" spans="1:10" x14ac:dyDescent="0.3">
      <c r="A902" t="s">
        <v>2166</v>
      </c>
      <c r="B902" t="s">
        <v>25121</v>
      </c>
      <c r="C902" t="s">
        <v>20488</v>
      </c>
      <c r="D902" t="s">
        <v>11</v>
      </c>
      <c r="E902" t="s">
        <v>2167</v>
      </c>
      <c r="F902">
        <v>44</v>
      </c>
      <c r="G902" t="s">
        <v>109</v>
      </c>
      <c r="H902" t="s">
        <v>9788</v>
      </c>
      <c r="I902" t="s">
        <v>384</v>
      </c>
      <c r="J902" t="s">
        <v>384</v>
      </c>
    </row>
    <row r="903" spans="1:10" x14ac:dyDescent="0.3">
      <c r="A903" t="s">
        <v>2168</v>
      </c>
      <c r="B903" t="s">
        <v>25122</v>
      </c>
      <c r="C903" t="s">
        <v>20487</v>
      </c>
      <c r="D903" t="s">
        <v>11</v>
      </c>
      <c r="E903" t="s">
        <v>2169</v>
      </c>
      <c r="F903">
        <v>61</v>
      </c>
      <c r="G903" t="s">
        <v>1269</v>
      </c>
      <c r="H903" t="s">
        <v>12074</v>
      </c>
    </row>
    <row r="904" spans="1:10" x14ac:dyDescent="0.3">
      <c r="A904" t="s">
        <v>2170</v>
      </c>
      <c r="B904" t="s">
        <v>25123</v>
      </c>
      <c r="C904" t="s">
        <v>20486</v>
      </c>
      <c r="D904" t="s">
        <v>22</v>
      </c>
      <c r="E904" t="s">
        <v>2171</v>
      </c>
      <c r="F904">
        <v>56</v>
      </c>
      <c r="G904" t="s">
        <v>109</v>
      </c>
      <c r="H904" t="s">
        <v>9788</v>
      </c>
      <c r="I904" t="s">
        <v>12197</v>
      </c>
      <c r="J904" t="s">
        <v>12198</v>
      </c>
    </row>
    <row r="905" spans="1:10" x14ac:dyDescent="0.3">
      <c r="A905" t="s">
        <v>2172</v>
      </c>
      <c r="B905" t="s">
        <v>25124</v>
      </c>
      <c r="C905" t="s">
        <v>20486</v>
      </c>
      <c r="D905" t="s">
        <v>22</v>
      </c>
      <c r="E905" t="s">
        <v>2173</v>
      </c>
      <c r="F905">
        <v>31</v>
      </c>
      <c r="G905" t="s">
        <v>109</v>
      </c>
      <c r="H905" t="s">
        <v>9788</v>
      </c>
      <c r="I905" t="s">
        <v>4629</v>
      </c>
      <c r="J905" t="s">
        <v>225</v>
      </c>
    </row>
    <row r="906" spans="1:10" x14ac:dyDescent="0.3">
      <c r="A906" t="s">
        <v>2174</v>
      </c>
      <c r="B906" t="s">
        <v>25125</v>
      </c>
      <c r="C906" t="s">
        <v>20486</v>
      </c>
      <c r="D906" t="s">
        <v>11</v>
      </c>
      <c r="E906" t="s">
        <v>2175</v>
      </c>
      <c r="F906">
        <v>45</v>
      </c>
      <c r="G906" t="s">
        <v>46</v>
      </c>
      <c r="H906" t="s">
        <v>46</v>
      </c>
      <c r="J906" t="s">
        <v>2176</v>
      </c>
    </row>
    <row r="907" spans="1:10" x14ac:dyDescent="0.3">
      <c r="A907" t="s">
        <v>2177</v>
      </c>
      <c r="B907" t="s">
        <v>25126</v>
      </c>
      <c r="C907" t="s">
        <v>20486</v>
      </c>
      <c r="D907" t="s">
        <v>22</v>
      </c>
      <c r="E907" t="s">
        <v>2178</v>
      </c>
      <c r="F907">
        <v>46</v>
      </c>
      <c r="G907" t="s">
        <v>243</v>
      </c>
      <c r="H907" t="s">
        <v>243</v>
      </c>
    </row>
    <row r="908" spans="1:10" x14ac:dyDescent="0.3">
      <c r="A908" t="s">
        <v>2179</v>
      </c>
      <c r="B908" t="s">
        <v>25127</v>
      </c>
      <c r="C908" t="s">
        <v>20488</v>
      </c>
      <c r="D908" t="s">
        <v>11</v>
      </c>
      <c r="E908" t="s">
        <v>2180</v>
      </c>
      <c r="F908">
        <v>57</v>
      </c>
      <c r="G908" t="s">
        <v>46</v>
      </c>
      <c r="H908" t="s">
        <v>9787</v>
      </c>
    </row>
    <row r="909" spans="1:10" x14ac:dyDescent="0.3">
      <c r="A909" t="s">
        <v>2181</v>
      </c>
      <c r="B909" t="s">
        <v>25128</v>
      </c>
      <c r="C909" t="s">
        <v>20486</v>
      </c>
      <c r="D909" t="s">
        <v>11</v>
      </c>
      <c r="E909" t="s">
        <v>2182</v>
      </c>
      <c r="F909">
        <v>39</v>
      </c>
    </row>
    <row r="910" spans="1:10" x14ac:dyDescent="0.3">
      <c r="A910" t="s">
        <v>2183</v>
      </c>
      <c r="B910" t="s">
        <v>25129</v>
      </c>
      <c r="C910" t="s">
        <v>20486</v>
      </c>
      <c r="D910" t="s">
        <v>22</v>
      </c>
      <c r="E910" t="s">
        <v>1338</v>
      </c>
      <c r="F910">
        <v>53</v>
      </c>
    </row>
    <row r="911" spans="1:10" x14ac:dyDescent="0.3">
      <c r="A911" t="s">
        <v>2184</v>
      </c>
      <c r="B911" t="s">
        <v>25130</v>
      </c>
      <c r="C911" t="s">
        <v>20488</v>
      </c>
      <c r="D911" t="s">
        <v>11</v>
      </c>
      <c r="E911" t="s">
        <v>2185</v>
      </c>
      <c r="F911">
        <v>54</v>
      </c>
      <c r="G911" t="s">
        <v>109</v>
      </c>
      <c r="H911" t="s">
        <v>9788</v>
      </c>
    </row>
    <row r="912" spans="1:10" x14ac:dyDescent="0.3">
      <c r="A912" t="s">
        <v>2186</v>
      </c>
      <c r="B912" t="s">
        <v>25131</v>
      </c>
      <c r="C912" t="s">
        <v>20486</v>
      </c>
      <c r="D912" t="s">
        <v>11</v>
      </c>
      <c r="E912" t="s">
        <v>2187</v>
      </c>
      <c r="F912">
        <v>20</v>
      </c>
      <c r="G912" t="s">
        <v>337</v>
      </c>
      <c r="H912" t="s">
        <v>337</v>
      </c>
    </row>
    <row r="913" spans="1:10" x14ac:dyDescent="0.3">
      <c r="A913" t="s">
        <v>2188</v>
      </c>
      <c r="B913" t="s">
        <v>25132</v>
      </c>
      <c r="C913" t="s">
        <v>20486</v>
      </c>
      <c r="D913" t="s">
        <v>22</v>
      </c>
      <c r="E913" t="s">
        <v>2189</v>
      </c>
      <c r="F913">
        <v>22</v>
      </c>
      <c r="G913" t="s">
        <v>337</v>
      </c>
      <c r="H913" t="s">
        <v>337</v>
      </c>
    </row>
    <row r="914" spans="1:10" x14ac:dyDescent="0.3">
      <c r="A914" t="s">
        <v>2190</v>
      </c>
      <c r="B914" t="s">
        <v>25133</v>
      </c>
      <c r="C914" t="s">
        <v>20486</v>
      </c>
      <c r="D914" t="s">
        <v>11</v>
      </c>
      <c r="E914" t="s">
        <v>2191</v>
      </c>
      <c r="F914">
        <v>25</v>
      </c>
      <c r="G914" t="s">
        <v>337</v>
      </c>
      <c r="H914" t="s">
        <v>337</v>
      </c>
    </row>
    <row r="915" spans="1:10" x14ac:dyDescent="0.3">
      <c r="A915" t="s">
        <v>2192</v>
      </c>
      <c r="B915" t="s">
        <v>25134</v>
      </c>
      <c r="C915" t="s">
        <v>20488</v>
      </c>
      <c r="D915" t="s">
        <v>11</v>
      </c>
      <c r="E915" t="s">
        <v>2193</v>
      </c>
      <c r="F915">
        <v>58</v>
      </c>
      <c r="G915" t="s">
        <v>46</v>
      </c>
      <c r="H915" t="s">
        <v>46</v>
      </c>
      <c r="I915" t="s">
        <v>14296</v>
      </c>
      <c r="J915" t="s">
        <v>1011</v>
      </c>
    </row>
    <row r="916" spans="1:10" x14ac:dyDescent="0.3">
      <c r="A916" t="s">
        <v>2194</v>
      </c>
      <c r="B916" t="s">
        <v>25135</v>
      </c>
      <c r="C916" t="s">
        <v>20490</v>
      </c>
      <c r="D916" t="s">
        <v>22</v>
      </c>
      <c r="E916" t="s">
        <v>176</v>
      </c>
      <c r="F916">
        <v>47</v>
      </c>
      <c r="G916" t="s">
        <v>31</v>
      </c>
      <c r="H916" t="s">
        <v>31</v>
      </c>
      <c r="J916" t="s">
        <v>2195</v>
      </c>
    </row>
    <row r="917" spans="1:10" x14ac:dyDescent="0.3">
      <c r="A917" t="s">
        <v>2196</v>
      </c>
      <c r="B917" t="s">
        <v>25136</v>
      </c>
      <c r="C917" t="s">
        <v>20488</v>
      </c>
      <c r="D917" t="s">
        <v>22</v>
      </c>
      <c r="E917" t="s">
        <v>2197</v>
      </c>
      <c r="F917">
        <v>58</v>
      </c>
      <c r="G917" t="s">
        <v>31</v>
      </c>
      <c r="H917" t="s">
        <v>31</v>
      </c>
    </row>
    <row r="918" spans="1:10" x14ac:dyDescent="0.3">
      <c r="A918" t="s">
        <v>2198</v>
      </c>
      <c r="B918" t="s">
        <v>25137</v>
      </c>
      <c r="C918" t="s">
        <v>20488</v>
      </c>
      <c r="D918" t="s">
        <v>22</v>
      </c>
      <c r="E918" t="s">
        <v>2199</v>
      </c>
      <c r="F918">
        <v>64</v>
      </c>
      <c r="G918" t="s">
        <v>370</v>
      </c>
      <c r="H918" t="s">
        <v>46</v>
      </c>
      <c r="I918" t="s">
        <v>1190</v>
      </c>
      <c r="J918" t="s">
        <v>12199</v>
      </c>
    </row>
    <row r="919" spans="1:10" x14ac:dyDescent="0.3">
      <c r="A919" t="s">
        <v>12200</v>
      </c>
      <c r="B919" t="s">
        <v>25138</v>
      </c>
      <c r="C919" t="s">
        <v>20487</v>
      </c>
      <c r="D919" t="s">
        <v>22</v>
      </c>
      <c r="E919" t="s">
        <v>7679</v>
      </c>
      <c r="F919">
        <v>24</v>
      </c>
      <c r="G919" t="s">
        <v>337</v>
      </c>
      <c r="H919" t="s">
        <v>337</v>
      </c>
    </row>
    <row r="920" spans="1:10" x14ac:dyDescent="0.3">
      <c r="A920" t="s">
        <v>2200</v>
      </c>
      <c r="B920" t="s">
        <v>25139</v>
      </c>
      <c r="C920" t="s">
        <v>20486</v>
      </c>
      <c r="D920" t="s">
        <v>22</v>
      </c>
      <c r="E920" t="s">
        <v>2201</v>
      </c>
      <c r="F920">
        <v>50</v>
      </c>
      <c r="G920" t="s">
        <v>31</v>
      </c>
      <c r="H920" t="s">
        <v>31</v>
      </c>
    </row>
    <row r="921" spans="1:10" x14ac:dyDescent="0.3">
      <c r="A921" t="s">
        <v>2202</v>
      </c>
      <c r="B921" t="s">
        <v>25140</v>
      </c>
      <c r="C921" t="s">
        <v>20488</v>
      </c>
      <c r="D921" t="s">
        <v>22</v>
      </c>
      <c r="E921" t="s">
        <v>2203</v>
      </c>
      <c r="F921">
        <v>34</v>
      </c>
      <c r="G921" t="s">
        <v>31</v>
      </c>
      <c r="H921" t="s">
        <v>31</v>
      </c>
      <c r="I921" t="s">
        <v>33</v>
      </c>
    </row>
    <row r="922" spans="1:10" x14ac:dyDescent="0.3">
      <c r="A922" t="s">
        <v>2204</v>
      </c>
      <c r="B922" t="s">
        <v>25141</v>
      </c>
      <c r="C922" t="s">
        <v>20486</v>
      </c>
      <c r="D922" t="s">
        <v>11</v>
      </c>
      <c r="E922" t="s">
        <v>2205</v>
      </c>
      <c r="F922">
        <v>47</v>
      </c>
      <c r="G922" t="s">
        <v>540</v>
      </c>
      <c r="H922" t="s">
        <v>12074</v>
      </c>
      <c r="J922" t="s">
        <v>1269</v>
      </c>
    </row>
    <row r="923" spans="1:10" x14ac:dyDescent="0.3">
      <c r="A923" t="s">
        <v>2206</v>
      </c>
      <c r="B923" t="s">
        <v>25142</v>
      </c>
      <c r="C923" t="s">
        <v>20486</v>
      </c>
      <c r="D923" t="s">
        <v>22</v>
      </c>
      <c r="E923" t="s">
        <v>2185</v>
      </c>
      <c r="F923">
        <v>54</v>
      </c>
      <c r="G923" t="s">
        <v>46</v>
      </c>
      <c r="H923" t="s">
        <v>46</v>
      </c>
      <c r="I923" t="s">
        <v>228</v>
      </c>
      <c r="J923" t="s">
        <v>2207</v>
      </c>
    </row>
    <row r="924" spans="1:10" x14ac:dyDescent="0.3">
      <c r="A924" t="s">
        <v>2208</v>
      </c>
      <c r="B924" t="s">
        <v>25143</v>
      </c>
      <c r="C924" t="s">
        <v>20486</v>
      </c>
      <c r="D924" t="s">
        <v>11</v>
      </c>
      <c r="E924" t="s">
        <v>295</v>
      </c>
      <c r="F924">
        <v>54</v>
      </c>
      <c r="G924" t="s">
        <v>109</v>
      </c>
      <c r="H924" t="s">
        <v>9788</v>
      </c>
      <c r="J924" t="s">
        <v>166</v>
      </c>
    </row>
    <row r="925" spans="1:10" x14ac:dyDescent="0.3">
      <c r="A925" t="s">
        <v>2209</v>
      </c>
      <c r="B925" t="s">
        <v>25144</v>
      </c>
      <c r="C925" t="s">
        <v>20486</v>
      </c>
      <c r="D925" t="s">
        <v>22</v>
      </c>
      <c r="E925" t="s">
        <v>2210</v>
      </c>
      <c r="F925">
        <v>50</v>
      </c>
      <c r="G925" t="s">
        <v>109</v>
      </c>
      <c r="H925" t="s">
        <v>9788</v>
      </c>
      <c r="J925" t="s">
        <v>2211</v>
      </c>
    </row>
    <row r="926" spans="1:10" x14ac:dyDescent="0.3">
      <c r="A926" t="s">
        <v>2212</v>
      </c>
      <c r="B926" t="s">
        <v>25145</v>
      </c>
      <c r="C926" t="s">
        <v>20488</v>
      </c>
      <c r="D926" t="s">
        <v>22</v>
      </c>
      <c r="E926" t="s">
        <v>2213</v>
      </c>
      <c r="F926">
        <v>56</v>
      </c>
      <c r="G926" t="s">
        <v>31</v>
      </c>
      <c r="H926" t="s">
        <v>31</v>
      </c>
      <c r="I926" t="s">
        <v>33</v>
      </c>
    </row>
    <row r="927" spans="1:10" x14ac:dyDescent="0.3">
      <c r="A927" t="s">
        <v>2214</v>
      </c>
      <c r="B927" t="s">
        <v>25146</v>
      </c>
      <c r="C927" t="s">
        <v>20487</v>
      </c>
      <c r="D927" t="s">
        <v>11</v>
      </c>
      <c r="E927" t="s">
        <v>2215</v>
      </c>
      <c r="F927">
        <v>52</v>
      </c>
      <c r="G927" t="s">
        <v>201</v>
      </c>
      <c r="H927" t="s">
        <v>46</v>
      </c>
      <c r="J927" t="s">
        <v>2216</v>
      </c>
    </row>
    <row r="928" spans="1:10" x14ac:dyDescent="0.3">
      <c r="A928" t="s">
        <v>2217</v>
      </c>
      <c r="B928" t="s">
        <v>25147</v>
      </c>
      <c r="C928" t="s">
        <v>20487</v>
      </c>
      <c r="D928" t="s">
        <v>11</v>
      </c>
      <c r="E928" t="s">
        <v>2218</v>
      </c>
      <c r="F928">
        <v>52</v>
      </c>
      <c r="G928" t="s">
        <v>384</v>
      </c>
    </row>
    <row r="929" spans="1:10" x14ac:dyDescent="0.3">
      <c r="A929" t="s">
        <v>2219</v>
      </c>
      <c r="B929" t="s">
        <v>25148</v>
      </c>
      <c r="C929" t="s">
        <v>20489</v>
      </c>
      <c r="D929" t="s">
        <v>22</v>
      </c>
      <c r="E929" t="s">
        <v>2220</v>
      </c>
      <c r="F929">
        <v>46</v>
      </c>
      <c r="G929" t="s">
        <v>109</v>
      </c>
      <c r="H929" t="s">
        <v>9788</v>
      </c>
      <c r="I929" t="s">
        <v>12201</v>
      </c>
      <c r="J929" t="s">
        <v>2221</v>
      </c>
    </row>
    <row r="930" spans="1:10" x14ac:dyDescent="0.3">
      <c r="A930" t="s">
        <v>2222</v>
      </c>
      <c r="B930" t="s">
        <v>25149</v>
      </c>
      <c r="C930" t="s">
        <v>20487</v>
      </c>
      <c r="D930" t="s">
        <v>22</v>
      </c>
      <c r="E930" t="s">
        <v>2223</v>
      </c>
      <c r="F930">
        <v>59</v>
      </c>
      <c r="G930" t="s">
        <v>1200</v>
      </c>
      <c r="H930" t="s">
        <v>9785</v>
      </c>
      <c r="I930" t="s">
        <v>441</v>
      </c>
      <c r="J930" t="s">
        <v>2224</v>
      </c>
    </row>
    <row r="931" spans="1:10" x14ac:dyDescent="0.3">
      <c r="A931" t="s">
        <v>2225</v>
      </c>
      <c r="B931" t="s">
        <v>25150</v>
      </c>
      <c r="C931" t="s">
        <v>20486</v>
      </c>
      <c r="D931" t="s">
        <v>11</v>
      </c>
      <c r="E931" t="s">
        <v>2226</v>
      </c>
      <c r="F931">
        <v>47</v>
      </c>
      <c r="G931" t="s">
        <v>172</v>
      </c>
      <c r="H931" t="s">
        <v>12099</v>
      </c>
      <c r="J931" t="s">
        <v>2227</v>
      </c>
    </row>
    <row r="932" spans="1:10" x14ac:dyDescent="0.3">
      <c r="A932" t="s">
        <v>2228</v>
      </c>
      <c r="B932" t="s">
        <v>25151</v>
      </c>
      <c r="C932" t="s">
        <v>20486</v>
      </c>
      <c r="D932" t="s">
        <v>11</v>
      </c>
      <c r="E932" t="s">
        <v>2229</v>
      </c>
      <c r="F932">
        <v>41</v>
      </c>
      <c r="G932" t="s">
        <v>16</v>
      </c>
      <c r="H932" t="s">
        <v>9785</v>
      </c>
      <c r="I932" t="s">
        <v>17</v>
      </c>
      <c r="J932" t="s">
        <v>2230</v>
      </c>
    </row>
    <row r="933" spans="1:10" x14ac:dyDescent="0.3">
      <c r="A933" t="s">
        <v>2231</v>
      </c>
      <c r="B933" t="s">
        <v>25152</v>
      </c>
      <c r="C933" t="s">
        <v>20487</v>
      </c>
      <c r="D933" t="s">
        <v>11</v>
      </c>
      <c r="E933" t="s">
        <v>2232</v>
      </c>
      <c r="F933">
        <v>21</v>
      </c>
    </row>
    <row r="934" spans="1:10" x14ac:dyDescent="0.3">
      <c r="A934" t="s">
        <v>2233</v>
      </c>
      <c r="B934" t="s">
        <v>25153</v>
      </c>
      <c r="C934" t="s">
        <v>20486</v>
      </c>
      <c r="D934" t="s">
        <v>11</v>
      </c>
      <c r="E934" t="s">
        <v>2234</v>
      </c>
      <c r="F934">
        <v>53</v>
      </c>
      <c r="G934" t="s">
        <v>109</v>
      </c>
      <c r="H934" t="s">
        <v>9788</v>
      </c>
      <c r="J934" t="s">
        <v>2235</v>
      </c>
    </row>
    <row r="935" spans="1:10" x14ac:dyDescent="0.3">
      <c r="A935" t="s">
        <v>2236</v>
      </c>
      <c r="B935" t="s">
        <v>25154</v>
      </c>
      <c r="C935" t="s">
        <v>20486</v>
      </c>
      <c r="D935" t="s">
        <v>11</v>
      </c>
      <c r="E935" t="s">
        <v>2237</v>
      </c>
      <c r="F935">
        <v>54</v>
      </c>
      <c r="G935" t="s">
        <v>46</v>
      </c>
      <c r="H935" t="s">
        <v>46</v>
      </c>
    </row>
    <row r="936" spans="1:10" x14ac:dyDescent="0.3">
      <c r="A936" t="s">
        <v>2238</v>
      </c>
      <c r="B936" t="s">
        <v>25155</v>
      </c>
      <c r="C936" t="s">
        <v>20486</v>
      </c>
      <c r="D936" t="s">
        <v>22</v>
      </c>
      <c r="E936" t="s">
        <v>2239</v>
      </c>
      <c r="F936">
        <v>42</v>
      </c>
      <c r="G936" t="s">
        <v>46</v>
      </c>
      <c r="H936" t="s">
        <v>46</v>
      </c>
      <c r="I936" t="s">
        <v>12202</v>
      </c>
    </row>
    <row r="937" spans="1:10" x14ac:dyDescent="0.3">
      <c r="A937" t="s">
        <v>2240</v>
      </c>
      <c r="B937" t="s">
        <v>25156</v>
      </c>
      <c r="C937" t="s">
        <v>20486</v>
      </c>
      <c r="D937" t="s">
        <v>22</v>
      </c>
      <c r="E937" t="s">
        <v>2241</v>
      </c>
      <c r="F937">
        <v>53</v>
      </c>
    </row>
    <row r="938" spans="1:10" x14ac:dyDescent="0.3">
      <c r="A938" t="s">
        <v>2242</v>
      </c>
      <c r="B938" t="s">
        <v>25157</v>
      </c>
      <c r="C938" t="s">
        <v>20486</v>
      </c>
      <c r="D938" t="s">
        <v>22</v>
      </c>
      <c r="E938" t="s">
        <v>2243</v>
      </c>
      <c r="F938">
        <v>68</v>
      </c>
      <c r="G938" t="s">
        <v>13</v>
      </c>
      <c r="H938" t="s">
        <v>13</v>
      </c>
      <c r="J938" t="s">
        <v>18</v>
      </c>
    </row>
    <row r="939" spans="1:10" x14ac:dyDescent="0.3">
      <c r="A939" t="s">
        <v>2244</v>
      </c>
      <c r="B939" t="s">
        <v>25158</v>
      </c>
      <c r="C939" t="s">
        <v>20486</v>
      </c>
      <c r="D939" t="s">
        <v>22</v>
      </c>
      <c r="E939" t="s">
        <v>2245</v>
      </c>
      <c r="F939">
        <v>44</v>
      </c>
    </row>
    <row r="940" spans="1:10" x14ac:dyDescent="0.3">
      <c r="A940" t="s">
        <v>2247</v>
      </c>
      <c r="B940" t="s">
        <v>25159</v>
      </c>
      <c r="C940" t="s">
        <v>20486</v>
      </c>
      <c r="D940" t="s">
        <v>22</v>
      </c>
      <c r="E940" t="s">
        <v>2248</v>
      </c>
      <c r="F940">
        <v>43</v>
      </c>
      <c r="G940" t="s">
        <v>172</v>
      </c>
      <c r="H940" t="s">
        <v>12099</v>
      </c>
      <c r="I940" t="s">
        <v>1377</v>
      </c>
      <c r="J940" t="s">
        <v>2249</v>
      </c>
    </row>
    <row r="941" spans="1:10" x14ac:dyDescent="0.3">
      <c r="A941" t="s">
        <v>2250</v>
      </c>
      <c r="B941" t="s">
        <v>25160</v>
      </c>
      <c r="C941" t="s">
        <v>20488</v>
      </c>
      <c r="D941" t="s">
        <v>11</v>
      </c>
      <c r="E941" t="s">
        <v>2251</v>
      </c>
      <c r="F941">
        <v>53</v>
      </c>
      <c r="G941" t="s">
        <v>1226</v>
      </c>
      <c r="H941" t="s">
        <v>9791</v>
      </c>
      <c r="I941" t="s">
        <v>1227</v>
      </c>
    </row>
    <row r="942" spans="1:10" x14ac:dyDescent="0.3">
      <c r="A942" t="s">
        <v>2252</v>
      </c>
      <c r="B942" t="s">
        <v>25161</v>
      </c>
      <c r="C942" t="s">
        <v>20486</v>
      </c>
      <c r="D942" t="s">
        <v>22</v>
      </c>
      <c r="E942" t="s">
        <v>2253</v>
      </c>
      <c r="F942">
        <v>48</v>
      </c>
      <c r="G942" t="s">
        <v>172</v>
      </c>
      <c r="H942" t="s">
        <v>12099</v>
      </c>
      <c r="J942" t="s">
        <v>2254</v>
      </c>
    </row>
    <row r="943" spans="1:10" x14ac:dyDescent="0.3">
      <c r="A943" t="s">
        <v>2255</v>
      </c>
      <c r="B943" t="s">
        <v>25162</v>
      </c>
      <c r="C943" t="s">
        <v>20487</v>
      </c>
      <c r="D943" t="s">
        <v>11</v>
      </c>
      <c r="E943" t="s">
        <v>2256</v>
      </c>
      <c r="F943">
        <v>72</v>
      </c>
      <c r="G943" t="s">
        <v>13</v>
      </c>
      <c r="H943" t="s">
        <v>13</v>
      </c>
      <c r="J943" t="s">
        <v>2257</v>
      </c>
    </row>
    <row r="944" spans="1:10" x14ac:dyDescent="0.3">
      <c r="A944" t="s">
        <v>2258</v>
      </c>
      <c r="B944" t="s">
        <v>25163</v>
      </c>
      <c r="C944" t="s">
        <v>20489</v>
      </c>
      <c r="D944" t="s">
        <v>22</v>
      </c>
      <c r="E944" t="s">
        <v>2259</v>
      </c>
      <c r="F944">
        <v>47</v>
      </c>
      <c r="G944" t="s">
        <v>16</v>
      </c>
      <c r="H944" t="s">
        <v>9785</v>
      </c>
      <c r="I944" t="s">
        <v>17</v>
      </c>
      <c r="J944" t="s">
        <v>2260</v>
      </c>
    </row>
    <row r="945" spans="1:10" x14ac:dyDescent="0.3">
      <c r="A945" t="s">
        <v>2261</v>
      </c>
      <c r="B945" t="s">
        <v>25164</v>
      </c>
      <c r="C945" t="s">
        <v>20486</v>
      </c>
      <c r="D945" t="s">
        <v>11</v>
      </c>
      <c r="E945" t="s">
        <v>2262</v>
      </c>
      <c r="F945">
        <v>44</v>
      </c>
      <c r="G945" t="s">
        <v>172</v>
      </c>
      <c r="H945" t="s">
        <v>12099</v>
      </c>
      <c r="J945" t="s">
        <v>2263</v>
      </c>
    </row>
    <row r="946" spans="1:10" x14ac:dyDescent="0.3">
      <c r="A946" t="s">
        <v>2264</v>
      </c>
      <c r="B946" t="s">
        <v>25165</v>
      </c>
      <c r="C946" t="s">
        <v>20486</v>
      </c>
      <c r="D946" t="s">
        <v>22</v>
      </c>
      <c r="E946" t="s">
        <v>2265</v>
      </c>
      <c r="F946">
        <v>56</v>
      </c>
      <c r="G946" t="s">
        <v>31</v>
      </c>
      <c r="H946" t="s">
        <v>31</v>
      </c>
      <c r="I946" t="s">
        <v>7503</v>
      </c>
    </row>
    <row r="947" spans="1:10" x14ac:dyDescent="0.3">
      <c r="A947" t="s">
        <v>2266</v>
      </c>
      <c r="B947" t="s">
        <v>25166</v>
      </c>
      <c r="C947" t="s">
        <v>20486</v>
      </c>
      <c r="D947" t="s">
        <v>22</v>
      </c>
      <c r="E947" t="s">
        <v>2267</v>
      </c>
      <c r="F947">
        <v>46</v>
      </c>
      <c r="G947" t="s">
        <v>172</v>
      </c>
      <c r="H947" t="s">
        <v>12099</v>
      </c>
      <c r="I947" t="s">
        <v>2268</v>
      </c>
      <c r="J947" t="s">
        <v>2269</v>
      </c>
    </row>
    <row r="948" spans="1:10" x14ac:dyDescent="0.3">
      <c r="A948" t="s">
        <v>2270</v>
      </c>
      <c r="B948" t="s">
        <v>25167</v>
      </c>
      <c r="C948" t="s">
        <v>20486</v>
      </c>
      <c r="D948" t="s">
        <v>11</v>
      </c>
      <c r="E948" t="s">
        <v>2271</v>
      </c>
      <c r="F948">
        <v>48</v>
      </c>
      <c r="G948" t="s">
        <v>109</v>
      </c>
      <c r="H948" t="s">
        <v>9788</v>
      </c>
      <c r="J948" t="s">
        <v>2272</v>
      </c>
    </row>
    <row r="949" spans="1:10" x14ac:dyDescent="0.3">
      <c r="A949" t="s">
        <v>2273</v>
      </c>
      <c r="B949" t="s">
        <v>25168</v>
      </c>
      <c r="C949" t="s">
        <v>20488</v>
      </c>
      <c r="D949" t="s">
        <v>11</v>
      </c>
      <c r="E949" t="s">
        <v>2274</v>
      </c>
      <c r="F949">
        <v>68</v>
      </c>
      <c r="G949" t="s">
        <v>16</v>
      </c>
      <c r="H949" t="s">
        <v>9785</v>
      </c>
      <c r="I949" t="s">
        <v>2275</v>
      </c>
    </row>
    <row r="950" spans="1:10" x14ac:dyDescent="0.3">
      <c r="A950" t="s">
        <v>2276</v>
      </c>
      <c r="B950" t="s">
        <v>25169</v>
      </c>
      <c r="C950" t="s">
        <v>20490</v>
      </c>
      <c r="D950" t="s">
        <v>22</v>
      </c>
      <c r="E950" t="s">
        <v>2277</v>
      </c>
      <c r="F950">
        <v>48</v>
      </c>
      <c r="G950" t="s">
        <v>370</v>
      </c>
      <c r="H950" t="s">
        <v>46</v>
      </c>
      <c r="I950" t="s">
        <v>1248</v>
      </c>
    </row>
    <row r="951" spans="1:10" x14ac:dyDescent="0.3">
      <c r="A951" t="s">
        <v>2278</v>
      </c>
      <c r="B951" t="s">
        <v>25170</v>
      </c>
      <c r="C951" t="s">
        <v>20486</v>
      </c>
      <c r="D951" t="s">
        <v>22</v>
      </c>
      <c r="E951" t="s">
        <v>2279</v>
      </c>
      <c r="F951">
        <v>47</v>
      </c>
      <c r="G951" t="s">
        <v>16</v>
      </c>
      <c r="H951" t="s">
        <v>9785</v>
      </c>
      <c r="I951" t="s">
        <v>17</v>
      </c>
      <c r="J951" t="s">
        <v>12203</v>
      </c>
    </row>
    <row r="952" spans="1:10" x14ac:dyDescent="0.3">
      <c r="A952" t="s">
        <v>2280</v>
      </c>
      <c r="B952" t="s">
        <v>25171</v>
      </c>
      <c r="C952" t="s">
        <v>20486</v>
      </c>
      <c r="D952" t="s">
        <v>22</v>
      </c>
      <c r="E952" t="s">
        <v>2281</v>
      </c>
      <c r="F952">
        <v>56</v>
      </c>
      <c r="G952" t="s">
        <v>13</v>
      </c>
      <c r="H952" t="s">
        <v>13</v>
      </c>
      <c r="J952" t="s">
        <v>2282</v>
      </c>
    </row>
    <row r="953" spans="1:10" x14ac:dyDescent="0.3">
      <c r="A953" t="s">
        <v>2283</v>
      </c>
      <c r="B953" t="s">
        <v>25172</v>
      </c>
      <c r="C953" t="s">
        <v>20486</v>
      </c>
      <c r="D953" t="s">
        <v>22</v>
      </c>
      <c r="E953" t="s">
        <v>2284</v>
      </c>
      <c r="F953">
        <v>39</v>
      </c>
      <c r="G953" t="s">
        <v>31</v>
      </c>
      <c r="H953" t="s">
        <v>31</v>
      </c>
      <c r="J953" t="s">
        <v>33</v>
      </c>
    </row>
    <row r="954" spans="1:10" x14ac:dyDescent="0.3">
      <c r="A954" t="s">
        <v>2285</v>
      </c>
      <c r="B954" t="s">
        <v>25173</v>
      </c>
      <c r="C954" t="s">
        <v>20488</v>
      </c>
      <c r="D954" t="s">
        <v>11</v>
      </c>
      <c r="E954" t="s">
        <v>363</v>
      </c>
      <c r="F954">
        <v>25</v>
      </c>
      <c r="G954" t="s">
        <v>46</v>
      </c>
      <c r="H954" t="s">
        <v>337</v>
      </c>
      <c r="I954" t="s">
        <v>12204</v>
      </c>
      <c r="J954" t="s">
        <v>12205</v>
      </c>
    </row>
    <row r="955" spans="1:10" x14ac:dyDescent="0.3">
      <c r="A955" t="s">
        <v>2286</v>
      </c>
      <c r="B955" t="s">
        <v>25174</v>
      </c>
      <c r="C955" t="s">
        <v>20489</v>
      </c>
      <c r="D955" t="s">
        <v>11</v>
      </c>
      <c r="E955" t="s">
        <v>2287</v>
      </c>
      <c r="F955">
        <v>46</v>
      </c>
      <c r="G955" t="s">
        <v>1200</v>
      </c>
      <c r="H955" t="s">
        <v>9788</v>
      </c>
      <c r="I955" t="s">
        <v>1121</v>
      </c>
      <c r="J955" t="s">
        <v>2288</v>
      </c>
    </row>
    <row r="956" spans="1:10" x14ac:dyDescent="0.3">
      <c r="A956" t="s">
        <v>2289</v>
      </c>
      <c r="B956" t="s">
        <v>25175</v>
      </c>
      <c r="C956" t="s">
        <v>20488</v>
      </c>
      <c r="D956" t="s">
        <v>22</v>
      </c>
      <c r="E956" t="s">
        <v>2290</v>
      </c>
      <c r="F956">
        <v>77</v>
      </c>
      <c r="G956" t="s">
        <v>201</v>
      </c>
      <c r="H956" t="s">
        <v>46</v>
      </c>
    </row>
    <row r="957" spans="1:10" x14ac:dyDescent="0.3">
      <c r="A957" t="s">
        <v>2291</v>
      </c>
      <c r="B957" t="s">
        <v>25176</v>
      </c>
      <c r="C957" t="s">
        <v>20491</v>
      </c>
      <c r="D957" t="s">
        <v>11</v>
      </c>
      <c r="E957" t="s">
        <v>2292</v>
      </c>
      <c r="F957">
        <v>44</v>
      </c>
      <c r="G957" t="s">
        <v>46</v>
      </c>
      <c r="H957" t="s">
        <v>46</v>
      </c>
      <c r="I957" t="s">
        <v>3378</v>
      </c>
    </row>
    <row r="958" spans="1:10" x14ac:dyDescent="0.3">
      <c r="A958" t="s">
        <v>2293</v>
      </c>
      <c r="B958" t="s">
        <v>25177</v>
      </c>
      <c r="C958" t="s">
        <v>20488</v>
      </c>
      <c r="D958" t="s">
        <v>22</v>
      </c>
      <c r="E958" t="s">
        <v>2294</v>
      </c>
      <c r="F958">
        <v>49</v>
      </c>
      <c r="G958" t="s">
        <v>31</v>
      </c>
      <c r="H958" t="s">
        <v>31</v>
      </c>
      <c r="I958" t="s">
        <v>33</v>
      </c>
    </row>
    <row r="959" spans="1:10" x14ac:dyDescent="0.3">
      <c r="A959" t="s">
        <v>2295</v>
      </c>
      <c r="B959" t="s">
        <v>25178</v>
      </c>
      <c r="C959" t="s">
        <v>20488</v>
      </c>
      <c r="D959" t="s">
        <v>22</v>
      </c>
      <c r="E959" t="s">
        <v>2296</v>
      </c>
      <c r="F959">
        <v>67</v>
      </c>
      <c r="G959" t="s">
        <v>31</v>
      </c>
      <c r="H959" t="s">
        <v>31</v>
      </c>
      <c r="I959" t="s">
        <v>33</v>
      </c>
    </row>
    <row r="960" spans="1:10" x14ac:dyDescent="0.3">
      <c r="A960" t="s">
        <v>2297</v>
      </c>
      <c r="B960" t="s">
        <v>25179</v>
      </c>
      <c r="C960" t="s">
        <v>20486</v>
      </c>
      <c r="D960" t="s">
        <v>11</v>
      </c>
      <c r="E960" t="s">
        <v>2298</v>
      </c>
      <c r="F960">
        <v>36</v>
      </c>
      <c r="G960" t="s">
        <v>384</v>
      </c>
    </row>
    <row r="961" spans="1:10" x14ac:dyDescent="0.3">
      <c r="A961" t="s">
        <v>2299</v>
      </c>
      <c r="B961" t="s">
        <v>25180</v>
      </c>
      <c r="C961" t="s">
        <v>20486</v>
      </c>
      <c r="D961" t="s">
        <v>11</v>
      </c>
      <c r="E961" t="s">
        <v>2300</v>
      </c>
      <c r="F961">
        <v>49</v>
      </c>
      <c r="G961" t="s">
        <v>955</v>
      </c>
      <c r="H961" t="s">
        <v>9788</v>
      </c>
      <c r="I961" t="s">
        <v>2301</v>
      </c>
      <c r="J961" t="s">
        <v>2302</v>
      </c>
    </row>
    <row r="962" spans="1:10" x14ac:dyDescent="0.3">
      <c r="A962" t="s">
        <v>2303</v>
      </c>
      <c r="B962" t="s">
        <v>25181</v>
      </c>
      <c r="C962" t="s">
        <v>20486</v>
      </c>
      <c r="D962" t="s">
        <v>22</v>
      </c>
      <c r="E962" t="s">
        <v>2304</v>
      </c>
      <c r="F962">
        <v>57</v>
      </c>
    </row>
    <row r="963" spans="1:10" x14ac:dyDescent="0.3">
      <c r="A963" t="s">
        <v>2305</v>
      </c>
      <c r="B963" t="s">
        <v>25182</v>
      </c>
      <c r="C963" t="s">
        <v>20486</v>
      </c>
      <c r="D963" t="s">
        <v>22</v>
      </c>
      <c r="E963" t="s">
        <v>2306</v>
      </c>
      <c r="F963">
        <v>65</v>
      </c>
      <c r="G963" t="s">
        <v>31</v>
      </c>
      <c r="H963" t="s">
        <v>31</v>
      </c>
      <c r="J963" t="s">
        <v>33</v>
      </c>
    </row>
    <row r="964" spans="1:10" x14ac:dyDescent="0.3">
      <c r="A964" t="s">
        <v>2308</v>
      </c>
      <c r="B964" t="s">
        <v>25183</v>
      </c>
      <c r="C964" t="s">
        <v>20488</v>
      </c>
      <c r="D964" t="s">
        <v>22</v>
      </c>
      <c r="E964" t="s">
        <v>2309</v>
      </c>
      <c r="F964">
        <v>67</v>
      </c>
      <c r="G964" t="s">
        <v>31</v>
      </c>
      <c r="H964" t="s">
        <v>31</v>
      </c>
      <c r="I964" t="s">
        <v>33</v>
      </c>
    </row>
    <row r="965" spans="1:10" x14ac:dyDescent="0.3">
      <c r="A965" t="s">
        <v>2310</v>
      </c>
      <c r="B965" t="s">
        <v>25184</v>
      </c>
      <c r="C965" t="s">
        <v>20488</v>
      </c>
      <c r="D965" t="s">
        <v>22</v>
      </c>
      <c r="E965" t="s">
        <v>2311</v>
      </c>
      <c r="F965">
        <v>63</v>
      </c>
      <c r="G965" t="s">
        <v>31</v>
      </c>
      <c r="H965" t="s">
        <v>31</v>
      </c>
      <c r="I965" t="s">
        <v>33</v>
      </c>
    </row>
    <row r="966" spans="1:10" x14ac:dyDescent="0.3">
      <c r="A966" t="s">
        <v>2313</v>
      </c>
      <c r="B966" t="s">
        <v>25185</v>
      </c>
      <c r="C966" t="s">
        <v>20486</v>
      </c>
      <c r="D966" t="s">
        <v>22</v>
      </c>
      <c r="E966" t="s">
        <v>2314</v>
      </c>
      <c r="F966">
        <v>64</v>
      </c>
      <c r="G966" t="s">
        <v>109</v>
      </c>
      <c r="H966" t="s">
        <v>9788</v>
      </c>
      <c r="I966" t="s">
        <v>2315</v>
      </c>
      <c r="J966" t="s">
        <v>2316</v>
      </c>
    </row>
    <row r="967" spans="1:10" x14ac:dyDescent="0.3">
      <c r="A967" t="s">
        <v>2317</v>
      </c>
      <c r="B967" t="s">
        <v>25186</v>
      </c>
      <c r="C967" t="s">
        <v>20486</v>
      </c>
      <c r="D967" t="s">
        <v>22</v>
      </c>
      <c r="E967" t="s">
        <v>1935</v>
      </c>
      <c r="F967">
        <v>54</v>
      </c>
      <c r="G967" t="s">
        <v>46</v>
      </c>
      <c r="H967" t="s">
        <v>46</v>
      </c>
      <c r="I967" t="s">
        <v>2318</v>
      </c>
      <c r="J967" t="s">
        <v>2319</v>
      </c>
    </row>
    <row r="968" spans="1:10" x14ac:dyDescent="0.3">
      <c r="A968" t="s">
        <v>2320</v>
      </c>
      <c r="B968" t="s">
        <v>25187</v>
      </c>
      <c r="C968" t="s">
        <v>20491</v>
      </c>
      <c r="D968" t="s">
        <v>22</v>
      </c>
      <c r="E968" t="s">
        <v>2321</v>
      </c>
      <c r="F968">
        <v>56</v>
      </c>
      <c r="G968" t="s">
        <v>31</v>
      </c>
      <c r="H968" t="s">
        <v>31</v>
      </c>
    </row>
    <row r="969" spans="1:10" x14ac:dyDescent="0.3">
      <c r="A969" t="s">
        <v>2322</v>
      </c>
      <c r="B969" t="s">
        <v>25188</v>
      </c>
      <c r="C969" t="s">
        <v>20488</v>
      </c>
      <c r="D969" t="s">
        <v>11</v>
      </c>
      <c r="E969" t="s">
        <v>2323</v>
      </c>
      <c r="F969">
        <v>59</v>
      </c>
      <c r="G969" t="s">
        <v>172</v>
      </c>
      <c r="H969" t="s">
        <v>12099</v>
      </c>
    </row>
    <row r="970" spans="1:10" x14ac:dyDescent="0.3">
      <c r="A970" t="s">
        <v>2324</v>
      </c>
      <c r="B970" t="s">
        <v>25189</v>
      </c>
      <c r="C970" t="s">
        <v>20486</v>
      </c>
      <c r="D970" t="s">
        <v>22</v>
      </c>
      <c r="E970" t="s">
        <v>2325</v>
      </c>
      <c r="F970">
        <v>44</v>
      </c>
      <c r="G970" t="s">
        <v>384</v>
      </c>
    </row>
    <row r="971" spans="1:10" x14ac:dyDescent="0.3">
      <c r="A971" t="s">
        <v>2326</v>
      </c>
      <c r="B971" t="s">
        <v>25190</v>
      </c>
      <c r="C971" t="s">
        <v>20486</v>
      </c>
      <c r="D971" t="s">
        <v>22</v>
      </c>
      <c r="E971" t="s">
        <v>2327</v>
      </c>
      <c r="F971">
        <v>51</v>
      </c>
      <c r="G971" t="s">
        <v>172</v>
      </c>
      <c r="H971" t="s">
        <v>12099</v>
      </c>
      <c r="J971" t="s">
        <v>2328</v>
      </c>
    </row>
    <row r="972" spans="1:10" x14ac:dyDescent="0.3">
      <c r="A972" t="s">
        <v>2329</v>
      </c>
      <c r="B972" t="s">
        <v>25191</v>
      </c>
      <c r="C972" t="s">
        <v>20490</v>
      </c>
      <c r="D972" t="s">
        <v>11</v>
      </c>
      <c r="E972" t="s">
        <v>2330</v>
      </c>
      <c r="F972">
        <v>75</v>
      </c>
      <c r="G972" t="s">
        <v>133</v>
      </c>
      <c r="H972" t="s">
        <v>9789</v>
      </c>
      <c r="J972" t="s">
        <v>209</v>
      </c>
    </row>
    <row r="973" spans="1:10" x14ac:dyDescent="0.3">
      <c r="A973" t="s">
        <v>2331</v>
      </c>
      <c r="B973" t="s">
        <v>25192</v>
      </c>
      <c r="C973" t="s">
        <v>20486</v>
      </c>
      <c r="D973" t="s">
        <v>22</v>
      </c>
      <c r="E973" t="s">
        <v>2332</v>
      </c>
      <c r="F973">
        <v>69</v>
      </c>
      <c r="G973" t="s">
        <v>13</v>
      </c>
      <c r="H973" t="s">
        <v>13</v>
      </c>
      <c r="J973" t="s">
        <v>2333</v>
      </c>
    </row>
    <row r="974" spans="1:10" x14ac:dyDescent="0.3">
      <c r="A974" t="s">
        <v>2334</v>
      </c>
      <c r="B974" t="s">
        <v>25193</v>
      </c>
      <c r="C974" t="s">
        <v>20490</v>
      </c>
      <c r="D974" t="s">
        <v>11</v>
      </c>
      <c r="E974" t="s">
        <v>2143</v>
      </c>
      <c r="F974">
        <v>52</v>
      </c>
      <c r="G974" t="s">
        <v>109</v>
      </c>
      <c r="H974" t="s">
        <v>9788</v>
      </c>
    </row>
    <row r="975" spans="1:10" x14ac:dyDescent="0.3">
      <c r="A975" t="s">
        <v>2335</v>
      </c>
      <c r="B975" t="s">
        <v>25194</v>
      </c>
      <c r="C975" t="s">
        <v>20490</v>
      </c>
      <c r="D975" t="s">
        <v>22</v>
      </c>
      <c r="E975" t="s">
        <v>2336</v>
      </c>
      <c r="F975">
        <v>58</v>
      </c>
      <c r="G975" t="s">
        <v>370</v>
      </c>
      <c r="H975" t="s">
        <v>46</v>
      </c>
      <c r="I975" t="s">
        <v>2337</v>
      </c>
      <c r="J975" t="s">
        <v>2338</v>
      </c>
    </row>
    <row r="976" spans="1:10" x14ac:dyDescent="0.3">
      <c r="A976" t="s">
        <v>2339</v>
      </c>
      <c r="B976" t="s">
        <v>25195</v>
      </c>
      <c r="C976" t="s">
        <v>20490</v>
      </c>
      <c r="D976" t="s">
        <v>11</v>
      </c>
      <c r="E976" t="s">
        <v>2340</v>
      </c>
      <c r="F976">
        <v>51</v>
      </c>
      <c r="G976" t="s">
        <v>109</v>
      </c>
      <c r="H976" t="s">
        <v>9788</v>
      </c>
      <c r="J976" t="s">
        <v>2341</v>
      </c>
    </row>
    <row r="977" spans="1:10" x14ac:dyDescent="0.3">
      <c r="A977" t="s">
        <v>2342</v>
      </c>
      <c r="B977" t="s">
        <v>25196</v>
      </c>
      <c r="C977" t="s">
        <v>20486</v>
      </c>
      <c r="D977" t="s">
        <v>22</v>
      </c>
      <c r="E977" t="s">
        <v>2343</v>
      </c>
      <c r="F977">
        <v>49</v>
      </c>
      <c r="G977" t="s">
        <v>46</v>
      </c>
      <c r="H977" t="s">
        <v>46</v>
      </c>
      <c r="J977" t="s">
        <v>2344</v>
      </c>
    </row>
    <row r="978" spans="1:10" x14ac:dyDescent="0.3">
      <c r="A978" t="s">
        <v>2345</v>
      </c>
      <c r="B978" t="s">
        <v>25197</v>
      </c>
      <c r="C978" t="s">
        <v>20490</v>
      </c>
      <c r="D978" t="s">
        <v>11</v>
      </c>
      <c r="E978" t="s">
        <v>2346</v>
      </c>
      <c r="F978">
        <v>60</v>
      </c>
      <c r="G978" t="s">
        <v>109</v>
      </c>
      <c r="H978" t="s">
        <v>9788</v>
      </c>
      <c r="J978" t="s">
        <v>1972</v>
      </c>
    </row>
    <row r="979" spans="1:10" x14ac:dyDescent="0.3">
      <c r="A979" t="s">
        <v>2347</v>
      </c>
      <c r="B979" t="s">
        <v>25198</v>
      </c>
      <c r="C979" t="s">
        <v>20486</v>
      </c>
      <c r="D979" t="s">
        <v>11</v>
      </c>
      <c r="E979" t="s">
        <v>2348</v>
      </c>
      <c r="F979">
        <v>55</v>
      </c>
      <c r="G979" t="s">
        <v>243</v>
      </c>
      <c r="H979" t="s">
        <v>243</v>
      </c>
    </row>
    <row r="980" spans="1:10" x14ac:dyDescent="0.3">
      <c r="A980" t="s">
        <v>2349</v>
      </c>
      <c r="B980" t="s">
        <v>25199</v>
      </c>
      <c r="C980" t="s">
        <v>20488</v>
      </c>
      <c r="D980" t="s">
        <v>22</v>
      </c>
      <c r="E980" t="s">
        <v>492</v>
      </c>
      <c r="F980">
        <v>61</v>
      </c>
      <c r="G980" t="s">
        <v>172</v>
      </c>
      <c r="H980" t="s">
        <v>12099</v>
      </c>
    </row>
    <row r="981" spans="1:10" x14ac:dyDescent="0.3">
      <c r="A981" t="s">
        <v>2350</v>
      </c>
      <c r="B981" t="s">
        <v>25200</v>
      </c>
      <c r="C981" t="s">
        <v>20486</v>
      </c>
      <c r="D981" t="s">
        <v>22</v>
      </c>
      <c r="E981" t="s">
        <v>2351</v>
      </c>
      <c r="F981">
        <v>48</v>
      </c>
      <c r="G981" t="s">
        <v>109</v>
      </c>
      <c r="H981" t="s">
        <v>9788</v>
      </c>
      <c r="J981" t="s">
        <v>2352</v>
      </c>
    </row>
    <row r="982" spans="1:10" x14ac:dyDescent="0.3">
      <c r="A982" t="s">
        <v>2353</v>
      </c>
      <c r="B982" t="s">
        <v>25201</v>
      </c>
      <c r="C982" t="s">
        <v>20486</v>
      </c>
      <c r="D982" t="s">
        <v>22</v>
      </c>
      <c r="E982" t="s">
        <v>2354</v>
      </c>
      <c r="F982">
        <v>50</v>
      </c>
      <c r="G982" t="s">
        <v>31</v>
      </c>
      <c r="H982" t="s">
        <v>31</v>
      </c>
      <c r="J982" t="s">
        <v>33</v>
      </c>
    </row>
    <row r="983" spans="1:10" x14ac:dyDescent="0.3">
      <c r="A983" t="s">
        <v>2355</v>
      </c>
      <c r="B983" t="s">
        <v>25202</v>
      </c>
      <c r="C983" t="s">
        <v>20488</v>
      </c>
      <c r="D983" t="s">
        <v>22</v>
      </c>
      <c r="E983" t="s">
        <v>2356</v>
      </c>
      <c r="F983">
        <v>54</v>
      </c>
      <c r="G983" t="s">
        <v>31</v>
      </c>
      <c r="H983" t="s">
        <v>31</v>
      </c>
      <c r="I983" t="s">
        <v>33</v>
      </c>
    </row>
    <row r="984" spans="1:10" x14ac:dyDescent="0.3">
      <c r="A984" t="s">
        <v>2357</v>
      </c>
      <c r="B984" t="s">
        <v>25203</v>
      </c>
      <c r="C984" t="s">
        <v>20488</v>
      </c>
      <c r="D984" t="s">
        <v>22</v>
      </c>
      <c r="E984" t="s">
        <v>2358</v>
      </c>
      <c r="F984">
        <v>53</v>
      </c>
      <c r="G984" t="s">
        <v>31</v>
      </c>
      <c r="H984" t="s">
        <v>31</v>
      </c>
      <c r="I984" t="s">
        <v>33</v>
      </c>
    </row>
    <row r="985" spans="1:10" x14ac:dyDescent="0.3">
      <c r="A985" t="s">
        <v>2359</v>
      </c>
      <c r="B985" t="s">
        <v>25204</v>
      </c>
      <c r="C985" t="s">
        <v>20488</v>
      </c>
      <c r="D985" t="s">
        <v>22</v>
      </c>
      <c r="E985" t="s">
        <v>2360</v>
      </c>
      <c r="F985">
        <v>58</v>
      </c>
      <c r="G985" t="s">
        <v>16</v>
      </c>
      <c r="H985" t="s">
        <v>9785</v>
      </c>
      <c r="I985" t="s">
        <v>449</v>
      </c>
    </row>
    <row r="986" spans="1:10" x14ac:dyDescent="0.3">
      <c r="A986" t="s">
        <v>2361</v>
      </c>
      <c r="B986" t="s">
        <v>25205</v>
      </c>
      <c r="C986" t="s">
        <v>20487</v>
      </c>
      <c r="D986" t="s">
        <v>11</v>
      </c>
      <c r="E986" t="s">
        <v>2362</v>
      </c>
      <c r="F986">
        <v>59</v>
      </c>
    </row>
    <row r="987" spans="1:10" x14ac:dyDescent="0.3">
      <c r="A987" t="s">
        <v>2363</v>
      </c>
      <c r="B987" t="s">
        <v>25206</v>
      </c>
      <c r="C987" t="s">
        <v>20488</v>
      </c>
      <c r="D987" t="s">
        <v>11</v>
      </c>
      <c r="E987" t="s">
        <v>2364</v>
      </c>
      <c r="F987">
        <v>57</v>
      </c>
      <c r="G987" t="s">
        <v>2365</v>
      </c>
      <c r="H987" t="s">
        <v>12065</v>
      </c>
      <c r="I987" t="s">
        <v>2366</v>
      </c>
      <c r="J987" t="s">
        <v>2367</v>
      </c>
    </row>
    <row r="988" spans="1:10" x14ac:dyDescent="0.3">
      <c r="A988" t="s">
        <v>12206</v>
      </c>
      <c r="B988" t="s">
        <v>25207</v>
      </c>
      <c r="C988" t="s">
        <v>20487</v>
      </c>
      <c r="D988" t="s">
        <v>11</v>
      </c>
      <c r="E988" t="s">
        <v>9695</v>
      </c>
      <c r="F988">
        <v>26</v>
      </c>
      <c r="G988" t="s">
        <v>337</v>
      </c>
      <c r="H988" t="s">
        <v>337</v>
      </c>
    </row>
    <row r="989" spans="1:10" x14ac:dyDescent="0.3">
      <c r="A989" t="s">
        <v>2369</v>
      </c>
      <c r="B989" t="s">
        <v>25208</v>
      </c>
      <c r="C989" t="s">
        <v>20488</v>
      </c>
      <c r="D989" t="s">
        <v>11</v>
      </c>
      <c r="E989" t="s">
        <v>2370</v>
      </c>
      <c r="F989">
        <v>34</v>
      </c>
      <c r="G989" t="s">
        <v>109</v>
      </c>
      <c r="H989" t="s">
        <v>9788</v>
      </c>
    </row>
    <row r="990" spans="1:10" x14ac:dyDescent="0.3">
      <c r="A990" t="s">
        <v>2372</v>
      </c>
      <c r="B990" t="s">
        <v>25209</v>
      </c>
      <c r="C990" t="s">
        <v>20486</v>
      </c>
      <c r="D990" t="s">
        <v>22</v>
      </c>
      <c r="E990" t="s">
        <v>2373</v>
      </c>
      <c r="F990">
        <v>47</v>
      </c>
      <c r="G990" t="s">
        <v>109</v>
      </c>
      <c r="H990" t="s">
        <v>9788</v>
      </c>
      <c r="J990" t="s">
        <v>2374</v>
      </c>
    </row>
    <row r="991" spans="1:10" x14ac:dyDescent="0.3">
      <c r="A991" t="s">
        <v>12207</v>
      </c>
      <c r="B991" t="s">
        <v>25210</v>
      </c>
      <c r="C991" t="s">
        <v>20486</v>
      </c>
      <c r="D991" t="s">
        <v>11</v>
      </c>
      <c r="E991" t="s">
        <v>9741</v>
      </c>
      <c r="F991">
        <v>17</v>
      </c>
      <c r="H991" t="s">
        <v>337</v>
      </c>
    </row>
    <row r="992" spans="1:10" x14ac:dyDescent="0.3">
      <c r="A992" t="s">
        <v>2376</v>
      </c>
      <c r="B992" t="s">
        <v>25211</v>
      </c>
      <c r="C992" t="s">
        <v>20487</v>
      </c>
      <c r="D992" t="s">
        <v>22</v>
      </c>
      <c r="E992" t="s">
        <v>2377</v>
      </c>
      <c r="F992">
        <v>53</v>
      </c>
      <c r="G992" t="s">
        <v>46</v>
      </c>
      <c r="H992" t="s">
        <v>46</v>
      </c>
      <c r="J992" t="s">
        <v>2378</v>
      </c>
    </row>
    <row r="993" spans="1:10" x14ac:dyDescent="0.3">
      <c r="A993" t="s">
        <v>2379</v>
      </c>
      <c r="B993" t="s">
        <v>25212</v>
      </c>
      <c r="C993" t="s">
        <v>20486</v>
      </c>
      <c r="D993" t="s">
        <v>22</v>
      </c>
      <c r="E993" t="s">
        <v>2380</v>
      </c>
      <c r="F993">
        <v>66</v>
      </c>
      <c r="G993" t="s">
        <v>46</v>
      </c>
      <c r="H993" t="s">
        <v>46</v>
      </c>
      <c r="I993" t="s">
        <v>228</v>
      </c>
      <c r="J993" t="s">
        <v>2381</v>
      </c>
    </row>
    <row r="994" spans="1:10" x14ac:dyDescent="0.3">
      <c r="A994" t="s">
        <v>2382</v>
      </c>
      <c r="B994" t="s">
        <v>25213</v>
      </c>
      <c r="C994" t="s">
        <v>20486</v>
      </c>
      <c r="D994" t="s">
        <v>22</v>
      </c>
      <c r="E994" t="s">
        <v>2383</v>
      </c>
      <c r="F994">
        <v>75</v>
      </c>
      <c r="G994" t="s">
        <v>13</v>
      </c>
      <c r="H994" t="s">
        <v>13</v>
      </c>
      <c r="J994" t="s">
        <v>2384</v>
      </c>
    </row>
    <row r="995" spans="1:10" x14ac:dyDescent="0.3">
      <c r="A995" t="s">
        <v>2385</v>
      </c>
      <c r="B995" t="s">
        <v>25214</v>
      </c>
      <c r="C995" t="s">
        <v>20489</v>
      </c>
      <c r="D995" t="s">
        <v>22</v>
      </c>
      <c r="E995" t="s">
        <v>2386</v>
      </c>
      <c r="F995">
        <v>65</v>
      </c>
      <c r="G995" t="s">
        <v>31</v>
      </c>
      <c r="H995" t="s">
        <v>31</v>
      </c>
      <c r="I995" t="s">
        <v>33</v>
      </c>
    </row>
    <row r="996" spans="1:10" x14ac:dyDescent="0.3">
      <c r="A996" t="s">
        <v>12208</v>
      </c>
      <c r="B996" t="s">
        <v>25215</v>
      </c>
      <c r="C996" t="s">
        <v>20491</v>
      </c>
      <c r="D996" t="s">
        <v>22</v>
      </c>
      <c r="E996" t="s">
        <v>9740</v>
      </c>
      <c r="F996">
        <v>16</v>
      </c>
      <c r="G996" t="s">
        <v>337</v>
      </c>
      <c r="H996" t="s">
        <v>337</v>
      </c>
    </row>
    <row r="997" spans="1:10" x14ac:dyDescent="0.3">
      <c r="A997" t="s">
        <v>2387</v>
      </c>
      <c r="B997" t="s">
        <v>25216</v>
      </c>
      <c r="C997" t="s">
        <v>20490</v>
      </c>
      <c r="D997" t="s">
        <v>22</v>
      </c>
      <c r="E997" t="s">
        <v>2388</v>
      </c>
      <c r="F997">
        <v>65</v>
      </c>
      <c r="G997" t="s">
        <v>441</v>
      </c>
      <c r="H997" t="s">
        <v>9785</v>
      </c>
    </row>
    <row r="998" spans="1:10" x14ac:dyDescent="0.3">
      <c r="A998" t="s">
        <v>2389</v>
      </c>
      <c r="B998" t="s">
        <v>25217</v>
      </c>
      <c r="C998" t="s">
        <v>20488</v>
      </c>
      <c r="D998" t="s">
        <v>22</v>
      </c>
      <c r="E998" t="s">
        <v>1519</v>
      </c>
      <c r="F998">
        <v>61</v>
      </c>
      <c r="G998" t="s">
        <v>172</v>
      </c>
      <c r="H998" t="s">
        <v>12099</v>
      </c>
      <c r="I998" t="s">
        <v>2100</v>
      </c>
    </row>
    <row r="999" spans="1:10" x14ac:dyDescent="0.3">
      <c r="A999" t="s">
        <v>2390</v>
      </c>
      <c r="B999" t="s">
        <v>25218</v>
      </c>
      <c r="C999" t="s">
        <v>20488</v>
      </c>
      <c r="D999" t="s">
        <v>22</v>
      </c>
      <c r="E999" t="s">
        <v>2391</v>
      </c>
      <c r="F999">
        <v>58</v>
      </c>
      <c r="G999" t="s">
        <v>46</v>
      </c>
      <c r="H999" t="s">
        <v>46</v>
      </c>
      <c r="I999" t="s">
        <v>2216</v>
      </c>
      <c r="J999" t="s">
        <v>2392</v>
      </c>
    </row>
    <row r="1000" spans="1:10" x14ac:dyDescent="0.3">
      <c r="A1000" t="s">
        <v>2393</v>
      </c>
      <c r="B1000" t="s">
        <v>25219</v>
      </c>
      <c r="C1000" t="s">
        <v>20487</v>
      </c>
      <c r="D1000" t="s">
        <v>22</v>
      </c>
      <c r="E1000" t="s">
        <v>2394</v>
      </c>
      <c r="F1000">
        <v>19</v>
      </c>
      <c r="G1000" t="s">
        <v>337</v>
      </c>
      <c r="H1000" t="s">
        <v>337</v>
      </c>
    </row>
    <row r="1001" spans="1:10" x14ac:dyDescent="0.3">
      <c r="A1001" t="s">
        <v>2395</v>
      </c>
      <c r="B1001" t="s">
        <v>25220</v>
      </c>
      <c r="C1001" t="s">
        <v>20487</v>
      </c>
      <c r="D1001" t="s">
        <v>11</v>
      </c>
      <c r="E1001" t="s">
        <v>2396</v>
      </c>
      <c r="F1001">
        <v>37</v>
      </c>
      <c r="G1001" t="s">
        <v>46</v>
      </c>
      <c r="H1001" t="s">
        <v>46</v>
      </c>
      <c r="I1001" t="s">
        <v>228</v>
      </c>
      <c r="J1001" t="s">
        <v>2397</v>
      </c>
    </row>
    <row r="1002" spans="1:10" x14ac:dyDescent="0.3">
      <c r="A1002" t="s">
        <v>2398</v>
      </c>
      <c r="B1002" t="s">
        <v>25221</v>
      </c>
      <c r="C1002" t="s">
        <v>20488</v>
      </c>
      <c r="D1002" t="s">
        <v>11</v>
      </c>
      <c r="E1002" t="s">
        <v>2399</v>
      </c>
      <c r="F1002">
        <v>49</v>
      </c>
      <c r="G1002" t="s">
        <v>172</v>
      </c>
      <c r="H1002" t="s">
        <v>12099</v>
      </c>
      <c r="I1002" t="s">
        <v>2100</v>
      </c>
    </row>
    <row r="1003" spans="1:10" x14ac:dyDescent="0.3">
      <c r="A1003" t="s">
        <v>2400</v>
      </c>
      <c r="B1003" t="s">
        <v>25222</v>
      </c>
      <c r="C1003" t="s">
        <v>20488</v>
      </c>
      <c r="D1003" t="s">
        <v>22</v>
      </c>
      <c r="E1003" t="s">
        <v>2401</v>
      </c>
      <c r="F1003">
        <v>48</v>
      </c>
      <c r="G1003" t="s">
        <v>31</v>
      </c>
      <c r="H1003" t="s">
        <v>31</v>
      </c>
      <c r="I1003" t="s">
        <v>33</v>
      </c>
    </row>
    <row r="1004" spans="1:10" x14ac:dyDescent="0.3">
      <c r="A1004" t="s">
        <v>2402</v>
      </c>
      <c r="B1004" t="s">
        <v>25223</v>
      </c>
      <c r="C1004" t="s">
        <v>20487</v>
      </c>
      <c r="D1004" t="s">
        <v>11</v>
      </c>
      <c r="E1004" t="s">
        <v>2403</v>
      </c>
      <c r="F1004">
        <v>37</v>
      </c>
      <c r="G1004" t="s">
        <v>231</v>
      </c>
      <c r="H1004" t="s">
        <v>9788</v>
      </c>
    </row>
    <row r="1005" spans="1:10" x14ac:dyDescent="0.3">
      <c r="A1005" t="s">
        <v>2404</v>
      </c>
      <c r="B1005" t="s">
        <v>25224</v>
      </c>
      <c r="C1005" t="s">
        <v>20490</v>
      </c>
      <c r="D1005" t="s">
        <v>11</v>
      </c>
      <c r="E1005" t="s">
        <v>1185</v>
      </c>
      <c r="F1005">
        <v>62</v>
      </c>
      <c r="G1005" t="s">
        <v>370</v>
      </c>
      <c r="H1005" t="s">
        <v>46</v>
      </c>
      <c r="J1005" t="s">
        <v>2405</v>
      </c>
    </row>
    <row r="1006" spans="1:10" x14ac:dyDescent="0.3">
      <c r="A1006" t="s">
        <v>2406</v>
      </c>
      <c r="B1006" t="s">
        <v>25225</v>
      </c>
      <c r="C1006" t="s">
        <v>20488</v>
      </c>
      <c r="D1006" t="s">
        <v>11</v>
      </c>
      <c r="E1006" t="s">
        <v>2407</v>
      </c>
      <c r="F1006">
        <v>42</v>
      </c>
      <c r="G1006" t="s">
        <v>172</v>
      </c>
      <c r="H1006" t="s">
        <v>12099</v>
      </c>
      <c r="I1006" t="s">
        <v>2100</v>
      </c>
    </row>
    <row r="1007" spans="1:10" x14ac:dyDescent="0.3">
      <c r="A1007" t="s">
        <v>2408</v>
      </c>
      <c r="B1007" t="s">
        <v>25226</v>
      </c>
      <c r="C1007" t="s">
        <v>20487</v>
      </c>
      <c r="D1007" t="s">
        <v>22</v>
      </c>
      <c r="E1007" t="s">
        <v>2409</v>
      </c>
      <c r="F1007">
        <v>49</v>
      </c>
      <c r="G1007" t="s">
        <v>33</v>
      </c>
      <c r="H1007" t="s">
        <v>31</v>
      </c>
      <c r="J1007" t="s">
        <v>2410</v>
      </c>
    </row>
    <row r="1008" spans="1:10" x14ac:dyDescent="0.3">
      <c r="A1008" t="s">
        <v>2411</v>
      </c>
      <c r="B1008" t="s">
        <v>25227</v>
      </c>
      <c r="C1008" t="s">
        <v>20486</v>
      </c>
      <c r="D1008" t="s">
        <v>22</v>
      </c>
      <c r="E1008" t="s">
        <v>2412</v>
      </c>
      <c r="F1008">
        <v>55</v>
      </c>
      <c r="G1008" t="s">
        <v>31</v>
      </c>
      <c r="H1008" t="s">
        <v>31</v>
      </c>
      <c r="I1008" t="s">
        <v>2413</v>
      </c>
      <c r="J1008" t="s">
        <v>33</v>
      </c>
    </row>
    <row r="1009" spans="1:10" x14ac:dyDescent="0.3">
      <c r="A1009" t="s">
        <v>2414</v>
      </c>
      <c r="B1009" t="s">
        <v>25228</v>
      </c>
      <c r="C1009" t="s">
        <v>20490</v>
      </c>
      <c r="D1009" t="s">
        <v>22</v>
      </c>
      <c r="E1009" t="s">
        <v>2415</v>
      </c>
      <c r="F1009">
        <v>64</v>
      </c>
      <c r="G1009" t="s">
        <v>201</v>
      </c>
      <c r="H1009" t="s">
        <v>46</v>
      </c>
    </row>
    <row r="1010" spans="1:10" x14ac:dyDescent="0.3">
      <c r="A1010" t="s">
        <v>2416</v>
      </c>
      <c r="B1010" t="s">
        <v>25229</v>
      </c>
      <c r="C1010" t="s">
        <v>20486</v>
      </c>
      <c r="D1010" t="s">
        <v>11</v>
      </c>
      <c r="E1010" t="s">
        <v>2417</v>
      </c>
      <c r="F1010">
        <v>66</v>
      </c>
      <c r="G1010" t="s">
        <v>2418</v>
      </c>
      <c r="H1010" t="s">
        <v>9787</v>
      </c>
      <c r="I1010" t="s">
        <v>703</v>
      </c>
      <c r="J1010" t="s">
        <v>2419</v>
      </c>
    </row>
    <row r="1011" spans="1:10" x14ac:dyDescent="0.3">
      <c r="A1011" t="s">
        <v>2420</v>
      </c>
      <c r="B1011" t="s">
        <v>25230</v>
      </c>
      <c r="C1011" t="s">
        <v>20487</v>
      </c>
      <c r="D1011" t="s">
        <v>22</v>
      </c>
      <c r="E1011" t="s">
        <v>2421</v>
      </c>
      <c r="F1011">
        <v>49</v>
      </c>
      <c r="G1011" t="s">
        <v>46</v>
      </c>
      <c r="H1011" t="s">
        <v>46</v>
      </c>
      <c r="J1011" t="s">
        <v>2422</v>
      </c>
    </row>
    <row r="1012" spans="1:10" x14ac:dyDescent="0.3">
      <c r="A1012" t="s">
        <v>2423</v>
      </c>
      <c r="B1012" t="s">
        <v>25231</v>
      </c>
      <c r="C1012" t="s">
        <v>20490</v>
      </c>
      <c r="D1012" t="s">
        <v>11</v>
      </c>
      <c r="E1012" t="s">
        <v>2424</v>
      </c>
      <c r="F1012">
        <v>48</v>
      </c>
      <c r="G1012" t="s">
        <v>231</v>
      </c>
      <c r="H1012" t="s">
        <v>9788</v>
      </c>
    </row>
    <row r="1013" spans="1:10" x14ac:dyDescent="0.3">
      <c r="A1013" t="s">
        <v>2425</v>
      </c>
      <c r="B1013" t="s">
        <v>25232</v>
      </c>
      <c r="C1013" t="s">
        <v>20486</v>
      </c>
      <c r="D1013" t="s">
        <v>22</v>
      </c>
      <c r="E1013" t="s">
        <v>2426</v>
      </c>
      <c r="F1013">
        <v>52</v>
      </c>
      <c r="G1013" t="s">
        <v>24</v>
      </c>
      <c r="H1013" t="s">
        <v>9789</v>
      </c>
      <c r="I1013" t="s">
        <v>2427</v>
      </c>
    </row>
    <row r="1014" spans="1:10" x14ac:dyDescent="0.3">
      <c r="A1014" t="s">
        <v>2428</v>
      </c>
      <c r="B1014" t="s">
        <v>25233</v>
      </c>
      <c r="C1014" t="s">
        <v>20488</v>
      </c>
      <c r="D1014" t="s">
        <v>11</v>
      </c>
      <c r="E1014" t="s">
        <v>2429</v>
      </c>
      <c r="F1014">
        <v>52</v>
      </c>
      <c r="G1014" t="s">
        <v>109</v>
      </c>
      <c r="H1014" t="s">
        <v>9788</v>
      </c>
    </row>
    <row r="1015" spans="1:10" x14ac:dyDescent="0.3">
      <c r="A1015" t="s">
        <v>2430</v>
      </c>
      <c r="B1015" t="s">
        <v>25234</v>
      </c>
      <c r="C1015" t="s">
        <v>20490</v>
      </c>
      <c r="D1015" t="s">
        <v>22</v>
      </c>
      <c r="E1015" t="s">
        <v>2431</v>
      </c>
      <c r="F1015">
        <v>53</v>
      </c>
      <c r="G1015" t="s">
        <v>220</v>
      </c>
      <c r="H1015" t="s">
        <v>46</v>
      </c>
    </row>
    <row r="1016" spans="1:10" x14ac:dyDescent="0.3">
      <c r="A1016" t="s">
        <v>2432</v>
      </c>
      <c r="B1016" t="s">
        <v>25235</v>
      </c>
      <c r="C1016" t="s">
        <v>20491</v>
      </c>
      <c r="D1016" t="s">
        <v>22</v>
      </c>
      <c r="E1016" t="s">
        <v>2433</v>
      </c>
      <c r="F1016">
        <v>56</v>
      </c>
      <c r="G1016" t="s">
        <v>201</v>
      </c>
      <c r="H1016" t="s">
        <v>46</v>
      </c>
    </row>
    <row r="1017" spans="1:10" x14ac:dyDescent="0.3">
      <c r="A1017" t="s">
        <v>12209</v>
      </c>
      <c r="B1017" t="s">
        <v>25236</v>
      </c>
      <c r="C1017" t="s">
        <v>20491</v>
      </c>
      <c r="D1017" t="s">
        <v>11</v>
      </c>
      <c r="E1017" t="s">
        <v>9739</v>
      </c>
      <c r="F1017">
        <v>16</v>
      </c>
      <c r="G1017" t="s">
        <v>337</v>
      </c>
      <c r="H1017" t="s">
        <v>337</v>
      </c>
    </row>
    <row r="1018" spans="1:10" x14ac:dyDescent="0.3">
      <c r="A1018" t="s">
        <v>2434</v>
      </c>
      <c r="B1018" t="s">
        <v>25237</v>
      </c>
      <c r="C1018" t="s">
        <v>20486</v>
      </c>
      <c r="D1018" t="s">
        <v>22</v>
      </c>
      <c r="E1018" t="s">
        <v>2435</v>
      </c>
      <c r="F1018">
        <v>66</v>
      </c>
      <c r="G1018" t="s">
        <v>109</v>
      </c>
      <c r="H1018" t="s">
        <v>9788</v>
      </c>
      <c r="J1018" t="s">
        <v>2436</v>
      </c>
    </row>
    <row r="1019" spans="1:10" x14ac:dyDescent="0.3">
      <c r="A1019" t="s">
        <v>2437</v>
      </c>
      <c r="B1019" t="s">
        <v>25238</v>
      </c>
      <c r="C1019" t="s">
        <v>20486</v>
      </c>
      <c r="D1019" t="s">
        <v>22</v>
      </c>
      <c r="E1019" t="s">
        <v>2438</v>
      </c>
      <c r="F1019">
        <v>42</v>
      </c>
      <c r="G1019" t="s">
        <v>133</v>
      </c>
      <c r="H1019" t="s">
        <v>9789</v>
      </c>
      <c r="J1019" t="s">
        <v>2439</v>
      </c>
    </row>
    <row r="1020" spans="1:10" x14ac:dyDescent="0.3">
      <c r="A1020" t="s">
        <v>2440</v>
      </c>
      <c r="B1020" t="s">
        <v>25239</v>
      </c>
      <c r="C1020" t="s">
        <v>20486</v>
      </c>
      <c r="D1020" t="s">
        <v>22</v>
      </c>
      <c r="E1020" t="s">
        <v>2441</v>
      </c>
      <c r="F1020">
        <v>43</v>
      </c>
      <c r="G1020" t="s">
        <v>31</v>
      </c>
      <c r="H1020" t="s">
        <v>31</v>
      </c>
      <c r="J1020" t="s">
        <v>33</v>
      </c>
    </row>
    <row r="1021" spans="1:10" x14ac:dyDescent="0.3">
      <c r="A1021" t="s">
        <v>2442</v>
      </c>
      <c r="B1021" t="s">
        <v>25240</v>
      </c>
      <c r="C1021" t="s">
        <v>20486</v>
      </c>
      <c r="D1021" t="s">
        <v>22</v>
      </c>
      <c r="E1021" t="s">
        <v>2443</v>
      </c>
      <c r="F1021">
        <v>39</v>
      </c>
    </row>
    <row r="1022" spans="1:10" x14ac:dyDescent="0.3">
      <c r="A1022" t="s">
        <v>2444</v>
      </c>
      <c r="B1022" t="s">
        <v>25241</v>
      </c>
      <c r="C1022" t="s">
        <v>20489</v>
      </c>
      <c r="D1022" t="s">
        <v>22</v>
      </c>
      <c r="E1022" t="s">
        <v>2445</v>
      </c>
      <c r="F1022">
        <v>38</v>
      </c>
      <c r="G1022" t="s">
        <v>109</v>
      </c>
      <c r="H1022" t="s">
        <v>9788</v>
      </c>
      <c r="I1022" t="s">
        <v>7506</v>
      </c>
      <c r="J1022" t="s">
        <v>2447</v>
      </c>
    </row>
    <row r="1023" spans="1:10" x14ac:dyDescent="0.3">
      <c r="A1023" t="s">
        <v>2448</v>
      </c>
      <c r="B1023" t="s">
        <v>25242</v>
      </c>
      <c r="C1023" t="s">
        <v>20489</v>
      </c>
      <c r="D1023" t="s">
        <v>22</v>
      </c>
      <c r="E1023" t="s">
        <v>2449</v>
      </c>
      <c r="F1023">
        <v>48</v>
      </c>
      <c r="G1023" t="s">
        <v>109</v>
      </c>
      <c r="H1023" t="s">
        <v>9788</v>
      </c>
      <c r="I1023" t="s">
        <v>17</v>
      </c>
      <c r="J1023" t="s">
        <v>1700</v>
      </c>
    </row>
    <row r="1024" spans="1:10" x14ac:dyDescent="0.3">
      <c r="A1024" t="s">
        <v>2450</v>
      </c>
      <c r="B1024" t="s">
        <v>25243</v>
      </c>
      <c r="C1024" t="s">
        <v>20489</v>
      </c>
      <c r="D1024" t="s">
        <v>22</v>
      </c>
      <c r="E1024" t="s">
        <v>2451</v>
      </c>
      <c r="F1024">
        <v>56</v>
      </c>
      <c r="G1024" t="s">
        <v>109</v>
      </c>
      <c r="H1024" t="s">
        <v>9788</v>
      </c>
      <c r="I1024" t="s">
        <v>12210</v>
      </c>
      <c r="J1024" t="s">
        <v>627</v>
      </c>
    </row>
    <row r="1025" spans="1:10" x14ac:dyDescent="0.3">
      <c r="A1025" t="s">
        <v>2452</v>
      </c>
      <c r="B1025" t="s">
        <v>25244</v>
      </c>
      <c r="C1025" t="s">
        <v>20490</v>
      </c>
      <c r="D1025" t="s">
        <v>22</v>
      </c>
      <c r="E1025" t="s">
        <v>467</v>
      </c>
      <c r="F1025">
        <v>63</v>
      </c>
      <c r="H1025" t="s">
        <v>9785</v>
      </c>
    </row>
    <row r="1026" spans="1:10" x14ac:dyDescent="0.3">
      <c r="A1026" t="s">
        <v>2453</v>
      </c>
      <c r="B1026" t="s">
        <v>25245</v>
      </c>
      <c r="C1026" t="s">
        <v>20490</v>
      </c>
      <c r="D1026" t="s">
        <v>22</v>
      </c>
      <c r="E1026" t="s">
        <v>2454</v>
      </c>
      <c r="F1026">
        <v>58</v>
      </c>
      <c r="G1026" t="s">
        <v>31</v>
      </c>
      <c r="H1026" t="s">
        <v>31</v>
      </c>
    </row>
    <row r="1027" spans="1:10" x14ac:dyDescent="0.3">
      <c r="A1027" t="s">
        <v>2456</v>
      </c>
      <c r="B1027" t="s">
        <v>25246</v>
      </c>
      <c r="C1027" t="s">
        <v>20488</v>
      </c>
      <c r="D1027" t="s">
        <v>22</v>
      </c>
      <c r="E1027" t="s">
        <v>1609</v>
      </c>
      <c r="F1027">
        <v>56</v>
      </c>
      <c r="G1027" t="s">
        <v>109</v>
      </c>
      <c r="H1027" t="s">
        <v>9788</v>
      </c>
      <c r="I1027" t="s">
        <v>2082</v>
      </c>
      <c r="J1027" t="s">
        <v>2083</v>
      </c>
    </row>
    <row r="1028" spans="1:10" x14ac:dyDescent="0.3">
      <c r="A1028" t="s">
        <v>2457</v>
      </c>
      <c r="B1028" t="s">
        <v>25247</v>
      </c>
      <c r="C1028" t="s">
        <v>20488</v>
      </c>
      <c r="D1028" t="s">
        <v>11</v>
      </c>
      <c r="E1028" t="s">
        <v>2458</v>
      </c>
      <c r="F1028">
        <v>58</v>
      </c>
      <c r="G1028" t="s">
        <v>109</v>
      </c>
      <c r="H1028" t="s">
        <v>9788</v>
      </c>
    </row>
    <row r="1029" spans="1:10" x14ac:dyDescent="0.3">
      <c r="A1029" t="s">
        <v>2459</v>
      </c>
      <c r="B1029" t="s">
        <v>25248</v>
      </c>
      <c r="C1029" t="s">
        <v>20488</v>
      </c>
      <c r="D1029" t="s">
        <v>22</v>
      </c>
      <c r="E1029" t="s">
        <v>2460</v>
      </c>
      <c r="F1029">
        <v>57</v>
      </c>
      <c r="G1029" t="s">
        <v>109</v>
      </c>
      <c r="H1029" t="s">
        <v>9788</v>
      </c>
    </row>
    <row r="1030" spans="1:10" x14ac:dyDescent="0.3">
      <c r="A1030" t="s">
        <v>2461</v>
      </c>
      <c r="B1030" t="s">
        <v>25249</v>
      </c>
      <c r="C1030" t="s">
        <v>20486</v>
      </c>
      <c r="D1030" t="s">
        <v>11</v>
      </c>
      <c r="E1030" t="s">
        <v>2462</v>
      </c>
      <c r="F1030">
        <v>43</v>
      </c>
      <c r="G1030" t="s">
        <v>1047</v>
      </c>
      <c r="H1030" t="s">
        <v>9788</v>
      </c>
      <c r="J1030" t="s">
        <v>2463</v>
      </c>
    </row>
    <row r="1031" spans="1:10" x14ac:dyDescent="0.3">
      <c r="A1031" t="s">
        <v>2464</v>
      </c>
      <c r="B1031" t="s">
        <v>25250</v>
      </c>
      <c r="C1031" t="s">
        <v>20490</v>
      </c>
      <c r="D1031" t="s">
        <v>11</v>
      </c>
      <c r="E1031" t="s">
        <v>2465</v>
      </c>
      <c r="F1031">
        <v>47</v>
      </c>
      <c r="G1031" t="s">
        <v>109</v>
      </c>
      <c r="H1031" t="s">
        <v>9788</v>
      </c>
      <c r="J1031" t="s">
        <v>2466</v>
      </c>
    </row>
    <row r="1032" spans="1:10" x14ac:dyDescent="0.3">
      <c r="A1032" t="s">
        <v>2468</v>
      </c>
      <c r="B1032" t="s">
        <v>25251</v>
      </c>
      <c r="C1032" t="s">
        <v>20486</v>
      </c>
      <c r="D1032" t="s">
        <v>22</v>
      </c>
      <c r="E1032" t="s">
        <v>2469</v>
      </c>
      <c r="F1032">
        <v>57</v>
      </c>
      <c r="G1032" t="s">
        <v>46</v>
      </c>
      <c r="H1032" t="s">
        <v>46</v>
      </c>
      <c r="I1032" t="s">
        <v>228</v>
      </c>
      <c r="J1032" t="s">
        <v>2216</v>
      </c>
    </row>
    <row r="1033" spans="1:10" x14ac:dyDescent="0.3">
      <c r="A1033" t="s">
        <v>2470</v>
      </c>
      <c r="B1033" t="s">
        <v>25252</v>
      </c>
      <c r="C1033" t="s">
        <v>20488</v>
      </c>
      <c r="D1033" t="s">
        <v>22</v>
      </c>
      <c r="E1033" t="s">
        <v>2471</v>
      </c>
      <c r="F1033">
        <v>58</v>
      </c>
      <c r="G1033" t="s">
        <v>31</v>
      </c>
      <c r="H1033" t="s">
        <v>31</v>
      </c>
      <c r="I1033" t="s">
        <v>33</v>
      </c>
    </row>
    <row r="1034" spans="1:10" x14ac:dyDescent="0.3">
      <c r="A1034" t="s">
        <v>2472</v>
      </c>
      <c r="B1034" t="s">
        <v>25253</v>
      </c>
      <c r="C1034" t="s">
        <v>20486</v>
      </c>
      <c r="D1034" t="s">
        <v>11</v>
      </c>
      <c r="E1034" t="s">
        <v>2473</v>
      </c>
      <c r="F1034">
        <v>47</v>
      </c>
      <c r="G1034" t="s">
        <v>109</v>
      </c>
      <c r="H1034" t="s">
        <v>9788</v>
      </c>
      <c r="J1034" t="s">
        <v>2474</v>
      </c>
    </row>
    <row r="1035" spans="1:10" x14ac:dyDescent="0.3">
      <c r="A1035" t="s">
        <v>2475</v>
      </c>
      <c r="B1035" t="s">
        <v>25254</v>
      </c>
      <c r="C1035" t="s">
        <v>20486</v>
      </c>
      <c r="D1035" t="s">
        <v>11</v>
      </c>
      <c r="E1035" t="s">
        <v>2476</v>
      </c>
      <c r="F1035">
        <v>51</v>
      </c>
      <c r="G1035" t="s">
        <v>133</v>
      </c>
      <c r="H1035" t="s">
        <v>9789</v>
      </c>
      <c r="I1035" t="s">
        <v>2477</v>
      </c>
      <c r="J1035" t="s">
        <v>2478</v>
      </c>
    </row>
    <row r="1036" spans="1:10" x14ac:dyDescent="0.3">
      <c r="A1036" t="s">
        <v>2479</v>
      </c>
      <c r="B1036" t="s">
        <v>25255</v>
      </c>
      <c r="C1036" t="s">
        <v>20486</v>
      </c>
      <c r="D1036" t="s">
        <v>11</v>
      </c>
      <c r="E1036" t="s">
        <v>2480</v>
      </c>
      <c r="F1036">
        <v>37</v>
      </c>
      <c r="G1036" t="s">
        <v>133</v>
      </c>
      <c r="H1036" t="s">
        <v>9789</v>
      </c>
      <c r="I1036" t="s">
        <v>2477</v>
      </c>
      <c r="J1036" t="s">
        <v>2481</v>
      </c>
    </row>
    <row r="1037" spans="1:10" x14ac:dyDescent="0.3">
      <c r="A1037" t="s">
        <v>2482</v>
      </c>
      <c r="B1037" t="s">
        <v>25256</v>
      </c>
      <c r="C1037" t="s">
        <v>20488</v>
      </c>
      <c r="D1037" t="s">
        <v>22</v>
      </c>
      <c r="E1037" t="s">
        <v>2483</v>
      </c>
      <c r="F1037">
        <v>70</v>
      </c>
      <c r="G1037" t="s">
        <v>31</v>
      </c>
      <c r="H1037" t="s">
        <v>31</v>
      </c>
      <c r="I1037" t="s">
        <v>33</v>
      </c>
    </row>
    <row r="1038" spans="1:10" x14ac:dyDescent="0.3">
      <c r="A1038" t="s">
        <v>2484</v>
      </c>
      <c r="B1038" t="s">
        <v>25257</v>
      </c>
      <c r="C1038" t="s">
        <v>20488</v>
      </c>
      <c r="D1038" t="s">
        <v>22</v>
      </c>
      <c r="E1038" t="s">
        <v>2485</v>
      </c>
      <c r="F1038">
        <v>60</v>
      </c>
      <c r="G1038" t="s">
        <v>31</v>
      </c>
      <c r="H1038" t="s">
        <v>31</v>
      </c>
      <c r="I1038" t="s">
        <v>33</v>
      </c>
    </row>
    <row r="1039" spans="1:10" x14ac:dyDescent="0.3">
      <c r="A1039" t="s">
        <v>2486</v>
      </c>
      <c r="B1039" t="s">
        <v>25258</v>
      </c>
      <c r="C1039" t="s">
        <v>20486</v>
      </c>
      <c r="D1039" t="s">
        <v>22</v>
      </c>
      <c r="E1039" t="s">
        <v>545</v>
      </c>
      <c r="F1039">
        <v>46</v>
      </c>
      <c r="G1039" t="s">
        <v>46</v>
      </c>
      <c r="H1039" t="s">
        <v>46</v>
      </c>
      <c r="I1039" t="s">
        <v>2487</v>
      </c>
      <c r="J1039" t="s">
        <v>2487</v>
      </c>
    </row>
    <row r="1040" spans="1:10" x14ac:dyDescent="0.3">
      <c r="A1040" t="s">
        <v>2488</v>
      </c>
      <c r="B1040" t="s">
        <v>25259</v>
      </c>
      <c r="C1040" t="s">
        <v>20486</v>
      </c>
      <c r="D1040" t="s">
        <v>11</v>
      </c>
      <c r="E1040" t="s">
        <v>96</v>
      </c>
      <c r="F1040">
        <v>60</v>
      </c>
      <c r="G1040" t="s">
        <v>13</v>
      </c>
      <c r="H1040" t="s">
        <v>13</v>
      </c>
      <c r="I1040" t="s">
        <v>1248</v>
      </c>
      <c r="J1040" t="s">
        <v>496</v>
      </c>
    </row>
    <row r="1041" spans="1:10" x14ac:dyDescent="0.3">
      <c r="A1041" t="s">
        <v>2489</v>
      </c>
      <c r="B1041" t="s">
        <v>25260</v>
      </c>
      <c r="C1041" t="s">
        <v>20488</v>
      </c>
      <c r="D1041" t="s">
        <v>22</v>
      </c>
      <c r="E1041" t="s">
        <v>2490</v>
      </c>
      <c r="F1041">
        <v>42</v>
      </c>
      <c r="G1041" t="s">
        <v>109</v>
      </c>
      <c r="H1041" t="s">
        <v>9788</v>
      </c>
    </row>
    <row r="1042" spans="1:10" x14ac:dyDescent="0.3">
      <c r="A1042" t="s">
        <v>2491</v>
      </c>
      <c r="B1042" t="s">
        <v>25261</v>
      </c>
      <c r="C1042" t="s">
        <v>20486</v>
      </c>
      <c r="D1042" t="s">
        <v>11</v>
      </c>
      <c r="E1042" t="s">
        <v>2492</v>
      </c>
      <c r="F1042">
        <v>50</v>
      </c>
      <c r="G1042" t="s">
        <v>46</v>
      </c>
      <c r="H1042" t="s">
        <v>46</v>
      </c>
      <c r="I1042" t="s">
        <v>8561</v>
      </c>
      <c r="J1042" t="s">
        <v>12211</v>
      </c>
    </row>
    <row r="1043" spans="1:10" x14ac:dyDescent="0.3">
      <c r="A1043" t="s">
        <v>2493</v>
      </c>
      <c r="B1043" t="s">
        <v>25262</v>
      </c>
      <c r="C1043" t="s">
        <v>20486</v>
      </c>
      <c r="D1043" t="s">
        <v>11</v>
      </c>
      <c r="E1043" t="s">
        <v>2494</v>
      </c>
      <c r="F1043">
        <v>41</v>
      </c>
    </row>
    <row r="1044" spans="1:10" x14ac:dyDescent="0.3">
      <c r="A1044" t="s">
        <v>2495</v>
      </c>
      <c r="B1044" t="s">
        <v>25263</v>
      </c>
      <c r="C1044" t="s">
        <v>20488</v>
      </c>
      <c r="D1044" t="s">
        <v>11</v>
      </c>
      <c r="E1044" t="s">
        <v>2496</v>
      </c>
      <c r="F1044">
        <v>62</v>
      </c>
      <c r="G1044" t="s">
        <v>109</v>
      </c>
      <c r="H1044" t="s">
        <v>9788</v>
      </c>
    </row>
    <row r="1045" spans="1:10" x14ac:dyDescent="0.3">
      <c r="A1045" t="s">
        <v>2497</v>
      </c>
      <c r="B1045" t="s">
        <v>25264</v>
      </c>
      <c r="C1045" t="s">
        <v>20488</v>
      </c>
      <c r="D1045" t="s">
        <v>22</v>
      </c>
      <c r="E1045" t="s">
        <v>2498</v>
      </c>
      <c r="F1045">
        <v>59</v>
      </c>
      <c r="G1045" t="s">
        <v>31</v>
      </c>
      <c r="H1045" t="s">
        <v>31</v>
      </c>
      <c r="I1045" t="s">
        <v>33</v>
      </c>
    </row>
    <row r="1046" spans="1:10" x14ac:dyDescent="0.3">
      <c r="A1046" t="s">
        <v>2499</v>
      </c>
      <c r="B1046" t="s">
        <v>25265</v>
      </c>
      <c r="C1046" t="s">
        <v>20488</v>
      </c>
      <c r="D1046" t="s">
        <v>22</v>
      </c>
      <c r="E1046" t="s">
        <v>2500</v>
      </c>
      <c r="F1046">
        <v>61</v>
      </c>
      <c r="G1046" t="s">
        <v>31</v>
      </c>
      <c r="H1046" t="s">
        <v>31</v>
      </c>
      <c r="I1046" t="s">
        <v>33</v>
      </c>
    </row>
    <row r="1047" spans="1:10" x14ac:dyDescent="0.3">
      <c r="A1047" t="s">
        <v>2501</v>
      </c>
      <c r="B1047" t="s">
        <v>25266</v>
      </c>
      <c r="C1047" t="s">
        <v>20491</v>
      </c>
      <c r="D1047" t="s">
        <v>22</v>
      </c>
      <c r="E1047" t="s">
        <v>2502</v>
      </c>
      <c r="F1047">
        <v>69</v>
      </c>
      <c r="G1047" t="s">
        <v>46</v>
      </c>
      <c r="H1047" t="s">
        <v>46</v>
      </c>
      <c r="I1047" t="s">
        <v>2503</v>
      </c>
      <c r="J1047" t="s">
        <v>2504</v>
      </c>
    </row>
    <row r="1048" spans="1:10" x14ac:dyDescent="0.3">
      <c r="A1048" t="s">
        <v>2505</v>
      </c>
      <c r="B1048" t="s">
        <v>25267</v>
      </c>
      <c r="C1048" t="s">
        <v>20491</v>
      </c>
      <c r="D1048" t="s">
        <v>22</v>
      </c>
      <c r="E1048" t="s">
        <v>2506</v>
      </c>
      <c r="F1048">
        <v>72</v>
      </c>
      <c r="G1048" t="s">
        <v>31</v>
      </c>
      <c r="H1048" t="s">
        <v>31</v>
      </c>
    </row>
    <row r="1049" spans="1:10" x14ac:dyDescent="0.3">
      <c r="A1049" t="s">
        <v>2507</v>
      </c>
      <c r="B1049" t="s">
        <v>25268</v>
      </c>
      <c r="C1049" t="s">
        <v>20490</v>
      </c>
      <c r="D1049" t="s">
        <v>11</v>
      </c>
      <c r="E1049" t="s">
        <v>2508</v>
      </c>
      <c r="F1049">
        <v>53</v>
      </c>
      <c r="G1049" t="s">
        <v>370</v>
      </c>
      <c r="H1049" t="s">
        <v>46</v>
      </c>
      <c r="J1049" t="s">
        <v>2509</v>
      </c>
    </row>
    <row r="1050" spans="1:10" x14ac:dyDescent="0.3">
      <c r="A1050" t="s">
        <v>2510</v>
      </c>
      <c r="B1050" t="s">
        <v>25269</v>
      </c>
      <c r="C1050" t="s">
        <v>20486</v>
      </c>
      <c r="D1050" t="s">
        <v>22</v>
      </c>
      <c r="E1050" t="s">
        <v>2511</v>
      </c>
      <c r="F1050">
        <v>60</v>
      </c>
      <c r="G1050" t="s">
        <v>31</v>
      </c>
      <c r="H1050" t="s">
        <v>46</v>
      </c>
      <c r="I1050" t="s">
        <v>18810</v>
      </c>
      <c r="J1050" t="s">
        <v>2512</v>
      </c>
    </row>
    <row r="1051" spans="1:10" x14ac:dyDescent="0.3">
      <c r="A1051" t="s">
        <v>2513</v>
      </c>
      <c r="B1051" t="s">
        <v>25270</v>
      </c>
      <c r="C1051" t="s">
        <v>20490</v>
      </c>
      <c r="D1051" t="s">
        <v>22</v>
      </c>
      <c r="E1051" t="s">
        <v>2514</v>
      </c>
      <c r="F1051">
        <v>47</v>
      </c>
      <c r="G1051" t="s">
        <v>370</v>
      </c>
      <c r="H1051" t="s">
        <v>46</v>
      </c>
      <c r="I1051" t="s">
        <v>2515</v>
      </c>
      <c r="J1051" t="s">
        <v>14297</v>
      </c>
    </row>
    <row r="1052" spans="1:10" x14ac:dyDescent="0.3">
      <c r="A1052" t="s">
        <v>2516</v>
      </c>
      <c r="B1052" t="s">
        <v>25271</v>
      </c>
      <c r="C1052" t="s">
        <v>20488</v>
      </c>
      <c r="D1052" t="s">
        <v>22</v>
      </c>
      <c r="E1052" t="s">
        <v>2517</v>
      </c>
      <c r="F1052">
        <v>50</v>
      </c>
      <c r="G1052" t="s">
        <v>46</v>
      </c>
      <c r="H1052" t="s">
        <v>46</v>
      </c>
      <c r="I1052" t="s">
        <v>228</v>
      </c>
    </row>
    <row r="1053" spans="1:10" x14ac:dyDescent="0.3">
      <c r="A1053" t="s">
        <v>2518</v>
      </c>
      <c r="B1053" t="s">
        <v>25272</v>
      </c>
      <c r="C1053" t="s">
        <v>20486</v>
      </c>
      <c r="D1053" t="s">
        <v>11</v>
      </c>
      <c r="E1053" t="s">
        <v>2519</v>
      </c>
      <c r="F1053">
        <v>49</v>
      </c>
      <c r="G1053" t="s">
        <v>46</v>
      </c>
      <c r="H1053" t="s">
        <v>46</v>
      </c>
      <c r="I1053" t="s">
        <v>2520</v>
      </c>
      <c r="J1053" t="s">
        <v>2521</v>
      </c>
    </row>
    <row r="1054" spans="1:10" x14ac:dyDescent="0.3">
      <c r="A1054" t="s">
        <v>2522</v>
      </c>
      <c r="B1054" t="s">
        <v>25273</v>
      </c>
      <c r="C1054" t="s">
        <v>20486</v>
      </c>
      <c r="D1054" t="s">
        <v>22</v>
      </c>
      <c r="E1054" t="s">
        <v>2523</v>
      </c>
      <c r="F1054">
        <v>50</v>
      </c>
      <c r="G1054" t="s">
        <v>31</v>
      </c>
      <c r="H1054" t="s">
        <v>9788</v>
      </c>
      <c r="I1054" t="s">
        <v>1047</v>
      </c>
      <c r="J1054" t="s">
        <v>14298</v>
      </c>
    </row>
    <row r="1055" spans="1:10" x14ac:dyDescent="0.3">
      <c r="A1055" t="s">
        <v>2524</v>
      </c>
      <c r="B1055" t="s">
        <v>25274</v>
      </c>
      <c r="C1055" t="s">
        <v>20487</v>
      </c>
      <c r="D1055" t="s">
        <v>11</v>
      </c>
      <c r="E1055" t="s">
        <v>1941</v>
      </c>
      <c r="F1055">
        <v>46</v>
      </c>
      <c r="G1055" t="s">
        <v>231</v>
      </c>
      <c r="H1055" t="s">
        <v>9788</v>
      </c>
      <c r="J1055" t="s">
        <v>2525</v>
      </c>
    </row>
    <row r="1056" spans="1:10" x14ac:dyDescent="0.3">
      <c r="A1056" t="s">
        <v>2527</v>
      </c>
      <c r="B1056" t="s">
        <v>25275</v>
      </c>
      <c r="C1056" t="s">
        <v>20490</v>
      </c>
      <c r="D1056" t="s">
        <v>22</v>
      </c>
      <c r="E1056" t="s">
        <v>2528</v>
      </c>
      <c r="F1056">
        <v>88</v>
      </c>
      <c r="G1056" t="s">
        <v>13</v>
      </c>
      <c r="H1056" t="s">
        <v>13</v>
      </c>
      <c r="I1056" t="s">
        <v>441</v>
      </c>
    </row>
    <row r="1057" spans="1:10" x14ac:dyDescent="0.3">
      <c r="A1057" t="s">
        <v>2529</v>
      </c>
      <c r="B1057" t="s">
        <v>25276</v>
      </c>
      <c r="C1057" t="s">
        <v>20490</v>
      </c>
      <c r="D1057" t="s">
        <v>22</v>
      </c>
      <c r="E1057" t="s">
        <v>2530</v>
      </c>
      <c r="F1057">
        <v>67</v>
      </c>
      <c r="G1057" t="s">
        <v>109</v>
      </c>
      <c r="H1057" t="s">
        <v>9788</v>
      </c>
      <c r="J1057" t="s">
        <v>2531</v>
      </c>
    </row>
    <row r="1058" spans="1:10" x14ac:dyDescent="0.3">
      <c r="A1058" t="s">
        <v>12212</v>
      </c>
      <c r="B1058" t="s">
        <v>25277</v>
      </c>
      <c r="C1058" t="s">
        <v>20489</v>
      </c>
      <c r="D1058" t="s">
        <v>11</v>
      </c>
      <c r="E1058" t="s">
        <v>9737</v>
      </c>
      <c r="F1058">
        <v>19</v>
      </c>
      <c r="G1058" t="s">
        <v>337</v>
      </c>
      <c r="H1058" t="s">
        <v>337</v>
      </c>
    </row>
    <row r="1059" spans="1:10" x14ac:dyDescent="0.3">
      <c r="A1059" t="s">
        <v>2532</v>
      </c>
      <c r="B1059" t="s">
        <v>25278</v>
      </c>
      <c r="C1059" t="s">
        <v>20487</v>
      </c>
      <c r="D1059" t="s">
        <v>22</v>
      </c>
      <c r="E1059" t="s">
        <v>2533</v>
      </c>
      <c r="F1059">
        <v>74</v>
      </c>
      <c r="G1059" t="s">
        <v>13</v>
      </c>
      <c r="H1059" t="s">
        <v>13</v>
      </c>
      <c r="I1059" t="s">
        <v>441</v>
      </c>
      <c r="J1059" t="s">
        <v>2534</v>
      </c>
    </row>
    <row r="1060" spans="1:10" x14ac:dyDescent="0.3">
      <c r="A1060" t="s">
        <v>2535</v>
      </c>
      <c r="B1060" t="s">
        <v>25279</v>
      </c>
      <c r="C1060" t="s">
        <v>20486</v>
      </c>
      <c r="D1060" t="s">
        <v>11</v>
      </c>
      <c r="E1060" t="s">
        <v>2536</v>
      </c>
      <c r="F1060">
        <v>64</v>
      </c>
    </row>
    <row r="1061" spans="1:10" x14ac:dyDescent="0.3">
      <c r="A1061" t="s">
        <v>2537</v>
      </c>
      <c r="B1061" t="s">
        <v>25280</v>
      </c>
      <c r="C1061" t="s">
        <v>20488</v>
      </c>
      <c r="D1061" t="s">
        <v>22</v>
      </c>
      <c r="E1061" t="s">
        <v>2538</v>
      </c>
      <c r="F1061">
        <v>40</v>
      </c>
      <c r="G1061" t="s">
        <v>46</v>
      </c>
      <c r="H1061" t="s">
        <v>46</v>
      </c>
      <c r="I1061" t="s">
        <v>2216</v>
      </c>
      <c r="J1061" t="s">
        <v>2539</v>
      </c>
    </row>
    <row r="1062" spans="1:10" x14ac:dyDescent="0.3">
      <c r="A1062" t="s">
        <v>2540</v>
      </c>
      <c r="B1062" t="s">
        <v>25281</v>
      </c>
      <c r="C1062" t="s">
        <v>20486</v>
      </c>
      <c r="D1062" t="s">
        <v>22</v>
      </c>
      <c r="E1062" t="s">
        <v>2541</v>
      </c>
      <c r="F1062">
        <v>47</v>
      </c>
      <c r="G1062" t="s">
        <v>46</v>
      </c>
      <c r="H1062" t="s">
        <v>46</v>
      </c>
      <c r="J1062" t="s">
        <v>14299</v>
      </c>
    </row>
    <row r="1063" spans="1:10" x14ac:dyDescent="0.3">
      <c r="A1063" t="s">
        <v>2542</v>
      </c>
      <c r="B1063" t="s">
        <v>25282</v>
      </c>
      <c r="C1063" t="s">
        <v>20486</v>
      </c>
      <c r="D1063" t="s">
        <v>22</v>
      </c>
      <c r="E1063" t="s">
        <v>2543</v>
      </c>
      <c r="F1063">
        <v>56</v>
      </c>
      <c r="G1063" t="s">
        <v>46</v>
      </c>
      <c r="H1063" t="s">
        <v>46</v>
      </c>
      <c r="I1063" t="s">
        <v>1968</v>
      </c>
      <c r="J1063" t="s">
        <v>1969</v>
      </c>
    </row>
    <row r="1064" spans="1:10" x14ac:dyDescent="0.3">
      <c r="A1064" t="s">
        <v>2544</v>
      </c>
      <c r="B1064" t="s">
        <v>25283</v>
      </c>
      <c r="C1064" t="s">
        <v>20486</v>
      </c>
      <c r="D1064" t="s">
        <v>11</v>
      </c>
      <c r="E1064" t="s">
        <v>2545</v>
      </c>
      <c r="F1064">
        <v>56</v>
      </c>
    </row>
    <row r="1065" spans="1:10" x14ac:dyDescent="0.3">
      <c r="A1065" t="s">
        <v>2546</v>
      </c>
      <c r="B1065" t="s">
        <v>25284</v>
      </c>
      <c r="C1065" t="s">
        <v>20486</v>
      </c>
      <c r="D1065" t="s">
        <v>22</v>
      </c>
      <c r="E1065" t="s">
        <v>2547</v>
      </c>
      <c r="F1065">
        <v>76</v>
      </c>
      <c r="G1065" t="s">
        <v>109</v>
      </c>
      <c r="H1065" t="s">
        <v>9788</v>
      </c>
      <c r="I1065" t="s">
        <v>1074</v>
      </c>
      <c r="J1065" t="s">
        <v>2548</v>
      </c>
    </row>
    <row r="1066" spans="1:10" x14ac:dyDescent="0.3">
      <c r="A1066" t="s">
        <v>12213</v>
      </c>
      <c r="B1066" t="s">
        <v>25285</v>
      </c>
      <c r="C1066" t="s">
        <v>20488</v>
      </c>
      <c r="D1066" t="s">
        <v>22</v>
      </c>
      <c r="E1066" t="s">
        <v>12214</v>
      </c>
      <c r="F1066">
        <v>45</v>
      </c>
      <c r="G1066" t="s">
        <v>109</v>
      </c>
      <c r="H1066" t="s">
        <v>9788</v>
      </c>
      <c r="I1066" t="s">
        <v>660</v>
      </c>
      <c r="J1066" t="s">
        <v>1125</v>
      </c>
    </row>
    <row r="1067" spans="1:10" x14ac:dyDescent="0.3">
      <c r="A1067" t="s">
        <v>2549</v>
      </c>
      <c r="B1067" t="s">
        <v>25286</v>
      </c>
      <c r="C1067" t="s">
        <v>20488</v>
      </c>
      <c r="D1067" t="s">
        <v>22</v>
      </c>
      <c r="E1067" t="s">
        <v>1706</v>
      </c>
      <c r="F1067">
        <v>63</v>
      </c>
      <c r="G1067" t="s">
        <v>31</v>
      </c>
      <c r="H1067" t="s">
        <v>31</v>
      </c>
      <c r="I1067" t="s">
        <v>33</v>
      </c>
    </row>
    <row r="1068" spans="1:10" x14ac:dyDescent="0.3">
      <c r="A1068" t="s">
        <v>2553</v>
      </c>
      <c r="B1068" t="s">
        <v>25287</v>
      </c>
      <c r="C1068" t="s">
        <v>20490</v>
      </c>
      <c r="D1068" t="s">
        <v>22</v>
      </c>
      <c r="E1068" t="s">
        <v>2554</v>
      </c>
      <c r="F1068">
        <v>46</v>
      </c>
      <c r="G1068" t="s">
        <v>46</v>
      </c>
      <c r="H1068" t="s">
        <v>46</v>
      </c>
      <c r="I1068" t="s">
        <v>2555</v>
      </c>
      <c r="J1068" t="s">
        <v>2556</v>
      </c>
    </row>
    <row r="1069" spans="1:10" x14ac:dyDescent="0.3">
      <c r="A1069" t="s">
        <v>2557</v>
      </c>
      <c r="B1069" t="s">
        <v>25288</v>
      </c>
      <c r="C1069" t="s">
        <v>20486</v>
      </c>
      <c r="D1069" t="s">
        <v>11</v>
      </c>
      <c r="E1069" t="s">
        <v>2558</v>
      </c>
      <c r="F1069">
        <v>30</v>
      </c>
      <c r="G1069" t="s">
        <v>46</v>
      </c>
      <c r="H1069" t="s">
        <v>46</v>
      </c>
      <c r="I1069" t="s">
        <v>2559</v>
      </c>
      <c r="J1069" t="s">
        <v>2560</v>
      </c>
    </row>
    <row r="1070" spans="1:10" x14ac:dyDescent="0.3">
      <c r="A1070" t="s">
        <v>2561</v>
      </c>
      <c r="B1070" t="s">
        <v>25289</v>
      </c>
      <c r="C1070" t="s">
        <v>20486</v>
      </c>
      <c r="D1070" t="s">
        <v>22</v>
      </c>
      <c r="E1070" t="s">
        <v>2562</v>
      </c>
      <c r="F1070">
        <v>46</v>
      </c>
      <c r="G1070" t="s">
        <v>46</v>
      </c>
      <c r="H1070" t="s">
        <v>46</v>
      </c>
      <c r="I1070" t="s">
        <v>228</v>
      </c>
      <c r="J1070" t="s">
        <v>2563</v>
      </c>
    </row>
    <row r="1071" spans="1:10" x14ac:dyDescent="0.3">
      <c r="A1071" t="s">
        <v>2564</v>
      </c>
      <c r="B1071" t="s">
        <v>25290</v>
      </c>
      <c r="C1071" t="s">
        <v>20491</v>
      </c>
      <c r="D1071" t="s">
        <v>22</v>
      </c>
      <c r="E1071" t="s">
        <v>2565</v>
      </c>
      <c r="F1071">
        <v>58</v>
      </c>
      <c r="G1071" t="s">
        <v>31</v>
      </c>
      <c r="H1071" t="s">
        <v>31</v>
      </c>
    </row>
    <row r="1072" spans="1:10" x14ac:dyDescent="0.3">
      <c r="A1072" t="s">
        <v>2566</v>
      </c>
      <c r="B1072" t="s">
        <v>25291</v>
      </c>
      <c r="C1072" t="s">
        <v>20489</v>
      </c>
      <c r="D1072" t="s">
        <v>22</v>
      </c>
      <c r="E1072" t="s">
        <v>2567</v>
      </c>
      <c r="F1072">
        <v>44</v>
      </c>
      <c r="G1072" t="s">
        <v>370</v>
      </c>
      <c r="H1072" t="s">
        <v>46</v>
      </c>
      <c r="I1072" t="s">
        <v>228</v>
      </c>
      <c r="J1072" t="s">
        <v>2568</v>
      </c>
    </row>
    <row r="1073" spans="1:10" x14ac:dyDescent="0.3">
      <c r="A1073" t="s">
        <v>2569</v>
      </c>
      <c r="B1073" t="s">
        <v>25292</v>
      </c>
      <c r="C1073" t="s">
        <v>20489</v>
      </c>
      <c r="D1073" t="s">
        <v>22</v>
      </c>
      <c r="E1073" t="s">
        <v>2570</v>
      </c>
      <c r="F1073">
        <v>52</v>
      </c>
      <c r="G1073" t="s">
        <v>16</v>
      </c>
      <c r="H1073" t="s">
        <v>9785</v>
      </c>
      <c r="I1073" t="s">
        <v>17</v>
      </c>
      <c r="J1073" t="s">
        <v>2571</v>
      </c>
    </row>
    <row r="1074" spans="1:10" x14ac:dyDescent="0.3">
      <c r="A1074" t="s">
        <v>2572</v>
      </c>
      <c r="B1074" t="s">
        <v>25293</v>
      </c>
      <c r="C1074" t="s">
        <v>20489</v>
      </c>
      <c r="D1074" t="s">
        <v>11</v>
      </c>
      <c r="E1074" t="s">
        <v>14300</v>
      </c>
      <c r="F1074">
        <v>22</v>
      </c>
      <c r="G1074" t="s">
        <v>109</v>
      </c>
      <c r="H1074" t="s">
        <v>9788</v>
      </c>
    </row>
    <row r="1075" spans="1:10" x14ac:dyDescent="0.3">
      <c r="A1075" t="s">
        <v>2574</v>
      </c>
      <c r="B1075" t="s">
        <v>25294</v>
      </c>
      <c r="C1075" t="s">
        <v>20486</v>
      </c>
      <c r="D1075" t="s">
        <v>22</v>
      </c>
      <c r="E1075" t="s">
        <v>2575</v>
      </c>
      <c r="F1075">
        <v>39</v>
      </c>
      <c r="G1075" t="s">
        <v>16</v>
      </c>
      <c r="H1075" t="s">
        <v>9785</v>
      </c>
      <c r="I1075" t="s">
        <v>17</v>
      </c>
      <c r="J1075" t="s">
        <v>12215</v>
      </c>
    </row>
    <row r="1076" spans="1:10" x14ac:dyDescent="0.3">
      <c r="A1076" t="s">
        <v>2576</v>
      </c>
      <c r="B1076" t="s">
        <v>25295</v>
      </c>
      <c r="C1076" t="s">
        <v>20489</v>
      </c>
      <c r="D1076" t="s">
        <v>22</v>
      </c>
      <c r="E1076" t="s">
        <v>2577</v>
      </c>
      <c r="F1076">
        <v>44</v>
      </c>
      <c r="G1076" t="s">
        <v>1399</v>
      </c>
      <c r="H1076" t="s">
        <v>12065</v>
      </c>
      <c r="I1076" t="s">
        <v>110</v>
      </c>
      <c r="J1076" t="s">
        <v>2578</v>
      </c>
    </row>
    <row r="1077" spans="1:10" x14ac:dyDescent="0.3">
      <c r="A1077" t="s">
        <v>12216</v>
      </c>
      <c r="B1077" t="s">
        <v>25296</v>
      </c>
      <c r="C1077" t="s">
        <v>20486</v>
      </c>
      <c r="D1077" t="s">
        <v>11</v>
      </c>
      <c r="E1077" t="s">
        <v>9736</v>
      </c>
      <c r="F1077">
        <v>21</v>
      </c>
      <c r="H1077" t="s">
        <v>337</v>
      </c>
      <c r="J1077" t="s">
        <v>9735</v>
      </c>
    </row>
    <row r="1078" spans="1:10" x14ac:dyDescent="0.3">
      <c r="A1078" t="s">
        <v>12217</v>
      </c>
      <c r="B1078" t="s">
        <v>25297</v>
      </c>
      <c r="C1078" t="s">
        <v>20486</v>
      </c>
      <c r="D1078" t="s">
        <v>22</v>
      </c>
      <c r="E1078" t="s">
        <v>9734</v>
      </c>
      <c r="F1078">
        <v>22</v>
      </c>
      <c r="H1078" t="s">
        <v>337</v>
      </c>
      <c r="J1078" t="s">
        <v>9733</v>
      </c>
    </row>
    <row r="1079" spans="1:10" x14ac:dyDescent="0.3">
      <c r="A1079" t="s">
        <v>12218</v>
      </c>
      <c r="B1079" t="s">
        <v>25298</v>
      </c>
      <c r="C1079" t="s">
        <v>20486</v>
      </c>
      <c r="D1079" t="s">
        <v>22</v>
      </c>
      <c r="E1079" t="s">
        <v>9732</v>
      </c>
      <c r="F1079">
        <v>19</v>
      </c>
      <c r="H1079" t="s">
        <v>337</v>
      </c>
      <c r="J1079" t="s">
        <v>9731</v>
      </c>
    </row>
    <row r="1080" spans="1:10" x14ac:dyDescent="0.3">
      <c r="A1080" t="s">
        <v>2579</v>
      </c>
      <c r="B1080" t="s">
        <v>25299</v>
      </c>
      <c r="C1080" t="s">
        <v>20486</v>
      </c>
      <c r="D1080" t="s">
        <v>22</v>
      </c>
      <c r="E1080" t="s">
        <v>2580</v>
      </c>
      <c r="F1080">
        <v>50</v>
      </c>
      <c r="G1080" t="s">
        <v>31</v>
      </c>
      <c r="H1080" t="s">
        <v>31</v>
      </c>
      <c r="J1080" t="s">
        <v>149</v>
      </c>
    </row>
    <row r="1081" spans="1:10" x14ac:dyDescent="0.3">
      <c r="A1081" t="s">
        <v>2581</v>
      </c>
      <c r="B1081" t="s">
        <v>25300</v>
      </c>
      <c r="C1081" t="s">
        <v>20489</v>
      </c>
      <c r="D1081" t="s">
        <v>22</v>
      </c>
      <c r="E1081" t="s">
        <v>2582</v>
      </c>
      <c r="F1081">
        <v>41</v>
      </c>
      <c r="G1081" t="s">
        <v>109</v>
      </c>
      <c r="H1081" t="s">
        <v>9788</v>
      </c>
      <c r="I1081" t="s">
        <v>12219</v>
      </c>
      <c r="J1081" t="s">
        <v>627</v>
      </c>
    </row>
    <row r="1082" spans="1:10" x14ac:dyDescent="0.3">
      <c r="A1082" t="s">
        <v>2583</v>
      </c>
      <c r="B1082" t="s">
        <v>25301</v>
      </c>
      <c r="C1082" t="s">
        <v>20488</v>
      </c>
      <c r="D1082" t="s">
        <v>11</v>
      </c>
      <c r="E1082" t="s">
        <v>2584</v>
      </c>
      <c r="F1082">
        <v>53</v>
      </c>
      <c r="G1082" t="s">
        <v>109</v>
      </c>
      <c r="H1082" t="s">
        <v>9788</v>
      </c>
      <c r="I1082" t="s">
        <v>384</v>
      </c>
    </row>
    <row r="1083" spans="1:10" x14ac:dyDescent="0.3">
      <c r="A1083" t="s">
        <v>2585</v>
      </c>
      <c r="B1083" t="s">
        <v>25302</v>
      </c>
      <c r="C1083" t="s">
        <v>20488</v>
      </c>
      <c r="D1083" t="s">
        <v>11</v>
      </c>
      <c r="E1083" t="s">
        <v>263</v>
      </c>
      <c r="F1083">
        <v>51</v>
      </c>
      <c r="G1083" t="s">
        <v>46</v>
      </c>
      <c r="H1083" t="s">
        <v>46</v>
      </c>
    </row>
    <row r="1084" spans="1:10" x14ac:dyDescent="0.3">
      <c r="A1084" t="s">
        <v>2586</v>
      </c>
      <c r="B1084" t="s">
        <v>25303</v>
      </c>
      <c r="C1084" t="s">
        <v>20487</v>
      </c>
      <c r="D1084" t="s">
        <v>22</v>
      </c>
      <c r="E1084" t="s">
        <v>1891</v>
      </c>
      <c r="F1084">
        <v>62</v>
      </c>
    </row>
    <row r="1085" spans="1:10" x14ac:dyDescent="0.3">
      <c r="A1085" t="s">
        <v>2589</v>
      </c>
      <c r="B1085" t="s">
        <v>25304</v>
      </c>
      <c r="C1085" t="s">
        <v>20486</v>
      </c>
      <c r="D1085" t="s">
        <v>22</v>
      </c>
      <c r="E1085" t="s">
        <v>2590</v>
      </c>
      <c r="F1085">
        <v>29</v>
      </c>
      <c r="G1085" t="s">
        <v>109</v>
      </c>
      <c r="H1085" t="s">
        <v>9788</v>
      </c>
      <c r="I1085" t="s">
        <v>900</v>
      </c>
      <c r="J1085" t="s">
        <v>1091</v>
      </c>
    </row>
    <row r="1086" spans="1:10" x14ac:dyDescent="0.3">
      <c r="A1086" t="s">
        <v>2591</v>
      </c>
      <c r="B1086" t="s">
        <v>25305</v>
      </c>
      <c r="C1086" t="s">
        <v>20488</v>
      </c>
      <c r="D1086" t="s">
        <v>11</v>
      </c>
      <c r="E1086" t="s">
        <v>2592</v>
      </c>
      <c r="F1086">
        <v>53</v>
      </c>
      <c r="G1086" t="s">
        <v>201</v>
      </c>
      <c r="H1086" t="s">
        <v>46</v>
      </c>
    </row>
    <row r="1087" spans="1:10" x14ac:dyDescent="0.3">
      <c r="A1087" t="s">
        <v>2593</v>
      </c>
      <c r="B1087" t="s">
        <v>25306</v>
      </c>
      <c r="C1087" t="s">
        <v>20486</v>
      </c>
      <c r="D1087" t="s">
        <v>22</v>
      </c>
      <c r="E1087" t="s">
        <v>2594</v>
      </c>
      <c r="F1087">
        <v>52</v>
      </c>
      <c r="G1087" t="s">
        <v>31</v>
      </c>
      <c r="H1087" t="s">
        <v>31</v>
      </c>
    </row>
    <row r="1088" spans="1:10" x14ac:dyDescent="0.3">
      <c r="A1088" t="s">
        <v>2595</v>
      </c>
      <c r="B1088" t="s">
        <v>25307</v>
      </c>
      <c r="C1088" t="s">
        <v>20490</v>
      </c>
      <c r="D1088" t="s">
        <v>22</v>
      </c>
      <c r="E1088" t="s">
        <v>2596</v>
      </c>
      <c r="F1088">
        <v>52</v>
      </c>
      <c r="G1088" t="s">
        <v>370</v>
      </c>
      <c r="H1088" t="s">
        <v>46</v>
      </c>
      <c r="J1088" t="s">
        <v>1968</v>
      </c>
    </row>
    <row r="1089" spans="1:10" x14ac:dyDescent="0.3">
      <c r="A1089" t="s">
        <v>2597</v>
      </c>
      <c r="B1089" t="s">
        <v>25308</v>
      </c>
      <c r="C1089" t="s">
        <v>20491</v>
      </c>
      <c r="D1089" t="s">
        <v>22</v>
      </c>
      <c r="E1089" t="s">
        <v>2598</v>
      </c>
      <c r="F1089">
        <v>70</v>
      </c>
      <c r="G1089" t="s">
        <v>13</v>
      </c>
      <c r="H1089" t="s">
        <v>13</v>
      </c>
      <c r="J1089" t="s">
        <v>2599</v>
      </c>
    </row>
    <row r="1090" spans="1:10" x14ac:dyDescent="0.3">
      <c r="A1090" t="s">
        <v>2600</v>
      </c>
      <c r="B1090" t="s">
        <v>25309</v>
      </c>
      <c r="C1090" t="s">
        <v>20486</v>
      </c>
      <c r="D1090" t="s">
        <v>22</v>
      </c>
      <c r="E1090" t="s">
        <v>2601</v>
      </c>
      <c r="F1090">
        <v>81</v>
      </c>
      <c r="G1090" t="s">
        <v>31</v>
      </c>
      <c r="H1090" t="s">
        <v>31</v>
      </c>
    </row>
    <row r="1091" spans="1:10" x14ac:dyDescent="0.3">
      <c r="A1091" t="s">
        <v>12220</v>
      </c>
      <c r="B1091" t="s">
        <v>25310</v>
      </c>
      <c r="C1091" t="s">
        <v>20486</v>
      </c>
      <c r="D1091" t="s">
        <v>22</v>
      </c>
      <c r="E1091" t="s">
        <v>9730</v>
      </c>
      <c r="F1091">
        <v>21</v>
      </c>
    </row>
    <row r="1092" spans="1:10" x14ac:dyDescent="0.3">
      <c r="A1092" t="s">
        <v>2602</v>
      </c>
      <c r="B1092" t="s">
        <v>25311</v>
      </c>
      <c r="C1092" t="s">
        <v>20490</v>
      </c>
      <c r="D1092" t="s">
        <v>22</v>
      </c>
      <c r="E1092" t="s">
        <v>2603</v>
      </c>
      <c r="F1092">
        <v>56</v>
      </c>
      <c r="G1092" t="s">
        <v>109</v>
      </c>
      <c r="H1092" t="s">
        <v>9788</v>
      </c>
    </row>
    <row r="1093" spans="1:10" x14ac:dyDescent="0.3">
      <c r="A1093" t="s">
        <v>2604</v>
      </c>
      <c r="B1093" t="s">
        <v>25312</v>
      </c>
      <c r="C1093" t="s">
        <v>20488</v>
      </c>
      <c r="D1093" t="s">
        <v>22</v>
      </c>
      <c r="E1093" t="s">
        <v>2605</v>
      </c>
      <c r="F1093">
        <v>37</v>
      </c>
      <c r="G1093" t="s">
        <v>109</v>
      </c>
      <c r="H1093" t="s">
        <v>9788</v>
      </c>
      <c r="J1093" t="s">
        <v>2606</v>
      </c>
    </row>
    <row r="1094" spans="1:10" x14ac:dyDescent="0.3">
      <c r="A1094" t="s">
        <v>12221</v>
      </c>
      <c r="B1094" t="s">
        <v>25313</v>
      </c>
      <c r="C1094" t="s">
        <v>20488</v>
      </c>
      <c r="D1094" t="s">
        <v>22</v>
      </c>
      <c r="E1094" t="s">
        <v>9729</v>
      </c>
      <c r="F1094">
        <v>17</v>
      </c>
      <c r="G1094" t="s">
        <v>337</v>
      </c>
      <c r="H1094" t="s">
        <v>337</v>
      </c>
    </row>
    <row r="1095" spans="1:10" x14ac:dyDescent="0.3">
      <c r="A1095" t="s">
        <v>2607</v>
      </c>
      <c r="B1095" t="s">
        <v>25314</v>
      </c>
      <c r="C1095" t="s">
        <v>20486</v>
      </c>
      <c r="D1095" t="s">
        <v>22</v>
      </c>
      <c r="E1095" t="s">
        <v>2608</v>
      </c>
      <c r="F1095">
        <v>47</v>
      </c>
      <c r="G1095" t="s">
        <v>31</v>
      </c>
      <c r="H1095" t="s">
        <v>31</v>
      </c>
      <c r="J1095" t="s">
        <v>33</v>
      </c>
    </row>
    <row r="1096" spans="1:10" x14ac:dyDescent="0.3">
      <c r="A1096" t="s">
        <v>2609</v>
      </c>
      <c r="B1096" t="s">
        <v>25315</v>
      </c>
      <c r="C1096" t="s">
        <v>20486</v>
      </c>
      <c r="D1096" t="s">
        <v>22</v>
      </c>
      <c r="E1096" t="s">
        <v>2610</v>
      </c>
      <c r="F1096">
        <v>53</v>
      </c>
      <c r="G1096" t="s">
        <v>46</v>
      </c>
      <c r="H1096" t="s">
        <v>46</v>
      </c>
      <c r="I1096" t="s">
        <v>2611</v>
      </c>
      <c r="J1096" t="s">
        <v>2612</v>
      </c>
    </row>
    <row r="1097" spans="1:10" x14ac:dyDescent="0.3">
      <c r="A1097" t="s">
        <v>2613</v>
      </c>
      <c r="B1097" t="s">
        <v>25316</v>
      </c>
      <c r="C1097" t="s">
        <v>20486</v>
      </c>
      <c r="D1097" t="s">
        <v>22</v>
      </c>
      <c r="E1097" t="s">
        <v>2614</v>
      </c>
      <c r="F1097">
        <v>39</v>
      </c>
      <c r="G1097" t="s">
        <v>172</v>
      </c>
      <c r="H1097" t="s">
        <v>12099</v>
      </c>
      <c r="J1097" t="s">
        <v>2615</v>
      </c>
    </row>
    <row r="1098" spans="1:10" x14ac:dyDescent="0.3">
      <c r="A1098" t="s">
        <v>2616</v>
      </c>
      <c r="B1098" t="s">
        <v>25317</v>
      </c>
      <c r="C1098" t="s">
        <v>20488</v>
      </c>
      <c r="D1098" t="s">
        <v>22</v>
      </c>
      <c r="E1098" t="s">
        <v>2617</v>
      </c>
      <c r="F1098">
        <v>56</v>
      </c>
      <c r="G1098" t="s">
        <v>370</v>
      </c>
      <c r="H1098" t="s">
        <v>46</v>
      </c>
      <c r="I1098" t="s">
        <v>1703</v>
      </c>
    </row>
    <row r="1099" spans="1:10" x14ac:dyDescent="0.3">
      <c r="A1099" t="s">
        <v>2618</v>
      </c>
      <c r="B1099" t="s">
        <v>25318</v>
      </c>
      <c r="C1099" t="s">
        <v>20490</v>
      </c>
      <c r="D1099" t="s">
        <v>11</v>
      </c>
      <c r="E1099" t="s">
        <v>2619</v>
      </c>
      <c r="F1099">
        <v>54</v>
      </c>
      <c r="G1099" t="s">
        <v>109</v>
      </c>
      <c r="H1099" t="s">
        <v>46</v>
      </c>
      <c r="J1099" t="s">
        <v>2620</v>
      </c>
    </row>
    <row r="1100" spans="1:10" x14ac:dyDescent="0.3">
      <c r="A1100" t="s">
        <v>2622</v>
      </c>
      <c r="B1100" t="s">
        <v>25319</v>
      </c>
      <c r="C1100" t="s">
        <v>20486</v>
      </c>
      <c r="D1100" t="s">
        <v>11</v>
      </c>
      <c r="E1100" t="s">
        <v>2623</v>
      </c>
      <c r="F1100">
        <v>58</v>
      </c>
    </row>
    <row r="1101" spans="1:10" x14ac:dyDescent="0.3">
      <c r="A1101" t="s">
        <v>2624</v>
      </c>
      <c r="B1101" t="s">
        <v>25320</v>
      </c>
      <c r="C1101" t="s">
        <v>20486</v>
      </c>
      <c r="D1101" t="s">
        <v>22</v>
      </c>
      <c r="E1101" t="s">
        <v>2625</v>
      </c>
      <c r="F1101">
        <v>31</v>
      </c>
      <c r="G1101" t="s">
        <v>109</v>
      </c>
      <c r="H1101" t="s">
        <v>9788</v>
      </c>
      <c r="J1101" t="s">
        <v>12222</v>
      </c>
    </row>
    <row r="1102" spans="1:10" x14ac:dyDescent="0.3">
      <c r="A1102" t="s">
        <v>12223</v>
      </c>
      <c r="B1102" t="s">
        <v>25321</v>
      </c>
      <c r="C1102" t="s">
        <v>20486</v>
      </c>
      <c r="D1102" t="s">
        <v>11</v>
      </c>
      <c r="E1102" t="s">
        <v>7018</v>
      </c>
      <c r="F1102">
        <v>29</v>
      </c>
    </row>
    <row r="1103" spans="1:10" x14ac:dyDescent="0.3">
      <c r="A1103" t="s">
        <v>2626</v>
      </c>
      <c r="B1103" t="s">
        <v>25322</v>
      </c>
      <c r="C1103" t="s">
        <v>20486</v>
      </c>
      <c r="D1103" t="s">
        <v>22</v>
      </c>
      <c r="E1103" t="s">
        <v>2627</v>
      </c>
      <c r="F1103">
        <v>51</v>
      </c>
      <c r="G1103" t="s">
        <v>109</v>
      </c>
      <c r="H1103" t="s">
        <v>9788</v>
      </c>
      <c r="J1103" t="s">
        <v>2628</v>
      </c>
    </row>
    <row r="1104" spans="1:10" x14ac:dyDescent="0.3">
      <c r="A1104" t="s">
        <v>2630</v>
      </c>
      <c r="B1104" t="s">
        <v>25323</v>
      </c>
      <c r="C1104" t="s">
        <v>20490</v>
      </c>
      <c r="D1104" t="s">
        <v>11</v>
      </c>
      <c r="E1104" t="s">
        <v>2631</v>
      </c>
      <c r="F1104">
        <v>44</v>
      </c>
      <c r="G1104" t="s">
        <v>370</v>
      </c>
      <c r="H1104" t="s">
        <v>46</v>
      </c>
      <c r="J1104" t="s">
        <v>2632</v>
      </c>
    </row>
    <row r="1105" spans="1:10" x14ac:dyDescent="0.3">
      <c r="A1105" t="s">
        <v>2633</v>
      </c>
      <c r="B1105" t="s">
        <v>25324</v>
      </c>
      <c r="C1105" t="s">
        <v>20486</v>
      </c>
      <c r="D1105" t="s">
        <v>11</v>
      </c>
      <c r="E1105" t="s">
        <v>2634</v>
      </c>
      <c r="F1105">
        <v>52</v>
      </c>
      <c r="G1105" t="s">
        <v>46</v>
      </c>
      <c r="H1105" t="s">
        <v>46</v>
      </c>
    </row>
    <row r="1106" spans="1:10" x14ac:dyDescent="0.3">
      <c r="A1106" t="s">
        <v>2635</v>
      </c>
      <c r="B1106" t="s">
        <v>25325</v>
      </c>
      <c r="C1106" t="s">
        <v>20486</v>
      </c>
      <c r="D1106" t="s">
        <v>22</v>
      </c>
      <c r="E1106" t="s">
        <v>2636</v>
      </c>
      <c r="F1106">
        <v>67</v>
      </c>
    </row>
    <row r="1107" spans="1:10" x14ac:dyDescent="0.3">
      <c r="A1107" t="s">
        <v>2637</v>
      </c>
      <c r="B1107" t="s">
        <v>25326</v>
      </c>
      <c r="C1107" t="s">
        <v>20487</v>
      </c>
      <c r="D1107" t="s">
        <v>11</v>
      </c>
      <c r="E1107" t="s">
        <v>2638</v>
      </c>
      <c r="F1107">
        <v>42</v>
      </c>
      <c r="G1107" t="s">
        <v>109</v>
      </c>
      <c r="H1107" t="s">
        <v>9788</v>
      </c>
      <c r="I1107" t="s">
        <v>1534</v>
      </c>
      <c r="J1107" t="s">
        <v>2639</v>
      </c>
    </row>
    <row r="1108" spans="1:10" x14ac:dyDescent="0.3">
      <c r="A1108" t="s">
        <v>2640</v>
      </c>
      <c r="B1108" t="s">
        <v>25327</v>
      </c>
      <c r="C1108" t="s">
        <v>20490</v>
      </c>
      <c r="D1108" t="s">
        <v>22</v>
      </c>
      <c r="E1108" t="s">
        <v>2641</v>
      </c>
      <c r="F1108">
        <v>54</v>
      </c>
      <c r="G1108" t="s">
        <v>24</v>
      </c>
      <c r="H1108" t="s">
        <v>9789</v>
      </c>
    </row>
    <row r="1109" spans="1:10" x14ac:dyDescent="0.3">
      <c r="A1109" t="s">
        <v>2642</v>
      </c>
      <c r="B1109" t="s">
        <v>25328</v>
      </c>
      <c r="C1109" t="s">
        <v>20486</v>
      </c>
      <c r="D1109" t="s">
        <v>11</v>
      </c>
      <c r="E1109" t="s">
        <v>2643</v>
      </c>
      <c r="F1109">
        <v>60</v>
      </c>
      <c r="G1109" t="s">
        <v>109</v>
      </c>
      <c r="H1109" t="s">
        <v>9788</v>
      </c>
      <c r="J1109" t="s">
        <v>1276</v>
      </c>
    </row>
    <row r="1110" spans="1:10" x14ac:dyDescent="0.3">
      <c r="A1110" t="s">
        <v>2644</v>
      </c>
      <c r="B1110" t="s">
        <v>25329</v>
      </c>
      <c r="C1110" t="s">
        <v>20486</v>
      </c>
      <c r="D1110" t="s">
        <v>22</v>
      </c>
      <c r="E1110" t="s">
        <v>2645</v>
      </c>
      <c r="F1110">
        <v>44</v>
      </c>
      <c r="G1110" t="s">
        <v>46</v>
      </c>
      <c r="H1110" t="s">
        <v>46</v>
      </c>
      <c r="J1110" t="s">
        <v>2646</v>
      </c>
    </row>
    <row r="1111" spans="1:10" x14ac:dyDescent="0.3">
      <c r="A1111" t="s">
        <v>2647</v>
      </c>
      <c r="B1111" t="s">
        <v>25330</v>
      </c>
      <c r="C1111" t="s">
        <v>20486</v>
      </c>
      <c r="D1111" t="s">
        <v>22</v>
      </c>
      <c r="E1111" t="s">
        <v>2648</v>
      </c>
      <c r="F1111">
        <v>60</v>
      </c>
      <c r="G1111" t="s">
        <v>46</v>
      </c>
      <c r="H1111" t="s">
        <v>46</v>
      </c>
      <c r="I1111" t="s">
        <v>228</v>
      </c>
      <c r="J1111" t="s">
        <v>2649</v>
      </c>
    </row>
    <row r="1112" spans="1:10" x14ac:dyDescent="0.3">
      <c r="A1112" t="s">
        <v>2650</v>
      </c>
      <c r="B1112" t="s">
        <v>25331</v>
      </c>
      <c r="C1112" t="s">
        <v>20487</v>
      </c>
      <c r="D1112" t="s">
        <v>11</v>
      </c>
      <c r="E1112" t="s">
        <v>2651</v>
      </c>
      <c r="F1112">
        <v>57</v>
      </c>
      <c r="G1112" t="s">
        <v>109</v>
      </c>
      <c r="H1112" t="s">
        <v>9788</v>
      </c>
      <c r="I1112" t="s">
        <v>1534</v>
      </c>
      <c r="J1112" t="s">
        <v>2639</v>
      </c>
    </row>
    <row r="1113" spans="1:10" x14ac:dyDescent="0.3">
      <c r="A1113" t="s">
        <v>2652</v>
      </c>
      <c r="B1113" t="s">
        <v>25332</v>
      </c>
      <c r="C1113" t="s">
        <v>20490</v>
      </c>
      <c r="D1113" t="s">
        <v>22</v>
      </c>
      <c r="E1113" t="s">
        <v>2653</v>
      </c>
      <c r="F1113">
        <v>74</v>
      </c>
      <c r="G1113" t="s">
        <v>31</v>
      </c>
      <c r="H1113" t="s">
        <v>46</v>
      </c>
      <c r="J1113" t="s">
        <v>1248</v>
      </c>
    </row>
    <row r="1114" spans="1:10" x14ac:dyDescent="0.3">
      <c r="A1114" t="s">
        <v>2654</v>
      </c>
      <c r="B1114" t="s">
        <v>25333</v>
      </c>
      <c r="C1114" t="s">
        <v>20487</v>
      </c>
      <c r="D1114" t="s">
        <v>22</v>
      </c>
      <c r="E1114" t="s">
        <v>2655</v>
      </c>
      <c r="F1114">
        <v>42</v>
      </c>
      <c r="G1114" t="s">
        <v>172</v>
      </c>
      <c r="H1114" t="s">
        <v>9785</v>
      </c>
      <c r="I1114" t="s">
        <v>441</v>
      </c>
      <c r="J1114" t="s">
        <v>2656</v>
      </c>
    </row>
    <row r="1115" spans="1:10" x14ac:dyDescent="0.3">
      <c r="A1115" t="s">
        <v>2657</v>
      </c>
      <c r="B1115" t="s">
        <v>25334</v>
      </c>
      <c r="C1115" t="s">
        <v>20486</v>
      </c>
      <c r="D1115" t="s">
        <v>11</v>
      </c>
      <c r="E1115" t="s">
        <v>2658</v>
      </c>
      <c r="F1115">
        <v>47</v>
      </c>
      <c r="G1115" t="s">
        <v>109</v>
      </c>
      <c r="H1115" t="s">
        <v>9788</v>
      </c>
    </row>
    <row r="1116" spans="1:10" x14ac:dyDescent="0.3">
      <c r="A1116" t="s">
        <v>2659</v>
      </c>
      <c r="B1116" t="s">
        <v>25335</v>
      </c>
      <c r="C1116" t="s">
        <v>20486</v>
      </c>
      <c r="D1116" t="s">
        <v>22</v>
      </c>
      <c r="E1116" t="s">
        <v>2660</v>
      </c>
      <c r="F1116">
        <v>38</v>
      </c>
      <c r="G1116" t="s">
        <v>16</v>
      </c>
      <c r="H1116" t="s">
        <v>9785</v>
      </c>
      <c r="I1116" t="s">
        <v>17</v>
      </c>
      <c r="J1116" t="s">
        <v>1497</v>
      </c>
    </row>
    <row r="1117" spans="1:10" x14ac:dyDescent="0.3">
      <c r="A1117" t="s">
        <v>2661</v>
      </c>
      <c r="B1117" t="s">
        <v>25336</v>
      </c>
      <c r="C1117" t="s">
        <v>20488</v>
      </c>
      <c r="D1117" t="s">
        <v>11</v>
      </c>
      <c r="E1117" t="s">
        <v>2662</v>
      </c>
      <c r="F1117">
        <v>53</v>
      </c>
      <c r="G1117" t="s">
        <v>109</v>
      </c>
      <c r="H1117" t="s">
        <v>9788</v>
      </c>
      <c r="I1117" t="s">
        <v>1011</v>
      </c>
      <c r="J1117" t="s">
        <v>2663</v>
      </c>
    </row>
    <row r="1118" spans="1:10" x14ac:dyDescent="0.3">
      <c r="A1118" t="s">
        <v>2664</v>
      </c>
      <c r="B1118" t="s">
        <v>25337</v>
      </c>
      <c r="C1118" t="s">
        <v>20487</v>
      </c>
      <c r="D1118" t="s">
        <v>22</v>
      </c>
      <c r="E1118" t="s">
        <v>2665</v>
      </c>
      <c r="F1118">
        <v>70</v>
      </c>
      <c r="G1118" t="s">
        <v>173</v>
      </c>
      <c r="H1118" t="s">
        <v>12099</v>
      </c>
      <c r="J1118" t="s">
        <v>2666</v>
      </c>
    </row>
    <row r="1119" spans="1:10" x14ac:dyDescent="0.3">
      <c r="A1119" t="s">
        <v>2667</v>
      </c>
      <c r="B1119" t="s">
        <v>25338</v>
      </c>
      <c r="C1119" t="s">
        <v>20490</v>
      </c>
      <c r="D1119" t="s">
        <v>11</v>
      </c>
      <c r="E1119" t="s">
        <v>2668</v>
      </c>
      <c r="F1119">
        <v>38</v>
      </c>
      <c r="G1119" t="s">
        <v>109</v>
      </c>
      <c r="H1119" t="s">
        <v>9788</v>
      </c>
      <c r="I1119" t="s">
        <v>660</v>
      </c>
      <c r="J1119" t="s">
        <v>2669</v>
      </c>
    </row>
    <row r="1120" spans="1:10" x14ac:dyDescent="0.3">
      <c r="A1120" t="s">
        <v>2670</v>
      </c>
      <c r="B1120" t="s">
        <v>25339</v>
      </c>
      <c r="C1120" t="s">
        <v>20490</v>
      </c>
      <c r="D1120" t="s">
        <v>11</v>
      </c>
      <c r="E1120" t="s">
        <v>2671</v>
      </c>
      <c r="F1120">
        <v>42</v>
      </c>
      <c r="G1120" t="s">
        <v>133</v>
      </c>
      <c r="H1120" t="s">
        <v>46</v>
      </c>
      <c r="I1120" t="s">
        <v>18811</v>
      </c>
      <c r="J1120" t="s">
        <v>2672</v>
      </c>
    </row>
    <row r="1121" spans="1:10" x14ac:dyDescent="0.3">
      <c r="A1121" t="s">
        <v>12224</v>
      </c>
      <c r="B1121" t="s">
        <v>25340</v>
      </c>
      <c r="C1121" t="s">
        <v>20490</v>
      </c>
      <c r="D1121" t="s">
        <v>11</v>
      </c>
      <c r="E1121" t="s">
        <v>9728</v>
      </c>
      <c r="F1121">
        <v>19</v>
      </c>
      <c r="G1121" t="s">
        <v>337</v>
      </c>
      <c r="H1121" t="s">
        <v>337</v>
      </c>
    </row>
    <row r="1122" spans="1:10" x14ac:dyDescent="0.3">
      <c r="A1122" t="s">
        <v>2673</v>
      </c>
      <c r="B1122" t="s">
        <v>25341</v>
      </c>
      <c r="C1122" t="s">
        <v>20486</v>
      </c>
      <c r="D1122" t="s">
        <v>11</v>
      </c>
      <c r="E1122" t="s">
        <v>2674</v>
      </c>
      <c r="F1122">
        <v>43</v>
      </c>
    </row>
    <row r="1123" spans="1:10" x14ac:dyDescent="0.3">
      <c r="A1123" t="s">
        <v>2675</v>
      </c>
      <c r="B1123" t="s">
        <v>25342</v>
      </c>
      <c r="C1123" t="s">
        <v>20486</v>
      </c>
      <c r="D1123" t="s">
        <v>11</v>
      </c>
      <c r="E1123" t="s">
        <v>2676</v>
      </c>
      <c r="F1123">
        <v>65</v>
      </c>
      <c r="G1123" t="s">
        <v>109</v>
      </c>
      <c r="H1123" t="s">
        <v>9788</v>
      </c>
      <c r="J1123" t="s">
        <v>2677</v>
      </c>
    </row>
    <row r="1124" spans="1:10" x14ac:dyDescent="0.3">
      <c r="A1124" t="s">
        <v>2678</v>
      </c>
      <c r="B1124" t="s">
        <v>25343</v>
      </c>
      <c r="C1124" t="s">
        <v>20486</v>
      </c>
      <c r="D1124" t="s">
        <v>11</v>
      </c>
      <c r="E1124" t="s">
        <v>2679</v>
      </c>
      <c r="F1124">
        <v>51</v>
      </c>
      <c r="G1124" t="s">
        <v>46</v>
      </c>
      <c r="H1124" t="s">
        <v>46</v>
      </c>
    </row>
    <row r="1125" spans="1:10" x14ac:dyDescent="0.3">
      <c r="A1125" t="s">
        <v>2680</v>
      </c>
      <c r="B1125" t="s">
        <v>25344</v>
      </c>
      <c r="C1125" t="s">
        <v>20486</v>
      </c>
      <c r="D1125" t="s">
        <v>11</v>
      </c>
      <c r="E1125" t="s">
        <v>2681</v>
      </c>
      <c r="F1125">
        <v>43</v>
      </c>
      <c r="H1125" t="s">
        <v>9788</v>
      </c>
      <c r="I1125" t="s">
        <v>1526</v>
      </c>
      <c r="J1125" t="s">
        <v>2682</v>
      </c>
    </row>
    <row r="1126" spans="1:10" x14ac:dyDescent="0.3">
      <c r="A1126" t="s">
        <v>2683</v>
      </c>
      <c r="B1126" t="s">
        <v>25345</v>
      </c>
      <c r="C1126" t="s">
        <v>20488</v>
      </c>
      <c r="D1126" t="s">
        <v>22</v>
      </c>
      <c r="E1126" t="s">
        <v>2684</v>
      </c>
      <c r="F1126">
        <v>43</v>
      </c>
      <c r="G1126" t="s">
        <v>31</v>
      </c>
      <c r="H1126" t="s">
        <v>9788</v>
      </c>
    </row>
    <row r="1127" spans="1:10" x14ac:dyDescent="0.3">
      <c r="A1127" t="s">
        <v>2685</v>
      </c>
      <c r="B1127" t="s">
        <v>25346</v>
      </c>
      <c r="C1127" t="s">
        <v>20488</v>
      </c>
      <c r="D1127" t="s">
        <v>22</v>
      </c>
      <c r="E1127" t="s">
        <v>2686</v>
      </c>
      <c r="F1127">
        <v>52</v>
      </c>
      <c r="G1127" t="s">
        <v>46</v>
      </c>
      <c r="H1127" t="s">
        <v>46</v>
      </c>
      <c r="I1127" t="s">
        <v>139</v>
      </c>
    </row>
    <row r="1128" spans="1:10" x14ac:dyDescent="0.3">
      <c r="A1128" t="s">
        <v>12225</v>
      </c>
      <c r="B1128" t="s">
        <v>25347</v>
      </c>
      <c r="C1128" t="s">
        <v>20488</v>
      </c>
      <c r="D1128" t="s">
        <v>11</v>
      </c>
      <c r="E1128" t="s">
        <v>9727</v>
      </c>
      <c r="F1128">
        <v>22</v>
      </c>
      <c r="G1128" t="s">
        <v>337</v>
      </c>
      <c r="H1128" t="s">
        <v>337</v>
      </c>
    </row>
    <row r="1129" spans="1:10" x14ac:dyDescent="0.3">
      <c r="A1129" t="s">
        <v>12226</v>
      </c>
      <c r="B1129" t="s">
        <v>25348</v>
      </c>
      <c r="C1129" t="s">
        <v>20488</v>
      </c>
      <c r="D1129" t="s">
        <v>11</v>
      </c>
      <c r="E1129" t="s">
        <v>9726</v>
      </c>
      <c r="F1129">
        <v>28</v>
      </c>
      <c r="G1129" t="s">
        <v>337</v>
      </c>
      <c r="H1129" t="s">
        <v>337</v>
      </c>
    </row>
    <row r="1130" spans="1:10" x14ac:dyDescent="0.3">
      <c r="A1130" t="s">
        <v>2687</v>
      </c>
      <c r="B1130" t="s">
        <v>25349</v>
      </c>
      <c r="C1130" t="s">
        <v>20486</v>
      </c>
      <c r="D1130" t="s">
        <v>22</v>
      </c>
      <c r="E1130" t="s">
        <v>2688</v>
      </c>
      <c r="F1130">
        <v>48</v>
      </c>
      <c r="G1130" t="s">
        <v>31</v>
      </c>
      <c r="H1130" t="s">
        <v>31</v>
      </c>
    </row>
    <row r="1131" spans="1:10" x14ac:dyDescent="0.3">
      <c r="A1131" t="s">
        <v>2689</v>
      </c>
      <c r="B1131" t="s">
        <v>25350</v>
      </c>
      <c r="C1131" t="s">
        <v>20490</v>
      </c>
      <c r="D1131" t="s">
        <v>11</v>
      </c>
      <c r="E1131" t="s">
        <v>2690</v>
      </c>
      <c r="F1131">
        <v>39</v>
      </c>
      <c r="G1131" t="s">
        <v>109</v>
      </c>
      <c r="H1131" t="s">
        <v>9788</v>
      </c>
      <c r="J1131" t="s">
        <v>225</v>
      </c>
    </row>
    <row r="1132" spans="1:10" x14ac:dyDescent="0.3">
      <c r="A1132" t="s">
        <v>2691</v>
      </c>
      <c r="B1132" t="s">
        <v>25351</v>
      </c>
      <c r="C1132" t="s">
        <v>20488</v>
      </c>
      <c r="D1132" t="s">
        <v>11</v>
      </c>
      <c r="E1132" t="s">
        <v>2692</v>
      </c>
      <c r="F1132">
        <v>61</v>
      </c>
      <c r="G1132" t="s">
        <v>172</v>
      </c>
      <c r="H1132" t="s">
        <v>12099</v>
      </c>
    </row>
    <row r="1133" spans="1:10" x14ac:dyDescent="0.3">
      <c r="A1133" t="s">
        <v>2694</v>
      </c>
      <c r="B1133" t="s">
        <v>25352</v>
      </c>
      <c r="C1133" t="s">
        <v>20488</v>
      </c>
      <c r="D1133" t="s">
        <v>22</v>
      </c>
      <c r="E1133" t="s">
        <v>2695</v>
      </c>
      <c r="F1133">
        <v>42</v>
      </c>
      <c r="G1133" t="s">
        <v>88</v>
      </c>
      <c r="H1133" t="s">
        <v>12065</v>
      </c>
      <c r="I1133" t="s">
        <v>101</v>
      </c>
      <c r="J1133" t="s">
        <v>2696</v>
      </c>
    </row>
    <row r="1134" spans="1:10" x14ac:dyDescent="0.3">
      <c r="A1134" t="s">
        <v>2697</v>
      </c>
      <c r="B1134" t="s">
        <v>25353</v>
      </c>
      <c r="C1134" t="s">
        <v>20488</v>
      </c>
      <c r="D1134" t="s">
        <v>22</v>
      </c>
      <c r="E1134" t="s">
        <v>2698</v>
      </c>
      <c r="F1134">
        <v>47</v>
      </c>
      <c r="G1134" t="s">
        <v>16</v>
      </c>
      <c r="H1134" t="s">
        <v>9785</v>
      </c>
      <c r="I1134" t="s">
        <v>449</v>
      </c>
      <c r="J1134" t="s">
        <v>1125</v>
      </c>
    </row>
    <row r="1135" spans="1:10" x14ac:dyDescent="0.3">
      <c r="A1135" t="s">
        <v>2700</v>
      </c>
      <c r="B1135" t="s">
        <v>25354</v>
      </c>
      <c r="C1135" t="s">
        <v>20488</v>
      </c>
      <c r="D1135" t="s">
        <v>11</v>
      </c>
      <c r="E1135" t="s">
        <v>438</v>
      </c>
      <c r="F1135">
        <v>52</v>
      </c>
      <c r="G1135" t="s">
        <v>1226</v>
      </c>
      <c r="H1135" t="s">
        <v>9791</v>
      </c>
      <c r="I1135" t="s">
        <v>2701</v>
      </c>
    </row>
    <row r="1136" spans="1:10" x14ac:dyDescent="0.3">
      <c r="A1136" t="s">
        <v>2702</v>
      </c>
      <c r="B1136" t="s">
        <v>25355</v>
      </c>
      <c r="C1136" t="s">
        <v>20488</v>
      </c>
      <c r="D1136" t="s">
        <v>11</v>
      </c>
      <c r="E1136" t="s">
        <v>2703</v>
      </c>
      <c r="F1136">
        <v>61</v>
      </c>
      <c r="G1136" t="s">
        <v>16</v>
      </c>
      <c r="H1136" t="s">
        <v>9785</v>
      </c>
      <c r="I1136" t="s">
        <v>449</v>
      </c>
      <c r="J1136" t="s">
        <v>1125</v>
      </c>
    </row>
    <row r="1137" spans="1:10" x14ac:dyDescent="0.3">
      <c r="A1137" t="s">
        <v>2704</v>
      </c>
      <c r="B1137" t="s">
        <v>25356</v>
      </c>
      <c r="C1137" t="s">
        <v>20490</v>
      </c>
      <c r="D1137" t="s">
        <v>11</v>
      </c>
      <c r="E1137" t="s">
        <v>2705</v>
      </c>
      <c r="F1137">
        <v>51</v>
      </c>
      <c r="G1137" t="s">
        <v>172</v>
      </c>
      <c r="H1137" t="s">
        <v>12099</v>
      </c>
      <c r="J1137" t="s">
        <v>2706</v>
      </c>
    </row>
    <row r="1138" spans="1:10" x14ac:dyDescent="0.3">
      <c r="A1138" t="s">
        <v>2707</v>
      </c>
      <c r="B1138" t="s">
        <v>25357</v>
      </c>
      <c r="C1138" t="s">
        <v>20486</v>
      </c>
      <c r="D1138" t="s">
        <v>22</v>
      </c>
      <c r="E1138" t="s">
        <v>2708</v>
      </c>
      <c r="F1138">
        <v>52</v>
      </c>
    </row>
    <row r="1139" spans="1:10" x14ac:dyDescent="0.3">
      <c r="A1139" t="s">
        <v>2709</v>
      </c>
      <c r="B1139" t="s">
        <v>25358</v>
      </c>
      <c r="C1139" t="s">
        <v>20486</v>
      </c>
      <c r="D1139" t="s">
        <v>11</v>
      </c>
      <c r="E1139" t="s">
        <v>2710</v>
      </c>
      <c r="F1139">
        <v>58</v>
      </c>
      <c r="G1139" t="s">
        <v>46</v>
      </c>
      <c r="H1139" t="s">
        <v>46</v>
      </c>
      <c r="I1139" t="s">
        <v>74</v>
      </c>
      <c r="J1139" t="s">
        <v>74</v>
      </c>
    </row>
    <row r="1140" spans="1:10" x14ac:dyDescent="0.3">
      <c r="A1140" t="s">
        <v>2711</v>
      </c>
      <c r="B1140" t="s">
        <v>25359</v>
      </c>
      <c r="C1140" t="s">
        <v>20488</v>
      </c>
      <c r="D1140" t="s">
        <v>22</v>
      </c>
      <c r="E1140" t="s">
        <v>2712</v>
      </c>
      <c r="F1140">
        <v>78</v>
      </c>
      <c r="G1140" t="s">
        <v>31</v>
      </c>
      <c r="H1140" t="s">
        <v>31</v>
      </c>
    </row>
    <row r="1141" spans="1:10" x14ac:dyDescent="0.3">
      <c r="A1141" t="s">
        <v>2713</v>
      </c>
      <c r="B1141" t="s">
        <v>25360</v>
      </c>
      <c r="C1141" t="s">
        <v>20486</v>
      </c>
      <c r="D1141" t="s">
        <v>11</v>
      </c>
      <c r="E1141" t="s">
        <v>2714</v>
      </c>
      <c r="F1141">
        <v>26</v>
      </c>
      <c r="G1141" t="s">
        <v>337</v>
      </c>
      <c r="H1141" t="s">
        <v>337</v>
      </c>
    </row>
    <row r="1142" spans="1:10" x14ac:dyDescent="0.3">
      <c r="A1142" t="s">
        <v>2715</v>
      </c>
      <c r="B1142" t="s">
        <v>25361</v>
      </c>
      <c r="C1142" t="s">
        <v>20486</v>
      </c>
      <c r="D1142" t="s">
        <v>22</v>
      </c>
      <c r="E1142" t="s">
        <v>2716</v>
      </c>
      <c r="F1142">
        <v>62</v>
      </c>
      <c r="G1142" t="s">
        <v>16</v>
      </c>
      <c r="H1142" t="s">
        <v>9785</v>
      </c>
      <c r="I1142" t="s">
        <v>17</v>
      </c>
      <c r="J1142" t="s">
        <v>2717</v>
      </c>
    </row>
    <row r="1143" spans="1:10" x14ac:dyDescent="0.3">
      <c r="A1143" t="s">
        <v>2718</v>
      </c>
      <c r="B1143" t="s">
        <v>25362</v>
      </c>
      <c r="C1143" t="s">
        <v>20488</v>
      </c>
      <c r="D1143" t="s">
        <v>22</v>
      </c>
      <c r="E1143" t="s">
        <v>2719</v>
      </c>
      <c r="F1143">
        <v>52</v>
      </c>
      <c r="G1143" t="s">
        <v>16</v>
      </c>
      <c r="H1143" t="s">
        <v>9785</v>
      </c>
      <c r="I1143" t="s">
        <v>12227</v>
      </c>
      <c r="J1143" t="s">
        <v>2036</v>
      </c>
    </row>
    <row r="1144" spans="1:10" x14ac:dyDescent="0.3">
      <c r="A1144" t="s">
        <v>2720</v>
      </c>
      <c r="B1144" t="s">
        <v>25363</v>
      </c>
      <c r="C1144" t="s">
        <v>20488</v>
      </c>
      <c r="D1144" t="s">
        <v>11</v>
      </c>
      <c r="E1144" t="s">
        <v>2721</v>
      </c>
      <c r="F1144">
        <v>58</v>
      </c>
      <c r="G1144" t="s">
        <v>46</v>
      </c>
      <c r="H1144" t="s">
        <v>9788</v>
      </c>
    </row>
    <row r="1145" spans="1:10" x14ac:dyDescent="0.3">
      <c r="A1145" t="s">
        <v>2722</v>
      </c>
      <c r="B1145" t="s">
        <v>25364</v>
      </c>
      <c r="C1145" t="s">
        <v>20488</v>
      </c>
      <c r="D1145" t="s">
        <v>22</v>
      </c>
      <c r="E1145" t="s">
        <v>2723</v>
      </c>
      <c r="F1145">
        <v>60</v>
      </c>
      <c r="G1145" t="s">
        <v>201</v>
      </c>
      <c r="H1145" t="s">
        <v>46</v>
      </c>
    </row>
    <row r="1146" spans="1:10" x14ac:dyDescent="0.3">
      <c r="A1146" t="s">
        <v>2724</v>
      </c>
      <c r="B1146" t="s">
        <v>25365</v>
      </c>
      <c r="C1146" t="s">
        <v>20491</v>
      </c>
      <c r="D1146" t="s">
        <v>22</v>
      </c>
      <c r="E1146" t="s">
        <v>2725</v>
      </c>
      <c r="F1146">
        <v>52</v>
      </c>
      <c r="G1146" t="s">
        <v>201</v>
      </c>
      <c r="H1146" t="s">
        <v>46</v>
      </c>
      <c r="J1146" t="s">
        <v>220</v>
      </c>
    </row>
    <row r="1147" spans="1:10" x14ac:dyDescent="0.3">
      <c r="A1147" t="s">
        <v>2726</v>
      </c>
      <c r="B1147" t="s">
        <v>25366</v>
      </c>
      <c r="C1147" t="s">
        <v>20487</v>
      </c>
      <c r="D1147" t="s">
        <v>11</v>
      </c>
      <c r="E1147" t="s">
        <v>2727</v>
      </c>
      <c r="F1147">
        <v>60</v>
      </c>
      <c r="G1147" t="s">
        <v>441</v>
      </c>
      <c r="H1147" t="s">
        <v>9785</v>
      </c>
      <c r="J1147" t="s">
        <v>2728</v>
      </c>
    </row>
    <row r="1148" spans="1:10" x14ac:dyDescent="0.3">
      <c r="A1148" t="s">
        <v>2729</v>
      </c>
      <c r="B1148" t="s">
        <v>25367</v>
      </c>
      <c r="C1148" t="s">
        <v>20486</v>
      </c>
      <c r="D1148" t="s">
        <v>22</v>
      </c>
      <c r="E1148" t="s">
        <v>2730</v>
      </c>
      <c r="F1148">
        <v>50</v>
      </c>
      <c r="G1148" t="s">
        <v>31</v>
      </c>
      <c r="H1148" t="s">
        <v>31</v>
      </c>
      <c r="J1148" t="s">
        <v>33</v>
      </c>
    </row>
    <row r="1149" spans="1:10" x14ac:dyDescent="0.3">
      <c r="A1149" t="s">
        <v>2731</v>
      </c>
      <c r="B1149" t="s">
        <v>25368</v>
      </c>
      <c r="C1149" t="s">
        <v>20488</v>
      </c>
      <c r="D1149" t="s">
        <v>11</v>
      </c>
      <c r="E1149" t="s">
        <v>2732</v>
      </c>
      <c r="F1149">
        <v>44</v>
      </c>
      <c r="G1149" t="s">
        <v>109</v>
      </c>
      <c r="H1149" t="s">
        <v>9788</v>
      </c>
      <c r="I1149" t="s">
        <v>660</v>
      </c>
      <c r="J1149" t="s">
        <v>2036</v>
      </c>
    </row>
    <row r="1150" spans="1:10" x14ac:dyDescent="0.3">
      <c r="A1150" t="s">
        <v>2733</v>
      </c>
      <c r="B1150" t="s">
        <v>25369</v>
      </c>
      <c r="C1150" t="s">
        <v>20486</v>
      </c>
      <c r="D1150" t="s">
        <v>22</v>
      </c>
      <c r="E1150" t="s">
        <v>2734</v>
      </c>
      <c r="F1150">
        <v>45</v>
      </c>
      <c r="G1150" t="s">
        <v>46</v>
      </c>
      <c r="H1150" t="s">
        <v>46</v>
      </c>
      <c r="I1150" t="s">
        <v>2735</v>
      </c>
    </row>
    <row r="1151" spans="1:10" x14ac:dyDescent="0.3">
      <c r="A1151" t="s">
        <v>2736</v>
      </c>
      <c r="B1151" t="s">
        <v>25370</v>
      </c>
      <c r="C1151" t="s">
        <v>20486</v>
      </c>
      <c r="D1151" t="s">
        <v>11</v>
      </c>
      <c r="E1151" t="s">
        <v>2737</v>
      </c>
      <c r="F1151">
        <v>40</v>
      </c>
      <c r="G1151" t="s">
        <v>109</v>
      </c>
      <c r="H1151" t="s">
        <v>9788</v>
      </c>
    </row>
    <row r="1152" spans="1:10" x14ac:dyDescent="0.3">
      <c r="A1152" t="s">
        <v>2738</v>
      </c>
      <c r="B1152" t="s">
        <v>25371</v>
      </c>
      <c r="C1152" t="s">
        <v>20488</v>
      </c>
      <c r="D1152" t="s">
        <v>22</v>
      </c>
      <c r="E1152" t="s">
        <v>2739</v>
      </c>
      <c r="F1152">
        <v>23</v>
      </c>
      <c r="G1152" t="s">
        <v>337</v>
      </c>
      <c r="H1152" t="s">
        <v>337</v>
      </c>
    </row>
    <row r="1153" spans="1:10" x14ac:dyDescent="0.3">
      <c r="A1153" t="s">
        <v>12228</v>
      </c>
      <c r="B1153" t="s">
        <v>25372</v>
      </c>
      <c r="C1153" t="s">
        <v>20488</v>
      </c>
      <c r="D1153" t="s">
        <v>22</v>
      </c>
      <c r="E1153" t="s">
        <v>2740</v>
      </c>
      <c r="F1153">
        <v>43</v>
      </c>
      <c r="G1153" t="s">
        <v>46</v>
      </c>
      <c r="H1153" t="s">
        <v>46</v>
      </c>
      <c r="I1153" t="s">
        <v>3000</v>
      </c>
    </row>
    <row r="1154" spans="1:10" x14ac:dyDescent="0.3">
      <c r="A1154" t="s">
        <v>2741</v>
      </c>
      <c r="B1154" t="s">
        <v>25373</v>
      </c>
      <c r="C1154" t="s">
        <v>20488</v>
      </c>
      <c r="D1154" t="s">
        <v>22</v>
      </c>
      <c r="E1154" t="s">
        <v>2742</v>
      </c>
      <c r="F1154">
        <v>44</v>
      </c>
      <c r="G1154" t="s">
        <v>201</v>
      </c>
      <c r="H1154" t="s">
        <v>46</v>
      </c>
    </row>
    <row r="1155" spans="1:10" x14ac:dyDescent="0.3">
      <c r="A1155" t="s">
        <v>2743</v>
      </c>
      <c r="B1155" t="s">
        <v>25374</v>
      </c>
      <c r="C1155" t="s">
        <v>20487</v>
      </c>
      <c r="D1155" t="s">
        <v>11</v>
      </c>
      <c r="E1155" t="s">
        <v>2744</v>
      </c>
      <c r="F1155">
        <v>54</v>
      </c>
      <c r="G1155" t="s">
        <v>231</v>
      </c>
      <c r="H1155" t="s">
        <v>9788</v>
      </c>
      <c r="J1155" t="s">
        <v>2745</v>
      </c>
    </row>
    <row r="1156" spans="1:10" x14ac:dyDescent="0.3">
      <c r="A1156" t="s">
        <v>2746</v>
      </c>
      <c r="B1156" t="s">
        <v>25375</v>
      </c>
      <c r="C1156" t="s">
        <v>20488</v>
      </c>
      <c r="D1156" t="s">
        <v>22</v>
      </c>
      <c r="E1156" t="s">
        <v>2747</v>
      </c>
      <c r="F1156">
        <v>60</v>
      </c>
      <c r="G1156" t="s">
        <v>370</v>
      </c>
      <c r="H1156" t="s">
        <v>46</v>
      </c>
      <c r="I1156" t="s">
        <v>201</v>
      </c>
      <c r="J1156" t="s">
        <v>2749</v>
      </c>
    </row>
    <row r="1157" spans="1:10" x14ac:dyDescent="0.3">
      <c r="A1157" t="s">
        <v>2750</v>
      </c>
      <c r="B1157" t="s">
        <v>25376</v>
      </c>
      <c r="C1157" t="s">
        <v>20487</v>
      </c>
      <c r="D1157" t="s">
        <v>22</v>
      </c>
      <c r="E1157" t="s">
        <v>2751</v>
      </c>
      <c r="F1157">
        <v>53</v>
      </c>
      <c r="G1157" t="s">
        <v>31</v>
      </c>
      <c r="H1157" t="s">
        <v>31</v>
      </c>
    </row>
    <row r="1158" spans="1:10" x14ac:dyDescent="0.3">
      <c r="A1158" t="s">
        <v>2752</v>
      </c>
      <c r="B1158" t="s">
        <v>25377</v>
      </c>
      <c r="C1158" t="s">
        <v>20490</v>
      </c>
      <c r="D1158" t="s">
        <v>22</v>
      </c>
      <c r="E1158" t="s">
        <v>2753</v>
      </c>
      <c r="F1158">
        <v>53</v>
      </c>
      <c r="G1158" t="s">
        <v>109</v>
      </c>
      <c r="H1158" t="s">
        <v>9788</v>
      </c>
      <c r="J1158" t="s">
        <v>242</v>
      </c>
    </row>
    <row r="1159" spans="1:10" x14ac:dyDescent="0.3">
      <c r="A1159" t="s">
        <v>2754</v>
      </c>
      <c r="B1159" t="s">
        <v>25378</v>
      </c>
      <c r="C1159" t="s">
        <v>20486</v>
      </c>
      <c r="D1159" t="s">
        <v>22</v>
      </c>
      <c r="E1159" t="s">
        <v>2755</v>
      </c>
      <c r="F1159">
        <v>40</v>
      </c>
    </row>
    <row r="1160" spans="1:10" x14ac:dyDescent="0.3">
      <c r="A1160" t="s">
        <v>2756</v>
      </c>
      <c r="B1160" t="s">
        <v>25379</v>
      </c>
      <c r="C1160" t="s">
        <v>20488</v>
      </c>
      <c r="D1160" t="s">
        <v>11</v>
      </c>
      <c r="E1160" t="s">
        <v>2757</v>
      </c>
      <c r="F1160">
        <v>51</v>
      </c>
      <c r="G1160" t="s">
        <v>109</v>
      </c>
      <c r="H1160" t="s">
        <v>9788</v>
      </c>
    </row>
    <row r="1161" spans="1:10" x14ac:dyDescent="0.3">
      <c r="A1161" t="s">
        <v>2758</v>
      </c>
      <c r="B1161" t="s">
        <v>25380</v>
      </c>
      <c r="C1161" t="s">
        <v>20486</v>
      </c>
      <c r="D1161" t="s">
        <v>11</v>
      </c>
      <c r="E1161" t="s">
        <v>2759</v>
      </c>
      <c r="F1161">
        <v>47</v>
      </c>
      <c r="G1161" t="s">
        <v>46</v>
      </c>
      <c r="H1161" t="s">
        <v>46</v>
      </c>
      <c r="I1161" t="s">
        <v>228</v>
      </c>
      <c r="J1161" t="s">
        <v>2760</v>
      </c>
    </row>
    <row r="1162" spans="1:10" x14ac:dyDescent="0.3">
      <c r="A1162" t="s">
        <v>2761</v>
      </c>
      <c r="B1162" t="s">
        <v>25381</v>
      </c>
      <c r="C1162" t="s">
        <v>20486</v>
      </c>
      <c r="D1162" t="s">
        <v>22</v>
      </c>
      <c r="E1162" t="s">
        <v>2762</v>
      </c>
      <c r="F1162">
        <v>48</v>
      </c>
      <c r="G1162" t="s">
        <v>31</v>
      </c>
      <c r="H1162" t="s">
        <v>31</v>
      </c>
      <c r="J1162" t="s">
        <v>33</v>
      </c>
    </row>
    <row r="1163" spans="1:10" x14ac:dyDescent="0.3">
      <c r="A1163" t="s">
        <v>12229</v>
      </c>
      <c r="B1163" t="s">
        <v>25382</v>
      </c>
      <c r="C1163" t="s">
        <v>20487</v>
      </c>
      <c r="D1163" t="s">
        <v>22</v>
      </c>
      <c r="E1163" t="s">
        <v>12230</v>
      </c>
      <c r="F1163">
        <v>43</v>
      </c>
      <c r="G1163" t="s">
        <v>172</v>
      </c>
      <c r="H1163" t="s">
        <v>12099</v>
      </c>
    </row>
    <row r="1164" spans="1:10" x14ac:dyDescent="0.3">
      <c r="A1164" t="s">
        <v>2763</v>
      </c>
      <c r="B1164" t="s">
        <v>25383</v>
      </c>
      <c r="C1164" t="s">
        <v>20486</v>
      </c>
      <c r="D1164" t="s">
        <v>22</v>
      </c>
      <c r="E1164" t="s">
        <v>1219</v>
      </c>
      <c r="F1164">
        <v>55</v>
      </c>
      <c r="G1164" t="s">
        <v>46</v>
      </c>
      <c r="H1164" t="s">
        <v>46</v>
      </c>
      <c r="I1164" t="s">
        <v>228</v>
      </c>
      <c r="J1164" t="s">
        <v>2764</v>
      </c>
    </row>
    <row r="1165" spans="1:10" x14ac:dyDescent="0.3">
      <c r="A1165" t="s">
        <v>2765</v>
      </c>
      <c r="B1165" t="s">
        <v>25384</v>
      </c>
      <c r="C1165" t="s">
        <v>20487</v>
      </c>
      <c r="D1165" t="s">
        <v>22</v>
      </c>
      <c r="E1165" t="s">
        <v>2766</v>
      </c>
      <c r="F1165">
        <v>74</v>
      </c>
      <c r="G1165" t="s">
        <v>201</v>
      </c>
      <c r="H1165" t="s">
        <v>46</v>
      </c>
      <c r="J1165" t="s">
        <v>2767</v>
      </c>
    </row>
    <row r="1166" spans="1:10" x14ac:dyDescent="0.3">
      <c r="A1166" t="s">
        <v>2768</v>
      </c>
      <c r="B1166" t="s">
        <v>25385</v>
      </c>
      <c r="C1166" t="s">
        <v>20488</v>
      </c>
      <c r="D1166" t="s">
        <v>22</v>
      </c>
      <c r="E1166" t="s">
        <v>2769</v>
      </c>
      <c r="F1166">
        <v>57</v>
      </c>
      <c r="G1166" t="s">
        <v>31</v>
      </c>
      <c r="H1166" t="s">
        <v>31</v>
      </c>
      <c r="I1166" t="s">
        <v>33</v>
      </c>
    </row>
    <row r="1167" spans="1:10" x14ac:dyDescent="0.3">
      <c r="A1167" t="s">
        <v>2770</v>
      </c>
      <c r="B1167" t="s">
        <v>25386</v>
      </c>
      <c r="C1167" t="s">
        <v>20486</v>
      </c>
      <c r="D1167" t="s">
        <v>11</v>
      </c>
      <c r="E1167" t="s">
        <v>2771</v>
      </c>
      <c r="F1167">
        <v>40</v>
      </c>
      <c r="G1167" t="s">
        <v>16</v>
      </c>
      <c r="H1167" t="s">
        <v>9785</v>
      </c>
      <c r="I1167" t="s">
        <v>17</v>
      </c>
      <c r="J1167" t="s">
        <v>18812</v>
      </c>
    </row>
    <row r="1168" spans="1:10" x14ac:dyDescent="0.3">
      <c r="A1168" t="s">
        <v>12231</v>
      </c>
      <c r="B1168" t="s">
        <v>25387</v>
      </c>
      <c r="C1168" t="s">
        <v>20486</v>
      </c>
      <c r="D1168" t="s">
        <v>22</v>
      </c>
      <c r="E1168" t="s">
        <v>9725</v>
      </c>
      <c r="F1168">
        <v>27</v>
      </c>
    </row>
    <row r="1169" spans="1:10" x14ac:dyDescent="0.3">
      <c r="A1169" t="s">
        <v>2772</v>
      </c>
      <c r="B1169" t="s">
        <v>25388</v>
      </c>
      <c r="C1169" t="s">
        <v>20486</v>
      </c>
      <c r="D1169" t="s">
        <v>11</v>
      </c>
      <c r="E1169" t="s">
        <v>2773</v>
      </c>
      <c r="F1169">
        <v>35</v>
      </c>
      <c r="G1169" t="s">
        <v>109</v>
      </c>
      <c r="H1169" t="s">
        <v>9788</v>
      </c>
      <c r="I1169" t="s">
        <v>18813</v>
      </c>
      <c r="J1169" t="s">
        <v>2774</v>
      </c>
    </row>
    <row r="1170" spans="1:10" x14ac:dyDescent="0.3">
      <c r="A1170" t="s">
        <v>2775</v>
      </c>
      <c r="B1170" t="s">
        <v>25389</v>
      </c>
      <c r="C1170" t="s">
        <v>20486</v>
      </c>
      <c r="D1170" t="s">
        <v>22</v>
      </c>
      <c r="E1170" t="s">
        <v>2776</v>
      </c>
      <c r="F1170">
        <v>36</v>
      </c>
      <c r="G1170" t="s">
        <v>16</v>
      </c>
      <c r="H1170" t="s">
        <v>9785</v>
      </c>
      <c r="I1170" t="s">
        <v>8693</v>
      </c>
      <c r="J1170" t="s">
        <v>6124</v>
      </c>
    </row>
    <row r="1171" spans="1:10" x14ac:dyDescent="0.3">
      <c r="A1171" t="s">
        <v>2777</v>
      </c>
      <c r="B1171" t="s">
        <v>25390</v>
      </c>
      <c r="C1171" t="s">
        <v>20486</v>
      </c>
      <c r="D1171" t="s">
        <v>22</v>
      </c>
      <c r="E1171" t="s">
        <v>2778</v>
      </c>
      <c r="F1171">
        <v>38</v>
      </c>
      <c r="G1171" t="s">
        <v>31</v>
      </c>
      <c r="H1171" t="s">
        <v>31</v>
      </c>
    </row>
    <row r="1172" spans="1:10" x14ac:dyDescent="0.3">
      <c r="A1172" t="s">
        <v>2779</v>
      </c>
      <c r="B1172" t="s">
        <v>25391</v>
      </c>
      <c r="C1172" t="s">
        <v>20486</v>
      </c>
      <c r="D1172" t="s">
        <v>11</v>
      </c>
      <c r="E1172" t="s">
        <v>2780</v>
      </c>
      <c r="F1172">
        <v>49</v>
      </c>
      <c r="G1172" t="s">
        <v>109</v>
      </c>
      <c r="H1172" t="s">
        <v>9788</v>
      </c>
      <c r="J1172" t="s">
        <v>2781</v>
      </c>
    </row>
    <row r="1173" spans="1:10" x14ac:dyDescent="0.3">
      <c r="A1173" t="s">
        <v>2782</v>
      </c>
      <c r="B1173" t="s">
        <v>25392</v>
      </c>
      <c r="C1173" t="s">
        <v>20487</v>
      </c>
      <c r="D1173" t="s">
        <v>11</v>
      </c>
      <c r="E1173" t="s">
        <v>2783</v>
      </c>
      <c r="F1173">
        <v>44</v>
      </c>
      <c r="G1173" t="s">
        <v>133</v>
      </c>
      <c r="H1173" t="s">
        <v>9788</v>
      </c>
      <c r="J1173" t="s">
        <v>2784</v>
      </c>
    </row>
    <row r="1174" spans="1:10" x14ac:dyDescent="0.3">
      <c r="A1174" t="s">
        <v>2785</v>
      </c>
      <c r="B1174" t="s">
        <v>25393</v>
      </c>
      <c r="C1174" t="s">
        <v>20490</v>
      </c>
      <c r="D1174" t="s">
        <v>22</v>
      </c>
      <c r="E1174" t="s">
        <v>1623</v>
      </c>
      <c r="F1174">
        <v>45</v>
      </c>
      <c r="G1174" t="s">
        <v>109</v>
      </c>
      <c r="H1174" t="s">
        <v>9788</v>
      </c>
    </row>
    <row r="1175" spans="1:10" x14ac:dyDescent="0.3">
      <c r="A1175" t="s">
        <v>2786</v>
      </c>
      <c r="B1175" t="s">
        <v>25394</v>
      </c>
      <c r="C1175" t="s">
        <v>20487</v>
      </c>
      <c r="D1175" t="s">
        <v>22</v>
      </c>
      <c r="E1175" t="s">
        <v>2787</v>
      </c>
      <c r="F1175">
        <v>38</v>
      </c>
      <c r="G1175" t="s">
        <v>16</v>
      </c>
      <c r="H1175" t="s">
        <v>9785</v>
      </c>
      <c r="J1175" t="s">
        <v>2788</v>
      </c>
    </row>
    <row r="1176" spans="1:10" x14ac:dyDescent="0.3">
      <c r="A1176" t="s">
        <v>2789</v>
      </c>
      <c r="B1176" t="s">
        <v>25395</v>
      </c>
      <c r="C1176" t="s">
        <v>20487</v>
      </c>
      <c r="D1176" t="s">
        <v>22</v>
      </c>
      <c r="E1176" t="s">
        <v>2790</v>
      </c>
      <c r="F1176">
        <v>49</v>
      </c>
      <c r="G1176" t="s">
        <v>46</v>
      </c>
      <c r="H1176" t="s">
        <v>46</v>
      </c>
      <c r="I1176" t="s">
        <v>220</v>
      </c>
    </row>
    <row r="1177" spans="1:10" x14ac:dyDescent="0.3">
      <c r="A1177" t="s">
        <v>2792</v>
      </c>
      <c r="B1177" t="s">
        <v>25396</v>
      </c>
      <c r="C1177" t="s">
        <v>20486</v>
      </c>
      <c r="D1177" t="s">
        <v>22</v>
      </c>
      <c r="E1177" t="s">
        <v>2793</v>
      </c>
      <c r="F1177">
        <v>47</v>
      </c>
      <c r="G1177" t="s">
        <v>31</v>
      </c>
      <c r="H1177" t="s">
        <v>31</v>
      </c>
    </row>
    <row r="1178" spans="1:10" x14ac:dyDescent="0.3">
      <c r="A1178" t="s">
        <v>2794</v>
      </c>
      <c r="B1178" t="s">
        <v>25397</v>
      </c>
      <c r="C1178" t="s">
        <v>20486</v>
      </c>
      <c r="D1178" t="s">
        <v>22</v>
      </c>
      <c r="E1178" t="s">
        <v>2795</v>
      </c>
      <c r="F1178">
        <v>43</v>
      </c>
      <c r="G1178" t="s">
        <v>31</v>
      </c>
      <c r="H1178" t="s">
        <v>46</v>
      </c>
      <c r="I1178" t="s">
        <v>18814</v>
      </c>
      <c r="J1178" t="s">
        <v>12233</v>
      </c>
    </row>
    <row r="1179" spans="1:10" x14ac:dyDescent="0.3">
      <c r="A1179" t="s">
        <v>2796</v>
      </c>
      <c r="B1179" t="s">
        <v>25398</v>
      </c>
      <c r="C1179" t="s">
        <v>20488</v>
      </c>
      <c r="D1179" t="s">
        <v>11</v>
      </c>
      <c r="E1179" t="s">
        <v>2797</v>
      </c>
      <c r="F1179">
        <v>48</v>
      </c>
      <c r="G1179" t="s">
        <v>109</v>
      </c>
      <c r="H1179" t="s">
        <v>9788</v>
      </c>
    </row>
    <row r="1180" spans="1:10" x14ac:dyDescent="0.3">
      <c r="A1180" t="s">
        <v>2798</v>
      </c>
      <c r="B1180" t="s">
        <v>25399</v>
      </c>
      <c r="C1180" t="s">
        <v>20490</v>
      </c>
      <c r="D1180" t="s">
        <v>22</v>
      </c>
      <c r="E1180" t="s">
        <v>2799</v>
      </c>
      <c r="F1180">
        <v>54</v>
      </c>
      <c r="G1180" t="s">
        <v>540</v>
      </c>
      <c r="H1180" t="s">
        <v>12074</v>
      </c>
    </row>
    <row r="1181" spans="1:10" x14ac:dyDescent="0.3">
      <c r="A1181" t="s">
        <v>2800</v>
      </c>
      <c r="B1181" t="s">
        <v>25400</v>
      </c>
      <c r="C1181" t="s">
        <v>20486</v>
      </c>
      <c r="D1181" t="s">
        <v>11</v>
      </c>
      <c r="E1181" t="s">
        <v>2801</v>
      </c>
      <c r="F1181">
        <v>46</v>
      </c>
      <c r="G1181" t="s">
        <v>1507</v>
      </c>
      <c r="H1181" t="s">
        <v>46</v>
      </c>
      <c r="I1181" t="s">
        <v>2802</v>
      </c>
      <c r="J1181" t="s">
        <v>2803</v>
      </c>
    </row>
    <row r="1182" spans="1:10" x14ac:dyDescent="0.3">
      <c r="A1182" t="s">
        <v>2804</v>
      </c>
      <c r="B1182" t="s">
        <v>25401</v>
      </c>
      <c r="C1182" t="s">
        <v>20489</v>
      </c>
      <c r="D1182" t="s">
        <v>11</v>
      </c>
      <c r="E1182" t="s">
        <v>2805</v>
      </c>
      <c r="F1182">
        <v>46</v>
      </c>
      <c r="G1182" t="s">
        <v>243</v>
      </c>
      <c r="H1182" t="s">
        <v>243</v>
      </c>
    </row>
    <row r="1183" spans="1:10" x14ac:dyDescent="0.3">
      <c r="A1183" t="s">
        <v>2806</v>
      </c>
      <c r="B1183" t="s">
        <v>25402</v>
      </c>
      <c r="C1183" t="s">
        <v>20489</v>
      </c>
      <c r="D1183" t="s">
        <v>11</v>
      </c>
      <c r="E1183" t="s">
        <v>1109</v>
      </c>
      <c r="F1183">
        <v>41</v>
      </c>
      <c r="G1183" t="s">
        <v>16</v>
      </c>
      <c r="H1183" t="s">
        <v>9785</v>
      </c>
      <c r="I1183" t="s">
        <v>17</v>
      </c>
      <c r="J1183" t="s">
        <v>627</v>
      </c>
    </row>
    <row r="1184" spans="1:10" x14ac:dyDescent="0.3">
      <c r="A1184" t="s">
        <v>2807</v>
      </c>
      <c r="B1184" t="s">
        <v>25403</v>
      </c>
      <c r="C1184" t="s">
        <v>20487</v>
      </c>
      <c r="D1184" t="s">
        <v>11</v>
      </c>
      <c r="E1184" t="s">
        <v>1695</v>
      </c>
      <c r="F1184">
        <v>49</v>
      </c>
      <c r="G1184" t="s">
        <v>2418</v>
      </c>
      <c r="H1184" t="s">
        <v>9787</v>
      </c>
    </row>
    <row r="1185" spans="1:10" x14ac:dyDescent="0.3">
      <c r="A1185" t="s">
        <v>2809</v>
      </c>
      <c r="B1185" t="s">
        <v>25404</v>
      </c>
      <c r="C1185" t="s">
        <v>20490</v>
      </c>
      <c r="D1185" t="s">
        <v>11</v>
      </c>
      <c r="E1185" t="s">
        <v>2810</v>
      </c>
      <c r="F1185">
        <v>60</v>
      </c>
      <c r="G1185" t="s">
        <v>2149</v>
      </c>
      <c r="H1185" t="s">
        <v>46</v>
      </c>
      <c r="J1185" t="s">
        <v>242</v>
      </c>
    </row>
    <row r="1186" spans="1:10" x14ac:dyDescent="0.3">
      <c r="A1186" t="s">
        <v>2811</v>
      </c>
      <c r="B1186" t="s">
        <v>25405</v>
      </c>
      <c r="C1186" t="s">
        <v>20486</v>
      </c>
      <c r="D1186" t="s">
        <v>22</v>
      </c>
      <c r="E1186" t="s">
        <v>2812</v>
      </c>
      <c r="F1186">
        <v>64</v>
      </c>
      <c r="G1186" t="s">
        <v>46</v>
      </c>
      <c r="H1186" t="s">
        <v>46</v>
      </c>
      <c r="I1186" t="s">
        <v>228</v>
      </c>
      <c r="J1186" t="s">
        <v>2813</v>
      </c>
    </row>
    <row r="1187" spans="1:10" x14ac:dyDescent="0.3">
      <c r="A1187" t="s">
        <v>2814</v>
      </c>
      <c r="B1187" t="s">
        <v>25406</v>
      </c>
      <c r="C1187" t="s">
        <v>20488</v>
      </c>
      <c r="D1187" t="s">
        <v>11</v>
      </c>
      <c r="E1187" t="s">
        <v>2815</v>
      </c>
      <c r="F1187">
        <v>64</v>
      </c>
      <c r="G1187" t="s">
        <v>46</v>
      </c>
      <c r="H1187" t="s">
        <v>9788</v>
      </c>
    </row>
    <row r="1188" spans="1:10" x14ac:dyDescent="0.3">
      <c r="A1188" t="s">
        <v>2816</v>
      </c>
      <c r="B1188" t="s">
        <v>25407</v>
      </c>
      <c r="C1188" t="s">
        <v>20486</v>
      </c>
      <c r="D1188" t="s">
        <v>11</v>
      </c>
      <c r="E1188" t="s">
        <v>2817</v>
      </c>
      <c r="F1188">
        <v>27</v>
      </c>
      <c r="G1188" t="s">
        <v>46</v>
      </c>
      <c r="H1188" t="s">
        <v>46</v>
      </c>
      <c r="I1188" t="s">
        <v>2318</v>
      </c>
      <c r="J1188" t="s">
        <v>2818</v>
      </c>
    </row>
    <row r="1189" spans="1:10" x14ac:dyDescent="0.3">
      <c r="A1189" t="s">
        <v>2819</v>
      </c>
      <c r="B1189" t="s">
        <v>25408</v>
      </c>
      <c r="C1189" t="s">
        <v>20488</v>
      </c>
      <c r="D1189" t="s">
        <v>22</v>
      </c>
      <c r="E1189" t="s">
        <v>2820</v>
      </c>
      <c r="F1189">
        <v>43</v>
      </c>
      <c r="G1189" t="s">
        <v>31</v>
      </c>
      <c r="H1189" t="s">
        <v>31</v>
      </c>
      <c r="I1189" t="s">
        <v>33</v>
      </c>
    </row>
    <row r="1190" spans="1:10" x14ac:dyDescent="0.3">
      <c r="A1190" t="s">
        <v>2821</v>
      </c>
      <c r="B1190" t="s">
        <v>25409</v>
      </c>
      <c r="C1190" t="s">
        <v>20491</v>
      </c>
      <c r="D1190" t="s">
        <v>22</v>
      </c>
      <c r="E1190" t="s">
        <v>2822</v>
      </c>
      <c r="F1190">
        <v>39</v>
      </c>
      <c r="G1190" t="s">
        <v>31</v>
      </c>
      <c r="H1190" t="s">
        <v>31</v>
      </c>
    </row>
    <row r="1191" spans="1:10" x14ac:dyDescent="0.3">
      <c r="A1191" t="s">
        <v>2823</v>
      </c>
      <c r="B1191" t="s">
        <v>25410</v>
      </c>
      <c r="C1191" t="s">
        <v>20488</v>
      </c>
      <c r="D1191" t="s">
        <v>11</v>
      </c>
      <c r="E1191" t="s">
        <v>2824</v>
      </c>
      <c r="F1191">
        <v>18</v>
      </c>
      <c r="G1191" t="s">
        <v>337</v>
      </c>
      <c r="H1191" t="s">
        <v>337</v>
      </c>
    </row>
    <row r="1192" spans="1:10" x14ac:dyDescent="0.3">
      <c r="A1192" t="s">
        <v>12234</v>
      </c>
      <c r="B1192" t="s">
        <v>25411</v>
      </c>
      <c r="C1192" t="s">
        <v>20488</v>
      </c>
      <c r="D1192" t="s">
        <v>22</v>
      </c>
      <c r="E1192" t="s">
        <v>8605</v>
      </c>
      <c r="F1192">
        <v>33</v>
      </c>
      <c r="G1192" t="s">
        <v>109</v>
      </c>
      <c r="H1192" t="s">
        <v>9788</v>
      </c>
    </row>
    <row r="1193" spans="1:10" x14ac:dyDescent="0.3">
      <c r="A1193" t="s">
        <v>12235</v>
      </c>
      <c r="B1193" t="s">
        <v>25412</v>
      </c>
      <c r="C1193" t="s">
        <v>20488</v>
      </c>
      <c r="D1193" t="s">
        <v>11</v>
      </c>
      <c r="E1193" t="s">
        <v>8805</v>
      </c>
      <c r="F1193">
        <v>29</v>
      </c>
      <c r="G1193" t="s">
        <v>109</v>
      </c>
      <c r="H1193" t="s">
        <v>9788</v>
      </c>
    </row>
    <row r="1194" spans="1:10" x14ac:dyDescent="0.3">
      <c r="A1194" t="s">
        <v>12236</v>
      </c>
      <c r="B1194" t="s">
        <v>25413</v>
      </c>
      <c r="C1194" t="s">
        <v>20488</v>
      </c>
      <c r="D1194" t="s">
        <v>22</v>
      </c>
      <c r="E1194" t="s">
        <v>3644</v>
      </c>
      <c r="F1194">
        <v>31</v>
      </c>
      <c r="G1194" t="s">
        <v>109</v>
      </c>
      <c r="H1194" t="s">
        <v>9788</v>
      </c>
    </row>
    <row r="1195" spans="1:10" x14ac:dyDescent="0.3">
      <c r="A1195" t="s">
        <v>12237</v>
      </c>
      <c r="B1195" t="s">
        <v>25414</v>
      </c>
      <c r="C1195" t="s">
        <v>20488</v>
      </c>
      <c r="D1195" t="s">
        <v>22</v>
      </c>
      <c r="E1195" t="s">
        <v>9724</v>
      </c>
      <c r="F1195">
        <v>26</v>
      </c>
      <c r="G1195" t="s">
        <v>109</v>
      </c>
      <c r="H1195" t="s">
        <v>9788</v>
      </c>
    </row>
    <row r="1196" spans="1:10" x14ac:dyDescent="0.3">
      <c r="A1196" t="s">
        <v>2825</v>
      </c>
      <c r="B1196" t="s">
        <v>25415</v>
      </c>
      <c r="C1196" t="s">
        <v>20488</v>
      </c>
      <c r="D1196" t="s">
        <v>22</v>
      </c>
      <c r="E1196" t="s">
        <v>2826</v>
      </c>
      <c r="F1196">
        <v>40</v>
      </c>
      <c r="G1196" t="s">
        <v>109</v>
      </c>
      <c r="H1196" t="s">
        <v>9788</v>
      </c>
    </row>
    <row r="1197" spans="1:10" x14ac:dyDescent="0.3">
      <c r="A1197" t="s">
        <v>2827</v>
      </c>
      <c r="B1197" t="s">
        <v>25416</v>
      </c>
      <c r="C1197" t="s">
        <v>20488</v>
      </c>
      <c r="D1197" t="s">
        <v>22</v>
      </c>
      <c r="E1197" t="s">
        <v>2828</v>
      </c>
      <c r="F1197">
        <v>47</v>
      </c>
      <c r="G1197" t="s">
        <v>46</v>
      </c>
      <c r="H1197" t="s">
        <v>46</v>
      </c>
      <c r="I1197" t="s">
        <v>3103</v>
      </c>
      <c r="J1197" t="s">
        <v>12238</v>
      </c>
    </row>
    <row r="1198" spans="1:10" x14ac:dyDescent="0.3">
      <c r="A1198" t="s">
        <v>2829</v>
      </c>
      <c r="B1198" t="s">
        <v>25417</v>
      </c>
      <c r="C1198" t="s">
        <v>20490</v>
      </c>
      <c r="D1198" t="s">
        <v>11</v>
      </c>
      <c r="E1198" t="s">
        <v>2830</v>
      </c>
      <c r="F1198">
        <v>52</v>
      </c>
      <c r="G1198" t="s">
        <v>370</v>
      </c>
      <c r="H1198" t="s">
        <v>46</v>
      </c>
      <c r="J1198" t="s">
        <v>2831</v>
      </c>
    </row>
    <row r="1199" spans="1:10" x14ac:dyDescent="0.3">
      <c r="A1199" t="s">
        <v>2832</v>
      </c>
      <c r="B1199" t="s">
        <v>25418</v>
      </c>
      <c r="C1199" t="s">
        <v>20487</v>
      </c>
      <c r="D1199" t="s">
        <v>22</v>
      </c>
      <c r="E1199" t="s">
        <v>2833</v>
      </c>
      <c r="F1199">
        <v>59</v>
      </c>
      <c r="G1199" t="s">
        <v>33</v>
      </c>
      <c r="H1199" t="s">
        <v>31</v>
      </c>
    </row>
    <row r="1200" spans="1:10" x14ac:dyDescent="0.3">
      <c r="A1200" t="s">
        <v>2834</v>
      </c>
      <c r="B1200" t="s">
        <v>25419</v>
      </c>
      <c r="C1200" t="s">
        <v>20486</v>
      </c>
      <c r="D1200" t="s">
        <v>22</v>
      </c>
      <c r="E1200" t="s">
        <v>2835</v>
      </c>
      <c r="F1200">
        <v>36</v>
      </c>
      <c r="G1200" t="s">
        <v>172</v>
      </c>
      <c r="H1200" t="s">
        <v>12099</v>
      </c>
      <c r="I1200" t="s">
        <v>17</v>
      </c>
      <c r="J1200" t="s">
        <v>12239</v>
      </c>
    </row>
    <row r="1201" spans="1:10" x14ac:dyDescent="0.3">
      <c r="A1201" t="s">
        <v>2836</v>
      </c>
      <c r="B1201" t="s">
        <v>25420</v>
      </c>
      <c r="C1201" t="s">
        <v>20486</v>
      </c>
      <c r="D1201" t="s">
        <v>22</v>
      </c>
      <c r="E1201" t="s">
        <v>720</v>
      </c>
      <c r="F1201">
        <v>61</v>
      </c>
    </row>
    <row r="1202" spans="1:10" x14ac:dyDescent="0.3">
      <c r="A1202" t="s">
        <v>2837</v>
      </c>
      <c r="B1202" t="s">
        <v>25421</v>
      </c>
      <c r="C1202" t="s">
        <v>20486</v>
      </c>
      <c r="D1202" t="s">
        <v>11</v>
      </c>
      <c r="E1202" t="s">
        <v>2838</v>
      </c>
      <c r="F1202">
        <v>41</v>
      </c>
      <c r="G1202" t="s">
        <v>16</v>
      </c>
      <c r="H1202" t="s">
        <v>9785</v>
      </c>
      <c r="I1202" t="s">
        <v>17</v>
      </c>
      <c r="J1202" t="s">
        <v>2839</v>
      </c>
    </row>
    <row r="1203" spans="1:10" x14ac:dyDescent="0.3">
      <c r="A1203" t="s">
        <v>2840</v>
      </c>
      <c r="B1203" t="s">
        <v>25422</v>
      </c>
      <c r="C1203" t="s">
        <v>20486</v>
      </c>
      <c r="D1203" t="s">
        <v>22</v>
      </c>
      <c r="E1203" t="s">
        <v>2841</v>
      </c>
      <c r="F1203">
        <v>57</v>
      </c>
      <c r="G1203" t="s">
        <v>16</v>
      </c>
      <c r="H1203" t="s">
        <v>9785</v>
      </c>
      <c r="I1203" t="s">
        <v>17</v>
      </c>
      <c r="J1203" t="s">
        <v>2842</v>
      </c>
    </row>
    <row r="1204" spans="1:10" x14ac:dyDescent="0.3">
      <c r="A1204" t="s">
        <v>2843</v>
      </c>
      <c r="B1204" t="s">
        <v>25423</v>
      </c>
      <c r="C1204" t="s">
        <v>20486</v>
      </c>
      <c r="D1204" t="s">
        <v>22</v>
      </c>
      <c r="E1204" t="s">
        <v>2844</v>
      </c>
      <c r="F1204">
        <v>59</v>
      </c>
      <c r="G1204" t="s">
        <v>46</v>
      </c>
      <c r="H1204" t="s">
        <v>46</v>
      </c>
    </row>
    <row r="1205" spans="1:10" x14ac:dyDescent="0.3">
      <c r="A1205" t="s">
        <v>2845</v>
      </c>
      <c r="B1205" t="s">
        <v>25424</v>
      </c>
      <c r="C1205" t="s">
        <v>20486</v>
      </c>
      <c r="D1205" t="s">
        <v>22</v>
      </c>
      <c r="E1205" t="s">
        <v>2846</v>
      </c>
      <c r="F1205">
        <v>54</v>
      </c>
      <c r="G1205" t="s">
        <v>177</v>
      </c>
      <c r="H1205" t="s">
        <v>12065</v>
      </c>
      <c r="I1205" t="s">
        <v>110</v>
      </c>
      <c r="J1205" t="s">
        <v>2666</v>
      </c>
    </row>
    <row r="1206" spans="1:10" x14ac:dyDescent="0.3">
      <c r="A1206" t="s">
        <v>2847</v>
      </c>
      <c r="B1206" t="s">
        <v>25425</v>
      </c>
      <c r="C1206" t="s">
        <v>20490</v>
      </c>
      <c r="D1206" t="s">
        <v>22</v>
      </c>
      <c r="E1206" t="s">
        <v>2848</v>
      </c>
      <c r="F1206">
        <v>62</v>
      </c>
      <c r="G1206" t="s">
        <v>31</v>
      </c>
      <c r="H1206" t="s">
        <v>31</v>
      </c>
    </row>
    <row r="1207" spans="1:10" x14ac:dyDescent="0.3">
      <c r="A1207" t="s">
        <v>2849</v>
      </c>
      <c r="B1207" t="s">
        <v>25426</v>
      </c>
      <c r="C1207" t="s">
        <v>20489</v>
      </c>
      <c r="D1207" t="s">
        <v>11</v>
      </c>
      <c r="E1207" t="s">
        <v>2850</v>
      </c>
      <c r="F1207">
        <v>51</v>
      </c>
      <c r="G1207" t="s">
        <v>109</v>
      </c>
      <c r="H1207" t="s">
        <v>9788</v>
      </c>
      <c r="I1207" t="s">
        <v>2851</v>
      </c>
      <c r="J1207" t="s">
        <v>1679</v>
      </c>
    </row>
    <row r="1208" spans="1:10" x14ac:dyDescent="0.3">
      <c r="A1208" t="s">
        <v>2852</v>
      </c>
      <c r="B1208" t="s">
        <v>25427</v>
      </c>
      <c r="C1208" t="s">
        <v>20486</v>
      </c>
      <c r="D1208" t="s">
        <v>22</v>
      </c>
      <c r="E1208" t="s">
        <v>2853</v>
      </c>
      <c r="F1208">
        <v>43</v>
      </c>
      <c r="G1208" t="s">
        <v>2854</v>
      </c>
      <c r="H1208" t="s">
        <v>9789</v>
      </c>
      <c r="I1208" t="s">
        <v>2855</v>
      </c>
    </row>
    <row r="1209" spans="1:10" x14ac:dyDescent="0.3">
      <c r="A1209" t="s">
        <v>2856</v>
      </c>
      <c r="B1209" t="s">
        <v>25428</v>
      </c>
      <c r="C1209" t="s">
        <v>20490</v>
      </c>
      <c r="D1209" t="s">
        <v>11</v>
      </c>
      <c r="E1209" t="s">
        <v>2857</v>
      </c>
      <c r="F1209">
        <v>66</v>
      </c>
      <c r="H1209" t="s">
        <v>46</v>
      </c>
      <c r="J1209" t="s">
        <v>1678</v>
      </c>
    </row>
    <row r="1210" spans="1:10" x14ac:dyDescent="0.3">
      <c r="A1210" t="s">
        <v>2860</v>
      </c>
      <c r="B1210" t="s">
        <v>25429</v>
      </c>
      <c r="C1210" t="s">
        <v>20491</v>
      </c>
      <c r="D1210" t="s">
        <v>22</v>
      </c>
      <c r="E1210" t="s">
        <v>831</v>
      </c>
      <c r="F1210">
        <v>47</v>
      </c>
      <c r="G1210" t="s">
        <v>201</v>
      </c>
      <c r="H1210" t="s">
        <v>46</v>
      </c>
    </row>
    <row r="1211" spans="1:10" x14ac:dyDescent="0.3">
      <c r="A1211" t="s">
        <v>2861</v>
      </c>
      <c r="B1211" t="s">
        <v>25430</v>
      </c>
      <c r="C1211" t="s">
        <v>20491</v>
      </c>
      <c r="D1211" t="s">
        <v>22</v>
      </c>
      <c r="E1211" t="s">
        <v>2862</v>
      </c>
      <c r="F1211">
        <v>73</v>
      </c>
      <c r="G1211" t="s">
        <v>13</v>
      </c>
      <c r="H1211" t="s">
        <v>13</v>
      </c>
      <c r="I1211" t="s">
        <v>17</v>
      </c>
      <c r="J1211" t="s">
        <v>2863</v>
      </c>
    </row>
    <row r="1212" spans="1:10" x14ac:dyDescent="0.3">
      <c r="A1212" t="s">
        <v>2864</v>
      </c>
      <c r="B1212" t="s">
        <v>25431</v>
      </c>
      <c r="C1212" t="s">
        <v>20491</v>
      </c>
      <c r="D1212" t="s">
        <v>11</v>
      </c>
      <c r="E1212" t="s">
        <v>2865</v>
      </c>
      <c r="F1212">
        <v>71</v>
      </c>
      <c r="G1212" t="s">
        <v>13</v>
      </c>
      <c r="H1212" t="s">
        <v>13</v>
      </c>
      <c r="I1212" t="s">
        <v>8693</v>
      </c>
      <c r="J1212" t="s">
        <v>2866</v>
      </c>
    </row>
    <row r="1213" spans="1:10" x14ac:dyDescent="0.3">
      <c r="A1213" t="s">
        <v>2868</v>
      </c>
      <c r="B1213" t="s">
        <v>25432</v>
      </c>
      <c r="C1213" t="s">
        <v>20491</v>
      </c>
      <c r="D1213" t="s">
        <v>22</v>
      </c>
      <c r="E1213" t="s">
        <v>2869</v>
      </c>
      <c r="F1213">
        <v>49</v>
      </c>
      <c r="G1213" t="s">
        <v>2870</v>
      </c>
      <c r="H1213" t="s">
        <v>9788</v>
      </c>
      <c r="J1213" t="s">
        <v>2871</v>
      </c>
    </row>
    <row r="1214" spans="1:10" x14ac:dyDescent="0.3">
      <c r="A1214" t="s">
        <v>2872</v>
      </c>
      <c r="B1214" t="s">
        <v>25433</v>
      </c>
      <c r="C1214" t="s">
        <v>20491</v>
      </c>
      <c r="D1214" t="s">
        <v>22</v>
      </c>
      <c r="E1214" t="s">
        <v>2873</v>
      </c>
      <c r="F1214">
        <v>41</v>
      </c>
      <c r="G1214" t="s">
        <v>109</v>
      </c>
      <c r="H1214" t="s">
        <v>9788</v>
      </c>
      <c r="I1214" t="s">
        <v>17</v>
      </c>
      <c r="J1214" t="s">
        <v>2874</v>
      </c>
    </row>
    <row r="1215" spans="1:10" x14ac:dyDescent="0.3">
      <c r="A1215" t="s">
        <v>2875</v>
      </c>
      <c r="B1215" t="s">
        <v>25434</v>
      </c>
      <c r="C1215" t="s">
        <v>20491</v>
      </c>
      <c r="D1215" t="s">
        <v>22</v>
      </c>
      <c r="E1215" t="s">
        <v>2876</v>
      </c>
      <c r="F1215">
        <v>52</v>
      </c>
      <c r="G1215" t="s">
        <v>109</v>
      </c>
      <c r="H1215" t="s">
        <v>9788</v>
      </c>
      <c r="I1215" t="s">
        <v>441</v>
      </c>
      <c r="J1215" t="s">
        <v>2877</v>
      </c>
    </row>
    <row r="1216" spans="1:10" x14ac:dyDescent="0.3">
      <c r="A1216" t="s">
        <v>2878</v>
      </c>
      <c r="B1216" t="s">
        <v>25435</v>
      </c>
      <c r="C1216" t="s">
        <v>20486</v>
      </c>
      <c r="D1216" t="s">
        <v>22</v>
      </c>
      <c r="E1216" t="s">
        <v>2879</v>
      </c>
      <c r="F1216">
        <v>49</v>
      </c>
      <c r="G1216" t="s">
        <v>16</v>
      </c>
      <c r="H1216" t="s">
        <v>9785</v>
      </c>
      <c r="I1216" t="s">
        <v>17</v>
      </c>
      <c r="J1216" t="s">
        <v>2880</v>
      </c>
    </row>
    <row r="1217" spans="1:10" x14ac:dyDescent="0.3">
      <c r="A1217" t="s">
        <v>2881</v>
      </c>
      <c r="B1217" t="s">
        <v>25436</v>
      </c>
      <c r="C1217" t="s">
        <v>20487</v>
      </c>
      <c r="D1217" t="s">
        <v>11</v>
      </c>
      <c r="E1217" t="s">
        <v>2882</v>
      </c>
      <c r="F1217">
        <v>70</v>
      </c>
      <c r="G1217" t="s">
        <v>13</v>
      </c>
      <c r="H1217" t="s">
        <v>13</v>
      </c>
      <c r="I1217" t="s">
        <v>441</v>
      </c>
      <c r="J1217" t="s">
        <v>14301</v>
      </c>
    </row>
    <row r="1218" spans="1:10" x14ac:dyDescent="0.3">
      <c r="A1218" t="s">
        <v>2883</v>
      </c>
      <c r="B1218" t="s">
        <v>25437</v>
      </c>
      <c r="C1218" t="s">
        <v>20486</v>
      </c>
      <c r="D1218" t="s">
        <v>22</v>
      </c>
      <c r="E1218" t="s">
        <v>2884</v>
      </c>
      <c r="F1218">
        <v>64</v>
      </c>
      <c r="G1218" t="s">
        <v>13</v>
      </c>
      <c r="H1218" t="s">
        <v>13</v>
      </c>
    </row>
    <row r="1219" spans="1:10" x14ac:dyDescent="0.3">
      <c r="A1219" t="s">
        <v>2885</v>
      </c>
      <c r="B1219" t="s">
        <v>25438</v>
      </c>
      <c r="C1219" t="s">
        <v>20486</v>
      </c>
      <c r="D1219" t="s">
        <v>22</v>
      </c>
      <c r="E1219" t="s">
        <v>297</v>
      </c>
      <c r="F1219">
        <v>40</v>
      </c>
      <c r="G1219" t="s">
        <v>31</v>
      </c>
      <c r="H1219" t="s">
        <v>31</v>
      </c>
    </row>
    <row r="1220" spans="1:10" x14ac:dyDescent="0.3">
      <c r="A1220" t="s">
        <v>2886</v>
      </c>
      <c r="B1220" t="s">
        <v>25439</v>
      </c>
      <c r="C1220" t="s">
        <v>20487</v>
      </c>
      <c r="D1220" t="s">
        <v>11</v>
      </c>
      <c r="E1220" t="s">
        <v>2887</v>
      </c>
      <c r="F1220">
        <v>68</v>
      </c>
      <c r="G1220" t="s">
        <v>384</v>
      </c>
    </row>
    <row r="1221" spans="1:10" x14ac:dyDescent="0.3">
      <c r="A1221" t="s">
        <v>2888</v>
      </c>
      <c r="B1221" t="s">
        <v>25440</v>
      </c>
      <c r="C1221" t="s">
        <v>20487</v>
      </c>
      <c r="D1221" t="s">
        <v>22</v>
      </c>
      <c r="E1221" t="s">
        <v>2889</v>
      </c>
      <c r="F1221">
        <v>53</v>
      </c>
      <c r="G1221" t="s">
        <v>231</v>
      </c>
      <c r="H1221" t="s">
        <v>9788</v>
      </c>
    </row>
    <row r="1222" spans="1:10" x14ac:dyDescent="0.3">
      <c r="A1222" t="s">
        <v>2890</v>
      </c>
      <c r="B1222" t="s">
        <v>25441</v>
      </c>
      <c r="C1222" t="s">
        <v>20486</v>
      </c>
      <c r="D1222" t="s">
        <v>22</v>
      </c>
      <c r="E1222" t="s">
        <v>2891</v>
      </c>
      <c r="F1222">
        <v>37</v>
      </c>
      <c r="G1222" t="s">
        <v>31</v>
      </c>
      <c r="H1222" t="s">
        <v>31</v>
      </c>
    </row>
    <row r="1223" spans="1:10" x14ac:dyDescent="0.3">
      <c r="A1223" t="s">
        <v>2892</v>
      </c>
      <c r="B1223" t="s">
        <v>25442</v>
      </c>
      <c r="C1223" t="s">
        <v>20486</v>
      </c>
      <c r="D1223" t="s">
        <v>22</v>
      </c>
      <c r="E1223" t="s">
        <v>2893</v>
      </c>
      <c r="F1223">
        <v>54</v>
      </c>
      <c r="G1223" t="s">
        <v>243</v>
      </c>
      <c r="H1223" t="s">
        <v>9785</v>
      </c>
      <c r="I1223" t="s">
        <v>18815</v>
      </c>
      <c r="J1223" t="s">
        <v>14302</v>
      </c>
    </row>
    <row r="1224" spans="1:10" x14ac:dyDescent="0.3">
      <c r="A1224" t="s">
        <v>2894</v>
      </c>
      <c r="B1224" t="s">
        <v>25443</v>
      </c>
      <c r="C1224" t="s">
        <v>20486</v>
      </c>
      <c r="D1224" t="s">
        <v>22</v>
      </c>
      <c r="E1224" t="s">
        <v>2895</v>
      </c>
      <c r="F1224">
        <v>62</v>
      </c>
      <c r="G1224" t="s">
        <v>109</v>
      </c>
      <c r="H1224" t="s">
        <v>9788</v>
      </c>
      <c r="J1224" t="s">
        <v>242</v>
      </c>
    </row>
    <row r="1225" spans="1:10" x14ac:dyDescent="0.3">
      <c r="A1225" t="s">
        <v>2896</v>
      </c>
      <c r="B1225" t="s">
        <v>25444</v>
      </c>
      <c r="C1225" t="s">
        <v>20486</v>
      </c>
      <c r="D1225" t="s">
        <v>22</v>
      </c>
      <c r="E1225" t="s">
        <v>2897</v>
      </c>
      <c r="F1225">
        <v>58</v>
      </c>
      <c r="G1225" t="s">
        <v>384</v>
      </c>
    </row>
    <row r="1226" spans="1:10" x14ac:dyDescent="0.3">
      <c r="A1226" t="s">
        <v>2898</v>
      </c>
      <c r="B1226" t="s">
        <v>25445</v>
      </c>
      <c r="C1226" t="s">
        <v>20486</v>
      </c>
      <c r="D1226" t="s">
        <v>22</v>
      </c>
      <c r="E1226" t="s">
        <v>2899</v>
      </c>
      <c r="F1226">
        <v>67</v>
      </c>
    </row>
    <row r="1227" spans="1:10" x14ac:dyDescent="0.3">
      <c r="A1227" t="s">
        <v>2900</v>
      </c>
      <c r="B1227" t="s">
        <v>25446</v>
      </c>
      <c r="C1227" t="s">
        <v>20486</v>
      </c>
      <c r="D1227" t="s">
        <v>11</v>
      </c>
      <c r="E1227" t="s">
        <v>2901</v>
      </c>
      <c r="F1227">
        <v>51</v>
      </c>
      <c r="G1227" t="s">
        <v>46</v>
      </c>
      <c r="H1227" t="s">
        <v>46</v>
      </c>
    </row>
    <row r="1228" spans="1:10" x14ac:dyDescent="0.3">
      <c r="A1228" t="s">
        <v>2902</v>
      </c>
      <c r="B1228" t="s">
        <v>25447</v>
      </c>
      <c r="C1228" t="s">
        <v>20487</v>
      </c>
      <c r="D1228" t="s">
        <v>11</v>
      </c>
      <c r="E1228" t="s">
        <v>2903</v>
      </c>
      <c r="F1228">
        <v>51</v>
      </c>
      <c r="G1228" t="s">
        <v>1269</v>
      </c>
      <c r="H1228" t="s">
        <v>12074</v>
      </c>
    </row>
    <row r="1229" spans="1:10" x14ac:dyDescent="0.3">
      <c r="A1229" t="s">
        <v>2905</v>
      </c>
      <c r="B1229" t="s">
        <v>25448</v>
      </c>
      <c r="C1229" t="s">
        <v>20486</v>
      </c>
      <c r="D1229" t="s">
        <v>22</v>
      </c>
      <c r="E1229" t="s">
        <v>2906</v>
      </c>
      <c r="F1229">
        <v>47</v>
      </c>
      <c r="G1229" t="s">
        <v>46</v>
      </c>
      <c r="H1229" t="s">
        <v>46</v>
      </c>
    </row>
    <row r="1230" spans="1:10" x14ac:dyDescent="0.3">
      <c r="A1230" t="s">
        <v>2907</v>
      </c>
      <c r="B1230" t="s">
        <v>25449</v>
      </c>
      <c r="C1230" t="s">
        <v>20488</v>
      </c>
      <c r="D1230" t="s">
        <v>22</v>
      </c>
      <c r="E1230" t="s">
        <v>2908</v>
      </c>
      <c r="F1230">
        <v>52</v>
      </c>
      <c r="G1230" t="s">
        <v>31</v>
      </c>
      <c r="H1230" t="s">
        <v>31</v>
      </c>
      <c r="I1230" t="s">
        <v>33</v>
      </c>
    </row>
    <row r="1231" spans="1:10" x14ac:dyDescent="0.3">
      <c r="A1231" t="s">
        <v>2909</v>
      </c>
      <c r="B1231" t="s">
        <v>25450</v>
      </c>
      <c r="C1231" t="s">
        <v>20486</v>
      </c>
      <c r="D1231" t="s">
        <v>22</v>
      </c>
      <c r="E1231" t="s">
        <v>1923</v>
      </c>
      <c r="F1231">
        <v>46</v>
      </c>
      <c r="G1231" t="s">
        <v>172</v>
      </c>
      <c r="H1231" t="s">
        <v>12099</v>
      </c>
      <c r="I1231" t="s">
        <v>8693</v>
      </c>
      <c r="J1231" t="s">
        <v>2910</v>
      </c>
    </row>
    <row r="1232" spans="1:10" x14ac:dyDescent="0.3">
      <c r="A1232" t="s">
        <v>2911</v>
      </c>
      <c r="B1232" t="s">
        <v>25451</v>
      </c>
      <c r="C1232" t="s">
        <v>20486</v>
      </c>
      <c r="D1232" t="s">
        <v>22</v>
      </c>
      <c r="E1232" t="s">
        <v>2912</v>
      </c>
      <c r="F1232">
        <v>71</v>
      </c>
      <c r="G1232" t="s">
        <v>46</v>
      </c>
      <c r="H1232" t="s">
        <v>31</v>
      </c>
      <c r="I1232" t="s">
        <v>3763</v>
      </c>
    </row>
    <row r="1233" spans="1:10" x14ac:dyDescent="0.3">
      <c r="A1233" t="s">
        <v>2913</v>
      </c>
      <c r="B1233" t="s">
        <v>25452</v>
      </c>
      <c r="C1233" t="s">
        <v>20486</v>
      </c>
      <c r="D1233" t="s">
        <v>22</v>
      </c>
      <c r="E1233" t="s">
        <v>2914</v>
      </c>
      <c r="F1233">
        <v>46</v>
      </c>
      <c r="G1233" t="s">
        <v>46</v>
      </c>
      <c r="H1233" t="s">
        <v>46</v>
      </c>
      <c r="I1233" t="s">
        <v>228</v>
      </c>
      <c r="J1233" t="s">
        <v>33</v>
      </c>
    </row>
    <row r="1234" spans="1:10" x14ac:dyDescent="0.3">
      <c r="A1234" t="s">
        <v>2915</v>
      </c>
      <c r="B1234" t="s">
        <v>25453</v>
      </c>
      <c r="C1234" t="s">
        <v>20487</v>
      </c>
      <c r="D1234" t="s">
        <v>11</v>
      </c>
      <c r="E1234" t="s">
        <v>2916</v>
      </c>
      <c r="F1234">
        <v>41</v>
      </c>
      <c r="G1234" t="s">
        <v>46</v>
      </c>
      <c r="H1234" t="s">
        <v>46</v>
      </c>
      <c r="J1234" t="s">
        <v>2917</v>
      </c>
    </row>
    <row r="1235" spans="1:10" x14ac:dyDescent="0.3">
      <c r="A1235" t="s">
        <v>2918</v>
      </c>
      <c r="B1235" t="s">
        <v>25454</v>
      </c>
      <c r="C1235" t="s">
        <v>20486</v>
      </c>
      <c r="D1235" t="s">
        <v>11</v>
      </c>
      <c r="E1235" t="s">
        <v>2919</v>
      </c>
      <c r="F1235">
        <v>53</v>
      </c>
      <c r="G1235" t="s">
        <v>46</v>
      </c>
      <c r="H1235" t="s">
        <v>46</v>
      </c>
      <c r="J1235" t="s">
        <v>2920</v>
      </c>
    </row>
    <row r="1236" spans="1:10" x14ac:dyDescent="0.3">
      <c r="A1236" t="s">
        <v>2921</v>
      </c>
      <c r="B1236" t="s">
        <v>25455</v>
      </c>
      <c r="C1236" t="s">
        <v>20488</v>
      </c>
      <c r="D1236" t="s">
        <v>22</v>
      </c>
      <c r="E1236" t="s">
        <v>2922</v>
      </c>
      <c r="F1236">
        <v>43</v>
      </c>
      <c r="G1236" t="s">
        <v>46</v>
      </c>
      <c r="H1236" t="s">
        <v>46</v>
      </c>
    </row>
    <row r="1237" spans="1:10" x14ac:dyDescent="0.3">
      <c r="A1237" t="s">
        <v>12240</v>
      </c>
      <c r="B1237" t="s">
        <v>25456</v>
      </c>
      <c r="C1237" t="s">
        <v>20487</v>
      </c>
      <c r="D1237" t="s">
        <v>11</v>
      </c>
      <c r="E1237" t="s">
        <v>9723</v>
      </c>
      <c r="F1237">
        <v>18</v>
      </c>
      <c r="G1237" t="s">
        <v>337</v>
      </c>
      <c r="H1237" t="s">
        <v>337</v>
      </c>
    </row>
    <row r="1238" spans="1:10" x14ac:dyDescent="0.3">
      <c r="A1238" t="s">
        <v>2923</v>
      </c>
      <c r="B1238" t="s">
        <v>25457</v>
      </c>
      <c r="C1238" t="s">
        <v>20486</v>
      </c>
      <c r="D1238" t="s">
        <v>11</v>
      </c>
      <c r="E1238" t="s">
        <v>614</v>
      </c>
      <c r="F1238">
        <v>49</v>
      </c>
      <c r="G1238" t="s">
        <v>46</v>
      </c>
      <c r="H1238" t="s">
        <v>46</v>
      </c>
    </row>
    <row r="1239" spans="1:10" x14ac:dyDescent="0.3">
      <c r="A1239" t="s">
        <v>2924</v>
      </c>
      <c r="B1239" t="s">
        <v>25458</v>
      </c>
      <c r="C1239" t="s">
        <v>20488</v>
      </c>
      <c r="D1239" t="s">
        <v>22</v>
      </c>
      <c r="E1239" t="s">
        <v>2925</v>
      </c>
      <c r="F1239">
        <v>48</v>
      </c>
      <c r="G1239" t="s">
        <v>31</v>
      </c>
      <c r="H1239" t="s">
        <v>31</v>
      </c>
      <c r="I1239" t="s">
        <v>33</v>
      </c>
    </row>
    <row r="1240" spans="1:10" x14ac:dyDescent="0.3">
      <c r="A1240" t="s">
        <v>2926</v>
      </c>
      <c r="B1240" t="s">
        <v>25459</v>
      </c>
      <c r="C1240" t="s">
        <v>20488</v>
      </c>
      <c r="D1240" t="s">
        <v>22</v>
      </c>
      <c r="E1240" t="s">
        <v>2927</v>
      </c>
      <c r="F1240">
        <v>57</v>
      </c>
      <c r="G1240" t="s">
        <v>31</v>
      </c>
      <c r="H1240" t="s">
        <v>31</v>
      </c>
    </row>
    <row r="1241" spans="1:10" x14ac:dyDescent="0.3">
      <c r="A1241" t="s">
        <v>2928</v>
      </c>
      <c r="B1241" t="s">
        <v>25460</v>
      </c>
      <c r="C1241" t="s">
        <v>20488</v>
      </c>
      <c r="D1241" t="s">
        <v>11</v>
      </c>
      <c r="E1241" t="s">
        <v>2929</v>
      </c>
      <c r="F1241">
        <v>59</v>
      </c>
      <c r="G1241" t="s">
        <v>46</v>
      </c>
      <c r="H1241" t="s">
        <v>46</v>
      </c>
      <c r="I1241" t="s">
        <v>12241</v>
      </c>
      <c r="J1241" t="s">
        <v>12242</v>
      </c>
    </row>
    <row r="1242" spans="1:10" x14ac:dyDescent="0.3">
      <c r="A1242" t="s">
        <v>2930</v>
      </c>
      <c r="B1242" t="s">
        <v>25461</v>
      </c>
      <c r="C1242" t="s">
        <v>20490</v>
      </c>
      <c r="D1242" t="s">
        <v>22</v>
      </c>
      <c r="E1242" t="s">
        <v>2931</v>
      </c>
      <c r="F1242">
        <v>49</v>
      </c>
    </row>
    <row r="1243" spans="1:10" x14ac:dyDescent="0.3">
      <c r="A1243" t="s">
        <v>2932</v>
      </c>
      <c r="B1243" t="s">
        <v>25462</v>
      </c>
      <c r="C1243" t="s">
        <v>20487</v>
      </c>
      <c r="D1243" t="s">
        <v>22</v>
      </c>
      <c r="E1243" t="s">
        <v>2933</v>
      </c>
      <c r="F1243">
        <v>54</v>
      </c>
      <c r="G1243" t="s">
        <v>33</v>
      </c>
      <c r="H1243" t="s">
        <v>31</v>
      </c>
    </row>
    <row r="1244" spans="1:10" x14ac:dyDescent="0.3">
      <c r="A1244" t="s">
        <v>2934</v>
      </c>
      <c r="B1244" t="s">
        <v>25463</v>
      </c>
      <c r="C1244" t="s">
        <v>20486</v>
      </c>
      <c r="D1244" t="s">
        <v>22</v>
      </c>
      <c r="E1244" t="s">
        <v>2935</v>
      </c>
      <c r="F1244">
        <v>39</v>
      </c>
    </row>
    <row r="1245" spans="1:10" x14ac:dyDescent="0.3">
      <c r="A1245" t="s">
        <v>2936</v>
      </c>
      <c r="B1245" t="s">
        <v>25464</v>
      </c>
      <c r="C1245" t="s">
        <v>20486</v>
      </c>
      <c r="D1245" t="s">
        <v>22</v>
      </c>
      <c r="E1245" t="s">
        <v>2937</v>
      </c>
      <c r="F1245">
        <v>71</v>
      </c>
      <c r="G1245" t="s">
        <v>46</v>
      </c>
      <c r="H1245" t="s">
        <v>46</v>
      </c>
      <c r="J1245" t="s">
        <v>2938</v>
      </c>
    </row>
    <row r="1246" spans="1:10" x14ac:dyDescent="0.3">
      <c r="A1246" t="s">
        <v>2939</v>
      </c>
      <c r="B1246" t="s">
        <v>25465</v>
      </c>
      <c r="C1246" t="s">
        <v>20486</v>
      </c>
      <c r="D1246" t="s">
        <v>22</v>
      </c>
      <c r="E1246" t="s">
        <v>2940</v>
      </c>
      <c r="F1246">
        <v>55</v>
      </c>
      <c r="G1246" t="s">
        <v>16</v>
      </c>
      <c r="H1246" t="s">
        <v>9785</v>
      </c>
      <c r="I1246" t="s">
        <v>17</v>
      </c>
    </row>
    <row r="1247" spans="1:10" x14ac:dyDescent="0.3">
      <c r="A1247" t="s">
        <v>2941</v>
      </c>
      <c r="B1247" t="s">
        <v>25466</v>
      </c>
      <c r="C1247" t="s">
        <v>20488</v>
      </c>
      <c r="D1247" t="s">
        <v>22</v>
      </c>
      <c r="E1247" t="s">
        <v>2942</v>
      </c>
      <c r="F1247">
        <v>30</v>
      </c>
      <c r="G1247" t="s">
        <v>337</v>
      </c>
      <c r="H1247" t="s">
        <v>337</v>
      </c>
    </row>
    <row r="1248" spans="1:10" x14ac:dyDescent="0.3">
      <c r="A1248" t="s">
        <v>2943</v>
      </c>
      <c r="B1248" t="s">
        <v>25467</v>
      </c>
      <c r="C1248" t="s">
        <v>20490</v>
      </c>
      <c r="D1248" t="s">
        <v>22</v>
      </c>
      <c r="E1248" t="s">
        <v>2944</v>
      </c>
      <c r="F1248">
        <v>62</v>
      </c>
      <c r="G1248" t="s">
        <v>31</v>
      </c>
      <c r="H1248" t="s">
        <v>31</v>
      </c>
    </row>
    <row r="1249" spans="1:10" x14ac:dyDescent="0.3">
      <c r="A1249" t="s">
        <v>2945</v>
      </c>
      <c r="B1249" t="s">
        <v>25468</v>
      </c>
      <c r="C1249" t="s">
        <v>20487</v>
      </c>
      <c r="D1249" t="s">
        <v>22</v>
      </c>
      <c r="E1249" t="s">
        <v>2946</v>
      </c>
      <c r="F1249">
        <v>45</v>
      </c>
      <c r="G1249" t="s">
        <v>46</v>
      </c>
      <c r="H1249" t="s">
        <v>46</v>
      </c>
      <c r="J1249" t="s">
        <v>2947</v>
      </c>
    </row>
    <row r="1250" spans="1:10" x14ac:dyDescent="0.3">
      <c r="A1250" t="s">
        <v>2948</v>
      </c>
      <c r="B1250" t="s">
        <v>25469</v>
      </c>
      <c r="C1250" t="s">
        <v>20486</v>
      </c>
      <c r="D1250" t="s">
        <v>22</v>
      </c>
      <c r="E1250" t="s">
        <v>2949</v>
      </c>
      <c r="F1250">
        <v>44</v>
      </c>
      <c r="G1250" t="s">
        <v>31</v>
      </c>
      <c r="H1250" t="s">
        <v>46</v>
      </c>
      <c r="I1250" t="s">
        <v>220</v>
      </c>
      <c r="J1250" t="s">
        <v>2950</v>
      </c>
    </row>
    <row r="1251" spans="1:10" x14ac:dyDescent="0.3">
      <c r="A1251" t="s">
        <v>2951</v>
      </c>
      <c r="B1251" t="s">
        <v>25470</v>
      </c>
      <c r="C1251" t="s">
        <v>20490</v>
      </c>
      <c r="D1251" t="s">
        <v>22</v>
      </c>
      <c r="E1251" t="s">
        <v>2952</v>
      </c>
      <c r="F1251">
        <v>40</v>
      </c>
      <c r="H1251" t="s">
        <v>9788</v>
      </c>
    </row>
    <row r="1252" spans="1:10" x14ac:dyDescent="0.3">
      <c r="A1252" t="s">
        <v>2953</v>
      </c>
      <c r="B1252" t="s">
        <v>25471</v>
      </c>
      <c r="C1252" t="s">
        <v>20487</v>
      </c>
      <c r="D1252" t="s">
        <v>11</v>
      </c>
      <c r="E1252" t="s">
        <v>2954</v>
      </c>
      <c r="F1252">
        <v>53</v>
      </c>
      <c r="G1252" t="s">
        <v>5098</v>
      </c>
      <c r="H1252" t="s">
        <v>9785</v>
      </c>
      <c r="J1252" t="s">
        <v>2955</v>
      </c>
    </row>
    <row r="1253" spans="1:10" x14ac:dyDescent="0.3">
      <c r="A1253" t="s">
        <v>2956</v>
      </c>
      <c r="B1253" t="s">
        <v>25472</v>
      </c>
      <c r="C1253" t="s">
        <v>20486</v>
      </c>
      <c r="D1253" t="s">
        <v>22</v>
      </c>
      <c r="E1253" t="s">
        <v>2957</v>
      </c>
      <c r="F1253">
        <v>65</v>
      </c>
      <c r="G1253" t="s">
        <v>172</v>
      </c>
      <c r="H1253" t="s">
        <v>12099</v>
      </c>
      <c r="J1253" t="s">
        <v>2958</v>
      </c>
    </row>
    <row r="1254" spans="1:10" x14ac:dyDescent="0.3">
      <c r="A1254" t="s">
        <v>2959</v>
      </c>
      <c r="B1254" t="s">
        <v>25473</v>
      </c>
      <c r="C1254" t="s">
        <v>20490</v>
      </c>
      <c r="D1254" t="s">
        <v>22</v>
      </c>
      <c r="E1254" t="s">
        <v>2960</v>
      </c>
      <c r="F1254">
        <v>58</v>
      </c>
      <c r="G1254" t="s">
        <v>201</v>
      </c>
      <c r="H1254" t="s">
        <v>46</v>
      </c>
      <c r="J1254" t="s">
        <v>2961</v>
      </c>
    </row>
    <row r="1255" spans="1:10" x14ac:dyDescent="0.3">
      <c r="A1255" t="s">
        <v>2962</v>
      </c>
      <c r="B1255" t="s">
        <v>25474</v>
      </c>
      <c r="C1255" t="s">
        <v>20488</v>
      </c>
      <c r="D1255" t="s">
        <v>22</v>
      </c>
      <c r="E1255" t="s">
        <v>782</v>
      </c>
      <c r="F1255">
        <v>57</v>
      </c>
      <c r="G1255" t="s">
        <v>46</v>
      </c>
      <c r="H1255" t="s">
        <v>46</v>
      </c>
      <c r="I1255" t="s">
        <v>228</v>
      </c>
      <c r="J1255" t="s">
        <v>12243</v>
      </c>
    </row>
    <row r="1256" spans="1:10" x14ac:dyDescent="0.3">
      <c r="A1256" t="s">
        <v>2963</v>
      </c>
      <c r="B1256" t="s">
        <v>25475</v>
      </c>
      <c r="C1256" t="s">
        <v>20486</v>
      </c>
      <c r="D1256" t="s">
        <v>11</v>
      </c>
      <c r="E1256" t="s">
        <v>2964</v>
      </c>
      <c r="F1256">
        <v>36</v>
      </c>
      <c r="G1256" t="s">
        <v>109</v>
      </c>
      <c r="H1256" t="s">
        <v>9788</v>
      </c>
      <c r="J1256" t="s">
        <v>901</v>
      </c>
    </row>
    <row r="1257" spans="1:10" x14ac:dyDescent="0.3">
      <c r="A1257" t="s">
        <v>2965</v>
      </c>
      <c r="B1257" t="s">
        <v>25476</v>
      </c>
      <c r="C1257" t="s">
        <v>20490</v>
      </c>
      <c r="D1257" t="s">
        <v>22</v>
      </c>
      <c r="E1257" t="s">
        <v>2966</v>
      </c>
      <c r="F1257">
        <v>66</v>
      </c>
      <c r="G1257" t="s">
        <v>33</v>
      </c>
      <c r="H1257" t="s">
        <v>31</v>
      </c>
    </row>
    <row r="1258" spans="1:10" x14ac:dyDescent="0.3">
      <c r="A1258" t="s">
        <v>2967</v>
      </c>
      <c r="B1258" t="s">
        <v>25477</v>
      </c>
      <c r="C1258" t="s">
        <v>20489</v>
      </c>
      <c r="D1258" t="s">
        <v>11</v>
      </c>
      <c r="E1258" t="s">
        <v>2968</v>
      </c>
      <c r="F1258">
        <v>43</v>
      </c>
      <c r="G1258" t="s">
        <v>109</v>
      </c>
      <c r="H1258" t="s">
        <v>9788</v>
      </c>
      <c r="I1258" t="s">
        <v>4629</v>
      </c>
      <c r="J1258" t="s">
        <v>2969</v>
      </c>
    </row>
    <row r="1259" spans="1:10" x14ac:dyDescent="0.3">
      <c r="A1259" t="s">
        <v>2970</v>
      </c>
      <c r="B1259" t="s">
        <v>25478</v>
      </c>
      <c r="C1259" t="s">
        <v>20489</v>
      </c>
      <c r="D1259" t="s">
        <v>22</v>
      </c>
      <c r="E1259" t="s">
        <v>2971</v>
      </c>
      <c r="F1259">
        <v>42</v>
      </c>
      <c r="G1259" t="s">
        <v>1200</v>
      </c>
      <c r="H1259" t="s">
        <v>9788</v>
      </c>
      <c r="I1259" t="s">
        <v>2972</v>
      </c>
      <c r="J1259" t="s">
        <v>2973</v>
      </c>
    </row>
    <row r="1260" spans="1:10" x14ac:dyDescent="0.3">
      <c r="A1260" t="s">
        <v>2974</v>
      </c>
      <c r="B1260" t="s">
        <v>25479</v>
      </c>
      <c r="C1260" t="s">
        <v>20486</v>
      </c>
      <c r="D1260" t="s">
        <v>22</v>
      </c>
      <c r="E1260" t="s">
        <v>2975</v>
      </c>
      <c r="F1260">
        <v>65</v>
      </c>
      <c r="G1260" t="s">
        <v>31</v>
      </c>
      <c r="H1260" t="s">
        <v>31</v>
      </c>
      <c r="J1260" t="s">
        <v>33</v>
      </c>
    </row>
    <row r="1261" spans="1:10" x14ac:dyDescent="0.3">
      <c r="A1261" t="s">
        <v>2976</v>
      </c>
      <c r="B1261" t="s">
        <v>25480</v>
      </c>
      <c r="C1261" t="s">
        <v>20486</v>
      </c>
      <c r="D1261" t="s">
        <v>11</v>
      </c>
      <c r="E1261" t="s">
        <v>2977</v>
      </c>
      <c r="F1261">
        <v>42</v>
      </c>
      <c r="G1261" t="s">
        <v>109</v>
      </c>
      <c r="H1261" t="s">
        <v>9788</v>
      </c>
      <c r="J1261" t="s">
        <v>2978</v>
      </c>
    </row>
    <row r="1262" spans="1:10" x14ac:dyDescent="0.3">
      <c r="A1262" t="s">
        <v>2979</v>
      </c>
      <c r="B1262" t="s">
        <v>25481</v>
      </c>
      <c r="C1262" t="s">
        <v>20488</v>
      </c>
      <c r="D1262" t="s">
        <v>22</v>
      </c>
      <c r="E1262" t="s">
        <v>2980</v>
      </c>
      <c r="F1262">
        <v>59</v>
      </c>
      <c r="G1262" t="s">
        <v>16</v>
      </c>
      <c r="H1262" t="s">
        <v>9785</v>
      </c>
      <c r="I1262" t="s">
        <v>449</v>
      </c>
      <c r="J1262" t="s">
        <v>817</v>
      </c>
    </row>
    <row r="1263" spans="1:10" x14ac:dyDescent="0.3">
      <c r="A1263" t="s">
        <v>12244</v>
      </c>
      <c r="B1263" t="s">
        <v>25482</v>
      </c>
      <c r="C1263" t="s">
        <v>20488</v>
      </c>
      <c r="D1263" t="s">
        <v>22</v>
      </c>
      <c r="E1263" t="s">
        <v>9722</v>
      </c>
      <c r="F1263">
        <v>19</v>
      </c>
      <c r="G1263" t="s">
        <v>337</v>
      </c>
      <c r="H1263" t="s">
        <v>337</v>
      </c>
    </row>
    <row r="1264" spans="1:10" x14ac:dyDescent="0.3">
      <c r="A1264" t="s">
        <v>2981</v>
      </c>
      <c r="B1264" t="s">
        <v>25483</v>
      </c>
      <c r="C1264" t="s">
        <v>20486</v>
      </c>
      <c r="D1264" t="s">
        <v>22</v>
      </c>
      <c r="E1264" t="s">
        <v>2982</v>
      </c>
      <c r="F1264">
        <v>42</v>
      </c>
      <c r="G1264" t="s">
        <v>31</v>
      </c>
      <c r="H1264" t="s">
        <v>31</v>
      </c>
    </row>
    <row r="1265" spans="1:10" x14ac:dyDescent="0.3">
      <c r="A1265" t="s">
        <v>2983</v>
      </c>
      <c r="B1265" t="s">
        <v>25484</v>
      </c>
      <c r="C1265" t="s">
        <v>20490</v>
      </c>
      <c r="D1265" t="s">
        <v>22</v>
      </c>
      <c r="E1265" t="s">
        <v>2984</v>
      </c>
      <c r="F1265">
        <v>48</v>
      </c>
      <c r="G1265" t="s">
        <v>370</v>
      </c>
      <c r="H1265" t="s">
        <v>46</v>
      </c>
      <c r="J1265" t="s">
        <v>1183</v>
      </c>
    </row>
    <row r="1266" spans="1:10" x14ac:dyDescent="0.3">
      <c r="A1266" t="s">
        <v>2985</v>
      </c>
      <c r="B1266" t="s">
        <v>25485</v>
      </c>
      <c r="C1266" t="s">
        <v>20486</v>
      </c>
      <c r="D1266" t="s">
        <v>11</v>
      </c>
      <c r="E1266" t="s">
        <v>2986</v>
      </c>
      <c r="F1266">
        <v>53</v>
      </c>
      <c r="G1266" t="s">
        <v>955</v>
      </c>
      <c r="H1266" t="s">
        <v>9788</v>
      </c>
      <c r="J1266" t="s">
        <v>2987</v>
      </c>
    </row>
    <row r="1267" spans="1:10" x14ac:dyDescent="0.3">
      <c r="A1267" t="s">
        <v>2988</v>
      </c>
      <c r="B1267" t="s">
        <v>25486</v>
      </c>
      <c r="C1267" t="s">
        <v>20488</v>
      </c>
      <c r="D1267" t="s">
        <v>11</v>
      </c>
      <c r="E1267" t="s">
        <v>2989</v>
      </c>
      <c r="F1267">
        <v>28</v>
      </c>
      <c r="G1267" t="s">
        <v>109</v>
      </c>
      <c r="H1267" t="s">
        <v>9788</v>
      </c>
      <c r="I1267" t="s">
        <v>2990</v>
      </c>
    </row>
    <row r="1268" spans="1:10" x14ac:dyDescent="0.3">
      <c r="A1268" t="s">
        <v>2991</v>
      </c>
      <c r="B1268" t="s">
        <v>25487</v>
      </c>
      <c r="C1268" t="s">
        <v>20490</v>
      </c>
      <c r="D1268" t="s">
        <v>22</v>
      </c>
      <c r="E1268" t="s">
        <v>1404</v>
      </c>
      <c r="F1268">
        <v>56</v>
      </c>
      <c r="G1268" t="s">
        <v>16</v>
      </c>
      <c r="H1268" t="s">
        <v>9785</v>
      </c>
      <c r="J1268" t="s">
        <v>2992</v>
      </c>
    </row>
    <row r="1269" spans="1:10" x14ac:dyDescent="0.3">
      <c r="A1269" t="s">
        <v>2993</v>
      </c>
      <c r="B1269" t="s">
        <v>25488</v>
      </c>
      <c r="C1269" t="s">
        <v>20486</v>
      </c>
      <c r="D1269" t="s">
        <v>22</v>
      </c>
      <c r="E1269" t="s">
        <v>2994</v>
      </c>
      <c r="F1269">
        <v>65</v>
      </c>
    </row>
    <row r="1270" spans="1:10" x14ac:dyDescent="0.3">
      <c r="A1270" t="s">
        <v>2995</v>
      </c>
      <c r="B1270" t="s">
        <v>25489</v>
      </c>
      <c r="C1270" t="s">
        <v>20486</v>
      </c>
      <c r="D1270" t="s">
        <v>22</v>
      </c>
      <c r="E1270" t="s">
        <v>2996</v>
      </c>
      <c r="F1270">
        <v>37</v>
      </c>
      <c r="G1270" t="s">
        <v>46</v>
      </c>
      <c r="H1270" t="s">
        <v>46</v>
      </c>
      <c r="J1270" t="s">
        <v>2997</v>
      </c>
    </row>
    <row r="1271" spans="1:10" x14ac:dyDescent="0.3">
      <c r="A1271" t="s">
        <v>2998</v>
      </c>
      <c r="B1271" t="s">
        <v>25490</v>
      </c>
      <c r="C1271" t="s">
        <v>20486</v>
      </c>
      <c r="D1271" t="s">
        <v>22</v>
      </c>
      <c r="E1271" t="s">
        <v>2999</v>
      </c>
      <c r="F1271">
        <v>54</v>
      </c>
      <c r="G1271" t="s">
        <v>46</v>
      </c>
      <c r="H1271" t="s">
        <v>46</v>
      </c>
      <c r="I1271" t="s">
        <v>3000</v>
      </c>
    </row>
    <row r="1272" spans="1:10" x14ac:dyDescent="0.3">
      <c r="A1272" t="s">
        <v>3001</v>
      </c>
      <c r="B1272" t="s">
        <v>25491</v>
      </c>
      <c r="C1272" t="s">
        <v>20487</v>
      </c>
      <c r="D1272" t="s">
        <v>22</v>
      </c>
      <c r="E1272" t="s">
        <v>3002</v>
      </c>
      <c r="F1272">
        <v>45</v>
      </c>
    </row>
    <row r="1273" spans="1:10" x14ac:dyDescent="0.3">
      <c r="A1273" t="s">
        <v>3003</v>
      </c>
      <c r="B1273" t="s">
        <v>25492</v>
      </c>
      <c r="C1273" t="s">
        <v>20488</v>
      </c>
      <c r="D1273" t="s">
        <v>11</v>
      </c>
      <c r="E1273" t="s">
        <v>3004</v>
      </c>
      <c r="F1273">
        <v>51</v>
      </c>
      <c r="G1273" t="s">
        <v>109</v>
      </c>
      <c r="H1273" t="s">
        <v>9788</v>
      </c>
    </row>
    <row r="1274" spans="1:10" x14ac:dyDescent="0.3">
      <c r="A1274" t="s">
        <v>3005</v>
      </c>
      <c r="B1274" t="s">
        <v>25493</v>
      </c>
      <c r="C1274" t="s">
        <v>20490</v>
      </c>
      <c r="D1274" t="s">
        <v>22</v>
      </c>
      <c r="E1274" t="s">
        <v>3006</v>
      </c>
      <c r="F1274">
        <v>50</v>
      </c>
      <c r="G1274" t="s">
        <v>109</v>
      </c>
      <c r="H1274" t="s">
        <v>9788</v>
      </c>
    </row>
    <row r="1275" spans="1:10" x14ac:dyDescent="0.3">
      <c r="A1275" t="s">
        <v>3007</v>
      </c>
      <c r="B1275" t="s">
        <v>25494</v>
      </c>
      <c r="C1275" t="s">
        <v>20489</v>
      </c>
      <c r="D1275" t="s">
        <v>11</v>
      </c>
      <c r="E1275" t="s">
        <v>3008</v>
      </c>
      <c r="F1275">
        <v>45</v>
      </c>
      <c r="G1275" t="s">
        <v>243</v>
      </c>
      <c r="H1275" t="s">
        <v>243</v>
      </c>
    </row>
    <row r="1276" spans="1:10" x14ac:dyDescent="0.3">
      <c r="A1276" t="s">
        <v>3009</v>
      </c>
      <c r="B1276" t="s">
        <v>25495</v>
      </c>
      <c r="C1276" t="s">
        <v>20490</v>
      </c>
      <c r="D1276" t="s">
        <v>22</v>
      </c>
      <c r="E1276" t="s">
        <v>322</v>
      </c>
      <c r="F1276">
        <v>56</v>
      </c>
      <c r="G1276" t="s">
        <v>31</v>
      </c>
      <c r="H1276" t="s">
        <v>243</v>
      </c>
    </row>
    <row r="1277" spans="1:10" x14ac:dyDescent="0.3">
      <c r="A1277" t="s">
        <v>3010</v>
      </c>
      <c r="B1277" t="s">
        <v>25496</v>
      </c>
      <c r="C1277" t="s">
        <v>20488</v>
      </c>
      <c r="D1277" t="s">
        <v>11</v>
      </c>
      <c r="E1277" t="s">
        <v>3011</v>
      </c>
      <c r="F1277">
        <v>51</v>
      </c>
      <c r="G1277" t="s">
        <v>109</v>
      </c>
      <c r="H1277" t="s">
        <v>9788</v>
      </c>
    </row>
    <row r="1278" spans="1:10" x14ac:dyDescent="0.3">
      <c r="A1278" t="s">
        <v>3012</v>
      </c>
      <c r="B1278" t="s">
        <v>25497</v>
      </c>
      <c r="C1278" t="s">
        <v>20490</v>
      </c>
      <c r="D1278" t="s">
        <v>11</v>
      </c>
      <c r="E1278" t="s">
        <v>3013</v>
      </c>
      <c r="F1278">
        <v>42</v>
      </c>
      <c r="G1278" t="s">
        <v>109</v>
      </c>
      <c r="H1278" t="s">
        <v>9788</v>
      </c>
    </row>
    <row r="1279" spans="1:10" x14ac:dyDescent="0.3">
      <c r="A1279" t="s">
        <v>3014</v>
      </c>
      <c r="B1279" t="s">
        <v>25498</v>
      </c>
      <c r="C1279" t="s">
        <v>20490</v>
      </c>
      <c r="D1279" t="s">
        <v>11</v>
      </c>
      <c r="E1279" t="s">
        <v>3015</v>
      </c>
      <c r="F1279">
        <v>49</v>
      </c>
      <c r="G1279" t="s">
        <v>201</v>
      </c>
      <c r="H1279" t="s">
        <v>46</v>
      </c>
    </row>
    <row r="1280" spans="1:10" x14ac:dyDescent="0.3">
      <c r="A1280" t="s">
        <v>3016</v>
      </c>
      <c r="B1280" t="s">
        <v>25499</v>
      </c>
      <c r="C1280" t="s">
        <v>20486</v>
      </c>
      <c r="D1280" t="s">
        <v>22</v>
      </c>
      <c r="E1280" t="s">
        <v>3017</v>
      </c>
      <c r="F1280">
        <v>45</v>
      </c>
      <c r="G1280" t="s">
        <v>46</v>
      </c>
      <c r="H1280" t="s">
        <v>46</v>
      </c>
      <c r="I1280" t="s">
        <v>228</v>
      </c>
      <c r="J1280" t="s">
        <v>12245</v>
      </c>
    </row>
    <row r="1281" spans="1:10" x14ac:dyDescent="0.3">
      <c r="A1281" t="s">
        <v>3018</v>
      </c>
      <c r="B1281" t="s">
        <v>25500</v>
      </c>
      <c r="C1281" t="s">
        <v>20487</v>
      </c>
      <c r="D1281" t="s">
        <v>11</v>
      </c>
      <c r="E1281" t="s">
        <v>3019</v>
      </c>
      <c r="F1281">
        <v>38</v>
      </c>
      <c r="G1281" t="s">
        <v>46</v>
      </c>
      <c r="H1281" t="s">
        <v>46</v>
      </c>
      <c r="I1281" t="s">
        <v>228</v>
      </c>
      <c r="J1281" t="s">
        <v>3020</v>
      </c>
    </row>
    <row r="1282" spans="1:10" x14ac:dyDescent="0.3">
      <c r="A1282" t="s">
        <v>3021</v>
      </c>
      <c r="B1282" t="s">
        <v>25501</v>
      </c>
      <c r="C1282" t="s">
        <v>20486</v>
      </c>
      <c r="D1282" t="s">
        <v>22</v>
      </c>
      <c r="E1282" t="s">
        <v>3022</v>
      </c>
      <c r="F1282">
        <v>63</v>
      </c>
      <c r="H1282" t="s">
        <v>46</v>
      </c>
      <c r="J1282" t="s">
        <v>3023</v>
      </c>
    </row>
    <row r="1283" spans="1:10" x14ac:dyDescent="0.3">
      <c r="A1283" t="s">
        <v>3024</v>
      </c>
      <c r="B1283" t="s">
        <v>25502</v>
      </c>
      <c r="C1283" t="s">
        <v>20487</v>
      </c>
      <c r="D1283" t="s">
        <v>22</v>
      </c>
      <c r="E1283" t="s">
        <v>3025</v>
      </c>
      <c r="F1283">
        <v>44</v>
      </c>
      <c r="G1283" t="s">
        <v>46</v>
      </c>
      <c r="H1283" t="s">
        <v>46</v>
      </c>
      <c r="I1283" t="s">
        <v>220</v>
      </c>
    </row>
    <row r="1284" spans="1:10" x14ac:dyDescent="0.3">
      <c r="A1284" t="s">
        <v>3026</v>
      </c>
      <c r="B1284" t="s">
        <v>25503</v>
      </c>
      <c r="C1284" t="s">
        <v>20487</v>
      </c>
      <c r="D1284" t="s">
        <v>22</v>
      </c>
      <c r="E1284" t="s">
        <v>357</v>
      </c>
      <c r="F1284">
        <v>48</v>
      </c>
      <c r="G1284" t="s">
        <v>46</v>
      </c>
      <c r="H1284" t="s">
        <v>46</v>
      </c>
      <c r="I1284" t="s">
        <v>149</v>
      </c>
    </row>
    <row r="1285" spans="1:10" x14ac:dyDescent="0.3">
      <c r="A1285" t="s">
        <v>3027</v>
      </c>
      <c r="B1285" t="s">
        <v>25504</v>
      </c>
      <c r="C1285" t="s">
        <v>20487</v>
      </c>
      <c r="D1285" t="s">
        <v>11</v>
      </c>
      <c r="E1285" t="s">
        <v>3028</v>
      </c>
      <c r="F1285">
        <v>37</v>
      </c>
      <c r="G1285" t="s">
        <v>133</v>
      </c>
      <c r="H1285" t="s">
        <v>9789</v>
      </c>
    </row>
    <row r="1286" spans="1:10" x14ac:dyDescent="0.3">
      <c r="A1286" t="s">
        <v>3029</v>
      </c>
      <c r="B1286" t="s">
        <v>25505</v>
      </c>
      <c r="C1286" t="s">
        <v>20486</v>
      </c>
      <c r="D1286" t="s">
        <v>22</v>
      </c>
      <c r="E1286" t="s">
        <v>3030</v>
      </c>
      <c r="F1286">
        <v>66</v>
      </c>
      <c r="G1286" t="s">
        <v>109</v>
      </c>
      <c r="H1286" t="s">
        <v>9788</v>
      </c>
      <c r="J1286" t="s">
        <v>3031</v>
      </c>
    </row>
    <row r="1287" spans="1:10" x14ac:dyDescent="0.3">
      <c r="A1287" t="s">
        <v>3032</v>
      </c>
      <c r="B1287" t="s">
        <v>25506</v>
      </c>
      <c r="C1287" t="s">
        <v>20486</v>
      </c>
      <c r="D1287" t="s">
        <v>11</v>
      </c>
      <c r="E1287" t="s">
        <v>3033</v>
      </c>
      <c r="F1287">
        <v>43</v>
      </c>
      <c r="G1287" t="s">
        <v>172</v>
      </c>
      <c r="H1287" t="s">
        <v>12099</v>
      </c>
      <c r="J1287" t="s">
        <v>3034</v>
      </c>
    </row>
    <row r="1288" spans="1:10" x14ac:dyDescent="0.3">
      <c r="A1288" t="s">
        <v>3035</v>
      </c>
      <c r="B1288" t="s">
        <v>25507</v>
      </c>
      <c r="C1288" t="s">
        <v>20486</v>
      </c>
      <c r="D1288" t="s">
        <v>22</v>
      </c>
      <c r="E1288" t="s">
        <v>3036</v>
      </c>
      <c r="F1288">
        <v>39</v>
      </c>
      <c r="G1288" t="s">
        <v>109</v>
      </c>
      <c r="H1288" t="s">
        <v>9788</v>
      </c>
      <c r="I1288" t="s">
        <v>17</v>
      </c>
      <c r="J1288" t="s">
        <v>3037</v>
      </c>
    </row>
    <row r="1289" spans="1:10" x14ac:dyDescent="0.3">
      <c r="A1289" t="s">
        <v>3038</v>
      </c>
      <c r="B1289" t="s">
        <v>25508</v>
      </c>
      <c r="C1289" t="s">
        <v>20491</v>
      </c>
      <c r="D1289" t="s">
        <v>22</v>
      </c>
      <c r="E1289" t="s">
        <v>3039</v>
      </c>
      <c r="F1289">
        <v>45</v>
      </c>
      <c r="G1289" t="s">
        <v>441</v>
      </c>
      <c r="H1289" t="s">
        <v>9785</v>
      </c>
    </row>
    <row r="1290" spans="1:10" x14ac:dyDescent="0.3">
      <c r="A1290" t="s">
        <v>3040</v>
      </c>
      <c r="B1290" t="s">
        <v>25509</v>
      </c>
      <c r="C1290" t="s">
        <v>20491</v>
      </c>
      <c r="D1290" t="s">
        <v>11</v>
      </c>
      <c r="E1290" t="s">
        <v>1368</v>
      </c>
      <c r="F1290">
        <v>51</v>
      </c>
      <c r="G1290" t="s">
        <v>441</v>
      </c>
      <c r="H1290" t="s">
        <v>9785</v>
      </c>
    </row>
    <row r="1291" spans="1:10" x14ac:dyDescent="0.3">
      <c r="A1291" t="s">
        <v>3041</v>
      </c>
      <c r="B1291" t="s">
        <v>25510</v>
      </c>
      <c r="C1291" t="s">
        <v>20486</v>
      </c>
      <c r="D1291" t="s">
        <v>22</v>
      </c>
      <c r="E1291" t="s">
        <v>3042</v>
      </c>
      <c r="F1291">
        <v>60</v>
      </c>
      <c r="G1291" t="s">
        <v>24</v>
      </c>
      <c r="H1291" t="s">
        <v>9789</v>
      </c>
      <c r="J1291" t="s">
        <v>3043</v>
      </c>
    </row>
    <row r="1292" spans="1:10" x14ac:dyDescent="0.3">
      <c r="A1292" t="s">
        <v>3044</v>
      </c>
      <c r="B1292" t="s">
        <v>25511</v>
      </c>
      <c r="C1292" t="s">
        <v>20491</v>
      </c>
      <c r="D1292" t="s">
        <v>11</v>
      </c>
      <c r="E1292" t="s">
        <v>3045</v>
      </c>
      <c r="F1292">
        <v>60</v>
      </c>
      <c r="G1292" t="s">
        <v>201</v>
      </c>
      <c r="H1292" t="s">
        <v>46</v>
      </c>
      <c r="J1292" t="s">
        <v>3046</v>
      </c>
    </row>
    <row r="1293" spans="1:10" x14ac:dyDescent="0.3">
      <c r="A1293" t="s">
        <v>3047</v>
      </c>
      <c r="B1293" t="s">
        <v>25512</v>
      </c>
      <c r="C1293" t="s">
        <v>20486</v>
      </c>
      <c r="D1293" t="s">
        <v>11</v>
      </c>
      <c r="E1293" t="s">
        <v>3048</v>
      </c>
      <c r="F1293">
        <v>65</v>
      </c>
      <c r="G1293" t="s">
        <v>13</v>
      </c>
      <c r="H1293" t="s">
        <v>13</v>
      </c>
    </row>
    <row r="1294" spans="1:10" x14ac:dyDescent="0.3">
      <c r="A1294" t="s">
        <v>3049</v>
      </c>
      <c r="B1294" t="s">
        <v>25513</v>
      </c>
      <c r="C1294" t="s">
        <v>20486</v>
      </c>
      <c r="D1294" t="s">
        <v>11</v>
      </c>
      <c r="E1294" t="s">
        <v>3050</v>
      </c>
      <c r="F1294">
        <v>64</v>
      </c>
      <c r="G1294" t="s">
        <v>13</v>
      </c>
      <c r="H1294" t="s">
        <v>13</v>
      </c>
    </row>
    <row r="1295" spans="1:10" x14ac:dyDescent="0.3">
      <c r="A1295" t="s">
        <v>3051</v>
      </c>
      <c r="B1295" t="s">
        <v>25514</v>
      </c>
      <c r="C1295" t="s">
        <v>20491</v>
      </c>
      <c r="D1295" t="s">
        <v>22</v>
      </c>
      <c r="E1295" t="s">
        <v>3052</v>
      </c>
      <c r="F1295">
        <v>40</v>
      </c>
      <c r="G1295" t="s">
        <v>109</v>
      </c>
      <c r="H1295" t="s">
        <v>9788</v>
      </c>
      <c r="I1295" t="s">
        <v>441</v>
      </c>
      <c r="J1295" t="s">
        <v>1795</v>
      </c>
    </row>
    <row r="1296" spans="1:10" x14ac:dyDescent="0.3">
      <c r="A1296" t="s">
        <v>3053</v>
      </c>
      <c r="B1296" t="s">
        <v>25515</v>
      </c>
      <c r="C1296" t="s">
        <v>20488</v>
      </c>
      <c r="D1296" t="s">
        <v>22</v>
      </c>
      <c r="E1296" t="s">
        <v>3054</v>
      </c>
      <c r="F1296">
        <v>54</v>
      </c>
      <c r="G1296" t="s">
        <v>109</v>
      </c>
      <c r="H1296" t="s">
        <v>9788</v>
      </c>
    </row>
    <row r="1297" spans="1:10" x14ac:dyDescent="0.3">
      <c r="A1297" t="s">
        <v>3055</v>
      </c>
      <c r="B1297" t="s">
        <v>25516</v>
      </c>
      <c r="C1297" t="s">
        <v>20488</v>
      </c>
      <c r="D1297" t="s">
        <v>22</v>
      </c>
      <c r="E1297" t="s">
        <v>3056</v>
      </c>
      <c r="F1297">
        <v>76</v>
      </c>
      <c r="G1297" t="s">
        <v>31</v>
      </c>
      <c r="H1297" t="s">
        <v>31</v>
      </c>
      <c r="I1297" t="s">
        <v>33</v>
      </c>
    </row>
    <row r="1298" spans="1:10" x14ac:dyDescent="0.3">
      <c r="A1298" t="s">
        <v>3057</v>
      </c>
      <c r="B1298" t="s">
        <v>25517</v>
      </c>
      <c r="C1298" t="s">
        <v>20490</v>
      </c>
      <c r="D1298" t="s">
        <v>11</v>
      </c>
      <c r="E1298" t="s">
        <v>3058</v>
      </c>
      <c r="F1298">
        <v>53</v>
      </c>
      <c r="G1298" t="s">
        <v>46</v>
      </c>
      <c r="H1298" t="s">
        <v>46</v>
      </c>
      <c r="I1298" t="s">
        <v>3059</v>
      </c>
      <c r="J1298" t="s">
        <v>3060</v>
      </c>
    </row>
    <row r="1299" spans="1:10" x14ac:dyDescent="0.3">
      <c r="A1299" t="s">
        <v>3061</v>
      </c>
      <c r="B1299" t="s">
        <v>25518</v>
      </c>
      <c r="C1299" t="s">
        <v>20487</v>
      </c>
      <c r="D1299" t="s">
        <v>22</v>
      </c>
      <c r="E1299" t="s">
        <v>3062</v>
      </c>
      <c r="F1299">
        <v>47</v>
      </c>
      <c r="G1299" t="s">
        <v>1047</v>
      </c>
      <c r="H1299" t="s">
        <v>9788</v>
      </c>
      <c r="J1299" t="s">
        <v>3063</v>
      </c>
    </row>
    <row r="1300" spans="1:10" x14ac:dyDescent="0.3">
      <c r="A1300" t="s">
        <v>3064</v>
      </c>
      <c r="B1300" t="s">
        <v>25519</v>
      </c>
      <c r="C1300" t="s">
        <v>20490</v>
      </c>
      <c r="D1300" t="s">
        <v>11</v>
      </c>
      <c r="E1300" t="s">
        <v>3065</v>
      </c>
      <c r="F1300">
        <v>42</v>
      </c>
      <c r="G1300" t="s">
        <v>109</v>
      </c>
      <c r="H1300" t="s">
        <v>9788</v>
      </c>
    </row>
    <row r="1301" spans="1:10" x14ac:dyDescent="0.3">
      <c r="A1301" t="s">
        <v>3066</v>
      </c>
      <c r="B1301" t="s">
        <v>25520</v>
      </c>
      <c r="C1301" t="s">
        <v>20486</v>
      </c>
      <c r="D1301" t="s">
        <v>22</v>
      </c>
      <c r="E1301" t="s">
        <v>3067</v>
      </c>
      <c r="F1301">
        <v>54</v>
      </c>
      <c r="G1301" t="s">
        <v>384</v>
      </c>
    </row>
    <row r="1302" spans="1:10" x14ac:dyDescent="0.3">
      <c r="A1302" t="s">
        <v>3068</v>
      </c>
      <c r="B1302" t="s">
        <v>25521</v>
      </c>
      <c r="C1302" t="s">
        <v>20486</v>
      </c>
      <c r="D1302" t="s">
        <v>22</v>
      </c>
      <c r="E1302" t="s">
        <v>3069</v>
      </c>
      <c r="F1302">
        <v>42</v>
      </c>
      <c r="H1302" t="s">
        <v>9788</v>
      </c>
      <c r="J1302" t="s">
        <v>3070</v>
      </c>
    </row>
    <row r="1303" spans="1:10" x14ac:dyDescent="0.3">
      <c r="A1303" t="s">
        <v>3071</v>
      </c>
      <c r="B1303" t="s">
        <v>25522</v>
      </c>
      <c r="C1303" t="s">
        <v>20488</v>
      </c>
      <c r="D1303" t="s">
        <v>22</v>
      </c>
      <c r="E1303" t="s">
        <v>3072</v>
      </c>
      <c r="F1303">
        <v>56</v>
      </c>
      <c r="G1303" t="s">
        <v>213</v>
      </c>
      <c r="H1303" t="s">
        <v>12065</v>
      </c>
    </row>
    <row r="1304" spans="1:10" x14ac:dyDescent="0.3">
      <c r="A1304" t="s">
        <v>3073</v>
      </c>
      <c r="B1304" t="s">
        <v>25523</v>
      </c>
      <c r="C1304" t="s">
        <v>20491</v>
      </c>
      <c r="D1304" t="s">
        <v>22</v>
      </c>
      <c r="E1304" t="s">
        <v>2311</v>
      </c>
      <c r="F1304">
        <v>63</v>
      </c>
      <c r="G1304" t="s">
        <v>31</v>
      </c>
      <c r="H1304" t="s">
        <v>31</v>
      </c>
    </row>
    <row r="1305" spans="1:10" x14ac:dyDescent="0.3">
      <c r="A1305" t="s">
        <v>3074</v>
      </c>
      <c r="B1305" t="s">
        <v>25524</v>
      </c>
      <c r="C1305" t="s">
        <v>20486</v>
      </c>
      <c r="D1305" t="s">
        <v>22</v>
      </c>
      <c r="E1305" t="s">
        <v>3075</v>
      </c>
      <c r="F1305">
        <v>43</v>
      </c>
    </row>
    <row r="1306" spans="1:10" x14ac:dyDescent="0.3">
      <c r="A1306" t="s">
        <v>3076</v>
      </c>
      <c r="B1306" t="s">
        <v>25525</v>
      </c>
      <c r="C1306" t="s">
        <v>20488</v>
      </c>
      <c r="D1306" t="s">
        <v>22</v>
      </c>
      <c r="E1306" t="s">
        <v>3077</v>
      </c>
      <c r="F1306">
        <v>49</v>
      </c>
      <c r="G1306" t="s">
        <v>31</v>
      </c>
      <c r="H1306" t="s">
        <v>31</v>
      </c>
    </row>
    <row r="1307" spans="1:10" x14ac:dyDescent="0.3">
      <c r="A1307" t="s">
        <v>3078</v>
      </c>
      <c r="B1307" t="s">
        <v>25526</v>
      </c>
      <c r="C1307" t="s">
        <v>20490</v>
      </c>
      <c r="D1307" t="s">
        <v>11</v>
      </c>
      <c r="E1307" t="s">
        <v>3079</v>
      </c>
      <c r="F1307">
        <v>35</v>
      </c>
      <c r="G1307" t="s">
        <v>231</v>
      </c>
      <c r="H1307" t="s">
        <v>9788</v>
      </c>
    </row>
    <row r="1308" spans="1:10" x14ac:dyDescent="0.3">
      <c r="A1308" t="s">
        <v>3080</v>
      </c>
      <c r="B1308" t="s">
        <v>25527</v>
      </c>
      <c r="C1308" t="s">
        <v>20487</v>
      </c>
      <c r="D1308" t="s">
        <v>22</v>
      </c>
      <c r="E1308" t="s">
        <v>3081</v>
      </c>
      <c r="F1308">
        <v>34</v>
      </c>
      <c r="G1308" t="s">
        <v>46</v>
      </c>
      <c r="H1308" t="s">
        <v>46</v>
      </c>
      <c r="I1308" t="s">
        <v>228</v>
      </c>
    </row>
    <row r="1309" spans="1:10" x14ac:dyDescent="0.3">
      <c r="A1309" t="s">
        <v>3082</v>
      </c>
      <c r="B1309" t="s">
        <v>25528</v>
      </c>
      <c r="C1309" t="s">
        <v>20486</v>
      </c>
      <c r="D1309" t="s">
        <v>11</v>
      </c>
      <c r="E1309" t="s">
        <v>3083</v>
      </c>
      <c r="F1309">
        <v>52</v>
      </c>
      <c r="G1309" t="s">
        <v>46</v>
      </c>
      <c r="H1309" t="s">
        <v>46</v>
      </c>
      <c r="I1309" t="s">
        <v>3084</v>
      </c>
    </row>
    <row r="1310" spans="1:10" x14ac:dyDescent="0.3">
      <c r="A1310" t="s">
        <v>3085</v>
      </c>
      <c r="B1310" t="s">
        <v>25529</v>
      </c>
      <c r="C1310" t="s">
        <v>20487</v>
      </c>
      <c r="D1310" t="s">
        <v>22</v>
      </c>
      <c r="E1310" t="s">
        <v>3086</v>
      </c>
      <c r="F1310">
        <v>48</v>
      </c>
      <c r="G1310" t="s">
        <v>46</v>
      </c>
      <c r="H1310" t="s">
        <v>46</v>
      </c>
    </row>
    <row r="1311" spans="1:10" x14ac:dyDescent="0.3">
      <c r="A1311" t="s">
        <v>3087</v>
      </c>
      <c r="B1311" t="s">
        <v>25530</v>
      </c>
      <c r="C1311" t="s">
        <v>20490</v>
      </c>
      <c r="D1311" t="s">
        <v>22</v>
      </c>
      <c r="E1311" t="s">
        <v>3088</v>
      </c>
      <c r="F1311">
        <v>55</v>
      </c>
      <c r="G1311" t="s">
        <v>31</v>
      </c>
      <c r="H1311" t="s">
        <v>31</v>
      </c>
    </row>
    <row r="1312" spans="1:10" x14ac:dyDescent="0.3">
      <c r="A1312" t="s">
        <v>3089</v>
      </c>
      <c r="B1312" t="s">
        <v>25531</v>
      </c>
      <c r="C1312" t="s">
        <v>20486</v>
      </c>
      <c r="D1312" t="s">
        <v>22</v>
      </c>
      <c r="E1312" t="s">
        <v>3090</v>
      </c>
      <c r="F1312">
        <v>38</v>
      </c>
      <c r="G1312" t="s">
        <v>46</v>
      </c>
      <c r="H1312" t="s">
        <v>46</v>
      </c>
      <c r="I1312" t="s">
        <v>3091</v>
      </c>
      <c r="J1312" t="s">
        <v>3092</v>
      </c>
    </row>
    <row r="1313" spans="1:10" x14ac:dyDescent="0.3">
      <c r="A1313" t="s">
        <v>3093</v>
      </c>
      <c r="B1313" t="s">
        <v>25532</v>
      </c>
      <c r="C1313" t="s">
        <v>20486</v>
      </c>
      <c r="D1313" t="s">
        <v>11</v>
      </c>
      <c r="E1313" t="s">
        <v>3094</v>
      </c>
      <c r="F1313">
        <v>43</v>
      </c>
    </row>
    <row r="1314" spans="1:10" x14ac:dyDescent="0.3">
      <c r="A1314" t="s">
        <v>3095</v>
      </c>
      <c r="B1314" t="s">
        <v>25533</v>
      </c>
      <c r="C1314" t="s">
        <v>20490</v>
      </c>
      <c r="D1314" t="s">
        <v>22</v>
      </c>
      <c r="E1314" t="s">
        <v>3096</v>
      </c>
      <c r="F1314">
        <v>62</v>
      </c>
      <c r="G1314" t="s">
        <v>31</v>
      </c>
      <c r="H1314" t="s">
        <v>31</v>
      </c>
    </row>
    <row r="1315" spans="1:10" x14ac:dyDescent="0.3">
      <c r="A1315" t="s">
        <v>3097</v>
      </c>
      <c r="B1315" t="s">
        <v>25534</v>
      </c>
      <c r="C1315" t="s">
        <v>20490</v>
      </c>
      <c r="D1315" t="s">
        <v>11</v>
      </c>
      <c r="E1315" t="s">
        <v>3098</v>
      </c>
      <c r="F1315">
        <v>85</v>
      </c>
      <c r="G1315" t="s">
        <v>13</v>
      </c>
      <c r="H1315" t="s">
        <v>13</v>
      </c>
    </row>
    <row r="1316" spans="1:10" x14ac:dyDescent="0.3">
      <c r="A1316" t="s">
        <v>3099</v>
      </c>
      <c r="B1316" t="s">
        <v>25535</v>
      </c>
      <c r="C1316" t="s">
        <v>20486</v>
      </c>
      <c r="D1316" t="s">
        <v>11</v>
      </c>
      <c r="E1316" t="s">
        <v>3100</v>
      </c>
      <c r="F1316">
        <v>55</v>
      </c>
      <c r="G1316" t="s">
        <v>133</v>
      </c>
      <c r="H1316" t="s">
        <v>9789</v>
      </c>
      <c r="I1316" t="s">
        <v>12246</v>
      </c>
      <c r="J1316" t="s">
        <v>12247</v>
      </c>
    </row>
    <row r="1317" spans="1:10" x14ac:dyDescent="0.3">
      <c r="A1317" t="s">
        <v>3101</v>
      </c>
      <c r="B1317" t="s">
        <v>25536</v>
      </c>
      <c r="C1317" t="s">
        <v>20486</v>
      </c>
      <c r="D1317" t="s">
        <v>11</v>
      </c>
      <c r="E1317" t="s">
        <v>3102</v>
      </c>
      <c r="F1317">
        <v>47</v>
      </c>
      <c r="G1317" t="s">
        <v>109</v>
      </c>
      <c r="H1317" t="s">
        <v>9788</v>
      </c>
      <c r="J1317" t="s">
        <v>3103</v>
      </c>
    </row>
    <row r="1318" spans="1:10" x14ac:dyDescent="0.3">
      <c r="A1318" t="s">
        <v>3104</v>
      </c>
      <c r="B1318" t="s">
        <v>25537</v>
      </c>
      <c r="C1318" t="s">
        <v>20486</v>
      </c>
      <c r="D1318" t="s">
        <v>22</v>
      </c>
      <c r="E1318" t="s">
        <v>1619</v>
      </c>
      <c r="F1318">
        <v>62</v>
      </c>
      <c r="G1318" t="s">
        <v>46</v>
      </c>
      <c r="H1318" t="s">
        <v>46</v>
      </c>
      <c r="I1318" t="s">
        <v>3105</v>
      </c>
      <c r="J1318" t="s">
        <v>3106</v>
      </c>
    </row>
    <row r="1319" spans="1:10" x14ac:dyDescent="0.3">
      <c r="A1319" t="s">
        <v>3107</v>
      </c>
      <c r="B1319" t="s">
        <v>25538</v>
      </c>
      <c r="C1319" t="s">
        <v>20486</v>
      </c>
      <c r="D1319" t="s">
        <v>22</v>
      </c>
      <c r="E1319" t="s">
        <v>3108</v>
      </c>
      <c r="F1319">
        <v>66</v>
      </c>
      <c r="G1319" t="s">
        <v>16</v>
      </c>
      <c r="H1319" t="s">
        <v>9785</v>
      </c>
      <c r="I1319" t="s">
        <v>17</v>
      </c>
      <c r="J1319" t="s">
        <v>2227</v>
      </c>
    </row>
    <row r="1320" spans="1:10" x14ac:dyDescent="0.3">
      <c r="A1320" t="s">
        <v>3109</v>
      </c>
      <c r="B1320" t="s">
        <v>25539</v>
      </c>
      <c r="C1320" t="s">
        <v>20490</v>
      </c>
      <c r="D1320" t="s">
        <v>11</v>
      </c>
      <c r="E1320" t="s">
        <v>3110</v>
      </c>
      <c r="F1320">
        <v>62</v>
      </c>
      <c r="G1320" t="s">
        <v>201</v>
      </c>
      <c r="H1320" t="s">
        <v>46</v>
      </c>
      <c r="J1320" t="s">
        <v>3111</v>
      </c>
    </row>
    <row r="1321" spans="1:10" x14ac:dyDescent="0.3">
      <c r="A1321" t="s">
        <v>3112</v>
      </c>
      <c r="B1321" t="s">
        <v>25540</v>
      </c>
      <c r="C1321" t="s">
        <v>20488</v>
      </c>
      <c r="D1321" t="s">
        <v>22</v>
      </c>
      <c r="E1321" t="s">
        <v>3113</v>
      </c>
      <c r="F1321">
        <v>34</v>
      </c>
      <c r="G1321" t="s">
        <v>31</v>
      </c>
      <c r="H1321" t="s">
        <v>31</v>
      </c>
      <c r="I1321" t="s">
        <v>33</v>
      </c>
    </row>
    <row r="1322" spans="1:10" x14ac:dyDescent="0.3">
      <c r="A1322" t="s">
        <v>3114</v>
      </c>
      <c r="B1322" t="s">
        <v>25541</v>
      </c>
      <c r="C1322" t="s">
        <v>20486</v>
      </c>
      <c r="D1322" t="s">
        <v>11</v>
      </c>
      <c r="E1322" t="s">
        <v>3115</v>
      </c>
      <c r="F1322">
        <v>41</v>
      </c>
      <c r="G1322" t="s">
        <v>827</v>
      </c>
      <c r="H1322" t="s">
        <v>12099</v>
      </c>
    </row>
    <row r="1323" spans="1:10" x14ac:dyDescent="0.3">
      <c r="A1323" t="s">
        <v>3116</v>
      </c>
      <c r="B1323" t="s">
        <v>25542</v>
      </c>
      <c r="C1323" t="s">
        <v>20490</v>
      </c>
      <c r="D1323" t="s">
        <v>22</v>
      </c>
      <c r="E1323" t="s">
        <v>3117</v>
      </c>
      <c r="F1323">
        <v>57</v>
      </c>
      <c r="G1323" t="s">
        <v>31</v>
      </c>
      <c r="H1323" t="s">
        <v>46</v>
      </c>
      <c r="J1323" t="s">
        <v>1248</v>
      </c>
    </row>
    <row r="1324" spans="1:10" x14ac:dyDescent="0.3">
      <c r="A1324" t="s">
        <v>3118</v>
      </c>
      <c r="B1324" t="s">
        <v>25543</v>
      </c>
      <c r="C1324" t="s">
        <v>20490</v>
      </c>
      <c r="D1324" t="s">
        <v>11</v>
      </c>
      <c r="E1324" t="s">
        <v>990</v>
      </c>
      <c r="F1324">
        <v>47</v>
      </c>
      <c r="G1324" t="s">
        <v>109</v>
      </c>
      <c r="H1324" t="s">
        <v>9788</v>
      </c>
      <c r="J1324" t="s">
        <v>3119</v>
      </c>
    </row>
    <row r="1325" spans="1:10" x14ac:dyDescent="0.3">
      <c r="A1325" t="s">
        <v>3120</v>
      </c>
      <c r="B1325" t="s">
        <v>25544</v>
      </c>
      <c r="C1325" t="s">
        <v>20491</v>
      </c>
      <c r="D1325" t="s">
        <v>22</v>
      </c>
      <c r="E1325" t="s">
        <v>3121</v>
      </c>
      <c r="F1325">
        <v>34</v>
      </c>
      <c r="G1325" t="s">
        <v>231</v>
      </c>
      <c r="H1325" t="s">
        <v>9788</v>
      </c>
      <c r="J1325" t="s">
        <v>3122</v>
      </c>
    </row>
    <row r="1326" spans="1:10" x14ac:dyDescent="0.3">
      <c r="A1326" t="s">
        <v>3123</v>
      </c>
      <c r="B1326" t="s">
        <v>25545</v>
      </c>
      <c r="C1326" t="s">
        <v>20491</v>
      </c>
      <c r="D1326" t="s">
        <v>22</v>
      </c>
      <c r="E1326" t="s">
        <v>3124</v>
      </c>
      <c r="F1326">
        <v>39</v>
      </c>
      <c r="G1326" t="s">
        <v>231</v>
      </c>
      <c r="H1326" t="s">
        <v>9788</v>
      </c>
      <c r="J1326" t="s">
        <v>3122</v>
      </c>
    </row>
    <row r="1327" spans="1:10" x14ac:dyDescent="0.3">
      <c r="A1327" t="s">
        <v>3125</v>
      </c>
      <c r="B1327" t="s">
        <v>25546</v>
      </c>
      <c r="C1327" t="s">
        <v>20491</v>
      </c>
      <c r="D1327" t="s">
        <v>11</v>
      </c>
      <c r="E1327" t="s">
        <v>3126</v>
      </c>
      <c r="F1327">
        <v>43</v>
      </c>
      <c r="G1327" t="s">
        <v>201</v>
      </c>
      <c r="H1327" t="s">
        <v>46</v>
      </c>
      <c r="J1327" t="s">
        <v>220</v>
      </c>
    </row>
    <row r="1328" spans="1:10" x14ac:dyDescent="0.3">
      <c r="A1328" t="s">
        <v>3127</v>
      </c>
      <c r="B1328" t="s">
        <v>25547</v>
      </c>
      <c r="C1328" t="s">
        <v>20490</v>
      </c>
      <c r="D1328" t="s">
        <v>22</v>
      </c>
      <c r="E1328" t="s">
        <v>3128</v>
      </c>
      <c r="F1328">
        <v>48</v>
      </c>
      <c r="G1328" t="s">
        <v>31</v>
      </c>
      <c r="H1328" t="s">
        <v>31</v>
      </c>
    </row>
    <row r="1329" spans="1:10" x14ac:dyDescent="0.3">
      <c r="A1329" t="s">
        <v>12248</v>
      </c>
      <c r="B1329" t="s">
        <v>25548</v>
      </c>
      <c r="C1329" t="s">
        <v>20490</v>
      </c>
      <c r="D1329" t="s">
        <v>11</v>
      </c>
      <c r="E1329" t="s">
        <v>9721</v>
      </c>
      <c r="F1329">
        <v>22</v>
      </c>
    </row>
    <row r="1330" spans="1:10" x14ac:dyDescent="0.3">
      <c r="A1330" t="s">
        <v>3129</v>
      </c>
      <c r="B1330" t="s">
        <v>25549</v>
      </c>
      <c r="C1330" t="s">
        <v>20487</v>
      </c>
      <c r="D1330" t="s">
        <v>22</v>
      </c>
      <c r="E1330" t="s">
        <v>3130</v>
      </c>
      <c r="F1330">
        <v>61</v>
      </c>
      <c r="G1330" t="s">
        <v>33</v>
      </c>
      <c r="H1330" t="s">
        <v>31</v>
      </c>
    </row>
    <row r="1331" spans="1:10" x14ac:dyDescent="0.3">
      <c r="A1331" t="s">
        <v>3131</v>
      </c>
      <c r="B1331" t="s">
        <v>25550</v>
      </c>
      <c r="C1331" t="s">
        <v>20491</v>
      </c>
      <c r="D1331" t="s">
        <v>11</v>
      </c>
      <c r="E1331" t="s">
        <v>3132</v>
      </c>
      <c r="F1331">
        <v>45</v>
      </c>
      <c r="G1331" t="s">
        <v>231</v>
      </c>
      <c r="H1331" t="s">
        <v>9788</v>
      </c>
      <c r="J1331" t="s">
        <v>3133</v>
      </c>
    </row>
    <row r="1332" spans="1:10" x14ac:dyDescent="0.3">
      <c r="A1332" t="s">
        <v>3134</v>
      </c>
      <c r="B1332" t="s">
        <v>25551</v>
      </c>
      <c r="C1332" t="s">
        <v>20489</v>
      </c>
      <c r="D1332" t="s">
        <v>11</v>
      </c>
      <c r="E1332" t="s">
        <v>3135</v>
      </c>
      <c r="F1332">
        <v>43</v>
      </c>
      <c r="G1332" t="s">
        <v>109</v>
      </c>
      <c r="H1332" t="s">
        <v>9788</v>
      </c>
      <c r="I1332" t="s">
        <v>360</v>
      </c>
    </row>
    <row r="1333" spans="1:10" x14ac:dyDescent="0.3">
      <c r="A1333" t="s">
        <v>3136</v>
      </c>
      <c r="B1333" t="s">
        <v>25552</v>
      </c>
      <c r="C1333" t="s">
        <v>20489</v>
      </c>
      <c r="D1333" t="s">
        <v>22</v>
      </c>
      <c r="E1333" t="s">
        <v>3137</v>
      </c>
      <c r="F1333">
        <v>36</v>
      </c>
      <c r="G1333" t="s">
        <v>31</v>
      </c>
      <c r="H1333" t="s">
        <v>31</v>
      </c>
      <c r="I1333" t="s">
        <v>33</v>
      </c>
    </row>
    <row r="1334" spans="1:10" x14ac:dyDescent="0.3">
      <c r="A1334" t="s">
        <v>3140</v>
      </c>
      <c r="B1334" t="s">
        <v>25553</v>
      </c>
      <c r="C1334" t="s">
        <v>20487</v>
      </c>
      <c r="D1334" t="s">
        <v>22</v>
      </c>
      <c r="E1334" t="s">
        <v>3141</v>
      </c>
      <c r="F1334">
        <v>49</v>
      </c>
    </row>
    <row r="1335" spans="1:10" x14ac:dyDescent="0.3">
      <c r="A1335" t="s">
        <v>3142</v>
      </c>
      <c r="B1335" t="s">
        <v>25554</v>
      </c>
      <c r="C1335" t="s">
        <v>20491</v>
      </c>
      <c r="D1335" t="s">
        <v>11</v>
      </c>
      <c r="E1335" t="s">
        <v>3143</v>
      </c>
      <c r="F1335">
        <v>36</v>
      </c>
      <c r="G1335" t="s">
        <v>231</v>
      </c>
      <c r="H1335" t="s">
        <v>9788</v>
      </c>
    </row>
    <row r="1336" spans="1:10" x14ac:dyDescent="0.3">
      <c r="A1336" t="s">
        <v>3144</v>
      </c>
      <c r="B1336" t="s">
        <v>25555</v>
      </c>
      <c r="C1336" t="s">
        <v>20488</v>
      </c>
      <c r="D1336" t="s">
        <v>11</v>
      </c>
      <c r="E1336" t="s">
        <v>2954</v>
      </c>
      <c r="F1336">
        <v>53</v>
      </c>
      <c r="G1336" t="s">
        <v>46</v>
      </c>
      <c r="H1336" t="s">
        <v>46</v>
      </c>
      <c r="I1336" t="s">
        <v>3145</v>
      </c>
    </row>
    <row r="1337" spans="1:10" x14ac:dyDescent="0.3">
      <c r="A1337" t="s">
        <v>3146</v>
      </c>
      <c r="B1337" t="s">
        <v>25556</v>
      </c>
      <c r="C1337" t="s">
        <v>20486</v>
      </c>
      <c r="D1337" t="s">
        <v>22</v>
      </c>
      <c r="E1337" t="s">
        <v>3147</v>
      </c>
      <c r="F1337">
        <v>51</v>
      </c>
      <c r="G1337" t="s">
        <v>109</v>
      </c>
      <c r="H1337" t="s">
        <v>9788</v>
      </c>
      <c r="J1337" t="s">
        <v>1632</v>
      </c>
    </row>
    <row r="1338" spans="1:10" x14ac:dyDescent="0.3">
      <c r="A1338" t="s">
        <v>3148</v>
      </c>
      <c r="B1338" t="s">
        <v>25557</v>
      </c>
      <c r="C1338" t="s">
        <v>20486</v>
      </c>
      <c r="D1338" t="s">
        <v>11</v>
      </c>
      <c r="E1338" t="s">
        <v>3149</v>
      </c>
      <c r="F1338">
        <v>53</v>
      </c>
    </row>
    <row r="1339" spans="1:10" x14ac:dyDescent="0.3">
      <c r="A1339" t="s">
        <v>3150</v>
      </c>
      <c r="B1339" t="s">
        <v>25558</v>
      </c>
      <c r="C1339" t="s">
        <v>20486</v>
      </c>
      <c r="D1339" t="s">
        <v>11</v>
      </c>
      <c r="E1339" t="s">
        <v>3151</v>
      </c>
      <c r="F1339">
        <v>35</v>
      </c>
      <c r="G1339" t="s">
        <v>46</v>
      </c>
      <c r="H1339" t="s">
        <v>46</v>
      </c>
      <c r="J1339" t="s">
        <v>3152</v>
      </c>
    </row>
    <row r="1340" spans="1:10" x14ac:dyDescent="0.3">
      <c r="A1340" t="s">
        <v>12249</v>
      </c>
      <c r="B1340" t="s">
        <v>25559</v>
      </c>
      <c r="C1340" t="s">
        <v>20488</v>
      </c>
      <c r="D1340" t="s">
        <v>22</v>
      </c>
      <c r="E1340" t="s">
        <v>9720</v>
      </c>
      <c r="F1340">
        <v>21</v>
      </c>
      <c r="G1340" t="s">
        <v>337</v>
      </c>
      <c r="H1340" t="s">
        <v>337</v>
      </c>
    </row>
    <row r="1341" spans="1:10" x14ac:dyDescent="0.3">
      <c r="A1341" t="s">
        <v>3154</v>
      </c>
      <c r="B1341" t="s">
        <v>25560</v>
      </c>
      <c r="C1341" t="s">
        <v>20487</v>
      </c>
      <c r="D1341" t="s">
        <v>11</v>
      </c>
      <c r="E1341" t="s">
        <v>3155</v>
      </c>
      <c r="F1341">
        <v>42</v>
      </c>
    </row>
    <row r="1342" spans="1:10" x14ac:dyDescent="0.3">
      <c r="A1342" t="s">
        <v>3156</v>
      </c>
      <c r="B1342" t="s">
        <v>25561</v>
      </c>
      <c r="C1342" t="s">
        <v>20491</v>
      </c>
      <c r="D1342" t="s">
        <v>22</v>
      </c>
      <c r="E1342" t="s">
        <v>3157</v>
      </c>
      <c r="F1342">
        <v>69</v>
      </c>
      <c r="G1342" t="s">
        <v>201</v>
      </c>
      <c r="H1342" t="s">
        <v>46</v>
      </c>
    </row>
    <row r="1343" spans="1:10" x14ac:dyDescent="0.3">
      <c r="A1343" t="s">
        <v>3158</v>
      </c>
      <c r="B1343" t="s">
        <v>25562</v>
      </c>
      <c r="C1343" t="s">
        <v>20488</v>
      </c>
      <c r="D1343" t="s">
        <v>11</v>
      </c>
      <c r="E1343" t="s">
        <v>3159</v>
      </c>
      <c r="F1343">
        <v>54</v>
      </c>
      <c r="G1343" t="s">
        <v>1226</v>
      </c>
      <c r="H1343" t="s">
        <v>9791</v>
      </c>
      <c r="I1343" t="s">
        <v>1227</v>
      </c>
    </row>
    <row r="1344" spans="1:10" x14ac:dyDescent="0.3">
      <c r="A1344" t="s">
        <v>3160</v>
      </c>
      <c r="B1344" t="s">
        <v>25563</v>
      </c>
      <c r="C1344" t="s">
        <v>20487</v>
      </c>
      <c r="D1344" t="s">
        <v>22</v>
      </c>
      <c r="E1344" t="s">
        <v>3161</v>
      </c>
      <c r="F1344">
        <v>71</v>
      </c>
      <c r="G1344" t="s">
        <v>198</v>
      </c>
      <c r="H1344" t="s">
        <v>13</v>
      </c>
    </row>
    <row r="1345" spans="1:10" x14ac:dyDescent="0.3">
      <c r="A1345" t="s">
        <v>3162</v>
      </c>
      <c r="B1345" t="s">
        <v>25564</v>
      </c>
      <c r="C1345" t="s">
        <v>20486</v>
      </c>
      <c r="D1345" t="s">
        <v>11</v>
      </c>
      <c r="E1345" t="s">
        <v>3163</v>
      </c>
      <c r="F1345">
        <v>55</v>
      </c>
      <c r="G1345" t="s">
        <v>109</v>
      </c>
      <c r="H1345" t="s">
        <v>46</v>
      </c>
      <c r="I1345" t="s">
        <v>201</v>
      </c>
      <c r="J1345" t="s">
        <v>3164</v>
      </c>
    </row>
    <row r="1346" spans="1:10" x14ac:dyDescent="0.3">
      <c r="A1346" t="s">
        <v>3165</v>
      </c>
      <c r="B1346" t="s">
        <v>25565</v>
      </c>
      <c r="C1346" t="s">
        <v>20488</v>
      </c>
      <c r="D1346" t="s">
        <v>22</v>
      </c>
      <c r="E1346" t="s">
        <v>3166</v>
      </c>
      <c r="F1346">
        <v>37</v>
      </c>
      <c r="G1346" t="s">
        <v>109</v>
      </c>
      <c r="H1346" t="s">
        <v>9788</v>
      </c>
      <c r="I1346" t="s">
        <v>2446</v>
      </c>
      <c r="J1346" t="s">
        <v>12250</v>
      </c>
    </row>
    <row r="1347" spans="1:10" x14ac:dyDescent="0.3">
      <c r="A1347" t="s">
        <v>3167</v>
      </c>
      <c r="B1347" t="s">
        <v>25566</v>
      </c>
      <c r="C1347" t="s">
        <v>20488</v>
      </c>
      <c r="D1347" t="s">
        <v>22</v>
      </c>
      <c r="E1347" t="s">
        <v>3168</v>
      </c>
      <c r="F1347">
        <v>40</v>
      </c>
      <c r="G1347" t="s">
        <v>16</v>
      </c>
      <c r="H1347" t="s">
        <v>9785</v>
      </c>
      <c r="I1347" t="s">
        <v>449</v>
      </c>
    </row>
    <row r="1348" spans="1:10" x14ac:dyDescent="0.3">
      <c r="A1348" t="s">
        <v>3169</v>
      </c>
      <c r="B1348" t="s">
        <v>25567</v>
      </c>
      <c r="C1348" t="s">
        <v>20487</v>
      </c>
      <c r="D1348" t="s">
        <v>22</v>
      </c>
      <c r="E1348" t="s">
        <v>3170</v>
      </c>
      <c r="F1348">
        <v>50</v>
      </c>
      <c r="G1348" t="s">
        <v>109</v>
      </c>
      <c r="H1348" t="s">
        <v>9788</v>
      </c>
      <c r="J1348" t="s">
        <v>3171</v>
      </c>
    </row>
    <row r="1349" spans="1:10" x14ac:dyDescent="0.3">
      <c r="A1349" t="s">
        <v>3172</v>
      </c>
      <c r="B1349" t="s">
        <v>25568</v>
      </c>
      <c r="C1349" t="s">
        <v>20486</v>
      </c>
      <c r="D1349" t="s">
        <v>22</v>
      </c>
      <c r="E1349" t="s">
        <v>3173</v>
      </c>
      <c r="F1349">
        <v>60</v>
      </c>
      <c r="G1349" t="s">
        <v>109</v>
      </c>
      <c r="H1349" t="s">
        <v>9788</v>
      </c>
      <c r="J1349" t="s">
        <v>3174</v>
      </c>
    </row>
    <row r="1350" spans="1:10" x14ac:dyDescent="0.3">
      <c r="A1350" t="s">
        <v>3175</v>
      </c>
      <c r="B1350" t="s">
        <v>25569</v>
      </c>
      <c r="C1350" t="s">
        <v>20490</v>
      </c>
      <c r="D1350" t="s">
        <v>11</v>
      </c>
      <c r="E1350" t="s">
        <v>3176</v>
      </c>
      <c r="F1350">
        <v>55</v>
      </c>
      <c r="G1350" t="s">
        <v>370</v>
      </c>
      <c r="H1350" t="s">
        <v>46</v>
      </c>
      <c r="J1350" t="s">
        <v>3177</v>
      </c>
    </row>
    <row r="1351" spans="1:10" x14ac:dyDescent="0.3">
      <c r="A1351" t="s">
        <v>3178</v>
      </c>
      <c r="B1351" t="s">
        <v>25570</v>
      </c>
      <c r="C1351" t="s">
        <v>20487</v>
      </c>
      <c r="D1351" t="s">
        <v>22</v>
      </c>
      <c r="E1351" t="s">
        <v>2567</v>
      </c>
      <c r="F1351">
        <v>44</v>
      </c>
      <c r="G1351" t="s">
        <v>46</v>
      </c>
      <c r="H1351" t="s">
        <v>46</v>
      </c>
      <c r="I1351" t="s">
        <v>3145</v>
      </c>
    </row>
    <row r="1352" spans="1:10" x14ac:dyDescent="0.3">
      <c r="A1352" t="s">
        <v>3179</v>
      </c>
      <c r="B1352" t="s">
        <v>25571</v>
      </c>
      <c r="C1352" t="s">
        <v>20486</v>
      </c>
      <c r="D1352" t="s">
        <v>22</v>
      </c>
      <c r="E1352" t="s">
        <v>837</v>
      </c>
      <c r="F1352">
        <v>56</v>
      </c>
      <c r="G1352" t="s">
        <v>46</v>
      </c>
      <c r="H1352" t="s">
        <v>46</v>
      </c>
      <c r="J1352" t="s">
        <v>2216</v>
      </c>
    </row>
    <row r="1353" spans="1:10" x14ac:dyDescent="0.3">
      <c r="A1353" t="s">
        <v>3180</v>
      </c>
      <c r="B1353" t="s">
        <v>25572</v>
      </c>
      <c r="C1353" t="s">
        <v>20491</v>
      </c>
      <c r="D1353" t="s">
        <v>11</v>
      </c>
      <c r="E1353" t="s">
        <v>3181</v>
      </c>
      <c r="F1353">
        <v>55</v>
      </c>
      <c r="G1353" t="s">
        <v>201</v>
      </c>
      <c r="H1353" t="s">
        <v>46</v>
      </c>
    </row>
    <row r="1354" spans="1:10" x14ac:dyDescent="0.3">
      <c r="A1354" t="s">
        <v>3182</v>
      </c>
      <c r="B1354" t="s">
        <v>25573</v>
      </c>
      <c r="C1354" t="s">
        <v>20491</v>
      </c>
      <c r="D1354" t="s">
        <v>22</v>
      </c>
      <c r="E1354" t="s">
        <v>3183</v>
      </c>
      <c r="F1354">
        <v>39</v>
      </c>
      <c r="G1354" t="s">
        <v>109</v>
      </c>
      <c r="H1354" t="s">
        <v>9788</v>
      </c>
      <c r="I1354" t="s">
        <v>3184</v>
      </c>
      <c r="J1354" t="s">
        <v>3185</v>
      </c>
    </row>
    <row r="1355" spans="1:10" x14ac:dyDescent="0.3">
      <c r="A1355" t="s">
        <v>3186</v>
      </c>
      <c r="B1355" t="s">
        <v>25574</v>
      </c>
      <c r="C1355" t="s">
        <v>20491</v>
      </c>
      <c r="D1355" t="s">
        <v>11</v>
      </c>
      <c r="E1355" t="s">
        <v>3187</v>
      </c>
      <c r="F1355">
        <v>53</v>
      </c>
      <c r="G1355" t="s">
        <v>3188</v>
      </c>
      <c r="H1355" t="s">
        <v>12074</v>
      </c>
    </row>
    <row r="1356" spans="1:10" x14ac:dyDescent="0.3">
      <c r="A1356" t="s">
        <v>3189</v>
      </c>
      <c r="B1356" t="s">
        <v>25575</v>
      </c>
      <c r="C1356" t="s">
        <v>20491</v>
      </c>
      <c r="D1356" t="s">
        <v>11</v>
      </c>
      <c r="E1356" t="s">
        <v>3190</v>
      </c>
      <c r="F1356">
        <v>62</v>
      </c>
      <c r="G1356" t="s">
        <v>231</v>
      </c>
      <c r="H1356" t="s">
        <v>9788</v>
      </c>
      <c r="J1356" t="s">
        <v>3191</v>
      </c>
    </row>
    <row r="1357" spans="1:10" x14ac:dyDescent="0.3">
      <c r="A1357" t="s">
        <v>3192</v>
      </c>
      <c r="B1357" t="s">
        <v>25576</v>
      </c>
      <c r="C1357" t="s">
        <v>20487</v>
      </c>
      <c r="D1357" t="s">
        <v>11</v>
      </c>
      <c r="E1357" t="s">
        <v>3193</v>
      </c>
      <c r="F1357">
        <v>50</v>
      </c>
      <c r="G1357" t="s">
        <v>46</v>
      </c>
      <c r="H1357" t="s">
        <v>46</v>
      </c>
      <c r="I1357" t="s">
        <v>1412</v>
      </c>
      <c r="J1357" t="s">
        <v>1412</v>
      </c>
    </row>
    <row r="1358" spans="1:10" x14ac:dyDescent="0.3">
      <c r="A1358" t="s">
        <v>3194</v>
      </c>
      <c r="B1358" t="s">
        <v>25577</v>
      </c>
      <c r="C1358" t="s">
        <v>20491</v>
      </c>
      <c r="D1358" t="s">
        <v>22</v>
      </c>
      <c r="E1358" t="s">
        <v>3195</v>
      </c>
      <c r="F1358">
        <v>60</v>
      </c>
      <c r="G1358" t="s">
        <v>201</v>
      </c>
      <c r="H1358" t="s">
        <v>46</v>
      </c>
      <c r="J1358" t="s">
        <v>220</v>
      </c>
    </row>
    <row r="1359" spans="1:10" x14ac:dyDescent="0.3">
      <c r="A1359" t="s">
        <v>3196</v>
      </c>
      <c r="B1359" t="s">
        <v>25578</v>
      </c>
      <c r="C1359" t="s">
        <v>20491</v>
      </c>
      <c r="D1359" t="s">
        <v>11</v>
      </c>
      <c r="E1359" t="s">
        <v>3197</v>
      </c>
      <c r="F1359">
        <v>35</v>
      </c>
      <c r="G1359" t="s">
        <v>109</v>
      </c>
      <c r="H1359" t="s">
        <v>9788</v>
      </c>
      <c r="J1359" t="s">
        <v>3198</v>
      </c>
    </row>
    <row r="1360" spans="1:10" x14ac:dyDescent="0.3">
      <c r="A1360" t="s">
        <v>3199</v>
      </c>
      <c r="B1360" t="s">
        <v>25579</v>
      </c>
      <c r="C1360" t="s">
        <v>20491</v>
      </c>
      <c r="D1360" t="s">
        <v>11</v>
      </c>
      <c r="E1360" t="s">
        <v>3200</v>
      </c>
      <c r="F1360">
        <v>55</v>
      </c>
      <c r="G1360" t="s">
        <v>231</v>
      </c>
      <c r="H1360" t="s">
        <v>9788</v>
      </c>
    </row>
    <row r="1361" spans="1:10" x14ac:dyDescent="0.3">
      <c r="A1361" t="s">
        <v>3201</v>
      </c>
      <c r="B1361" t="s">
        <v>25580</v>
      </c>
      <c r="C1361" t="s">
        <v>20486</v>
      </c>
      <c r="D1361" t="s">
        <v>22</v>
      </c>
      <c r="E1361" t="s">
        <v>3202</v>
      </c>
      <c r="F1361">
        <v>61</v>
      </c>
    </row>
    <row r="1362" spans="1:10" x14ac:dyDescent="0.3">
      <c r="A1362" t="s">
        <v>3203</v>
      </c>
      <c r="B1362" t="s">
        <v>25581</v>
      </c>
      <c r="C1362" t="s">
        <v>20491</v>
      </c>
      <c r="D1362" t="s">
        <v>22</v>
      </c>
      <c r="E1362" t="s">
        <v>3204</v>
      </c>
      <c r="F1362">
        <v>54</v>
      </c>
      <c r="G1362" t="s">
        <v>441</v>
      </c>
      <c r="H1362" t="s">
        <v>9785</v>
      </c>
      <c r="J1362" t="s">
        <v>3205</v>
      </c>
    </row>
    <row r="1363" spans="1:10" x14ac:dyDescent="0.3">
      <c r="A1363" t="s">
        <v>3206</v>
      </c>
      <c r="B1363" t="s">
        <v>25582</v>
      </c>
      <c r="C1363" t="s">
        <v>20491</v>
      </c>
      <c r="D1363" t="s">
        <v>11</v>
      </c>
      <c r="E1363" t="s">
        <v>3207</v>
      </c>
      <c r="F1363">
        <v>58</v>
      </c>
      <c r="G1363" t="s">
        <v>201</v>
      </c>
      <c r="H1363" t="s">
        <v>46</v>
      </c>
    </row>
    <row r="1364" spans="1:10" x14ac:dyDescent="0.3">
      <c r="A1364" t="s">
        <v>3208</v>
      </c>
      <c r="B1364" t="s">
        <v>25583</v>
      </c>
      <c r="C1364" t="s">
        <v>20491</v>
      </c>
      <c r="D1364" t="s">
        <v>22</v>
      </c>
      <c r="E1364" t="s">
        <v>2679</v>
      </c>
      <c r="F1364">
        <v>51</v>
      </c>
      <c r="G1364" t="s">
        <v>201</v>
      </c>
      <c r="H1364" t="s">
        <v>46</v>
      </c>
    </row>
    <row r="1365" spans="1:10" x14ac:dyDescent="0.3">
      <c r="A1365" t="s">
        <v>3209</v>
      </c>
      <c r="B1365" t="s">
        <v>25584</v>
      </c>
      <c r="C1365" t="s">
        <v>20491</v>
      </c>
      <c r="D1365" t="s">
        <v>11</v>
      </c>
      <c r="E1365" t="s">
        <v>3210</v>
      </c>
      <c r="F1365">
        <v>62</v>
      </c>
      <c r="G1365" t="s">
        <v>173</v>
      </c>
      <c r="H1365" t="s">
        <v>12099</v>
      </c>
    </row>
    <row r="1366" spans="1:10" x14ac:dyDescent="0.3">
      <c r="A1366" t="s">
        <v>3211</v>
      </c>
      <c r="B1366" t="s">
        <v>25585</v>
      </c>
      <c r="C1366" t="s">
        <v>20491</v>
      </c>
      <c r="D1366" t="s">
        <v>11</v>
      </c>
      <c r="E1366" t="s">
        <v>3212</v>
      </c>
      <c r="F1366">
        <v>42</v>
      </c>
      <c r="G1366" t="s">
        <v>231</v>
      </c>
      <c r="H1366" t="s">
        <v>9788</v>
      </c>
      <c r="J1366" t="s">
        <v>3213</v>
      </c>
    </row>
    <row r="1367" spans="1:10" x14ac:dyDescent="0.3">
      <c r="A1367" t="s">
        <v>3214</v>
      </c>
      <c r="B1367" t="s">
        <v>25586</v>
      </c>
      <c r="C1367" t="s">
        <v>20491</v>
      </c>
      <c r="D1367" t="s">
        <v>11</v>
      </c>
      <c r="E1367" t="s">
        <v>3215</v>
      </c>
      <c r="F1367">
        <v>37</v>
      </c>
      <c r="G1367" t="s">
        <v>231</v>
      </c>
      <c r="H1367" t="s">
        <v>9788</v>
      </c>
      <c r="J1367" t="s">
        <v>3213</v>
      </c>
    </row>
    <row r="1368" spans="1:10" x14ac:dyDescent="0.3">
      <c r="A1368" t="s">
        <v>3216</v>
      </c>
      <c r="B1368" t="s">
        <v>25587</v>
      </c>
      <c r="C1368" t="s">
        <v>20491</v>
      </c>
      <c r="D1368" t="s">
        <v>11</v>
      </c>
      <c r="E1368" t="s">
        <v>3217</v>
      </c>
      <c r="F1368">
        <v>44</v>
      </c>
      <c r="G1368" t="s">
        <v>231</v>
      </c>
      <c r="H1368" t="s">
        <v>9788</v>
      </c>
      <c r="J1368" t="s">
        <v>3213</v>
      </c>
    </row>
    <row r="1369" spans="1:10" x14ac:dyDescent="0.3">
      <c r="A1369" t="s">
        <v>3218</v>
      </c>
      <c r="B1369" t="s">
        <v>25588</v>
      </c>
      <c r="C1369" t="s">
        <v>20491</v>
      </c>
      <c r="D1369" t="s">
        <v>11</v>
      </c>
      <c r="E1369" t="s">
        <v>3219</v>
      </c>
      <c r="F1369">
        <v>42</v>
      </c>
      <c r="G1369" t="s">
        <v>231</v>
      </c>
      <c r="H1369" t="s">
        <v>9788</v>
      </c>
      <c r="J1369" t="s">
        <v>3220</v>
      </c>
    </row>
    <row r="1370" spans="1:10" x14ac:dyDescent="0.3">
      <c r="A1370" t="s">
        <v>3221</v>
      </c>
      <c r="B1370" t="s">
        <v>25589</v>
      </c>
      <c r="C1370" t="s">
        <v>20488</v>
      </c>
      <c r="D1370" t="s">
        <v>22</v>
      </c>
      <c r="E1370" t="s">
        <v>1893</v>
      </c>
      <c r="F1370">
        <v>49</v>
      </c>
      <c r="G1370" t="s">
        <v>46</v>
      </c>
      <c r="H1370" t="s">
        <v>46</v>
      </c>
    </row>
    <row r="1371" spans="1:10" x14ac:dyDescent="0.3">
      <c r="A1371" t="s">
        <v>3222</v>
      </c>
      <c r="B1371" t="s">
        <v>25590</v>
      </c>
      <c r="C1371" t="s">
        <v>20487</v>
      </c>
      <c r="D1371" t="s">
        <v>22</v>
      </c>
      <c r="E1371" t="s">
        <v>3223</v>
      </c>
      <c r="F1371">
        <v>41</v>
      </c>
      <c r="G1371" t="s">
        <v>109</v>
      </c>
      <c r="H1371" t="s">
        <v>9788</v>
      </c>
    </row>
    <row r="1372" spans="1:10" x14ac:dyDescent="0.3">
      <c r="A1372" t="s">
        <v>3224</v>
      </c>
      <c r="B1372" t="s">
        <v>25591</v>
      </c>
      <c r="C1372" t="s">
        <v>20487</v>
      </c>
      <c r="D1372" t="s">
        <v>11</v>
      </c>
      <c r="E1372" t="s">
        <v>3225</v>
      </c>
      <c r="F1372">
        <v>38</v>
      </c>
      <c r="G1372" t="s">
        <v>109</v>
      </c>
      <c r="H1372" t="s">
        <v>9788</v>
      </c>
      <c r="J1372" t="s">
        <v>2639</v>
      </c>
    </row>
    <row r="1373" spans="1:10" x14ac:dyDescent="0.3">
      <c r="A1373" t="s">
        <v>3226</v>
      </c>
      <c r="B1373" t="s">
        <v>25592</v>
      </c>
      <c r="C1373" t="s">
        <v>20486</v>
      </c>
      <c r="D1373" t="s">
        <v>11</v>
      </c>
      <c r="E1373" t="s">
        <v>3227</v>
      </c>
      <c r="F1373">
        <v>61</v>
      </c>
      <c r="G1373" t="s">
        <v>109</v>
      </c>
      <c r="H1373" t="s">
        <v>9788</v>
      </c>
      <c r="J1373" t="s">
        <v>3228</v>
      </c>
    </row>
    <row r="1374" spans="1:10" x14ac:dyDescent="0.3">
      <c r="A1374" t="s">
        <v>3229</v>
      </c>
      <c r="B1374" t="s">
        <v>25593</v>
      </c>
      <c r="C1374" t="s">
        <v>20491</v>
      </c>
      <c r="D1374" t="s">
        <v>11</v>
      </c>
      <c r="E1374" t="s">
        <v>3230</v>
      </c>
      <c r="F1374">
        <v>71</v>
      </c>
      <c r="G1374" t="s">
        <v>201</v>
      </c>
      <c r="H1374" t="s">
        <v>46</v>
      </c>
      <c r="J1374" t="s">
        <v>3231</v>
      </c>
    </row>
    <row r="1375" spans="1:10" x14ac:dyDescent="0.3">
      <c r="A1375" t="s">
        <v>3232</v>
      </c>
      <c r="B1375" t="s">
        <v>25594</v>
      </c>
      <c r="C1375" t="s">
        <v>20486</v>
      </c>
      <c r="D1375" t="s">
        <v>22</v>
      </c>
      <c r="E1375" t="s">
        <v>3233</v>
      </c>
      <c r="F1375">
        <v>43</v>
      </c>
      <c r="G1375" t="s">
        <v>16</v>
      </c>
      <c r="H1375" t="s">
        <v>9785</v>
      </c>
      <c r="I1375" t="s">
        <v>1216</v>
      </c>
      <c r="J1375" t="s">
        <v>3234</v>
      </c>
    </row>
    <row r="1376" spans="1:10" x14ac:dyDescent="0.3">
      <c r="A1376" t="s">
        <v>3235</v>
      </c>
      <c r="B1376" t="s">
        <v>25595</v>
      </c>
      <c r="C1376" t="s">
        <v>20487</v>
      </c>
      <c r="D1376" t="s">
        <v>22</v>
      </c>
      <c r="E1376" t="s">
        <v>3236</v>
      </c>
      <c r="F1376">
        <v>61</v>
      </c>
      <c r="G1376" t="s">
        <v>13</v>
      </c>
      <c r="H1376" t="s">
        <v>13</v>
      </c>
      <c r="I1376" t="s">
        <v>441</v>
      </c>
      <c r="J1376" t="s">
        <v>3237</v>
      </c>
    </row>
    <row r="1377" spans="1:10" x14ac:dyDescent="0.3">
      <c r="A1377" t="s">
        <v>3238</v>
      </c>
      <c r="B1377" t="s">
        <v>25596</v>
      </c>
      <c r="C1377" t="s">
        <v>20490</v>
      </c>
      <c r="D1377" t="s">
        <v>22</v>
      </c>
      <c r="E1377" t="s">
        <v>3239</v>
      </c>
      <c r="F1377">
        <v>55</v>
      </c>
      <c r="G1377" t="s">
        <v>370</v>
      </c>
      <c r="H1377" t="s">
        <v>46</v>
      </c>
      <c r="I1377" t="s">
        <v>387</v>
      </c>
    </row>
    <row r="1378" spans="1:10" x14ac:dyDescent="0.3">
      <c r="A1378" t="s">
        <v>3240</v>
      </c>
      <c r="B1378" t="s">
        <v>25597</v>
      </c>
      <c r="C1378" t="s">
        <v>20487</v>
      </c>
      <c r="D1378" t="s">
        <v>22</v>
      </c>
      <c r="E1378" t="s">
        <v>3241</v>
      </c>
      <c r="F1378">
        <v>45</v>
      </c>
      <c r="G1378" t="s">
        <v>201</v>
      </c>
      <c r="H1378" t="s">
        <v>46</v>
      </c>
    </row>
    <row r="1379" spans="1:10" x14ac:dyDescent="0.3">
      <c r="A1379" t="s">
        <v>3242</v>
      </c>
      <c r="B1379" t="s">
        <v>25598</v>
      </c>
      <c r="C1379" t="s">
        <v>20488</v>
      </c>
      <c r="D1379" t="s">
        <v>22</v>
      </c>
      <c r="E1379" t="s">
        <v>2698</v>
      </c>
      <c r="F1379">
        <v>47</v>
      </c>
      <c r="G1379" t="s">
        <v>31</v>
      </c>
      <c r="H1379" t="s">
        <v>31</v>
      </c>
    </row>
    <row r="1380" spans="1:10" x14ac:dyDescent="0.3">
      <c r="A1380" t="s">
        <v>3243</v>
      </c>
      <c r="B1380" t="s">
        <v>25599</v>
      </c>
      <c r="C1380" t="s">
        <v>20488</v>
      </c>
      <c r="D1380" t="s">
        <v>11</v>
      </c>
      <c r="E1380" t="s">
        <v>3244</v>
      </c>
      <c r="F1380">
        <v>64</v>
      </c>
      <c r="G1380" t="s">
        <v>13</v>
      </c>
      <c r="H1380" t="s">
        <v>13</v>
      </c>
    </row>
    <row r="1381" spans="1:10" x14ac:dyDescent="0.3">
      <c r="A1381" t="s">
        <v>3245</v>
      </c>
      <c r="B1381" t="s">
        <v>25600</v>
      </c>
      <c r="C1381" t="s">
        <v>20491</v>
      </c>
      <c r="D1381" t="s">
        <v>22</v>
      </c>
      <c r="E1381" t="s">
        <v>3246</v>
      </c>
      <c r="F1381">
        <v>37</v>
      </c>
      <c r="G1381" t="s">
        <v>231</v>
      </c>
      <c r="H1381" t="s">
        <v>9788</v>
      </c>
      <c r="J1381" t="s">
        <v>3247</v>
      </c>
    </row>
    <row r="1382" spans="1:10" x14ac:dyDescent="0.3">
      <c r="A1382" t="s">
        <v>3248</v>
      </c>
      <c r="B1382" t="s">
        <v>25601</v>
      </c>
      <c r="C1382" t="s">
        <v>20491</v>
      </c>
      <c r="D1382" t="s">
        <v>11</v>
      </c>
      <c r="E1382" t="s">
        <v>3249</v>
      </c>
      <c r="F1382">
        <v>41</v>
      </c>
      <c r="G1382" t="s">
        <v>231</v>
      </c>
      <c r="H1382" t="s">
        <v>9788</v>
      </c>
      <c r="J1382" t="s">
        <v>3250</v>
      </c>
    </row>
    <row r="1383" spans="1:10" x14ac:dyDescent="0.3">
      <c r="A1383" t="s">
        <v>3251</v>
      </c>
      <c r="B1383" t="s">
        <v>25602</v>
      </c>
      <c r="C1383" t="s">
        <v>20486</v>
      </c>
      <c r="D1383" t="s">
        <v>11</v>
      </c>
      <c r="E1383" t="s">
        <v>3252</v>
      </c>
      <c r="F1383">
        <v>43</v>
      </c>
      <c r="G1383" t="s">
        <v>827</v>
      </c>
      <c r="H1383" t="s">
        <v>12099</v>
      </c>
      <c r="J1383" t="s">
        <v>3253</v>
      </c>
    </row>
    <row r="1384" spans="1:10" x14ac:dyDescent="0.3">
      <c r="A1384" t="s">
        <v>3254</v>
      </c>
      <c r="B1384" t="s">
        <v>25603</v>
      </c>
      <c r="C1384" t="s">
        <v>20490</v>
      </c>
      <c r="D1384" t="s">
        <v>11</v>
      </c>
      <c r="E1384" t="s">
        <v>3255</v>
      </c>
      <c r="F1384">
        <v>52</v>
      </c>
      <c r="G1384" t="s">
        <v>16</v>
      </c>
      <c r="H1384" t="s">
        <v>9785</v>
      </c>
      <c r="J1384" t="s">
        <v>339</v>
      </c>
    </row>
    <row r="1385" spans="1:10" x14ac:dyDescent="0.3">
      <c r="A1385" t="s">
        <v>3256</v>
      </c>
      <c r="B1385" t="s">
        <v>25604</v>
      </c>
      <c r="C1385" t="s">
        <v>20487</v>
      </c>
      <c r="D1385" t="s">
        <v>22</v>
      </c>
      <c r="E1385" t="s">
        <v>3257</v>
      </c>
      <c r="F1385">
        <v>58</v>
      </c>
      <c r="G1385" t="s">
        <v>172</v>
      </c>
      <c r="H1385" t="s">
        <v>9785</v>
      </c>
      <c r="I1385" t="s">
        <v>441</v>
      </c>
      <c r="J1385" t="s">
        <v>1634</v>
      </c>
    </row>
    <row r="1386" spans="1:10" x14ac:dyDescent="0.3">
      <c r="A1386" t="s">
        <v>3258</v>
      </c>
      <c r="B1386" t="s">
        <v>25605</v>
      </c>
      <c r="C1386" t="s">
        <v>20487</v>
      </c>
      <c r="D1386" t="s">
        <v>22</v>
      </c>
      <c r="E1386" t="s">
        <v>3259</v>
      </c>
      <c r="F1386">
        <v>64</v>
      </c>
      <c r="G1386" t="s">
        <v>13</v>
      </c>
      <c r="H1386" t="s">
        <v>9788</v>
      </c>
      <c r="J1386" t="s">
        <v>3260</v>
      </c>
    </row>
    <row r="1387" spans="1:10" x14ac:dyDescent="0.3">
      <c r="A1387" t="s">
        <v>3261</v>
      </c>
      <c r="B1387" t="s">
        <v>25606</v>
      </c>
      <c r="C1387" t="s">
        <v>20488</v>
      </c>
      <c r="D1387" t="s">
        <v>22</v>
      </c>
      <c r="E1387" t="s">
        <v>3262</v>
      </c>
      <c r="F1387">
        <v>60</v>
      </c>
      <c r="G1387" t="s">
        <v>370</v>
      </c>
      <c r="H1387" t="s">
        <v>46</v>
      </c>
      <c r="I1387" t="s">
        <v>1190</v>
      </c>
    </row>
    <row r="1388" spans="1:10" x14ac:dyDescent="0.3">
      <c r="A1388" t="s">
        <v>3263</v>
      </c>
      <c r="B1388" t="s">
        <v>25607</v>
      </c>
      <c r="C1388" t="s">
        <v>20486</v>
      </c>
      <c r="D1388" t="s">
        <v>22</v>
      </c>
      <c r="E1388" t="s">
        <v>3264</v>
      </c>
      <c r="F1388">
        <v>75</v>
      </c>
      <c r="G1388" t="s">
        <v>31</v>
      </c>
      <c r="H1388" t="s">
        <v>31</v>
      </c>
    </row>
    <row r="1389" spans="1:10" x14ac:dyDescent="0.3">
      <c r="A1389" t="s">
        <v>3265</v>
      </c>
      <c r="B1389" t="s">
        <v>25608</v>
      </c>
      <c r="C1389" t="s">
        <v>20486</v>
      </c>
      <c r="D1389" t="s">
        <v>22</v>
      </c>
      <c r="E1389" t="s">
        <v>3266</v>
      </c>
      <c r="F1389">
        <v>42</v>
      </c>
      <c r="G1389" t="s">
        <v>31</v>
      </c>
      <c r="H1389" t="s">
        <v>31</v>
      </c>
    </row>
    <row r="1390" spans="1:10" x14ac:dyDescent="0.3">
      <c r="A1390" t="s">
        <v>3267</v>
      </c>
      <c r="B1390" t="s">
        <v>25609</v>
      </c>
      <c r="C1390" t="s">
        <v>20491</v>
      </c>
      <c r="D1390" t="s">
        <v>11</v>
      </c>
      <c r="E1390" t="s">
        <v>3268</v>
      </c>
      <c r="F1390">
        <v>41</v>
      </c>
      <c r="G1390" t="s">
        <v>231</v>
      </c>
      <c r="H1390" t="s">
        <v>9788</v>
      </c>
      <c r="J1390" t="s">
        <v>3133</v>
      </c>
    </row>
    <row r="1391" spans="1:10" x14ac:dyDescent="0.3">
      <c r="A1391" t="s">
        <v>3269</v>
      </c>
      <c r="B1391" t="s">
        <v>25610</v>
      </c>
      <c r="C1391" t="s">
        <v>20488</v>
      </c>
      <c r="D1391" t="s">
        <v>22</v>
      </c>
      <c r="E1391" t="s">
        <v>3270</v>
      </c>
      <c r="F1391">
        <v>47</v>
      </c>
      <c r="G1391" t="s">
        <v>46</v>
      </c>
      <c r="H1391" t="s">
        <v>46</v>
      </c>
      <c r="I1391" t="s">
        <v>228</v>
      </c>
      <c r="J1391" t="s">
        <v>12251</v>
      </c>
    </row>
    <row r="1392" spans="1:10" x14ac:dyDescent="0.3">
      <c r="A1392" t="s">
        <v>3271</v>
      </c>
      <c r="B1392" t="s">
        <v>25611</v>
      </c>
      <c r="C1392" t="s">
        <v>20487</v>
      </c>
      <c r="D1392" t="s">
        <v>11</v>
      </c>
      <c r="E1392" t="s">
        <v>3272</v>
      </c>
      <c r="F1392">
        <v>55</v>
      </c>
      <c r="G1392" t="s">
        <v>172</v>
      </c>
      <c r="H1392" t="s">
        <v>9785</v>
      </c>
      <c r="I1392" t="s">
        <v>441</v>
      </c>
      <c r="J1392" t="s">
        <v>1634</v>
      </c>
    </row>
    <row r="1393" spans="1:10" x14ac:dyDescent="0.3">
      <c r="A1393" t="s">
        <v>3273</v>
      </c>
      <c r="B1393" t="s">
        <v>25612</v>
      </c>
      <c r="C1393" t="s">
        <v>20488</v>
      </c>
      <c r="D1393" t="s">
        <v>11</v>
      </c>
      <c r="E1393" t="s">
        <v>3274</v>
      </c>
      <c r="F1393">
        <v>58</v>
      </c>
      <c r="G1393" t="s">
        <v>109</v>
      </c>
      <c r="H1393" t="s">
        <v>9788</v>
      </c>
    </row>
    <row r="1394" spans="1:10" x14ac:dyDescent="0.3">
      <c r="A1394" t="s">
        <v>3275</v>
      </c>
      <c r="B1394" t="s">
        <v>25613</v>
      </c>
      <c r="C1394" t="s">
        <v>20488</v>
      </c>
      <c r="D1394" t="s">
        <v>11</v>
      </c>
      <c r="E1394" t="s">
        <v>3276</v>
      </c>
      <c r="F1394">
        <v>54</v>
      </c>
      <c r="G1394" t="s">
        <v>172</v>
      </c>
      <c r="H1394" t="s">
        <v>12099</v>
      </c>
      <c r="I1394" t="s">
        <v>2100</v>
      </c>
      <c r="J1394" t="s">
        <v>12252</v>
      </c>
    </row>
    <row r="1395" spans="1:10" x14ac:dyDescent="0.3">
      <c r="A1395" t="s">
        <v>3277</v>
      </c>
      <c r="B1395" t="s">
        <v>25614</v>
      </c>
      <c r="C1395" t="s">
        <v>20490</v>
      </c>
      <c r="D1395" t="s">
        <v>22</v>
      </c>
      <c r="E1395" t="s">
        <v>3278</v>
      </c>
      <c r="F1395">
        <v>46</v>
      </c>
      <c r="G1395" t="s">
        <v>109</v>
      </c>
      <c r="H1395" t="s">
        <v>9788</v>
      </c>
      <c r="J1395" t="s">
        <v>347</v>
      </c>
    </row>
    <row r="1396" spans="1:10" x14ac:dyDescent="0.3">
      <c r="A1396" t="s">
        <v>3279</v>
      </c>
      <c r="B1396" t="s">
        <v>25615</v>
      </c>
      <c r="C1396" t="s">
        <v>20486</v>
      </c>
      <c r="D1396" t="s">
        <v>22</v>
      </c>
      <c r="E1396" t="s">
        <v>2467</v>
      </c>
      <c r="F1396">
        <v>43</v>
      </c>
      <c r="G1396" t="s">
        <v>172</v>
      </c>
      <c r="H1396" t="s">
        <v>12099</v>
      </c>
      <c r="I1396" t="s">
        <v>17</v>
      </c>
      <c r="J1396" t="s">
        <v>4882</v>
      </c>
    </row>
    <row r="1397" spans="1:10" x14ac:dyDescent="0.3">
      <c r="A1397" t="s">
        <v>12253</v>
      </c>
      <c r="B1397" t="s">
        <v>25616</v>
      </c>
      <c r="C1397" t="s">
        <v>20491</v>
      </c>
      <c r="D1397" t="s">
        <v>11</v>
      </c>
      <c r="E1397" t="s">
        <v>9719</v>
      </c>
      <c r="F1397">
        <v>21</v>
      </c>
      <c r="G1397" t="s">
        <v>46</v>
      </c>
      <c r="H1397" t="s">
        <v>46</v>
      </c>
    </row>
    <row r="1398" spans="1:10" x14ac:dyDescent="0.3">
      <c r="A1398" t="s">
        <v>3280</v>
      </c>
      <c r="B1398" t="s">
        <v>25617</v>
      </c>
      <c r="C1398" t="s">
        <v>20487</v>
      </c>
      <c r="D1398" t="s">
        <v>11</v>
      </c>
      <c r="E1398" t="s">
        <v>3281</v>
      </c>
      <c r="F1398">
        <v>51</v>
      </c>
      <c r="G1398" t="s">
        <v>231</v>
      </c>
      <c r="H1398" t="s">
        <v>9788</v>
      </c>
      <c r="J1398" t="s">
        <v>1034</v>
      </c>
    </row>
    <row r="1399" spans="1:10" x14ac:dyDescent="0.3">
      <c r="A1399" t="s">
        <v>3282</v>
      </c>
      <c r="B1399" t="s">
        <v>25618</v>
      </c>
      <c r="C1399" t="s">
        <v>20486</v>
      </c>
      <c r="D1399" t="s">
        <v>22</v>
      </c>
      <c r="E1399" t="s">
        <v>3283</v>
      </c>
      <c r="F1399">
        <v>61</v>
      </c>
      <c r="G1399" t="s">
        <v>31</v>
      </c>
      <c r="H1399" t="s">
        <v>31</v>
      </c>
    </row>
    <row r="1400" spans="1:10" x14ac:dyDescent="0.3">
      <c r="A1400" t="s">
        <v>3284</v>
      </c>
      <c r="B1400" t="s">
        <v>25619</v>
      </c>
      <c r="C1400" t="s">
        <v>20486</v>
      </c>
      <c r="D1400" t="s">
        <v>11</v>
      </c>
      <c r="E1400" t="s">
        <v>3285</v>
      </c>
      <c r="F1400">
        <v>74</v>
      </c>
      <c r="G1400" t="s">
        <v>172</v>
      </c>
      <c r="H1400" t="s">
        <v>12099</v>
      </c>
      <c r="J1400" t="s">
        <v>3286</v>
      </c>
    </row>
    <row r="1401" spans="1:10" x14ac:dyDescent="0.3">
      <c r="A1401" t="s">
        <v>3287</v>
      </c>
      <c r="B1401" t="s">
        <v>25620</v>
      </c>
      <c r="C1401" t="s">
        <v>20486</v>
      </c>
      <c r="D1401" t="s">
        <v>22</v>
      </c>
      <c r="E1401" t="s">
        <v>3288</v>
      </c>
      <c r="F1401">
        <v>41</v>
      </c>
      <c r="G1401" t="s">
        <v>243</v>
      </c>
      <c r="H1401" t="s">
        <v>243</v>
      </c>
    </row>
    <row r="1402" spans="1:10" x14ac:dyDescent="0.3">
      <c r="A1402" t="s">
        <v>3290</v>
      </c>
      <c r="B1402" t="s">
        <v>25621</v>
      </c>
      <c r="C1402" t="s">
        <v>20487</v>
      </c>
      <c r="D1402" t="s">
        <v>11</v>
      </c>
      <c r="E1402" t="s">
        <v>3291</v>
      </c>
      <c r="F1402">
        <v>44</v>
      </c>
      <c r="G1402" t="s">
        <v>231</v>
      </c>
      <c r="H1402" t="s">
        <v>9788</v>
      </c>
      <c r="J1402" t="s">
        <v>3292</v>
      </c>
    </row>
    <row r="1403" spans="1:10" x14ac:dyDescent="0.3">
      <c r="A1403" t="s">
        <v>3293</v>
      </c>
      <c r="B1403" t="s">
        <v>25622</v>
      </c>
      <c r="C1403" t="s">
        <v>20490</v>
      </c>
      <c r="D1403" t="s">
        <v>22</v>
      </c>
      <c r="E1403" t="s">
        <v>3294</v>
      </c>
      <c r="F1403">
        <v>54</v>
      </c>
      <c r="G1403" t="s">
        <v>172</v>
      </c>
      <c r="H1403" t="s">
        <v>12099</v>
      </c>
    </row>
    <row r="1404" spans="1:10" x14ac:dyDescent="0.3">
      <c r="A1404" t="s">
        <v>12254</v>
      </c>
      <c r="B1404" t="s">
        <v>25623</v>
      </c>
      <c r="C1404" t="s">
        <v>20487</v>
      </c>
      <c r="D1404" t="s">
        <v>11</v>
      </c>
      <c r="E1404" t="s">
        <v>9718</v>
      </c>
      <c r="F1404">
        <v>25</v>
      </c>
    </row>
    <row r="1405" spans="1:10" x14ac:dyDescent="0.3">
      <c r="A1405" t="s">
        <v>3295</v>
      </c>
      <c r="B1405" t="s">
        <v>25624</v>
      </c>
      <c r="C1405" t="s">
        <v>20490</v>
      </c>
      <c r="D1405" t="s">
        <v>22</v>
      </c>
      <c r="E1405" t="s">
        <v>3296</v>
      </c>
      <c r="F1405">
        <v>61</v>
      </c>
      <c r="H1405" t="s">
        <v>9788</v>
      </c>
      <c r="J1405" t="s">
        <v>3297</v>
      </c>
    </row>
    <row r="1406" spans="1:10" x14ac:dyDescent="0.3">
      <c r="A1406" t="s">
        <v>3298</v>
      </c>
      <c r="B1406" t="s">
        <v>25625</v>
      </c>
      <c r="C1406" t="s">
        <v>20488</v>
      </c>
      <c r="D1406" t="s">
        <v>22</v>
      </c>
      <c r="E1406" t="s">
        <v>3299</v>
      </c>
      <c r="F1406">
        <v>40</v>
      </c>
      <c r="G1406" t="s">
        <v>31</v>
      </c>
      <c r="H1406" t="s">
        <v>31</v>
      </c>
    </row>
    <row r="1407" spans="1:10" x14ac:dyDescent="0.3">
      <c r="A1407" t="s">
        <v>3300</v>
      </c>
      <c r="B1407" t="s">
        <v>25626</v>
      </c>
      <c r="C1407" t="s">
        <v>20488</v>
      </c>
      <c r="D1407" t="s">
        <v>22</v>
      </c>
      <c r="E1407" t="s">
        <v>3301</v>
      </c>
      <c r="F1407">
        <v>43</v>
      </c>
      <c r="G1407" t="s">
        <v>109</v>
      </c>
      <c r="H1407" t="s">
        <v>9788</v>
      </c>
    </row>
    <row r="1408" spans="1:10" x14ac:dyDescent="0.3">
      <c r="A1408" t="s">
        <v>3303</v>
      </c>
      <c r="B1408" t="s">
        <v>25627</v>
      </c>
      <c r="C1408" t="s">
        <v>20491</v>
      </c>
      <c r="D1408" t="s">
        <v>11</v>
      </c>
      <c r="E1408" t="s">
        <v>3304</v>
      </c>
      <c r="F1408">
        <v>43</v>
      </c>
      <c r="G1408" t="s">
        <v>231</v>
      </c>
      <c r="H1408" t="s">
        <v>9788</v>
      </c>
      <c r="J1408" t="s">
        <v>3305</v>
      </c>
    </row>
    <row r="1409" spans="1:10" x14ac:dyDescent="0.3">
      <c r="A1409" t="s">
        <v>3306</v>
      </c>
      <c r="B1409" t="s">
        <v>25628</v>
      </c>
      <c r="C1409" t="s">
        <v>20488</v>
      </c>
      <c r="D1409" t="s">
        <v>22</v>
      </c>
      <c r="E1409" t="s">
        <v>2152</v>
      </c>
      <c r="F1409">
        <v>48</v>
      </c>
      <c r="G1409" t="s">
        <v>109</v>
      </c>
      <c r="H1409" t="s">
        <v>9788</v>
      </c>
      <c r="I1409" t="s">
        <v>222</v>
      </c>
    </row>
    <row r="1410" spans="1:10" x14ac:dyDescent="0.3">
      <c r="A1410" t="s">
        <v>3307</v>
      </c>
      <c r="B1410" t="s">
        <v>25629</v>
      </c>
      <c r="C1410" t="s">
        <v>20486</v>
      </c>
      <c r="D1410" t="s">
        <v>11</v>
      </c>
      <c r="E1410" t="s">
        <v>3308</v>
      </c>
      <c r="F1410">
        <v>43</v>
      </c>
      <c r="G1410" t="s">
        <v>109</v>
      </c>
      <c r="H1410" t="s">
        <v>9788</v>
      </c>
      <c r="J1410" t="s">
        <v>18</v>
      </c>
    </row>
    <row r="1411" spans="1:10" x14ac:dyDescent="0.3">
      <c r="A1411" t="s">
        <v>3309</v>
      </c>
      <c r="B1411" t="s">
        <v>25630</v>
      </c>
      <c r="C1411" t="s">
        <v>20486</v>
      </c>
      <c r="D1411" t="s">
        <v>22</v>
      </c>
      <c r="E1411" t="s">
        <v>3310</v>
      </c>
      <c r="F1411">
        <v>57</v>
      </c>
      <c r="G1411" t="s">
        <v>172</v>
      </c>
      <c r="H1411" t="s">
        <v>12099</v>
      </c>
      <c r="I1411" t="s">
        <v>8693</v>
      </c>
      <c r="J1411" t="s">
        <v>14303</v>
      </c>
    </row>
    <row r="1412" spans="1:10" x14ac:dyDescent="0.3">
      <c r="A1412" t="s">
        <v>3312</v>
      </c>
      <c r="B1412" t="s">
        <v>25631</v>
      </c>
      <c r="C1412" t="s">
        <v>20491</v>
      </c>
      <c r="D1412" t="s">
        <v>22</v>
      </c>
      <c r="E1412" t="s">
        <v>3313</v>
      </c>
      <c r="F1412">
        <v>38</v>
      </c>
      <c r="G1412" t="s">
        <v>46</v>
      </c>
      <c r="H1412" t="s">
        <v>46</v>
      </c>
      <c r="I1412" t="s">
        <v>1197</v>
      </c>
    </row>
    <row r="1413" spans="1:10" x14ac:dyDescent="0.3">
      <c r="A1413" t="s">
        <v>3314</v>
      </c>
      <c r="B1413" t="s">
        <v>25632</v>
      </c>
      <c r="C1413" t="s">
        <v>20486</v>
      </c>
      <c r="D1413" t="s">
        <v>22</v>
      </c>
      <c r="E1413" t="s">
        <v>3315</v>
      </c>
      <c r="F1413">
        <v>51</v>
      </c>
      <c r="G1413" t="s">
        <v>155</v>
      </c>
      <c r="H1413" t="s">
        <v>9791</v>
      </c>
    </row>
    <row r="1414" spans="1:10" x14ac:dyDescent="0.3">
      <c r="A1414" t="s">
        <v>12255</v>
      </c>
      <c r="B1414" t="s">
        <v>25633</v>
      </c>
      <c r="C1414" t="s">
        <v>20488</v>
      </c>
      <c r="D1414" t="s">
        <v>22</v>
      </c>
      <c r="E1414" t="s">
        <v>9717</v>
      </c>
      <c r="F1414">
        <v>23</v>
      </c>
      <c r="G1414" t="s">
        <v>337</v>
      </c>
      <c r="H1414" t="s">
        <v>337</v>
      </c>
    </row>
    <row r="1415" spans="1:10" x14ac:dyDescent="0.3">
      <c r="A1415" t="s">
        <v>3316</v>
      </c>
      <c r="B1415" t="s">
        <v>25634</v>
      </c>
      <c r="C1415" t="s">
        <v>20490</v>
      </c>
      <c r="D1415" t="s">
        <v>11</v>
      </c>
      <c r="E1415" t="s">
        <v>3317</v>
      </c>
      <c r="F1415">
        <v>37</v>
      </c>
      <c r="G1415" t="s">
        <v>220</v>
      </c>
      <c r="H1415" t="s">
        <v>46</v>
      </c>
      <c r="J1415" t="s">
        <v>3318</v>
      </c>
    </row>
    <row r="1416" spans="1:10" x14ac:dyDescent="0.3">
      <c r="A1416" t="s">
        <v>3319</v>
      </c>
      <c r="B1416" t="s">
        <v>25635</v>
      </c>
      <c r="C1416" t="s">
        <v>20486</v>
      </c>
      <c r="D1416" t="s">
        <v>11</v>
      </c>
      <c r="E1416" t="s">
        <v>3320</v>
      </c>
      <c r="F1416">
        <v>56</v>
      </c>
      <c r="G1416" t="s">
        <v>109</v>
      </c>
      <c r="H1416" t="s">
        <v>9788</v>
      </c>
      <c r="J1416" t="s">
        <v>3321</v>
      </c>
    </row>
    <row r="1417" spans="1:10" x14ac:dyDescent="0.3">
      <c r="A1417" t="s">
        <v>3322</v>
      </c>
      <c r="B1417" t="s">
        <v>25636</v>
      </c>
      <c r="C1417" t="s">
        <v>20490</v>
      </c>
      <c r="D1417" t="s">
        <v>11</v>
      </c>
      <c r="E1417" t="s">
        <v>3323</v>
      </c>
      <c r="F1417">
        <v>46</v>
      </c>
      <c r="G1417" t="s">
        <v>370</v>
      </c>
      <c r="H1417" t="s">
        <v>46</v>
      </c>
      <c r="J1417" t="s">
        <v>3324</v>
      </c>
    </row>
    <row r="1418" spans="1:10" x14ac:dyDescent="0.3">
      <c r="A1418" t="s">
        <v>3326</v>
      </c>
      <c r="B1418" t="s">
        <v>25637</v>
      </c>
      <c r="C1418" t="s">
        <v>20490</v>
      </c>
      <c r="D1418" t="s">
        <v>11</v>
      </c>
      <c r="E1418" t="s">
        <v>3327</v>
      </c>
      <c r="F1418">
        <v>64</v>
      </c>
      <c r="G1418" t="s">
        <v>370</v>
      </c>
      <c r="H1418" t="s">
        <v>46</v>
      </c>
      <c r="J1418" t="s">
        <v>3328</v>
      </c>
    </row>
    <row r="1419" spans="1:10" x14ac:dyDescent="0.3">
      <c r="A1419" t="s">
        <v>3329</v>
      </c>
      <c r="B1419" t="s">
        <v>25638</v>
      </c>
      <c r="C1419" t="s">
        <v>20486</v>
      </c>
      <c r="D1419" t="s">
        <v>22</v>
      </c>
      <c r="E1419" t="s">
        <v>3330</v>
      </c>
      <c r="F1419">
        <v>51</v>
      </c>
      <c r="G1419" t="s">
        <v>384</v>
      </c>
    </row>
    <row r="1420" spans="1:10" x14ac:dyDescent="0.3">
      <c r="A1420" t="s">
        <v>3331</v>
      </c>
      <c r="B1420" t="s">
        <v>25639</v>
      </c>
      <c r="C1420" t="s">
        <v>20490</v>
      </c>
      <c r="D1420" t="s">
        <v>22</v>
      </c>
      <c r="E1420" t="s">
        <v>3332</v>
      </c>
      <c r="F1420">
        <v>51</v>
      </c>
      <c r="G1420" t="s">
        <v>201</v>
      </c>
      <c r="H1420" t="s">
        <v>46</v>
      </c>
      <c r="J1420" t="s">
        <v>347</v>
      </c>
    </row>
    <row r="1421" spans="1:10" x14ac:dyDescent="0.3">
      <c r="A1421" t="s">
        <v>3333</v>
      </c>
      <c r="B1421" t="s">
        <v>25640</v>
      </c>
      <c r="C1421" t="s">
        <v>20486</v>
      </c>
      <c r="D1421" t="s">
        <v>11</v>
      </c>
      <c r="E1421" t="s">
        <v>3334</v>
      </c>
      <c r="F1421">
        <v>65</v>
      </c>
      <c r="G1421" t="s">
        <v>133</v>
      </c>
      <c r="H1421" t="s">
        <v>9789</v>
      </c>
      <c r="J1421" t="s">
        <v>3335</v>
      </c>
    </row>
    <row r="1422" spans="1:10" x14ac:dyDescent="0.3">
      <c r="A1422" t="s">
        <v>3336</v>
      </c>
      <c r="B1422" t="s">
        <v>25641</v>
      </c>
      <c r="C1422" t="s">
        <v>20486</v>
      </c>
      <c r="D1422" t="s">
        <v>11</v>
      </c>
      <c r="E1422" t="s">
        <v>3337</v>
      </c>
      <c r="F1422">
        <v>55</v>
      </c>
      <c r="G1422" t="s">
        <v>109</v>
      </c>
      <c r="H1422" t="s">
        <v>9788</v>
      </c>
      <c r="I1422" t="s">
        <v>17</v>
      </c>
      <c r="J1422" t="s">
        <v>3338</v>
      </c>
    </row>
    <row r="1423" spans="1:10" x14ac:dyDescent="0.3">
      <c r="A1423" t="s">
        <v>3339</v>
      </c>
      <c r="B1423" t="s">
        <v>25642</v>
      </c>
      <c r="C1423" t="s">
        <v>20486</v>
      </c>
      <c r="D1423" t="s">
        <v>11</v>
      </c>
      <c r="E1423" t="s">
        <v>3340</v>
      </c>
      <c r="F1423">
        <v>41</v>
      </c>
      <c r="G1423" t="s">
        <v>46</v>
      </c>
      <c r="H1423" t="s">
        <v>46</v>
      </c>
      <c r="J1423" t="s">
        <v>3341</v>
      </c>
    </row>
    <row r="1424" spans="1:10" x14ac:dyDescent="0.3">
      <c r="A1424" t="s">
        <v>3342</v>
      </c>
      <c r="B1424" t="s">
        <v>25643</v>
      </c>
      <c r="C1424" t="s">
        <v>20486</v>
      </c>
      <c r="D1424" t="s">
        <v>22</v>
      </c>
      <c r="E1424" t="s">
        <v>3343</v>
      </c>
      <c r="F1424">
        <v>47</v>
      </c>
      <c r="G1424" t="s">
        <v>31</v>
      </c>
      <c r="H1424" t="s">
        <v>31</v>
      </c>
    </row>
    <row r="1425" spans="1:10" x14ac:dyDescent="0.3">
      <c r="A1425" t="s">
        <v>3344</v>
      </c>
      <c r="B1425" t="s">
        <v>25644</v>
      </c>
      <c r="C1425" t="s">
        <v>20486</v>
      </c>
      <c r="D1425" t="s">
        <v>22</v>
      </c>
      <c r="E1425" t="s">
        <v>3345</v>
      </c>
      <c r="F1425">
        <v>49</v>
      </c>
      <c r="G1425" t="s">
        <v>172</v>
      </c>
      <c r="H1425" t="s">
        <v>12099</v>
      </c>
      <c r="I1425" t="s">
        <v>17</v>
      </c>
      <c r="J1425" t="s">
        <v>3346</v>
      </c>
    </row>
    <row r="1426" spans="1:10" x14ac:dyDescent="0.3">
      <c r="A1426" t="s">
        <v>3347</v>
      </c>
      <c r="B1426" t="s">
        <v>25645</v>
      </c>
      <c r="C1426" t="s">
        <v>20488</v>
      </c>
      <c r="D1426" t="s">
        <v>11</v>
      </c>
      <c r="E1426" t="s">
        <v>3348</v>
      </c>
      <c r="F1426">
        <v>57</v>
      </c>
      <c r="G1426" t="s">
        <v>16</v>
      </c>
      <c r="H1426" t="s">
        <v>9785</v>
      </c>
      <c r="I1426" t="s">
        <v>449</v>
      </c>
    </row>
    <row r="1427" spans="1:10" x14ac:dyDescent="0.3">
      <c r="A1427" t="s">
        <v>3349</v>
      </c>
      <c r="B1427" t="s">
        <v>25646</v>
      </c>
      <c r="C1427" t="s">
        <v>20487</v>
      </c>
      <c r="D1427" t="s">
        <v>22</v>
      </c>
      <c r="E1427" t="s">
        <v>3350</v>
      </c>
      <c r="F1427">
        <v>43</v>
      </c>
      <c r="G1427" t="s">
        <v>46</v>
      </c>
      <c r="H1427" t="s">
        <v>9785</v>
      </c>
      <c r="I1427" t="s">
        <v>12256</v>
      </c>
    </row>
    <row r="1428" spans="1:10" x14ac:dyDescent="0.3">
      <c r="A1428" t="s">
        <v>3351</v>
      </c>
      <c r="B1428" t="s">
        <v>25647</v>
      </c>
      <c r="C1428" t="s">
        <v>20488</v>
      </c>
      <c r="D1428" t="s">
        <v>22</v>
      </c>
      <c r="E1428" t="s">
        <v>3352</v>
      </c>
      <c r="F1428">
        <v>62</v>
      </c>
      <c r="G1428" t="s">
        <v>172</v>
      </c>
      <c r="H1428" t="s">
        <v>12099</v>
      </c>
    </row>
    <row r="1429" spans="1:10" x14ac:dyDescent="0.3">
      <c r="A1429" t="s">
        <v>3353</v>
      </c>
      <c r="B1429" t="s">
        <v>25648</v>
      </c>
      <c r="C1429" t="s">
        <v>20490</v>
      </c>
      <c r="D1429" t="s">
        <v>22</v>
      </c>
      <c r="E1429" t="s">
        <v>3354</v>
      </c>
      <c r="F1429">
        <v>50</v>
      </c>
      <c r="G1429" t="s">
        <v>16</v>
      </c>
      <c r="H1429" t="s">
        <v>9785</v>
      </c>
      <c r="J1429" t="s">
        <v>2669</v>
      </c>
    </row>
    <row r="1430" spans="1:10" x14ac:dyDescent="0.3">
      <c r="A1430" t="s">
        <v>3355</v>
      </c>
      <c r="B1430" t="s">
        <v>25649</v>
      </c>
      <c r="C1430" t="s">
        <v>20487</v>
      </c>
      <c r="D1430" t="s">
        <v>22</v>
      </c>
      <c r="E1430" t="s">
        <v>3356</v>
      </c>
      <c r="F1430">
        <v>56</v>
      </c>
      <c r="G1430" t="s">
        <v>46</v>
      </c>
      <c r="H1430" t="s">
        <v>46</v>
      </c>
      <c r="J1430" t="s">
        <v>3357</v>
      </c>
    </row>
    <row r="1431" spans="1:10" x14ac:dyDescent="0.3">
      <c r="A1431" t="s">
        <v>3358</v>
      </c>
      <c r="B1431" t="s">
        <v>25650</v>
      </c>
      <c r="C1431" t="s">
        <v>20487</v>
      </c>
      <c r="D1431" t="s">
        <v>22</v>
      </c>
      <c r="E1431" t="s">
        <v>3359</v>
      </c>
      <c r="F1431">
        <v>42</v>
      </c>
      <c r="G1431" t="s">
        <v>231</v>
      </c>
      <c r="H1431" t="s">
        <v>9788</v>
      </c>
    </row>
    <row r="1432" spans="1:10" x14ac:dyDescent="0.3">
      <c r="A1432" t="s">
        <v>3360</v>
      </c>
      <c r="B1432" t="s">
        <v>25651</v>
      </c>
      <c r="C1432" t="s">
        <v>20486</v>
      </c>
      <c r="D1432" t="s">
        <v>22</v>
      </c>
      <c r="E1432" t="s">
        <v>3361</v>
      </c>
      <c r="F1432">
        <v>45</v>
      </c>
      <c r="G1432" t="s">
        <v>46</v>
      </c>
      <c r="H1432" t="s">
        <v>46</v>
      </c>
      <c r="J1432" t="s">
        <v>3362</v>
      </c>
    </row>
    <row r="1433" spans="1:10" x14ac:dyDescent="0.3">
      <c r="A1433" t="s">
        <v>3363</v>
      </c>
      <c r="B1433" t="s">
        <v>25652</v>
      </c>
      <c r="C1433" t="s">
        <v>20489</v>
      </c>
      <c r="D1433" t="s">
        <v>22</v>
      </c>
      <c r="E1433" t="s">
        <v>3364</v>
      </c>
      <c r="F1433">
        <v>38</v>
      </c>
      <c r="G1433" t="s">
        <v>16</v>
      </c>
      <c r="H1433" t="s">
        <v>9785</v>
      </c>
      <c r="I1433" t="s">
        <v>17</v>
      </c>
      <c r="J1433" t="s">
        <v>627</v>
      </c>
    </row>
    <row r="1434" spans="1:10" x14ac:dyDescent="0.3">
      <c r="A1434" t="s">
        <v>3365</v>
      </c>
      <c r="B1434" t="s">
        <v>25653</v>
      </c>
      <c r="C1434" t="s">
        <v>20486</v>
      </c>
      <c r="D1434" t="s">
        <v>22</v>
      </c>
      <c r="E1434" t="s">
        <v>3366</v>
      </c>
      <c r="F1434">
        <v>39</v>
      </c>
      <c r="G1434" t="s">
        <v>31</v>
      </c>
      <c r="H1434" t="s">
        <v>31</v>
      </c>
    </row>
    <row r="1435" spans="1:10" x14ac:dyDescent="0.3">
      <c r="A1435" t="s">
        <v>3367</v>
      </c>
      <c r="B1435" t="s">
        <v>25654</v>
      </c>
      <c r="C1435" t="s">
        <v>20490</v>
      </c>
      <c r="D1435" t="s">
        <v>11</v>
      </c>
      <c r="E1435" t="s">
        <v>3368</v>
      </c>
      <c r="F1435">
        <v>54</v>
      </c>
      <c r="G1435" t="s">
        <v>201</v>
      </c>
      <c r="H1435" t="s">
        <v>46</v>
      </c>
      <c r="J1435" t="s">
        <v>3369</v>
      </c>
    </row>
    <row r="1436" spans="1:10" x14ac:dyDescent="0.3">
      <c r="A1436" t="s">
        <v>3372</v>
      </c>
      <c r="B1436" t="s">
        <v>25655</v>
      </c>
      <c r="C1436" t="s">
        <v>20486</v>
      </c>
      <c r="D1436" t="s">
        <v>11</v>
      </c>
      <c r="E1436" t="s">
        <v>999</v>
      </c>
      <c r="F1436">
        <v>57</v>
      </c>
      <c r="G1436" t="s">
        <v>46</v>
      </c>
      <c r="H1436" t="s">
        <v>46</v>
      </c>
      <c r="I1436" t="s">
        <v>228</v>
      </c>
      <c r="J1436" t="s">
        <v>3373</v>
      </c>
    </row>
    <row r="1437" spans="1:10" x14ac:dyDescent="0.3">
      <c r="A1437" t="s">
        <v>3374</v>
      </c>
      <c r="B1437" t="s">
        <v>25656</v>
      </c>
      <c r="C1437" t="s">
        <v>20491</v>
      </c>
      <c r="D1437" t="s">
        <v>11</v>
      </c>
      <c r="E1437" t="s">
        <v>3375</v>
      </c>
      <c r="F1437">
        <v>28</v>
      </c>
      <c r="G1437" t="s">
        <v>337</v>
      </c>
      <c r="H1437" t="s">
        <v>337</v>
      </c>
    </row>
    <row r="1438" spans="1:10" x14ac:dyDescent="0.3">
      <c r="A1438" t="s">
        <v>3376</v>
      </c>
      <c r="B1438" t="s">
        <v>25657</v>
      </c>
      <c r="C1438" t="s">
        <v>20486</v>
      </c>
      <c r="D1438" t="s">
        <v>11</v>
      </c>
      <c r="E1438" t="s">
        <v>3377</v>
      </c>
      <c r="F1438">
        <v>63</v>
      </c>
      <c r="G1438" t="s">
        <v>109</v>
      </c>
      <c r="H1438" t="s">
        <v>9788</v>
      </c>
      <c r="I1438" t="s">
        <v>3378</v>
      </c>
      <c r="J1438" t="s">
        <v>3378</v>
      </c>
    </row>
    <row r="1439" spans="1:10" x14ac:dyDescent="0.3">
      <c r="A1439" t="s">
        <v>3379</v>
      </c>
      <c r="B1439" t="s">
        <v>25658</v>
      </c>
      <c r="C1439" t="s">
        <v>20491</v>
      </c>
      <c r="D1439" t="s">
        <v>11</v>
      </c>
      <c r="E1439" t="s">
        <v>3380</v>
      </c>
      <c r="F1439">
        <v>49</v>
      </c>
      <c r="G1439" t="s">
        <v>231</v>
      </c>
      <c r="H1439" t="s">
        <v>9788</v>
      </c>
      <c r="J1439" t="s">
        <v>3139</v>
      </c>
    </row>
    <row r="1440" spans="1:10" x14ac:dyDescent="0.3">
      <c r="A1440" t="s">
        <v>3381</v>
      </c>
      <c r="B1440" t="s">
        <v>25659</v>
      </c>
      <c r="C1440" t="s">
        <v>20490</v>
      </c>
      <c r="D1440" t="s">
        <v>11</v>
      </c>
      <c r="E1440" t="s">
        <v>914</v>
      </c>
      <c r="F1440">
        <v>35</v>
      </c>
      <c r="G1440" t="s">
        <v>109</v>
      </c>
      <c r="H1440" t="s">
        <v>9788</v>
      </c>
      <c r="J1440" t="s">
        <v>3382</v>
      </c>
    </row>
    <row r="1441" spans="1:10" x14ac:dyDescent="0.3">
      <c r="A1441" t="s">
        <v>3383</v>
      </c>
      <c r="B1441" t="s">
        <v>25660</v>
      </c>
      <c r="C1441" t="s">
        <v>20487</v>
      </c>
      <c r="D1441" t="s">
        <v>22</v>
      </c>
      <c r="E1441" t="s">
        <v>1838</v>
      </c>
      <c r="F1441">
        <v>60</v>
      </c>
      <c r="G1441" t="s">
        <v>46</v>
      </c>
      <c r="H1441" t="s">
        <v>46</v>
      </c>
      <c r="J1441" t="s">
        <v>3384</v>
      </c>
    </row>
    <row r="1442" spans="1:10" x14ac:dyDescent="0.3">
      <c r="A1442" t="s">
        <v>3385</v>
      </c>
      <c r="B1442" t="s">
        <v>25661</v>
      </c>
      <c r="C1442" t="s">
        <v>20486</v>
      </c>
      <c r="D1442" t="s">
        <v>22</v>
      </c>
      <c r="E1442" t="s">
        <v>3386</v>
      </c>
      <c r="F1442">
        <v>37</v>
      </c>
      <c r="G1442" t="s">
        <v>46</v>
      </c>
      <c r="H1442" t="s">
        <v>46</v>
      </c>
      <c r="I1442" t="s">
        <v>14304</v>
      </c>
      <c r="J1442" t="s">
        <v>14305</v>
      </c>
    </row>
    <row r="1443" spans="1:10" x14ac:dyDescent="0.3">
      <c r="A1443" t="s">
        <v>3387</v>
      </c>
      <c r="B1443" t="s">
        <v>25662</v>
      </c>
      <c r="C1443" t="s">
        <v>20491</v>
      </c>
      <c r="D1443" t="s">
        <v>22</v>
      </c>
      <c r="E1443" t="s">
        <v>3388</v>
      </c>
      <c r="F1443">
        <v>53</v>
      </c>
      <c r="G1443" t="s">
        <v>231</v>
      </c>
      <c r="H1443" t="s">
        <v>9788</v>
      </c>
    </row>
    <row r="1444" spans="1:10" x14ac:dyDescent="0.3">
      <c r="A1444" t="s">
        <v>3389</v>
      </c>
      <c r="B1444" t="s">
        <v>25663</v>
      </c>
      <c r="C1444" t="s">
        <v>20487</v>
      </c>
      <c r="D1444" t="s">
        <v>22</v>
      </c>
      <c r="E1444" t="s">
        <v>3390</v>
      </c>
      <c r="F1444">
        <v>39</v>
      </c>
      <c r="G1444" t="s">
        <v>24</v>
      </c>
      <c r="H1444" t="s">
        <v>9789</v>
      </c>
    </row>
    <row r="1445" spans="1:10" x14ac:dyDescent="0.3">
      <c r="A1445" t="s">
        <v>3391</v>
      </c>
      <c r="B1445" t="s">
        <v>25664</v>
      </c>
      <c r="C1445" t="s">
        <v>20486</v>
      </c>
      <c r="D1445" t="s">
        <v>22</v>
      </c>
      <c r="E1445" t="s">
        <v>3392</v>
      </c>
      <c r="F1445">
        <v>41</v>
      </c>
      <c r="G1445" t="s">
        <v>109</v>
      </c>
      <c r="H1445" t="s">
        <v>9788</v>
      </c>
      <c r="J1445" t="s">
        <v>3393</v>
      </c>
    </row>
    <row r="1446" spans="1:10" x14ac:dyDescent="0.3">
      <c r="A1446" t="s">
        <v>3394</v>
      </c>
      <c r="B1446" t="s">
        <v>25665</v>
      </c>
      <c r="C1446" t="s">
        <v>20488</v>
      </c>
      <c r="D1446" t="s">
        <v>22</v>
      </c>
      <c r="E1446" t="s">
        <v>3395</v>
      </c>
      <c r="F1446">
        <v>66</v>
      </c>
      <c r="G1446" t="s">
        <v>31</v>
      </c>
      <c r="H1446" t="s">
        <v>31</v>
      </c>
    </row>
    <row r="1447" spans="1:10" x14ac:dyDescent="0.3">
      <c r="A1447" t="s">
        <v>12257</v>
      </c>
      <c r="B1447" t="s">
        <v>25666</v>
      </c>
      <c r="C1447" t="s">
        <v>20486</v>
      </c>
      <c r="D1447" t="s">
        <v>11</v>
      </c>
      <c r="E1447" t="s">
        <v>9715</v>
      </c>
      <c r="F1447">
        <v>21</v>
      </c>
      <c r="G1447" t="s">
        <v>337</v>
      </c>
      <c r="H1447" t="s">
        <v>337</v>
      </c>
    </row>
    <row r="1448" spans="1:10" x14ac:dyDescent="0.3">
      <c r="A1448" t="s">
        <v>3396</v>
      </c>
      <c r="B1448" t="s">
        <v>25667</v>
      </c>
      <c r="C1448" t="s">
        <v>20486</v>
      </c>
      <c r="D1448" t="s">
        <v>22</v>
      </c>
      <c r="E1448" t="s">
        <v>3397</v>
      </c>
      <c r="F1448">
        <v>36</v>
      </c>
      <c r="G1448" t="s">
        <v>109</v>
      </c>
      <c r="H1448" t="s">
        <v>9788</v>
      </c>
      <c r="I1448" t="s">
        <v>110</v>
      </c>
      <c r="J1448" t="s">
        <v>3398</v>
      </c>
    </row>
    <row r="1449" spans="1:10" x14ac:dyDescent="0.3">
      <c r="A1449" t="s">
        <v>3399</v>
      </c>
      <c r="B1449" t="s">
        <v>25668</v>
      </c>
      <c r="C1449" t="s">
        <v>20486</v>
      </c>
      <c r="D1449" t="s">
        <v>22</v>
      </c>
      <c r="E1449" t="s">
        <v>3400</v>
      </c>
      <c r="F1449">
        <v>32</v>
      </c>
      <c r="G1449" t="s">
        <v>31</v>
      </c>
      <c r="H1449" t="s">
        <v>31</v>
      </c>
      <c r="J1449" t="s">
        <v>33</v>
      </c>
    </row>
    <row r="1450" spans="1:10" x14ac:dyDescent="0.3">
      <c r="A1450" t="s">
        <v>3401</v>
      </c>
      <c r="B1450" t="s">
        <v>25669</v>
      </c>
      <c r="C1450" t="s">
        <v>20488</v>
      </c>
      <c r="D1450" t="s">
        <v>11</v>
      </c>
      <c r="E1450" t="s">
        <v>3402</v>
      </c>
      <c r="F1450">
        <v>58</v>
      </c>
      <c r="G1450" t="s">
        <v>13</v>
      </c>
      <c r="H1450" t="s">
        <v>13</v>
      </c>
    </row>
    <row r="1451" spans="1:10" x14ac:dyDescent="0.3">
      <c r="A1451" t="s">
        <v>3403</v>
      </c>
      <c r="B1451" t="s">
        <v>25670</v>
      </c>
      <c r="C1451" t="s">
        <v>20486</v>
      </c>
      <c r="D1451" t="s">
        <v>22</v>
      </c>
      <c r="E1451" t="s">
        <v>3404</v>
      </c>
      <c r="F1451">
        <v>37</v>
      </c>
      <c r="G1451" t="s">
        <v>31</v>
      </c>
      <c r="H1451" t="s">
        <v>46</v>
      </c>
      <c r="I1451" t="s">
        <v>201</v>
      </c>
    </row>
    <row r="1452" spans="1:10" x14ac:dyDescent="0.3">
      <c r="A1452" t="s">
        <v>3405</v>
      </c>
      <c r="B1452" t="s">
        <v>25671</v>
      </c>
      <c r="C1452" t="s">
        <v>20486</v>
      </c>
      <c r="D1452" t="s">
        <v>22</v>
      </c>
      <c r="E1452" t="s">
        <v>3406</v>
      </c>
      <c r="F1452">
        <v>44</v>
      </c>
      <c r="G1452" t="s">
        <v>172</v>
      </c>
      <c r="H1452" t="s">
        <v>12099</v>
      </c>
      <c r="I1452" t="s">
        <v>17</v>
      </c>
      <c r="J1452" t="s">
        <v>408</v>
      </c>
    </row>
    <row r="1453" spans="1:10" x14ac:dyDescent="0.3">
      <c r="A1453" t="s">
        <v>3407</v>
      </c>
      <c r="B1453" t="s">
        <v>25672</v>
      </c>
      <c r="C1453" t="s">
        <v>20491</v>
      </c>
      <c r="D1453" t="s">
        <v>11</v>
      </c>
      <c r="E1453" t="s">
        <v>3408</v>
      </c>
      <c r="F1453">
        <v>33</v>
      </c>
      <c r="G1453" t="s">
        <v>231</v>
      </c>
      <c r="H1453" t="s">
        <v>9788</v>
      </c>
      <c r="J1453" t="s">
        <v>3247</v>
      </c>
    </row>
    <row r="1454" spans="1:10" x14ac:dyDescent="0.3">
      <c r="A1454" t="s">
        <v>3409</v>
      </c>
      <c r="B1454" t="s">
        <v>25673</v>
      </c>
      <c r="C1454" t="s">
        <v>20488</v>
      </c>
      <c r="D1454" t="s">
        <v>11</v>
      </c>
      <c r="E1454" t="s">
        <v>2732</v>
      </c>
      <c r="F1454">
        <v>44</v>
      </c>
      <c r="G1454" t="s">
        <v>109</v>
      </c>
      <c r="H1454" t="s">
        <v>9788</v>
      </c>
    </row>
    <row r="1455" spans="1:10" x14ac:dyDescent="0.3">
      <c r="A1455" t="s">
        <v>3410</v>
      </c>
      <c r="B1455" t="s">
        <v>25674</v>
      </c>
      <c r="C1455" t="s">
        <v>20486</v>
      </c>
      <c r="D1455" t="s">
        <v>11</v>
      </c>
      <c r="E1455" t="s">
        <v>3411</v>
      </c>
      <c r="F1455">
        <v>53</v>
      </c>
      <c r="G1455" t="s">
        <v>16</v>
      </c>
      <c r="H1455" t="s">
        <v>9785</v>
      </c>
      <c r="I1455" t="s">
        <v>17</v>
      </c>
      <c r="J1455" t="s">
        <v>3311</v>
      </c>
    </row>
    <row r="1456" spans="1:10" x14ac:dyDescent="0.3">
      <c r="A1456" t="s">
        <v>3412</v>
      </c>
      <c r="B1456" t="s">
        <v>25675</v>
      </c>
      <c r="C1456" t="s">
        <v>20486</v>
      </c>
      <c r="D1456" t="s">
        <v>22</v>
      </c>
      <c r="E1456" t="s">
        <v>3413</v>
      </c>
      <c r="F1456">
        <v>49</v>
      </c>
      <c r="G1456" t="s">
        <v>16</v>
      </c>
      <c r="H1456" t="s">
        <v>9785</v>
      </c>
      <c r="I1456" t="s">
        <v>17</v>
      </c>
      <c r="J1456" t="s">
        <v>3311</v>
      </c>
    </row>
    <row r="1457" spans="1:10" x14ac:dyDescent="0.3">
      <c r="A1457" t="s">
        <v>3414</v>
      </c>
      <c r="B1457" t="s">
        <v>25676</v>
      </c>
      <c r="C1457" t="s">
        <v>20486</v>
      </c>
      <c r="D1457" t="s">
        <v>22</v>
      </c>
      <c r="E1457" t="s">
        <v>3415</v>
      </c>
      <c r="F1457">
        <v>36</v>
      </c>
      <c r="G1457" t="s">
        <v>384</v>
      </c>
    </row>
    <row r="1458" spans="1:10" x14ac:dyDescent="0.3">
      <c r="A1458" t="s">
        <v>3416</v>
      </c>
      <c r="B1458" t="s">
        <v>25677</v>
      </c>
      <c r="C1458" t="s">
        <v>20491</v>
      </c>
      <c r="D1458" t="s">
        <v>22</v>
      </c>
      <c r="E1458" t="s">
        <v>3417</v>
      </c>
      <c r="F1458">
        <v>57</v>
      </c>
      <c r="G1458" t="s">
        <v>31</v>
      </c>
      <c r="H1458" t="s">
        <v>31</v>
      </c>
    </row>
    <row r="1459" spans="1:10" x14ac:dyDescent="0.3">
      <c r="A1459" t="s">
        <v>3418</v>
      </c>
      <c r="B1459" t="s">
        <v>25678</v>
      </c>
      <c r="C1459" t="s">
        <v>20491</v>
      </c>
      <c r="D1459" t="s">
        <v>22</v>
      </c>
      <c r="E1459" t="s">
        <v>3419</v>
      </c>
      <c r="F1459">
        <v>53</v>
      </c>
      <c r="G1459" t="s">
        <v>201</v>
      </c>
      <c r="H1459" t="s">
        <v>46</v>
      </c>
      <c r="J1459" t="s">
        <v>3420</v>
      </c>
    </row>
    <row r="1460" spans="1:10" x14ac:dyDescent="0.3">
      <c r="A1460" t="s">
        <v>3421</v>
      </c>
      <c r="B1460" t="s">
        <v>25679</v>
      </c>
      <c r="C1460" t="s">
        <v>20487</v>
      </c>
      <c r="D1460" t="s">
        <v>11</v>
      </c>
      <c r="E1460" t="s">
        <v>3422</v>
      </c>
      <c r="F1460">
        <v>35</v>
      </c>
    </row>
    <row r="1461" spans="1:10" x14ac:dyDescent="0.3">
      <c r="A1461" t="s">
        <v>3423</v>
      </c>
      <c r="B1461" t="s">
        <v>25680</v>
      </c>
      <c r="C1461" t="s">
        <v>20488</v>
      </c>
      <c r="D1461" t="s">
        <v>11</v>
      </c>
      <c r="E1461" t="s">
        <v>3424</v>
      </c>
      <c r="F1461">
        <v>28</v>
      </c>
      <c r="G1461" t="s">
        <v>109</v>
      </c>
      <c r="H1461" t="s">
        <v>9788</v>
      </c>
      <c r="I1461" t="s">
        <v>3425</v>
      </c>
    </row>
    <row r="1462" spans="1:10" x14ac:dyDescent="0.3">
      <c r="A1462" t="s">
        <v>12258</v>
      </c>
      <c r="B1462" t="s">
        <v>25681</v>
      </c>
      <c r="C1462" t="s">
        <v>20488</v>
      </c>
      <c r="D1462" t="s">
        <v>11</v>
      </c>
      <c r="E1462" t="s">
        <v>9714</v>
      </c>
      <c r="F1462">
        <v>19</v>
      </c>
      <c r="G1462" t="s">
        <v>337</v>
      </c>
      <c r="H1462" t="s">
        <v>337</v>
      </c>
    </row>
    <row r="1463" spans="1:10" x14ac:dyDescent="0.3">
      <c r="A1463" t="s">
        <v>12259</v>
      </c>
      <c r="B1463" t="s">
        <v>25682</v>
      </c>
      <c r="C1463" t="s">
        <v>20487</v>
      </c>
      <c r="D1463" t="s">
        <v>11</v>
      </c>
      <c r="E1463" t="s">
        <v>9713</v>
      </c>
      <c r="F1463">
        <v>21</v>
      </c>
    </row>
    <row r="1464" spans="1:10" x14ac:dyDescent="0.3">
      <c r="A1464" t="s">
        <v>3426</v>
      </c>
      <c r="B1464" t="s">
        <v>25683</v>
      </c>
      <c r="C1464" t="s">
        <v>20491</v>
      </c>
      <c r="D1464" t="s">
        <v>11</v>
      </c>
      <c r="E1464" t="s">
        <v>3427</v>
      </c>
      <c r="F1464">
        <v>72</v>
      </c>
      <c r="G1464" t="s">
        <v>201</v>
      </c>
      <c r="H1464" t="s">
        <v>46</v>
      </c>
    </row>
    <row r="1465" spans="1:10" x14ac:dyDescent="0.3">
      <c r="A1465" t="s">
        <v>3428</v>
      </c>
      <c r="B1465" t="s">
        <v>25684</v>
      </c>
      <c r="C1465" t="s">
        <v>20486</v>
      </c>
      <c r="D1465" t="s">
        <v>22</v>
      </c>
      <c r="E1465" t="s">
        <v>3429</v>
      </c>
      <c r="F1465">
        <v>53</v>
      </c>
      <c r="G1465" t="s">
        <v>31</v>
      </c>
      <c r="H1465" t="s">
        <v>31</v>
      </c>
      <c r="J1465" t="s">
        <v>3430</v>
      </c>
    </row>
    <row r="1466" spans="1:10" x14ac:dyDescent="0.3">
      <c r="A1466" t="s">
        <v>3431</v>
      </c>
      <c r="B1466" t="s">
        <v>25685</v>
      </c>
      <c r="C1466" t="s">
        <v>20487</v>
      </c>
      <c r="D1466" t="s">
        <v>22</v>
      </c>
      <c r="E1466" t="s">
        <v>3432</v>
      </c>
      <c r="F1466">
        <v>41</v>
      </c>
      <c r="G1466" t="s">
        <v>173</v>
      </c>
      <c r="H1466" t="s">
        <v>12099</v>
      </c>
      <c r="J1466" t="s">
        <v>3433</v>
      </c>
    </row>
    <row r="1467" spans="1:10" x14ac:dyDescent="0.3">
      <c r="A1467" t="s">
        <v>3434</v>
      </c>
      <c r="B1467" t="s">
        <v>25686</v>
      </c>
      <c r="C1467" t="s">
        <v>20486</v>
      </c>
      <c r="D1467" t="s">
        <v>22</v>
      </c>
      <c r="E1467" t="s">
        <v>3435</v>
      </c>
      <c r="F1467">
        <v>52</v>
      </c>
      <c r="G1467" t="s">
        <v>46</v>
      </c>
      <c r="H1467" t="s">
        <v>46</v>
      </c>
      <c r="I1467" t="s">
        <v>3436</v>
      </c>
    </row>
    <row r="1468" spans="1:10" x14ac:dyDescent="0.3">
      <c r="A1468" t="s">
        <v>3437</v>
      </c>
      <c r="B1468" t="s">
        <v>25687</v>
      </c>
      <c r="C1468" t="s">
        <v>20491</v>
      </c>
      <c r="D1468" t="s">
        <v>22</v>
      </c>
      <c r="E1468" t="s">
        <v>3438</v>
      </c>
      <c r="F1468">
        <v>69</v>
      </c>
      <c r="G1468" t="s">
        <v>201</v>
      </c>
      <c r="H1468" t="s">
        <v>46</v>
      </c>
      <c r="J1468" t="s">
        <v>220</v>
      </c>
    </row>
    <row r="1469" spans="1:10" x14ac:dyDescent="0.3">
      <c r="A1469" t="s">
        <v>3439</v>
      </c>
      <c r="B1469" t="s">
        <v>25688</v>
      </c>
      <c r="C1469" t="s">
        <v>20488</v>
      </c>
      <c r="D1469" t="s">
        <v>22</v>
      </c>
      <c r="E1469" t="s">
        <v>2530</v>
      </c>
      <c r="F1469">
        <v>67</v>
      </c>
      <c r="G1469" t="s">
        <v>31</v>
      </c>
      <c r="H1469" t="s">
        <v>31</v>
      </c>
      <c r="I1469" t="s">
        <v>33</v>
      </c>
    </row>
    <row r="1470" spans="1:10" x14ac:dyDescent="0.3">
      <c r="A1470" t="s">
        <v>3440</v>
      </c>
      <c r="B1470" t="s">
        <v>25689</v>
      </c>
      <c r="C1470" t="s">
        <v>20488</v>
      </c>
      <c r="D1470" t="s">
        <v>22</v>
      </c>
      <c r="E1470" t="s">
        <v>1842</v>
      </c>
      <c r="F1470">
        <v>54</v>
      </c>
      <c r="G1470" t="s">
        <v>31</v>
      </c>
      <c r="H1470" t="s">
        <v>31</v>
      </c>
    </row>
    <row r="1471" spans="1:10" x14ac:dyDescent="0.3">
      <c r="A1471" t="s">
        <v>3441</v>
      </c>
      <c r="B1471" t="s">
        <v>25690</v>
      </c>
      <c r="C1471" t="s">
        <v>20487</v>
      </c>
      <c r="D1471" t="s">
        <v>22</v>
      </c>
      <c r="E1471" t="s">
        <v>3442</v>
      </c>
      <c r="F1471">
        <v>54</v>
      </c>
      <c r="G1471" t="s">
        <v>540</v>
      </c>
      <c r="H1471" t="s">
        <v>12074</v>
      </c>
    </row>
    <row r="1472" spans="1:10" x14ac:dyDescent="0.3">
      <c r="A1472" t="s">
        <v>3443</v>
      </c>
      <c r="B1472" t="s">
        <v>25691</v>
      </c>
      <c r="C1472" t="s">
        <v>20486</v>
      </c>
      <c r="D1472" t="s">
        <v>11</v>
      </c>
      <c r="E1472" t="s">
        <v>3444</v>
      </c>
      <c r="F1472">
        <v>52</v>
      </c>
      <c r="G1472" t="s">
        <v>384</v>
      </c>
    </row>
    <row r="1473" spans="1:10" x14ac:dyDescent="0.3">
      <c r="A1473" t="s">
        <v>3445</v>
      </c>
      <c r="B1473" t="s">
        <v>25692</v>
      </c>
      <c r="C1473" t="s">
        <v>20487</v>
      </c>
      <c r="D1473" t="s">
        <v>11</v>
      </c>
      <c r="E1473" t="s">
        <v>3446</v>
      </c>
      <c r="F1473">
        <v>52</v>
      </c>
      <c r="G1473" t="s">
        <v>441</v>
      </c>
      <c r="H1473" t="s">
        <v>9785</v>
      </c>
      <c r="J1473" t="s">
        <v>3447</v>
      </c>
    </row>
    <row r="1474" spans="1:10" x14ac:dyDescent="0.3">
      <c r="A1474" t="s">
        <v>3448</v>
      </c>
      <c r="B1474" t="s">
        <v>25693</v>
      </c>
      <c r="C1474" t="s">
        <v>20486</v>
      </c>
      <c r="D1474" t="s">
        <v>11</v>
      </c>
      <c r="E1474" t="s">
        <v>3449</v>
      </c>
      <c r="F1474">
        <v>63</v>
      </c>
      <c r="G1474" t="s">
        <v>243</v>
      </c>
      <c r="H1474" t="s">
        <v>9788</v>
      </c>
      <c r="I1474" t="s">
        <v>18816</v>
      </c>
      <c r="J1474" t="s">
        <v>3450</v>
      </c>
    </row>
    <row r="1475" spans="1:10" x14ac:dyDescent="0.3">
      <c r="A1475" t="s">
        <v>3451</v>
      </c>
      <c r="B1475" t="s">
        <v>25694</v>
      </c>
      <c r="C1475" t="s">
        <v>20488</v>
      </c>
      <c r="D1475" t="s">
        <v>22</v>
      </c>
      <c r="E1475" t="s">
        <v>3452</v>
      </c>
      <c r="F1475">
        <v>34</v>
      </c>
      <c r="G1475" t="s">
        <v>109</v>
      </c>
      <c r="H1475" t="s">
        <v>46</v>
      </c>
      <c r="I1475" t="s">
        <v>3453</v>
      </c>
    </row>
    <row r="1476" spans="1:10" x14ac:dyDescent="0.3">
      <c r="A1476" t="s">
        <v>3454</v>
      </c>
      <c r="B1476" t="s">
        <v>25695</v>
      </c>
      <c r="C1476" t="s">
        <v>20488</v>
      </c>
      <c r="D1476" t="s">
        <v>22</v>
      </c>
      <c r="E1476" t="s">
        <v>751</v>
      </c>
      <c r="F1476">
        <v>57</v>
      </c>
      <c r="G1476" t="s">
        <v>16</v>
      </c>
      <c r="H1476" t="s">
        <v>9785</v>
      </c>
      <c r="I1476" t="s">
        <v>449</v>
      </c>
    </row>
    <row r="1477" spans="1:10" x14ac:dyDescent="0.3">
      <c r="A1477" t="s">
        <v>3455</v>
      </c>
      <c r="B1477" t="s">
        <v>25696</v>
      </c>
      <c r="C1477" t="s">
        <v>20488</v>
      </c>
      <c r="D1477" t="s">
        <v>11</v>
      </c>
      <c r="E1477" t="s">
        <v>3456</v>
      </c>
      <c r="F1477">
        <v>93</v>
      </c>
      <c r="G1477" t="s">
        <v>13</v>
      </c>
      <c r="H1477" t="s">
        <v>13</v>
      </c>
    </row>
    <row r="1478" spans="1:10" x14ac:dyDescent="0.3">
      <c r="A1478" t="s">
        <v>3457</v>
      </c>
      <c r="B1478" t="s">
        <v>25697</v>
      </c>
      <c r="C1478" t="s">
        <v>20488</v>
      </c>
      <c r="D1478" t="s">
        <v>22</v>
      </c>
      <c r="E1478" t="s">
        <v>3458</v>
      </c>
      <c r="F1478">
        <v>59</v>
      </c>
      <c r="G1478" t="s">
        <v>31</v>
      </c>
      <c r="H1478" t="s">
        <v>31</v>
      </c>
      <c r="I1478" t="s">
        <v>33</v>
      </c>
    </row>
    <row r="1479" spans="1:10" x14ac:dyDescent="0.3">
      <c r="A1479" t="s">
        <v>3459</v>
      </c>
      <c r="B1479" t="s">
        <v>25698</v>
      </c>
      <c r="C1479" t="s">
        <v>20488</v>
      </c>
      <c r="D1479" t="s">
        <v>22</v>
      </c>
      <c r="E1479" t="s">
        <v>796</v>
      </c>
      <c r="F1479">
        <v>58</v>
      </c>
      <c r="G1479" t="s">
        <v>31</v>
      </c>
      <c r="H1479" t="s">
        <v>31</v>
      </c>
      <c r="I1479" t="s">
        <v>33</v>
      </c>
    </row>
    <row r="1480" spans="1:10" x14ac:dyDescent="0.3">
      <c r="A1480" t="s">
        <v>3460</v>
      </c>
      <c r="B1480" t="s">
        <v>25699</v>
      </c>
      <c r="C1480" t="s">
        <v>20488</v>
      </c>
      <c r="D1480" t="s">
        <v>22</v>
      </c>
      <c r="E1480" t="s">
        <v>3461</v>
      </c>
      <c r="F1480">
        <v>52</v>
      </c>
      <c r="G1480" t="s">
        <v>31</v>
      </c>
      <c r="H1480" t="s">
        <v>31</v>
      </c>
      <c r="I1480" t="s">
        <v>33</v>
      </c>
    </row>
    <row r="1481" spans="1:10" x14ac:dyDescent="0.3">
      <c r="A1481" t="s">
        <v>3463</v>
      </c>
      <c r="B1481" t="s">
        <v>25700</v>
      </c>
      <c r="C1481" t="s">
        <v>20486</v>
      </c>
      <c r="D1481" t="s">
        <v>22</v>
      </c>
      <c r="E1481" t="s">
        <v>3464</v>
      </c>
      <c r="F1481">
        <v>56</v>
      </c>
      <c r="G1481" t="s">
        <v>46</v>
      </c>
      <c r="H1481" t="s">
        <v>46</v>
      </c>
      <c r="I1481" t="s">
        <v>228</v>
      </c>
      <c r="J1481" t="s">
        <v>3465</v>
      </c>
    </row>
    <row r="1482" spans="1:10" x14ac:dyDescent="0.3">
      <c r="A1482" t="s">
        <v>3466</v>
      </c>
      <c r="B1482" t="s">
        <v>25701</v>
      </c>
      <c r="C1482" t="s">
        <v>20488</v>
      </c>
      <c r="D1482" t="s">
        <v>22</v>
      </c>
      <c r="E1482" t="s">
        <v>3467</v>
      </c>
      <c r="F1482">
        <v>52</v>
      </c>
      <c r="G1482" t="s">
        <v>16</v>
      </c>
      <c r="H1482" t="s">
        <v>9785</v>
      </c>
      <c r="I1482" t="s">
        <v>441</v>
      </c>
    </row>
    <row r="1483" spans="1:10" x14ac:dyDescent="0.3">
      <c r="A1483" t="s">
        <v>3468</v>
      </c>
      <c r="B1483" t="s">
        <v>25702</v>
      </c>
      <c r="C1483" t="s">
        <v>20487</v>
      </c>
      <c r="D1483" t="s">
        <v>11</v>
      </c>
      <c r="E1483" t="s">
        <v>3469</v>
      </c>
      <c r="F1483">
        <v>58</v>
      </c>
      <c r="G1483" t="s">
        <v>46</v>
      </c>
      <c r="H1483" t="s">
        <v>46</v>
      </c>
      <c r="I1483" t="s">
        <v>13833</v>
      </c>
    </row>
    <row r="1484" spans="1:10" x14ac:dyDescent="0.3">
      <c r="A1484" t="s">
        <v>3471</v>
      </c>
      <c r="B1484" t="s">
        <v>25703</v>
      </c>
      <c r="C1484" t="s">
        <v>20490</v>
      </c>
      <c r="D1484" t="s">
        <v>11</v>
      </c>
      <c r="E1484" t="s">
        <v>3472</v>
      </c>
      <c r="F1484">
        <v>53</v>
      </c>
      <c r="G1484" t="s">
        <v>3473</v>
      </c>
      <c r="H1484" t="s">
        <v>9789</v>
      </c>
      <c r="I1484" t="s">
        <v>3474</v>
      </c>
      <c r="J1484" t="s">
        <v>14306</v>
      </c>
    </row>
    <row r="1485" spans="1:10" x14ac:dyDescent="0.3">
      <c r="A1485" t="s">
        <v>3475</v>
      </c>
      <c r="B1485" t="s">
        <v>25704</v>
      </c>
      <c r="C1485" t="s">
        <v>20489</v>
      </c>
      <c r="D1485" t="s">
        <v>11</v>
      </c>
      <c r="E1485" t="s">
        <v>3476</v>
      </c>
      <c r="F1485">
        <v>24</v>
      </c>
      <c r="G1485" t="s">
        <v>337</v>
      </c>
      <c r="H1485" t="s">
        <v>337</v>
      </c>
    </row>
    <row r="1486" spans="1:10" x14ac:dyDescent="0.3">
      <c r="A1486" t="s">
        <v>3477</v>
      </c>
      <c r="B1486" t="s">
        <v>25705</v>
      </c>
      <c r="C1486" t="s">
        <v>20489</v>
      </c>
      <c r="D1486" t="s">
        <v>11</v>
      </c>
      <c r="E1486" t="s">
        <v>3478</v>
      </c>
      <c r="F1486">
        <v>19</v>
      </c>
      <c r="G1486" t="s">
        <v>337</v>
      </c>
      <c r="H1486" t="s">
        <v>337</v>
      </c>
    </row>
    <row r="1487" spans="1:10" x14ac:dyDescent="0.3">
      <c r="A1487" t="s">
        <v>3479</v>
      </c>
      <c r="B1487" t="s">
        <v>25706</v>
      </c>
      <c r="C1487" t="s">
        <v>20487</v>
      </c>
      <c r="D1487" t="s">
        <v>11</v>
      </c>
      <c r="E1487" t="s">
        <v>3480</v>
      </c>
      <c r="F1487">
        <v>58</v>
      </c>
      <c r="G1487" t="s">
        <v>109</v>
      </c>
      <c r="H1487" t="s">
        <v>9788</v>
      </c>
      <c r="J1487" t="s">
        <v>3470</v>
      </c>
    </row>
    <row r="1488" spans="1:10" x14ac:dyDescent="0.3">
      <c r="A1488" t="s">
        <v>12260</v>
      </c>
      <c r="B1488" t="s">
        <v>25707</v>
      </c>
      <c r="C1488" t="s">
        <v>20488</v>
      </c>
      <c r="D1488" t="s">
        <v>22</v>
      </c>
      <c r="E1488" t="s">
        <v>9712</v>
      </c>
      <c r="F1488">
        <v>19</v>
      </c>
      <c r="G1488" t="s">
        <v>337</v>
      </c>
      <c r="H1488" t="s">
        <v>337</v>
      </c>
    </row>
    <row r="1489" spans="1:10" x14ac:dyDescent="0.3">
      <c r="A1489" t="s">
        <v>12261</v>
      </c>
      <c r="B1489" t="s">
        <v>25708</v>
      </c>
      <c r="C1489" t="s">
        <v>20488</v>
      </c>
      <c r="D1489" t="s">
        <v>11</v>
      </c>
      <c r="E1489" t="s">
        <v>9711</v>
      </c>
      <c r="F1489">
        <v>24</v>
      </c>
      <c r="G1489" t="s">
        <v>337</v>
      </c>
      <c r="H1489" t="s">
        <v>337</v>
      </c>
    </row>
    <row r="1490" spans="1:10" x14ac:dyDescent="0.3">
      <c r="A1490" t="s">
        <v>3481</v>
      </c>
      <c r="B1490" t="s">
        <v>25709</v>
      </c>
      <c r="C1490" t="s">
        <v>20491</v>
      </c>
      <c r="D1490" t="s">
        <v>11</v>
      </c>
      <c r="E1490" t="s">
        <v>3482</v>
      </c>
      <c r="F1490">
        <v>53</v>
      </c>
      <c r="G1490" t="s">
        <v>46</v>
      </c>
      <c r="H1490" t="s">
        <v>46</v>
      </c>
      <c r="I1490" t="s">
        <v>3483</v>
      </c>
    </row>
    <row r="1491" spans="1:10" x14ac:dyDescent="0.3">
      <c r="A1491" t="s">
        <v>3484</v>
      </c>
      <c r="B1491" t="s">
        <v>25710</v>
      </c>
      <c r="C1491" t="s">
        <v>20491</v>
      </c>
      <c r="D1491" t="s">
        <v>22</v>
      </c>
      <c r="E1491" t="s">
        <v>2891</v>
      </c>
      <c r="F1491">
        <v>37</v>
      </c>
      <c r="G1491" t="s">
        <v>201</v>
      </c>
      <c r="H1491" t="s">
        <v>46</v>
      </c>
      <c r="J1491" t="s">
        <v>3485</v>
      </c>
    </row>
    <row r="1492" spans="1:10" x14ac:dyDescent="0.3">
      <c r="A1492" t="s">
        <v>3486</v>
      </c>
      <c r="B1492" t="s">
        <v>25711</v>
      </c>
      <c r="C1492" t="s">
        <v>20491</v>
      </c>
      <c r="D1492" t="s">
        <v>22</v>
      </c>
      <c r="E1492" t="s">
        <v>3487</v>
      </c>
      <c r="F1492">
        <v>34</v>
      </c>
      <c r="G1492" t="s">
        <v>231</v>
      </c>
      <c r="H1492" t="s">
        <v>9788</v>
      </c>
      <c r="J1492" t="s">
        <v>3485</v>
      </c>
    </row>
    <row r="1493" spans="1:10" x14ac:dyDescent="0.3">
      <c r="A1493" t="s">
        <v>3489</v>
      </c>
      <c r="B1493" t="s">
        <v>25712</v>
      </c>
      <c r="C1493" t="s">
        <v>20488</v>
      </c>
      <c r="D1493" t="s">
        <v>11</v>
      </c>
      <c r="E1493" t="s">
        <v>3490</v>
      </c>
      <c r="F1493">
        <v>54</v>
      </c>
      <c r="G1493" t="s">
        <v>109</v>
      </c>
      <c r="H1493" t="s">
        <v>9788</v>
      </c>
    </row>
    <row r="1494" spans="1:10" x14ac:dyDescent="0.3">
      <c r="A1494" t="s">
        <v>3491</v>
      </c>
      <c r="B1494" t="s">
        <v>25713</v>
      </c>
      <c r="C1494" t="s">
        <v>20487</v>
      </c>
      <c r="D1494" t="s">
        <v>11</v>
      </c>
      <c r="E1494" t="s">
        <v>3492</v>
      </c>
      <c r="F1494">
        <v>39</v>
      </c>
      <c r="G1494" t="s">
        <v>201</v>
      </c>
      <c r="H1494" t="s">
        <v>46</v>
      </c>
      <c r="J1494" t="s">
        <v>3493</v>
      </c>
    </row>
    <row r="1495" spans="1:10" x14ac:dyDescent="0.3">
      <c r="A1495" t="s">
        <v>3494</v>
      </c>
      <c r="B1495" t="s">
        <v>25714</v>
      </c>
      <c r="C1495" t="s">
        <v>20489</v>
      </c>
      <c r="D1495" t="s">
        <v>22</v>
      </c>
      <c r="E1495" t="s">
        <v>3495</v>
      </c>
      <c r="F1495">
        <v>38</v>
      </c>
      <c r="G1495" t="s">
        <v>16</v>
      </c>
      <c r="H1495" t="s">
        <v>9785</v>
      </c>
      <c r="I1495" t="s">
        <v>17</v>
      </c>
      <c r="J1495" t="s">
        <v>642</v>
      </c>
    </row>
    <row r="1496" spans="1:10" x14ac:dyDescent="0.3">
      <c r="A1496" t="s">
        <v>3496</v>
      </c>
      <c r="B1496" t="s">
        <v>25715</v>
      </c>
      <c r="C1496" t="s">
        <v>20490</v>
      </c>
      <c r="D1496" t="s">
        <v>11</v>
      </c>
      <c r="E1496" t="s">
        <v>3497</v>
      </c>
      <c r="F1496">
        <v>50</v>
      </c>
      <c r="G1496" t="s">
        <v>220</v>
      </c>
      <c r="H1496" t="s">
        <v>46</v>
      </c>
    </row>
    <row r="1497" spans="1:10" x14ac:dyDescent="0.3">
      <c r="A1497" t="s">
        <v>3498</v>
      </c>
      <c r="B1497" t="s">
        <v>25716</v>
      </c>
      <c r="C1497" t="s">
        <v>20489</v>
      </c>
      <c r="D1497" t="s">
        <v>22</v>
      </c>
      <c r="E1497" t="s">
        <v>3499</v>
      </c>
      <c r="F1497">
        <v>36</v>
      </c>
      <c r="G1497" t="s">
        <v>16</v>
      </c>
      <c r="H1497" t="s">
        <v>9785</v>
      </c>
      <c r="I1497" t="s">
        <v>17</v>
      </c>
      <c r="J1497" t="s">
        <v>822</v>
      </c>
    </row>
    <row r="1498" spans="1:10" x14ac:dyDescent="0.3">
      <c r="A1498" t="s">
        <v>3500</v>
      </c>
      <c r="B1498" t="s">
        <v>25717</v>
      </c>
      <c r="C1498" t="s">
        <v>20486</v>
      </c>
      <c r="D1498" t="s">
        <v>22</v>
      </c>
      <c r="E1498" t="s">
        <v>3501</v>
      </c>
      <c r="F1498">
        <v>54</v>
      </c>
      <c r="G1498" t="s">
        <v>384</v>
      </c>
    </row>
    <row r="1499" spans="1:10" x14ac:dyDescent="0.3">
      <c r="A1499" t="s">
        <v>3502</v>
      </c>
      <c r="B1499" t="s">
        <v>25718</v>
      </c>
      <c r="C1499" t="s">
        <v>20488</v>
      </c>
      <c r="D1499" t="s">
        <v>11</v>
      </c>
      <c r="E1499" t="s">
        <v>3503</v>
      </c>
      <c r="F1499">
        <v>54</v>
      </c>
      <c r="G1499" t="s">
        <v>46</v>
      </c>
      <c r="H1499" t="s">
        <v>46</v>
      </c>
    </row>
    <row r="1500" spans="1:10" x14ac:dyDescent="0.3">
      <c r="A1500" t="s">
        <v>3504</v>
      </c>
      <c r="B1500" t="s">
        <v>25719</v>
      </c>
      <c r="C1500" t="s">
        <v>20486</v>
      </c>
      <c r="D1500" t="s">
        <v>22</v>
      </c>
      <c r="E1500" t="s">
        <v>3505</v>
      </c>
      <c r="F1500">
        <v>43</v>
      </c>
      <c r="G1500" t="s">
        <v>172</v>
      </c>
      <c r="H1500" t="s">
        <v>12099</v>
      </c>
      <c r="J1500" t="s">
        <v>3506</v>
      </c>
    </row>
    <row r="1501" spans="1:10" x14ac:dyDescent="0.3">
      <c r="A1501" t="s">
        <v>3507</v>
      </c>
      <c r="B1501" t="s">
        <v>25720</v>
      </c>
      <c r="C1501" t="s">
        <v>20486</v>
      </c>
      <c r="D1501" t="s">
        <v>22</v>
      </c>
      <c r="E1501" t="s">
        <v>3508</v>
      </c>
      <c r="F1501">
        <v>49</v>
      </c>
    </row>
    <row r="1502" spans="1:10" x14ac:dyDescent="0.3">
      <c r="A1502" t="s">
        <v>3509</v>
      </c>
      <c r="B1502" t="s">
        <v>25721</v>
      </c>
      <c r="C1502" t="s">
        <v>20486</v>
      </c>
      <c r="D1502" t="s">
        <v>11</v>
      </c>
      <c r="E1502" t="s">
        <v>3510</v>
      </c>
      <c r="F1502">
        <v>57</v>
      </c>
      <c r="G1502" t="s">
        <v>133</v>
      </c>
      <c r="H1502" t="s">
        <v>9789</v>
      </c>
      <c r="J1502" t="s">
        <v>3511</v>
      </c>
    </row>
    <row r="1503" spans="1:10" x14ac:dyDescent="0.3">
      <c r="A1503" t="s">
        <v>3512</v>
      </c>
      <c r="B1503" t="s">
        <v>25722</v>
      </c>
      <c r="C1503" t="s">
        <v>20486</v>
      </c>
      <c r="D1503" t="s">
        <v>11</v>
      </c>
      <c r="E1503" t="s">
        <v>1945</v>
      </c>
      <c r="F1503">
        <v>49</v>
      </c>
      <c r="G1503" t="s">
        <v>133</v>
      </c>
      <c r="H1503" t="s">
        <v>9789</v>
      </c>
      <c r="J1503" t="s">
        <v>3513</v>
      </c>
    </row>
    <row r="1504" spans="1:10" x14ac:dyDescent="0.3">
      <c r="A1504" t="s">
        <v>3514</v>
      </c>
      <c r="B1504" t="s">
        <v>25723</v>
      </c>
      <c r="C1504" t="s">
        <v>20490</v>
      </c>
      <c r="D1504" t="s">
        <v>22</v>
      </c>
      <c r="E1504" t="s">
        <v>3515</v>
      </c>
      <c r="F1504">
        <v>68</v>
      </c>
      <c r="G1504" t="s">
        <v>31</v>
      </c>
      <c r="H1504" t="s">
        <v>31</v>
      </c>
    </row>
    <row r="1505" spans="1:10" x14ac:dyDescent="0.3">
      <c r="A1505" t="s">
        <v>3516</v>
      </c>
      <c r="B1505" t="s">
        <v>25724</v>
      </c>
      <c r="C1505" t="s">
        <v>20486</v>
      </c>
      <c r="D1505" t="s">
        <v>22</v>
      </c>
      <c r="E1505" t="s">
        <v>3517</v>
      </c>
      <c r="F1505">
        <v>50</v>
      </c>
      <c r="G1505" t="s">
        <v>384</v>
      </c>
    </row>
    <row r="1506" spans="1:10" x14ac:dyDescent="0.3">
      <c r="A1506" t="s">
        <v>3518</v>
      </c>
      <c r="B1506" t="s">
        <v>25725</v>
      </c>
      <c r="C1506" t="s">
        <v>20486</v>
      </c>
      <c r="D1506" t="s">
        <v>22</v>
      </c>
      <c r="E1506" t="s">
        <v>3519</v>
      </c>
      <c r="F1506">
        <v>59</v>
      </c>
      <c r="G1506" t="s">
        <v>31</v>
      </c>
      <c r="H1506" t="s">
        <v>31</v>
      </c>
    </row>
    <row r="1507" spans="1:10" x14ac:dyDescent="0.3">
      <c r="A1507" t="s">
        <v>3520</v>
      </c>
      <c r="B1507" t="s">
        <v>25726</v>
      </c>
      <c r="C1507" t="s">
        <v>20488</v>
      </c>
      <c r="D1507" t="s">
        <v>22</v>
      </c>
      <c r="E1507" t="s">
        <v>3521</v>
      </c>
      <c r="F1507">
        <v>43</v>
      </c>
      <c r="G1507" t="s">
        <v>370</v>
      </c>
      <c r="H1507" t="s">
        <v>46</v>
      </c>
      <c r="I1507" t="s">
        <v>14307</v>
      </c>
      <c r="J1507" t="s">
        <v>14308</v>
      </c>
    </row>
    <row r="1508" spans="1:10" x14ac:dyDescent="0.3">
      <c r="A1508" t="s">
        <v>3522</v>
      </c>
      <c r="B1508" t="s">
        <v>25727</v>
      </c>
      <c r="C1508" t="s">
        <v>20487</v>
      </c>
      <c r="D1508" t="s">
        <v>11</v>
      </c>
      <c r="E1508" t="s">
        <v>3523</v>
      </c>
      <c r="F1508">
        <v>64</v>
      </c>
      <c r="G1508" t="s">
        <v>172</v>
      </c>
      <c r="H1508" t="s">
        <v>12099</v>
      </c>
      <c r="J1508" t="s">
        <v>3524</v>
      </c>
    </row>
    <row r="1509" spans="1:10" x14ac:dyDescent="0.3">
      <c r="A1509" t="s">
        <v>3525</v>
      </c>
      <c r="B1509" t="s">
        <v>25728</v>
      </c>
      <c r="C1509" t="s">
        <v>20486</v>
      </c>
      <c r="D1509" t="s">
        <v>22</v>
      </c>
      <c r="E1509" t="s">
        <v>3526</v>
      </c>
      <c r="F1509">
        <v>39</v>
      </c>
      <c r="G1509" t="s">
        <v>46</v>
      </c>
      <c r="H1509" t="s">
        <v>46</v>
      </c>
      <c r="I1509" t="s">
        <v>1828</v>
      </c>
    </row>
    <row r="1510" spans="1:10" x14ac:dyDescent="0.3">
      <c r="A1510" t="s">
        <v>3527</v>
      </c>
      <c r="B1510" t="s">
        <v>25729</v>
      </c>
      <c r="C1510" t="s">
        <v>20486</v>
      </c>
      <c r="D1510" t="s">
        <v>22</v>
      </c>
      <c r="E1510" t="s">
        <v>3528</v>
      </c>
      <c r="F1510">
        <v>63</v>
      </c>
      <c r="G1510" t="s">
        <v>133</v>
      </c>
      <c r="H1510" t="s">
        <v>9789</v>
      </c>
      <c r="I1510" t="s">
        <v>3529</v>
      </c>
      <c r="J1510" t="s">
        <v>3529</v>
      </c>
    </row>
    <row r="1511" spans="1:10" x14ac:dyDescent="0.3">
      <c r="A1511" t="s">
        <v>3530</v>
      </c>
      <c r="B1511" t="s">
        <v>25730</v>
      </c>
      <c r="C1511" t="s">
        <v>20489</v>
      </c>
      <c r="D1511" t="s">
        <v>22</v>
      </c>
      <c r="E1511" t="s">
        <v>3531</v>
      </c>
      <c r="F1511">
        <v>59</v>
      </c>
      <c r="G1511" t="s">
        <v>13</v>
      </c>
      <c r="H1511" t="s">
        <v>13</v>
      </c>
      <c r="I1511" t="s">
        <v>110</v>
      </c>
      <c r="J1511" t="s">
        <v>2666</v>
      </c>
    </row>
    <row r="1512" spans="1:10" x14ac:dyDescent="0.3">
      <c r="A1512" t="s">
        <v>3532</v>
      </c>
      <c r="B1512" t="s">
        <v>25731</v>
      </c>
      <c r="C1512" t="s">
        <v>20486</v>
      </c>
      <c r="D1512" t="s">
        <v>22</v>
      </c>
      <c r="E1512" t="s">
        <v>3533</v>
      </c>
      <c r="F1512">
        <v>84</v>
      </c>
      <c r="G1512" t="s">
        <v>384</v>
      </c>
    </row>
    <row r="1513" spans="1:10" x14ac:dyDescent="0.3">
      <c r="A1513" t="s">
        <v>3534</v>
      </c>
      <c r="B1513" t="s">
        <v>25732</v>
      </c>
      <c r="C1513" t="s">
        <v>20486</v>
      </c>
      <c r="D1513" t="s">
        <v>22</v>
      </c>
      <c r="E1513" t="s">
        <v>3535</v>
      </c>
      <c r="F1513">
        <v>69</v>
      </c>
      <c r="G1513" t="s">
        <v>213</v>
      </c>
      <c r="H1513" t="s">
        <v>12065</v>
      </c>
      <c r="I1513" t="s">
        <v>110</v>
      </c>
      <c r="J1513" t="s">
        <v>3536</v>
      </c>
    </row>
    <row r="1514" spans="1:10" x14ac:dyDescent="0.3">
      <c r="A1514" t="s">
        <v>3537</v>
      </c>
      <c r="B1514" t="s">
        <v>25733</v>
      </c>
      <c r="C1514" t="s">
        <v>20486</v>
      </c>
      <c r="D1514" t="s">
        <v>11</v>
      </c>
      <c r="E1514" t="s">
        <v>3538</v>
      </c>
      <c r="F1514">
        <v>38</v>
      </c>
      <c r="G1514" t="s">
        <v>133</v>
      </c>
      <c r="H1514" t="s">
        <v>9789</v>
      </c>
      <c r="J1514" t="s">
        <v>3539</v>
      </c>
    </row>
    <row r="1515" spans="1:10" x14ac:dyDescent="0.3">
      <c r="A1515" t="s">
        <v>12262</v>
      </c>
      <c r="B1515" t="s">
        <v>25734</v>
      </c>
      <c r="C1515" t="s">
        <v>20486</v>
      </c>
      <c r="D1515" t="s">
        <v>11</v>
      </c>
      <c r="E1515" t="s">
        <v>9710</v>
      </c>
      <c r="F1515">
        <v>18</v>
      </c>
      <c r="H1515" t="s">
        <v>337</v>
      </c>
    </row>
    <row r="1516" spans="1:10" x14ac:dyDescent="0.3">
      <c r="A1516" t="s">
        <v>3540</v>
      </c>
      <c r="B1516" t="s">
        <v>25735</v>
      </c>
      <c r="C1516" t="s">
        <v>20486</v>
      </c>
      <c r="D1516" t="s">
        <v>11</v>
      </c>
      <c r="E1516" t="s">
        <v>3541</v>
      </c>
      <c r="F1516">
        <v>37</v>
      </c>
      <c r="G1516" t="s">
        <v>384</v>
      </c>
    </row>
    <row r="1517" spans="1:10" x14ac:dyDescent="0.3">
      <c r="A1517" t="s">
        <v>3542</v>
      </c>
      <c r="B1517" t="s">
        <v>25736</v>
      </c>
      <c r="C1517" t="s">
        <v>20486</v>
      </c>
      <c r="D1517" t="s">
        <v>11</v>
      </c>
      <c r="E1517" t="s">
        <v>3543</v>
      </c>
      <c r="F1517">
        <v>52</v>
      </c>
      <c r="G1517" t="s">
        <v>46</v>
      </c>
      <c r="H1517" t="s">
        <v>46</v>
      </c>
      <c r="I1517" t="s">
        <v>228</v>
      </c>
      <c r="J1517" t="s">
        <v>3511</v>
      </c>
    </row>
    <row r="1518" spans="1:10" x14ac:dyDescent="0.3">
      <c r="A1518" t="s">
        <v>3544</v>
      </c>
      <c r="B1518" t="s">
        <v>25737</v>
      </c>
      <c r="C1518" t="s">
        <v>20486</v>
      </c>
      <c r="D1518" t="s">
        <v>22</v>
      </c>
      <c r="E1518" t="s">
        <v>3545</v>
      </c>
      <c r="F1518">
        <v>58</v>
      </c>
      <c r="G1518" t="s">
        <v>155</v>
      </c>
      <c r="H1518" t="s">
        <v>9791</v>
      </c>
    </row>
    <row r="1519" spans="1:10" x14ac:dyDescent="0.3">
      <c r="A1519" t="s">
        <v>3546</v>
      </c>
      <c r="B1519" t="s">
        <v>25738</v>
      </c>
      <c r="C1519" t="s">
        <v>20486</v>
      </c>
      <c r="D1519" t="s">
        <v>11</v>
      </c>
      <c r="E1519" t="s">
        <v>3547</v>
      </c>
      <c r="F1519">
        <v>50</v>
      </c>
      <c r="G1519" t="s">
        <v>46</v>
      </c>
      <c r="H1519" t="s">
        <v>46</v>
      </c>
      <c r="J1519" t="s">
        <v>3548</v>
      </c>
    </row>
    <row r="1520" spans="1:10" x14ac:dyDescent="0.3">
      <c r="A1520" t="s">
        <v>3549</v>
      </c>
      <c r="B1520" t="s">
        <v>25739</v>
      </c>
      <c r="C1520" t="s">
        <v>20486</v>
      </c>
      <c r="D1520" t="s">
        <v>22</v>
      </c>
      <c r="E1520" t="s">
        <v>3550</v>
      </c>
      <c r="F1520">
        <v>59</v>
      </c>
      <c r="G1520" t="s">
        <v>155</v>
      </c>
      <c r="H1520" t="s">
        <v>9791</v>
      </c>
    </row>
    <row r="1521" spans="1:10" x14ac:dyDescent="0.3">
      <c r="A1521" t="s">
        <v>3551</v>
      </c>
      <c r="B1521" t="s">
        <v>25740</v>
      </c>
      <c r="C1521" t="s">
        <v>20489</v>
      </c>
      <c r="D1521" t="s">
        <v>22</v>
      </c>
      <c r="E1521" t="s">
        <v>3552</v>
      </c>
      <c r="F1521">
        <v>53</v>
      </c>
      <c r="G1521" t="s">
        <v>46</v>
      </c>
      <c r="H1521" t="s">
        <v>46</v>
      </c>
      <c r="I1521" t="s">
        <v>12263</v>
      </c>
      <c r="J1521" t="s">
        <v>3553</v>
      </c>
    </row>
    <row r="1522" spans="1:10" x14ac:dyDescent="0.3">
      <c r="A1522" t="s">
        <v>3554</v>
      </c>
      <c r="B1522" t="s">
        <v>25741</v>
      </c>
      <c r="C1522" t="s">
        <v>20489</v>
      </c>
      <c r="D1522" t="s">
        <v>22</v>
      </c>
      <c r="E1522" t="s">
        <v>3555</v>
      </c>
      <c r="F1522">
        <v>66</v>
      </c>
      <c r="G1522" t="s">
        <v>13</v>
      </c>
      <c r="H1522" t="s">
        <v>13</v>
      </c>
      <c r="I1522" t="s">
        <v>17</v>
      </c>
      <c r="J1522" t="s">
        <v>3556</v>
      </c>
    </row>
    <row r="1523" spans="1:10" x14ac:dyDescent="0.3">
      <c r="A1523" t="s">
        <v>3557</v>
      </c>
      <c r="B1523" t="s">
        <v>25742</v>
      </c>
      <c r="C1523" t="s">
        <v>20488</v>
      </c>
      <c r="D1523" t="s">
        <v>22</v>
      </c>
      <c r="E1523" t="s">
        <v>3558</v>
      </c>
      <c r="F1523">
        <v>25</v>
      </c>
      <c r="G1523" t="s">
        <v>337</v>
      </c>
      <c r="H1523" t="s">
        <v>337</v>
      </c>
    </row>
    <row r="1524" spans="1:10" x14ac:dyDescent="0.3">
      <c r="A1524" t="s">
        <v>3559</v>
      </c>
      <c r="B1524" t="s">
        <v>25743</v>
      </c>
      <c r="C1524" t="s">
        <v>20490</v>
      </c>
      <c r="D1524" t="s">
        <v>11</v>
      </c>
      <c r="E1524" t="s">
        <v>3560</v>
      </c>
      <c r="F1524">
        <v>60</v>
      </c>
      <c r="H1524" t="s">
        <v>46</v>
      </c>
      <c r="J1524" t="s">
        <v>3561</v>
      </c>
    </row>
    <row r="1525" spans="1:10" x14ac:dyDescent="0.3">
      <c r="A1525" t="s">
        <v>3562</v>
      </c>
      <c r="B1525" t="s">
        <v>25744</v>
      </c>
      <c r="C1525" t="s">
        <v>20486</v>
      </c>
      <c r="D1525" t="s">
        <v>22</v>
      </c>
      <c r="E1525" t="s">
        <v>3563</v>
      </c>
      <c r="F1525">
        <v>64</v>
      </c>
      <c r="G1525" t="s">
        <v>46</v>
      </c>
      <c r="H1525" t="s">
        <v>46</v>
      </c>
      <c r="I1525" t="s">
        <v>3564</v>
      </c>
      <c r="J1525" t="s">
        <v>3565</v>
      </c>
    </row>
    <row r="1526" spans="1:10" x14ac:dyDescent="0.3">
      <c r="A1526" t="s">
        <v>3566</v>
      </c>
      <c r="B1526" t="s">
        <v>25745</v>
      </c>
      <c r="C1526" t="s">
        <v>20488</v>
      </c>
      <c r="D1526" t="s">
        <v>22</v>
      </c>
      <c r="E1526" t="s">
        <v>3567</v>
      </c>
      <c r="F1526">
        <v>45</v>
      </c>
      <c r="G1526" t="s">
        <v>109</v>
      </c>
      <c r="H1526" t="s">
        <v>9788</v>
      </c>
      <c r="I1526" t="s">
        <v>660</v>
      </c>
      <c r="J1526" t="s">
        <v>571</v>
      </c>
    </row>
    <row r="1527" spans="1:10" x14ac:dyDescent="0.3">
      <c r="A1527" t="s">
        <v>3568</v>
      </c>
      <c r="B1527" t="s">
        <v>25746</v>
      </c>
      <c r="C1527" t="s">
        <v>20487</v>
      </c>
      <c r="D1527" t="s">
        <v>11</v>
      </c>
      <c r="E1527" t="s">
        <v>3569</v>
      </c>
      <c r="F1527">
        <v>59</v>
      </c>
      <c r="G1527" t="s">
        <v>201</v>
      </c>
      <c r="H1527" t="s">
        <v>46</v>
      </c>
      <c r="J1527" t="s">
        <v>3570</v>
      </c>
    </row>
    <row r="1528" spans="1:10" x14ac:dyDescent="0.3">
      <c r="A1528" t="s">
        <v>3571</v>
      </c>
      <c r="B1528" t="s">
        <v>25747</v>
      </c>
      <c r="C1528" t="s">
        <v>20486</v>
      </c>
      <c r="D1528" t="s">
        <v>11</v>
      </c>
      <c r="E1528" t="s">
        <v>3572</v>
      </c>
      <c r="F1528">
        <v>59</v>
      </c>
      <c r="G1528" t="s">
        <v>109</v>
      </c>
      <c r="H1528" t="s">
        <v>9788</v>
      </c>
    </row>
    <row r="1529" spans="1:10" x14ac:dyDescent="0.3">
      <c r="A1529" t="s">
        <v>12264</v>
      </c>
      <c r="B1529" t="s">
        <v>25748</v>
      </c>
      <c r="C1529" t="s">
        <v>20486</v>
      </c>
      <c r="D1529" t="s">
        <v>11</v>
      </c>
      <c r="E1529" t="s">
        <v>9593</v>
      </c>
      <c r="F1529">
        <v>21</v>
      </c>
      <c r="G1529" t="s">
        <v>337</v>
      </c>
      <c r="H1529" t="s">
        <v>337</v>
      </c>
    </row>
    <row r="1530" spans="1:10" x14ac:dyDescent="0.3">
      <c r="A1530" t="s">
        <v>3573</v>
      </c>
      <c r="B1530" t="s">
        <v>25749</v>
      </c>
      <c r="C1530" t="s">
        <v>20486</v>
      </c>
      <c r="D1530" t="s">
        <v>22</v>
      </c>
      <c r="E1530" t="s">
        <v>3574</v>
      </c>
      <c r="F1530">
        <v>51</v>
      </c>
      <c r="G1530" t="s">
        <v>31</v>
      </c>
      <c r="H1530" t="s">
        <v>31</v>
      </c>
      <c r="J1530" t="s">
        <v>33</v>
      </c>
    </row>
    <row r="1531" spans="1:10" x14ac:dyDescent="0.3">
      <c r="A1531" t="s">
        <v>3575</v>
      </c>
      <c r="B1531" t="s">
        <v>25750</v>
      </c>
      <c r="C1531" t="s">
        <v>20486</v>
      </c>
      <c r="D1531" t="s">
        <v>22</v>
      </c>
      <c r="E1531" t="s">
        <v>3576</v>
      </c>
      <c r="F1531">
        <v>40</v>
      </c>
      <c r="G1531" t="s">
        <v>384</v>
      </c>
    </row>
    <row r="1532" spans="1:10" x14ac:dyDescent="0.3">
      <c r="A1532" t="s">
        <v>3577</v>
      </c>
      <c r="B1532" t="s">
        <v>25751</v>
      </c>
      <c r="C1532" t="s">
        <v>20488</v>
      </c>
      <c r="D1532" t="s">
        <v>22</v>
      </c>
      <c r="E1532" t="s">
        <v>3578</v>
      </c>
      <c r="F1532">
        <v>44</v>
      </c>
      <c r="G1532" t="s">
        <v>46</v>
      </c>
      <c r="H1532" t="s">
        <v>46</v>
      </c>
      <c r="I1532" t="s">
        <v>228</v>
      </c>
      <c r="J1532" t="s">
        <v>14309</v>
      </c>
    </row>
    <row r="1533" spans="1:10" x14ac:dyDescent="0.3">
      <c r="A1533" t="s">
        <v>3579</v>
      </c>
      <c r="B1533" t="s">
        <v>25752</v>
      </c>
      <c r="C1533" t="s">
        <v>20488</v>
      </c>
      <c r="D1533" t="s">
        <v>11</v>
      </c>
      <c r="E1533" t="s">
        <v>3580</v>
      </c>
      <c r="F1533">
        <v>57</v>
      </c>
      <c r="G1533" t="s">
        <v>109</v>
      </c>
      <c r="H1533" t="s">
        <v>9788</v>
      </c>
      <c r="I1533" t="s">
        <v>660</v>
      </c>
      <c r="J1533" t="s">
        <v>3302</v>
      </c>
    </row>
    <row r="1534" spans="1:10" x14ac:dyDescent="0.3">
      <c r="A1534" t="s">
        <v>3581</v>
      </c>
      <c r="B1534" t="s">
        <v>25753</v>
      </c>
      <c r="C1534" t="s">
        <v>20486</v>
      </c>
      <c r="D1534" t="s">
        <v>11</v>
      </c>
      <c r="E1534" t="s">
        <v>3582</v>
      </c>
      <c r="F1534">
        <v>38</v>
      </c>
      <c r="G1534" t="s">
        <v>109</v>
      </c>
      <c r="H1534" t="s">
        <v>9788</v>
      </c>
      <c r="J1534" t="s">
        <v>3583</v>
      </c>
    </row>
    <row r="1535" spans="1:10" x14ac:dyDescent="0.3">
      <c r="A1535" t="s">
        <v>3584</v>
      </c>
      <c r="B1535" t="s">
        <v>25754</v>
      </c>
      <c r="C1535" t="s">
        <v>20486</v>
      </c>
      <c r="D1535" t="s">
        <v>22</v>
      </c>
      <c r="E1535" t="s">
        <v>3585</v>
      </c>
      <c r="F1535">
        <v>56</v>
      </c>
      <c r="G1535" t="s">
        <v>531</v>
      </c>
      <c r="H1535" t="s">
        <v>46</v>
      </c>
      <c r="I1535" t="s">
        <v>3586</v>
      </c>
      <c r="J1535" t="s">
        <v>1412</v>
      </c>
    </row>
    <row r="1536" spans="1:10" x14ac:dyDescent="0.3">
      <c r="A1536" t="s">
        <v>3587</v>
      </c>
      <c r="B1536" t="s">
        <v>25755</v>
      </c>
      <c r="C1536" t="s">
        <v>20486</v>
      </c>
      <c r="D1536" t="s">
        <v>22</v>
      </c>
      <c r="E1536" t="s">
        <v>3588</v>
      </c>
      <c r="F1536">
        <v>43</v>
      </c>
      <c r="G1536" t="s">
        <v>31</v>
      </c>
      <c r="H1536" t="s">
        <v>31</v>
      </c>
      <c r="J1536" t="s">
        <v>33</v>
      </c>
    </row>
    <row r="1537" spans="1:10" x14ac:dyDescent="0.3">
      <c r="A1537" t="s">
        <v>3589</v>
      </c>
      <c r="B1537" t="s">
        <v>25756</v>
      </c>
      <c r="C1537" t="s">
        <v>20490</v>
      </c>
      <c r="D1537" t="s">
        <v>11</v>
      </c>
      <c r="E1537" t="s">
        <v>3590</v>
      </c>
      <c r="F1537">
        <v>48</v>
      </c>
      <c r="G1537" t="s">
        <v>337</v>
      </c>
      <c r="H1537" t="s">
        <v>337</v>
      </c>
    </row>
    <row r="1538" spans="1:10" x14ac:dyDescent="0.3">
      <c r="A1538" t="s">
        <v>3591</v>
      </c>
      <c r="B1538" t="s">
        <v>25757</v>
      </c>
      <c r="C1538" t="s">
        <v>20490</v>
      </c>
      <c r="D1538" t="s">
        <v>22</v>
      </c>
      <c r="E1538" t="s">
        <v>3592</v>
      </c>
      <c r="F1538">
        <v>41</v>
      </c>
      <c r="G1538" t="s">
        <v>16</v>
      </c>
      <c r="H1538" t="s">
        <v>9785</v>
      </c>
      <c r="J1538" t="s">
        <v>2669</v>
      </c>
    </row>
    <row r="1539" spans="1:10" x14ac:dyDescent="0.3">
      <c r="A1539" t="s">
        <v>3593</v>
      </c>
      <c r="B1539" t="s">
        <v>25758</v>
      </c>
      <c r="C1539" t="s">
        <v>20490</v>
      </c>
      <c r="D1539" t="s">
        <v>22</v>
      </c>
      <c r="E1539" t="s">
        <v>3594</v>
      </c>
      <c r="F1539">
        <v>54</v>
      </c>
      <c r="G1539" t="s">
        <v>31</v>
      </c>
      <c r="H1539" t="s">
        <v>31</v>
      </c>
    </row>
    <row r="1540" spans="1:10" x14ac:dyDescent="0.3">
      <c r="A1540" t="s">
        <v>3595</v>
      </c>
      <c r="B1540" t="s">
        <v>25759</v>
      </c>
      <c r="C1540" t="s">
        <v>20488</v>
      </c>
      <c r="D1540" t="s">
        <v>11</v>
      </c>
      <c r="E1540" t="s">
        <v>3596</v>
      </c>
      <c r="F1540">
        <v>60</v>
      </c>
      <c r="G1540" t="s">
        <v>13</v>
      </c>
      <c r="H1540" t="s">
        <v>13</v>
      </c>
    </row>
    <row r="1541" spans="1:10" x14ac:dyDescent="0.3">
      <c r="A1541" t="s">
        <v>3597</v>
      </c>
      <c r="B1541" t="s">
        <v>25760</v>
      </c>
      <c r="C1541" t="s">
        <v>20486</v>
      </c>
      <c r="D1541" t="s">
        <v>11</v>
      </c>
      <c r="E1541" t="s">
        <v>3598</v>
      </c>
      <c r="F1541">
        <v>37</v>
      </c>
      <c r="G1541" t="s">
        <v>133</v>
      </c>
      <c r="H1541" t="s">
        <v>9789</v>
      </c>
      <c r="I1541" t="s">
        <v>1425</v>
      </c>
      <c r="J1541" t="s">
        <v>1426</v>
      </c>
    </row>
    <row r="1542" spans="1:10" x14ac:dyDescent="0.3">
      <c r="A1542" t="s">
        <v>3599</v>
      </c>
      <c r="B1542" t="s">
        <v>25761</v>
      </c>
      <c r="C1542" t="s">
        <v>20487</v>
      </c>
      <c r="D1542" t="s">
        <v>11</v>
      </c>
      <c r="E1542" t="s">
        <v>3600</v>
      </c>
      <c r="F1542">
        <v>58</v>
      </c>
      <c r="G1542" t="s">
        <v>1269</v>
      </c>
      <c r="H1542" t="s">
        <v>12074</v>
      </c>
    </row>
    <row r="1543" spans="1:10" x14ac:dyDescent="0.3">
      <c r="A1543" t="s">
        <v>3601</v>
      </c>
      <c r="B1543" t="s">
        <v>25762</v>
      </c>
      <c r="C1543" t="s">
        <v>20487</v>
      </c>
      <c r="D1543" t="s">
        <v>22</v>
      </c>
      <c r="E1543" t="s">
        <v>3602</v>
      </c>
      <c r="F1543">
        <v>45</v>
      </c>
    </row>
    <row r="1544" spans="1:10" x14ac:dyDescent="0.3">
      <c r="A1544" t="s">
        <v>3603</v>
      </c>
      <c r="B1544" t="s">
        <v>25763</v>
      </c>
      <c r="C1544" t="s">
        <v>20489</v>
      </c>
      <c r="D1544" t="s">
        <v>22</v>
      </c>
      <c r="E1544" t="s">
        <v>3604</v>
      </c>
      <c r="F1544">
        <v>47</v>
      </c>
      <c r="G1544" t="s">
        <v>46</v>
      </c>
      <c r="H1544" t="s">
        <v>46</v>
      </c>
      <c r="I1544" t="s">
        <v>228</v>
      </c>
      <c r="J1544" t="s">
        <v>12265</v>
      </c>
    </row>
    <row r="1545" spans="1:10" x14ac:dyDescent="0.3">
      <c r="A1545" t="s">
        <v>3605</v>
      </c>
      <c r="B1545" t="s">
        <v>25764</v>
      </c>
      <c r="C1545" t="s">
        <v>20486</v>
      </c>
      <c r="D1545" t="s">
        <v>22</v>
      </c>
      <c r="E1545" t="s">
        <v>3606</v>
      </c>
      <c r="F1545">
        <v>52</v>
      </c>
      <c r="G1545" t="s">
        <v>31</v>
      </c>
      <c r="H1545" t="s">
        <v>31</v>
      </c>
      <c r="J1545" t="s">
        <v>33</v>
      </c>
    </row>
    <row r="1546" spans="1:10" x14ac:dyDescent="0.3">
      <c r="A1546" t="s">
        <v>12266</v>
      </c>
      <c r="B1546" t="s">
        <v>25765</v>
      </c>
      <c r="C1546" t="s">
        <v>20486</v>
      </c>
      <c r="D1546" t="s">
        <v>11</v>
      </c>
      <c r="E1546" t="s">
        <v>9709</v>
      </c>
      <c r="F1546">
        <v>23</v>
      </c>
    </row>
    <row r="1547" spans="1:10" x14ac:dyDescent="0.3">
      <c r="A1547" t="s">
        <v>3607</v>
      </c>
      <c r="B1547" t="s">
        <v>25766</v>
      </c>
      <c r="C1547" t="s">
        <v>20486</v>
      </c>
      <c r="D1547" t="s">
        <v>11</v>
      </c>
      <c r="E1547" t="s">
        <v>3608</v>
      </c>
      <c r="F1547">
        <v>46</v>
      </c>
      <c r="G1547" t="s">
        <v>109</v>
      </c>
      <c r="H1547" t="s">
        <v>9788</v>
      </c>
    </row>
    <row r="1548" spans="1:10" x14ac:dyDescent="0.3">
      <c r="A1548" t="s">
        <v>12267</v>
      </c>
      <c r="B1548" t="s">
        <v>25767</v>
      </c>
      <c r="C1548" t="s">
        <v>20486</v>
      </c>
      <c r="D1548" t="s">
        <v>22</v>
      </c>
      <c r="E1548" t="s">
        <v>3931</v>
      </c>
      <c r="F1548">
        <v>115</v>
      </c>
    </row>
    <row r="1549" spans="1:10" x14ac:dyDescent="0.3">
      <c r="A1549" t="s">
        <v>3609</v>
      </c>
      <c r="B1549" t="s">
        <v>25768</v>
      </c>
      <c r="C1549" t="s">
        <v>20487</v>
      </c>
      <c r="D1549" t="s">
        <v>11</v>
      </c>
      <c r="E1549" t="s">
        <v>3610</v>
      </c>
      <c r="F1549">
        <v>39</v>
      </c>
      <c r="G1549" t="s">
        <v>16</v>
      </c>
      <c r="H1549" t="s">
        <v>9785</v>
      </c>
      <c r="J1549" t="s">
        <v>3611</v>
      </c>
    </row>
    <row r="1550" spans="1:10" x14ac:dyDescent="0.3">
      <c r="A1550" t="s">
        <v>3612</v>
      </c>
      <c r="B1550" t="s">
        <v>25769</v>
      </c>
      <c r="C1550" t="s">
        <v>20487</v>
      </c>
      <c r="D1550" t="s">
        <v>22</v>
      </c>
      <c r="E1550" t="s">
        <v>3613</v>
      </c>
      <c r="F1550">
        <v>47</v>
      </c>
      <c r="G1550" t="s">
        <v>2055</v>
      </c>
      <c r="H1550" t="s">
        <v>9789</v>
      </c>
    </row>
    <row r="1551" spans="1:10" x14ac:dyDescent="0.3">
      <c r="A1551" t="s">
        <v>3614</v>
      </c>
      <c r="B1551" t="s">
        <v>25770</v>
      </c>
      <c r="C1551" t="s">
        <v>20488</v>
      </c>
      <c r="D1551" t="s">
        <v>11</v>
      </c>
      <c r="E1551" t="s">
        <v>983</v>
      </c>
      <c r="F1551">
        <v>45</v>
      </c>
      <c r="G1551" t="s">
        <v>109</v>
      </c>
      <c r="H1551" t="s">
        <v>9789</v>
      </c>
      <c r="I1551" t="s">
        <v>1678</v>
      </c>
      <c r="J1551" t="s">
        <v>3615</v>
      </c>
    </row>
    <row r="1552" spans="1:10" x14ac:dyDescent="0.3">
      <c r="A1552" t="s">
        <v>3616</v>
      </c>
      <c r="B1552" t="s">
        <v>25771</v>
      </c>
      <c r="C1552" t="s">
        <v>20488</v>
      </c>
      <c r="D1552" t="s">
        <v>22</v>
      </c>
      <c r="E1552" t="s">
        <v>3617</v>
      </c>
      <c r="F1552">
        <v>64</v>
      </c>
      <c r="G1552" t="s">
        <v>31</v>
      </c>
      <c r="H1552" t="s">
        <v>31</v>
      </c>
    </row>
    <row r="1553" spans="1:10" x14ac:dyDescent="0.3">
      <c r="A1553" t="s">
        <v>3618</v>
      </c>
      <c r="B1553" t="s">
        <v>25772</v>
      </c>
      <c r="C1553" t="s">
        <v>20488</v>
      </c>
      <c r="D1553" t="s">
        <v>22</v>
      </c>
      <c r="E1553" t="s">
        <v>2180</v>
      </c>
      <c r="F1553">
        <v>57</v>
      </c>
      <c r="G1553" t="s">
        <v>46</v>
      </c>
      <c r="H1553" t="s">
        <v>46</v>
      </c>
      <c r="I1553" t="s">
        <v>3619</v>
      </c>
    </row>
    <row r="1554" spans="1:10" x14ac:dyDescent="0.3">
      <c r="A1554" t="s">
        <v>3620</v>
      </c>
      <c r="B1554" t="s">
        <v>25773</v>
      </c>
      <c r="C1554" t="s">
        <v>20488</v>
      </c>
      <c r="D1554" t="s">
        <v>11</v>
      </c>
      <c r="E1554" t="s">
        <v>3621</v>
      </c>
      <c r="F1554">
        <v>68</v>
      </c>
      <c r="G1554" t="s">
        <v>46</v>
      </c>
      <c r="H1554" t="s">
        <v>46</v>
      </c>
      <c r="I1554" t="s">
        <v>3619</v>
      </c>
    </row>
    <row r="1555" spans="1:10" x14ac:dyDescent="0.3">
      <c r="A1555" t="s">
        <v>3622</v>
      </c>
      <c r="B1555" t="s">
        <v>25774</v>
      </c>
      <c r="C1555" t="s">
        <v>20486</v>
      </c>
      <c r="D1555" t="s">
        <v>22</v>
      </c>
      <c r="E1555" t="s">
        <v>3545</v>
      </c>
      <c r="F1555">
        <v>58</v>
      </c>
      <c r="G1555" t="s">
        <v>384</v>
      </c>
    </row>
    <row r="1556" spans="1:10" x14ac:dyDescent="0.3">
      <c r="A1556" t="s">
        <v>3623</v>
      </c>
      <c r="B1556" t="s">
        <v>25775</v>
      </c>
      <c r="C1556" t="s">
        <v>20486</v>
      </c>
      <c r="D1556" t="s">
        <v>22</v>
      </c>
      <c r="E1556" t="s">
        <v>3624</v>
      </c>
      <c r="F1556">
        <v>46</v>
      </c>
      <c r="G1556" t="s">
        <v>384</v>
      </c>
    </row>
    <row r="1557" spans="1:10" x14ac:dyDescent="0.3">
      <c r="A1557" t="s">
        <v>3625</v>
      </c>
      <c r="B1557" t="s">
        <v>25776</v>
      </c>
      <c r="C1557" t="s">
        <v>20486</v>
      </c>
      <c r="D1557" t="s">
        <v>22</v>
      </c>
      <c r="E1557" t="s">
        <v>3626</v>
      </c>
      <c r="F1557">
        <v>62</v>
      </c>
      <c r="G1557" t="s">
        <v>31</v>
      </c>
      <c r="H1557" t="s">
        <v>31</v>
      </c>
    </row>
    <row r="1558" spans="1:10" x14ac:dyDescent="0.3">
      <c r="A1558" t="s">
        <v>3627</v>
      </c>
      <c r="B1558" t="s">
        <v>25777</v>
      </c>
      <c r="C1558" t="s">
        <v>20490</v>
      </c>
      <c r="D1558" t="s">
        <v>22</v>
      </c>
      <c r="E1558" t="s">
        <v>3628</v>
      </c>
      <c r="F1558">
        <v>50</v>
      </c>
      <c r="G1558" t="s">
        <v>109</v>
      </c>
      <c r="H1558" t="s">
        <v>9788</v>
      </c>
    </row>
    <row r="1559" spans="1:10" x14ac:dyDescent="0.3">
      <c r="A1559" t="s">
        <v>12268</v>
      </c>
      <c r="B1559" t="s">
        <v>25778</v>
      </c>
      <c r="C1559" t="s">
        <v>20488</v>
      </c>
      <c r="D1559" t="s">
        <v>11</v>
      </c>
      <c r="E1559" t="s">
        <v>12269</v>
      </c>
      <c r="F1559">
        <v>59</v>
      </c>
      <c r="G1559" t="s">
        <v>109</v>
      </c>
      <c r="H1559" t="s">
        <v>9788</v>
      </c>
    </row>
    <row r="1560" spans="1:10" x14ac:dyDescent="0.3">
      <c r="A1560" t="s">
        <v>3629</v>
      </c>
      <c r="B1560" t="s">
        <v>25779</v>
      </c>
      <c r="C1560" t="s">
        <v>20490</v>
      </c>
      <c r="D1560" t="s">
        <v>11</v>
      </c>
      <c r="E1560" t="s">
        <v>3630</v>
      </c>
      <c r="F1560">
        <v>39</v>
      </c>
      <c r="G1560" t="s">
        <v>109</v>
      </c>
      <c r="H1560" t="s">
        <v>9788</v>
      </c>
    </row>
    <row r="1561" spans="1:10" x14ac:dyDescent="0.3">
      <c r="A1561" t="s">
        <v>3631</v>
      </c>
      <c r="B1561" t="s">
        <v>25780</v>
      </c>
      <c r="C1561" t="s">
        <v>20486</v>
      </c>
      <c r="D1561" t="s">
        <v>22</v>
      </c>
      <c r="E1561" t="s">
        <v>3632</v>
      </c>
      <c r="F1561">
        <v>41</v>
      </c>
      <c r="G1561" t="s">
        <v>384</v>
      </c>
    </row>
    <row r="1562" spans="1:10" x14ac:dyDescent="0.3">
      <c r="A1562" t="s">
        <v>3633</v>
      </c>
      <c r="B1562" t="s">
        <v>25781</v>
      </c>
      <c r="C1562" t="s">
        <v>20486</v>
      </c>
      <c r="D1562" t="s">
        <v>22</v>
      </c>
      <c r="E1562" t="s">
        <v>3634</v>
      </c>
      <c r="F1562">
        <v>59</v>
      </c>
      <c r="G1562" t="s">
        <v>31</v>
      </c>
      <c r="H1562" t="s">
        <v>31</v>
      </c>
      <c r="I1562" t="s">
        <v>3635</v>
      </c>
      <c r="J1562" t="s">
        <v>3635</v>
      </c>
    </row>
    <row r="1563" spans="1:10" x14ac:dyDescent="0.3">
      <c r="A1563" t="s">
        <v>3636</v>
      </c>
      <c r="B1563" t="s">
        <v>25782</v>
      </c>
      <c r="C1563" t="s">
        <v>20486</v>
      </c>
      <c r="D1563" t="s">
        <v>22</v>
      </c>
      <c r="E1563" t="s">
        <v>3637</v>
      </c>
      <c r="F1563">
        <v>68</v>
      </c>
      <c r="G1563" t="s">
        <v>31</v>
      </c>
      <c r="H1563" t="s">
        <v>31</v>
      </c>
    </row>
    <row r="1564" spans="1:10" x14ac:dyDescent="0.3">
      <c r="A1564" t="s">
        <v>3638</v>
      </c>
      <c r="B1564" t="s">
        <v>25783</v>
      </c>
      <c r="C1564" t="s">
        <v>20488</v>
      </c>
      <c r="D1564" t="s">
        <v>22</v>
      </c>
      <c r="E1564" t="s">
        <v>3639</v>
      </c>
      <c r="F1564">
        <v>47</v>
      </c>
      <c r="G1564" t="s">
        <v>16</v>
      </c>
      <c r="H1564" t="s">
        <v>9785</v>
      </c>
      <c r="I1564" t="s">
        <v>449</v>
      </c>
    </row>
    <row r="1565" spans="1:10" x14ac:dyDescent="0.3">
      <c r="A1565" t="s">
        <v>3640</v>
      </c>
      <c r="B1565" t="s">
        <v>25784</v>
      </c>
      <c r="C1565" t="s">
        <v>20488</v>
      </c>
      <c r="D1565" t="s">
        <v>11</v>
      </c>
      <c r="E1565" t="s">
        <v>990</v>
      </c>
      <c r="F1565">
        <v>47</v>
      </c>
      <c r="G1565" t="s">
        <v>46</v>
      </c>
      <c r="H1565" t="s">
        <v>46</v>
      </c>
    </row>
    <row r="1566" spans="1:10" x14ac:dyDescent="0.3">
      <c r="A1566" t="s">
        <v>3641</v>
      </c>
      <c r="B1566" t="s">
        <v>25785</v>
      </c>
      <c r="C1566" t="s">
        <v>20486</v>
      </c>
      <c r="D1566" t="s">
        <v>22</v>
      </c>
      <c r="E1566" t="s">
        <v>3642</v>
      </c>
      <c r="F1566">
        <v>47</v>
      </c>
      <c r="G1566" t="s">
        <v>384</v>
      </c>
    </row>
    <row r="1567" spans="1:10" x14ac:dyDescent="0.3">
      <c r="A1567" t="s">
        <v>3643</v>
      </c>
      <c r="B1567" t="s">
        <v>25786</v>
      </c>
      <c r="C1567" t="s">
        <v>20486</v>
      </c>
      <c r="D1567" t="s">
        <v>22</v>
      </c>
      <c r="E1567" t="s">
        <v>3644</v>
      </c>
      <c r="F1567">
        <v>31</v>
      </c>
      <c r="G1567" t="s">
        <v>109</v>
      </c>
      <c r="H1567" t="s">
        <v>9788</v>
      </c>
      <c r="I1567" t="s">
        <v>971</v>
      </c>
      <c r="J1567" t="s">
        <v>225</v>
      </c>
    </row>
    <row r="1568" spans="1:10" x14ac:dyDescent="0.3">
      <c r="A1568" t="s">
        <v>3645</v>
      </c>
      <c r="B1568" t="s">
        <v>25787</v>
      </c>
      <c r="C1568" t="s">
        <v>20488</v>
      </c>
      <c r="D1568" t="s">
        <v>22</v>
      </c>
      <c r="E1568" t="s">
        <v>3646</v>
      </c>
      <c r="F1568">
        <v>39</v>
      </c>
      <c r="G1568" t="s">
        <v>16</v>
      </c>
      <c r="H1568" t="s">
        <v>9785</v>
      </c>
      <c r="I1568" t="s">
        <v>441</v>
      </c>
      <c r="J1568" t="s">
        <v>12270</v>
      </c>
    </row>
    <row r="1569" spans="1:10" x14ac:dyDescent="0.3">
      <c r="A1569" t="s">
        <v>3647</v>
      </c>
      <c r="B1569" t="s">
        <v>25788</v>
      </c>
      <c r="C1569" t="s">
        <v>20487</v>
      </c>
      <c r="D1569" t="s">
        <v>22</v>
      </c>
      <c r="E1569" t="s">
        <v>1524</v>
      </c>
      <c r="F1569">
        <v>61</v>
      </c>
      <c r="G1569" t="s">
        <v>540</v>
      </c>
      <c r="H1569" t="s">
        <v>12074</v>
      </c>
    </row>
    <row r="1570" spans="1:10" x14ac:dyDescent="0.3">
      <c r="A1570" t="s">
        <v>3648</v>
      </c>
      <c r="B1570" t="s">
        <v>25789</v>
      </c>
      <c r="C1570" t="s">
        <v>20486</v>
      </c>
      <c r="D1570" t="s">
        <v>22</v>
      </c>
      <c r="E1570" t="s">
        <v>3649</v>
      </c>
      <c r="F1570">
        <v>41</v>
      </c>
      <c r="G1570" t="s">
        <v>31</v>
      </c>
      <c r="H1570" t="s">
        <v>31</v>
      </c>
    </row>
    <row r="1571" spans="1:10" x14ac:dyDescent="0.3">
      <c r="A1571" t="s">
        <v>3650</v>
      </c>
      <c r="B1571" t="s">
        <v>25790</v>
      </c>
      <c r="C1571" t="s">
        <v>20486</v>
      </c>
      <c r="D1571" t="s">
        <v>11</v>
      </c>
      <c r="E1571" t="s">
        <v>3651</v>
      </c>
      <c r="F1571">
        <v>50</v>
      </c>
      <c r="G1571" t="s">
        <v>133</v>
      </c>
      <c r="H1571" t="s">
        <v>9789</v>
      </c>
      <c r="I1571" t="s">
        <v>3529</v>
      </c>
      <c r="J1571" t="s">
        <v>3529</v>
      </c>
    </row>
    <row r="1572" spans="1:10" x14ac:dyDescent="0.3">
      <c r="A1572" t="s">
        <v>3652</v>
      </c>
      <c r="B1572" t="s">
        <v>25791</v>
      </c>
      <c r="C1572" t="s">
        <v>20486</v>
      </c>
      <c r="D1572" t="s">
        <v>22</v>
      </c>
      <c r="E1572" t="s">
        <v>3653</v>
      </c>
      <c r="F1572">
        <v>38</v>
      </c>
      <c r="G1572" t="s">
        <v>109</v>
      </c>
      <c r="H1572" t="s">
        <v>9788</v>
      </c>
    </row>
    <row r="1573" spans="1:10" x14ac:dyDescent="0.3">
      <c r="A1573" t="s">
        <v>3654</v>
      </c>
      <c r="B1573" t="s">
        <v>25792</v>
      </c>
      <c r="C1573" t="s">
        <v>20490</v>
      </c>
      <c r="D1573" t="s">
        <v>22</v>
      </c>
      <c r="E1573" t="s">
        <v>3655</v>
      </c>
      <c r="F1573">
        <v>72</v>
      </c>
      <c r="G1573" t="s">
        <v>109</v>
      </c>
      <c r="H1573" t="s">
        <v>9788</v>
      </c>
    </row>
    <row r="1574" spans="1:10" x14ac:dyDescent="0.3">
      <c r="A1574" t="s">
        <v>3656</v>
      </c>
      <c r="B1574" t="s">
        <v>25793</v>
      </c>
      <c r="C1574" t="s">
        <v>20486</v>
      </c>
      <c r="D1574" t="s">
        <v>22</v>
      </c>
      <c r="E1574" t="s">
        <v>3657</v>
      </c>
      <c r="F1574">
        <v>78</v>
      </c>
      <c r="G1574" t="s">
        <v>31</v>
      </c>
      <c r="H1574" t="s">
        <v>31</v>
      </c>
    </row>
    <row r="1575" spans="1:10" x14ac:dyDescent="0.3">
      <c r="A1575" t="s">
        <v>3658</v>
      </c>
      <c r="B1575" t="s">
        <v>25794</v>
      </c>
      <c r="C1575" t="s">
        <v>20486</v>
      </c>
      <c r="D1575" t="s">
        <v>22</v>
      </c>
      <c r="E1575" t="s">
        <v>1219</v>
      </c>
      <c r="F1575">
        <v>55</v>
      </c>
      <c r="G1575" t="s">
        <v>31</v>
      </c>
      <c r="H1575" t="s">
        <v>31</v>
      </c>
    </row>
    <row r="1576" spans="1:10" x14ac:dyDescent="0.3">
      <c r="A1576" t="s">
        <v>3659</v>
      </c>
      <c r="B1576" t="s">
        <v>25795</v>
      </c>
      <c r="C1576" t="s">
        <v>20491</v>
      </c>
      <c r="D1576" t="s">
        <v>22</v>
      </c>
      <c r="E1576" t="s">
        <v>3660</v>
      </c>
      <c r="F1576">
        <v>63</v>
      </c>
      <c r="G1576" t="s">
        <v>231</v>
      </c>
      <c r="H1576" t="s">
        <v>9788</v>
      </c>
      <c r="J1576" t="s">
        <v>3661</v>
      </c>
    </row>
    <row r="1577" spans="1:10" x14ac:dyDescent="0.3">
      <c r="A1577" t="s">
        <v>3662</v>
      </c>
      <c r="B1577" t="s">
        <v>25796</v>
      </c>
      <c r="C1577" t="s">
        <v>20490</v>
      </c>
      <c r="D1577" t="s">
        <v>22</v>
      </c>
      <c r="E1577" t="s">
        <v>954</v>
      </c>
      <c r="F1577">
        <v>46</v>
      </c>
      <c r="G1577" t="s">
        <v>231</v>
      </c>
      <c r="H1577" t="s">
        <v>9788</v>
      </c>
      <c r="J1577" t="s">
        <v>3663</v>
      </c>
    </row>
    <row r="1578" spans="1:10" x14ac:dyDescent="0.3">
      <c r="A1578" t="s">
        <v>3664</v>
      </c>
      <c r="B1578" t="s">
        <v>25797</v>
      </c>
      <c r="C1578" t="s">
        <v>20486</v>
      </c>
      <c r="D1578" t="s">
        <v>22</v>
      </c>
      <c r="E1578" t="s">
        <v>3665</v>
      </c>
      <c r="F1578">
        <v>58</v>
      </c>
      <c r="G1578" t="s">
        <v>31</v>
      </c>
      <c r="H1578" t="s">
        <v>13</v>
      </c>
      <c r="I1578" t="s">
        <v>765</v>
      </c>
    </row>
    <row r="1579" spans="1:10" x14ac:dyDescent="0.3">
      <c r="A1579" t="s">
        <v>3666</v>
      </c>
      <c r="B1579" t="s">
        <v>25798</v>
      </c>
      <c r="C1579" t="s">
        <v>20486</v>
      </c>
      <c r="D1579" t="s">
        <v>11</v>
      </c>
      <c r="E1579" t="s">
        <v>3667</v>
      </c>
      <c r="F1579">
        <v>65</v>
      </c>
      <c r="G1579" t="s">
        <v>172</v>
      </c>
      <c r="H1579" t="s">
        <v>12099</v>
      </c>
    </row>
    <row r="1580" spans="1:10" x14ac:dyDescent="0.3">
      <c r="A1580" t="s">
        <v>3668</v>
      </c>
      <c r="B1580" t="s">
        <v>25799</v>
      </c>
      <c r="C1580" t="s">
        <v>20486</v>
      </c>
      <c r="D1580" t="s">
        <v>22</v>
      </c>
      <c r="E1580" t="s">
        <v>3669</v>
      </c>
      <c r="F1580">
        <v>48</v>
      </c>
      <c r="G1580" t="s">
        <v>133</v>
      </c>
      <c r="H1580" t="s">
        <v>9789</v>
      </c>
      <c r="J1580" t="s">
        <v>3670</v>
      </c>
    </row>
    <row r="1581" spans="1:10" x14ac:dyDescent="0.3">
      <c r="A1581" t="s">
        <v>3672</v>
      </c>
      <c r="B1581" t="s">
        <v>25800</v>
      </c>
      <c r="C1581" t="s">
        <v>20489</v>
      </c>
      <c r="D1581" t="s">
        <v>11</v>
      </c>
      <c r="E1581" t="s">
        <v>3673</v>
      </c>
      <c r="F1581">
        <v>47</v>
      </c>
      <c r="G1581" t="s">
        <v>243</v>
      </c>
      <c r="H1581" t="s">
        <v>243</v>
      </c>
    </row>
    <row r="1582" spans="1:10" x14ac:dyDescent="0.3">
      <c r="A1582" t="s">
        <v>3674</v>
      </c>
      <c r="B1582" t="s">
        <v>25801</v>
      </c>
      <c r="C1582" t="s">
        <v>20490</v>
      </c>
      <c r="D1582" t="s">
        <v>11</v>
      </c>
      <c r="E1582" t="s">
        <v>3675</v>
      </c>
      <c r="F1582">
        <v>61</v>
      </c>
      <c r="G1582" t="s">
        <v>133</v>
      </c>
      <c r="H1582" t="s">
        <v>9789</v>
      </c>
      <c r="J1582" t="s">
        <v>3676</v>
      </c>
    </row>
    <row r="1583" spans="1:10" x14ac:dyDescent="0.3">
      <c r="A1583" t="s">
        <v>3677</v>
      </c>
      <c r="B1583" t="s">
        <v>25802</v>
      </c>
      <c r="C1583" t="s">
        <v>20488</v>
      </c>
      <c r="D1583" t="s">
        <v>11</v>
      </c>
      <c r="E1583" t="s">
        <v>3678</v>
      </c>
      <c r="F1583">
        <v>46</v>
      </c>
      <c r="G1583" t="s">
        <v>46</v>
      </c>
      <c r="H1583" t="s">
        <v>46</v>
      </c>
      <c r="I1583" t="s">
        <v>3679</v>
      </c>
    </row>
    <row r="1584" spans="1:10" x14ac:dyDescent="0.3">
      <c r="A1584" t="s">
        <v>3680</v>
      </c>
      <c r="B1584" t="s">
        <v>25803</v>
      </c>
      <c r="C1584" t="s">
        <v>20486</v>
      </c>
      <c r="D1584" t="s">
        <v>11</v>
      </c>
      <c r="E1584" t="s">
        <v>3681</v>
      </c>
      <c r="F1584">
        <v>40</v>
      </c>
    </row>
    <row r="1585" spans="1:10" x14ac:dyDescent="0.3">
      <c r="A1585" t="s">
        <v>3682</v>
      </c>
      <c r="B1585" t="s">
        <v>25804</v>
      </c>
      <c r="C1585" t="s">
        <v>20491</v>
      </c>
      <c r="D1585" t="s">
        <v>22</v>
      </c>
      <c r="E1585" t="s">
        <v>3683</v>
      </c>
      <c r="F1585">
        <v>65</v>
      </c>
      <c r="G1585" t="s">
        <v>231</v>
      </c>
      <c r="H1585" t="s">
        <v>9788</v>
      </c>
      <c r="J1585" t="s">
        <v>3661</v>
      </c>
    </row>
    <row r="1586" spans="1:10" x14ac:dyDescent="0.3">
      <c r="A1586" t="s">
        <v>3684</v>
      </c>
      <c r="B1586" t="s">
        <v>25805</v>
      </c>
      <c r="C1586" t="s">
        <v>20487</v>
      </c>
      <c r="D1586" t="s">
        <v>11</v>
      </c>
      <c r="E1586" t="s">
        <v>3042</v>
      </c>
      <c r="F1586">
        <v>60</v>
      </c>
      <c r="G1586" t="s">
        <v>2055</v>
      </c>
      <c r="H1586" t="s">
        <v>9789</v>
      </c>
    </row>
    <row r="1587" spans="1:10" x14ac:dyDescent="0.3">
      <c r="A1587" t="s">
        <v>3685</v>
      </c>
      <c r="B1587" t="s">
        <v>25806</v>
      </c>
      <c r="C1587" t="s">
        <v>20486</v>
      </c>
      <c r="D1587" t="s">
        <v>22</v>
      </c>
      <c r="E1587" t="s">
        <v>3686</v>
      </c>
      <c r="F1587">
        <v>32</v>
      </c>
      <c r="G1587" t="s">
        <v>109</v>
      </c>
      <c r="H1587" t="s">
        <v>9788</v>
      </c>
      <c r="I1587" t="s">
        <v>3687</v>
      </c>
      <c r="J1587" t="s">
        <v>3688</v>
      </c>
    </row>
    <row r="1588" spans="1:10" x14ac:dyDescent="0.3">
      <c r="A1588" t="s">
        <v>3689</v>
      </c>
      <c r="B1588" t="s">
        <v>25807</v>
      </c>
      <c r="C1588" t="s">
        <v>20488</v>
      </c>
      <c r="D1588" t="s">
        <v>11</v>
      </c>
      <c r="E1588" t="s">
        <v>181</v>
      </c>
      <c r="F1588">
        <v>64</v>
      </c>
      <c r="G1588" t="s">
        <v>1226</v>
      </c>
      <c r="H1588" t="s">
        <v>9791</v>
      </c>
      <c r="I1588" t="s">
        <v>1227</v>
      </c>
    </row>
    <row r="1589" spans="1:10" x14ac:dyDescent="0.3">
      <c r="A1589" t="s">
        <v>3690</v>
      </c>
      <c r="B1589" t="s">
        <v>25808</v>
      </c>
      <c r="C1589" t="s">
        <v>20488</v>
      </c>
      <c r="D1589" t="s">
        <v>22</v>
      </c>
      <c r="E1589" t="s">
        <v>3691</v>
      </c>
      <c r="F1589">
        <v>24</v>
      </c>
      <c r="G1589" t="s">
        <v>337</v>
      </c>
      <c r="H1589" t="s">
        <v>337</v>
      </c>
    </row>
    <row r="1590" spans="1:10" x14ac:dyDescent="0.3">
      <c r="A1590" t="s">
        <v>3692</v>
      </c>
      <c r="B1590" t="s">
        <v>25809</v>
      </c>
      <c r="C1590" t="s">
        <v>20487</v>
      </c>
      <c r="D1590" t="s">
        <v>11</v>
      </c>
      <c r="E1590" t="s">
        <v>3693</v>
      </c>
      <c r="F1590">
        <v>64</v>
      </c>
      <c r="G1590" t="s">
        <v>16</v>
      </c>
      <c r="H1590" t="s">
        <v>9785</v>
      </c>
      <c r="J1590" t="s">
        <v>463</v>
      </c>
    </row>
    <row r="1591" spans="1:10" x14ac:dyDescent="0.3">
      <c r="A1591" t="s">
        <v>3694</v>
      </c>
      <c r="B1591" t="s">
        <v>25810</v>
      </c>
      <c r="C1591" t="s">
        <v>20488</v>
      </c>
      <c r="D1591" t="s">
        <v>22</v>
      </c>
      <c r="E1591" t="s">
        <v>3695</v>
      </c>
      <c r="F1591">
        <v>34</v>
      </c>
      <c r="G1591" t="s">
        <v>109</v>
      </c>
      <c r="H1591" t="s">
        <v>9788</v>
      </c>
    </row>
    <row r="1592" spans="1:10" x14ac:dyDescent="0.3">
      <c r="A1592" t="s">
        <v>3696</v>
      </c>
      <c r="B1592" t="s">
        <v>25811</v>
      </c>
      <c r="C1592" t="s">
        <v>20486</v>
      </c>
      <c r="D1592" t="s">
        <v>22</v>
      </c>
      <c r="E1592" t="s">
        <v>3697</v>
      </c>
      <c r="F1592">
        <v>59</v>
      </c>
      <c r="G1592" t="s">
        <v>384</v>
      </c>
    </row>
    <row r="1593" spans="1:10" x14ac:dyDescent="0.3">
      <c r="A1593" t="s">
        <v>3698</v>
      </c>
      <c r="B1593" t="s">
        <v>25812</v>
      </c>
      <c r="C1593" t="s">
        <v>20487</v>
      </c>
      <c r="D1593" t="s">
        <v>22</v>
      </c>
      <c r="E1593" t="s">
        <v>3699</v>
      </c>
      <c r="F1593">
        <v>46</v>
      </c>
      <c r="G1593" t="s">
        <v>46</v>
      </c>
      <c r="H1593" t="s">
        <v>46</v>
      </c>
      <c r="J1593" t="s">
        <v>1514</v>
      </c>
    </row>
    <row r="1594" spans="1:10" x14ac:dyDescent="0.3">
      <c r="A1594" t="s">
        <v>3700</v>
      </c>
      <c r="B1594" t="s">
        <v>25813</v>
      </c>
      <c r="C1594" t="s">
        <v>20488</v>
      </c>
      <c r="D1594" t="s">
        <v>11</v>
      </c>
      <c r="E1594" t="s">
        <v>3701</v>
      </c>
      <c r="F1594">
        <v>50</v>
      </c>
      <c r="G1594" t="s">
        <v>46</v>
      </c>
      <c r="H1594" t="s">
        <v>46</v>
      </c>
    </row>
    <row r="1595" spans="1:10" x14ac:dyDescent="0.3">
      <c r="A1595" t="s">
        <v>3702</v>
      </c>
      <c r="B1595" t="s">
        <v>25814</v>
      </c>
      <c r="C1595" t="s">
        <v>20486</v>
      </c>
      <c r="D1595" t="s">
        <v>22</v>
      </c>
      <c r="E1595" t="s">
        <v>3703</v>
      </c>
      <c r="F1595">
        <v>35</v>
      </c>
      <c r="G1595" t="s">
        <v>109</v>
      </c>
      <c r="H1595" t="s">
        <v>12065</v>
      </c>
      <c r="I1595" t="s">
        <v>18817</v>
      </c>
      <c r="J1595" t="s">
        <v>12271</v>
      </c>
    </row>
    <row r="1596" spans="1:10" x14ac:dyDescent="0.3">
      <c r="A1596" t="s">
        <v>3704</v>
      </c>
      <c r="B1596" t="s">
        <v>25815</v>
      </c>
      <c r="C1596" t="s">
        <v>20486</v>
      </c>
      <c r="D1596" t="s">
        <v>11</v>
      </c>
      <c r="E1596" t="s">
        <v>3705</v>
      </c>
      <c r="F1596">
        <v>56</v>
      </c>
      <c r="G1596" t="s">
        <v>46</v>
      </c>
      <c r="H1596" t="s">
        <v>46</v>
      </c>
    </row>
    <row r="1597" spans="1:10" x14ac:dyDescent="0.3">
      <c r="A1597" t="s">
        <v>3706</v>
      </c>
      <c r="B1597" t="s">
        <v>25816</v>
      </c>
      <c r="C1597" t="s">
        <v>20490</v>
      </c>
      <c r="D1597" t="s">
        <v>22</v>
      </c>
      <c r="E1597" t="s">
        <v>1761</v>
      </c>
      <c r="F1597">
        <v>69</v>
      </c>
      <c r="G1597" t="s">
        <v>13</v>
      </c>
      <c r="H1597" t="s">
        <v>13</v>
      </c>
      <c r="I1597" t="s">
        <v>441</v>
      </c>
    </row>
    <row r="1598" spans="1:10" x14ac:dyDescent="0.3">
      <c r="A1598" t="s">
        <v>12272</v>
      </c>
      <c r="B1598" t="s">
        <v>25817</v>
      </c>
      <c r="C1598" t="s">
        <v>20486</v>
      </c>
      <c r="D1598" t="s">
        <v>22</v>
      </c>
      <c r="E1598" t="s">
        <v>9708</v>
      </c>
      <c r="F1598">
        <v>16</v>
      </c>
      <c r="G1598" t="s">
        <v>109</v>
      </c>
      <c r="H1598" t="s">
        <v>9788</v>
      </c>
    </row>
    <row r="1599" spans="1:10" x14ac:dyDescent="0.3">
      <c r="A1599" t="s">
        <v>3707</v>
      </c>
      <c r="B1599" t="s">
        <v>25818</v>
      </c>
      <c r="C1599" t="s">
        <v>20486</v>
      </c>
      <c r="D1599" t="s">
        <v>11</v>
      </c>
      <c r="E1599" t="s">
        <v>3708</v>
      </c>
      <c r="F1599">
        <v>39</v>
      </c>
      <c r="G1599" t="s">
        <v>109</v>
      </c>
      <c r="H1599" t="s">
        <v>9788</v>
      </c>
      <c r="J1599" t="s">
        <v>1632</v>
      </c>
    </row>
    <row r="1600" spans="1:10" x14ac:dyDescent="0.3">
      <c r="A1600" t="s">
        <v>3710</v>
      </c>
      <c r="B1600" t="s">
        <v>25819</v>
      </c>
      <c r="C1600" t="s">
        <v>20486</v>
      </c>
      <c r="D1600" t="s">
        <v>11</v>
      </c>
      <c r="E1600" t="s">
        <v>3711</v>
      </c>
      <c r="F1600">
        <v>44</v>
      </c>
      <c r="G1600" t="s">
        <v>384</v>
      </c>
    </row>
    <row r="1601" spans="1:10" x14ac:dyDescent="0.3">
      <c r="A1601" t="s">
        <v>3712</v>
      </c>
      <c r="B1601" t="s">
        <v>25820</v>
      </c>
      <c r="C1601" t="s">
        <v>20487</v>
      </c>
      <c r="D1601" t="s">
        <v>11</v>
      </c>
      <c r="E1601" t="s">
        <v>3713</v>
      </c>
      <c r="F1601">
        <v>94</v>
      </c>
      <c r="G1601" t="s">
        <v>201</v>
      </c>
      <c r="H1601" t="s">
        <v>46</v>
      </c>
      <c r="J1601" t="s">
        <v>3714</v>
      </c>
    </row>
    <row r="1602" spans="1:10" x14ac:dyDescent="0.3">
      <c r="A1602" t="s">
        <v>3715</v>
      </c>
      <c r="B1602" t="s">
        <v>25821</v>
      </c>
      <c r="C1602" t="s">
        <v>20486</v>
      </c>
      <c r="D1602" t="s">
        <v>22</v>
      </c>
      <c r="E1602" t="s">
        <v>3716</v>
      </c>
      <c r="F1602">
        <v>64</v>
      </c>
      <c r="G1602" t="s">
        <v>13</v>
      </c>
      <c r="H1602" t="s">
        <v>13</v>
      </c>
    </row>
    <row r="1603" spans="1:10" x14ac:dyDescent="0.3">
      <c r="A1603" t="s">
        <v>3717</v>
      </c>
      <c r="B1603" t="s">
        <v>25822</v>
      </c>
      <c r="C1603" t="s">
        <v>20487</v>
      </c>
      <c r="D1603" t="s">
        <v>22</v>
      </c>
      <c r="E1603" t="s">
        <v>3718</v>
      </c>
      <c r="F1603">
        <v>38</v>
      </c>
      <c r="G1603" t="s">
        <v>16</v>
      </c>
      <c r="H1603" t="s">
        <v>9785</v>
      </c>
      <c r="J1603" t="s">
        <v>3719</v>
      </c>
    </row>
    <row r="1604" spans="1:10" x14ac:dyDescent="0.3">
      <c r="A1604" t="s">
        <v>3720</v>
      </c>
      <c r="B1604" t="s">
        <v>25823</v>
      </c>
      <c r="C1604" t="s">
        <v>20489</v>
      </c>
      <c r="D1604" t="s">
        <v>11</v>
      </c>
      <c r="E1604" t="s">
        <v>3721</v>
      </c>
      <c r="F1604">
        <v>21</v>
      </c>
      <c r="G1604" t="s">
        <v>243</v>
      </c>
      <c r="H1604" t="s">
        <v>243</v>
      </c>
    </row>
    <row r="1605" spans="1:10" x14ac:dyDescent="0.3">
      <c r="A1605" t="s">
        <v>3722</v>
      </c>
      <c r="B1605" t="s">
        <v>25824</v>
      </c>
      <c r="C1605" t="s">
        <v>20486</v>
      </c>
      <c r="D1605" t="s">
        <v>11</v>
      </c>
      <c r="E1605" t="s">
        <v>3723</v>
      </c>
      <c r="F1605">
        <v>45</v>
      </c>
      <c r="G1605" t="s">
        <v>133</v>
      </c>
      <c r="H1605" t="s">
        <v>9789</v>
      </c>
      <c r="I1605" t="s">
        <v>923</v>
      </c>
      <c r="J1605" t="s">
        <v>3724</v>
      </c>
    </row>
    <row r="1606" spans="1:10" x14ac:dyDescent="0.3">
      <c r="A1606" t="s">
        <v>12273</v>
      </c>
      <c r="B1606" t="s">
        <v>25825</v>
      </c>
      <c r="C1606" t="s">
        <v>20487</v>
      </c>
      <c r="D1606" t="s">
        <v>22</v>
      </c>
      <c r="E1606" t="s">
        <v>9707</v>
      </c>
      <c r="F1606">
        <v>30</v>
      </c>
    </row>
    <row r="1607" spans="1:10" x14ac:dyDescent="0.3">
      <c r="A1607" t="s">
        <v>3725</v>
      </c>
      <c r="B1607" t="s">
        <v>25826</v>
      </c>
      <c r="C1607" t="s">
        <v>20486</v>
      </c>
      <c r="D1607" t="s">
        <v>11</v>
      </c>
      <c r="E1607" t="s">
        <v>3726</v>
      </c>
      <c r="F1607">
        <v>36</v>
      </c>
      <c r="G1607" t="s">
        <v>384</v>
      </c>
    </row>
    <row r="1608" spans="1:10" x14ac:dyDescent="0.3">
      <c r="A1608" t="s">
        <v>3727</v>
      </c>
      <c r="B1608" t="s">
        <v>25827</v>
      </c>
      <c r="C1608" t="s">
        <v>20486</v>
      </c>
      <c r="D1608" t="s">
        <v>22</v>
      </c>
      <c r="E1608" t="s">
        <v>15</v>
      </c>
      <c r="F1608">
        <v>60</v>
      </c>
    </row>
    <row r="1609" spans="1:10" x14ac:dyDescent="0.3">
      <c r="A1609" t="s">
        <v>3728</v>
      </c>
      <c r="B1609" t="s">
        <v>25828</v>
      </c>
      <c r="C1609" t="s">
        <v>20486</v>
      </c>
      <c r="D1609" t="s">
        <v>22</v>
      </c>
      <c r="E1609" t="s">
        <v>3729</v>
      </c>
      <c r="F1609">
        <v>59</v>
      </c>
      <c r="G1609" t="s">
        <v>155</v>
      </c>
      <c r="H1609" t="s">
        <v>9791</v>
      </c>
      <c r="I1609" t="s">
        <v>17</v>
      </c>
      <c r="J1609" t="s">
        <v>67</v>
      </c>
    </row>
    <row r="1610" spans="1:10" x14ac:dyDescent="0.3">
      <c r="A1610" t="s">
        <v>3730</v>
      </c>
      <c r="B1610" t="s">
        <v>25829</v>
      </c>
      <c r="C1610" t="s">
        <v>20486</v>
      </c>
      <c r="D1610" t="s">
        <v>22</v>
      </c>
      <c r="E1610" t="s">
        <v>3731</v>
      </c>
      <c r="F1610">
        <v>50</v>
      </c>
      <c r="G1610" t="s">
        <v>31</v>
      </c>
      <c r="H1610" t="s">
        <v>31</v>
      </c>
    </row>
    <row r="1611" spans="1:10" x14ac:dyDescent="0.3">
      <c r="A1611" t="s">
        <v>3732</v>
      </c>
      <c r="B1611" t="s">
        <v>25830</v>
      </c>
      <c r="C1611" t="s">
        <v>20491</v>
      </c>
      <c r="D1611" t="s">
        <v>11</v>
      </c>
      <c r="E1611" t="s">
        <v>3733</v>
      </c>
      <c r="F1611">
        <v>40</v>
      </c>
      <c r="G1611" t="s">
        <v>109</v>
      </c>
      <c r="H1611" t="s">
        <v>9788</v>
      </c>
      <c r="I1611" t="s">
        <v>3734</v>
      </c>
      <c r="J1611" t="s">
        <v>3735</v>
      </c>
    </row>
    <row r="1612" spans="1:10" x14ac:dyDescent="0.3">
      <c r="A1612" t="s">
        <v>3736</v>
      </c>
      <c r="B1612" t="s">
        <v>25831</v>
      </c>
      <c r="C1612" t="s">
        <v>20486</v>
      </c>
      <c r="D1612" t="s">
        <v>11</v>
      </c>
      <c r="E1612" t="s">
        <v>3737</v>
      </c>
      <c r="F1612">
        <v>44</v>
      </c>
      <c r="G1612" t="s">
        <v>88</v>
      </c>
      <c r="H1612" t="s">
        <v>12065</v>
      </c>
      <c r="I1612" t="s">
        <v>3738</v>
      </c>
      <c r="J1612" t="s">
        <v>3739</v>
      </c>
    </row>
    <row r="1613" spans="1:10" x14ac:dyDescent="0.3">
      <c r="A1613" t="s">
        <v>3740</v>
      </c>
      <c r="B1613" t="s">
        <v>25832</v>
      </c>
      <c r="C1613" t="s">
        <v>20487</v>
      </c>
      <c r="D1613" t="s">
        <v>22</v>
      </c>
      <c r="E1613" t="s">
        <v>3741</v>
      </c>
      <c r="F1613">
        <v>45</v>
      </c>
      <c r="G1613" t="s">
        <v>172</v>
      </c>
      <c r="H1613" t="s">
        <v>9785</v>
      </c>
      <c r="I1613" t="s">
        <v>441</v>
      </c>
      <c r="J1613" t="s">
        <v>3742</v>
      </c>
    </row>
    <row r="1614" spans="1:10" x14ac:dyDescent="0.3">
      <c r="A1614" t="s">
        <v>3743</v>
      </c>
      <c r="B1614" t="s">
        <v>25833</v>
      </c>
      <c r="C1614" t="s">
        <v>20486</v>
      </c>
      <c r="D1614" t="s">
        <v>22</v>
      </c>
      <c r="E1614" t="s">
        <v>3744</v>
      </c>
      <c r="F1614">
        <v>49</v>
      </c>
      <c r="G1614" t="s">
        <v>46</v>
      </c>
      <c r="H1614" t="s">
        <v>46</v>
      </c>
      <c r="I1614" t="s">
        <v>228</v>
      </c>
      <c r="J1614" t="s">
        <v>3745</v>
      </c>
    </row>
    <row r="1615" spans="1:10" x14ac:dyDescent="0.3">
      <c r="A1615" t="s">
        <v>3746</v>
      </c>
      <c r="B1615" t="s">
        <v>25834</v>
      </c>
      <c r="C1615" t="s">
        <v>20487</v>
      </c>
      <c r="D1615" t="s">
        <v>22</v>
      </c>
      <c r="E1615" t="s">
        <v>3747</v>
      </c>
      <c r="F1615">
        <v>71</v>
      </c>
    </row>
    <row r="1616" spans="1:10" x14ac:dyDescent="0.3">
      <c r="A1616" t="s">
        <v>3748</v>
      </c>
      <c r="B1616" t="s">
        <v>25835</v>
      </c>
      <c r="C1616" t="s">
        <v>20486</v>
      </c>
      <c r="D1616" t="s">
        <v>11</v>
      </c>
      <c r="E1616" t="s">
        <v>3749</v>
      </c>
      <c r="F1616">
        <v>75</v>
      </c>
      <c r="G1616" t="s">
        <v>13</v>
      </c>
      <c r="H1616" t="s">
        <v>13</v>
      </c>
    </row>
    <row r="1617" spans="1:10" x14ac:dyDescent="0.3">
      <c r="A1617" t="s">
        <v>3750</v>
      </c>
      <c r="B1617" t="s">
        <v>25836</v>
      </c>
      <c r="C1617" t="s">
        <v>20486</v>
      </c>
      <c r="D1617" t="s">
        <v>22</v>
      </c>
      <c r="E1617" t="s">
        <v>3751</v>
      </c>
      <c r="F1617">
        <v>23</v>
      </c>
      <c r="G1617" t="s">
        <v>337</v>
      </c>
      <c r="H1617" t="s">
        <v>337</v>
      </c>
    </row>
    <row r="1618" spans="1:10" x14ac:dyDescent="0.3">
      <c r="A1618" t="s">
        <v>3752</v>
      </c>
      <c r="B1618" t="s">
        <v>25837</v>
      </c>
      <c r="C1618" t="s">
        <v>20486</v>
      </c>
      <c r="D1618" t="s">
        <v>22</v>
      </c>
      <c r="E1618" t="s">
        <v>3753</v>
      </c>
      <c r="F1618">
        <v>60</v>
      </c>
      <c r="G1618" t="s">
        <v>31</v>
      </c>
      <c r="H1618" t="s">
        <v>31</v>
      </c>
    </row>
    <row r="1619" spans="1:10" x14ac:dyDescent="0.3">
      <c r="A1619" t="s">
        <v>3754</v>
      </c>
      <c r="B1619" t="s">
        <v>25838</v>
      </c>
      <c r="C1619" t="s">
        <v>20491</v>
      </c>
      <c r="D1619" t="s">
        <v>22</v>
      </c>
      <c r="E1619" t="s">
        <v>3755</v>
      </c>
      <c r="F1619">
        <v>39</v>
      </c>
      <c r="G1619" t="s">
        <v>231</v>
      </c>
      <c r="H1619" t="s">
        <v>9788</v>
      </c>
      <c r="J1619" t="s">
        <v>3756</v>
      </c>
    </row>
    <row r="1620" spans="1:10" x14ac:dyDescent="0.3">
      <c r="A1620" t="s">
        <v>3757</v>
      </c>
      <c r="B1620" t="s">
        <v>25839</v>
      </c>
      <c r="C1620" t="s">
        <v>20490</v>
      </c>
      <c r="D1620" t="s">
        <v>11</v>
      </c>
      <c r="E1620" t="s">
        <v>3758</v>
      </c>
      <c r="F1620">
        <v>54</v>
      </c>
      <c r="G1620" t="s">
        <v>109</v>
      </c>
      <c r="H1620" t="s">
        <v>9788</v>
      </c>
      <c r="I1620" t="s">
        <v>3759</v>
      </c>
      <c r="J1620" t="s">
        <v>1302</v>
      </c>
    </row>
    <row r="1621" spans="1:10" x14ac:dyDescent="0.3">
      <c r="A1621" t="s">
        <v>3760</v>
      </c>
      <c r="B1621" t="s">
        <v>25840</v>
      </c>
      <c r="C1621" t="s">
        <v>20487</v>
      </c>
      <c r="D1621" t="s">
        <v>11</v>
      </c>
      <c r="E1621" t="s">
        <v>3585</v>
      </c>
      <c r="F1621">
        <v>56</v>
      </c>
      <c r="G1621" t="s">
        <v>201</v>
      </c>
      <c r="H1621" t="s">
        <v>46</v>
      </c>
    </row>
    <row r="1622" spans="1:10" x14ac:dyDescent="0.3">
      <c r="A1622" t="s">
        <v>3761</v>
      </c>
      <c r="B1622" t="s">
        <v>25841</v>
      </c>
      <c r="C1622" t="s">
        <v>20486</v>
      </c>
      <c r="D1622" t="s">
        <v>22</v>
      </c>
      <c r="E1622" t="s">
        <v>3762</v>
      </c>
      <c r="F1622">
        <v>43</v>
      </c>
      <c r="G1622" t="s">
        <v>31</v>
      </c>
      <c r="H1622" t="s">
        <v>31</v>
      </c>
      <c r="I1622" t="s">
        <v>3763</v>
      </c>
      <c r="J1622" t="s">
        <v>33</v>
      </c>
    </row>
    <row r="1623" spans="1:10" x14ac:dyDescent="0.3">
      <c r="A1623" t="s">
        <v>12274</v>
      </c>
      <c r="B1623" t="s">
        <v>25842</v>
      </c>
      <c r="C1623" t="s">
        <v>20486</v>
      </c>
      <c r="D1623" t="s">
        <v>22</v>
      </c>
      <c r="E1623" t="s">
        <v>9706</v>
      </c>
      <c r="F1623">
        <v>26</v>
      </c>
      <c r="G1623" t="s">
        <v>337</v>
      </c>
      <c r="H1623" t="s">
        <v>9788</v>
      </c>
      <c r="J1623" t="s">
        <v>9705</v>
      </c>
    </row>
    <row r="1624" spans="1:10" x14ac:dyDescent="0.3">
      <c r="A1624" t="s">
        <v>3764</v>
      </c>
      <c r="B1624" t="s">
        <v>25843</v>
      </c>
      <c r="C1624" t="s">
        <v>20490</v>
      </c>
      <c r="D1624" t="s">
        <v>22</v>
      </c>
      <c r="E1624" t="s">
        <v>3765</v>
      </c>
      <c r="F1624">
        <v>48</v>
      </c>
      <c r="G1624" t="s">
        <v>370</v>
      </c>
      <c r="H1624" t="s">
        <v>46</v>
      </c>
      <c r="I1624" t="s">
        <v>3766</v>
      </c>
    </row>
    <row r="1625" spans="1:10" x14ac:dyDescent="0.3">
      <c r="A1625" t="s">
        <v>3767</v>
      </c>
      <c r="B1625" t="s">
        <v>25844</v>
      </c>
      <c r="C1625" t="s">
        <v>20486</v>
      </c>
      <c r="D1625" t="s">
        <v>11</v>
      </c>
      <c r="E1625" t="s">
        <v>3768</v>
      </c>
      <c r="F1625">
        <v>63</v>
      </c>
      <c r="G1625" t="s">
        <v>370</v>
      </c>
      <c r="H1625" t="s">
        <v>46</v>
      </c>
    </row>
    <row r="1626" spans="1:10" x14ac:dyDescent="0.3">
      <c r="A1626" t="s">
        <v>3769</v>
      </c>
      <c r="B1626" t="s">
        <v>25845</v>
      </c>
      <c r="C1626" t="s">
        <v>20491</v>
      </c>
      <c r="D1626" t="s">
        <v>22</v>
      </c>
      <c r="E1626" t="s">
        <v>3770</v>
      </c>
      <c r="F1626">
        <v>45</v>
      </c>
      <c r="G1626" t="s">
        <v>231</v>
      </c>
      <c r="H1626" t="s">
        <v>9788</v>
      </c>
    </row>
    <row r="1627" spans="1:10" x14ac:dyDescent="0.3">
      <c r="A1627" t="s">
        <v>3771</v>
      </c>
      <c r="B1627" t="s">
        <v>25846</v>
      </c>
      <c r="C1627" t="s">
        <v>20487</v>
      </c>
      <c r="D1627" t="s">
        <v>22</v>
      </c>
      <c r="E1627" t="s">
        <v>3772</v>
      </c>
      <c r="F1627">
        <v>38</v>
      </c>
      <c r="G1627" t="s">
        <v>16</v>
      </c>
      <c r="H1627" t="s">
        <v>9785</v>
      </c>
      <c r="I1627" t="s">
        <v>17</v>
      </c>
      <c r="J1627" t="s">
        <v>3773</v>
      </c>
    </row>
    <row r="1628" spans="1:10" x14ac:dyDescent="0.3">
      <c r="A1628" t="s">
        <v>3774</v>
      </c>
      <c r="B1628" t="s">
        <v>25847</v>
      </c>
      <c r="C1628" t="s">
        <v>20490</v>
      </c>
      <c r="D1628" t="s">
        <v>11</v>
      </c>
      <c r="E1628" t="s">
        <v>1136</v>
      </c>
      <c r="F1628">
        <v>45</v>
      </c>
      <c r="G1628" t="s">
        <v>109</v>
      </c>
      <c r="H1628" t="s">
        <v>9788</v>
      </c>
      <c r="J1628" t="s">
        <v>1302</v>
      </c>
    </row>
    <row r="1629" spans="1:10" x14ac:dyDescent="0.3">
      <c r="A1629" t="s">
        <v>3775</v>
      </c>
      <c r="B1629" t="s">
        <v>25848</v>
      </c>
      <c r="C1629" t="s">
        <v>20486</v>
      </c>
      <c r="D1629" t="s">
        <v>11</v>
      </c>
      <c r="E1629" t="s">
        <v>3776</v>
      </c>
      <c r="F1629">
        <v>34</v>
      </c>
      <c r="G1629" t="s">
        <v>540</v>
      </c>
      <c r="H1629" t="s">
        <v>12074</v>
      </c>
      <c r="I1629" t="s">
        <v>1269</v>
      </c>
      <c r="J1629" t="s">
        <v>1269</v>
      </c>
    </row>
    <row r="1630" spans="1:10" x14ac:dyDescent="0.3">
      <c r="A1630" t="s">
        <v>3777</v>
      </c>
      <c r="B1630" t="s">
        <v>25849</v>
      </c>
      <c r="C1630" t="s">
        <v>20487</v>
      </c>
      <c r="D1630" t="s">
        <v>22</v>
      </c>
      <c r="E1630" t="s">
        <v>3778</v>
      </c>
      <c r="F1630">
        <v>34</v>
      </c>
    </row>
    <row r="1631" spans="1:10" x14ac:dyDescent="0.3">
      <c r="A1631" t="s">
        <v>3779</v>
      </c>
      <c r="B1631" t="s">
        <v>25850</v>
      </c>
      <c r="C1631" t="s">
        <v>20488</v>
      </c>
      <c r="D1631" t="s">
        <v>11</v>
      </c>
      <c r="E1631" t="s">
        <v>3780</v>
      </c>
      <c r="F1631">
        <v>38</v>
      </c>
      <c r="G1631" t="s">
        <v>109</v>
      </c>
      <c r="H1631" t="s">
        <v>9788</v>
      </c>
      <c r="I1631" t="s">
        <v>222</v>
      </c>
    </row>
    <row r="1632" spans="1:10" x14ac:dyDescent="0.3">
      <c r="A1632" t="s">
        <v>3781</v>
      </c>
      <c r="B1632" t="s">
        <v>25851</v>
      </c>
      <c r="C1632" t="s">
        <v>20486</v>
      </c>
      <c r="D1632" t="s">
        <v>22</v>
      </c>
      <c r="E1632" t="s">
        <v>3219</v>
      </c>
      <c r="F1632">
        <v>42</v>
      </c>
      <c r="G1632" t="s">
        <v>16</v>
      </c>
      <c r="H1632" t="s">
        <v>9785</v>
      </c>
      <c r="I1632" t="s">
        <v>17</v>
      </c>
      <c r="J1632" t="s">
        <v>3782</v>
      </c>
    </row>
    <row r="1633" spans="1:10" x14ac:dyDescent="0.3">
      <c r="A1633" t="s">
        <v>3783</v>
      </c>
      <c r="B1633" t="s">
        <v>25852</v>
      </c>
      <c r="C1633" t="s">
        <v>20487</v>
      </c>
      <c r="D1633" t="s">
        <v>22</v>
      </c>
      <c r="E1633" t="s">
        <v>3784</v>
      </c>
      <c r="F1633">
        <v>59</v>
      </c>
      <c r="G1633" t="s">
        <v>46</v>
      </c>
      <c r="H1633" t="s">
        <v>46</v>
      </c>
      <c r="J1633" t="s">
        <v>1260</v>
      </c>
    </row>
    <row r="1634" spans="1:10" x14ac:dyDescent="0.3">
      <c r="A1634" t="s">
        <v>3785</v>
      </c>
      <c r="B1634" t="s">
        <v>25853</v>
      </c>
      <c r="C1634" t="s">
        <v>20488</v>
      </c>
      <c r="D1634" t="s">
        <v>22</v>
      </c>
      <c r="E1634" t="s">
        <v>3786</v>
      </c>
      <c r="F1634">
        <v>40</v>
      </c>
      <c r="G1634" t="s">
        <v>109</v>
      </c>
      <c r="H1634" t="s">
        <v>9788</v>
      </c>
    </row>
    <row r="1635" spans="1:10" x14ac:dyDescent="0.3">
      <c r="A1635" t="s">
        <v>3787</v>
      </c>
      <c r="B1635" t="s">
        <v>25854</v>
      </c>
      <c r="C1635" t="s">
        <v>20486</v>
      </c>
      <c r="D1635" t="s">
        <v>11</v>
      </c>
      <c r="E1635" t="s">
        <v>3788</v>
      </c>
      <c r="F1635">
        <v>48</v>
      </c>
      <c r="G1635" t="s">
        <v>1992</v>
      </c>
      <c r="H1635" t="s">
        <v>9791</v>
      </c>
    </row>
    <row r="1636" spans="1:10" x14ac:dyDescent="0.3">
      <c r="A1636" t="s">
        <v>3789</v>
      </c>
      <c r="B1636" t="s">
        <v>25855</v>
      </c>
      <c r="C1636" t="s">
        <v>20487</v>
      </c>
      <c r="D1636" t="s">
        <v>22</v>
      </c>
      <c r="E1636" t="s">
        <v>3790</v>
      </c>
      <c r="F1636">
        <v>51</v>
      </c>
      <c r="G1636" t="s">
        <v>46</v>
      </c>
      <c r="H1636" t="s">
        <v>46</v>
      </c>
      <c r="J1636" t="s">
        <v>1260</v>
      </c>
    </row>
    <row r="1637" spans="1:10" x14ac:dyDescent="0.3">
      <c r="A1637" t="s">
        <v>3791</v>
      </c>
      <c r="B1637" t="s">
        <v>25856</v>
      </c>
      <c r="C1637" t="s">
        <v>20486</v>
      </c>
      <c r="D1637" t="s">
        <v>22</v>
      </c>
      <c r="E1637" t="s">
        <v>3792</v>
      </c>
      <c r="F1637">
        <v>36</v>
      </c>
      <c r="G1637" t="s">
        <v>109</v>
      </c>
      <c r="H1637" t="s">
        <v>9788</v>
      </c>
      <c r="I1637" t="s">
        <v>3793</v>
      </c>
      <c r="J1637" t="s">
        <v>3793</v>
      </c>
    </row>
    <row r="1638" spans="1:10" x14ac:dyDescent="0.3">
      <c r="A1638" t="s">
        <v>3794</v>
      </c>
      <c r="B1638" t="s">
        <v>25857</v>
      </c>
      <c r="C1638" t="s">
        <v>20486</v>
      </c>
      <c r="D1638" t="s">
        <v>22</v>
      </c>
      <c r="E1638" t="s">
        <v>3795</v>
      </c>
      <c r="F1638">
        <v>73</v>
      </c>
      <c r="G1638" t="s">
        <v>13</v>
      </c>
      <c r="H1638" t="s">
        <v>13</v>
      </c>
    </row>
    <row r="1639" spans="1:10" x14ac:dyDescent="0.3">
      <c r="A1639" t="s">
        <v>3796</v>
      </c>
      <c r="B1639" t="s">
        <v>25858</v>
      </c>
      <c r="C1639" t="s">
        <v>20486</v>
      </c>
      <c r="D1639" t="s">
        <v>11</v>
      </c>
      <c r="E1639" t="s">
        <v>3797</v>
      </c>
      <c r="F1639">
        <v>83</v>
      </c>
      <c r="G1639" t="s">
        <v>46</v>
      </c>
      <c r="H1639" t="s">
        <v>46</v>
      </c>
      <c r="I1639" t="s">
        <v>3798</v>
      </c>
      <c r="J1639" t="s">
        <v>3103</v>
      </c>
    </row>
    <row r="1640" spans="1:10" x14ac:dyDescent="0.3">
      <c r="A1640" t="s">
        <v>3799</v>
      </c>
      <c r="B1640" t="s">
        <v>25859</v>
      </c>
      <c r="C1640" t="s">
        <v>20488</v>
      </c>
      <c r="D1640" t="s">
        <v>11</v>
      </c>
      <c r="E1640" t="s">
        <v>3800</v>
      </c>
      <c r="F1640">
        <v>39</v>
      </c>
      <c r="G1640" t="s">
        <v>109</v>
      </c>
      <c r="H1640" t="s">
        <v>9788</v>
      </c>
      <c r="I1640" t="s">
        <v>3801</v>
      </c>
      <c r="J1640" t="s">
        <v>3802</v>
      </c>
    </row>
    <row r="1641" spans="1:10" x14ac:dyDescent="0.3">
      <c r="A1641" t="s">
        <v>3803</v>
      </c>
      <c r="B1641" t="s">
        <v>25860</v>
      </c>
      <c r="C1641" t="s">
        <v>20487</v>
      </c>
      <c r="D1641" t="s">
        <v>11</v>
      </c>
      <c r="E1641" t="s">
        <v>3585</v>
      </c>
      <c r="F1641">
        <v>56</v>
      </c>
    </row>
    <row r="1642" spans="1:10" x14ac:dyDescent="0.3">
      <c r="A1642" t="s">
        <v>3804</v>
      </c>
      <c r="B1642" t="s">
        <v>25861</v>
      </c>
      <c r="C1642" t="s">
        <v>20486</v>
      </c>
      <c r="D1642" t="s">
        <v>11</v>
      </c>
      <c r="E1642" t="s">
        <v>3805</v>
      </c>
      <c r="F1642">
        <v>45</v>
      </c>
      <c r="G1642" t="s">
        <v>109</v>
      </c>
      <c r="H1642" t="s">
        <v>9788</v>
      </c>
    </row>
    <row r="1643" spans="1:10" x14ac:dyDescent="0.3">
      <c r="A1643" t="s">
        <v>3806</v>
      </c>
      <c r="B1643" t="s">
        <v>25862</v>
      </c>
      <c r="C1643" t="s">
        <v>20486</v>
      </c>
      <c r="D1643" t="s">
        <v>11</v>
      </c>
      <c r="E1643" t="s">
        <v>3807</v>
      </c>
      <c r="F1643">
        <v>42</v>
      </c>
      <c r="G1643" t="s">
        <v>109</v>
      </c>
      <c r="H1643" t="s">
        <v>9788</v>
      </c>
      <c r="I1643" t="s">
        <v>971</v>
      </c>
      <c r="J1643" t="s">
        <v>225</v>
      </c>
    </row>
    <row r="1644" spans="1:10" x14ac:dyDescent="0.3">
      <c r="A1644" t="s">
        <v>3808</v>
      </c>
      <c r="B1644" t="s">
        <v>25863</v>
      </c>
      <c r="C1644" t="s">
        <v>20489</v>
      </c>
      <c r="D1644" t="s">
        <v>11</v>
      </c>
      <c r="E1644" t="s">
        <v>3809</v>
      </c>
      <c r="F1644">
        <v>56</v>
      </c>
      <c r="G1644" t="s">
        <v>46</v>
      </c>
      <c r="H1644" t="s">
        <v>46</v>
      </c>
      <c r="I1644" t="s">
        <v>12275</v>
      </c>
      <c r="J1644" t="s">
        <v>14310</v>
      </c>
    </row>
    <row r="1645" spans="1:10" x14ac:dyDescent="0.3">
      <c r="A1645" t="s">
        <v>3810</v>
      </c>
      <c r="B1645" t="s">
        <v>25864</v>
      </c>
      <c r="C1645" t="s">
        <v>20486</v>
      </c>
      <c r="D1645" t="s">
        <v>22</v>
      </c>
      <c r="E1645" t="s">
        <v>3811</v>
      </c>
      <c r="F1645">
        <v>63</v>
      </c>
      <c r="G1645" t="s">
        <v>31</v>
      </c>
      <c r="H1645" t="s">
        <v>31</v>
      </c>
      <c r="J1645" t="s">
        <v>33</v>
      </c>
    </row>
    <row r="1646" spans="1:10" x14ac:dyDescent="0.3">
      <c r="A1646" t="s">
        <v>3812</v>
      </c>
      <c r="B1646" t="s">
        <v>25865</v>
      </c>
      <c r="C1646" t="s">
        <v>20486</v>
      </c>
      <c r="D1646" t="s">
        <v>11</v>
      </c>
      <c r="E1646" t="s">
        <v>2256</v>
      </c>
      <c r="F1646">
        <v>72</v>
      </c>
      <c r="G1646" t="s">
        <v>384</v>
      </c>
    </row>
    <row r="1647" spans="1:10" x14ac:dyDescent="0.3">
      <c r="A1647" t="s">
        <v>3813</v>
      </c>
      <c r="B1647" t="s">
        <v>25866</v>
      </c>
      <c r="C1647" t="s">
        <v>20488</v>
      </c>
      <c r="D1647" t="s">
        <v>22</v>
      </c>
      <c r="E1647" t="s">
        <v>3814</v>
      </c>
      <c r="F1647">
        <v>34</v>
      </c>
      <c r="G1647" t="s">
        <v>109</v>
      </c>
      <c r="H1647" t="s">
        <v>9788</v>
      </c>
      <c r="I1647" t="s">
        <v>660</v>
      </c>
      <c r="J1647" t="s">
        <v>1125</v>
      </c>
    </row>
    <row r="1648" spans="1:10" x14ac:dyDescent="0.3">
      <c r="A1648" t="s">
        <v>12276</v>
      </c>
      <c r="B1648" t="s">
        <v>25867</v>
      </c>
      <c r="C1648" t="s">
        <v>20486</v>
      </c>
      <c r="D1648" t="s">
        <v>11</v>
      </c>
      <c r="E1648" t="s">
        <v>9704</v>
      </c>
      <c r="F1648">
        <v>17</v>
      </c>
      <c r="H1648" t="s">
        <v>337</v>
      </c>
    </row>
    <row r="1649" spans="1:10" x14ac:dyDescent="0.3">
      <c r="A1649" t="s">
        <v>3815</v>
      </c>
      <c r="B1649" t="s">
        <v>25868</v>
      </c>
      <c r="C1649" t="s">
        <v>20488</v>
      </c>
      <c r="D1649" t="s">
        <v>11</v>
      </c>
      <c r="E1649" t="s">
        <v>3816</v>
      </c>
      <c r="F1649">
        <v>60</v>
      </c>
      <c r="G1649" t="s">
        <v>16</v>
      </c>
      <c r="H1649" t="s">
        <v>9785</v>
      </c>
      <c r="I1649" t="s">
        <v>449</v>
      </c>
    </row>
    <row r="1650" spans="1:10" x14ac:dyDescent="0.3">
      <c r="A1650" t="s">
        <v>3817</v>
      </c>
      <c r="B1650" t="s">
        <v>25869</v>
      </c>
      <c r="C1650" t="s">
        <v>20490</v>
      </c>
      <c r="D1650" t="s">
        <v>22</v>
      </c>
      <c r="E1650" t="s">
        <v>3818</v>
      </c>
      <c r="F1650">
        <v>41</v>
      </c>
      <c r="G1650" t="s">
        <v>109</v>
      </c>
      <c r="H1650" t="s">
        <v>46</v>
      </c>
      <c r="J1650" t="s">
        <v>3819</v>
      </c>
    </row>
    <row r="1651" spans="1:10" x14ac:dyDescent="0.3">
      <c r="A1651" t="s">
        <v>12277</v>
      </c>
      <c r="B1651" t="s">
        <v>25870</v>
      </c>
      <c r="C1651" t="s">
        <v>20488</v>
      </c>
      <c r="D1651" t="s">
        <v>11</v>
      </c>
      <c r="E1651" t="s">
        <v>9703</v>
      </c>
      <c r="F1651">
        <v>22</v>
      </c>
      <c r="G1651" t="s">
        <v>337</v>
      </c>
      <c r="H1651" t="s">
        <v>337</v>
      </c>
    </row>
    <row r="1652" spans="1:10" x14ac:dyDescent="0.3">
      <c r="A1652" t="s">
        <v>12278</v>
      </c>
      <c r="B1652" t="s">
        <v>25871</v>
      </c>
      <c r="C1652" t="s">
        <v>20488</v>
      </c>
      <c r="D1652" t="s">
        <v>11</v>
      </c>
      <c r="E1652" t="s">
        <v>9702</v>
      </c>
      <c r="F1652">
        <v>21</v>
      </c>
      <c r="G1652" t="s">
        <v>337</v>
      </c>
      <c r="H1652" t="s">
        <v>337</v>
      </c>
    </row>
    <row r="1653" spans="1:10" x14ac:dyDescent="0.3">
      <c r="A1653" t="s">
        <v>3821</v>
      </c>
      <c r="B1653" t="s">
        <v>25872</v>
      </c>
      <c r="C1653" t="s">
        <v>20487</v>
      </c>
      <c r="D1653" t="s">
        <v>22</v>
      </c>
      <c r="E1653" t="s">
        <v>3822</v>
      </c>
      <c r="F1653">
        <v>63</v>
      </c>
      <c r="G1653" t="s">
        <v>201</v>
      </c>
      <c r="H1653" t="s">
        <v>46</v>
      </c>
      <c r="J1653" t="s">
        <v>1260</v>
      </c>
    </row>
    <row r="1654" spans="1:10" x14ac:dyDescent="0.3">
      <c r="A1654" t="s">
        <v>3823</v>
      </c>
      <c r="B1654" t="s">
        <v>25873</v>
      </c>
      <c r="C1654" t="s">
        <v>20486</v>
      </c>
      <c r="D1654" t="s">
        <v>22</v>
      </c>
      <c r="E1654" t="s">
        <v>3824</v>
      </c>
      <c r="F1654">
        <v>52</v>
      </c>
      <c r="G1654" t="s">
        <v>172</v>
      </c>
      <c r="H1654" t="s">
        <v>12099</v>
      </c>
      <c r="I1654" t="s">
        <v>3825</v>
      </c>
      <c r="J1654" t="s">
        <v>3825</v>
      </c>
    </row>
    <row r="1655" spans="1:10" x14ac:dyDescent="0.3">
      <c r="A1655" t="s">
        <v>3826</v>
      </c>
      <c r="B1655" t="s">
        <v>25874</v>
      </c>
      <c r="C1655" t="s">
        <v>20488</v>
      </c>
      <c r="D1655" t="s">
        <v>22</v>
      </c>
      <c r="E1655" t="s">
        <v>3827</v>
      </c>
      <c r="F1655">
        <v>56</v>
      </c>
      <c r="G1655" t="s">
        <v>31</v>
      </c>
      <c r="H1655" t="s">
        <v>31</v>
      </c>
      <c r="I1655" t="s">
        <v>33</v>
      </c>
    </row>
    <row r="1656" spans="1:10" x14ac:dyDescent="0.3">
      <c r="A1656" t="s">
        <v>3828</v>
      </c>
      <c r="B1656" t="s">
        <v>25875</v>
      </c>
      <c r="C1656" t="s">
        <v>20486</v>
      </c>
      <c r="D1656" t="s">
        <v>11</v>
      </c>
      <c r="E1656" t="s">
        <v>3829</v>
      </c>
      <c r="F1656">
        <v>60</v>
      </c>
      <c r="G1656" t="s">
        <v>172</v>
      </c>
      <c r="H1656" t="s">
        <v>12099</v>
      </c>
      <c r="I1656" t="s">
        <v>421</v>
      </c>
      <c r="J1656" t="s">
        <v>3830</v>
      </c>
    </row>
    <row r="1657" spans="1:10" x14ac:dyDescent="0.3">
      <c r="A1657" t="s">
        <v>3831</v>
      </c>
      <c r="B1657" t="s">
        <v>25876</v>
      </c>
      <c r="C1657" t="s">
        <v>20486</v>
      </c>
      <c r="D1657" t="s">
        <v>11</v>
      </c>
      <c r="E1657" t="s">
        <v>3832</v>
      </c>
      <c r="F1657">
        <v>61</v>
      </c>
      <c r="G1657" t="s">
        <v>384</v>
      </c>
    </row>
    <row r="1658" spans="1:10" x14ac:dyDescent="0.3">
      <c r="A1658" t="s">
        <v>3833</v>
      </c>
      <c r="B1658" t="s">
        <v>25877</v>
      </c>
      <c r="C1658" t="s">
        <v>20489</v>
      </c>
      <c r="D1658" t="s">
        <v>22</v>
      </c>
      <c r="E1658" t="s">
        <v>3834</v>
      </c>
      <c r="F1658">
        <v>39</v>
      </c>
      <c r="G1658" t="s">
        <v>46</v>
      </c>
      <c r="H1658" t="s">
        <v>46</v>
      </c>
      <c r="I1658" t="s">
        <v>12279</v>
      </c>
      <c r="J1658" t="s">
        <v>3835</v>
      </c>
    </row>
    <row r="1659" spans="1:10" x14ac:dyDescent="0.3">
      <c r="A1659" t="s">
        <v>12280</v>
      </c>
      <c r="B1659" t="s">
        <v>25878</v>
      </c>
      <c r="C1659" t="s">
        <v>20486</v>
      </c>
      <c r="D1659" t="s">
        <v>22</v>
      </c>
      <c r="E1659" t="s">
        <v>9701</v>
      </c>
      <c r="F1659">
        <v>18</v>
      </c>
      <c r="G1659" t="s">
        <v>337</v>
      </c>
      <c r="H1659" t="s">
        <v>337</v>
      </c>
    </row>
    <row r="1660" spans="1:10" x14ac:dyDescent="0.3">
      <c r="A1660" t="s">
        <v>12281</v>
      </c>
      <c r="B1660" t="s">
        <v>25879</v>
      </c>
      <c r="C1660" t="s">
        <v>20486</v>
      </c>
      <c r="D1660" t="s">
        <v>22</v>
      </c>
      <c r="E1660" t="s">
        <v>9700</v>
      </c>
      <c r="F1660">
        <v>17</v>
      </c>
      <c r="H1660" t="s">
        <v>337</v>
      </c>
    </row>
    <row r="1661" spans="1:10" x14ac:dyDescent="0.3">
      <c r="A1661" t="s">
        <v>3836</v>
      </c>
      <c r="B1661" t="s">
        <v>25880</v>
      </c>
      <c r="C1661" t="s">
        <v>20486</v>
      </c>
      <c r="D1661" t="s">
        <v>22</v>
      </c>
      <c r="E1661" t="s">
        <v>3837</v>
      </c>
      <c r="F1661">
        <v>41</v>
      </c>
      <c r="G1661" t="s">
        <v>16</v>
      </c>
      <c r="H1661" t="s">
        <v>9785</v>
      </c>
      <c r="I1661" t="s">
        <v>17</v>
      </c>
    </row>
    <row r="1662" spans="1:10" x14ac:dyDescent="0.3">
      <c r="A1662" t="s">
        <v>3838</v>
      </c>
      <c r="B1662" t="s">
        <v>25881</v>
      </c>
      <c r="C1662" t="s">
        <v>20486</v>
      </c>
      <c r="D1662" t="s">
        <v>22</v>
      </c>
      <c r="E1662" t="s">
        <v>3839</v>
      </c>
      <c r="F1662">
        <v>47</v>
      </c>
      <c r="G1662" t="s">
        <v>172</v>
      </c>
      <c r="H1662" t="s">
        <v>12099</v>
      </c>
      <c r="J1662" t="s">
        <v>3840</v>
      </c>
    </row>
    <row r="1663" spans="1:10" x14ac:dyDescent="0.3">
      <c r="A1663" t="s">
        <v>3841</v>
      </c>
      <c r="B1663" t="s">
        <v>25882</v>
      </c>
      <c r="C1663" t="s">
        <v>20488</v>
      </c>
      <c r="D1663" t="s">
        <v>22</v>
      </c>
      <c r="E1663" t="s">
        <v>3842</v>
      </c>
      <c r="F1663">
        <v>43</v>
      </c>
      <c r="G1663" t="s">
        <v>88</v>
      </c>
      <c r="H1663" t="s">
        <v>12065</v>
      </c>
    </row>
    <row r="1664" spans="1:10" x14ac:dyDescent="0.3">
      <c r="A1664" t="s">
        <v>3843</v>
      </c>
      <c r="B1664" t="s">
        <v>25883</v>
      </c>
      <c r="C1664" t="s">
        <v>20486</v>
      </c>
      <c r="D1664" t="s">
        <v>11</v>
      </c>
      <c r="E1664" t="s">
        <v>3844</v>
      </c>
      <c r="F1664">
        <v>57</v>
      </c>
      <c r="G1664" t="s">
        <v>109</v>
      </c>
      <c r="H1664" t="s">
        <v>9788</v>
      </c>
      <c r="I1664" t="s">
        <v>3845</v>
      </c>
    </row>
    <row r="1665" spans="1:10" x14ac:dyDescent="0.3">
      <c r="A1665" t="s">
        <v>3846</v>
      </c>
      <c r="B1665" t="s">
        <v>25884</v>
      </c>
      <c r="C1665" t="s">
        <v>20486</v>
      </c>
      <c r="D1665" t="s">
        <v>11</v>
      </c>
      <c r="E1665" t="s">
        <v>3847</v>
      </c>
      <c r="F1665">
        <v>71</v>
      </c>
      <c r="G1665" t="s">
        <v>384</v>
      </c>
    </row>
    <row r="1666" spans="1:10" x14ac:dyDescent="0.3">
      <c r="A1666" t="s">
        <v>3848</v>
      </c>
      <c r="B1666" t="s">
        <v>25885</v>
      </c>
      <c r="C1666" t="s">
        <v>20489</v>
      </c>
      <c r="D1666" t="s">
        <v>11</v>
      </c>
      <c r="E1666" t="s">
        <v>1416</v>
      </c>
      <c r="F1666">
        <v>60</v>
      </c>
      <c r="G1666" t="s">
        <v>370</v>
      </c>
      <c r="H1666" t="s">
        <v>46</v>
      </c>
      <c r="I1666" t="s">
        <v>1248</v>
      </c>
      <c r="J1666" t="s">
        <v>3849</v>
      </c>
    </row>
    <row r="1667" spans="1:10" x14ac:dyDescent="0.3">
      <c r="A1667" t="s">
        <v>3850</v>
      </c>
      <c r="B1667" t="s">
        <v>25886</v>
      </c>
      <c r="C1667" t="s">
        <v>20489</v>
      </c>
      <c r="D1667" t="s">
        <v>11</v>
      </c>
      <c r="E1667" t="s">
        <v>3851</v>
      </c>
      <c r="F1667">
        <v>67</v>
      </c>
      <c r="G1667" t="s">
        <v>13</v>
      </c>
      <c r="H1667" t="s">
        <v>13</v>
      </c>
      <c r="I1667" t="s">
        <v>173</v>
      </c>
    </row>
    <row r="1668" spans="1:10" x14ac:dyDescent="0.3">
      <c r="A1668" t="s">
        <v>3852</v>
      </c>
      <c r="B1668" t="s">
        <v>25887</v>
      </c>
      <c r="C1668" t="s">
        <v>20489</v>
      </c>
      <c r="D1668" t="s">
        <v>22</v>
      </c>
      <c r="E1668" t="s">
        <v>3853</v>
      </c>
      <c r="F1668">
        <v>63</v>
      </c>
      <c r="G1668" t="s">
        <v>46</v>
      </c>
      <c r="H1668" t="s">
        <v>46</v>
      </c>
      <c r="I1668" t="s">
        <v>669</v>
      </c>
      <c r="J1668" t="s">
        <v>3854</v>
      </c>
    </row>
    <row r="1669" spans="1:10" x14ac:dyDescent="0.3">
      <c r="A1669" t="s">
        <v>3855</v>
      </c>
      <c r="B1669" t="s">
        <v>25888</v>
      </c>
      <c r="C1669" t="s">
        <v>20489</v>
      </c>
      <c r="D1669" t="s">
        <v>22</v>
      </c>
      <c r="E1669" t="s">
        <v>3856</v>
      </c>
      <c r="F1669">
        <v>38</v>
      </c>
      <c r="G1669" t="s">
        <v>31</v>
      </c>
      <c r="H1669" t="s">
        <v>31</v>
      </c>
    </row>
    <row r="1670" spans="1:10" x14ac:dyDescent="0.3">
      <c r="A1670" t="s">
        <v>3857</v>
      </c>
      <c r="B1670" t="s">
        <v>25889</v>
      </c>
      <c r="C1670" t="s">
        <v>20488</v>
      </c>
      <c r="D1670" t="s">
        <v>22</v>
      </c>
      <c r="E1670" t="s">
        <v>3858</v>
      </c>
      <c r="F1670">
        <v>44</v>
      </c>
      <c r="G1670" t="s">
        <v>16</v>
      </c>
      <c r="H1670" t="s">
        <v>9785</v>
      </c>
      <c r="I1670" t="s">
        <v>3859</v>
      </c>
      <c r="J1670" t="s">
        <v>2621</v>
      </c>
    </row>
    <row r="1671" spans="1:10" x14ac:dyDescent="0.3">
      <c r="A1671" t="s">
        <v>3861</v>
      </c>
      <c r="B1671" t="s">
        <v>25890</v>
      </c>
      <c r="C1671" t="s">
        <v>20486</v>
      </c>
      <c r="D1671" t="s">
        <v>22</v>
      </c>
      <c r="E1671" t="s">
        <v>3862</v>
      </c>
      <c r="F1671">
        <v>71</v>
      </c>
      <c r="G1671" t="s">
        <v>31</v>
      </c>
      <c r="H1671" t="s">
        <v>31</v>
      </c>
    </row>
    <row r="1672" spans="1:10" x14ac:dyDescent="0.3">
      <c r="A1672" t="s">
        <v>3863</v>
      </c>
      <c r="B1672" t="s">
        <v>25891</v>
      </c>
      <c r="C1672" t="s">
        <v>20487</v>
      </c>
      <c r="D1672" t="s">
        <v>11</v>
      </c>
      <c r="E1672" t="s">
        <v>2543</v>
      </c>
      <c r="F1672">
        <v>56</v>
      </c>
      <c r="G1672" t="s">
        <v>109</v>
      </c>
      <c r="H1672" t="s">
        <v>9788</v>
      </c>
      <c r="I1672" t="s">
        <v>1145</v>
      </c>
      <c r="J1672" t="s">
        <v>14311</v>
      </c>
    </row>
    <row r="1673" spans="1:10" x14ac:dyDescent="0.3">
      <c r="A1673" t="s">
        <v>3864</v>
      </c>
      <c r="B1673" t="s">
        <v>25892</v>
      </c>
      <c r="C1673" t="s">
        <v>20489</v>
      </c>
      <c r="D1673" t="s">
        <v>11</v>
      </c>
      <c r="E1673" t="s">
        <v>3865</v>
      </c>
      <c r="F1673">
        <v>56</v>
      </c>
      <c r="G1673" t="s">
        <v>109</v>
      </c>
      <c r="H1673" t="s">
        <v>243</v>
      </c>
    </row>
    <row r="1674" spans="1:10" x14ac:dyDescent="0.3">
      <c r="A1674" t="s">
        <v>12282</v>
      </c>
      <c r="B1674" t="s">
        <v>25893</v>
      </c>
      <c r="C1674" t="s">
        <v>20488</v>
      </c>
      <c r="D1674" t="s">
        <v>22</v>
      </c>
      <c r="E1674" t="s">
        <v>9699</v>
      </c>
      <c r="F1674">
        <v>17</v>
      </c>
      <c r="G1674" t="s">
        <v>337</v>
      </c>
      <c r="H1674" t="s">
        <v>337</v>
      </c>
    </row>
    <row r="1675" spans="1:10" x14ac:dyDescent="0.3">
      <c r="A1675" t="s">
        <v>3867</v>
      </c>
      <c r="B1675" t="s">
        <v>25894</v>
      </c>
      <c r="C1675" t="s">
        <v>20486</v>
      </c>
      <c r="D1675" t="s">
        <v>11</v>
      </c>
      <c r="E1675" t="s">
        <v>3868</v>
      </c>
      <c r="F1675">
        <v>37</v>
      </c>
      <c r="G1675" t="s">
        <v>109</v>
      </c>
      <c r="H1675" t="s">
        <v>9788</v>
      </c>
    </row>
    <row r="1676" spans="1:10" x14ac:dyDescent="0.3">
      <c r="A1676" t="s">
        <v>3869</v>
      </c>
      <c r="B1676" t="s">
        <v>25895</v>
      </c>
      <c r="C1676" t="s">
        <v>20486</v>
      </c>
      <c r="D1676" t="s">
        <v>11</v>
      </c>
      <c r="E1676" t="s">
        <v>3870</v>
      </c>
      <c r="F1676">
        <v>34</v>
      </c>
      <c r="G1676" t="s">
        <v>1200</v>
      </c>
      <c r="H1676" t="s">
        <v>9788</v>
      </c>
      <c r="I1676" t="s">
        <v>12283</v>
      </c>
      <c r="J1676" t="s">
        <v>12284</v>
      </c>
    </row>
    <row r="1677" spans="1:10" x14ac:dyDescent="0.3">
      <c r="A1677" t="s">
        <v>3871</v>
      </c>
      <c r="B1677" t="s">
        <v>25896</v>
      </c>
      <c r="C1677" t="s">
        <v>20488</v>
      </c>
      <c r="D1677" t="s">
        <v>22</v>
      </c>
      <c r="E1677" t="s">
        <v>3872</v>
      </c>
      <c r="F1677">
        <v>36</v>
      </c>
      <c r="G1677" t="s">
        <v>31</v>
      </c>
      <c r="H1677" t="s">
        <v>31</v>
      </c>
      <c r="I1677" t="s">
        <v>33</v>
      </c>
    </row>
    <row r="1678" spans="1:10" x14ac:dyDescent="0.3">
      <c r="A1678" t="s">
        <v>3873</v>
      </c>
      <c r="B1678" t="s">
        <v>25897</v>
      </c>
      <c r="C1678" t="s">
        <v>20491</v>
      </c>
      <c r="D1678" t="s">
        <v>11</v>
      </c>
      <c r="E1678" t="s">
        <v>3402</v>
      </c>
      <c r="F1678">
        <v>58</v>
      </c>
      <c r="G1678" t="s">
        <v>540</v>
      </c>
      <c r="H1678" t="s">
        <v>12074</v>
      </c>
      <c r="I1678" t="s">
        <v>3874</v>
      </c>
      <c r="J1678" t="s">
        <v>3875</v>
      </c>
    </row>
    <row r="1679" spans="1:10" x14ac:dyDescent="0.3">
      <c r="A1679" t="s">
        <v>3876</v>
      </c>
      <c r="B1679" t="s">
        <v>25898</v>
      </c>
      <c r="C1679" t="s">
        <v>20488</v>
      </c>
      <c r="D1679" t="s">
        <v>22</v>
      </c>
      <c r="E1679" t="s">
        <v>3877</v>
      </c>
      <c r="F1679">
        <v>47</v>
      </c>
      <c r="G1679" t="s">
        <v>46</v>
      </c>
      <c r="H1679" t="s">
        <v>46</v>
      </c>
      <c r="I1679" t="s">
        <v>2216</v>
      </c>
      <c r="J1679" t="s">
        <v>12285</v>
      </c>
    </row>
    <row r="1680" spans="1:10" x14ac:dyDescent="0.3">
      <c r="A1680" t="s">
        <v>3880</v>
      </c>
      <c r="B1680" t="s">
        <v>25899</v>
      </c>
      <c r="C1680" t="s">
        <v>20486</v>
      </c>
      <c r="D1680" t="s">
        <v>11</v>
      </c>
      <c r="E1680" t="s">
        <v>3881</v>
      </c>
      <c r="F1680">
        <v>60</v>
      </c>
      <c r="G1680" t="s">
        <v>46</v>
      </c>
      <c r="H1680" t="s">
        <v>46</v>
      </c>
    </row>
    <row r="1681" spans="1:10" x14ac:dyDescent="0.3">
      <c r="A1681" t="s">
        <v>3882</v>
      </c>
      <c r="B1681" t="s">
        <v>25900</v>
      </c>
      <c r="C1681" t="s">
        <v>20486</v>
      </c>
      <c r="D1681" t="s">
        <v>22</v>
      </c>
      <c r="E1681" t="s">
        <v>3883</v>
      </c>
      <c r="F1681">
        <v>63</v>
      </c>
      <c r="G1681" t="s">
        <v>109</v>
      </c>
      <c r="H1681" t="s">
        <v>9788</v>
      </c>
    </row>
    <row r="1682" spans="1:10" x14ac:dyDescent="0.3">
      <c r="A1682" t="s">
        <v>12286</v>
      </c>
      <c r="B1682" t="s">
        <v>25901</v>
      </c>
      <c r="C1682" t="s">
        <v>20488</v>
      </c>
      <c r="D1682" t="s">
        <v>11</v>
      </c>
      <c r="E1682" t="s">
        <v>9698</v>
      </c>
      <c r="F1682">
        <v>22</v>
      </c>
      <c r="G1682" t="s">
        <v>337</v>
      </c>
      <c r="H1682" t="s">
        <v>337</v>
      </c>
      <c r="I1682" t="s">
        <v>12204</v>
      </c>
      <c r="J1682" t="s">
        <v>12287</v>
      </c>
    </row>
    <row r="1683" spans="1:10" x14ac:dyDescent="0.3">
      <c r="A1683" t="s">
        <v>3884</v>
      </c>
      <c r="B1683" t="s">
        <v>25902</v>
      </c>
      <c r="C1683" t="s">
        <v>20486</v>
      </c>
      <c r="D1683" t="s">
        <v>22</v>
      </c>
      <c r="E1683" t="s">
        <v>3572</v>
      </c>
      <c r="F1683">
        <v>59</v>
      </c>
      <c r="G1683" t="s">
        <v>31</v>
      </c>
      <c r="H1683" t="s">
        <v>46</v>
      </c>
      <c r="I1683" t="s">
        <v>18818</v>
      </c>
      <c r="J1683" t="s">
        <v>14312</v>
      </c>
    </row>
    <row r="1684" spans="1:10" x14ac:dyDescent="0.3">
      <c r="A1684" t="s">
        <v>3885</v>
      </c>
      <c r="B1684" t="s">
        <v>25903</v>
      </c>
      <c r="C1684" t="s">
        <v>20486</v>
      </c>
      <c r="D1684" t="s">
        <v>22</v>
      </c>
      <c r="E1684" t="s">
        <v>3886</v>
      </c>
      <c r="F1684">
        <v>65</v>
      </c>
      <c r="G1684" t="s">
        <v>13</v>
      </c>
      <c r="H1684" t="s">
        <v>13</v>
      </c>
    </row>
    <row r="1685" spans="1:10" x14ac:dyDescent="0.3">
      <c r="A1685" t="s">
        <v>12288</v>
      </c>
      <c r="B1685" t="s">
        <v>25904</v>
      </c>
      <c r="C1685" t="s">
        <v>20486</v>
      </c>
      <c r="D1685" t="s">
        <v>22</v>
      </c>
      <c r="E1685" t="s">
        <v>9697</v>
      </c>
      <c r="F1685">
        <v>26</v>
      </c>
    </row>
    <row r="1686" spans="1:10" x14ac:dyDescent="0.3">
      <c r="A1686" t="s">
        <v>3887</v>
      </c>
      <c r="B1686" t="s">
        <v>25905</v>
      </c>
      <c r="C1686" t="s">
        <v>20488</v>
      </c>
      <c r="D1686" t="s">
        <v>22</v>
      </c>
      <c r="E1686" t="s">
        <v>3888</v>
      </c>
      <c r="F1686">
        <v>53</v>
      </c>
      <c r="G1686" t="s">
        <v>46</v>
      </c>
      <c r="H1686" t="s">
        <v>46</v>
      </c>
      <c r="I1686" t="s">
        <v>3889</v>
      </c>
      <c r="J1686" t="s">
        <v>3890</v>
      </c>
    </row>
    <row r="1687" spans="1:10" x14ac:dyDescent="0.3">
      <c r="A1687" t="s">
        <v>3891</v>
      </c>
      <c r="B1687" t="s">
        <v>25906</v>
      </c>
      <c r="C1687" t="s">
        <v>20488</v>
      </c>
      <c r="D1687" t="s">
        <v>22</v>
      </c>
      <c r="E1687" t="s">
        <v>3892</v>
      </c>
      <c r="F1687">
        <v>46</v>
      </c>
      <c r="G1687" t="s">
        <v>16</v>
      </c>
      <c r="H1687" t="s">
        <v>9785</v>
      </c>
      <c r="I1687" t="s">
        <v>449</v>
      </c>
    </row>
    <row r="1688" spans="1:10" x14ac:dyDescent="0.3">
      <c r="A1688" t="s">
        <v>3893</v>
      </c>
      <c r="B1688" t="s">
        <v>25907</v>
      </c>
      <c r="C1688" t="s">
        <v>20488</v>
      </c>
      <c r="D1688" t="s">
        <v>22</v>
      </c>
      <c r="E1688" t="s">
        <v>3894</v>
      </c>
      <c r="F1688">
        <v>44</v>
      </c>
      <c r="G1688" t="s">
        <v>46</v>
      </c>
      <c r="H1688" t="s">
        <v>46</v>
      </c>
      <c r="I1688" t="s">
        <v>3895</v>
      </c>
    </row>
    <row r="1689" spans="1:10" x14ac:dyDescent="0.3">
      <c r="A1689" t="s">
        <v>3896</v>
      </c>
      <c r="B1689" t="s">
        <v>25908</v>
      </c>
      <c r="C1689" t="s">
        <v>20486</v>
      </c>
      <c r="D1689" t="s">
        <v>11</v>
      </c>
      <c r="E1689" t="s">
        <v>3897</v>
      </c>
      <c r="F1689">
        <v>43</v>
      </c>
      <c r="G1689" t="s">
        <v>384</v>
      </c>
    </row>
    <row r="1690" spans="1:10" x14ac:dyDescent="0.3">
      <c r="A1690" t="s">
        <v>3898</v>
      </c>
      <c r="B1690" t="s">
        <v>25909</v>
      </c>
      <c r="C1690" t="s">
        <v>20486</v>
      </c>
      <c r="D1690" t="s">
        <v>22</v>
      </c>
      <c r="E1690" t="s">
        <v>3899</v>
      </c>
      <c r="F1690">
        <v>73</v>
      </c>
      <c r="G1690" t="s">
        <v>13</v>
      </c>
      <c r="H1690" t="s">
        <v>13</v>
      </c>
      <c r="I1690" t="s">
        <v>12106</v>
      </c>
      <c r="J1690" t="s">
        <v>3936</v>
      </c>
    </row>
    <row r="1691" spans="1:10" x14ac:dyDescent="0.3">
      <c r="A1691" t="s">
        <v>3900</v>
      </c>
      <c r="B1691" t="s">
        <v>25910</v>
      </c>
      <c r="C1691" t="s">
        <v>20486</v>
      </c>
      <c r="D1691" t="s">
        <v>11</v>
      </c>
      <c r="E1691" t="s">
        <v>3901</v>
      </c>
      <c r="F1691">
        <v>72</v>
      </c>
      <c r="G1691" t="s">
        <v>384</v>
      </c>
    </row>
    <row r="1692" spans="1:10" x14ac:dyDescent="0.3">
      <c r="A1692" t="s">
        <v>3902</v>
      </c>
      <c r="B1692" t="s">
        <v>25911</v>
      </c>
      <c r="C1692" t="s">
        <v>20488</v>
      </c>
      <c r="D1692" t="s">
        <v>22</v>
      </c>
      <c r="E1692" t="s">
        <v>2617</v>
      </c>
      <c r="F1692">
        <v>56</v>
      </c>
      <c r="G1692" t="s">
        <v>31</v>
      </c>
      <c r="H1692" t="s">
        <v>31</v>
      </c>
      <c r="I1692" t="s">
        <v>33</v>
      </c>
    </row>
    <row r="1693" spans="1:10" x14ac:dyDescent="0.3">
      <c r="A1693" t="s">
        <v>3903</v>
      </c>
      <c r="B1693" t="s">
        <v>25912</v>
      </c>
      <c r="C1693" t="s">
        <v>20486</v>
      </c>
      <c r="D1693" t="s">
        <v>22</v>
      </c>
      <c r="E1693" t="s">
        <v>3904</v>
      </c>
      <c r="F1693">
        <v>30</v>
      </c>
      <c r="G1693" t="s">
        <v>46</v>
      </c>
      <c r="H1693" t="s">
        <v>46</v>
      </c>
      <c r="I1693" t="s">
        <v>3905</v>
      </c>
      <c r="J1693" t="s">
        <v>3906</v>
      </c>
    </row>
    <row r="1694" spans="1:10" x14ac:dyDescent="0.3">
      <c r="A1694" t="s">
        <v>3907</v>
      </c>
      <c r="B1694" t="s">
        <v>25913</v>
      </c>
      <c r="C1694" t="s">
        <v>20486</v>
      </c>
      <c r="D1694" t="s">
        <v>11</v>
      </c>
      <c r="E1694" t="s">
        <v>3908</v>
      </c>
      <c r="F1694">
        <v>44</v>
      </c>
      <c r="G1694" t="s">
        <v>384</v>
      </c>
    </row>
    <row r="1695" spans="1:10" x14ac:dyDescent="0.3">
      <c r="A1695" t="s">
        <v>3909</v>
      </c>
      <c r="B1695" t="s">
        <v>25914</v>
      </c>
      <c r="C1695" t="s">
        <v>20487</v>
      </c>
      <c r="D1695" t="s">
        <v>11</v>
      </c>
      <c r="E1695" t="s">
        <v>3910</v>
      </c>
      <c r="F1695">
        <v>58</v>
      </c>
      <c r="G1695" t="s">
        <v>4481</v>
      </c>
      <c r="H1695" t="s">
        <v>12099</v>
      </c>
      <c r="J1695" t="s">
        <v>3911</v>
      </c>
    </row>
    <row r="1696" spans="1:10" x14ac:dyDescent="0.3">
      <c r="A1696" t="s">
        <v>3912</v>
      </c>
      <c r="B1696" t="s">
        <v>25915</v>
      </c>
      <c r="C1696" t="s">
        <v>20486</v>
      </c>
      <c r="D1696" t="s">
        <v>22</v>
      </c>
      <c r="E1696" t="s">
        <v>1997</v>
      </c>
      <c r="F1696">
        <v>46</v>
      </c>
      <c r="G1696" t="s">
        <v>16</v>
      </c>
      <c r="H1696" t="s">
        <v>9785</v>
      </c>
      <c r="I1696" t="s">
        <v>17</v>
      </c>
    </row>
    <row r="1697" spans="1:10" x14ac:dyDescent="0.3">
      <c r="A1697" t="s">
        <v>3913</v>
      </c>
      <c r="B1697" t="s">
        <v>25916</v>
      </c>
      <c r="C1697" t="s">
        <v>20488</v>
      </c>
      <c r="D1697" t="s">
        <v>11</v>
      </c>
      <c r="E1697" t="s">
        <v>3914</v>
      </c>
      <c r="F1697">
        <v>62</v>
      </c>
      <c r="G1697" t="s">
        <v>46</v>
      </c>
      <c r="H1697" t="s">
        <v>46</v>
      </c>
      <c r="I1697" t="s">
        <v>74</v>
      </c>
    </row>
    <row r="1698" spans="1:10" x14ac:dyDescent="0.3">
      <c r="A1698" t="s">
        <v>3915</v>
      </c>
      <c r="B1698" t="s">
        <v>25917</v>
      </c>
      <c r="C1698" t="s">
        <v>20486</v>
      </c>
      <c r="D1698" t="s">
        <v>11</v>
      </c>
      <c r="E1698" t="s">
        <v>3916</v>
      </c>
      <c r="F1698">
        <v>62</v>
      </c>
      <c r="G1698" t="s">
        <v>13</v>
      </c>
      <c r="H1698" t="s">
        <v>13</v>
      </c>
      <c r="J1698" t="s">
        <v>3917</v>
      </c>
    </row>
    <row r="1699" spans="1:10" x14ac:dyDescent="0.3">
      <c r="A1699" t="s">
        <v>3918</v>
      </c>
      <c r="B1699" t="s">
        <v>25918</v>
      </c>
      <c r="C1699" t="s">
        <v>20491</v>
      </c>
      <c r="D1699" t="s">
        <v>11</v>
      </c>
      <c r="E1699" t="s">
        <v>3919</v>
      </c>
      <c r="F1699">
        <v>50</v>
      </c>
      <c r="G1699" t="s">
        <v>370</v>
      </c>
      <c r="H1699" t="s">
        <v>46</v>
      </c>
      <c r="I1699" t="s">
        <v>3920</v>
      </c>
      <c r="J1699" t="s">
        <v>3920</v>
      </c>
    </row>
    <row r="1700" spans="1:10" x14ac:dyDescent="0.3">
      <c r="A1700" t="s">
        <v>3921</v>
      </c>
      <c r="B1700" t="s">
        <v>25919</v>
      </c>
      <c r="C1700" t="s">
        <v>20487</v>
      </c>
      <c r="D1700" t="s">
        <v>11</v>
      </c>
      <c r="E1700" t="s">
        <v>3922</v>
      </c>
      <c r="F1700">
        <v>50</v>
      </c>
      <c r="G1700" t="s">
        <v>441</v>
      </c>
      <c r="H1700" t="s">
        <v>9785</v>
      </c>
      <c r="J1700" t="s">
        <v>3923</v>
      </c>
    </row>
    <row r="1701" spans="1:10" x14ac:dyDescent="0.3">
      <c r="A1701" t="s">
        <v>3924</v>
      </c>
      <c r="B1701" t="s">
        <v>25920</v>
      </c>
      <c r="C1701" t="s">
        <v>20486</v>
      </c>
      <c r="D1701" t="s">
        <v>22</v>
      </c>
      <c r="E1701" t="s">
        <v>3925</v>
      </c>
      <c r="F1701">
        <v>54</v>
      </c>
      <c r="G1701" t="s">
        <v>46</v>
      </c>
      <c r="H1701" t="s">
        <v>46</v>
      </c>
      <c r="I1701" t="s">
        <v>3926</v>
      </c>
      <c r="J1701" t="s">
        <v>3927</v>
      </c>
    </row>
    <row r="1702" spans="1:10" x14ac:dyDescent="0.3">
      <c r="A1702" t="s">
        <v>3928</v>
      </c>
      <c r="B1702" t="s">
        <v>25921</v>
      </c>
      <c r="C1702" t="s">
        <v>20486</v>
      </c>
      <c r="D1702" t="s">
        <v>11</v>
      </c>
      <c r="E1702" t="s">
        <v>1054</v>
      </c>
      <c r="F1702">
        <v>50</v>
      </c>
      <c r="G1702" t="s">
        <v>46</v>
      </c>
      <c r="H1702" t="s">
        <v>46</v>
      </c>
      <c r="I1702" t="s">
        <v>228</v>
      </c>
      <c r="J1702" t="s">
        <v>3929</v>
      </c>
    </row>
    <row r="1703" spans="1:10" x14ac:dyDescent="0.3">
      <c r="A1703" t="s">
        <v>3930</v>
      </c>
      <c r="B1703" t="s">
        <v>25922</v>
      </c>
      <c r="C1703" t="s">
        <v>20486</v>
      </c>
      <c r="D1703" t="s">
        <v>11</v>
      </c>
      <c r="E1703" t="s">
        <v>3931</v>
      </c>
      <c r="F1703">
        <v>115</v>
      </c>
      <c r="G1703" t="s">
        <v>384</v>
      </c>
    </row>
    <row r="1704" spans="1:10" x14ac:dyDescent="0.3">
      <c r="A1704" t="s">
        <v>3932</v>
      </c>
      <c r="B1704" t="s">
        <v>25923</v>
      </c>
      <c r="C1704" t="s">
        <v>20486</v>
      </c>
      <c r="D1704" t="s">
        <v>22</v>
      </c>
      <c r="E1704" t="s">
        <v>3933</v>
      </c>
      <c r="F1704">
        <v>35</v>
      </c>
      <c r="G1704" t="s">
        <v>31</v>
      </c>
      <c r="H1704" t="s">
        <v>31</v>
      </c>
    </row>
    <row r="1705" spans="1:10" x14ac:dyDescent="0.3">
      <c r="A1705" t="s">
        <v>3934</v>
      </c>
      <c r="B1705" t="s">
        <v>25924</v>
      </c>
      <c r="C1705" t="s">
        <v>20486</v>
      </c>
      <c r="D1705" t="s">
        <v>22</v>
      </c>
      <c r="E1705" t="s">
        <v>3935</v>
      </c>
      <c r="F1705">
        <v>47</v>
      </c>
      <c r="G1705" t="s">
        <v>16</v>
      </c>
      <c r="H1705" t="s">
        <v>9785</v>
      </c>
      <c r="J1705" t="s">
        <v>3936</v>
      </c>
    </row>
    <row r="1706" spans="1:10" x14ac:dyDescent="0.3">
      <c r="A1706" t="s">
        <v>3937</v>
      </c>
      <c r="B1706" t="s">
        <v>25925</v>
      </c>
      <c r="C1706" t="s">
        <v>20487</v>
      </c>
      <c r="D1706" t="s">
        <v>11</v>
      </c>
      <c r="E1706" t="s">
        <v>3938</v>
      </c>
      <c r="F1706">
        <v>45</v>
      </c>
      <c r="G1706" t="s">
        <v>16</v>
      </c>
      <c r="H1706" t="s">
        <v>9785</v>
      </c>
      <c r="J1706" t="s">
        <v>3939</v>
      </c>
    </row>
    <row r="1707" spans="1:10" x14ac:dyDescent="0.3">
      <c r="A1707" t="s">
        <v>3940</v>
      </c>
      <c r="B1707" t="s">
        <v>25926</v>
      </c>
      <c r="C1707" t="s">
        <v>20486</v>
      </c>
      <c r="D1707" t="s">
        <v>11</v>
      </c>
      <c r="E1707" t="s">
        <v>3941</v>
      </c>
      <c r="F1707">
        <v>43</v>
      </c>
      <c r="G1707" t="s">
        <v>16</v>
      </c>
      <c r="H1707" t="s">
        <v>9785</v>
      </c>
      <c r="I1707" t="s">
        <v>17</v>
      </c>
      <c r="J1707" t="s">
        <v>3942</v>
      </c>
    </row>
    <row r="1708" spans="1:10" x14ac:dyDescent="0.3">
      <c r="A1708" t="s">
        <v>3943</v>
      </c>
      <c r="B1708" t="s">
        <v>25927</v>
      </c>
      <c r="C1708" t="s">
        <v>20490</v>
      </c>
      <c r="D1708" t="s">
        <v>22</v>
      </c>
      <c r="E1708" t="s">
        <v>3944</v>
      </c>
      <c r="F1708">
        <v>70</v>
      </c>
      <c r="G1708" t="s">
        <v>13</v>
      </c>
      <c r="H1708" t="s">
        <v>46</v>
      </c>
      <c r="I1708" t="s">
        <v>441</v>
      </c>
      <c r="J1708" t="s">
        <v>3945</v>
      </c>
    </row>
    <row r="1709" spans="1:10" x14ac:dyDescent="0.3">
      <c r="A1709" t="s">
        <v>3946</v>
      </c>
      <c r="B1709" t="s">
        <v>25928</v>
      </c>
      <c r="C1709" t="s">
        <v>20486</v>
      </c>
      <c r="D1709" t="s">
        <v>22</v>
      </c>
      <c r="E1709" t="s">
        <v>3947</v>
      </c>
      <c r="F1709">
        <v>65</v>
      </c>
      <c r="G1709" t="s">
        <v>46</v>
      </c>
      <c r="H1709" t="s">
        <v>46</v>
      </c>
      <c r="I1709" t="s">
        <v>228</v>
      </c>
      <c r="J1709" t="s">
        <v>3948</v>
      </c>
    </row>
    <row r="1710" spans="1:10" x14ac:dyDescent="0.3">
      <c r="A1710" t="s">
        <v>3949</v>
      </c>
      <c r="B1710" t="s">
        <v>25929</v>
      </c>
      <c r="C1710" t="s">
        <v>20486</v>
      </c>
      <c r="D1710" t="s">
        <v>22</v>
      </c>
      <c r="E1710" t="s">
        <v>3950</v>
      </c>
      <c r="F1710">
        <v>46</v>
      </c>
      <c r="G1710" t="s">
        <v>16</v>
      </c>
      <c r="H1710" t="s">
        <v>9785</v>
      </c>
      <c r="I1710" t="s">
        <v>17</v>
      </c>
      <c r="J1710" t="s">
        <v>3951</v>
      </c>
    </row>
    <row r="1711" spans="1:10" x14ac:dyDescent="0.3">
      <c r="A1711" t="s">
        <v>3952</v>
      </c>
      <c r="B1711" t="s">
        <v>25930</v>
      </c>
      <c r="C1711" t="s">
        <v>20486</v>
      </c>
      <c r="D1711" t="s">
        <v>22</v>
      </c>
      <c r="E1711" t="s">
        <v>3953</v>
      </c>
      <c r="F1711">
        <v>43</v>
      </c>
      <c r="G1711" t="s">
        <v>46</v>
      </c>
      <c r="H1711" t="s">
        <v>46</v>
      </c>
      <c r="J1711" t="s">
        <v>3954</v>
      </c>
    </row>
    <row r="1712" spans="1:10" x14ac:dyDescent="0.3">
      <c r="A1712" t="s">
        <v>3955</v>
      </c>
      <c r="B1712" t="s">
        <v>25931</v>
      </c>
      <c r="C1712" t="s">
        <v>20489</v>
      </c>
      <c r="D1712" t="s">
        <v>22</v>
      </c>
      <c r="E1712" t="s">
        <v>3956</v>
      </c>
      <c r="F1712">
        <v>39</v>
      </c>
      <c r="G1712" t="s">
        <v>243</v>
      </c>
      <c r="H1712" t="s">
        <v>243</v>
      </c>
    </row>
    <row r="1713" spans="1:10" x14ac:dyDescent="0.3">
      <c r="A1713" t="s">
        <v>3957</v>
      </c>
      <c r="B1713" t="s">
        <v>25932</v>
      </c>
      <c r="C1713" t="s">
        <v>20486</v>
      </c>
      <c r="D1713" t="s">
        <v>22</v>
      </c>
      <c r="E1713" t="s">
        <v>1219</v>
      </c>
      <c r="F1713">
        <v>55</v>
      </c>
      <c r="G1713" t="s">
        <v>109</v>
      </c>
      <c r="H1713" t="s">
        <v>9788</v>
      </c>
      <c r="J1713" t="s">
        <v>3958</v>
      </c>
    </row>
    <row r="1714" spans="1:10" x14ac:dyDescent="0.3">
      <c r="A1714" t="s">
        <v>3959</v>
      </c>
      <c r="B1714" t="s">
        <v>25933</v>
      </c>
      <c r="C1714" t="s">
        <v>20486</v>
      </c>
      <c r="D1714" t="s">
        <v>22</v>
      </c>
      <c r="E1714" t="s">
        <v>3960</v>
      </c>
      <c r="F1714">
        <v>54</v>
      </c>
      <c r="G1714" t="s">
        <v>24</v>
      </c>
      <c r="H1714" t="s">
        <v>9789</v>
      </c>
      <c r="I1714" t="s">
        <v>1074</v>
      </c>
      <c r="J1714" t="s">
        <v>14313</v>
      </c>
    </row>
    <row r="1715" spans="1:10" x14ac:dyDescent="0.3">
      <c r="A1715" t="s">
        <v>3961</v>
      </c>
      <c r="B1715" t="s">
        <v>25934</v>
      </c>
      <c r="C1715" t="s">
        <v>20486</v>
      </c>
      <c r="D1715" t="s">
        <v>11</v>
      </c>
      <c r="E1715" t="s">
        <v>3962</v>
      </c>
      <c r="F1715">
        <v>55</v>
      </c>
      <c r="G1715" t="s">
        <v>46</v>
      </c>
      <c r="H1715" t="s">
        <v>46</v>
      </c>
      <c r="I1715" t="s">
        <v>139</v>
      </c>
      <c r="J1715" t="s">
        <v>3963</v>
      </c>
    </row>
    <row r="1716" spans="1:10" x14ac:dyDescent="0.3">
      <c r="A1716" t="s">
        <v>3964</v>
      </c>
      <c r="B1716" t="s">
        <v>25935</v>
      </c>
      <c r="C1716" t="s">
        <v>20486</v>
      </c>
      <c r="D1716" t="s">
        <v>22</v>
      </c>
      <c r="E1716" t="s">
        <v>3965</v>
      </c>
      <c r="F1716">
        <v>39</v>
      </c>
      <c r="G1716" t="s">
        <v>31</v>
      </c>
      <c r="H1716" t="s">
        <v>31</v>
      </c>
      <c r="I1716" t="s">
        <v>12289</v>
      </c>
    </row>
    <row r="1717" spans="1:10" x14ac:dyDescent="0.3">
      <c r="A1717" t="s">
        <v>3966</v>
      </c>
      <c r="B1717" t="s">
        <v>25936</v>
      </c>
      <c r="C1717" t="s">
        <v>20488</v>
      </c>
      <c r="D1717" t="s">
        <v>11</v>
      </c>
      <c r="E1717" t="s">
        <v>3967</v>
      </c>
      <c r="F1717">
        <v>45</v>
      </c>
      <c r="G1717" t="s">
        <v>46</v>
      </c>
      <c r="H1717" t="s">
        <v>46</v>
      </c>
    </row>
    <row r="1718" spans="1:10" x14ac:dyDescent="0.3">
      <c r="A1718" t="s">
        <v>3969</v>
      </c>
      <c r="B1718" t="s">
        <v>25937</v>
      </c>
      <c r="C1718" t="s">
        <v>20487</v>
      </c>
      <c r="D1718" t="s">
        <v>22</v>
      </c>
      <c r="E1718" t="s">
        <v>3970</v>
      </c>
      <c r="F1718">
        <v>47</v>
      </c>
      <c r="G1718" t="s">
        <v>46</v>
      </c>
      <c r="H1718" t="s">
        <v>46</v>
      </c>
      <c r="I1718" t="s">
        <v>74</v>
      </c>
    </row>
    <row r="1719" spans="1:10" x14ac:dyDescent="0.3">
      <c r="A1719" t="s">
        <v>3971</v>
      </c>
      <c r="B1719" t="s">
        <v>25938</v>
      </c>
      <c r="C1719" t="s">
        <v>20489</v>
      </c>
      <c r="D1719" t="s">
        <v>22</v>
      </c>
      <c r="E1719" t="s">
        <v>3972</v>
      </c>
      <c r="F1719">
        <v>53</v>
      </c>
      <c r="G1719" t="s">
        <v>370</v>
      </c>
      <c r="H1719" t="s">
        <v>46</v>
      </c>
      <c r="I1719" t="s">
        <v>1248</v>
      </c>
    </row>
    <row r="1720" spans="1:10" x14ac:dyDescent="0.3">
      <c r="A1720" t="s">
        <v>3973</v>
      </c>
      <c r="B1720" t="s">
        <v>25939</v>
      </c>
      <c r="C1720" t="s">
        <v>20486</v>
      </c>
      <c r="D1720" t="s">
        <v>22</v>
      </c>
      <c r="E1720" t="s">
        <v>3974</v>
      </c>
      <c r="F1720">
        <v>44</v>
      </c>
      <c r="G1720" t="s">
        <v>46</v>
      </c>
      <c r="H1720" t="s">
        <v>46</v>
      </c>
      <c r="I1720" t="s">
        <v>228</v>
      </c>
      <c r="J1720" t="s">
        <v>3975</v>
      </c>
    </row>
    <row r="1721" spans="1:10" x14ac:dyDescent="0.3">
      <c r="A1721" t="s">
        <v>12290</v>
      </c>
      <c r="B1721" t="s">
        <v>25940</v>
      </c>
      <c r="C1721" t="s">
        <v>20486</v>
      </c>
      <c r="D1721" t="s">
        <v>22</v>
      </c>
      <c r="E1721" t="s">
        <v>9696</v>
      </c>
      <c r="F1721">
        <v>25</v>
      </c>
      <c r="G1721" t="s">
        <v>337</v>
      </c>
      <c r="H1721" t="s">
        <v>337</v>
      </c>
    </row>
    <row r="1722" spans="1:10" x14ac:dyDescent="0.3">
      <c r="A1722" t="s">
        <v>3976</v>
      </c>
      <c r="B1722" t="s">
        <v>25941</v>
      </c>
      <c r="C1722" t="s">
        <v>20486</v>
      </c>
      <c r="D1722" t="s">
        <v>11</v>
      </c>
      <c r="E1722" t="s">
        <v>3977</v>
      </c>
      <c r="F1722">
        <v>31</v>
      </c>
      <c r="G1722" t="s">
        <v>1331</v>
      </c>
      <c r="H1722" t="s">
        <v>9788</v>
      </c>
      <c r="I1722" t="s">
        <v>3978</v>
      </c>
      <c r="J1722" t="s">
        <v>12291</v>
      </c>
    </row>
    <row r="1723" spans="1:10" x14ac:dyDescent="0.3">
      <c r="A1723" t="s">
        <v>3979</v>
      </c>
      <c r="B1723" t="s">
        <v>25942</v>
      </c>
      <c r="C1723" t="s">
        <v>20486</v>
      </c>
      <c r="D1723" t="s">
        <v>22</v>
      </c>
      <c r="E1723" t="s">
        <v>3980</v>
      </c>
      <c r="F1723">
        <v>31</v>
      </c>
      <c r="G1723" t="s">
        <v>31</v>
      </c>
      <c r="H1723" t="s">
        <v>31</v>
      </c>
    </row>
    <row r="1724" spans="1:10" x14ac:dyDescent="0.3">
      <c r="A1724" t="s">
        <v>3981</v>
      </c>
      <c r="B1724" t="s">
        <v>25943</v>
      </c>
      <c r="C1724" t="s">
        <v>20486</v>
      </c>
      <c r="D1724" t="s">
        <v>22</v>
      </c>
      <c r="E1724" t="s">
        <v>3982</v>
      </c>
      <c r="F1724">
        <v>28</v>
      </c>
      <c r="G1724" t="s">
        <v>109</v>
      </c>
      <c r="H1724" t="s">
        <v>9788</v>
      </c>
      <c r="J1724" t="s">
        <v>3983</v>
      </c>
    </row>
    <row r="1725" spans="1:10" x14ac:dyDescent="0.3">
      <c r="A1725" t="s">
        <v>12292</v>
      </c>
      <c r="B1725" t="s">
        <v>25944</v>
      </c>
      <c r="C1725" t="s">
        <v>20486</v>
      </c>
      <c r="D1725" t="s">
        <v>22</v>
      </c>
      <c r="E1725" t="s">
        <v>9695</v>
      </c>
      <c r="F1725">
        <v>26</v>
      </c>
      <c r="H1725" t="s">
        <v>9785</v>
      </c>
      <c r="J1725" t="s">
        <v>9694</v>
      </c>
    </row>
    <row r="1726" spans="1:10" x14ac:dyDescent="0.3">
      <c r="A1726" t="s">
        <v>3984</v>
      </c>
      <c r="B1726" t="s">
        <v>25945</v>
      </c>
      <c r="C1726" t="s">
        <v>20486</v>
      </c>
      <c r="D1726" t="s">
        <v>11</v>
      </c>
      <c r="E1726" t="s">
        <v>3985</v>
      </c>
      <c r="F1726">
        <v>50</v>
      </c>
      <c r="G1726" t="s">
        <v>384</v>
      </c>
    </row>
    <row r="1727" spans="1:10" x14ac:dyDescent="0.3">
      <c r="A1727" t="s">
        <v>3986</v>
      </c>
      <c r="B1727" t="s">
        <v>25946</v>
      </c>
      <c r="C1727" t="s">
        <v>20488</v>
      </c>
      <c r="D1727" t="s">
        <v>22</v>
      </c>
      <c r="E1727" t="s">
        <v>3987</v>
      </c>
      <c r="F1727">
        <v>71</v>
      </c>
      <c r="G1727" t="s">
        <v>31</v>
      </c>
      <c r="H1727" t="s">
        <v>31</v>
      </c>
      <c r="I1727" t="s">
        <v>33</v>
      </c>
    </row>
    <row r="1728" spans="1:10" x14ac:dyDescent="0.3">
      <c r="A1728" t="s">
        <v>3988</v>
      </c>
      <c r="B1728" t="s">
        <v>25947</v>
      </c>
      <c r="C1728" t="s">
        <v>20488</v>
      </c>
      <c r="D1728" t="s">
        <v>11</v>
      </c>
      <c r="E1728" t="s">
        <v>3989</v>
      </c>
      <c r="F1728">
        <v>58</v>
      </c>
      <c r="G1728" t="s">
        <v>2418</v>
      </c>
      <c r="H1728" t="s">
        <v>9787</v>
      </c>
      <c r="I1728" t="s">
        <v>2808</v>
      </c>
      <c r="J1728" t="s">
        <v>3990</v>
      </c>
    </row>
    <row r="1729" spans="1:10" x14ac:dyDescent="0.3">
      <c r="A1729" t="s">
        <v>3991</v>
      </c>
      <c r="B1729" t="s">
        <v>25948</v>
      </c>
      <c r="C1729" t="s">
        <v>20487</v>
      </c>
      <c r="D1729" t="s">
        <v>11</v>
      </c>
      <c r="E1729" t="s">
        <v>606</v>
      </c>
      <c r="F1729">
        <v>48</v>
      </c>
      <c r="G1729" t="s">
        <v>109</v>
      </c>
      <c r="H1729" t="s">
        <v>9788</v>
      </c>
      <c r="I1729" t="s">
        <v>1534</v>
      </c>
      <c r="J1729" t="s">
        <v>2639</v>
      </c>
    </row>
    <row r="1730" spans="1:10" x14ac:dyDescent="0.3">
      <c r="A1730" t="s">
        <v>3992</v>
      </c>
      <c r="B1730" t="s">
        <v>25949</v>
      </c>
      <c r="C1730" t="s">
        <v>20486</v>
      </c>
      <c r="D1730" t="s">
        <v>22</v>
      </c>
      <c r="E1730" t="s">
        <v>3993</v>
      </c>
      <c r="F1730">
        <v>45</v>
      </c>
      <c r="G1730" t="s">
        <v>109</v>
      </c>
      <c r="H1730" t="s">
        <v>9788</v>
      </c>
      <c r="J1730" t="s">
        <v>3994</v>
      </c>
    </row>
    <row r="1731" spans="1:10" x14ac:dyDescent="0.3">
      <c r="A1731" t="s">
        <v>3995</v>
      </c>
      <c r="B1731" t="s">
        <v>25950</v>
      </c>
      <c r="C1731" t="s">
        <v>20487</v>
      </c>
      <c r="D1731" t="s">
        <v>22</v>
      </c>
      <c r="E1731" t="s">
        <v>3996</v>
      </c>
      <c r="F1731">
        <v>61</v>
      </c>
      <c r="G1731" t="s">
        <v>13</v>
      </c>
      <c r="H1731" t="s">
        <v>13</v>
      </c>
      <c r="J1731" t="s">
        <v>3997</v>
      </c>
    </row>
    <row r="1732" spans="1:10" x14ac:dyDescent="0.3">
      <c r="A1732" t="s">
        <v>12293</v>
      </c>
      <c r="B1732" t="s">
        <v>25951</v>
      </c>
      <c r="C1732" t="s">
        <v>20486</v>
      </c>
      <c r="D1732" t="s">
        <v>11</v>
      </c>
      <c r="E1732" t="s">
        <v>9693</v>
      </c>
      <c r="F1732">
        <v>20</v>
      </c>
    </row>
    <row r="1733" spans="1:10" x14ac:dyDescent="0.3">
      <c r="A1733" t="s">
        <v>3998</v>
      </c>
      <c r="B1733" t="s">
        <v>25952</v>
      </c>
      <c r="C1733" t="s">
        <v>20491</v>
      </c>
      <c r="D1733" t="s">
        <v>22</v>
      </c>
      <c r="E1733" t="s">
        <v>3999</v>
      </c>
      <c r="F1733">
        <v>49</v>
      </c>
      <c r="G1733" t="s">
        <v>31</v>
      </c>
      <c r="H1733" t="s">
        <v>31</v>
      </c>
    </row>
    <row r="1734" spans="1:10" x14ac:dyDescent="0.3">
      <c r="A1734" t="s">
        <v>4000</v>
      </c>
      <c r="B1734" t="s">
        <v>25953</v>
      </c>
      <c r="C1734" t="s">
        <v>20486</v>
      </c>
      <c r="D1734" t="s">
        <v>22</v>
      </c>
      <c r="E1734" t="s">
        <v>4001</v>
      </c>
      <c r="F1734">
        <v>43</v>
      </c>
      <c r="G1734" t="s">
        <v>31</v>
      </c>
      <c r="H1734" t="s">
        <v>31</v>
      </c>
      <c r="J1734" t="s">
        <v>33</v>
      </c>
    </row>
    <row r="1735" spans="1:10" x14ac:dyDescent="0.3">
      <c r="A1735" t="s">
        <v>4002</v>
      </c>
      <c r="B1735" t="s">
        <v>25954</v>
      </c>
      <c r="C1735" t="s">
        <v>20487</v>
      </c>
      <c r="D1735" t="s">
        <v>22</v>
      </c>
      <c r="E1735" t="s">
        <v>4003</v>
      </c>
      <c r="F1735">
        <v>55</v>
      </c>
      <c r="G1735" t="s">
        <v>16</v>
      </c>
      <c r="H1735" t="s">
        <v>9785</v>
      </c>
      <c r="J1735" t="s">
        <v>2224</v>
      </c>
    </row>
    <row r="1736" spans="1:10" x14ac:dyDescent="0.3">
      <c r="A1736" t="s">
        <v>4004</v>
      </c>
      <c r="B1736" t="s">
        <v>25955</v>
      </c>
      <c r="C1736" t="s">
        <v>20487</v>
      </c>
      <c r="D1736" t="s">
        <v>11</v>
      </c>
      <c r="E1736" t="s">
        <v>3464</v>
      </c>
      <c r="F1736">
        <v>56</v>
      </c>
      <c r="G1736" t="s">
        <v>16</v>
      </c>
      <c r="H1736" t="s">
        <v>9785</v>
      </c>
      <c r="J1736" t="s">
        <v>4005</v>
      </c>
    </row>
    <row r="1737" spans="1:10" x14ac:dyDescent="0.3">
      <c r="A1737" t="s">
        <v>4006</v>
      </c>
      <c r="B1737" t="s">
        <v>25956</v>
      </c>
      <c r="C1737" t="s">
        <v>20486</v>
      </c>
      <c r="D1737" t="s">
        <v>22</v>
      </c>
      <c r="E1737" t="s">
        <v>4007</v>
      </c>
      <c r="F1737">
        <v>73</v>
      </c>
      <c r="G1737" t="s">
        <v>155</v>
      </c>
      <c r="H1737" t="s">
        <v>9791</v>
      </c>
    </row>
    <row r="1738" spans="1:10" x14ac:dyDescent="0.3">
      <c r="A1738" t="s">
        <v>4008</v>
      </c>
      <c r="B1738" t="s">
        <v>25957</v>
      </c>
      <c r="C1738" t="s">
        <v>20487</v>
      </c>
      <c r="D1738" t="s">
        <v>22</v>
      </c>
      <c r="E1738" t="s">
        <v>4009</v>
      </c>
      <c r="F1738">
        <v>43</v>
      </c>
      <c r="G1738" t="s">
        <v>31</v>
      </c>
      <c r="H1738" t="s">
        <v>31</v>
      </c>
    </row>
    <row r="1739" spans="1:10" x14ac:dyDescent="0.3">
      <c r="A1739" t="s">
        <v>4010</v>
      </c>
      <c r="B1739" t="s">
        <v>25958</v>
      </c>
      <c r="C1739" t="s">
        <v>20486</v>
      </c>
      <c r="D1739" t="s">
        <v>22</v>
      </c>
      <c r="E1739" t="s">
        <v>4011</v>
      </c>
      <c r="F1739">
        <v>19</v>
      </c>
    </row>
    <row r="1740" spans="1:10" x14ac:dyDescent="0.3">
      <c r="A1740" t="s">
        <v>4012</v>
      </c>
      <c r="B1740" t="s">
        <v>25959</v>
      </c>
      <c r="C1740" t="s">
        <v>20486</v>
      </c>
      <c r="D1740" t="s">
        <v>11</v>
      </c>
      <c r="E1740" t="s">
        <v>4013</v>
      </c>
      <c r="F1740">
        <v>66</v>
      </c>
      <c r="G1740" t="s">
        <v>46</v>
      </c>
      <c r="H1740" t="s">
        <v>46</v>
      </c>
      <c r="I1740" t="s">
        <v>3564</v>
      </c>
      <c r="J1740" t="s">
        <v>4014</v>
      </c>
    </row>
    <row r="1741" spans="1:10" x14ac:dyDescent="0.3">
      <c r="A1741" t="s">
        <v>4015</v>
      </c>
      <c r="B1741" t="s">
        <v>25960</v>
      </c>
      <c r="C1741" t="s">
        <v>20491</v>
      </c>
      <c r="D1741" t="s">
        <v>22</v>
      </c>
      <c r="E1741" t="s">
        <v>4016</v>
      </c>
      <c r="F1741">
        <v>75</v>
      </c>
      <c r="G1741" t="s">
        <v>201</v>
      </c>
      <c r="H1741" t="s">
        <v>46</v>
      </c>
      <c r="J1741" t="s">
        <v>908</v>
      </c>
    </row>
    <row r="1742" spans="1:10" x14ac:dyDescent="0.3">
      <c r="A1742" t="s">
        <v>4017</v>
      </c>
      <c r="B1742" t="s">
        <v>25961</v>
      </c>
      <c r="C1742" t="s">
        <v>20490</v>
      </c>
      <c r="D1742" t="s">
        <v>11</v>
      </c>
      <c r="E1742" t="s">
        <v>4018</v>
      </c>
      <c r="F1742">
        <v>57</v>
      </c>
      <c r="G1742" t="s">
        <v>198</v>
      </c>
      <c r="H1742" t="s">
        <v>13</v>
      </c>
    </row>
    <row r="1743" spans="1:10" x14ac:dyDescent="0.3">
      <c r="A1743" t="s">
        <v>12294</v>
      </c>
      <c r="B1743" t="s">
        <v>25962</v>
      </c>
      <c r="C1743" t="s">
        <v>20488</v>
      </c>
      <c r="D1743" t="s">
        <v>22</v>
      </c>
      <c r="E1743" t="s">
        <v>9645</v>
      </c>
      <c r="F1743">
        <v>17</v>
      </c>
      <c r="G1743" t="s">
        <v>337</v>
      </c>
      <c r="H1743" t="s">
        <v>337</v>
      </c>
    </row>
    <row r="1744" spans="1:10" x14ac:dyDescent="0.3">
      <c r="A1744" t="s">
        <v>4019</v>
      </c>
      <c r="B1744" t="s">
        <v>25963</v>
      </c>
      <c r="C1744" t="s">
        <v>20486</v>
      </c>
      <c r="D1744" t="s">
        <v>11</v>
      </c>
      <c r="E1744" t="s">
        <v>4020</v>
      </c>
      <c r="F1744">
        <v>37</v>
      </c>
      <c r="G1744" t="s">
        <v>109</v>
      </c>
      <c r="H1744" t="s">
        <v>9788</v>
      </c>
      <c r="J1744" t="s">
        <v>2374</v>
      </c>
    </row>
    <row r="1745" spans="1:10" x14ac:dyDescent="0.3">
      <c r="A1745" t="s">
        <v>4021</v>
      </c>
      <c r="B1745" t="s">
        <v>25964</v>
      </c>
      <c r="C1745" t="s">
        <v>20486</v>
      </c>
      <c r="D1745" t="s">
        <v>22</v>
      </c>
      <c r="E1745" t="s">
        <v>4022</v>
      </c>
      <c r="F1745">
        <v>76</v>
      </c>
      <c r="G1745" t="s">
        <v>31</v>
      </c>
      <c r="H1745" t="s">
        <v>31</v>
      </c>
      <c r="J1745" t="s">
        <v>33</v>
      </c>
    </row>
    <row r="1746" spans="1:10" x14ac:dyDescent="0.3">
      <c r="A1746" t="s">
        <v>4023</v>
      </c>
      <c r="B1746" t="s">
        <v>25965</v>
      </c>
      <c r="C1746" t="s">
        <v>20486</v>
      </c>
      <c r="D1746" t="s">
        <v>11</v>
      </c>
      <c r="E1746" t="s">
        <v>2356</v>
      </c>
      <c r="F1746">
        <v>54</v>
      </c>
      <c r="G1746" t="s">
        <v>384</v>
      </c>
    </row>
    <row r="1747" spans="1:10" x14ac:dyDescent="0.3">
      <c r="A1747" t="s">
        <v>4024</v>
      </c>
      <c r="B1747" t="s">
        <v>25966</v>
      </c>
      <c r="C1747" t="s">
        <v>20486</v>
      </c>
      <c r="D1747" t="s">
        <v>22</v>
      </c>
      <c r="E1747" t="s">
        <v>4025</v>
      </c>
      <c r="F1747">
        <v>65</v>
      </c>
      <c r="G1747" t="s">
        <v>2418</v>
      </c>
      <c r="H1747" t="s">
        <v>9787</v>
      </c>
      <c r="I1747" t="s">
        <v>703</v>
      </c>
      <c r="J1747" t="s">
        <v>4026</v>
      </c>
    </row>
    <row r="1748" spans="1:10" x14ac:dyDescent="0.3">
      <c r="A1748" t="s">
        <v>4027</v>
      </c>
      <c r="B1748" t="s">
        <v>25967</v>
      </c>
      <c r="C1748" t="s">
        <v>20486</v>
      </c>
      <c r="D1748" t="s">
        <v>22</v>
      </c>
      <c r="E1748" t="s">
        <v>4028</v>
      </c>
      <c r="F1748">
        <v>65</v>
      </c>
      <c r="G1748" t="s">
        <v>31</v>
      </c>
      <c r="H1748" t="s">
        <v>31</v>
      </c>
    </row>
    <row r="1749" spans="1:10" x14ac:dyDescent="0.3">
      <c r="A1749" t="s">
        <v>4029</v>
      </c>
      <c r="B1749" t="s">
        <v>25968</v>
      </c>
      <c r="C1749" t="s">
        <v>20486</v>
      </c>
      <c r="D1749" t="s">
        <v>22</v>
      </c>
      <c r="E1749" t="s">
        <v>4030</v>
      </c>
      <c r="F1749">
        <v>42</v>
      </c>
      <c r="G1749" t="s">
        <v>31</v>
      </c>
      <c r="H1749" t="s">
        <v>31</v>
      </c>
    </row>
    <row r="1750" spans="1:10" x14ac:dyDescent="0.3">
      <c r="A1750" t="s">
        <v>4031</v>
      </c>
      <c r="B1750" t="s">
        <v>25969</v>
      </c>
      <c r="C1750" t="s">
        <v>20486</v>
      </c>
      <c r="D1750" t="s">
        <v>11</v>
      </c>
      <c r="E1750" t="s">
        <v>4032</v>
      </c>
      <c r="F1750">
        <v>45</v>
      </c>
      <c r="G1750" t="s">
        <v>133</v>
      </c>
      <c r="H1750" t="s">
        <v>9789</v>
      </c>
    </row>
    <row r="1751" spans="1:10" x14ac:dyDescent="0.3">
      <c r="A1751" t="s">
        <v>4033</v>
      </c>
      <c r="B1751" t="s">
        <v>25970</v>
      </c>
      <c r="C1751" t="s">
        <v>20486</v>
      </c>
      <c r="D1751" t="s">
        <v>22</v>
      </c>
      <c r="E1751" t="s">
        <v>4034</v>
      </c>
      <c r="F1751">
        <v>38</v>
      </c>
      <c r="G1751" t="s">
        <v>109</v>
      </c>
      <c r="H1751" t="s">
        <v>9788</v>
      </c>
      <c r="I1751" t="s">
        <v>971</v>
      </c>
      <c r="J1751" t="s">
        <v>225</v>
      </c>
    </row>
    <row r="1752" spans="1:10" x14ac:dyDescent="0.3">
      <c r="A1752" t="s">
        <v>4035</v>
      </c>
      <c r="B1752" t="s">
        <v>25971</v>
      </c>
      <c r="C1752" t="s">
        <v>20491</v>
      </c>
      <c r="D1752" t="s">
        <v>22</v>
      </c>
      <c r="E1752" t="s">
        <v>4036</v>
      </c>
      <c r="F1752">
        <v>28</v>
      </c>
      <c r="G1752" t="s">
        <v>231</v>
      </c>
      <c r="H1752" t="s">
        <v>9788</v>
      </c>
      <c r="J1752" t="s">
        <v>1861</v>
      </c>
    </row>
    <row r="1753" spans="1:10" x14ac:dyDescent="0.3">
      <c r="A1753" t="s">
        <v>4037</v>
      </c>
      <c r="B1753" t="s">
        <v>25972</v>
      </c>
      <c r="C1753" t="s">
        <v>20490</v>
      </c>
      <c r="D1753" t="s">
        <v>11</v>
      </c>
      <c r="E1753" t="s">
        <v>4038</v>
      </c>
      <c r="F1753">
        <v>38</v>
      </c>
      <c r="G1753" t="s">
        <v>46</v>
      </c>
      <c r="H1753" t="s">
        <v>46</v>
      </c>
      <c r="J1753" t="s">
        <v>4039</v>
      </c>
    </row>
    <row r="1754" spans="1:10" x14ac:dyDescent="0.3">
      <c r="A1754" t="s">
        <v>4040</v>
      </c>
      <c r="B1754" t="s">
        <v>25973</v>
      </c>
      <c r="C1754" t="s">
        <v>20488</v>
      </c>
      <c r="D1754" t="s">
        <v>11</v>
      </c>
      <c r="E1754" t="s">
        <v>4041</v>
      </c>
      <c r="F1754">
        <v>35</v>
      </c>
      <c r="G1754" t="s">
        <v>109</v>
      </c>
      <c r="H1754" t="s">
        <v>9788</v>
      </c>
      <c r="J1754" t="s">
        <v>4042</v>
      </c>
    </row>
    <row r="1755" spans="1:10" x14ac:dyDescent="0.3">
      <c r="A1755" t="s">
        <v>4043</v>
      </c>
      <c r="B1755" t="s">
        <v>25974</v>
      </c>
      <c r="C1755" t="s">
        <v>20489</v>
      </c>
      <c r="D1755" t="s">
        <v>22</v>
      </c>
      <c r="E1755" t="s">
        <v>4044</v>
      </c>
      <c r="F1755">
        <v>18</v>
      </c>
      <c r="G1755" t="s">
        <v>337</v>
      </c>
      <c r="H1755" t="s">
        <v>337</v>
      </c>
      <c r="J1755" t="s">
        <v>627</v>
      </c>
    </row>
    <row r="1756" spans="1:10" x14ac:dyDescent="0.3">
      <c r="A1756" t="s">
        <v>4045</v>
      </c>
      <c r="B1756" t="s">
        <v>25975</v>
      </c>
      <c r="C1756" t="s">
        <v>20486</v>
      </c>
      <c r="D1756" t="s">
        <v>22</v>
      </c>
      <c r="E1756" t="s">
        <v>3081</v>
      </c>
      <c r="F1756">
        <v>34</v>
      </c>
      <c r="G1756" t="s">
        <v>109</v>
      </c>
      <c r="H1756" t="s">
        <v>9788</v>
      </c>
      <c r="I1756" t="s">
        <v>703</v>
      </c>
      <c r="J1756" t="s">
        <v>4046</v>
      </c>
    </row>
    <row r="1757" spans="1:10" x14ac:dyDescent="0.3">
      <c r="A1757" t="s">
        <v>12295</v>
      </c>
      <c r="B1757" t="s">
        <v>25976</v>
      </c>
      <c r="C1757" t="s">
        <v>20486</v>
      </c>
      <c r="D1757" t="s">
        <v>22</v>
      </c>
      <c r="E1757" t="s">
        <v>3197</v>
      </c>
      <c r="F1757">
        <v>35</v>
      </c>
      <c r="G1757" t="s">
        <v>109</v>
      </c>
      <c r="H1757" t="s">
        <v>9788</v>
      </c>
      <c r="I1757" t="s">
        <v>12296</v>
      </c>
      <c r="J1757" t="s">
        <v>12297</v>
      </c>
    </row>
    <row r="1758" spans="1:10" x14ac:dyDescent="0.3">
      <c r="A1758" t="s">
        <v>4047</v>
      </c>
      <c r="B1758" t="s">
        <v>25977</v>
      </c>
      <c r="C1758" t="s">
        <v>20486</v>
      </c>
      <c r="D1758" t="s">
        <v>11</v>
      </c>
      <c r="E1758" t="s">
        <v>4048</v>
      </c>
      <c r="F1758">
        <v>21</v>
      </c>
      <c r="G1758" t="s">
        <v>243</v>
      </c>
      <c r="H1758" t="s">
        <v>337</v>
      </c>
      <c r="I1758" t="s">
        <v>7020</v>
      </c>
    </row>
    <row r="1759" spans="1:10" x14ac:dyDescent="0.3">
      <c r="A1759" t="s">
        <v>4049</v>
      </c>
      <c r="B1759" t="s">
        <v>25978</v>
      </c>
      <c r="C1759" t="s">
        <v>20488</v>
      </c>
      <c r="D1759" t="s">
        <v>22</v>
      </c>
      <c r="E1759" t="s">
        <v>14314</v>
      </c>
      <c r="F1759">
        <v>44</v>
      </c>
      <c r="G1759" t="s">
        <v>31</v>
      </c>
      <c r="H1759" t="s">
        <v>31</v>
      </c>
      <c r="I1759" t="s">
        <v>33</v>
      </c>
    </row>
    <row r="1760" spans="1:10" x14ac:dyDescent="0.3">
      <c r="A1760" t="s">
        <v>4051</v>
      </c>
      <c r="B1760" t="s">
        <v>25979</v>
      </c>
      <c r="C1760" t="s">
        <v>20486</v>
      </c>
      <c r="D1760" t="s">
        <v>22</v>
      </c>
      <c r="E1760" t="s">
        <v>2178</v>
      </c>
      <c r="F1760">
        <v>46</v>
      </c>
      <c r="G1760" t="s">
        <v>133</v>
      </c>
      <c r="H1760" t="s">
        <v>9789</v>
      </c>
      <c r="I1760" t="s">
        <v>900</v>
      </c>
      <c r="J1760" t="s">
        <v>1091</v>
      </c>
    </row>
    <row r="1761" spans="1:10" x14ac:dyDescent="0.3">
      <c r="A1761" t="s">
        <v>4052</v>
      </c>
      <c r="B1761" t="s">
        <v>25980</v>
      </c>
      <c r="C1761" t="s">
        <v>20486</v>
      </c>
      <c r="D1761" t="s">
        <v>11</v>
      </c>
      <c r="E1761" t="s">
        <v>4053</v>
      </c>
      <c r="F1761">
        <v>60</v>
      </c>
    </row>
    <row r="1762" spans="1:10" x14ac:dyDescent="0.3">
      <c r="A1762" t="s">
        <v>4054</v>
      </c>
      <c r="B1762" t="s">
        <v>25981</v>
      </c>
      <c r="C1762" t="s">
        <v>20488</v>
      </c>
      <c r="D1762" t="s">
        <v>11</v>
      </c>
      <c r="E1762" t="s">
        <v>4055</v>
      </c>
      <c r="F1762">
        <v>46</v>
      </c>
      <c r="G1762" t="s">
        <v>109</v>
      </c>
      <c r="H1762" t="s">
        <v>9788</v>
      </c>
    </row>
    <row r="1763" spans="1:10" x14ac:dyDescent="0.3">
      <c r="A1763" t="s">
        <v>4056</v>
      </c>
      <c r="B1763" t="s">
        <v>25982</v>
      </c>
      <c r="C1763" t="s">
        <v>20486</v>
      </c>
      <c r="D1763" t="s">
        <v>22</v>
      </c>
      <c r="E1763" t="s">
        <v>4057</v>
      </c>
      <c r="F1763">
        <v>42</v>
      </c>
      <c r="G1763" t="s">
        <v>109</v>
      </c>
      <c r="H1763" t="s">
        <v>9788</v>
      </c>
      <c r="I1763" t="s">
        <v>923</v>
      </c>
      <c r="J1763" t="s">
        <v>4058</v>
      </c>
    </row>
    <row r="1764" spans="1:10" x14ac:dyDescent="0.3">
      <c r="A1764" t="s">
        <v>4059</v>
      </c>
      <c r="B1764" t="s">
        <v>25983</v>
      </c>
      <c r="C1764" t="s">
        <v>20489</v>
      </c>
      <c r="D1764" t="s">
        <v>22</v>
      </c>
      <c r="E1764" t="s">
        <v>4060</v>
      </c>
      <c r="F1764">
        <v>43</v>
      </c>
      <c r="G1764" t="s">
        <v>16</v>
      </c>
      <c r="H1764" t="s">
        <v>9785</v>
      </c>
      <c r="I1764" t="s">
        <v>17</v>
      </c>
      <c r="J1764" t="s">
        <v>642</v>
      </c>
    </row>
    <row r="1765" spans="1:10" x14ac:dyDescent="0.3">
      <c r="A1765" t="s">
        <v>4061</v>
      </c>
      <c r="B1765" t="s">
        <v>25984</v>
      </c>
      <c r="C1765" t="s">
        <v>20488</v>
      </c>
      <c r="D1765" t="s">
        <v>11</v>
      </c>
      <c r="E1765" t="s">
        <v>4062</v>
      </c>
      <c r="F1765">
        <v>48</v>
      </c>
      <c r="G1765" t="s">
        <v>46</v>
      </c>
      <c r="H1765" t="s">
        <v>46</v>
      </c>
      <c r="I1765" t="s">
        <v>4063</v>
      </c>
    </row>
    <row r="1766" spans="1:10" x14ac:dyDescent="0.3">
      <c r="A1766" t="s">
        <v>4064</v>
      </c>
      <c r="B1766" t="s">
        <v>25985</v>
      </c>
      <c r="C1766" t="s">
        <v>20487</v>
      </c>
      <c r="D1766" t="s">
        <v>22</v>
      </c>
      <c r="E1766" t="s">
        <v>1626</v>
      </c>
      <c r="F1766">
        <v>56</v>
      </c>
      <c r="G1766" t="s">
        <v>16</v>
      </c>
      <c r="H1766" t="s">
        <v>9785</v>
      </c>
      <c r="J1766" t="s">
        <v>2224</v>
      </c>
    </row>
    <row r="1767" spans="1:10" x14ac:dyDescent="0.3">
      <c r="A1767" t="s">
        <v>4065</v>
      </c>
      <c r="B1767" t="s">
        <v>25986</v>
      </c>
      <c r="C1767" t="s">
        <v>20487</v>
      </c>
      <c r="D1767" t="s">
        <v>22</v>
      </c>
      <c r="E1767" t="s">
        <v>2246</v>
      </c>
      <c r="F1767">
        <v>64</v>
      </c>
      <c r="G1767" t="s">
        <v>13</v>
      </c>
      <c r="H1767" t="s">
        <v>13</v>
      </c>
      <c r="J1767" t="s">
        <v>4066</v>
      </c>
    </row>
    <row r="1768" spans="1:10" x14ac:dyDescent="0.3">
      <c r="A1768" t="s">
        <v>4068</v>
      </c>
      <c r="B1768" t="s">
        <v>25987</v>
      </c>
      <c r="C1768" t="s">
        <v>20486</v>
      </c>
      <c r="D1768" t="s">
        <v>22</v>
      </c>
      <c r="E1768" t="s">
        <v>3350</v>
      </c>
      <c r="F1768">
        <v>43</v>
      </c>
      <c r="G1768" t="s">
        <v>31</v>
      </c>
      <c r="H1768" t="s">
        <v>31</v>
      </c>
      <c r="I1768" t="s">
        <v>201</v>
      </c>
      <c r="J1768" t="s">
        <v>4069</v>
      </c>
    </row>
    <row r="1769" spans="1:10" x14ac:dyDescent="0.3">
      <c r="A1769" t="s">
        <v>4070</v>
      </c>
      <c r="B1769" t="s">
        <v>25988</v>
      </c>
      <c r="C1769" t="s">
        <v>20487</v>
      </c>
      <c r="D1769" t="s">
        <v>22</v>
      </c>
      <c r="E1769" t="s">
        <v>4071</v>
      </c>
      <c r="F1769">
        <v>47</v>
      </c>
      <c r="G1769" t="s">
        <v>16</v>
      </c>
      <c r="H1769" t="s">
        <v>9785</v>
      </c>
      <c r="J1769" t="s">
        <v>2312</v>
      </c>
    </row>
    <row r="1770" spans="1:10" x14ac:dyDescent="0.3">
      <c r="A1770" t="s">
        <v>4072</v>
      </c>
      <c r="B1770" t="s">
        <v>25989</v>
      </c>
      <c r="C1770" t="s">
        <v>20486</v>
      </c>
      <c r="D1770" t="s">
        <v>22</v>
      </c>
      <c r="E1770" t="s">
        <v>2742</v>
      </c>
      <c r="F1770">
        <v>44</v>
      </c>
      <c r="G1770" t="s">
        <v>109</v>
      </c>
      <c r="H1770" t="s">
        <v>9788</v>
      </c>
      <c r="I1770" t="s">
        <v>4073</v>
      </c>
      <c r="J1770" t="s">
        <v>4074</v>
      </c>
    </row>
    <row r="1771" spans="1:10" x14ac:dyDescent="0.3">
      <c r="A1771" t="s">
        <v>12298</v>
      </c>
      <c r="B1771" t="s">
        <v>25990</v>
      </c>
      <c r="C1771" t="s">
        <v>20486</v>
      </c>
      <c r="D1771" t="s">
        <v>11</v>
      </c>
      <c r="E1771" t="s">
        <v>9692</v>
      </c>
      <c r="F1771">
        <v>17</v>
      </c>
      <c r="G1771" t="s">
        <v>243</v>
      </c>
      <c r="H1771" t="s">
        <v>337</v>
      </c>
      <c r="I1771" t="s">
        <v>7020</v>
      </c>
      <c r="J1771" t="s">
        <v>14315</v>
      </c>
    </row>
    <row r="1772" spans="1:10" x14ac:dyDescent="0.3">
      <c r="A1772" t="s">
        <v>4075</v>
      </c>
      <c r="B1772" t="s">
        <v>25991</v>
      </c>
      <c r="C1772" t="s">
        <v>20489</v>
      </c>
      <c r="D1772" t="s">
        <v>22</v>
      </c>
      <c r="E1772" t="s">
        <v>4076</v>
      </c>
      <c r="F1772">
        <v>67</v>
      </c>
      <c r="G1772" t="s">
        <v>13</v>
      </c>
      <c r="H1772" t="s">
        <v>13</v>
      </c>
      <c r="I1772" t="s">
        <v>110</v>
      </c>
      <c r="J1772" t="s">
        <v>4077</v>
      </c>
    </row>
    <row r="1773" spans="1:10" x14ac:dyDescent="0.3">
      <c r="A1773" t="s">
        <v>4078</v>
      </c>
      <c r="B1773" t="s">
        <v>25992</v>
      </c>
      <c r="C1773" t="s">
        <v>20486</v>
      </c>
      <c r="D1773" t="s">
        <v>22</v>
      </c>
      <c r="E1773" t="s">
        <v>4079</v>
      </c>
      <c r="F1773">
        <v>41</v>
      </c>
      <c r="G1773" t="s">
        <v>384</v>
      </c>
    </row>
    <row r="1774" spans="1:10" x14ac:dyDescent="0.3">
      <c r="A1774" t="s">
        <v>12299</v>
      </c>
      <c r="B1774" t="s">
        <v>25993</v>
      </c>
      <c r="C1774" t="s">
        <v>20486</v>
      </c>
      <c r="D1774" t="s">
        <v>11</v>
      </c>
      <c r="E1774" t="s">
        <v>9691</v>
      </c>
      <c r="F1774">
        <v>23</v>
      </c>
    </row>
    <row r="1775" spans="1:10" x14ac:dyDescent="0.3">
      <c r="A1775" t="s">
        <v>4080</v>
      </c>
      <c r="B1775" t="s">
        <v>25994</v>
      </c>
      <c r="C1775" t="s">
        <v>20486</v>
      </c>
      <c r="D1775" t="s">
        <v>22</v>
      </c>
      <c r="E1775" t="s">
        <v>4081</v>
      </c>
      <c r="F1775">
        <v>55</v>
      </c>
      <c r="H1775" t="s">
        <v>31</v>
      </c>
      <c r="J1775" t="s">
        <v>33</v>
      </c>
    </row>
    <row r="1776" spans="1:10" x14ac:dyDescent="0.3">
      <c r="A1776" t="s">
        <v>4082</v>
      </c>
      <c r="B1776" t="s">
        <v>25995</v>
      </c>
      <c r="C1776" t="s">
        <v>20491</v>
      </c>
      <c r="D1776" t="s">
        <v>22</v>
      </c>
      <c r="E1776" t="s">
        <v>4083</v>
      </c>
      <c r="F1776">
        <v>56</v>
      </c>
      <c r="G1776" t="s">
        <v>201</v>
      </c>
      <c r="H1776" t="s">
        <v>46</v>
      </c>
    </row>
    <row r="1777" spans="1:10" x14ac:dyDescent="0.3">
      <c r="A1777" t="s">
        <v>4084</v>
      </c>
      <c r="B1777" t="s">
        <v>25996</v>
      </c>
      <c r="C1777" t="s">
        <v>20486</v>
      </c>
      <c r="D1777" t="s">
        <v>22</v>
      </c>
      <c r="E1777" t="s">
        <v>1338</v>
      </c>
      <c r="F1777">
        <v>53</v>
      </c>
      <c r="G1777" t="s">
        <v>384</v>
      </c>
    </row>
    <row r="1778" spans="1:10" x14ac:dyDescent="0.3">
      <c r="A1778" t="s">
        <v>4085</v>
      </c>
      <c r="B1778" t="s">
        <v>25997</v>
      </c>
      <c r="C1778" t="s">
        <v>20486</v>
      </c>
      <c r="D1778" t="s">
        <v>11</v>
      </c>
      <c r="E1778" t="s">
        <v>4086</v>
      </c>
      <c r="F1778">
        <v>38</v>
      </c>
    </row>
    <row r="1779" spans="1:10" x14ac:dyDescent="0.3">
      <c r="A1779" t="s">
        <v>4087</v>
      </c>
      <c r="B1779" t="s">
        <v>25998</v>
      </c>
      <c r="C1779" t="s">
        <v>20486</v>
      </c>
      <c r="D1779" t="s">
        <v>22</v>
      </c>
      <c r="E1779" t="s">
        <v>12300</v>
      </c>
      <c r="F1779">
        <v>69</v>
      </c>
      <c r="G1779" t="s">
        <v>31</v>
      </c>
      <c r="H1779" t="s">
        <v>31</v>
      </c>
      <c r="I1779" t="s">
        <v>201</v>
      </c>
      <c r="J1779" t="s">
        <v>18819</v>
      </c>
    </row>
    <row r="1780" spans="1:10" x14ac:dyDescent="0.3">
      <c r="A1780" t="s">
        <v>4088</v>
      </c>
      <c r="B1780" t="s">
        <v>25999</v>
      </c>
      <c r="C1780" t="s">
        <v>20490</v>
      </c>
      <c r="D1780" t="s">
        <v>22</v>
      </c>
      <c r="E1780" t="s">
        <v>4089</v>
      </c>
      <c r="F1780">
        <v>36</v>
      </c>
      <c r="G1780" t="s">
        <v>370</v>
      </c>
      <c r="H1780" t="s">
        <v>46</v>
      </c>
      <c r="I1780" t="s">
        <v>4090</v>
      </c>
    </row>
    <row r="1781" spans="1:10" x14ac:dyDescent="0.3">
      <c r="A1781" t="s">
        <v>4091</v>
      </c>
      <c r="B1781" t="s">
        <v>26000</v>
      </c>
      <c r="C1781" t="s">
        <v>20490</v>
      </c>
      <c r="D1781" t="s">
        <v>22</v>
      </c>
      <c r="E1781" t="s">
        <v>2134</v>
      </c>
      <c r="F1781">
        <v>54</v>
      </c>
      <c r="G1781" t="s">
        <v>370</v>
      </c>
      <c r="H1781" t="s">
        <v>46</v>
      </c>
      <c r="I1781" t="s">
        <v>4092</v>
      </c>
    </row>
    <row r="1782" spans="1:10" x14ac:dyDescent="0.3">
      <c r="A1782" t="s">
        <v>4093</v>
      </c>
      <c r="B1782" t="s">
        <v>26001</v>
      </c>
      <c r="C1782" t="s">
        <v>20490</v>
      </c>
      <c r="D1782" t="s">
        <v>22</v>
      </c>
      <c r="E1782" t="s">
        <v>1472</v>
      </c>
      <c r="F1782">
        <v>39</v>
      </c>
      <c r="G1782" t="s">
        <v>109</v>
      </c>
      <c r="H1782" t="s">
        <v>9788</v>
      </c>
      <c r="J1782" t="s">
        <v>4094</v>
      </c>
    </row>
    <row r="1783" spans="1:10" x14ac:dyDescent="0.3">
      <c r="A1783" t="s">
        <v>4096</v>
      </c>
      <c r="B1783" t="s">
        <v>26002</v>
      </c>
      <c r="C1783" t="s">
        <v>20486</v>
      </c>
      <c r="D1783" t="s">
        <v>22</v>
      </c>
      <c r="E1783" t="s">
        <v>4097</v>
      </c>
      <c r="F1783">
        <v>33</v>
      </c>
      <c r="G1783" t="s">
        <v>243</v>
      </c>
      <c r="H1783" t="s">
        <v>243</v>
      </c>
    </row>
    <row r="1784" spans="1:10" x14ac:dyDescent="0.3">
      <c r="A1784" t="s">
        <v>4098</v>
      </c>
      <c r="B1784" t="s">
        <v>26003</v>
      </c>
      <c r="C1784" t="s">
        <v>20486</v>
      </c>
      <c r="D1784" t="s">
        <v>22</v>
      </c>
      <c r="E1784" t="s">
        <v>4099</v>
      </c>
      <c r="F1784">
        <v>40</v>
      </c>
      <c r="G1784" t="s">
        <v>4100</v>
      </c>
      <c r="H1784" t="s">
        <v>9788</v>
      </c>
      <c r="I1784" t="s">
        <v>4101</v>
      </c>
      <c r="J1784" t="s">
        <v>4102</v>
      </c>
    </row>
    <row r="1785" spans="1:10" x14ac:dyDescent="0.3">
      <c r="A1785" t="s">
        <v>4103</v>
      </c>
      <c r="B1785" t="s">
        <v>26004</v>
      </c>
      <c r="C1785" t="s">
        <v>20487</v>
      </c>
      <c r="D1785" t="s">
        <v>11</v>
      </c>
      <c r="E1785" t="s">
        <v>4104</v>
      </c>
      <c r="F1785">
        <v>41</v>
      </c>
      <c r="G1785" t="s">
        <v>46</v>
      </c>
      <c r="H1785" t="s">
        <v>46</v>
      </c>
      <c r="I1785" t="s">
        <v>220</v>
      </c>
      <c r="J1785" t="s">
        <v>4105</v>
      </c>
    </row>
    <row r="1786" spans="1:10" x14ac:dyDescent="0.3">
      <c r="A1786" t="s">
        <v>4106</v>
      </c>
      <c r="B1786" t="s">
        <v>26005</v>
      </c>
      <c r="C1786" t="s">
        <v>20486</v>
      </c>
      <c r="D1786" t="s">
        <v>22</v>
      </c>
      <c r="E1786" t="s">
        <v>4107</v>
      </c>
      <c r="F1786">
        <v>42</v>
      </c>
      <c r="G1786" t="s">
        <v>46</v>
      </c>
      <c r="H1786" t="s">
        <v>46</v>
      </c>
      <c r="J1786" t="s">
        <v>4108</v>
      </c>
    </row>
    <row r="1787" spans="1:10" x14ac:dyDescent="0.3">
      <c r="A1787" t="s">
        <v>4109</v>
      </c>
      <c r="B1787" t="s">
        <v>26006</v>
      </c>
      <c r="C1787" t="s">
        <v>20486</v>
      </c>
      <c r="D1787" t="s">
        <v>22</v>
      </c>
      <c r="E1787" t="s">
        <v>4110</v>
      </c>
      <c r="F1787">
        <v>49</v>
      </c>
      <c r="G1787" t="s">
        <v>31</v>
      </c>
      <c r="H1787" t="s">
        <v>31</v>
      </c>
    </row>
    <row r="1788" spans="1:10" x14ac:dyDescent="0.3">
      <c r="A1788" t="s">
        <v>4111</v>
      </c>
      <c r="B1788" t="s">
        <v>26007</v>
      </c>
      <c r="C1788" t="s">
        <v>20489</v>
      </c>
      <c r="D1788" t="s">
        <v>22</v>
      </c>
      <c r="E1788" t="s">
        <v>2343</v>
      </c>
      <c r="F1788">
        <v>49</v>
      </c>
      <c r="G1788" t="s">
        <v>370</v>
      </c>
      <c r="H1788" t="s">
        <v>46</v>
      </c>
      <c r="I1788" t="s">
        <v>228</v>
      </c>
    </row>
    <row r="1789" spans="1:10" x14ac:dyDescent="0.3">
      <c r="A1789" t="s">
        <v>4112</v>
      </c>
      <c r="B1789" t="s">
        <v>26008</v>
      </c>
      <c r="C1789" t="s">
        <v>20486</v>
      </c>
      <c r="D1789" t="s">
        <v>22</v>
      </c>
      <c r="E1789" t="s">
        <v>4113</v>
      </c>
      <c r="F1789">
        <v>51</v>
      </c>
      <c r="G1789" t="s">
        <v>46</v>
      </c>
      <c r="H1789" t="s">
        <v>46</v>
      </c>
      <c r="I1789" t="s">
        <v>346</v>
      </c>
      <c r="J1789" t="s">
        <v>14316</v>
      </c>
    </row>
    <row r="1790" spans="1:10" x14ac:dyDescent="0.3">
      <c r="A1790" t="s">
        <v>4114</v>
      </c>
      <c r="B1790" t="s">
        <v>26009</v>
      </c>
      <c r="C1790" t="s">
        <v>20486</v>
      </c>
      <c r="D1790" t="s">
        <v>11</v>
      </c>
      <c r="E1790" t="s">
        <v>4115</v>
      </c>
      <c r="F1790">
        <v>34</v>
      </c>
      <c r="G1790" t="s">
        <v>109</v>
      </c>
      <c r="H1790" t="s">
        <v>9788</v>
      </c>
      <c r="J1790" t="s">
        <v>4116</v>
      </c>
    </row>
    <row r="1791" spans="1:10" x14ac:dyDescent="0.3">
      <c r="A1791" t="s">
        <v>4117</v>
      </c>
      <c r="B1791" t="s">
        <v>26010</v>
      </c>
      <c r="C1791" t="s">
        <v>20486</v>
      </c>
      <c r="D1791" t="s">
        <v>11</v>
      </c>
      <c r="E1791" t="s">
        <v>4118</v>
      </c>
      <c r="F1791">
        <v>57</v>
      </c>
      <c r="G1791" t="s">
        <v>16</v>
      </c>
      <c r="H1791" t="s">
        <v>9785</v>
      </c>
      <c r="I1791" t="s">
        <v>17</v>
      </c>
      <c r="J1791" t="s">
        <v>4119</v>
      </c>
    </row>
    <row r="1792" spans="1:10" x14ac:dyDescent="0.3">
      <c r="A1792" t="s">
        <v>4120</v>
      </c>
      <c r="B1792" t="s">
        <v>26011</v>
      </c>
      <c r="C1792" t="s">
        <v>20486</v>
      </c>
      <c r="D1792" t="s">
        <v>22</v>
      </c>
      <c r="E1792" t="s">
        <v>4121</v>
      </c>
      <c r="F1792">
        <v>60</v>
      </c>
      <c r="G1792" t="s">
        <v>16</v>
      </c>
      <c r="H1792" t="s">
        <v>9785</v>
      </c>
      <c r="I1792" t="s">
        <v>17</v>
      </c>
      <c r="J1792" t="s">
        <v>354</v>
      </c>
    </row>
    <row r="1793" spans="1:10" x14ac:dyDescent="0.3">
      <c r="A1793" t="s">
        <v>4122</v>
      </c>
      <c r="B1793" t="s">
        <v>26012</v>
      </c>
      <c r="C1793" t="s">
        <v>20486</v>
      </c>
      <c r="D1793" t="s">
        <v>22</v>
      </c>
      <c r="E1793" t="s">
        <v>4123</v>
      </c>
      <c r="F1793">
        <v>72</v>
      </c>
      <c r="G1793" t="s">
        <v>13</v>
      </c>
      <c r="H1793" t="s">
        <v>13</v>
      </c>
    </row>
    <row r="1794" spans="1:10" x14ac:dyDescent="0.3">
      <c r="A1794" t="s">
        <v>4124</v>
      </c>
      <c r="B1794" t="s">
        <v>26013</v>
      </c>
      <c r="C1794" t="s">
        <v>20486</v>
      </c>
      <c r="D1794" t="s">
        <v>22</v>
      </c>
      <c r="E1794" t="s">
        <v>4125</v>
      </c>
      <c r="F1794">
        <v>69</v>
      </c>
      <c r="G1794" t="s">
        <v>46</v>
      </c>
      <c r="H1794" t="s">
        <v>46</v>
      </c>
      <c r="I1794" t="s">
        <v>228</v>
      </c>
      <c r="J1794" t="s">
        <v>4126</v>
      </c>
    </row>
    <row r="1795" spans="1:10" x14ac:dyDescent="0.3">
      <c r="A1795" t="s">
        <v>4127</v>
      </c>
      <c r="B1795" t="s">
        <v>26014</v>
      </c>
      <c r="C1795" t="s">
        <v>20489</v>
      </c>
      <c r="D1795" t="s">
        <v>22</v>
      </c>
      <c r="E1795" t="s">
        <v>4128</v>
      </c>
      <c r="F1795">
        <v>49</v>
      </c>
      <c r="G1795" t="s">
        <v>370</v>
      </c>
      <c r="H1795" t="s">
        <v>46</v>
      </c>
      <c r="I1795" t="s">
        <v>14317</v>
      </c>
      <c r="J1795" t="s">
        <v>4129</v>
      </c>
    </row>
    <row r="1796" spans="1:10" x14ac:dyDescent="0.3">
      <c r="A1796" t="s">
        <v>4130</v>
      </c>
      <c r="B1796" t="s">
        <v>26015</v>
      </c>
      <c r="C1796" t="s">
        <v>20486</v>
      </c>
      <c r="D1796" t="s">
        <v>22</v>
      </c>
      <c r="E1796" t="s">
        <v>2180</v>
      </c>
      <c r="F1796">
        <v>57</v>
      </c>
      <c r="G1796" t="s">
        <v>384</v>
      </c>
    </row>
    <row r="1797" spans="1:10" x14ac:dyDescent="0.3">
      <c r="A1797" t="s">
        <v>4131</v>
      </c>
      <c r="B1797" t="s">
        <v>26016</v>
      </c>
      <c r="C1797" t="s">
        <v>20486</v>
      </c>
      <c r="D1797" t="s">
        <v>11</v>
      </c>
      <c r="E1797" t="s">
        <v>4132</v>
      </c>
      <c r="F1797">
        <v>47</v>
      </c>
      <c r="G1797" t="s">
        <v>172</v>
      </c>
      <c r="H1797" t="s">
        <v>12099</v>
      </c>
      <c r="J1797" t="s">
        <v>4133</v>
      </c>
    </row>
    <row r="1798" spans="1:10" x14ac:dyDescent="0.3">
      <c r="A1798" t="s">
        <v>4134</v>
      </c>
      <c r="B1798" t="s">
        <v>26017</v>
      </c>
      <c r="C1798" t="s">
        <v>20486</v>
      </c>
      <c r="D1798" t="s">
        <v>11</v>
      </c>
      <c r="E1798" t="s">
        <v>4135</v>
      </c>
      <c r="F1798">
        <v>45</v>
      </c>
      <c r="G1798" t="s">
        <v>133</v>
      </c>
      <c r="H1798" t="s">
        <v>9789</v>
      </c>
      <c r="I1798" t="s">
        <v>2477</v>
      </c>
      <c r="J1798" t="s">
        <v>1631</v>
      </c>
    </row>
    <row r="1799" spans="1:10" x14ac:dyDescent="0.3">
      <c r="A1799" t="s">
        <v>4136</v>
      </c>
      <c r="B1799" t="s">
        <v>26018</v>
      </c>
      <c r="C1799" t="s">
        <v>20486</v>
      </c>
      <c r="D1799" t="s">
        <v>22</v>
      </c>
      <c r="E1799" t="s">
        <v>4137</v>
      </c>
      <c r="F1799">
        <v>44</v>
      </c>
      <c r="G1799" t="s">
        <v>172</v>
      </c>
      <c r="H1799" t="s">
        <v>12099</v>
      </c>
      <c r="J1799" t="s">
        <v>4138</v>
      </c>
    </row>
    <row r="1800" spans="1:10" x14ac:dyDescent="0.3">
      <c r="A1800" t="s">
        <v>4139</v>
      </c>
      <c r="B1800" t="s">
        <v>26019</v>
      </c>
      <c r="C1800" t="s">
        <v>20486</v>
      </c>
      <c r="D1800" t="s">
        <v>22</v>
      </c>
      <c r="E1800" t="s">
        <v>4140</v>
      </c>
      <c r="F1800">
        <v>60</v>
      </c>
      <c r="G1800" t="s">
        <v>172</v>
      </c>
      <c r="H1800" t="s">
        <v>12099</v>
      </c>
      <c r="I1800" t="s">
        <v>17</v>
      </c>
      <c r="J1800" t="s">
        <v>4141</v>
      </c>
    </row>
    <row r="1801" spans="1:10" x14ac:dyDescent="0.3">
      <c r="A1801" t="s">
        <v>4142</v>
      </c>
      <c r="B1801" t="s">
        <v>26020</v>
      </c>
      <c r="C1801" t="s">
        <v>20490</v>
      </c>
      <c r="D1801" t="s">
        <v>22</v>
      </c>
      <c r="E1801" t="s">
        <v>2141</v>
      </c>
      <c r="F1801">
        <v>42</v>
      </c>
      <c r="G1801" t="s">
        <v>201</v>
      </c>
      <c r="H1801" t="s">
        <v>46</v>
      </c>
      <c r="J1801" t="s">
        <v>2672</v>
      </c>
    </row>
    <row r="1802" spans="1:10" x14ac:dyDescent="0.3">
      <c r="A1802" t="s">
        <v>4143</v>
      </c>
      <c r="B1802" t="s">
        <v>26021</v>
      </c>
      <c r="C1802" t="s">
        <v>20486</v>
      </c>
      <c r="D1802" t="s">
        <v>11</v>
      </c>
      <c r="E1802" t="s">
        <v>4144</v>
      </c>
      <c r="F1802">
        <v>36</v>
      </c>
      <c r="G1802" t="s">
        <v>109</v>
      </c>
      <c r="H1802" t="s">
        <v>9788</v>
      </c>
      <c r="I1802" t="s">
        <v>971</v>
      </c>
      <c r="J1802" t="s">
        <v>4145</v>
      </c>
    </row>
    <row r="1803" spans="1:10" x14ac:dyDescent="0.3">
      <c r="A1803" t="s">
        <v>4146</v>
      </c>
      <c r="B1803" t="s">
        <v>26022</v>
      </c>
      <c r="C1803" t="s">
        <v>20486</v>
      </c>
      <c r="D1803" t="s">
        <v>22</v>
      </c>
      <c r="E1803" t="s">
        <v>4147</v>
      </c>
      <c r="F1803">
        <v>70</v>
      </c>
      <c r="G1803" t="s">
        <v>46</v>
      </c>
      <c r="H1803" t="s">
        <v>46</v>
      </c>
      <c r="I1803" t="s">
        <v>4148</v>
      </c>
      <c r="J1803" t="s">
        <v>4149</v>
      </c>
    </row>
    <row r="1804" spans="1:10" x14ac:dyDescent="0.3">
      <c r="A1804" t="s">
        <v>4150</v>
      </c>
      <c r="B1804" t="s">
        <v>26023</v>
      </c>
      <c r="C1804" t="s">
        <v>20491</v>
      </c>
      <c r="D1804" t="s">
        <v>22</v>
      </c>
      <c r="E1804" t="s">
        <v>429</v>
      </c>
      <c r="F1804">
        <v>56</v>
      </c>
      <c r="G1804" t="s">
        <v>201</v>
      </c>
      <c r="H1804" t="s">
        <v>46</v>
      </c>
      <c r="J1804" t="s">
        <v>4151</v>
      </c>
    </row>
    <row r="1805" spans="1:10" x14ac:dyDescent="0.3">
      <c r="A1805" t="s">
        <v>4152</v>
      </c>
      <c r="B1805" t="s">
        <v>26024</v>
      </c>
      <c r="C1805" t="s">
        <v>20486</v>
      </c>
      <c r="D1805" t="s">
        <v>11</v>
      </c>
      <c r="E1805" t="s">
        <v>4110</v>
      </c>
      <c r="F1805">
        <v>49</v>
      </c>
      <c r="G1805" t="s">
        <v>384</v>
      </c>
    </row>
    <row r="1806" spans="1:10" x14ac:dyDescent="0.3">
      <c r="A1806" t="s">
        <v>4153</v>
      </c>
      <c r="B1806" t="s">
        <v>26025</v>
      </c>
      <c r="C1806" t="s">
        <v>20486</v>
      </c>
      <c r="D1806" t="s">
        <v>11</v>
      </c>
      <c r="E1806" t="s">
        <v>4154</v>
      </c>
      <c r="F1806">
        <v>36</v>
      </c>
      <c r="G1806" t="s">
        <v>109</v>
      </c>
      <c r="H1806" t="s">
        <v>9788</v>
      </c>
      <c r="J1806" t="s">
        <v>3511</v>
      </c>
    </row>
    <row r="1807" spans="1:10" x14ac:dyDescent="0.3">
      <c r="A1807" t="s">
        <v>4155</v>
      </c>
      <c r="B1807" t="s">
        <v>26026</v>
      </c>
      <c r="C1807" t="s">
        <v>20486</v>
      </c>
      <c r="D1807" t="s">
        <v>22</v>
      </c>
      <c r="E1807" t="s">
        <v>4156</v>
      </c>
      <c r="F1807">
        <v>68</v>
      </c>
      <c r="G1807" t="s">
        <v>46</v>
      </c>
      <c r="H1807" t="s">
        <v>46</v>
      </c>
      <c r="J1807" t="s">
        <v>1412</v>
      </c>
    </row>
    <row r="1808" spans="1:10" x14ac:dyDescent="0.3">
      <c r="A1808" t="s">
        <v>4158</v>
      </c>
      <c r="B1808" t="s">
        <v>26027</v>
      </c>
      <c r="C1808" t="s">
        <v>20486</v>
      </c>
      <c r="D1808" t="s">
        <v>11</v>
      </c>
      <c r="E1808" t="s">
        <v>4159</v>
      </c>
      <c r="F1808">
        <v>67</v>
      </c>
      <c r="G1808" t="s">
        <v>13</v>
      </c>
      <c r="H1808" t="s">
        <v>13</v>
      </c>
      <c r="J1808" t="s">
        <v>4160</v>
      </c>
    </row>
    <row r="1809" spans="1:10" x14ac:dyDescent="0.3">
      <c r="A1809" t="s">
        <v>4161</v>
      </c>
      <c r="B1809" t="s">
        <v>26028</v>
      </c>
      <c r="C1809" t="s">
        <v>20486</v>
      </c>
      <c r="D1809" t="s">
        <v>11</v>
      </c>
      <c r="E1809" t="s">
        <v>4162</v>
      </c>
      <c r="F1809">
        <v>43</v>
      </c>
      <c r="G1809" t="s">
        <v>16</v>
      </c>
      <c r="H1809" t="s">
        <v>9785</v>
      </c>
      <c r="I1809" t="s">
        <v>17</v>
      </c>
      <c r="J1809" t="s">
        <v>4163</v>
      </c>
    </row>
    <row r="1810" spans="1:10" x14ac:dyDescent="0.3">
      <c r="A1810" t="s">
        <v>4164</v>
      </c>
      <c r="B1810" t="s">
        <v>26029</v>
      </c>
      <c r="C1810" t="s">
        <v>20488</v>
      </c>
      <c r="D1810" t="s">
        <v>11</v>
      </c>
      <c r="E1810" t="s">
        <v>4165</v>
      </c>
      <c r="F1810">
        <v>60</v>
      </c>
      <c r="G1810" t="s">
        <v>46</v>
      </c>
      <c r="H1810" t="s">
        <v>46</v>
      </c>
    </row>
    <row r="1811" spans="1:10" x14ac:dyDescent="0.3">
      <c r="A1811" t="s">
        <v>4166</v>
      </c>
      <c r="B1811" t="s">
        <v>26030</v>
      </c>
      <c r="C1811" t="s">
        <v>20487</v>
      </c>
      <c r="D1811" t="s">
        <v>11</v>
      </c>
      <c r="E1811" t="s">
        <v>4167</v>
      </c>
      <c r="F1811">
        <v>25</v>
      </c>
      <c r="G1811" t="s">
        <v>109</v>
      </c>
      <c r="H1811" t="s">
        <v>9788</v>
      </c>
    </row>
    <row r="1812" spans="1:10" x14ac:dyDescent="0.3">
      <c r="A1812" t="s">
        <v>4168</v>
      </c>
      <c r="B1812" t="s">
        <v>26031</v>
      </c>
      <c r="C1812" t="s">
        <v>20491</v>
      </c>
      <c r="D1812" t="s">
        <v>22</v>
      </c>
      <c r="E1812" t="s">
        <v>4169</v>
      </c>
      <c r="F1812">
        <v>65</v>
      </c>
      <c r="G1812" t="s">
        <v>33</v>
      </c>
      <c r="H1812" t="s">
        <v>31</v>
      </c>
    </row>
    <row r="1813" spans="1:10" x14ac:dyDescent="0.3">
      <c r="A1813" t="s">
        <v>4170</v>
      </c>
      <c r="B1813" t="s">
        <v>26032</v>
      </c>
      <c r="C1813" t="s">
        <v>20488</v>
      </c>
      <c r="D1813" t="s">
        <v>11</v>
      </c>
      <c r="E1813" t="s">
        <v>4171</v>
      </c>
      <c r="F1813">
        <v>34</v>
      </c>
      <c r="G1813" t="s">
        <v>109</v>
      </c>
      <c r="H1813" t="s">
        <v>9788</v>
      </c>
      <c r="I1813" t="s">
        <v>779</v>
      </c>
      <c r="J1813" t="s">
        <v>4172</v>
      </c>
    </row>
    <row r="1814" spans="1:10" x14ac:dyDescent="0.3">
      <c r="A1814" t="s">
        <v>4173</v>
      </c>
      <c r="B1814" t="s">
        <v>26033</v>
      </c>
      <c r="C1814" t="s">
        <v>20489</v>
      </c>
      <c r="D1814" t="s">
        <v>22</v>
      </c>
      <c r="E1814" t="s">
        <v>4174</v>
      </c>
      <c r="F1814">
        <v>38</v>
      </c>
      <c r="G1814" t="s">
        <v>31</v>
      </c>
      <c r="H1814" t="s">
        <v>31</v>
      </c>
    </row>
    <row r="1815" spans="1:10" x14ac:dyDescent="0.3">
      <c r="A1815" t="s">
        <v>4175</v>
      </c>
      <c r="B1815" t="s">
        <v>26034</v>
      </c>
      <c r="C1815" t="s">
        <v>20487</v>
      </c>
      <c r="D1815" t="s">
        <v>22</v>
      </c>
      <c r="E1815" t="s">
        <v>4176</v>
      </c>
      <c r="F1815">
        <v>46</v>
      </c>
      <c r="G1815" t="s">
        <v>31</v>
      </c>
      <c r="H1815" t="s">
        <v>31</v>
      </c>
    </row>
    <row r="1816" spans="1:10" x14ac:dyDescent="0.3">
      <c r="A1816" t="s">
        <v>4177</v>
      </c>
      <c r="B1816" t="s">
        <v>26035</v>
      </c>
      <c r="C1816" t="s">
        <v>20486</v>
      </c>
      <c r="D1816" t="s">
        <v>11</v>
      </c>
      <c r="E1816" t="s">
        <v>4178</v>
      </c>
      <c r="F1816">
        <v>60</v>
      </c>
      <c r="G1816" t="s">
        <v>2418</v>
      </c>
      <c r="H1816" t="s">
        <v>9787</v>
      </c>
      <c r="I1816" t="s">
        <v>703</v>
      </c>
      <c r="J1816" t="s">
        <v>4179</v>
      </c>
    </row>
    <row r="1817" spans="1:10" x14ac:dyDescent="0.3">
      <c r="A1817" t="s">
        <v>4181</v>
      </c>
      <c r="B1817" t="s">
        <v>26036</v>
      </c>
      <c r="C1817" t="s">
        <v>20489</v>
      </c>
      <c r="D1817" t="s">
        <v>22</v>
      </c>
      <c r="E1817" t="s">
        <v>2655</v>
      </c>
      <c r="F1817">
        <v>42</v>
      </c>
      <c r="G1817" t="s">
        <v>370</v>
      </c>
      <c r="H1817" t="s">
        <v>46</v>
      </c>
      <c r="I1817" t="s">
        <v>4182</v>
      </c>
      <c r="J1817" t="s">
        <v>4182</v>
      </c>
    </row>
    <row r="1818" spans="1:10" x14ac:dyDescent="0.3">
      <c r="A1818" t="s">
        <v>4183</v>
      </c>
      <c r="B1818" t="s">
        <v>26037</v>
      </c>
      <c r="C1818" t="s">
        <v>20486</v>
      </c>
      <c r="D1818" t="s">
        <v>11</v>
      </c>
      <c r="E1818" t="s">
        <v>4184</v>
      </c>
      <c r="F1818">
        <v>34</v>
      </c>
      <c r="G1818" t="s">
        <v>109</v>
      </c>
      <c r="H1818" t="s">
        <v>9788</v>
      </c>
      <c r="I1818" t="s">
        <v>971</v>
      </c>
      <c r="J1818" t="s">
        <v>932</v>
      </c>
    </row>
    <row r="1819" spans="1:10" x14ac:dyDescent="0.3">
      <c r="A1819" t="s">
        <v>4185</v>
      </c>
      <c r="B1819" t="s">
        <v>26038</v>
      </c>
      <c r="C1819" t="s">
        <v>20486</v>
      </c>
      <c r="D1819" t="s">
        <v>22</v>
      </c>
      <c r="E1819" t="s">
        <v>4186</v>
      </c>
      <c r="F1819">
        <v>52</v>
      </c>
      <c r="G1819" t="s">
        <v>46</v>
      </c>
      <c r="H1819" t="s">
        <v>46</v>
      </c>
    </row>
    <row r="1820" spans="1:10" x14ac:dyDescent="0.3">
      <c r="A1820" t="s">
        <v>4187</v>
      </c>
      <c r="B1820" t="s">
        <v>26039</v>
      </c>
      <c r="C1820" t="s">
        <v>20487</v>
      </c>
      <c r="D1820" t="s">
        <v>22</v>
      </c>
      <c r="E1820" t="s">
        <v>4188</v>
      </c>
      <c r="F1820">
        <v>41</v>
      </c>
      <c r="G1820" t="s">
        <v>441</v>
      </c>
      <c r="H1820" t="s">
        <v>9785</v>
      </c>
      <c r="J1820" t="s">
        <v>4189</v>
      </c>
    </row>
    <row r="1821" spans="1:10" x14ac:dyDescent="0.3">
      <c r="A1821" t="s">
        <v>4190</v>
      </c>
      <c r="B1821" t="s">
        <v>26040</v>
      </c>
      <c r="C1821" t="s">
        <v>20486</v>
      </c>
      <c r="D1821" t="s">
        <v>22</v>
      </c>
      <c r="E1821" t="s">
        <v>4191</v>
      </c>
      <c r="F1821">
        <v>75</v>
      </c>
      <c r="G1821" t="s">
        <v>384</v>
      </c>
    </row>
    <row r="1822" spans="1:10" x14ac:dyDescent="0.3">
      <c r="A1822" t="s">
        <v>4192</v>
      </c>
      <c r="B1822" t="s">
        <v>26041</v>
      </c>
      <c r="C1822" t="s">
        <v>20486</v>
      </c>
      <c r="D1822" t="s">
        <v>11</v>
      </c>
      <c r="E1822" t="s">
        <v>4193</v>
      </c>
      <c r="F1822">
        <v>68</v>
      </c>
      <c r="G1822" t="s">
        <v>46</v>
      </c>
      <c r="H1822" t="s">
        <v>46</v>
      </c>
      <c r="I1822" t="s">
        <v>228</v>
      </c>
      <c r="J1822" t="s">
        <v>4194</v>
      </c>
    </row>
    <row r="1823" spans="1:10" x14ac:dyDescent="0.3">
      <c r="A1823" t="s">
        <v>4196</v>
      </c>
      <c r="B1823" t="s">
        <v>26042</v>
      </c>
      <c r="C1823" t="s">
        <v>20491</v>
      </c>
      <c r="D1823" t="s">
        <v>11</v>
      </c>
      <c r="E1823" t="s">
        <v>4197</v>
      </c>
      <c r="F1823">
        <v>57</v>
      </c>
      <c r="G1823" t="s">
        <v>231</v>
      </c>
      <c r="H1823" t="s">
        <v>9788</v>
      </c>
      <c r="J1823" t="s">
        <v>4198</v>
      </c>
    </row>
    <row r="1824" spans="1:10" x14ac:dyDescent="0.3">
      <c r="A1824" t="s">
        <v>4199</v>
      </c>
      <c r="B1824" t="s">
        <v>26043</v>
      </c>
      <c r="C1824" t="s">
        <v>20488</v>
      </c>
      <c r="D1824" t="s">
        <v>22</v>
      </c>
      <c r="E1824" t="s">
        <v>3508</v>
      </c>
      <c r="F1824">
        <v>49</v>
      </c>
      <c r="G1824" t="s">
        <v>46</v>
      </c>
      <c r="H1824" t="s">
        <v>46</v>
      </c>
      <c r="I1824" t="s">
        <v>4200</v>
      </c>
    </row>
    <row r="1825" spans="1:10" x14ac:dyDescent="0.3">
      <c r="A1825" t="s">
        <v>4201</v>
      </c>
      <c r="B1825" t="s">
        <v>26044</v>
      </c>
      <c r="C1825" t="s">
        <v>20486</v>
      </c>
      <c r="D1825" t="s">
        <v>22</v>
      </c>
      <c r="E1825" t="s">
        <v>14318</v>
      </c>
      <c r="F1825">
        <v>53</v>
      </c>
      <c r="G1825" t="s">
        <v>46</v>
      </c>
      <c r="H1825" t="s">
        <v>46</v>
      </c>
      <c r="I1825" t="s">
        <v>676</v>
      </c>
      <c r="J1825" t="s">
        <v>4202</v>
      </c>
    </row>
    <row r="1826" spans="1:10" x14ac:dyDescent="0.3">
      <c r="A1826" t="s">
        <v>4203</v>
      </c>
      <c r="B1826" t="s">
        <v>26045</v>
      </c>
      <c r="C1826" t="s">
        <v>20491</v>
      </c>
      <c r="D1826" t="s">
        <v>22</v>
      </c>
      <c r="E1826" t="s">
        <v>4204</v>
      </c>
      <c r="F1826">
        <v>46</v>
      </c>
      <c r="G1826" t="s">
        <v>16</v>
      </c>
      <c r="H1826" t="s">
        <v>9785</v>
      </c>
      <c r="J1826" t="s">
        <v>4205</v>
      </c>
    </row>
    <row r="1827" spans="1:10" x14ac:dyDescent="0.3">
      <c r="A1827" t="s">
        <v>4206</v>
      </c>
      <c r="B1827" t="s">
        <v>26046</v>
      </c>
      <c r="C1827" t="s">
        <v>20486</v>
      </c>
      <c r="D1827" t="s">
        <v>22</v>
      </c>
      <c r="E1827" t="s">
        <v>4207</v>
      </c>
      <c r="F1827">
        <v>51</v>
      </c>
      <c r="G1827" t="s">
        <v>31</v>
      </c>
      <c r="H1827" t="s">
        <v>31</v>
      </c>
    </row>
    <row r="1828" spans="1:10" x14ac:dyDescent="0.3">
      <c r="A1828" t="s">
        <v>4208</v>
      </c>
      <c r="B1828" t="s">
        <v>26047</v>
      </c>
      <c r="C1828" t="s">
        <v>20486</v>
      </c>
      <c r="D1828" t="s">
        <v>22</v>
      </c>
      <c r="E1828" t="s">
        <v>4209</v>
      </c>
      <c r="F1828">
        <v>58</v>
      </c>
      <c r="G1828" t="s">
        <v>31</v>
      </c>
      <c r="H1828" t="s">
        <v>31</v>
      </c>
    </row>
    <row r="1829" spans="1:10" x14ac:dyDescent="0.3">
      <c r="A1829" t="s">
        <v>4210</v>
      </c>
      <c r="B1829" t="s">
        <v>26048</v>
      </c>
      <c r="C1829" t="s">
        <v>20486</v>
      </c>
      <c r="D1829" t="s">
        <v>22</v>
      </c>
      <c r="E1829" t="s">
        <v>4211</v>
      </c>
      <c r="F1829">
        <v>59</v>
      </c>
      <c r="G1829" t="s">
        <v>31</v>
      </c>
      <c r="H1829" t="s">
        <v>31</v>
      </c>
      <c r="I1829" t="s">
        <v>201</v>
      </c>
      <c r="J1829" t="s">
        <v>1828</v>
      </c>
    </row>
    <row r="1830" spans="1:10" x14ac:dyDescent="0.3">
      <c r="A1830" t="s">
        <v>4212</v>
      </c>
      <c r="B1830" t="s">
        <v>26049</v>
      </c>
      <c r="C1830" t="s">
        <v>20487</v>
      </c>
      <c r="D1830" t="s">
        <v>11</v>
      </c>
      <c r="E1830" t="s">
        <v>4213</v>
      </c>
      <c r="F1830">
        <v>47</v>
      </c>
      <c r="G1830" t="s">
        <v>201</v>
      </c>
      <c r="H1830" t="s">
        <v>46</v>
      </c>
      <c r="J1830" t="s">
        <v>1514</v>
      </c>
    </row>
    <row r="1831" spans="1:10" x14ac:dyDescent="0.3">
      <c r="A1831" t="s">
        <v>4214</v>
      </c>
      <c r="B1831" t="s">
        <v>26050</v>
      </c>
      <c r="C1831" t="s">
        <v>20486</v>
      </c>
      <c r="D1831" t="s">
        <v>22</v>
      </c>
      <c r="E1831" t="s">
        <v>4215</v>
      </c>
      <c r="F1831">
        <v>41</v>
      </c>
      <c r="G1831" t="s">
        <v>109</v>
      </c>
      <c r="H1831" t="s">
        <v>9788</v>
      </c>
      <c r="I1831" t="s">
        <v>4216</v>
      </c>
      <c r="J1831" t="s">
        <v>1632</v>
      </c>
    </row>
    <row r="1832" spans="1:10" x14ac:dyDescent="0.3">
      <c r="A1832" t="s">
        <v>4217</v>
      </c>
      <c r="B1832" t="s">
        <v>26051</v>
      </c>
      <c r="C1832" t="s">
        <v>20490</v>
      </c>
      <c r="D1832" t="s">
        <v>11</v>
      </c>
      <c r="E1832" t="s">
        <v>4218</v>
      </c>
      <c r="F1832">
        <v>76</v>
      </c>
      <c r="G1832" t="s">
        <v>13</v>
      </c>
      <c r="H1832" t="s">
        <v>13</v>
      </c>
      <c r="I1832" t="s">
        <v>7830</v>
      </c>
    </row>
    <row r="1833" spans="1:10" x14ac:dyDescent="0.3">
      <c r="A1833" t="s">
        <v>4219</v>
      </c>
      <c r="B1833" t="s">
        <v>26052</v>
      </c>
      <c r="C1833" t="s">
        <v>20488</v>
      </c>
      <c r="D1833" t="s">
        <v>22</v>
      </c>
      <c r="E1833" t="s">
        <v>4220</v>
      </c>
      <c r="F1833">
        <v>68</v>
      </c>
      <c r="G1833" t="s">
        <v>31</v>
      </c>
      <c r="H1833" t="s">
        <v>31</v>
      </c>
      <c r="I1833" t="s">
        <v>33</v>
      </c>
    </row>
    <row r="1834" spans="1:10" x14ac:dyDescent="0.3">
      <c r="A1834" t="s">
        <v>4221</v>
      </c>
      <c r="B1834" t="s">
        <v>26053</v>
      </c>
      <c r="C1834" t="s">
        <v>20488</v>
      </c>
      <c r="D1834" t="s">
        <v>22</v>
      </c>
      <c r="E1834" t="s">
        <v>4222</v>
      </c>
      <c r="F1834">
        <v>60</v>
      </c>
      <c r="G1834" t="s">
        <v>31</v>
      </c>
      <c r="H1834" t="s">
        <v>31</v>
      </c>
      <c r="I1834" t="s">
        <v>33</v>
      </c>
    </row>
    <row r="1835" spans="1:10" x14ac:dyDescent="0.3">
      <c r="A1835" t="s">
        <v>4223</v>
      </c>
      <c r="B1835" t="s">
        <v>26054</v>
      </c>
      <c r="C1835" t="s">
        <v>20486</v>
      </c>
      <c r="D1835" t="s">
        <v>11</v>
      </c>
      <c r="E1835" t="s">
        <v>4224</v>
      </c>
      <c r="F1835">
        <v>55</v>
      </c>
      <c r="G1835" t="s">
        <v>1331</v>
      </c>
      <c r="H1835" t="s">
        <v>9789</v>
      </c>
      <c r="I1835" t="s">
        <v>1526</v>
      </c>
      <c r="J1835" t="s">
        <v>4225</v>
      </c>
    </row>
    <row r="1836" spans="1:10" x14ac:dyDescent="0.3">
      <c r="A1836" t="s">
        <v>4226</v>
      </c>
      <c r="B1836" t="s">
        <v>26055</v>
      </c>
      <c r="C1836" t="s">
        <v>20486</v>
      </c>
      <c r="D1836" t="s">
        <v>22</v>
      </c>
      <c r="E1836" t="s">
        <v>2631</v>
      </c>
      <c r="F1836">
        <v>44</v>
      </c>
      <c r="G1836" t="s">
        <v>133</v>
      </c>
      <c r="H1836" t="s">
        <v>9789</v>
      </c>
      <c r="I1836" t="s">
        <v>1526</v>
      </c>
      <c r="J1836" t="s">
        <v>4227</v>
      </c>
    </row>
    <row r="1837" spans="1:10" x14ac:dyDescent="0.3">
      <c r="A1837" t="s">
        <v>4228</v>
      </c>
      <c r="B1837" t="s">
        <v>26056</v>
      </c>
      <c r="C1837" t="s">
        <v>20486</v>
      </c>
      <c r="D1837" t="s">
        <v>22</v>
      </c>
      <c r="E1837" t="s">
        <v>4229</v>
      </c>
      <c r="F1837">
        <v>51</v>
      </c>
      <c r="G1837" t="s">
        <v>109</v>
      </c>
      <c r="H1837" t="s">
        <v>9788</v>
      </c>
      <c r="J1837" t="s">
        <v>4230</v>
      </c>
    </row>
    <row r="1838" spans="1:10" x14ac:dyDescent="0.3">
      <c r="A1838" t="s">
        <v>4231</v>
      </c>
      <c r="B1838" t="s">
        <v>26057</v>
      </c>
      <c r="C1838" t="s">
        <v>20486</v>
      </c>
      <c r="D1838" t="s">
        <v>22</v>
      </c>
      <c r="E1838" t="s">
        <v>4232</v>
      </c>
      <c r="F1838">
        <v>31</v>
      </c>
      <c r="G1838" t="s">
        <v>16</v>
      </c>
      <c r="H1838" t="s">
        <v>9785</v>
      </c>
      <c r="I1838" t="s">
        <v>17</v>
      </c>
      <c r="J1838" t="s">
        <v>4233</v>
      </c>
    </row>
    <row r="1839" spans="1:10" x14ac:dyDescent="0.3">
      <c r="A1839" t="s">
        <v>4234</v>
      </c>
      <c r="B1839" t="s">
        <v>26058</v>
      </c>
      <c r="C1839" t="s">
        <v>20488</v>
      </c>
      <c r="D1839" t="s">
        <v>11</v>
      </c>
      <c r="E1839" t="s">
        <v>4235</v>
      </c>
      <c r="F1839">
        <v>31</v>
      </c>
      <c r="G1839" t="s">
        <v>46</v>
      </c>
      <c r="H1839" t="s">
        <v>46</v>
      </c>
      <c r="I1839" t="s">
        <v>1968</v>
      </c>
    </row>
    <row r="1840" spans="1:10" x14ac:dyDescent="0.3">
      <c r="A1840" t="s">
        <v>4236</v>
      </c>
      <c r="B1840" t="s">
        <v>26059</v>
      </c>
      <c r="C1840" t="s">
        <v>20487</v>
      </c>
      <c r="D1840" t="s">
        <v>22</v>
      </c>
      <c r="E1840" t="s">
        <v>4237</v>
      </c>
      <c r="F1840">
        <v>46</v>
      </c>
      <c r="G1840" t="s">
        <v>46</v>
      </c>
      <c r="H1840" t="s">
        <v>46</v>
      </c>
      <c r="J1840" t="s">
        <v>4238</v>
      </c>
    </row>
    <row r="1841" spans="1:10" x14ac:dyDescent="0.3">
      <c r="A1841" t="s">
        <v>4239</v>
      </c>
      <c r="B1841" t="s">
        <v>26060</v>
      </c>
      <c r="C1841" t="s">
        <v>20486</v>
      </c>
      <c r="D1841" t="s">
        <v>11</v>
      </c>
      <c r="E1841" t="s">
        <v>4240</v>
      </c>
      <c r="F1841">
        <v>50</v>
      </c>
      <c r="G1841" t="s">
        <v>109</v>
      </c>
      <c r="H1841" t="s">
        <v>9788</v>
      </c>
      <c r="I1841" t="s">
        <v>4241</v>
      </c>
      <c r="J1841" t="s">
        <v>466</v>
      </c>
    </row>
    <row r="1842" spans="1:10" x14ac:dyDescent="0.3">
      <c r="A1842" t="s">
        <v>4242</v>
      </c>
      <c r="B1842" t="s">
        <v>26061</v>
      </c>
      <c r="C1842" t="s">
        <v>20488</v>
      </c>
      <c r="D1842" t="s">
        <v>11</v>
      </c>
      <c r="E1842" t="s">
        <v>4243</v>
      </c>
      <c r="F1842">
        <v>54</v>
      </c>
      <c r="G1842" t="s">
        <v>109</v>
      </c>
      <c r="H1842" t="s">
        <v>9788</v>
      </c>
    </row>
    <row r="1843" spans="1:10" x14ac:dyDescent="0.3">
      <c r="A1843" t="s">
        <v>4244</v>
      </c>
      <c r="B1843" t="s">
        <v>26062</v>
      </c>
      <c r="C1843" t="s">
        <v>20486</v>
      </c>
      <c r="D1843" t="s">
        <v>22</v>
      </c>
      <c r="E1843" t="s">
        <v>4245</v>
      </c>
      <c r="F1843">
        <v>41</v>
      </c>
    </row>
    <row r="1844" spans="1:10" x14ac:dyDescent="0.3">
      <c r="A1844" t="s">
        <v>4246</v>
      </c>
      <c r="B1844" t="s">
        <v>26063</v>
      </c>
      <c r="C1844" t="s">
        <v>20486</v>
      </c>
      <c r="D1844" t="s">
        <v>22</v>
      </c>
      <c r="E1844" t="s">
        <v>4247</v>
      </c>
      <c r="F1844">
        <v>54</v>
      </c>
      <c r="G1844" t="s">
        <v>31</v>
      </c>
      <c r="H1844" t="s">
        <v>46</v>
      </c>
      <c r="I1844" t="s">
        <v>201</v>
      </c>
    </row>
    <row r="1845" spans="1:10" x14ac:dyDescent="0.3">
      <c r="A1845" t="s">
        <v>4248</v>
      </c>
      <c r="B1845" t="s">
        <v>26064</v>
      </c>
      <c r="C1845" t="s">
        <v>20488</v>
      </c>
      <c r="D1845" t="s">
        <v>22</v>
      </c>
      <c r="E1845" t="s">
        <v>2655</v>
      </c>
      <c r="F1845">
        <v>42</v>
      </c>
      <c r="G1845" t="s">
        <v>46</v>
      </c>
      <c r="H1845" t="s">
        <v>46</v>
      </c>
      <c r="I1845" t="s">
        <v>4249</v>
      </c>
      <c r="J1845" t="s">
        <v>4250</v>
      </c>
    </row>
    <row r="1846" spans="1:10" x14ac:dyDescent="0.3">
      <c r="A1846" t="s">
        <v>4251</v>
      </c>
      <c r="B1846" t="s">
        <v>26065</v>
      </c>
      <c r="C1846" t="s">
        <v>20487</v>
      </c>
      <c r="D1846" t="s">
        <v>22</v>
      </c>
      <c r="E1846" t="s">
        <v>4252</v>
      </c>
      <c r="F1846">
        <v>48</v>
      </c>
      <c r="G1846" t="s">
        <v>88</v>
      </c>
      <c r="H1846" t="s">
        <v>12065</v>
      </c>
      <c r="J1846" t="s">
        <v>4253</v>
      </c>
    </row>
    <row r="1847" spans="1:10" x14ac:dyDescent="0.3">
      <c r="A1847" t="s">
        <v>4254</v>
      </c>
      <c r="B1847" t="s">
        <v>26066</v>
      </c>
      <c r="C1847" t="s">
        <v>20486</v>
      </c>
      <c r="D1847" t="s">
        <v>11</v>
      </c>
      <c r="E1847" t="s">
        <v>4255</v>
      </c>
      <c r="F1847">
        <v>42</v>
      </c>
      <c r="G1847" t="s">
        <v>46</v>
      </c>
      <c r="H1847" t="s">
        <v>46</v>
      </c>
      <c r="I1847" t="s">
        <v>12301</v>
      </c>
      <c r="J1847" t="s">
        <v>12302</v>
      </c>
    </row>
    <row r="1848" spans="1:10" x14ac:dyDescent="0.3">
      <c r="A1848" t="s">
        <v>4256</v>
      </c>
      <c r="B1848" t="s">
        <v>26067</v>
      </c>
      <c r="C1848" t="s">
        <v>20491</v>
      </c>
      <c r="D1848" t="s">
        <v>22</v>
      </c>
      <c r="E1848" t="s">
        <v>4257</v>
      </c>
      <c r="F1848">
        <v>35</v>
      </c>
      <c r="G1848" t="s">
        <v>109</v>
      </c>
      <c r="H1848" t="s">
        <v>9788</v>
      </c>
      <c r="I1848" t="s">
        <v>8693</v>
      </c>
      <c r="J1848" t="s">
        <v>12303</v>
      </c>
    </row>
    <row r="1849" spans="1:10" x14ac:dyDescent="0.3">
      <c r="A1849" t="s">
        <v>4258</v>
      </c>
      <c r="B1849" t="s">
        <v>26068</v>
      </c>
      <c r="C1849" t="s">
        <v>20486</v>
      </c>
      <c r="D1849" t="s">
        <v>22</v>
      </c>
      <c r="E1849" t="s">
        <v>412</v>
      </c>
      <c r="F1849">
        <v>68</v>
      </c>
      <c r="G1849" t="s">
        <v>31</v>
      </c>
      <c r="H1849" t="s">
        <v>31</v>
      </c>
      <c r="J1849" t="s">
        <v>33</v>
      </c>
    </row>
    <row r="1850" spans="1:10" x14ac:dyDescent="0.3">
      <c r="A1850" t="s">
        <v>4259</v>
      </c>
      <c r="B1850" t="s">
        <v>26069</v>
      </c>
      <c r="C1850" t="s">
        <v>20489</v>
      </c>
      <c r="D1850" t="s">
        <v>22</v>
      </c>
      <c r="E1850" t="s">
        <v>4260</v>
      </c>
      <c r="F1850">
        <v>49</v>
      </c>
      <c r="G1850" t="s">
        <v>243</v>
      </c>
      <c r="H1850" t="s">
        <v>243</v>
      </c>
    </row>
    <row r="1851" spans="1:10" x14ac:dyDescent="0.3">
      <c r="A1851" t="s">
        <v>4261</v>
      </c>
      <c r="B1851" t="s">
        <v>26070</v>
      </c>
      <c r="C1851" t="s">
        <v>20486</v>
      </c>
      <c r="D1851" t="s">
        <v>22</v>
      </c>
      <c r="E1851" t="s">
        <v>4262</v>
      </c>
      <c r="F1851">
        <v>55</v>
      </c>
      <c r="G1851" t="s">
        <v>46</v>
      </c>
      <c r="H1851" t="s">
        <v>46</v>
      </c>
      <c r="I1851" t="s">
        <v>4263</v>
      </c>
      <c r="J1851" t="s">
        <v>4264</v>
      </c>
    </row>
    <row r="1852" spans="1:10" x14ac:dyDescent="0.3">
      <c r="A1852" t="s">
        <v>4265</v>
      </c>
      <c r="B1852" t="s">
        <v>26071</v>
      </c>
      <c r="C1852" t="s">
        <v>20489</v>
      </c>
      <c r="D1852" t="s">
        <v>22</v>
      </c>
      <c r="E1852" t="s">
        <v>4266</v>
      </c>
      <c r="F1852">
        <v>42</v>
      </c>
      <c r="G1852" t="s">
        <v>109</v>
      </c>
      <c r="H1852" t="s">
        <v>9788</v>
      </c>
      <c r="I1852" t="s">
        <v>4629</v>
      </c>
      <c r="J1852" t="s">
        <v>6937</v>
      </c>
    </row>
    <row r="1853" spans="1:10" x14ac:dyDescent="0.3">
      <c r="A1853" t="s">
        <v>4267</v>
      </c>
      <c r="B1853" t="s">
        <v>26072</v>
      </c>
      <c r="C1853" t="s">
        <v>20489</v>
      </c>
      <c r="D1853" t="s">
        <v>22</v>
      </c>
      <c r="E1853" t="s">
        <v>4268</v>
      </c>
      <c r="F1853">
        <v>64</v>
      </c>
      <c r="G1853" t="s">
        <v>13</v>
      </c>
      <c r="H1853" t="s">
        <v>13</v>
      </c>
      <c r="I1853" t="s">
        <v>173</v>
      </c>
      <c r="J1853" t="s">
        <v>4269</v>
      </c>
    </row>
    <row r="1854" spans="1:10" x14ac:dyDescent="0.3">
      <c r="A1854" t="s">
        <v>4270</v>
      </c>
      <c r="B1854" t="s">
        <v>26073</v>
      </c>
      <c r="C1854" t="s">
        <v>20486</v>
      </c>
      <c r="D1854" t="s">
        <v>11</v>
      </c>
      <c r="E1854" t="s">
        <v>4271</v>
      </c>
      <c r="F1854">
        <v>40</v>
      </c>
      <c r="G1854" t="s">
        <v>370</v>
      </c>
      <c r="H1854" t="s">
        <v>46</v>
      </c>
      <c r="I1854" t="s">
        <v>3820</v>
      </c>
    </row>
    <row r="1855" spans="1:10" x14ac:dyDescent="0.3">
      <c r="A1855" t="s">
        <v>4272</v>
      </c>
      <c r="B1855" t="s">
        <v>26074</v>
      </c>
      <c r="C1855" t="s">
        <v>20486</v>
      </c>
      <c r="D1855" t="s">
        <v>22</v>
      </c>
      <c r="E1855" t="s">
        <v>4273</v>
      </c>
      <c r="F1855">
        <v>43</v>
      </c>
      <c r="G1855" t="s">
        <v>31</v>
      </c>
      <c r="H1855" t="s">
        <v>46</v>
      </c>
      <c r="I1855" t="s">
        <v>201</v>
      </c>
      <c r="J1855" t="s">
        <v>4274</v>
      </c>
    </row>
    <row r="1856" spans="1:10" x14ac:dyDescent="0.3">
      <c r="A1856" t="s">
        <v>4275</v>
      </c>
      <c r="B1856" t="s">
        <v>26075</v>
      </c>
      <c r="C1856" t="s">
        <v>20488</v>
      </c>
      <c r="D1856" t="s">
        <v>11</v>
      </c>
      <c r="E1856" t="s">
        <v>4276</v>
      </c>
      <c r="F1856">
        <v>57</v>
      </c>
      <c r="G1856" t="s">
        <v>109</v>
      </c>
      <c r="H1856" t="s">
        <v>9788</v>
      </c>
      <c r="I1856" t="s">
        <v>364</v>
      </c>
      <c r="J1856" t="s">
        <v>4277</v>
      </c>
    </row>
    <row r="1857" spans="1:10" x14ac:dyDescent="0.3">
      <c r="A1857" t="s">
        <v>4278</v>
      </c>
      <c r="B1857" t="s">
        <v>26076</v>
      </c>
      <c r="C1857" t="s">
        <v>20486</v>
      </c>
      <c r="D1857" t="s">
        <v>22</v>
      </c>
      <c r="E1857" t="s">
        <v>4279</v>
      </c>
      <c r="F1857">
        <v>38</v>
      </c>
      <c r="G1857" t="s">
        <v>31</v>
      </c>
      <c r="H1857" t="s">
        <v>31</v>
      </c>
    </row>
    <row r="1858" spans="1:10" x14ac:dyDescent="0.3">
      <c r="A1858" t="s">
        <v>12304</v>
      </c>
      <c r="B1858" t="s">
        <v>26077</v>
      </c>
      <c r="C1858" t="s">
        <v>20488</v>
      </c>
      <c r="D1858" t="s">
        <v>22</v>
      </c>
      <c r="E1858" t="s">
        <v>4280</v>
      </c>
      <c r="F1858">
        <v>58</v>
      </c>
      <c r="G1858" t="s">
        <v>31</v>
      </c>
      <c r="H1858" t="s">
        <v>31</v>
      </c>
    </row>
    <row r="1859" spans="1:10" x14ac:dyDescent="0.3">
      <c r="A1859" t="s">
        <v>12305</v>
      </c>
      <c r="B1859" t="s">
        <v>26078</v>
      </c>
      <c r="C1859" t="s">
        <v>20488</v>
      </c>
      <c r="D1859" t="s">
        <v>11</v>
      </c>
      <c r="E1859" t="s">
        <v>1036</v>
      </c>
      <c r="F1859">
        <v>56</v>
      </c>
      <c r="G1859" t="s">
        <v>109</v>
      </c>
      <c r="H1859" t="s">
        <v>9788</v>
      </c>
    </row>
    <row r="1860" spans="1:10" x14ac:dyDescent="0.3">
      <c r="A1860" t="s">
        <v>12306</v>
      </c>
      <c r="B1860" t="s">
        <v>26079</v>
      </c>
      <c r="C1860" t="s">
        <v>20486</v>
      </c>
      <c r="D1860" t="s">
        <v>22</v>
      </c>
      <c r="E1860" t="s">
        <v>9690</v>
      </c>
      <c r="F1860">
        <v>32</v>
      </c>
    </row>
    <row r="1861" spans="1:10" x14ac:dyDescent="0.3">
      <c r="A1861" t="s">
        <v>4281</v>
      </c>
      <c r="B1861" t="s">
        <v>26080</v>
      </c>
      <c r="C1861" t="s">
        <v>20487</v>
      </c>
      <c r="D1861" t="s">
        <v>22</v>
      </c>
      <c r="E1861" t="s">
        <v>4282</v>
      </c>
      <c r="F1861">
        <v>58</v>
      </c>
      <c r="G1861" t="s">
        <v>109</v>
      </c>
      <c r="H1861" t="s">
        <v>9788</v>
      </c>
      <c r="J1861" t="s">
        <v>4283</v>
      </c>
    </row>
    <row r="1862" spans="1:10" x14ac:dyDescent="0.3">
      <c r="A1862" t="s">
        <v>4284</v>
      </c>
      <c r="B1862" t="s">
        <v>26081</v>
      </c>
      <c r="C1862" t="s">
        <v>20486</v>
      </c>
      <c r="D1862" t="s">
        <v>11</v>
      </c>
      <c r="E1862" t="s">
        <v>4285</v>
      </c>
      <c r="F1862">
        <v>55</v>
      </c>
      <c r="G1862" t="s">
        <v>172</v>
      </c>
      <c r="H1862" t="s">
        <v>12099</v>
      </c>
      <c r="I1862" t="s">
        <v>110</v>
      </c>
      <c r="J1862" t="s">
        <v>4286</v>
      </c>
    </row>
    <row r="1863" spans="1:10" x14ac:dyDescent="0.3">
      <c r="A1863" t="s">
        <v>4287</v>
      </c>
      <c r="B1863" t="s">
        <v>26082</v>
      </c>
      <c r="C1863" t="s">
        <v>20486</v>
      </c>
      <c r="D1863" t="s">
        <v>22</v>
      </c>
      <c r="E1863" t="s">
        <v>4288</v>
      </c>
      <c r="F1863">
        <v>47</v>
      </c>
      <c r="G1863" t="s">
        <v>133</v>
      </c>
      <c r="H1863" t="s">
        <v>9789</v>
      </c>
      <c r="I1863" t="s">
        <v>4289</v>
      </c>
      <c r="J1863" t="s">
        <v>1412</v>
      </c>
    </row>
    <row r="1864" spans="1:10" x14ac:dyDescent="0.3">
      <c r="A1864" t="s">
        <v>4290</v>
      </c>
      <c r="B1864" t="s">
        <v>26083</v>
      </c>
      <c r="C1864" t="s">
        <v>20490</v>
      </c>
      <c r="D1864" t="s">
        <v>11</v>
      </c>
      <c r="E1864" t="s">
        <v>4291</v>
      </c>
      <c r="F1864">
        <v>63</v>
      </c>
      <c r="G1864" t="s">
        <v>172</v>
      </c>
      <c r="H1864" t="s">
        <v>12099</v>
      </c>
      <c r="J1864" t="s">
        <v>4292</v>
      </c>
    </row>
    <row r="1865" spans="1:10" x14ac:dyDescent="0.3">
      <c r="A1865" t="s">
        <v>4293</v>
      </c>
      <c r="B1865" t="s">
        <v>26084</v>
      </c>
      <c r="C1865" t="s">
        <v>20489</v>
      </c>
      <c r="D1865" t="s">
        <v>11</v>
      </c>
      <c r="E1865" t="s">
        <v>4294</v>
      </c>
      <c r="F1865">
        <v>46</v>
      </c>
      <c r="G1865" t="s">
        <v>4295</v>
      </c>
      <c r="H1865" t="s">
        <v>9789</v>
      </c>
      <c r="I1865" t="s">
        <v>8196</v>
      </c>
      <c r="J1865" t="s">
        <v>4296</v>
      </c>
    </row>
    <row r="1866" spans="1:10" x14ac:dyDescent="0.3">
      <c r="A1866" t="s">
        <v>4297</v>
      </c>
      <c r="B1866" t="s">
        <v>26085</v>
      </c>
      <c r="C1866" t="s">
        <v>20491</v>
      </c>
      <c r="D1866" t="s">
        <v>22</v>
      </c>
      <c r="E1866" t="s">
        <v>4298</v>
      </c>
      <c r="F1866">
        <v>42</v>
      </c>
      <c r="G1866" t="s">
        <v>31</v>
      </c>
      <c r="H1866" t="s">
        <v>31</v>
      </c>
    </row>
    <row r="1867" spans="1:10" x14ac:dyDescent="0.3">
      <c r="A1867" t="s">
        <v>4299</v>
      </c>
      <c r="B1867" t="s">
        <v>26086</v>
      </c>
      <c r="C1867" t="s">
        <v>20486</v>
      </c>
      <c r="D1867" t="s">
        <v>11</v>
      </c>
      <c r="E1867" t="s">
        <v>2699</v>
      </c>
      <c r="F1867">
        <v>55</v>
      </c>
      <c r="G1867" t="s">
        <v>109</v>
      </c>
      <c r="H1867" t="s">
        <v>9788</v>
      </c>
      <c r="I1867" t="s">
        <v>1074</v>
      </c>
      <c r="J1867" t="s">
        <v>4300</v>
      </c>
    </row>
    <row r="1868" spans="1:10" x14ac:dyDescent="0.3">
      <c r="A1868" t="s">
        <v>4301</v>
      </c>
      <c r="B1868" t="s">
        <v>26087</v>
      </c>
      <c r="C1868" t="s">
        <v>20486</v>
      </c>
      <c r="D1868" t="s">
        <v>11</v>
      </c>
      <c r="E1868" t="s">
        <v>4302</v>
      </c>
      <c r="F1868">
        <v>55</v>
      </c>
      <c r="G1868" t="s">
        <v>7040</v>
      </c>
      <c r="H1868" t="s">
        <v>9787</v>
      </c>
      <c r="I1868" t="s">
        <v>5811</v>
      </c>
      <c r="J1868" t="s">
        <v>225</v>
      </c>
    </row>
    <row r="1869" spans="1:10" x14ac:dyDescent="0.3">
      <c r="A1869" t="s">
        <v>4303</v>
      </c>
      <c r="B1869" t="s">
        <v>26088</v>
      </c>
      <c r="C1869" t="s">
        <v>20487</v>
      </c>
      <c r="D1869" t="s">
        <v>11</v>
      </c>
      <c r="E1869" t="s">
        <v>4304</v>
      </c>
      <c r="F1869">
        <v>56</v>
      </c>
      <c r="G1869" t="s">
        <v>13</v>
      </c>
      <c r="H1869" t="s">
        <v>12099</v>
      </c>
      <c r="J1869" t="s">
        <v>4305</v>
      </c>
    </row>
    <row r="1870" spans="1:10" x14ac:dyDescent="0.3">
      <c r="A1870" t="s">
        <v>4306</v>
      </c>
      <c r="B1870" t="s">
        <v>26089</v>
      </c>
      <c r="C1870" t="s">
        <v>20489</v>
      </c>
      <c r="D1870" t="s">
        <v>11</v>
      </c>
      <c r="E1870" t="s">
        <v>4307</v>
      </c>
      <c r="F1870">
        <v>43</v>
      </c>
      <c r="G1870" t="s">
        <v>16</v>
      </c>
      <c r="H1870" t="s">
        <v>9785</v>
      </c>
      <c r="I1870" t="s">
        <v>17</v>
      </c>
      <c r="J1870" t="s">
        <v>627</v>
      </c>
    </row>
    <row r="1871" spans="1:10" x14ac:dyDescent="0.3">
      <c r="A1871" t="s">
        <v>4308</v>
      </c>
      <c r="B1871" t="s">
        <v>26090</v>
      </c>
      <c r="C1871" t="s">
        <v>20488</v>
      </c>
      <c r="D1871" t="s">
        <v>11</v>
      </c>
      <c r="E1871" t="s">
        <v>4309</v>
      </c>
      <c r="F1871">
        <v>47</v>
      </c>
      <c r="G1871" t="s">
        <v>16</v>
      </c>
      <c r="H1871" t="s">
        <v>9785</v>
      </c>
    </row>
    <row r="1872" spans="1:10" x14ac:dyDescent="0.3">
      <c r="A1872" t="s">
        <v>4310</v>
      </c>
      <c r="B1872" t="s">
        <v>26091</v>
      </c>
      <c r="C1872" t="s">
        <v>20486</v>
      </c>
      <c r="D1872" t="s">
        <v>22</v>
      </c>
      <c r="E1872" t="s">
        <v>4311</v>
      </c>
      <c r="F1872">
        <v>73</v>
      </c>
      <c r="G1872" t="s">
        <v>46</v>
      </c>
      <c r="H1872" t="s">
        <v>46</v>
      </c>
      <c r="I1872" t="s">
        <v>4312</v>
      </c>
      <c r="J1872" t="s">
        <v>2672</v>
      </c>
    </row>
    <row r="1873" spans="1:10" x14ac:dyDescent="0.3">
      <c r="A1873" t="s">
        <v>12307</v>
      </c>
      <c r="B1873" t="s">
        <v>26092</v>
      </c>
      <c r="C1873" t="s">
        <v>20488</v>
      </c>
      <c r="D1873" t="s">
        <v>22</v>
      </c>
      <c r="E1873" t="s">
        <v>4313</v>
      </c>
      <c r="F1873">
        <v>70</v>
      </c>
      <c r="G1873" t="s">
        <v>31</v>
      </c>
      <c r="H1873" t="s">
        <v>31</v>
      </c>
    </row>
    <row r="1874" spans="1:10" x14ac:dyDescent="0.3">
      <c r="A1874" t="s">
        <v>4314</v>
      </c>
      <c r="B1874" t="s">
        <v>26093</v>
      </c>
      <c r="C1874" t="s">
        <v>20489</v>
      </c>
      <c r="D1874" t="s">
        <v>22</v>
      </c>
      <c r="E1874" t="s">
        <v>4315</v>
      </c>
      <c r="F1874">
        <v>73</v>
      </c>
      <c r="G1874" t="s">
        <v>13</v>
      </c>
      <c r="H1874" t="s">
        <v>13</v>
      </c>
      <c r="I1874" t="s">
        <v>173</v>
      </c>
    </row>
    <row r="1875" spans="1:10" x14ac:dyDescent="0.3">
      <c r="A1875" t="s">
        <v>4316</v>
      </c>
      <c r="B1875" t="s">
        <v>26094</v>
      </c>
      <c r="C1875" t="s">
        <v>20491</v>
      </c>
      <c r="D1875" t="s">
        <v>11</v>
      </c>
      <c r="E1875" t="s">
        <v>4317</v>
      </c>
      <c r="F1875">
        <v>54</v>
      </c>
      <c r="G1875" t="s">
        <v>231</v>
      </c>
      <c r="H1875" t="s">
        <v>9788</v>
      </c>
      <c r="J1875" t="s">
        <v>4318</v>
      </c>
    </row>
    <row r="1876" spans="1:10" x14ac:dyDescent="0.3">
      <c r="A1876" t="s">
        <v>4319</v>
      </c>
      <c r="B1876" t="s">
        <v>26095</v>
      </c>
      <c r="C1876" t="s">
        <v>20491</v>
      </c>
      <c r="D1876" t="s">
        <v>11</v>
      </c>
      <c r="E1876" t="s">
        <v>4320</v>
      </c>
      <c r="F1876">
        <v>35</v>
      </c>
      <c r="G1876" t="s">
        <v>109</v>
      </c>
      <c r="H1876" t="s">
        <v>9788</v>
      </c>
      <c r="J1876" t="s">
        <v>1788</v>
      </c>
    </row>
    <row r="1877" spans="1:10" x14ac:dyDescent="0.3">
      <c r="A1877" t="s">
        <v>4321</v>
      </c>
      <c r="B1877" t="s">
        <v>26096</v>
      </c>
      <c r="C1877" t="s">
        <v>20487</v>
      </c>
      <c r="D1877" t="s">
        <v>11</v>
      </c>
      <c r="E1877" t="s">
        <v>3121</v>
      </c>
      <c r="F1877">
        <v>34</v>
      </c>
      <c r="G1877" t="s">
        <v>46</v>
      </c>
      <c r="H1877" t="s">
        <v>46</v>
      </c>
    </row>
    <row r="1878" spans="1:10" x14ac:dyDescent="0.3">
      <c r="A1878" t="s">
        <v>4322</v>
      </c>
      <c r="B1878" t="s">
        <v>26097</v>
      </c>
      <c r="C1878" t="s">
        <v>20489</v>
      </c>
      <c r="D1878" t="s">
        <v>22</v>
      </c>
      <c r="E1878" t="s">
        <v>4323</v>
      </c>
      <c r="F1878">
        <v>37</v>
      </c>
      <c r="G1878" t="s">
        <v>88</v>
      </c>
      <c r="H1878" t="s">
        <v>12065</v>
      </c>
      <c r="I1878" t="s">
        <v>110</v>
      </c>
      <c r="J1878" t="s">
        <v>12308</v>
      </c>
    </row>
    <row r="1879" spans="1:10" x14ac:dyDescent="0.3">
      <c r="A1879" t="s">
        <v>4324</v>
      </c>
      <c r="B1879" t="s">
        <v>26098</v>
      </c>
      <c r="C1879" t="s">
        <v>20489</v>
      </c>
      <c r="D1879" t="s">
        <v>22</v>
      </c>
      <c r="E1879" t="s">
        <v>4325</v>
      </c>
      <c r="F1879">
        <v>35</v>
      </c>
      <c r="G1879" t="s">
        <v>88</v>
      </c>
      <c r="H1879" t="s">
        <v>12065</v>
      </c>
      <c r="I1879" t="s">
        <v>110</v>
      </c>
      <c r="J1879" t="s">
        <v>2447</v>
      </c>
    </row>
    <row r="1880" spans="1:10" x14ac:dyDescent="0.3">
      <c r="A1880" t="s">
        <v>4326</v>
      </c>
      <c r="B1880" t="s">
        <v>26099</v>
      </c>
      <c r="C1880" t="s">
        <v>20489</v>
      </c>
      <c r="D1880" t="s">
        <v>22</v>
      </c>
      <c r="E1880" t="s">
        <v>18820</v>
      </c>
      <c r="F1880">
        <v>39</v>
      </c>
      <c r="G1880" t="s">
        <v>31</v>
      </c>
      <c r="H1880" t="s">
        <v>337</v>
      </c>
    </row>
    <row r="1881" spans="1:10" x14ac:dyDescent="0.3">
      <c r="A1881" t="s">
        <v>4327</v>
      </c>
      <c r="B1881" t="s">
        <v>26100</v>
      </c>
      <c r="C1881" t="s">
        <v>20486</v>
      </c>
      <c r="D1881" t="s">
        <v>11</v>
      </c>
      <c r="E1881" t="s">
        <v>4328</v>
      </c>
      <c r="F1881">
        <v>37</v>
      </c>
      <c r="G1881" t="s">
        <v>2870</v>
      </c>
      <c r="H1881" t="s">
        <v>9788</v>
      </c>
      <c r="I1881" t="s">
        <v>4329</v>
      </c>
      <c r="J1881" t="s">
        <v>4330</v>
      </c>
    </row>
    <row r="1882" spans="1:10" x14ac:dyDescent="0.3">
      <c r="A1882" t="s">
        <v>4331</v>
      </c>
      <c r="B1882" t="s">
        <v>26101</v>
      </c>
      <c r="C1882" t="s">
        <v>20486</v>
      </c>
      <c r="D1882" t="s">
        <v>22</v>
      </c>
      <c r="E1882" t="s">
        <v>4332</v>
      </c>
      <c r="F1882">
        <v>45</v>
      </c>
    </row>
    <row r="1883" spans="1:10" x14ac:dyDescent="0.3">
      <c r="A1883" t="s">
        <v>4333</v>
      </c>
      <c r="B1883" t="s">
        <v>26102</v>
      </c>
      <c r="C1883" t="s">
        <v>20491</v>
      </c>
      <c r="D1883" t="s">
        <v>22</v>
      </c>
      <c r="E1883" t="s">
        <v>4334</v>
      </c>
      <c r="F1883">
        <v>49</v>
      </c>
      <c r="G1883" t="s">
        <v>46</v>
      </c>
      <c r="H1883" t="s">
        <v>46</v>
      </c>
    </row>
    <row r="1884" spans="1:10" x14ac:dyDescent="0.3">
      <c r="A1884" t="s">
        <v>4335</v>
      </c>
      <c r="B1884" t="s">
        <v>26103</v>
      </c>
      <c r="C1884" t="s">
        <v>20490</v>
      </c>
      <c r="D1884" t="s">
        <v>11</v>
      </c>
      <c r="E1884" t="s">
        <v>715</v>
      </c>
      <c r="F1884">
        <v>51</v>
      </c>
      <c r="G1884" t="s">
        <v>201</v>
      </c>
      <c r="H1884" t="s">
        <v>46</v>
      </c>
      <c r="J1884" t="s">
        <v>242</v>
      </c>
    </row>
    <row r="1885" spans="1:10" x14ac:dyDescent="0.3">
      <c r="A1885" t="s">
        <v>4336</v>
      </c>
      <c r="B1885" t="s">
        <v>26104</v>
      </c>
      <c r="C1885" t="s">
        <v>20486</v>
      </c>
      <c r="D1885" t="s">
        <v>11</v>
      </c>
      <c r="E1885" t="s">
        <v>4337</v>
      </c>
      <c r="F1885">
        <v>55</v>
      </c>
      <c r="G1885" t="s">
        <v>46</v>
      </c>
      <c r="H1885" t="s">
        <v>46</v>
      </c>
      <c r="I1885" t="s">
        <v>228</v>
      </c>
      <c r="J1885" t="s">
        <v>4338</v>
      </c>
    </row>
    <row r="1886" spans="1:10" x14ac:dyDescent="0.3">
      <c r="A1886" t="s">
        <v>4339</v>
      </c>
      <c r="B1886" t="s">
        <v>26105</v>
      </c>
      <c r="C1886" t="s">
        <v>20486</v>
      </c>
      <c r="D1886" t="s">
        <v>22</v>
      </c>
      <c r="E1886" t="s">
        <v>4340</v>
      </c>
      <c r="F1886">
        <v>35</v>
      </c>
      <c r="G1886" t="s">
        <v>725</v>
      </c>
      <c r="H1886" t="s">
        <v>9788</v>
      </c>
      <c r="I1886" t="s">
        <v>421</v>
      </c>
      <c r="J1886" t="s">
        <v>4341</v>
      </c>
    </row>
    <row r="1887" spans="1:10" x14ac:dyDescent="0.3">
      <c r="A1887" t="s">
        <v>4342</v>
      </c>
      <c r="B1887" t="s">
        <v>26106</v>
      </c>
      <c r="C1887" t="s">
        <v>20486</v>
      </c>
      <c r="D1887" t="s">
        <v>22</v>
      </c>
      <c r="E1887" t="s">
        <v>3233</v>
      </c>
      <c r="F1887">
        <v>43</v>
      </c>
      <c r="G1887" t="s">
        <v>31</v>
      </c>
      <c r="H1887" t="s">
        <v>31</v>
      </c>
      <c r="J1887" t="s">
        <v>33</v>
      </c>
    </row>
    <row r="1888" spans="1:10" x14ac:dyDescent="0.3">
      <c r="A1888" t="s">
        <v>12309</v>
      </c>
      <c r="B1888" t="s">
        <v>26107</v>
      </c>
      <c r="C1888" t="s">
        <v>20486</v>
      </c>
      <c r="D1888" t="s">
        <v>22</v>
      </c>
      <c r="E1888" t="s">
        <v>9689</v>
      </c>
      <c r="F1888">
        <v>23</v>
      </c>
      <c r="G1888" t="s">
        <v>337</v>
      </c>
      <c r="H1888" t="s">
        <v>337</v>
      </c>
    </row>
    <row r="1889" spans="1:10" x14ac:dyDescent="0.3">
      <c r="A1889" t="s">
        <v>12310</v>
      </c>
      <c r="B1889" t="s">
        <v>26108</v>
      </c>
      <c r="C1889" t="s">
        <v>20486</v>
      </c>
      <c r="D1889" t="s">
        <v>22</v>
      </c>
      <c r="E1889" t="s">
        <v>4915</v>
      </c>
      <c r="F1889">
        <v>25</v>
      </c>
      <c r="G1889" t="s">
        <v>337</v>
      </c>
      <c r="H1889" t="s">
        <v>9788</v>
      </c>
      <c r="I1889" t="s">
        <v>18821</v>
      </c>
      <c r="J1889" t="s">
        <v>14319</v>
      </c>
    </row>
    <row r="1890" spans="1:10" x14ac:dyDescent="0.3">
      <c r="A1890" t="s">
        <v>4343</v>
      </c>
      <c r="B1890" t="s">
        <v>26109</v>
      </c>
      <c r="C1890" t="s">
        <v>20489</v>
      </c>
      <c r="D1890" t="s">
        <v>22</v>
      </c>
      <c r="E1890" t="s">
        <v>4344</v>
      </c>
      <c r="F1890">
        <v>43</v>
      </c>
      <c r="G1890" t="s">
        <v>370</v>
      </c>
      <c r="H1890" t="s">
        <v>46</v>
      </c>
      <c r="I1890" t="s">
        <v>228</v>
      </c>
    </row>
    <row r="1891" spans="1:10" x14ac:dyDescent="0.3">
      <c r="A1891" t="s">
        <v>4345</v>
      </c>
      <c r="B1891" t="s">
        <v>26110</v>
      </c>
      <c r="C1891" t="s">
        <v>20486</v>
      </c>
      <c r="D1891" t="s">
        <v>11</v>
      </c>
      <c r="E1891" t="s">
        <v>4346</v>
      </c>
      <c r="F1891">
        <v>46</v>
      </c>
      <c r="G1891" t="s">
        <v>109</v>
      </c>
      <c r="H1891" t="s">
        <v>9788</v>
      </c>
      <c r="J1891" t="s">
        <v>4347</v>
      </c>
    </row>
    <row r="1892" spans="1:10" x14ac:dyDescent="0.3">
      <c r="A1892" t="s">
        <v>4348</v>
      </c>
      <c r="B1892" t="s">
        <v>26111</v>
      </c>
      <c r="C1892" t="s">
        <v>20486</v>
      </c>
      <c r="D1892" t="s">
        <v>11</v>
      </c>
      <c r="E1892" t="s">
        <v>4349</v>
      </c>
      <c r="F1892">
        <v>78</v>
      </c>
      <c r="G1892" t="s">
        <v>13</v>
      </c>
      <c r="H1892" t="s">
        <v>13</v>
      </c>
    </row>
    <row r="1893" spans="1:10" x14ac:dyDescent="0.3">
      <c r="A1893" t="s">
        <v>4350</v>
      </c>
      <c r="B1893" t="s">
        <v>26112</v>
      </c>
      <c r="C1893" t="s">
        <v>20490</v>
      </c>
      <c r="D1893" t="s">
        <v>22</v>
      </c>
      <c r="E1893" t="s">
        <v>4351</v>
      </c>
      <c r="F1893">
        <v>26</v>
      </c>
      <c r="G1893" t="s">
        <v>109</v>
      </c>
      <c r="H1893" t="s">
        <v>9788</v>
      </c>
    </row>
    <row r="1894" spans="1:10" x14ac:dyDescent="0.3">
      <c r="A1894" t="s">
        <v>4352</v>
      </c>
      <c r="B1894" t="s">
        <v>26113</v>
      </c>
      <c r="C1894" t="s">
        <v>20487</v>
      </c>
      <c r="D1894" t="s">
        <v>11</v>
      </c>
      <c r="E1894" t="s">
        <v>1210</v>
      </c>
      <c r="F1894">
        <v>56</v>
      </c>
    </row>
    <row r="1895" spans="1:10" x14ac:dyDescent="0.3">
      <c r="A1895" t="s">
        <v>4353</v>
      </c>
      <c r="B1895" t="s">
        <v>26114</v>
      </c>
      <c r="C1895" t="s">
        <v>20486</v>
      </c>
      <c r="D1895" t="s">
        <v>22</v>
      </c>
      <c r="E1895" t="s">
        <v>4354</v>
      </c>
      <c r="F1895">
        <v>37</v>
      </c>
      <c r="G1895" t="s">
        <v>31</v>
      </c>
      <c r="H1895" t="s">
        <v>31</v>
      </c>
      <c r="J1895" t="s">
        <v>33</v>
      </c>
    </row>
    <row r="1896" spans="1:10" x14ac:dyDescent="0.3">
      <c r="A1896" t="s">
        <v>4355</v>
      </c>
      <c r="B1896" t="s">
        <v>26115</v>
      </c>
      <c r="C1896" t="s">
        <v>20491</v>
      </c>
      <c r="D1896" t="s">
        <v>22</v>
      </c>
      <c r="E1896" t="s">
        <v>4356</v>
      </c>
      <c r="F1896">
        <v>35</v>
      </c>
      <c r="G1896" t="s">
        <v>1200</v>
      </c>
      <c r="H1896" t="s">
        <v>9788</v>
      </c>
      <c r="I1896" t="s">
        <v>4357</v>
      </c>
      <c r="J1896" t="s">
        <v>4358</v>
      </c>
    </row>
    <row r="1897" spans="1:10" x14ac:dyDescent="0.3">
      <c r="A1897" t="s">
        <v>4359</v>
      </c>
      <c r="B1897" t="s">
        <v>26116</v>
      </c>
      <c r="C1897" t="s">
        <v>20489</v>
      </c>
      <c r="D1897" t="s">
        <v>11</v>
      </c>
      <c r="E1897" t="s">
        <v>2391</v>
      </c>
      <c r="F1897">
        <v>58</v>
      </c>
      <c r="G1897" t="s">
        <v>370</v>
      </c>
      <c r="H1897" t="s">
        <v>46</v>
      </c>
      <c r="I1897" t="s">
        <v>1248</v>
      </c>
      <c r="J1897" t="s">
        <v>1248</v>
      </c>
    </row>
    <row r="1898" spans="1:10" x14ac:dyDescent="0.3">
      <c r="A1898" t="s">
        <v>4360</v>
      </c>
      <c r="B1898" t="s">
        <v>26117</v>
      </c>
      <c r="C1898" t="s">
        <v>20489</v>
      </c>
      <c r="D1898" t="s">
        <v>11</v>
      </c>
      <c r="E1898" t="s">
        <v>4361</v>
      </c>
      <c r="F1898">
        <v>39</v>
      </c>
      <c r="G1898" t="s">
        <v>109</v>
      </c>
      <c r="H1898" t="s">
        <v>9788</v>
      </c>
      <c r="I1898" t="s">
        <v>360</v>
      </c>
      <c r="J1898" t="s">
        <v>4362</v>
      </c>
    </row>
    <row r="1899" spans="1:10" x14ac:dyDescent="0.3">
      <c r="A1899" t="s">
        <v>4363</v>
      </c>
      <c r="B1899" t="s">
        <v>26118</v>
      </c>
      <c r="C1899" t="s">
        <v>20489</v>
      </c>
      <c r="D1899" t="s">
        <v>11</v>
      </c>
      <c r="E1899" t="s">
        <v>4364</v>
      </c>
      <c r="F1899">
        <v>42</v>
      </c>
      <c r="G1899" t="s">
        <v>109</v>
      </c>
      <c r="H1899" t="s">
        <v>9788</v>
      </c>
      <c r="I1899" t="s">
        <v>12311</v>
      </c>
      <c r="J1899" t="s">
        <v>4365</v>
      </c>
    </row>
    <row r="1900" spans="1:10" x14ac:dyDescent="0.3">
      <c r="A1900" t="s">
        <v>4366</v>
      </c>
      <c r="B1900" t="s">
        <v>26119</v>
      </c>
      <c r="C1900" t="s">
        <v>20489</v>
      </c>
      <c r="D1900" t="s">
        <v>11</v>
      </c>
      <c r="E1900" t="s">
        <v>4367</v>
      </c>
      <c r="F1900">
        <v>67</v>
      </c>
      <c r="G1900" t="s">
        <v>370</v>
      </c>
      <c r="H1900" t="s">
        <v>46</v>
      </c>
      <c r="I1900" t="s">
        <v>228</v>
      </c>
      <c r="J1900" t="s">
        <v>4368</v>
      </c>
    </row>
    <row r="1901" spans="1:10" x14ac:dyDescent="0.3">
      <c r="A1901" t="s">
        <v>4369</v>
      </c>
      <c r="B1901" t="s">
        <v>26120</v>
      </c>
      <c r="C1901" t="s">
        <v>20486</v>
      </c>
      <c r="D1901" t="s">
        <v>22</v>
      </c>
      <c r="E1901" t="s">
        <v>4370</v>
      </c>
      <c r="F1901">
        <v>62</v>
      </c>
      <c r="G1901" t="s">
        <v>46</v>
      </c>
      <c r="H1901" t="s">
        <v>46</v>
      </c>
      <c r="I1901" t="s">
        <v>228</v>
      </c>
      <c r="J1901" t="s">
        <v>2216</v>
      </c>
    </row>
    <row r="1902" spans="1:10" x14ac:dyDescent="0.3">
      <c r="A1902" t="s">
        <v>4371</v>
      </c>
      <c r="B1902" t="s">
        <v>26121</v>
      </c>
      <c r="C1902" t="s">
        <v>20489</v>
      </c>
      <c r="D1902" t="s">
        <v>11</v>
      </c>
      <c r="E1902" t="s">
        <v>4372</v>
      </c>
      <c r="F1902">
        <v>38</v>
      </c>
      <c r="G1902" t="s">
        <v>109</v>
      </c>
      <c r="H1902" t="s">
        <v>9788</v>
      </c>
      <c r="I1902" t="s">
        <v>2859</v>
      </c>
    </row>
    <row r="1903" spans="1:10" x14ac:dyDescent="0.3">
      <c r="A1903" t="s">
        <v>4373</v>
      </c>
      <c r="B1903" t="s">
        <v>26122</v>
      </c>
      <c r="C1903" t="s">
        <v>20486</v>
      </c>
      <c r="D1903" t="s">
        <v>22</v>
      </c>
      <c r="E1903" t="s">
        <v>4374</v>
      </c>
      <c r="F1903">
        <v>66</v>
      </c>
      <c r="G1903" t="s">
        <v>13</v>
      </c>
      <c r="H1903" t="s">
        <v>13</v>
      </c>
      <c r="J1903" t="s">
        <v>4375</v>
      </c>
    </row>
    <row r="1904" spans="1:10" x14ac:dyDescent="0.3">
      <c r="A1904" t="s">
        <v>4376</v>
      </c>
      <c r="B1904" t="s">
        <v>26123</v>
      </c>
      <c r="C1904" t="s">
        <v>20491</v>
      </c>
      <c r="D1904" t="s">
        <v>22</v>
      </c>
      <c r="E1904" t="s">
        <v>4377</v>
      </c>
      <c r="F1904">
        <v>51</v>
      </c>
      <c r="G1904" t="s">
        <v>31</v>
      </c>
      <c r="H1904" t="s">
        <v>31</v>
      </c>
    </row>
    <row r="1905" spans="1:10" x14ac:dyDescent="0.3">
      <c r="A1905" t="s">
        <v>4378</v>
      </c>
      <c r="B1905" t="s">
        <v>26124</v>
      </c>
      <c r="C1905" t="s">
        <v>20486</v>
      </c>
      <c r="D1905" t="s">
        <v>22</v>
      </c>
      <c r="E1905" t="s">
        <v>4379</v>
      </c>
      <c r="F1905">
        <v>43</v>
      </c>
      <c r="G1905" t="s">
        <v>31</v>
      </c>
      <c r="H1905" t="s">
        <v>31</v>
      </c>
    </row>
    <row r="1906" spans="1:10" x14ac:dyDescent="0.3">
      <c r="A1906" t="s">
        <v>4380</v>
      </c>
      <c r="B1906" t="s">
        <v>26125</v>
      </c>
      <c r="C1906" t="s">
        <v>20488</v>
      </c>
      <c r="D1906" t="s">
        <v>22</v>
      </c>
      <c r="E1906" t="s">
        <v>4381</v>
      </c>
      <c r="F1906">
        <v>59</v>
      </c>
      <c r="G1906" t="s">
        <v>31</v>
      </c>
      <c r="H1906" t="s">
        <v>31</v>
      </c>
    </row>
    <row r="1907" spans="1:10" x14ac:dyDescent="0.3">
      <c r="A1907" t="s">
        <v>4382</v>
      </c>
      <c r="B1907" t="s">
        <v>26126</v>
      </c>
      <c r="C1907" t="s">
        <v>20488</v>
      </c>
      <c r="D1907" t="s">
        <v>22</v>
      </c>
      <c r="E1907" t="s">
        <v>4383</v>
      </c>
      <c r="F1907">
        <v>70</v>
      </c>
      <c r="G1907" t="s">
        <v>13</v>
      </c>
      <c r="H1907" t="s">
        <v>13</v>
      </c>
    </row>
    <row r="1908" spans="1:10" x14ac:dyDescent="0.3">
      <c r="A1908" t="s">
        <v>4384</v>
      </c>
      <c r="B1908" t="s">
        <v>26127</v>
      </c>
      <c r="C1908" t="s">
        <v>20488</v>
      </c>
      <c r="D1908" t="s">
        <v>11</v>
      </c>
      <c r="E1908" t="s">
        <v>4385</v>
      </c>
      <c r="F1908">
        <v>75</v>
      </c>
      <c r="G1908" t="s">
        <v>109</v>
      </c>
      <c r="H1908" t="s">
        <v>9788</v>
      </c>
    </row>
    <row r="1909" spans="1:10" x14ac:dyDescent="0.3">
      <c r="A1909" t="s">
        <v>4386</v>
      </c>
      <c r="B1909" t="s">
        <v>26128</v>
      </c>
      <c r="C1909" t="s">
        <v>20487</v>
      </c>
      <c r="D1909" t="s">
        <v>22</v>
      </c>
      <c r="E1909" t="s">
        <v>4387</v>
      </c>
      <c r="F1909">
        <v>52</v>
      </c>
      <c r="G1909" t="s">
        <v>16</v>
      </c>
      <c r="H1909" t="s">
        <v>9785</v>
      </c>
      <c r="J1909" t="s">
        <v>4388</v>
      </c>
    </row>
    <row r="1910" spans="1:10" x14ac:dyDescent="0.3">
      <c r="A1910" t="s">
        <v>4389</v>
      </c>
      <c r="B1910" t="s">
        <v>26129</v>
      </c>
      <c r="C1910" t="s">
        <v>20488</v>
      </c>
      <c r="D1910" t="s">
        <v>22</v>
      </c>
      <c r="E1910" t="s">
        <v>4390</v>
      </c>
      <c r="F1910">
        <v>48</v>
      </c>
      <c r="G1910" t="s">
        <v>31</v>
      </c>
      <c r="H1910" t="s">
        <v>31</v>
      </c>
      <c r="I1910" t="s">
        <v>33</v>
      </c>
    </row>
    <row r="1911" spans="1:10" x14ac:dyDescent="0.3">
      <c r="A1911" t="s">
        <v>4391</v>
      </c>
      <c r="B1911" t="s">
        <v>26130</v>
      </c>
      <c r="C1911" t="s">
        <v>20486</v>
      </c>
      <c r="D1911" t="s">
        <v>22</v>
      </c>
      <c r="E1911" t="s">
        <v>168</v>
      </c>
      <c r="F1911">
        <v>52</v>
      </c>
      <c r="G1911" t="s">
        <v>1525</v>
      </c>
      <c r="H1911" t="s">
        <v>9789</v>
      </c>
      <c r="I1911" t="s">
        <v>4392</v>
      </c>
      <c r="J1911" t="s">
        <v>4393</v>
      </c>
    </row>
    <row r="1912" spans="1:10" x14ac:dyDescent="0.3">
      <c r="A1912" t="s">
        <v>4394</v>
      </c>
      <c r="B1912" t="s">
        <v>26131</v>
      </c>
      <c r="C1912" t="s">
        <v>20486</v>
      </c>
      <c r="D1912" t="s">
        <v>22</v>
      </c>
      <c r="E1912" t="s">
        <v>2370</v>
      </c>
      <c r="F1912">
        <v>34</v>
      </c>
      <c r="G1912" t="s">
        <v>109</v>
      </c>
      <c r="H1912" t="s">
        <v>9788</v>
      </c>
      <c r="I1912" t="s">
        <v>4395</v>
      </c>
      <c r="J1912" t="s">
        <v>4395</v>
      </c>
    </row>
    <row r="1913" spans="1:10" x14ac:dyDescent="0.3">
      <c r="A1913" t="s">
        <v>4396</v>
      </c>
      <c r="B1913" t="s">
        <v>26132</v>
      </c>
      <c r="C1913" t="s">
        <v>20489</v>
      </c>
      <c r="D1913" t="s">
        <v>22</v>
      </c>
      <c r="E1913" t="s">
        <v>4397</v>
      </c>
      <c r="F1913">
        <v>53</v>
      </c>
      <c r="G1913" t="s">
        <v>109</v>
      </c>
      <c r="H1913" t="s">
        <v>9788</v>
      </c>
      <c r="I1913" t="s">
        <v>17</v>
      </c>
      <c r="J1913" t="s">
        <v>4398</v>
      </c>
    </row>
    <row r="1914" spans="1:10" x14ac:dyDescent="0.3">
      <c r="A1914" t="s">
        <v>4399</v>
      </c>
      <c r="B1914" t="s">
        <v>26133</v>
      </c>
      <c r="C1914" t="s">
        <v>20488</v>
      </c>
      <c r="D1914" t="s">
        <v>11</v>
      </c>
      <c r="E1914" t="s">
        <v>4400</v>
      </c>
      <c r="F1914">
        <v>52</v>
      </c>
      <c r="G1914" t="s">
        <v>540</v>
      </c>
      <c r="H1914" t="s">
        <v>12074</v>
      </c>
      <c r="I1914" t="s">
        <v>1269</v>
      </c>
    </row>
    <row r="1915" spans="1:10" x14ac:dyDescent="0.3">
      <c r="A1915" t="s">
        <v>4401</v>
      </c>
      <c r="B1915" t="s">
        <v>26134</v>
      </c>
      <c r="C1915" t="s">
        <v>20487</v>
      </c>
      <c r="D1915" t="s">
        <v>11</v>
      </c>
      <c r="E1915" t="s">
        <v>4402</v>
      </c>
      <c r="F1915">
        <v>36</v>
      </c>
      <c r="G1915" t="s">
        <v>109</v>
      </c>
      <c r="H1915" t="s">
        <v>9788</v>
      </c>
      <c r="J1915" t="s">
        <v>2639</v>
      </c>
    </row>
    <row r="1916" spans="1:10" x14ac:dyDescent="0.3">
      <c r="A1916" t="s">
        <v>12312</v>
      </c>
      <c r="B1916" t="s">
        <v>26135</v>
      </c>
      <c r="C1916" t="s">
        <v>20486</v>
      </c>
      <c r="D1916" t="s">
        <v>22</v>
      </c>
      <c r="E1916" t="s">
        <v>9688</v>
      </c>
      <c r="F1916">
        <v>19</v>
      </c>
      <c r="G1916" t="s">
        <v>337</v>
      </c>
      <c r="H1916" t="s">
        <v>337</v>
      </c>
    </row>
    <row r="1917" spans="1:10" x14ac:dyDescent="0.3">
      <c r="A1917" t="s">
        <v>12313</v>
      </c>
      <c r="B1917" t="s">
        <v>26136</v>
      </c>
      <c r="C1917" t="s">
        <v>20486</v>
      </c>
      <c r="D1917" t="s">
        <v>11</v>
      </c>
      <c r="E1917" t="s">
        <v>9687</v>
      </c>
      <c r="F1917">
        <v>17</v>
      </c>
      <c r="H1917" t="s">
        <v>337</v>
      </c>
    </row>
    <row r="1918" spans="1:10" x14ac:dyDescent="0.3">
      <c r="A1918" t="s">
        <v>4403</v>
      </c>
      <c r="B1918" t="s">
        <v>26137</v>
      </c>
      <c r="C1918" t="s">
        <v>20486</v>
      </c>
      <c r="D1918" t="s">
        <v>22</v>
      </c>
      <c r="E1918" t="s">
        <v>4404</v>
      </c>
      <c r="F1918">
        <v>43</v>
      </c>
      <c r="G1918" t="s">
        <v>31</v>
      </c>
      <c r="H1918" t="s">
        <v>31</v>
      </c>
      <c r="I1918" t="s">
        <v>14320</v>
      </c>
    </row>
    <row r="1919" spans="1:10" x14ac:dyDescent="0.3">
      <c r="A1919" t="s">
        <v>4405</v>
      </c>
      <c r="B1919" t="s">
        <v>26138</v>
      </c>
      <c r="C1919" t="s">
        <v>20488</v>
      </c>
      <c r="D1919" t="s">
        <v>11</v>
      </c>
      <c r="E1919" t="s">
        <v>4406</v>
      </c>
      <c r="F1919">
        <v>48</v>
      </c>
      <c r="G1919" t="s">
        <v>16</v>
      </c>
      <c r="H1919" t="s">
        <v>9785</v>
      </c>
      <c r="I1919" t="s">
        <v>449</v>
      </c>
      <c r="J1919" t="s">
        <v>817</v>
      </c>
    </row>
    <row r="1920" spans="1:10" x14ac:dyDescent="0.3">
      <c r="A1920" t="s">
        <v>4407</v>
      </c>
      <c r="B1920" t="s">
        <v>26139</v>
      </c>
      <c r="C1920" t="s">
        <v>20486</v>
      </c>
      <c r="D1920" t="s">
        <v>22</v>
      </c>
      <c r="E1920" t="s">
        <v>4408</v>
      </c>
      <c r="F1920">
        <v>38</v>
      </c>
      <c r="G1920" t="s">
        <v>1047</v>
      </c>
      <c r="H1920" t="s">
        <v>9788</v>
      </c>
      <c r="J1920" t="s">
        <v>4409</v>
      </c>
    </row>
    <row r="1921" spans="1:10" x14ac:dyDescent="0.3">
      <c r="A1921" t="s">
        <v>4410</v>
      </c>
      <c r="B1921" t="s">
        <v>26140</v>
      </c>
      <c r="C1921" t="s">
        <v>20486</v>
      </c>
      <c r="D1921" t="s">
        <v>22</v>
      </c>
      <c r="E1921" t="s">
        <v>4411</v>
      </c>
      <c r="F1921">
        <v>53</v>
      </c>
    </row>
    <row r="1922" spans="1:10" x14ac:dyDescent="0.3">
      <c r="A1922" t="s">
        <v>4412</v>
      </c>
      <c r="B1922" t="s">
        <v>26141</v>
      </c>
      <c r="C1922" t="s">
        <v>20488</v>
      </c>
      <c r="D1922" t="s">
        <v>22</v>
      </c>
      <c r="E1922" t="s">
        <v>4413</v>
      </c>
      <c r="F1922">
        <v>36</v>
      </c>
      <c r="G1922" t="s">
        <v>46</v>
      </c>
      <c r="H1922" t="s">
        <v>46</v>
      </c>
    </row>
    <row r="1923" spans="1:10" x14ac:dyDescent="0.3">
      <c r="A1923" t="s">
        <v>4414</v>
      </c>
      <c r="B1923" t="s">
        <v>26142</v>
      </c>
      <c r="C1923" t="s">
        <v>20486</v>
      </c>
      <c r="D1923" t="s">
        <v>22</v>
      </c>
      <c r="E1923" t="s">
        <v>1325</v>
      </c>
      <c r="F1923">
        <v>65</v>
      </c>
      <c r="G1923" t="s">
        <v>172</v>
      </c>
      <c r="H1923" t="s">
        <v>12099</v>
      </c>
      <c r="J1923" t="s">
        <v>4415</v>
      </c>
    </row>
    <row r="1924" spans="1:10" x14ac:dyDescent="0.3">
      <c r="A1924" t="s">
        <v>4416</v>
      </c>
      <c r="B1924" t="s">
        <v>26143</v>
      </c>
      <c r="C1924" t="s">
        <v>20491</v>
      </c>
      <c r="D1924" t="s">
        <v>11</v>
      </c>
      <c r="E1924" t="s">
        <v>4417</v>
      </c>
      <c r="F1924">
        <v>57</v>
      </c>
      <c r="G1924" t="s">
        <v>173</v>
      </c>
      <c r="H1924" t="s">
        <v>12099</v>
      </c>
    </row>
    <row r="1925" spans="1:10" x14ac:dyDescent="0.3">
      <c r="A1925" t="s">
        <v>4418</v>
      </c>
      <c r="B1925" t="s">
        <v>26144</v>
      </c>
      <c r="C1925" t="s">
        <v>20491</v>
      </c>
      <c r="D1925" t="s">
        <v>22</v>
      </c>
      <c r="E1925" t="s">
        <v>4419</v>
      </c>
      <c r="F1925">
        <v>56</v>
      </c>
      <c r="G1925" t="s">
        <v>231</v>
      </c>
      <c r="H1925" t="s">
        <v>9788</v>
      </c>
    </row>
    <row r="1926" spans="1:10" x14ac:dyDescent="0.3">
      <c r="A1926" t="s">
        <v>4420</v>
      </c>
      <c r="B1926" t="s">
        <v>26145</v>
      </c>
      <c r="C1926" t="s">
        <v>20486</v>
      </c>
      <c r="D1926" t="s">
        <v>22</v>
      </c>
      <c r="E1926" t="s">
        <v>4421</v>
      </c>
      <c r="F1926">
        <v>66</v>
      </c>
      <c r="G1926" t="s">
        <v>31</v>
      </c>
      <c r="H1926" t="s">
        <v>31</v>
      </c>
      <c r="J1926" t="s">
        <v>33</v>
      </c>
    </row>
    <row r="1927" spans="1:10" x14ac:dyDescent="0.3">
      <c r="A1927" t="s">
        <v>4422</v>
      </c>
      <c r="B1927" t="s">
        <v>26146</v>
      </c>
      <c r="C1927" t="s">
        <v>20486</v>
      </c>
      <c r="D1927" t="s">
        <v>22</v>
      </c>
      <c r="E1927" t="s">
        <v>4423</v>
      </c>
      <c r="F1927">
        <v>50</v>
      </c>
    </row>
    <row r="1928" spans="1:10" x14ac:dyDescent="0.3">
      <c r="A1928" t="s">
        <v>4424</v>
      </c>
      <c r="B1928" t="s">
        <v>26147</v>
      </c>
      <c r="C1928" t="s">
        <v>20487</v>
      </c>
      <c r="D1928" t="s">
        <v>22</v>
      </c>
      <c r="E1928" t="s">
        <v>4425</v>
      </c>
      <c r="F1928">
        <v>47</v>
      </c>
      <c r="G1928" t="s">
        <v>31</v>
      </c>
      <c r="H1928" t="s">
        <v>31</v>
      </c>
    </row>
    <row r="1929" spans="1:10" x14ac:dyDescent="0.3">
      <c r="A1929" t="s">
        <v>4426</v>
      </c>
      <c r="B1929" t="s">
        <v>26148</v>
      </c>
      <c r="C1929" t="s">
        <v>20486</v>
      </c>
      <c r="D1929" t="s">
        <v>22</v>
      </c>
      <c r="E1929" t="s">
        <v>3183</v>
      </c>
      <c r="F1929">
        <v>39</v>
      </c>
      <c r="G1929" t="s">
        <v>31</v>
      </c>
      <c r="H1929" t="s">
        <v>31</v>
      </c>
    </row>
    <row r="1930" spans="1:10" x14ac:dyDescent="0.3">
      <c r="A1930" t="s">
        <v>4427</v>
      </c>
      <c r="B1930" t="s">
        <v>26149</v>
      </c>
      <c r="C1930" t="s">
        <v>20487</v>
      </c>
      <c r="D1930" t="s">
        <v>22</v>
      </c>
      <c r="E1930" t="s">
        <v>3406</v>
      </c>
      <c r="F1930">
        <v>44</v>
      </c>
      <c r="G1930" t="s">
        <v>16</v>
      </c>
      <c r="H1930" t="s">
        <v>9785</v>
      </c>
      <c r="J1930" t="s">
        <v>4428</v>
      </c>
    </row>
    <row r="1931" spans="1:10" x14ac:dyDescent="0.3">
      <c r="A1931" t="s">
        <v>4429</v>
      </c>
      <c r="B1931" t="s">
        <v>26150</v>
      </c>
      <c r="C1931" t="s">
        <v>20491</v>
      </c>
      <c r="D1931" t="s">
        <v>22</v>
      </c>
      <c r="E1931" t="s">
        <v>4430</v>
      </c>
      <c r="F1931">
        <v>68</v>
      </c>
      <c r="G1931" t="s">
        <v>31</v>
      </c>
      <c r="H1931" t="s">
        <v>31</v>
      </c>
    </row>
    <row r="1932" spans="1:10" x14ac:dyDescent="0.3">
      <c r="A1932" t="s">
        <v>4431</v>
      </c>
      <c r="B1932" t="s">
        <v>26151</v>
      </c>
      <c r="C1932" t="s">
        <v>20491</v>
      </c>
      <c r="D1932" t="s">
        <v>11</v>
      </c>
      <c r="E1932" t="s">
        <v>4432</v>
      </c>
      <c r="F1932">
        <v>68</v>
      </c>
      <c r="G1932" t="s">
        <v>13</v>
      </c>
      <c r="H1932" t="s">
        <v>13</v>
      </c>
    </row>
    <row r="1933" spans="1:10" x14ac:dyDescent="0.3">
      <c r="A1933" t="s">
        <v>4433</v>
      </c>
      <c r="B1933" t="s">
        <v>26152</v>
      </c>
      <c r="C1933" t="s">
        <v>20491</v>
      </c>
      <c r="D1933" t="s">
        <v>11</v>
      </c>
      <c r="E1933" t="s">
        <v>4434</v>
      </c>
      <c r="F1933">
        <v>22</v>
      </c>
      <c r="G1933" t="s">
        <v>337</v>
      </c>
      <c r="H1933" t="s">
        <v>337</v>
      </c>
    </row>
    <row r="1934" spans="1:10" x14ac:dyDescent="0.3">
      <c r="A1934" t="s">
        <v>4435</v>
      </c>
      <c r="B1934" t="s">
        <v>26153</v>
      </c>
      <c r="C1934" t="s">
        <v>20488</v>
      </c>
      <c r="D1934" t="s">
        <v>11</v>
      </c>
      <c r="E1934" t="s">
        <v>4436</v>
      </c>
      <c r="F1934">
        <v>38</v>
      </c>
      <c r="G1934" t="s">
        <v>16</v>
      </c>
      <c r="H1934" t="s">
        <v>9785</v>
      </c>
      <c r="I1934" t="s">
        <v>449</v>
      </c>
      <c r="J1934" t="s">
        <v>2036</v>
      </c>
    </row>
    <row r="1935" spans="1:10" x14ac:dyDescent="0.3">
      <c r="A1935" t="s">
        <v>4437</v>
      </c>
      <c r="B1935" t="s">
        <v>26154</v>
      </c>
      <c r="C1935" t="s">
        <v>20488</v>
      </c>
      <c r="D1935" t="s">
        <v>22</v>
      </c>
      <c r="E1935" t="s">
        <v>4438</v>
      </c>
      <c r="F1935">
        <v>69</v>
      </c>
      <c r="G1935" t="s">
        <v>16</v>
      </c>
      <c r="H1935" t="s">
        <v>9785</v>
      </c>
      <c r="I1935" t="s">
        <v>449</v>
      </c>
      <c r="J1935" t="s">
        <v>2036</v>
      </c>
    </row>
    <row r="1936" spans="1:10" x14ac:dyDescent="0.3">
      <c r="A1936" t="s">
        <v>4440</v>
      </c>
      <c r="B1936" t="s">
        <v>26155</v>
      </c>
      <c r="C1936" t="s">
        <v>20488</v>
      </c>
      <c r="D1936" t="s">
        <v>22</v>
      </c>
      <c r="E1936" t="s">
        <v>4441</v>
      </c>
      <c r="F1936">
        <v>39</v>
      </c>
      <c r="G1936" t="s">
        <v>109</v>
      </c>
      <c r="H1936" t="s">
        <v>9788</v>
      </c>
    </row>
    <row r="1937" spans="1:10" x14ac:dyDescent="0.3">
      <c r="A1937" t="s">
        <v>4442</v>
      </c>
      <c r="B1937" t="s">
        <v>26156</v>
      </c>
      <c r="C1937" t="s">
        <v>20488</v>
      </c>
      <c r="D1937" t="s">
        <v>11</v>
      </c>
      <c r="E1937" t="s">
        <v>4443</v>
      </c>
      <c r="F1937">
        <v>49</v>
      </c>
      <c r="G1937" t="s">
        <v>109</v>
      </c>
      <c r="H1937" t="s">
        <v>9788</v>
      </c>
    </row>
    <row r="1938" spans="1:10" x14ac:dyDescent="0.3">
      <c r="A1938" t="s">
        <v>4444</v>
      </c>
      <c r="B1938" t="s">
        <v>26157</v>
      </c>
      <c r="C1938" t="s">
        <v>20486</v>
      </c>
      <c r="D1938" t="s">
        <v>11</v>
      </c>
      <c r="E1938" t="s">
        <v>4445</v>
      </c>
      <c r="F1938">
        <v>45</v>
      </c>
    </row>
    <row r="1939" spans="1:10" x14ac:dyDescent="0.3">
      <c r="A1939" t="s">
        <v>12314</v>
      </c>
      <c r="B1939" t="s">
        <v>26158</v>
      </c>
      <c r="C1939" t="s">
        <v>20488</v>
      </c>
      <c r="D1939" t="s">
        <v>22</v>
      </c>
      <c r="E1939" t="s">
        <v>9686</v>
      </c>
      <c r="F1939">
        <v>17</v>
      </c>
      <c r="G1939" t="s">
        <v>337</v>
      </c>
      <c r="H1939" t="s">
        <v>337</v>
      </c>
    </row>
    <row r="1940" spans="1:10" x14ac:dyDescent="0.3">
      <c r="A1940" t="s">
        <v>4446</v>
      </c>
      <c r="B1940" t="s">
        <v>26159</v>
      </c>
      <c r="C1940" t="s">
        <v>20488</v>
      </c>
      <c r="D1940" t="s">
        <v>11</v>
      </c>
      <c r="E1940" t="s">
        <v>4447</v>
      </c>
      <c r="F1940">
        <v>59</v>
      </c>
      <c r="G1940" t="s">
        <v>173</v>
      </c>
      <c r="H1940" t="s">
        <v>12099</v>
      </c>
    </row>
    <row r="1941" spans="1:10" x14ac:dyDescent="0.3">
      <c r="A1941" t="s">
        <v>4448</v>
      </c>
      <c r="B1941" t="s">
        <v>26160</v>
      </c>
      <c r="C1941" t="s">
        <v>20486</v>
      </c>
      <c r="D1941" t="s">
        <v>22</v>
      </c>
      <c r="E1941" t="s">
        <v>4449</v>
      </c>
      <c r="F1941">
        <v>48</v>
      </c>
      <c r="G1941" t="s">
        <v>31</v>
      </c>
      <c r="H1941" t="s">
        <v>31</v>
      </c>
      <c r="J1941" t="s">
        <v>4450</v>
      </c>
    </row>
    <row r="1942" spans="1:10" x14ac:dyDescent="0.3">
      <c r="A1942" t="s">
        <v>4451</v>
      </c>
      <c r="B1942" t="s">
        <v>26161</v>
      </c>
      <c r="C1942" t="s">
        <v>20487</v>
      </c>
      <c r="D1942" t="s">
        <v>11</v>
      </c>
      <c r="E1942" t="s">
        <v>4452</v>
      </c>
      <c r="F1942">
        <v>53</v>
      </c>
      <c r="G1942" t="s">
        <v>109</v>
      </c>
      <c r="H1942" t="s">
        <v>9788</v>
      </c>
      <c r="J1942" t="s">
        <v>4453</v>
      </c>
    </row>
    <row r="1943" spans="1:10" x14ac:dyDescent="0.3">
      <c r="A1943" t="s">
        <v>4454</v>
      </c>
      <c r="B1943" t="s">
        <v>26162</v>
      </c>
      <c r="C1943" t="s">
        <v>20488</v>
      </c>
      <c r="D1943" t="s">
        <v>22</v>
      </c>
      <c r="E1943" t="s">
        <v>4455</v>
      </c>
      <c r="F1943">
        <v>54</v>
      </c>
      <c r="G1943" t="s">
        <v>109</v>
      </c>
      <c r="H1943" t="s">
        <v>9788</v>
      </c>
    </row>
    <row r="1944" spans="1:10" x14ac:dyDescent="0.3">
      <c r="A1944" t="s">
        <v>4456</v>
      </c>
      <c r="B1944" t="s">
        <v>26163</v>
      </c>
      <c r="C1944" t="s">
        <v>20490</v>
      </c>
      <c r="D1944" t="s">
        <v>11</v>
      </c>
      <c r="E1944" t="s">
        <v>4457</v>
      </c>
      <c r="F1944">
        <v>48</v>
      </c>
      <c r="G1944" t="s">
        <v>109</v>
      </c>
      <c r="H1944" t="s">
        <v>9788</v>
      </c>
      <c r="I1944" t="s">
        <v>4458</v>
      </c>
      <c r="J1944" t="s">
        <v>3297</v>
      </c>
    </row>
    <row r="1945" spans="1:10" x14ac:dyDescent="0.3">
      <c r="A1945" t="s">
        <v>4459</v>
      </c>
      <c r="B1945" t="s">
        <v>26164</v>
      </c>
      <c r="C1945" t="s">
        <v>20486</v>
      </c>
      <c r="D1945" t="s">
        <v>11</v>
      </c>
      <c r="E1945" t="s">
        <v>4460</v>
      </c>
      <c r="F1945">
        <v>44</v>
      </c>
      <c r="G1945" t="s">
        <v>46</v>
      </c>
      <c r="H1945" t="s">
        <v>46</v>
      </c>
      <c r="I1945" t="s">
        <v>228</v>
      </c>
      <c r="J1945" t="s">
        <v>4461</v>
      </c>
    </row>
    <row r="1946" spans="1:10" x14ac:dyDescent="0.3">
      <c r="A1946" t="s">
        <v>4462</v>
      </c>
      <c r="B1946" t="s">
        <v>26165</v>
      </c>
      <c r="C1946" t="s">
        <v>20488</v>
      </c>
      <c r="D1946" t="s">
        <v>11</v>
      </c>
      <c r="E1946" t="s">
        <v>1338</v>
      </c>
      <c r="F1946">
        <v>53</v>
      </c>
      <c r="G1946" t="s">
        <v>46</v>
      </c>
      <c r="H1946" t="s">
        <v>46</v>
      </c>
    </row>
    <row r="1947" spans="1:10" x14ac:dyDescent="0.3">
      <c r="A1947" t="s">
        <v>4463</v>
      </c>
      <c r="B1947" t="s">
        <v>26166</v>
      </c>
      <c r="C1947" t="s">
        <v>20487</v>
      </c>
      <c r="D1947" t="s">
        <v>11</v>
      </c>
      <c r="E1947" t="s">
        <v>4464</v>
      </c>
      <c r="F1947">
        <v>53</v>
      </c>
      <c r="G1947" t="s">
        <v>46</v>
      </c>
      <c r="H1947" t="s">
        <v>46</v>
      </c>
      <c r="I1947" t="s">
        <v>220</v>
      </c>
      <c r="J1947" t="s">
        <v>12315</v>
      </c>
    </row>
    <row r="1948" spans="1:10" x14ac:dyDescent="0.3">
      <c r="A1948" t="s">
        <v>4465</v>
      </c>
      <c r="B1948" t="s">
        <v>26167</v>
      </c>
      <c r="C1948" t="s">
        <v>20486</v>
      </c>
      <c r="D1948" t="s">
        <v>11</v>
      </c>
      <c r="E1948" t="s">
        <v>4466</v>
      </c>
      <c r="F1948">
        <v>57</v>
      </c>
      <c r="G1948" t="s">
        <v>109</v>
      </c>
      <c r="H1948" t="s">
        <v>9788</v>
      </c>
      <c r="J1948" t="s">
        <v>4467</v>
      </c>
    </row>
    <row r="1949" spans="1:10" x14ac:dyDescent="0.3">
      <c r="A1949" t="s">
        <v>4469</v>
      </c>
      <c r="B1949" t="s">
        <v>26168</v>
      </c>
      <c r="C1949" t="s">
        <v>20486</v>
      </c>
      <c r="D1949" t="s">
        <v>22</v>
      </c>
      <c r="E1949" t="s">
        <v>4470</v>
      </c>
      <c r="F1949">
        <v>58</v>
      </c>
      <c r="G1949" t="s">
        <v>46</v>
      </c>
      <c r="H1949" t="s">
        <v>46</v>
      </c>
      <c r="I1949" t="s">
        <v>4471</v>
      </c>
    </row>
    <row r="1950" spans="1:10" x14ac:dyDescent="0.3">
      <c r="A1950" t="s">
        <v>4472</v>
      </c>
      <c r="B1950" t="s">
        <v>26169</v>
      </c>
      <c r="C1950" t="s">
        <v>20488</v>
      </c>
      <c r="D1950" t="s">
        <v>11</v>
      </c>
      <c r="E1950" t="s">
        <v>4473</v>
      </c>
      <c r="F1950">
        <v>54</v>
      </c>
      <c r="G1950" t="s">
        <v>46</v>
      </c>
      <c r="H1950" t="s">
        <v>46</v>
      </c>
    </row>
    <row r="1951" spans="1:10" x14ac:dyDescent="0.3">
      <c r="A1951" t="s">
        <v>4474</v>
      </c>
      <c r="B1951" t="s">
        <v>26170</v>
      </c>
      <c r="C1951" t="s">
        <v>20486</v>
      </c>
      <c r="D1951" t="s">
        <v>22</v>
      </c>
      <c r="E1951" t="s">
        <v>4475</v>
      </c>
      <c r="F1951">
        <v>49</v>
      </c>
      <c r="G1951" t="s">
        <v>46</v>
      </c>
      <c r="H1951" t="s">
        <v>46</v>
      </c>
      <c r="I1951" t="s">
        <v>228</v>
      </c>
      <c r="J1951" t="s">
        <v>14321</v>
      </c>
    </row>
    <row r="1952" spans="1:10" x14ac:dyDescent="0.3">
      <c r="A1952" t="s">
        <v>4476</v>
      </c>
      <c r="B1952" t="s">
        <v>26171</v>
      </c>
      <c r="C1952" t="s">
        <v>20488</v>
      </c>
      <c r="D1952" t="s">
        <v>11</v>
      </c>
      <c r="E1952" t="s">
        <v>4477</v>
      </c>
      <c r="F1952">
        <v>52</v>
      </c>
      <c r="G1952" t="s">
        <v>46</v>
      </c>
      <c r="H1952" t="s">
        <v>46</v>
      </c>
    </row>
    <row r="1953" spans="1:10" x14ac:dyDescent="0.3">
      <c r="A1953" t="s">
        <v>4478</v>
      </c>
      <c r="B1953" t="s">
        <v>26172</v>
      </c>
      <c r="C1953" t="s">
        <v>20490</v>
      </c>
      <c r="D1953" t="s">
        <v>22</v>
      </c>
      <c r="E1953" t="s">
        <v>3435</v>
      </c>
      <c r="F1953">
        <v>52</v>
      </c>
      <c r="G1953" t="s">
        <v>16</v>
      </c>
      <c r="H1953" t="s">
        <v>9785</v>
      </c>
      <c r="J1953" t="s">
        <v>2669</v>
      </c>
    </row>
    <row r="1954" spans="1:10" x14ac:dyDescent="0.3">
      <c r="A1954" t="s">
        <v>4479</v>
      </c>
      <c r="B1954" t="s">
        <v>26173</v>
      </c>
      <c r="C1954" t="s">
        <v>20486</v>
      </c>
      <c r="D1954" t="s">
        <v>22</v>
      </c>
      <c r="E1954" t="s">
        <v>4480</v>
      </c>
      <c r="F1954">
        <v>46</v>
      </c>
      <c r="G1954" t="s">
        <v>4481</v>
      </c>
      <c r="H1954" t="s">
        <v>12099</v>
      </c>
      <c r="I1954" t="s">
        <v>4482</v>
      </c>
      <c r="J1954" t="s">
        <v>713</v>
      </c>
    </row>
    <row r="1955" spans="1:10" x14ac:dyDescent="0.3">
      <c r="A1955" t="s">
        <v>4483</v>
      </c>
      <c r="B1955" t="s">
        <v>26174</v>
      </c>
      <c r="C1955" t="s">
        <v>20486</v>
      </c>
      <c r="D1955" t="s">
        <v>22</v>
      </c>
      <c r="E1955" t="s">
        <v>4484</v>
      </c>
      <c r="F1955">
        <v>34</v>
      </c>
      <c r="G1955" t="s">
        <v>133</v>
      </c>
      <c r="H1955" t="s">
        <v>9789</v>
      </c>
      <c r="I1955" t="s">
        <v>883</v>
      </c>
      <c r="J1955" t="s">
        <v>4485</v>
      </c>
    </row>
    <row r="1956" spans="1:10" x14ac:dyDescent="0.3">
      <c r="A1956" t="s">
        <v>4486</v>
      </c>
      <c r="B1956" t="s">
        <v>26175</v>
      </c>
      <c r="C1956" t="s">
        <v>20491</v>
      </c>
      <c r="D1956" t="s">
        <v>11</v>
      </c>
      <c r="E1956" t="s">
        <v>4487</v>
      </c>
      <c r="F1956">
        <v>27</v>
      </c>
      <c r="G1956" t="s">
        <v>109</v>
      </c>
      <c r="H1956" t="s">
        <v>9788</v>
      </c>
      <c r="I1956" t="s">
        <v>4488</v>
      </c>
    </row>
    <row r="1957" spans="1:10" x14ac:dyDescent="0.3">
      <c r="A1957" t="s">
        <v>4489</v>
      </c>
      <c r="B1957" t="s">
        <v>26176</v>
      </c>
      <c r="C1957" t="s">
        <v>20488</v>
      </c>
      <c r="D1957" t="s">
        <v>22</v>
      </c>
      <c r="E1957" t="s">
        <v>4490</v>
      </c>
      <c r="F1957">
        <v>39</v>
      </c>
      <c r="G1957" t="s">
        <v>16</v>
      </c>
      <c r="H1957" t="s">
        <v>9785</v>
      </c>
      <c r="I1957" t="s">
        <v>449</v>
      </c>
      <c r="J1957" t="s">
        <v>1987</v>
      </c>
    </row>
    <row r="1958" spans="1:10" x14ac:dyDescent="0.3">
      <c r="A1958" t="s">
        <v>4491</v>
      </c>
      <c r="B1958" t="s">
        <v>26177</v>
      </c>
      <c r="C1958" t="s">
        <v>20488</v>
      </c>
      <c r="D1958" t="s">
        <v>22</v>
      </c>
      <c r="E1958" t="s">
        <v>4492</v>
      </c>
      <c r="F1958">
        <v>43</v>
      </c>
      <c r="G1958" t="s">
        <v>46</v>
      </c>
      <c r="H1958" t="s">
        <v>46</v>
      </c>
    </row>
    <row r="1959" spans="1:10" x14ac:dyDescent="0.3">
      <c r="A1959" t="s">
        <v>12316</v>
      </c>
      <c r="B1959" t="s">
        <v>26178</v>
      </c>
      <c r="C1959" t="s">
        <v>20486</v>
      </c>
      <c r="D1959" t="s">
        <v>11</v>
      </c>
      <c r="E1959" t="s">
        <v>12317</v>
      </c>
      <c r="F1959">
        <v>67</v>
      </c>
      <c r="H1959" t="s">
        <v>13</v>
      </c>
      <c r="J1959" t="s">
        <v>198</v>
      </c>
    </row>
    <row r="1960" spans="1:10" x14ac:dyDescent="0.3">
      <c r="A1960" t="s">
        <v>12318</v>
      </c>
      <c r="B1960" t="s">
        <v>26179</v>
      </c>
      <c r="C1960" t="s">
        <v>20486</v>
      </c>
      <c r="D1960" t="s">
        <v>22</v>
      </c>
      <c r="E1960" t="s">
        <v>9685</v>
      </c>
      <c r="F1960">
        <v>23</v>
      </c>
    </row>
    <row r="1961" spans="1:10" x14ac:dyDescent="0.3">
      <c r="A1961" t="s">
        <v>12319</v>
      </c>
      <c r="B1961" t="s">
        <v>26180</v>
      </c>
      <c r="C1961" t="s">
        <v>20490</v>
      </c>
      <c r="D1961" t="s">
        <v>22</v>
      </c>
      <c r="E1961" t="s">
        <v>9602</v>
      </c>
      <c r="F1961">
        <v>22</v>
      </c>
      <c r="G1961" t="s">
        <v>109</v>
      </c>
      <c r="H1961" t="s">
        <v>9788</v>
      </c>
    </row>
    <row r="1962" spans="1:10" x14ac:dyDescent="0.3">
      <c r="A1962" t="s">
        <v>4493</v>
      </c>
      <c r="B1962" t="s">
        <v>26181</v>
      </c>
      <c r="C1962" t="s">
        <v>20486</v>
      </c>
      <c r="D1962" t="s">
        <v>11</v>
      </c>
      <c r="E1962" t="s">
        <v>4494</v>
      </c>
      <c r="F1962">
        <v>37</v>
      </c>
      <c r="G1962" t="s">
        <v>109</v>
      </c>
      <c r="H1962" t="s">
        <v>9788</v>
      </c>
      <c r="J1962" t="s">
        <v>4495</v>
      </c>
    </row>
    <row r="1963" spans="1:10" x14ac:dyDescent="0.3">
      <c r="A1963" t="s">
        <v>4496</v>
      </c>
      <c r="B1963" t="s">
        <v>26182</v>
      </c>
      <c r="C1963" t="s">
        <v>20486</v>
      </c>
      <c r="D1963" t="s">
        <v>11</v>
      </c>
      <c r="E1963" t="s">
        <v>4497</v>
      </c>
      <c r="F1963">
        <v>22</v>
      </c>
    </row>
    <row r="1964" spans="1:10" x14ac:dyDescent="0.3">
      <c r="A1964" t="s">
        <v>4498</v>
      </c>
      <c r="B1964" t="s">
        <v>26183</v>
      </c>
      <c r="C1964" t="s">
        <v>20486</v>
      </c>
      <c r="D1964" t="s">
        <v>11</v>
      </c>
      <c r="E1964" t="s">
        <v>4499</v>
      </c>
      <c r="F1964">
        <v>77</v>
      </c>
      <c r="G1964" t="s">
        <v>243</v>
      </c>
      <c r="H1964" t="s">
        <v>243</v>
      </c>
    </row>
    <row r="1965" spans="1:10" x14ac:dyDescent="0.3">
      <c r="A1965" t="s">
        <v>4500</v>
      </c>
      <c r="B1965" t="s">
        <v>26184</v>
      </c>
      <c r="C1965" t="s">
        <v>20488</v>
      </c>
      <c r="D1965" t="s">
        <v>22</v>
      </c>
      <c r="E1965" t="s">
        <v>4501</v>
      </c>
      <c r="F1965">
        <v>66</v>
      </c>
      <c r="G1965" t="s">
        <v>31</v>
      </c>
      <c r="H1965" t="s">
        <v>31</v>
      </c>
    </row>
    <row r="1966" spans="1:10" x14ac:dyDescent="0.3">
      <c r="A1966" t="s">
        <v>4502</v>
      </c>
      <c r="B1966" t="s">
        <v>26185</v>
      </c>
      <c r="C1966" t="s">
        <v>20486</v>
      </c>
      <c r="D1966" t="s">
        <v>22</v>
      </c>
      <c r="E1966" t="s">
        <v>4503</v>
      </c>
      <c r="F1966">
        <v>34</v>
      </c>
      <c r="G1966" t="s">
        <v>133</v>
      </c>
      <c r="H1966" t="s">
        <v>9789</v>
      </c>
      <c r="I1966" t="s">
        <v>1425</v>
      </c>
      <c r="J1966" t="s">
        <v>1426</v>
      </c>
    </row>
    <row r="1967" spans="1:10" x14ac:dyDescent="0.3">
      <c r="A1967" t="s">
        <v>4504</v>
      </c>
      <c r="B1967" t="s">
        <v>26186</v>
      </c>
      <c r="C1967" t="s">
        <v>20488</v>
      </c>
      <c r="D1967" t="s">
        <v>11</v>
      </c>
      <c r="E1967" t="s">
        <v>4505</v>
      </c>
      <c r="F1967">
        <v>51</v>
      </c>
      <c r="G1967" t="s">
        <v>46</v>
      </c>
      <c r="H1967" t="s">
        <v>46</v>
      </c>
    </row>
    <row r="1968" spans="1:10" x14ac:dyDescent="0.3">
      <c r="A1968" t="s">
        <v>4506</v>
      </c>
      <c r="B1968" t="s">
        <v>26187</v>
      </c>
      <c r="C1968" t="s">
        <v>20486</v>
      </c>
      <c r="D1968" t="s">
        <v>22</v>
      </c>
      <c r="E1968" t="s">
        <v>4507</v>
      </c>
      <c r="F1968">
        <v>46</v>
      </c>
      <c r="G1968" t="s">
        <v>109</v>
      </c>
      <c r="H1968" t="s">
        <v>9788</v>
      </c>
      <c r="J1968" t="s">
        <v>4508</v>
      </c>
    </row>
    <row r="1969" spans="1:10" x14ac:dyDescent="0.3">
      <c r="A1969" t="s">
        <v>4509</v>
      </c>
      <c r="B1969" t="s">
        <v>26188</v>
      </c>
      <c r="C1969" t="s">
        <v>20491</v>
      </c>
      <c r="D1969" t="s">
        <v>22</v>
      </c>
      <c r="E1969" t="s">
        <v>4510</v>
      </c>
      <c r="F1969">
        <v>36</v>
      </c>
      <c r="G1969" t="s">
        <v>370</v>
      </c>
      <c r="H1969" t="s">
        <v>46</v>
      </c>
      <c r="I1969" t="s">
        <v>4511</v>
      </c>
      <c r="J1969" t="s">
        <v>4512</v>
      </c>
    </row>
    <row r="1970" spans="1:10" x14ac:dyDescent="0.3">
      <c r="A1970" t="s">
        <v>4514</v>
      </c>
      <c r="B1970" t="s">
        <v>26189</v>
      </c>
      <c r="C1970" t="s">
        <v>20486</v>
      </c>
      <c r="D1970" t="s">
        <v>11</v>
      </c>
      <c r="E1970" t="s">
        <v>4515</v>
      </c>
      <c r="F1970">
        <v>69</v>
      </c>
      <c r="G1970" t="s">
        <v>46</v>
      </c>
      <c r="H1970" t="s">
        <v>46</v>
      </c>
      <c r="J1970" t="s">
        <v>3231</v>
      </c>
    </row>
    <row r="1971" spans="1:10" x14ac:dyDescent="0.3">
      <c r="A1971" t="s">
        <v>4516</v>
      </c>
      <c r="B1971" t="s">
        <v>26190</v>
      </c>
      <c r="C1971" t="s">
        <v>20486</v>
      </c>
      <c r="D1971" t="s">
        <v>11</v>
      </c>
      <c r="E1971" t="s">
        <v>4517</v>
      </c>
      <c r="F1971">
        <v>51</v>
      </c>
      <c r="G1971" t="s">
        <v>109</v>
      </c>
      <c r="H1971" t="s">
        <v>9788</v>
      </c>
    </row>
    <row r="1972" spans="1:10" x14ac:dyDescent="0.3">
      <c r="A1972" t="s">
        <v>4518</v>
      </c>
      <c r="B1972" t="s">
        <v>26191</v>
      </c>
      <c r="C1972" t="s">
        <v>20489</v>
      </c>
      <c r="D1972" t="s">
        <v>22</v>
      </c>
      <c r="E1972" t="s">
        <v>4519</v>
      </c>
      <c r="F1972">
        <v>35</v>
      </c>
      <c r="G1972" t="s">
        <v>46</v>
      </c>
      <c r="H1972" t="s">
        <v>46</v>
      </c>
      <c r="I1972" t="s">
        <v>12320</v>
      </c>
      <c r="J1972" t="s">
        <v>4520</v>
      </c>
    </row>
    <row r="1973" spans="1:10" x14ac:dyDescent="0.3">
      <c r="A1973" t="s">
        <v>4521</v>
      </c>
      <c r="B1973" t="s">
        <v>26192</v>
      </c>
      <c r="C1973" t="s">
        <v>20489</v>
      </c>
      <c r="D1973" t="s">
        <v>22</v>
      </c>
      <c r="E1973" t="s">
        <v>4522</v>
      </c>
      <c r="F1973">
        <v>57</v>
      </c>
      <c r="G1973" t="s">
        <v>370</v>
      </c>
      <c r="H1973" t="s">
        <v>46</v>
      </c>
      <c r="I1973" t="s">
        <v>228</v>
      </c>
    </row>
    <row r="1974" spans="1:10" x14ac:dyDescent="0.3">
      <c r="A1974" t="s">
        <v>4523</v>
      </c>
      <c r="B1974" t="s">
        <v>26193</v>
      </c>
      <c r="C1974" t="s">
        <v>20486</v>
      </c>
      <c r="D1974" t="s">
        <v>22</v>
      </c>
      <c r="E1974" t="s">
        <v>4524</v>
      </c>
      <c r="F1974">
        <v>48</v>
      </c>
      <c r="G1974" t="s">
        <v>31</v>
      </c>
      <c r="H1974" t="s">
        <v>31</v>
      </c>
      <c r="I1974" t="s">
        <v>4525</v>
      </c>
      <c r="J1974" t="s">
        <v>4526</v>
      </c>
    </row>
    <row r="1975" spans="1:10" x14ac:dyDescent="0.3">
      <c r="A1975" t="s">
        <v>4527</v>
      </c>
      <c r="B1975" t="s">
        <v>26194</v>
      </c>
      <c r="C1975" t="s">
        <v>20489</v>
      </c>
      <c r="D1975" t="s">
        <v>11</v>
      </c>
      <c r="E1975" t="s">
        <v>4528</v>
      </c>
      <c r="F1975">
        <v>68</v>
      </c>
      <c r="G1975" t="s">
        <v>243</v>
      </c>
      <c r="H1975" t="s">
        <v>243</v>
      </c>
    </row>
    <row r="1976" spans="1:10" x14ac:dyDescent="0.3">
      <c r="A1976" t="s">
        <v>4529</v>
      </c>
      <c r="B1976" t="s">
        <v>26195</v>
      </c>
      <c r="C1976" t="s">
        <v>20486</v>
      </c>
      <c r="D1976" t="s">
        <v>22</v>
      </c>
      <c r="E1976" t="s">
        <v>4530</v>
      </c>
      <c r="F1976">
        <v>61</v>
      </c>
      <c r="G1976" t="s">
        <v>31</v>
      </c>
      <c r="H1976" t="s">
        <v>31</v>
      </c>
      <c r="J1976" t="s">
        <v>33</v>
      </c>
    </row>
    <row r="1977" spans="1:10" x14ac:dyDescent="0.3">
      <c r="A1977" t="s">
        <v>4531</v>
      </c>
      <c r="B1977" t="s">
        <v>26196</v>
      </c>
      <c r="C1977" t="s">
        <v>20491</v>
      </c>
      <c r="D1977" t="s">
        <v>22</v>
      </c>
      <c r="E1977" t="s">
        <v>4532</v>
      </c>
      <c r="F1977">
        <v>73</v>
      </c>
      <c r="G1977" t="s">
        <v>13</v>
      </c>
      <c r="H1977" t="s">
        <v>13</v>
      </c>
    </row>
    <row r="1978" spans="1:10" x14ac:dyDescent="0.3">
      <c r="A1978" t="s">
        <v>4533</v>
      </c>
      <c r="B1978" t="s">
        <v>26197</v>
      </c>
      <c r="C1978" t="s">
        <v>20486</v>
      </c>
      <c r="D1978" t="s">
        <v>22</v>
      </c>
      <c r="E1978" t="s">
        <v>4534</v>
      </c>
      <c r="F1978">
        <v>51</v>
      </c>
      <c r="G1978" t="s">
        <v>31</v>
      </c>
      <c r="H1978" t="s">
        <v>31</v>
      </c>
    </row>
    <row r="1979" spans="1:10" x14ac:dyDescent="0.3">
      <c r="A1979" t="s">
        <v>4536</v>
      </c>
      <c r="B1979" t="s">
        <v>26198</v>
      </c>
      <c r="C1979" t="s">
        <v>20486</v>
      </c>
      <c r="D1979" t="s">
        <v>11</v>
      </c>
      <c r="E1979" t="s">
        <v>4537</v>
      </c>
      <c r="F1979">
        <v>75</v>
      </c>
      <c r="G1979" t="s">
        <v>213</v>
      </c>
      <c r="H1979" t="s">
        <v>12065</v>
      </c>
      <c r="I1979" t="s">
        <v>4538</v>
      </c>
      <c r="J1979" t="s">
        <v>825</v>
      </c>
    </row>
    <row r="1980" spans="1:10" x14ac:dyDescent="0.3">
      <c r="A1980" t="s">
        <v>4539</v>
      </c>
      <c r="B1980" t="s">
        <v>26199</v>
      </c>
      <c r="C1980" t="s">
        <v>20486</v>
      </c>
      <c r="D1980" t="s">
        <v>11</v>
      </c>
      <c r="E1980" t="s">
        <v>3304</v>
      </c>
      <c r="F1980">
        <v>43</v>
      </c>
      <c r="G1980" t="s">
        <v>46</v>
      </c>
      <c r="H1980" t="s">
        <v>46</v>
      </c>
      <c r="I1980" t="s">
        <v>4540</v>
      </c>
      <c r="J1980" t="s">
        <v>4541</v>
      </c>
    </row>
    <row r="1981" spans="1:10" x14ac:dyDescent="0.3">
      <c r="A1981" t="s">
        <v>4542</v>
      </c>
      <c r="B1981" t="s">
        <v>26200</v>
      </c>
      <c r="C1981" t="s">
        <v>20489</v>
      </c>
      <c r="D1981" t="s">
        <v>22</v>
      </c>
      <c r="E1981" t="s">
        <v>6538</v>
      </c>
      <c r="F1981">
        <v>38</v>
      </c>
      <c r="G1981" t="s">
        <v>109</v>
      </c>
      <c r="H1981" t="s">
        <v>9788</v>
      </c>
      <c r="I1981" t="s">
        <v>4629</v>
      </c>
    </row>
    <row r="1982" spans="1:10" x14ac:dyDescent="0.3">
      <c r="A1982" t="s">
        <v>4543</v>
      </c>
      <c r="B1982" t="s">
        <v>26201</v>
      </c>
      <c r="C1982" t="s">
        <v>20486</v>
      </c>
      <c r="D1982" t="s">
        <v>22</v>
      </c>
      <c r="E1982" t="s">
        <v>4544</v>
      </c>
      <c r="F1982">
        <v>38</v>
      </c>
      <c r="G1982" t="s">
        <v>31</v>
      </c>
      <c r="H1982" t="s">
        <v>31</v>
      </c>
    </row>
    <row r="1983" spans="1:10" x14ac:dyDescent="0.3">
      <c r="A1983" t="s">
        <v>4545</v>
      </c>
      <c r="B1983" t="s">
        <v>26202</v>
      </c>
      <c r="C1983" t="s">
        <v>20488</v>
      </c>
      <c r="D1983" t="s">
        <v>22</v>
      </c>
      <c r="E1983" t="s">
        <v>4546</v>
      </c>
      <c r="F1983">
        <v>39</v>
      </c>
      <c r="G1983" t="s">
        <v>109</v>
      </c>
      <c r="H1983" t="s">
        <v>9788</v>
      </c>
      <c r="I1983" t="s">
        <v>2859</v>
      </c>
    </row>
    <row r="1984" spans="1:10" x14ac:dyDescent="0.3">
      <c r="A1984" t="s">
        <v>4547</v>
      </c>
      <c r="B1984" t="s">
        <v>26203</v>
      </c>
      <c r="C1984" t="s">
        <v>20491</v>
      </c>
      <c r="D1984" t="s">
        <v>11</v>
      </c>
      <c r="E1984" t="s">
        <v>4548</v>
      </c>
      <c r="F1984">
        <v>52</v>
      </c>
      <c r="G1984" t="s">
        <v>46</v>
      </c>
      <c r="H1984" t="s">
        <v>46</v>
      </c>
      <c r="I1984" t="s">
        <v>4549</v>
      </c>
      <c r="J1984" t="s">
        <v>4550</v>
      </c>
    </row>
    <row r="1985" spans="1:10" x14ac:dyDescent="0.3">
      <c r="A1985" t="s">
        <v>4551</v>
      </c>
      <c r="B1985" t="s">
        <v>26204</v>
      </c>
      <c r="C1985" t="s">
        <v>20489</v>
      </c>
      <c r="D1985" t="s">
        <v>22</v>
      </c>
      <c r="E1985" t="s">
        <v>4552</v>
      </c>
      <c r="F1985">
        <v>61</v>
      </c>
      <c r="G1985" t="s">
        <v>46</v>
      </c>
      <c r="H1985" t="s">
        <v>46</v>
      </c>
      <c r="I1985" t="s">
        <v>12320</v>
      </c>
      <c r="J1985" t="s">
        <v>4553</v>
      </c>
    </row>
    <row r="1986" spans="1:10" x14ac:dyDescent="0.3">
      <c r="A1986" t="s">
        <v>4554</v>
      </c>
      <c r="B1986" t="s">
        <v>26205</v>
      </c>
      <c r="C1986" t="s">
        <v>20486</v>
      </c>
      <c r="D1986" t="s">
        <v>22</v>
      </c>
      <c r="E1986" t="s">
        <v>4555</v>
      </c>
      <c r="F1986">
        <v>50</v>
      </c>
      <c r="G1986" t="s">
        <v>133</v>
      </c>
      <c r="H1986" t="s">
        <v>9789</v>
      </c>
      <c r="I1986" t="s">
        <v>4556</v>
      </c>
    </row>
    <row r="1987" spans="1:10" x14ac:dyDescent="0.3">
      <c r="A1987" t="s">
        <v>4557</v>
      </c>
      <c r="B1987" t="s">
        <v>26206</v>
      </c>
      <c r="C1987" t="s">
        <v>20491</v>
      </c>
      <c r="D1987" t="s">
        <v>22</v>
      </c>
      <c r="E1987" t="s">
        <v>4558</v>
      </c>
      <c r="F1987">
        <v>58</v>
      </c>
      <c r="G1987" t="s">
        <v>16</v>
      </c>
      <c r="H1987" t="s">
        <v>9785</v>
      </c>
      <c r="J1987" t="s">
        <v>3661</v>
      </c>
    </row>
    <row r="1988" spans="1:10" x14ac:dyDescent="0.3">
      <c r="A1988" t="s">
        <v>4559</v>
      </c>
      <c r="B1988" t="s">
        <v>26207</v>
      </c>
      <c r="C1988" t="s">
        <v>20488</v>
      </c>
      <c r="D1988" t="s">
        <v>22</v>
      </c>
      <c r="E1988" t="s">
        <v>4560</v>
      </c>
      <c r="F1988">
        <v>31</v>
      </c>
      <c r="G1988" t="s">
        <v>46</v>
      </c>
      <c r="H1988" t="s">
        <v>46</v>
      </c>
      <c r="I1988" t="s">
        <v>4561</v>
      </c>
    </row>
    <row r="1989" spans="1:10" x14ac:dyDescent="0.3">
      <c r="A1989" t="s">
        <v>12321</v>
      </c>
      <c r="B1989" t="s">
        <v>26208</v>
      </c>
      <c r="C1989" t="s">
        <v>20486</v>
      </c>
      <c r="D1989" t="s">
        <v>22</v>
      </c>
      <c r="E1989" t="s">
        <v>9684</v>
      </c>
      <c r="F1989">
        <v>19</v>
      </c>
      <c r="G1989" t="s">
        <v>337</v>
      </c>
      <c r="H1989" t="s">
        <v>337</v>
      </c>
    </row>
    <row r="1990" spans="1:10" x14ac:dyDescent="0.3">
      <c r="A1990" t="s">
        <v>12322</v>
      </c>
      <c r="B1990" t="s">
        <v>26209</v>
      </c>
      <c r="C1990" t="s">
        <v>20486</v>
      </c>
      <c r="D1990" t="s">
        <v>11</v>
      </c>
      <c r="E1990" t="s">
        <v>9683</v>
      </c>
      <c r="F1990">
        <v>18</v>
      </c>
      <c r="G1990" t="s">
        <v>337</v>
      </c>
      <c r="H1990" t="s">
        <v>337</v>
      </c>
    </row>
    <row r="1991" spans="1:10" x14ac:dyDescent="0.3">
      <c r="A1991" t="s">
        <v>4562</v>
      </c>
      <c r="B1991" t="s">
        <v>26210</v>
      </c>
      <c r="C1991" t="s">
        <v>20489</v>
      </c>
      <c r="D1991" t="s">
        <v>22</v>
      </c>
      <c r="E1991" t="s">
        <v>4563</v>
      </c>
      <c r="F1991">
        <v>54</v>
      </c>
      <c r="G1991" t="s">
        <v>109</v>
      </c>
      <c r="H1991" t="s">
        <v>9788</v>
      </c>
      <c r="I1991" t="s">
        <v>12219</v>
      </c>
      <c r="J1991" t="s">
        <v>12323</v>
      </c>
    </row>
    <row r="1992" spans="1:10" x14ac:dyDescent="0.3">
      <c r="A1992" t="s">
        <v>4564</v>
      </c>
      <c r="B1992" t="s">
        <v>26211</v>
      </c>
      <c r="C1992" t="s">
        <v>20486</v>
      </c>
      <c r="D1992" t="s">
        <v>22</v>
      </c>
      <c r="E1992" t="s">
        <v>4565</v>
      </c>
      <c r="F1992">
        <v>34</v>
      </c>
      <c r="G1992" t="s">
        <v>133</v>
      </c>
      <c r="H1992" t="s">
        <v>9789</v>
      </c>
      <c r="I1992" t="s">
        <v>2477</v>
      </c>
      <c r="J1992" t="s">
        <v>1632</v>
      </c>
    </row>
    <row r="1993" spans="1:10" x14ac:dyDescent="0.3">
      <c r="A1993" t="s">
        <v>4566</v>
      </c>
      <c r="B1993" t="s">
        <v>26212</v>
      </c>
      <c r="C1993" t="s">
        <v>20489</v>
      </c>
      <c r="D1993" t="s">
        <v>22</v>
      </c>
      <c r="E1993" t="s">
        <v>4567</v>
      </c>
      <c r="F1993">
        <v>59</v>
      </c>
      <c r="G1993" t="s">
        <v>370</v>
      </c>
      <c r="H1993" t="s">
        <v>46</v>
      </c>
      <c r="I1993" t="s">
        <v>228</v>
      </c>
      <c r="J1993" t="s">
        <v>1563</v>
      </c>
    </row>
    <row r="1994" spans="1:10" x14ac:dyDescent="0.3">
      <c r="A1994" t="s">
        <v>4568</v>
      </c>
      <c r="B1994" t="s">
        <v>26213</v>
      </c>
      <c r="C1994" t="s">
        <v>20488</v>
      </c>
      <c r="D1994" t="s">
        <v>11</v>
      </c>
      <c r="E1994" t="s">
        <v>4569</v>
      </c>
      <c r="F1994">
        <v>31</v>
      </c>
      <c r="G1994" t="s">
        <v>109</v>
      </c>
      <c r="H1994" t="s">
        <v>9788</v>
      </c>
      <c r="I1994" t="s">
        <v>3425</v>
      </c>
    </row>
    <row r="1995" spans="1:10" x14ac:dyDescent="0.3">
      <c r="A1995" t="s">
        <v>4570</v>
      </c>
      <c r="B1995" t="s">
        <v>26214</v>
      </c>
      <c r="C1995" t="s">
        <v>20488</v>
      </c>
      <c r="D1995" t="s">
        <v>22</v>
      </c>
      <c r="E1995" t="s">
        <v>4571</v>
      </c>
      <c r="F1995">
        <v>34</v>
      </c>
      <c r="G1995" t="s">
        <v>109</v>
      </c>
      <c r="H1995" t="s">
        <v>9788</v>
      </c>
    </row>
    <row r="1996" spans="1:10" x14ac:dyDescent="0.3">
      <c r="A1996" t="s">
        <v>4572</v>
      </c>
      <c r="B1996" t="s">
        <v>26215</v>
      </c>
      <c r="C1996" t="s">
        <v>20490</v>
      </c>
      <c r="D1996" t="s">
        <v>22</v>
      </c>
      <c r="E1996" t="s">
        <v>4573</v>
      </c>
      <c r="F1996">
        <v>63</v>
      </c>
      <c r="G1996" t="s">
        <v>31</v>
      </c>
      <c r="H1996" t="s">
        <v>31</v>
      </c>
    </row>
    <row r="1997" spans="1:10" x14ac:dyDescent="0.3">
      <c r="A1997" t="s">
        <v>4574</v>
      </c>
      <c r="B1997" t="s">
        <v>26216</v>
      </c>
      <c r="C1997" t="s">
        <v>20489</v>
      </c>
      <c r="D1997" t="s">
        <v>22</v>
      </c>
      <c r="E1997" t="s">
        <v>1735</v>
      </c>
      <c r="F1997">
        <v>53</v>
      </c>
      <c r="G1997" t="s">
        <v>109</v>
      </c>
      <c r="H1997" t="s">
        <v>9788</v>
      </c>
      <c r="I1997" t="s">
        <v>110</v>
      </c>
      <c r="J1997" t="s">
        <v>4575</v>
      </c>
    </row>
    <row r="1998" spans="1:10" x14ac:dyDescent="0.3">
      <c r="A1998" t="s">
        <v>4576</v>
      </c>
      <c r="B1998" t="s">
        <v>26217</v>
      </c>
      <c r="C1998" t="s">
        <v>20488</v>
      </c>
      <c r="D1998" t="s">
        <v>22</v>
      </c>
      <c r="E1998" t="s">
        <v>3737</v>
      </c>
      <c r="F1998">
        <v>44</v>
      </c>
      <c r="G1998" t="s">
        <v>31</v>
      </c>
      <c r="H1998" t="s">
        <v>31</v>
      </c>
      <c r="I1998" t="s">
        <v>33</v>
      </c>
    </row>
    <row r="1999" spans="1:10" x14ac:dyDescent="0.3">
      <c r="A1999" t="s">
        <v>4577</v>
      </c>
      <c r="B1999" t="s">
        <v>26218</v>
      </c>
      <c r="C1999" t="s">
        <v>20487</v>
      </c>
      <c r="D1999" t="s">
        <v>11</v>
      </c>
      <c r="E1999" t="s">
        <v>4578</v>
      </c>
      <c r="F1999">
        <v>42</v>
      </c>
      <c r="G1999" t="s">
        <v>201</v>
      </c>
      <c r="H1999" t="s">
        <v>46</v>
      </c>
      <c r="J1999" t="s">
        <v>4579</v>
      </c>
    </row>
    <row r="2000" spans="1:10" x14ac:dyDescent="0.3">
      <c r="A2000" t="s">
        <v>4580</v>
      </c>
      <c r="B2000" t="s">
        <v>26219</v>
      </c>
      <c r="C2000" t="s">
        <v>20486</v>
      </c>
      <c r="D2000" t="s">
        <v>22</v>
      </c>
      <c r="E2000" t="s">
        <v>4581</v>
      </c>
      <c r="F2000">
        <v>51</v>
      </c>
      <c r="G2000" t="s">
        <v>46</v>
      </c>
      <c r="H2000" t="s">
        <v>46</v>
      </c>
      <c r="I2000" t="s">
        <v>3228</v>
      </c>
      <c r="J2000" t="s">
        <v>4582</v>
      </c>
    </row>
    <row r="2001" spans="1:10" x14ac:dyDescent="0.3">
      <c r="A2001" t="s">
        <v>4583</v>
      </c>
      <c r="B2001" t="s">
        <v>26220</v>
      </c>
      <c r="C2001" t="s">
        <v>20486</v>
      </c>
      <c r="D2001" t="s">
        <v>11</v>
      </c>
      <c r="E2001" t="s">
        <v>4584</v>
      </c>
      <c r="F2001">
        <v>45</v>
      </c>
      <c r="G2001" t="s">
        <v>46</v>
      </c>
      <c r="H2001" t="s">
        <v>46</v>
      </c>
      <c r="I2001" t="s">
        <v>3798</v>
      </c>
      <c r="J2001" t="s">
        <v>4067</v>
      </c>
    </row>
    <row r="2002" spans="1:10" x14ac:dyDescent="0.3">
      <c r="A2002" t="s">
        <v>4585</v>
      </c>
      <c r="B2002" t="s">
        <v>26221</v>
      </c>
      <c r="C2002" t="s">
        <v>20488</v>
      </c>
      <c r="D2002" t="s">
        <v>22</v>
      </c>
      <c r="E2002" t="s">
        <v>4586</v>
      </c>
      <c r="F2002">
        <v>68</v>
      </c>
      <c r="G2002" t="s">
        <v>31</v>
      </c>
      <c r="H2002" t="s">
        <v>31</v>
      </c>
      <c r="I2002" t="s">
        <v>33</v>
      </c>
    </row>
    <row r="2003" spans="1:10" x14ac:dyDescent="0.3">
      <c r="A2003" t="s">
        <v>4587</v>
      </c>
      <c r="B2003" t="s">
        <v>26222</v>
      </c>
      <c r="C2003" t="s">
        <v>20490</v>
      </c>
      <c r="D2003" t="s">
        <v>11</v>
      </c>
      <c r="E2003" t="s">
        <v>4588</v>
      </c>
      <c r="F2003">
        <v>46</v>
      </c>
      <c r="G2003" t="s">
        <v>201</v>
      </c>
      <c r="H2003" t="s">
        <v>46</v>
      </c>
      <c r="J2003" t="s">
        <v>2144</v>
      </c>
    </row>
    <row r="2004" spans="1:10" x14ac:dyDescent="0.3">
      <c r="A2004" t="s">
        <v>4589</v>
      </c>
      <c r="B2004" t="s">
        <v>26223</v>
      </c>
      <c r="C2004" t="s">
        <v>20488</v>
      </c>
      <c r="D2004" t="s">
        <v>11</v>
      </c>
      <c r="E2004" t="s">
        <v>1383</v>
      </c>
      <c r="F2004">
        <v>59</v>
      </c>
      <c r="G2004" t="s">
        <v>109</v>
      </c>
      <c r="H2004" t="s">
        <v>9788</v>
      </c>
    </row>
    <row r="2005" spans="1:10" x14ac:dyDescent="0.3">
      <c r="A2005" t="s">
        <v>4590</v>
      </c>
      <c r="B2005" t="s">
        <v>26224</v>
      </c>
      <c r="C2005" t="s">
        <v>20491</v>
      </c>
      <c r="D2005" t="s">
        <v>11</v>
      </c>
      <c r="E2005" t="s">
        <v>4591</v>
      </c>
      <c r="F2005">
        <v>32</v>
      </c>
      <c r="G2005" t="s">
        <v>4100</v>
      </c>
      <c r="H2005" t="s">
        <v>9788</v>
      </c>
      <c r="I2005" t="s">
        <v>4357</v>
      </c>
      <c r="J2005" t="s">
        <v>1861</v>
      </c>
    </row>
    <row r="2006" spans="1:10" x14ac:dyDescent="0.3">
      <c r="A2006" t="s">
        <v>12324</v>
      </c>
      <c r="B2006" t="s">
        <v>26225</v>
      </c>
      <c r="C2006" t="s">
        <v>20486</v>
      </c>
      <c r="D2006" t="s">
        <v>11</v>
      </c>
      <c r="E2006" t="s">
        <v>9682</v>
      </c>
      <c r="F2006">
        <v>20</v>
      </c>
    </row>
    <row r="2007" spans="1:10" x14ac:dyDescent="0.3">
      <c r="A2007" t="s">
        <v>4592</v>
      </c>
      <c r="B2007" t="s">
        <v>26226</v>
      </c>
      <c r="C2007" t="s">
        <v>20489</v>
      </c>
      <c r="D2007" t="s">
        <v>22</v>
      </c>
      <c r="E2007" t="s">
        <v>681</v>
      </c>
      <c r="F2007">
        <v>55</v>
      </c>
      <c r="G2007" t="s">
        <v>109</v>
      </c>
      <c r="H2007" t="s">
        <v>9788</v>
      </c>
      <c r="I2007" t="s">
        <v>1968</v>
      </c>
    </row>
    <row r="2008" spans="1:10" x14ac:dyDescent="0.3">
      <c r="A2008" t="s">
        <v>4593</v>
      </c>
      <c r="B2008" t="s">
        <v>26227</v>
      </c>
      <c r="C2008" t="s">
        <v>20486</v>
      </c>
      <c r="D2008" t="s">
        <v>22</v>
      </c>
      <c r="E2008" t="s">
        <v>4594</v>
      </c>
      <c r="F2008">
        <v>53</v>
      </c>
      <c r="G2008" t="s">
        <v>31</v>
      </c>
      <c r="H2008" t="s">
        <v>31</v>
      </c>
      <c r="J2008" t="s">
        <v>33</v>
      </c>
    </row>
    <row r="2009" spans="1:10" x14ac:dyDescent="0.3">
      <c r="A2009" t="s">
        <v>4595</v>
      </c>
      <c r="B2009" t="s">
        <v>26228</v>
      </c>
      <c r="C2009" t="s">
        <v>20486</v>
      </c>
      <c r="D2009" t="s">
        <v>22</v>
      </c>
      <c r="E2009" t="s">
        <v>4596</v>
      </c>
      <c r="F2009">
        <v>38</v>
      </c>
      <c r="G2009" t="s">
        <v>109</v>
      </c>
      <c r="H2009" t="s">
        <v>9788</v>
      </c>
    </row>
    <row r="2010" spans="1:10" x14ac:dyDescent="0.3">
      <c r="A2010" t="s">
        <v>4597</v>
      </c>
      <c r="B2010" t="s">
        <v>26229</v>
      </c>
      <c r="C2010" t="s">
        <v>20486</v>
      </c>
      <c r="D2010" t="s">
        <v>22</v>
      </c>
      <c r="E2010" t="s">
        <v>2551</v>
      </c>
      <c r="F2010">
        <v>50</v>
      </c>
      <c r="G2010" t="s">
        <v>31</v>
      </c>
      <c r="H2010" t="s">
        <v>31</v>
      </c>
      <c r="J2010" t="s">
        <v>33</v>
      </c>
    </row>
    <row r="2011" spans="1:10" x14ac:dyDescent="0.3">
      <c r="A2011" t="s">
        <v>12325</v>
      </c>
      <c r="B2011" t="s">
        <v>26230</v>
      </c>
      <c r="C2011" t="s">
        <v>20486</v>
      </c>
      <c r="D2011" t="s">
        <v>22</v>
      </c>
      <c r="E2011" t="s">
        <v>9681</v>
      </c>
      <c r="F2011">
        <v>19</v>
      </c>
    </row>
    <row r="2012" spans="1:10" x14ac:dyDescent="0.3">
      <c r="A2012" t="s">
        <v>12326</v>
      </c>
      <c r="B2012" t="s">
        <v>26231</v>
      </c>
      <c r="C2012" t="s">
        <v>20486</v>
      </c>
      <c r="D2012" t="s">
        <v>22</v>
      </c>
      <c r="E2012" t="s">
        <v>9680</v>
      </c>
      <c r="F2012">
        <v>21</v>
      </c>
    </row>
    <row r="2013" spans="1:10" x14ac:dyDescent="0.3">
      <c r="A2013" t="s">
        <v>4598</v>
      </c>
      <c r="B2013" t="s">
        <v>26232</v>
      </c>
      <c r="C2013" t="s">
        <v>20488</v>
      </c>
      <c r="D2013" t="s">
        <v>11</v>
      </c>
      <c r="E2013" t="s">
        <v>4599</v>
      </c>
      <c r="F2013">
        <v>71</v>
      </c>
      <c r="G2013" t="s">
        <v>201</v>
      </c>
      <c r="H2013" t="s">
        <v>46</v>
      </c>
    </row>
    <row r="2014" spans="1:10" x14ac:dyDescent="0.3">
      <c r="A2014" t="s">
        <v>4600</v>
      </c>
      <c r="B2014" t="s">
        <v>26233</v>
      </c>
      <c r="C2014" t="s">
        <v>20487</v>
      </c>
      <c r="D2014" t="s">
        <v>11</v>
      </c>
      <c r="E2014" t="s">
        <v>4601</v>
      </c>
      <c r="F2014">
        <v>56</v>
      </c>
      <c r="G2014" t="s">
        <v>231</v>
      </c>
      <c r="H2014" t="s">
        <v>9788</v>
      </c>
      <c r="J2014" t="s">
        <v>4602</v>
      </c>
    </row>
    <row r="2015" spans="1:10" x14ac:dyDescent="0.3">
      <c r="A2015" t="s">
        <v>4603</v>
      </c>
      <c r="B2015" t="s">
        <v>26234</v>
      </c>
      <c r="C2015" t="s">
        <v>20487</v>
      </c>
      <c r="D2015" t="s">
        <v>11</v>
      </c>
      <c r="E2015" t="s">
        <v>295</v>
      </c>
      <c r="F2015">
        <v>54</v>
      </c>
      <c r="G2015" t="s">
        <v>1269</v>
      </c>
      <c r="H2015" t="s">
        <v>12074</v>
      </c>
    </row>
    <row r="2016" spans="1:10" x14ac:dyDescent="0.3">
      <c r="A2016" t="s">
        <v>4604</v>
      </c>
      <c r="B2016" t="s">
        <v>26235</v>
      </c>
      <c r="C2016" t="s">
        <v>20486</v>
      </c>
      <c r="D2016" t="s">
        <v>22</v>
      </c>
      <c r="E2016" t="s">
        <v>4605</v>
      </c>
      <c r="F2016">
        <v>44</v>
      </c>
      <c r="G2016" t="s">
        <v>172</v>
      </c>
      <c r="H2016" t="s">
        <v>12099</v>
      </c>
      <c r="I2016" t="s">
        <v>17</v>
      </c>
      <c r="J2016" t="s">
        <v>4606</v>
      </c>
    </row>
    <row r="2017" spans="1:10" x14ac:dyDescent="0.3">
      <c r="A2017" t="s">
        <v>4607</v>
      </c>
      <c r="B2017" t="s">
        <v>26236</v>
      </c>
      <c r="C2017" t="s">
        <v>20486</v>
      </c>
      <c r="D2017" t="s">
        <v>22</v>
      </c>
      <c r="E2017" t="s">
        <v>4608</v>
      </c>
      <c r="F2017">
        <v>38</v>
      </c>
      <c r="G2017" t="s">
        <v>109</v>
      </c>
      <c r="H2017" t="s">
        <v>9788</v>
      </c>
      <c r="I2017" t="s">
        <v>4609</v>
      </c>
      <c r="J2017" t="s">
        <v>4610</v>
      </c>
    </row>
    <row r="2018" spans="1:10" x14ac:dyDescent="0.3">
      <c r="A2018" t="s">
        <v>4611</v>
      </c>
      <c r="B2018" t="s">
        <v>26237</v>
      </c>
      <c r="C2018" t="s">
        <v>20486</v>
      </c>
      <c r="D2018" t="s">
        <v>22</v>
      </c>
      <c r="E2018" t="s">
        <v>190</v>
      </c>
      <c r="F2018">
        <v>57</v>
      </c>
      <c r="G2018" t="s">
        <v>46</v>
      </c>
      <c r="H2018" t="s">
        <v>46</v>
      </c>
      <c r="I2018" t="s">
        <v>2235</v>
      </c>
      <c r="J2018" t="s">
        <v>4612</v>
      </c>
    </row>
    <row r="2019" spans="1:10" x14ac:dyDescent="0.3">
      <c r="A2019" t="s">
        <v>4613</v>
      </c>
      <c r="B2019" t="s">
        <v>26238</v>
      </c>
      <c r="C2019" t="s">
        <v>20486</v>
      </c>
      <c r="D2019" t="s">
        <v>22</v>
      </c>
      <c r="E2019" t="s">
        <v>4614</v>
      </c>
      <c r="F2019">
        <v>39</v>
      </c>
      <c r="G2019" t="s">
        <v>46</v>
      </c>
      <c r="H2019" t="s">
        <v>46</v>
      </c>
      <c r="I2019" t="s">
        <v>4615</v>
      </c>
      <c r="J2019" t="s">
        <v>346</v>
      </c>
    </row>
    <row r="2020" spans="1:10" x14ac:dyDescent="0.3">
      <c r="A2020" t="s">
        <v>4617</v>
      </c>
      <c r="B2020" t="s">
        <v>26239</v>
      </c>
      <c r="C2020" t="s">
        <v>20486</v>
      </c>
      <c r="D2020" t="s">
        <v>11</v>
      </c>
      <c r="E2020" t="s">
        <v>2975</v>
      </c>
      <c r="F2020">
        <v>65</v>
      </c>
      <c r="G2020" t="s">
        <v>13</v>
      </c>
      <c r="H2020" t="s">
        <v>13</v>
      </c>
      <c r="I2020" t="s">
        <v>17</v>
      </c>
      <c r="J2020" t="s">
        <v>4618</v>
      </c>
    </row>
    <row r="2021" spans="1:10" x14ac:dyDescent="0.3">
      <c r="A2021" t="s">
        <v>4619</v>
      </c>
      <c r="B2021" t="s">
        <v>26240</v>
      </c>
      <c r="C2021" t="s">
        <v>20490</v>
      </c>
      <c r="D2021" t="s">
        <v>11</v>
      </c>
      <c r="E2021" t="s">
        <v>4620</v>
      </c>
      <c r="F2021">
        <v>55</v>
      </c>
      <c r="H2021" t="s">
        <v>46</v>
      </c>
      <c r="J2021" t="s">
        <v>4621</v>
      </c>
    </row>
    <row r="2022" spans="1:10" x14ac:dyDescent="0.3">
      <c r="A2022" t="s">
        <v>4622</v>
      </c>
      <c r="B2022" t="s">
        <v>26241</v>
      </c>
      <c r="C2022" t="s">
        <v>20486</v>
      </c>
      <c r="D2022" t="s">
        <v>22</v>
      </c>
      <c r="E2022" t="s">
        <v>4623</v>
      </c>
      <c r="F2022">
        <v>53</v>
      </c>
      <c r="G2022" t="s">
        <v>46</v>
      </c>
      <c r="H2022" t="s">
        <v>46</v>
      </c>
      <c r="I2022" t="s">
        <v>1968</v>
      </c>
      <c r="J2022" t="s">
        <v>4624</v>
      </c>
    </row>
    <row r="2023" spans="1:10" x14ac:dyDescent="0.3">
      <c r="A2023" t="s">
        <v>4625</v>
      </c>
      <c r="B2023" t="s">
        <v>26242</v>
      </c>
      <c r="C2023" t="s">
        <v>20489</v>
      </c>
      <c r="D2023" t="s">
        <v>22</v>
      </c>
      <c r="E2023" t="s">
        <v>4626</v>
      </c>
      <c r="F2023">
        <v>50</v>
      </c>
      <c r="G2023" t="s">
        <v>24</v>
      </c>
      <c r="H2023" t="s">
        <v>9789</v>
      </c>
      <c r="I2023" t="s">
        <v>197</v>
      </c>
      <c r="J2023" t="s">
        <v>12327</v>
      </c>
    </row>
    <row r="2024" spans="1:10" x14ac:dyDescent="0.3">
      <c r="A2024" t="s">
        <v>4627</v>
      </c>
      <c r="B2024" t="s">
        <v>26243</v>
      </c>
      <c r="C2024" t="s">
        <v>20486</v>
      </c>
      <c r="D2024" t="s">
        <v>22</v>
      </c>
      <c r="E2024" t="s">
        <v>4628</v>
      </c>
      <c r="F2024">
        <v>29</v>
      </c>
      <c r="G2024" t="s">
        <v>109</v>
      </c>
      <c r="H2024" t="s">
        <v>9788</v>
      </c>
      <c r="I2024" t="s">
        <v>4629</v>
      </c>
      <c r="J2024" t="s">
        <v>225</v>
      </c>
    </row>
    <row r="2025" spans="1:10" x14ac:dyDescent="0.3">
      <c r="A2025" t="s">
        <v>4630</v>
      </c>
      <c r="B2025" t="s">
        <v>26244</v>
      </c>
      <c r="C2025" t="s">
        <v>20488</v>
      </c>
      <c r="D2025" t="s">
        <v>11</v>
      </c>
      <c r="E2025" t="s">
        <v>4631</v>
      </c>
      <c r="F2025">
        <v>47</v>
      </c>
      <c r="G2025" t="s">
        <v>16</v>
      </c>
      <c r="H2025" t="s">
        <v>9785</v>
      </c>
      <c r="I2025" t="s">
        <v>449</v>
      </c>
      <c r="J2025" t="s">
        <v>817</v>
      </c>
    </row>
    <row r="2026" spans="1:10" x14ac:dyDescent="0.3">
      <c r="A2026" t="s">
        <v>4632</v>
      </c>
      <c r="B2026" t="s">
        <v>26245</v>
      </c>
      <c r="C2026" t="s">
        <v>20486</v>
      </c>
      <c r="D2026" t="s">
        <v>22</v>
      </c>
      <c r="E2026" t="s">
        <v>1921</v>
      </c>
      <c r="F2026">
        <v>63</v>
      </c>
      <c r="G2026" t="s">
        <v>24</v>
      </c>
      <c r="H2026" t="s">
        <v>9789</v>
      </c>
      <c r="J2026" t="s">
        <v>4633</v>
      </c>
    </row>
    <row r="2027" spans="1:10" x14ac:dyDescent="0.3">
      <c r="A2027" t="s">
        <v>4634</v>
      </c>
      <c r="B2027" t="s">
        <v>26246</v>
      </c>
      <c r="C2027" t="s">
        <v>20491</v>
      </c>
      <c r="D2027" t="s">
        <v>22</v>
      </c>
      <c r="E2027" t="s">
        <v>4635</v>
      </c>
      <c r="F2027">
        <v>40</v>
      </c>
      <c r="G2027" t="s">
        <v>46</v>
      </c>
      <c r="H2027" t="s">
        <v>46</v>
      </c>
      <c r="J2027" t="s">
        <v>4636</v>
      </c>
    </row>
    <row r="2028" spans="1:10" x14ac:dyDescent="0.3">
      <c r="A2028" t="s">
        <v>4637</v>
      </c>
      <c r="B2028" t="s">
        <v>26247</v>
      </c>
      <c r="C2028" t="s">
        <v>20487</v>
      </c>
      <c r="D2028" t="s">
        <v>11</v>
      </c>
      <c r="E2028" t="s">
        <v>4638</v>
      </c>
      <c r="F2028">
        <v>45</v>
      </c>
      <c r="G2028" t="s">
        <v>231</v>
      </c>
      <c r="H2028" t="s">
        <v>9788</v>
      </c>
      <c r="J2028" t="s">
        <v>2639</v>
      </c>
    </row>
    <row r="2029" spans="1:10" x14ac:dyDescent="0.3">
      <c r="A2029" t="s">
        <v>4639</v>
      </c>
      <c r="B2029" t="s">
        <v>26248</v>
      </c>
      <c r="C2029" t="s">
        <v>20486</v>
      </c>
      <c r="D2029" t="s">
        <v>11</v>
      </c>
      <c r="E2029" t="s">
        <v>2773</v>
      </c>
      <c r="F2029">
        <v>35</v>
      </c>
      <c r="G2029" t="s">
        <v>1200</v>
      </c>
      <c r="H2029" t="s">
        <v>9788</v>
      </c>
      <c r="I2029" t="s">
        <v>17</v>
      </c>
      <c r="J2029" t="s">
        <v>4640</v>
      </c>
    </row>
    <row r="2030" spans="1:10" x14ac:dyDescent="0.3">
      <c r="A2030" t="s">
        <v>4641</v>
      </c>
      <c r="B2030" t="s">
        <v>26249</v>
      </c>
      <c r="C2030" t="s">
        <v>20487</v>
      </c>
      <c r="D2030" t="s">
        <v>22</v>
      </c>
      <c r="E2030" t="s">
        <v>4642</v>
      </c>
      <c r="F2030">
        <v>45</v>
      </c>
      <c r="G2030" t="s">
        <v>46</v>
      </c>
      <c r="H2030" t="s">
        <v>46</v>
      </c>
    </row>
    <row r="2031" spans="1:10" x14ac:dyDescent="0.3">
      <c r="A2031" t="s">
        <v>4643</v>
      </c>
      <c r="B2031" t="s">
        <v>26250</v>
      </c>
      <c r="C2031" t="s">
        <v>20486</v>
      </c>
      <c r="D2031" t="s">
        <v>22</v>
      </c>
      <c r="E2031" t="s">
        <v>4644</v>
      </c>
      <c r="F2031">
        <v>30</v>
      </c>
      <c r="G2031" t="s">
        <v>109</v>
      </c>
      <c r="H2031" t="s">
        <v>9788</v>
      </c>
      <c r="I2031" t="s">
        <v>971</v>
      </c>
      <c r="J2031" t="s">
        <v>225</v>
      </c>
    </row>
    <row r="2032" spans="1:10" x14ac:dyDescent="0.3">
      <c r="A2032" t="s">
        <v>4645</v>
      </c>
      <c r="B2032" t="s">
        <v>26251</v>
      </c>
      <c r="C2032" t="s">
        <v>20487</v>
      </c>
      <c r="D2032" t="s">
        <v>11</v>
      </c>
      <c r="E2032" t="s">
        <v>4646</v>
      </c>
      <c r="F2032">
        <v>44</v>
      </c>
      <c r="G2032" t="s">
        <v>109</v>
      </c>
      <c r="H2032" t="s">
        <v>9788</v>
      </c>
      <c r="J2032" t="s">
        <v>2639</v>
      </c>
    </row>
    <row r="2033" spans="1:10" x14ac:dyDescent="0.3">
      <c r="A2033" t="s">
        <v>4647</v>
      </c>
      <c r="B2033" t="s">
        <v>26252</v>
      </c>
      <c r="C2033" t="s">
        <v>20486</v>
      </c>
      <c r="D2033" t="s">
        <v>22</v>
      </c>
      <c r="E2033" t="s">
        <v>4648</v>
      </c>
      <c r="F2033">
        <v>48</v>
      </c>
      <c r="G2033" t="s">
        <v>31</v>
      </c>
      <c r="H2033" t="s">
        <v>31</v>
      </c>
      <c r="J2033" t="s">
        <v>33</v>
      </c>
    </row>
    <row r="2034" spans="1:10" x14ac:dyDescent="0.3">
      <c r="A2034" t="s">
        <v>4649</v>
      </c>
      <c r="B2034" t="s">
        <v>26253</v>
      </c>
      <c r="C2034" t="s">
        <v>20486</v>
      </c>
      <c r="D2034" t="s">
        <v>22</v>
      </c>
      <c r="E2034" t="s">
        <v>4650</v>
      </c>
      <c r="F2034">
        <v>29</v>
      </c>
      <c r="G2034" t="s">
        <v>109</v>
      </c>
      <c r="H2034" t="s">
        <v>9788</v>
      </c>
      <c r="J2034" t="s">
        <v>4651</v>
      </c>
    </row>
    <row r="2035" spans="1:10" x14ac:dyDescent="0.3">
      <c r="A2035" t="s">
        <v>4652</v>
      </c>
      <c r="B2035" t="s">
        <v>26254</v>
      </c>
      <c r="C2035" t="s">
        <v>20486</v>
      </c>
      <c r="D2035" t="s">
        <v>22</v>
      </c>
      <c r="E2035" t="s">
        <v>4653</v>
      </c>
      <c r="F2035">
        <v>70</v>
      </c>
      <c r="G2035" t="s">
        <v>133</v>
      </c>
      <c r="H2035" t="s">
        <v>9789</v>
      </c>
      <c r="J2035" t="s">
        <v>4654</v>
      </c>
    </row>
    <row r="2036" spans="1:10" x14ac:dyDescent="0.3">
      <c r="A2036" t="s">
        <v>4655</v>
      </c>
      <c r="B2036" t="s">
        <v>26255</v>
      </c>
      <c r="C2036" t="s">
        <v>20490</v>
      </c>
      <c r="D2036" t="s">
        <v>22</v>
      </c>
      <c r="E2036" t="s">
        <v>4656</v>
      </c>
      <c r="F2036">
        <v>44</v>
      </c>
      <c r="G2036" t="s">
        <v>109</v>
      </c>
      <c r="H2036" t="s">
        <v>9788</v>
      </c>
      <c r="J2036" t="s">
        <v>214</v>
      </c>
    </row>
    <row r="2037" spans="1:10" x14ac:dyDescent="0.3">
      <c r="A2037" t="s">
        <v>4657</v>
      </c>
      <c r="B2037" t="s">
        <v>26256</v>
      </c>
      <c r="C2037" t="s">
        <v>20490</v>
      </c>
      <c r="D2037" t="s">
        <v>22</v>
      </c>
      <c r="E2037" t="s">
        <v>4658</v>
      </c>
      <c r="F2037">
        <v>48</v>
      </c>
      <c r="G2037" t="s">
        <v>109</v>
      </c>
      <c r="H2037" t="s">
        <v>9788</v>
      </c>
      <c r="J2037" t="s">
        <v>214</v>
      </c>
    </row>
    <row r="2038" spans="1:10" x14ac:dyDescent="0.3">
      <c r="A2038" t="s">
        <v>4659</v>
      </c>
      <c r="B2038" t="s">
        <v>26257</v>
      </c>
      <c r="C2038" t="s">
        <v>20490</v>
      </c>
      <c r="D2038" t="s">
        <v>11</v>
      </c>
      <c r="E2038" t="s">
        <v>4660</v>
      </c>
      <c r="F2038">
        <v>27</v>
      </c>
    </row>
    <row r="2039" spans="1:10" x14ac:dyDescent="0.3">
      <c r="A2039" t="s">
        <v>4662</v>
      </c>
      <c r="B2039" t="s">
        <v>26258</v>
      </c>
      <c r="C2039" t="s">
        <v>20488</v>
      </c>
      <c r="D2039" t="s">
        <v>22</v>
      </c>
      <c r="E2039" t="s">
        <v>4663</v>
      </c>
      <c r="F2039">
        <v>50</v>
      </c>
      <c r="G2039" t="s">
        <v>31</v>
      </c>
      <c r="H2039" t="s">
        <v>31</v>
      </c>
      <c r="I2039" t="s">
        <v>33</v>
      </c>
    </row>
    <row r="2040" spans="1:10" x14ac:dyDescent="0.3">
      <c r="A2040" t="s">
        <v>4664</v>
      </c>
      <c r="B2040" t="s">
        <v>26259</v>
      </c>
      <c r="C2040" t="s">
        <v>20486</v>
      </c>
      <c r="D2040" t="s">
        <v>11</v>
      </c>
      <c r="E2040" t="s">
        <v>4665</v>
      </c>
      <c r="F2040">
        <v>56</v>
      </c>
      <c r="G2040" t="s">
        <v>46</v>
      </c>
      <c r="H2040" t="s">
        <v>46</v>
      </c>
      <c r="J2040" t="s">
        <v>4553</v>
      </c>
    </row>
    <row r="2041" spans="1:10" x14ac:dyDescent="0.3">
      <c r="A2041" t="s">
        <v>12328</v>
      </c>
      <c r="B2041" t="s">
        <v>26260</v>
      </c>
      <c r="C2041" t="s">
        <v>20486</v>
      </c>
      <c r="D2041" t="s">
        <v>11</v>
      </c>
      <c r="E2041" t="s">
        <v>9679</v>
      </c>
      <c r="F2041">
        <v>19</v>
      </c>
      <c r="G2041" t="s">
        <v>109</v>
      </c>
      <c r="H2041" t="s">
        <v>9788</v>
      </c>
    </row>
    <row r="2042" spans="1:10" x14ac:dyDescent="0.3">
      <c r="A2042" t="s">
        <v>4666</v>
      </c>
      <c r="B2042" t="s">
        <v>26261</v>
      </c>
      <c r="C2042" t="s">
        <v>20490</v>
      </c>
      <c r="D2042" t="s">
        <v>11</v>
      </c>
      <c r="E2042" t="s">
        <v>4667</v>
      </c>
      <c r="F2042">
        <v>54</v>
      </c>
      <c r="G2042" t="s">
        <v>231</v>
      </c>
      <c r="H2042" t="s">
        <v>9788</v>
      </c>
      <c r="J2042" t="s">
        <v>4668</v>
      </c>
    </row>
    <row r="2043" spans="1:10" x14ac:dyDescent="0.3">
      <c r="A2043" t="s">
        <v>4669</v>
      </c>
      <c r="B2043" t="s">
        <v>26262</v>
      </c>
      <c r="C2043" t="s">
        <v>20486</v>
      </c>
      <c r="D2043" t="s">
        <v>22</v>
      </c>
      <c r="E2043" t="s">
        <v>4670</v>
      </c>
      <c r="F2043">
        <v>39</v>
      </c>
      <c r="G2043" t="s">
        <v>31</v>
      </c>
      <c r="H2043" t="s">
        <v>31</v>
      </c>
      <c r="J2043" t="s">
        <v>33</v>
      </c>
    </row>
    <row r="2044" spans="1:10" x14ac:dyDescent="0.3">
      <c r="A2044" t="s">
        <v>4671</v>
      </c>
      <c r="B2044" t="s">
        <v>26263</v>
      </c>
      <c r="C2044" t="s">
        <v>20488</v>
      </c>
      <c r="D2044" t="s">
        <v>22</v>
      </c>
      <c r="E2044" t="s">
        <v>4672</v>
      </c>
      <c r="F2044">
        <v>60</v>
      </c>
      <c r="G2044" t="s">
        <v>31</v>
      </c>
      <c r="H2044" t="s">
        <v>31</v>
      </c>
      <c r="I2044" t="s">
        <v>33</v>
      </c>
    </row>
    <row r="2045" spans="1:10" x14ac:dyDescent="0.3">
      <c r="A2045" t="s">
        <v>4673</v>
      </c>
      <c r="B2045" t="s">
        <v>26264</v>
      </c>
      <c r="C2045" t="s">
        <v>20486</v>
      </c>
      <c r="D2045" t="s">
        <v>22</v>
      </c>
      <c r="E2045" t="s">
        <v>14322</v>
      </c>
      <c r="F2045">
        <v>47</v>
      </c>
      <c r="G2045" t="s">
        <v>109</v>
      </c>
      <c r="H2045" t="s">
        <v>9788</v>
      </c>
      <c r="I2045" t="s">
        <v>201</v>
      </c>
      <c r="J2045" t="s">
        <v>4674</v>
      </c>
    </row>
    <row r="2046" spans="1:10" x14ac:dyDescent="0.3">
      <c r="A2046" t="s">
        <v>4675</v>
      </c>
      <c r="B2046" t="s">
        <v>26265</v>
      </c>
      <c r="C2046" t="s">
        <v>20486</v>
      </c>
      <c r="D2046" t="s">
        <v>22</v>
      </c>
      <c r="E2046" t="s">
        <v>4676</v>
      </c>
      <c r="F2046">
        <v>49</v>
      </c>
      <c r="G2046" t="s">
        <v>46</v>
      </c>
      <c r="H2046" t="s">
        <v>46</v>
      </c>
      <c r="J2046" t="s">
        <v>2455</v>
      </c>
    </row>
    <row r="2047" spans="1:10" x14ac:dyDescent="0.3">
      <c r="A2047" t="s">
        <v>4677</v>
      </c>
      <c r="B2047" t="s">
        <v>26266</v>
      </c>
      <c r="C2047" t="s">
        <v>20490</v>
      </c>
      <c r="D2047" t="s">
        <v>22</v>
      </c>
      <c r="E2047" t="s">
        <v>4678</v>
      </c>
      <c r="F2047">
        <v>44</v>
      </c>
      <c r="G2047" t="s">
        <v>370</v>
      </c>
      <c r="H2047" t="s">
        <v>46</v>
      </c>
      <c r="I2047" t="s">
        <v>387</v>
      </c>
    </row>
    <row r="2048" spans="1:10" x14ac:dyDescent="0.3">
      <c r="A2048" t="s">
        <v>4679</v>
      </c>
      <c r="B2048" t="s">
        <v>26267</v>
      </c>
      <c r="C2048" t="s">
        <v>20488</v>
      </c>
      <c r="D2048" t="s">
        <v>11</v>
      </c>
      <c r="E2048" t="s">
        <v>4680</v>
      </c>
      <c r="F2048">
        <v>38</v>
      </c>
      <c r="G2048" t="s">
        <v>109</v>
      </c>
      <c r="H2048" t="s">
        <v>9788</v>
      </c>
    </row>
    <row r="2049" spans="1:10" x14ac:dyDescent="0.3">
      <c r="A2049" t="s">
        <v>4681</v>
      </c>
      <c r="B2049" t="s">
        <v>26268</v>
      </c>
      <c r="C2049" t="s">
        <v>20489</v>
      </c>
      <c r="D2049" t="s">
        <v>22</v>
      </c>
      <c r="E2049" t="s">
        <v>4682</v>
      </c>
      <c r="F2049">
        <v>70</v>
      </c>
      <c r="G2049" t="s">
        <v>16</v>
      </c>
      <c r="H2049" t="s">
        <v>9785</v>
      </c>
      <c r="I2049" t="s">
        <v>8693</v>
      </c>
      <c r="J2049" t="s">
        <v>642</v>
      </c>
    </row>
    <row r="2050" spans="1:10" x14ac:dyDescent="0.3">
      <c r="A2050" t="s">
        <v>4683</v>
      </c>
      <c r="B2050" t="s">
        <v>26269</v>
      </c>
      <c r="C2050" t="s">
        <v>20491</v>
      </c>
      <c r="D2050" t="s">
        <v>11</v>
      </c>
      <c r="E2050" t="s">
        <v>4684</v>
      </c>
      <c r="F2050">
        <v>46</v>
      </c>
      <c r="G2050" t="s">
        <v>4685</v>
      </c>
      <c r="H2050" t="s">
        <v>12099</v>
      </c>
      <c r="J2050" t="s">
        <v>4686</v>
      </c>
    </row>
    <row r="2051" spans="1:10" x14ac:dyDescent="0.3">
      <c r="A2051" t="s">
        <v>12329</v>
      </c>
      <c r="B2051" t="s">
        <v>26270</v>
      </c>
      <c r="C2051" t="s">
        <v>20490</v>
      </c>
      <c r="D2051" t="s">
        <v>22</v>
      </c>
      <c r="E2051" t="s">
        <v>9678</v>
      </c>
      <c r="F2051">
        <v>26</v>
      </c>
      <c r="G2051" t="s">
        <v>337</v>
      </c>
    </row>
    <row r="2052" spans="1:10" x14ac:dyDescent="0.3">
      <c r="A2052" t="s">
        <v>4687</v>
      </c>
      <c r="B2052" t="s">
        <v>26271</v>
      </c>
      <c r="C2052" t="s">
        <v>20486</v>
      </c>
      <c r="D2052" t="s">
        <v>22</v>
      </c>
      <c r="E2052" t="s">
        <v>4688</v>
      </c>
      <c r="F2052">
        <v>55</v>
      </c>
      <c r="G2052" t="s">
        <v>31</v>
      </c>
      <c r="H2052" t="s">
        <v>31</v>
      </c>
      <c r="J2052" t="s">
        <v>33</v>
      </c>
    </row>
    <row r="2053" spans="1:10" x14ac:dyDescent="0.3">
      <c r="A2053" t="s">
        <v>4689</v>
      </c>
      <c r="B2053" t="s">
        <v>26272</v>
      </c>
      <c r="C2053" t="s">
        <v>20486</v>
      </c>
      <c r="D2053" t="s">
        <v>22</v>
      </c>
      <c r="E2053" t="s">
        <v>4690</v>
      </c>
      <c r="F2053">
        <v>45</v>
      </c>
      <c r="G2053" t="s">
        <v>46</v>
      </c>
      <c r="H2053" t="s">
        <v>46</v>
      </c>
      <c r="I2053" t="s">
        <v>139</v>
      </c>
      <c r="J2053" t="s">
        <v>4691</v>
      </c>
    </row>
    <row r="2054" spans="1:10" x14ac:dyDescent="0.3">
      <c r="A2054" t="s">
        <v>4692</v>
      </c>
      <c r="B2054" t="s">
        <v>26273</v>
      </c>
      <c r="C2054" t="s">
        <v>20486</v>
      </c>
      <c r="D2054" t="s">
        <v>22</v>
      </c>
      <c r="E2054" t="s">
        <v>4693</v>
      </c>
      <c r="F2054">
        <v>56</v>
      </c>
      <c r="G2054" t="s">
        <v>46</v>
      </c>
      <c r="H2054" t="s">
        <v>46</v>
      </c>
      <c r="I2054" t="s">
        <v>228</v>
      </c>
      <c r="J2054" t="s">
        <v>4694</v>
      </c>
    </row>
    <row r="2055" spans="1:10" x14ac:dyDescent="0.3">
      <c r="A2055" t="s">
        <v>4696</v>
      </c>
      <c r="B2055" t="s">
        <v>26274</v>
      </c>
      <c r="C2055" t="s">
        <v>20490</v>
      </c>
      <c r="D2055" t="s">
        <v>22</v>
      </c>
      <c r="E2055" t="s">
        <v>4697</v>
      </c>
      <c r="F2055">
        <v>38</v>
      </c>
      <c r="G2055" t="s">
        <v>31</v>
      </c>
      <c r="H2055" t="s">
        <v>31</v>
      </c>
    </row>
    <row r="2056" spans="1:10" x14ac:dyDescent="0.3">
      <c r="A2056" t="s">
        <v>12330</v>
      </c>
      <c r="B2056" t="s">
        <v>26275</v>
      </c>
      <c r="C2056" t="s">
        <v>20487</v>
      </c>
      <c r="D2056" t="s">
        <v>11</v>
      </c>
      <c r="E2056" t="s">
        <v>9677</v>
      </c>
      <c r="F2056">
        <v>27</v>
      </c>
      <c r="G2056" t="s">
        <v>46</v>
      </c>
      <c r="H2056" t="s">
        <v>46</v>
      </c>
      <c r="I2056" t="s">
        <v>12331</v>
      </c>
      <c r="J2056" t="s">
        <v>12332</v>
      </c>
    </row>
    <row r="2057" spans="1:10" x14ac:dyDescent="0.3">
      <c r="A2057" t="s">
        <v>4698</v>
      </c>
      <c r="B2057" t="s">
        <v>26276</v>
      </c>
      <c r="C2057" t="s">
        <v>20486</v>
      </c>
      <c r="D2057" t="s">
        <v>22</v>
      </c>
      <c r="E2057" t="s">
        <v>4699</v>
      </c>
      <c r="F2057">
        <v>39</v>
      </c>
      <c r="G2057" t="s">
        <v>46</v>
      </c>
      <c r="H2057" t="s">
        <v>46</v>
      </c>
      <c r="I2057" t="s">
        <v>220</v>
      </c>
      <c r="J2057" t="s">
        <v>12333</v>
      </c>
    </row>
    <row r="2058" spans="1:10" x14ac:dyDescent="0.3">
      <c r="A2058" t="s">
        <v>4700</v>
      </c>
      <c r="B2058" t="s">
        <v>26277</v>
      </c>
      <c r="C2058" t="s">
        <v>20491</v>
      </c>
      <c r="D2058" t="s">
        <v>22</v>
      </c>
      <c r="E2058" t="s">
        <v>1352</v>
      </c>
      <c r="F2058">
        <v>38</v>
      </c>
      <c r="G2058" t="s">
        <v>231</v>
      </c>
      <c r="H2058" t="s">
        <v>9788</v>
      </c>
      <c r="J2058" t="s">
        <v>1861</v>
      </c>
    </row>
    <row r="2059" spans="1:10" x14ac:dyDescent="0.3">
      <c r="A2059" t="s">
        <v>4702</v>
      </c>
      <c r="B2059" t="s">
        <v>26278</v>
      </c>
      <c r="C2059" t="s">
        <v>20486</v>
      </c>
      <c r="D2059" t="s">
        <v>22</v>
      </c>
      <c r="E2059" t="s">
        <v>4703</v>
      </c>
      <c r="F2059">
        <v>43</v>
      </c>
      <c r="G2059" t="s">
        <v>172</v>
      </c>
      <c r="H2059" t="s">
        <v>12099</v>
      </c>
      <c r="I2059" t="s">
        <v>17</v>
      </c>
      <c r="J2059" t="s">
        <v>4704</v>
      </c>
    </row>
    <row r="2060" spans="1:10" x14ac:dyDescent="0.3">
      <c r="A2060" t="s">
        <v>4705</v>
      </c>
      <c r="B2060" t="s">
        <v>26279</v>
      </c>
      <c r="C2060" t="s">
        <v>20486</v>
      </c>
      <c r="D2060" t="s">
        <v>22</v>
      </c>
      <c r="E2060" t="s">
        <v>4706</v>
      </c>
      <c r="F2060">
        <v>49</v>
      </c>
      <c r="G2060" t="s">
        <v>109</v>
      </c>
      <c r="H2060" t="s">
        <v>9788</v>
      </c>
      <c r="J2060" t="s">
        <v>4707</v>
      </c>
    </row>
    <row r="2061" spans="1:10" x14ac:dyDescent="0.3">
      <c r="A2061" t="s">
        <v>4708</v>
      </c>
      <c r="B2061" t="s">
        <v>26280</v>
      </c>
      <c r="C2061" t="s">
        <v>20486</v>
      </c>
      <c r="D2061" t="s">
        <v>22</v>
      </c>
      <c r="E2061" t="s">
        <v>4709</v>
      </c>
      <c r="F2061">
        <v>39</v>
      </c>
      <c r="G2061" t="s">
        <v>16</v>
      </c>
      <c r="H2061" t="s">
        <v>9785</v>
      </c>
      <c r="I2061" t="s">
        <v>17</v>
      </c>
      <c r="J2061" t="s">
        <v>4710</v>
      </c>
    </row>
    <row r="2062" spans="1:10" x14ac:dyDescent="0.3">
      <c r="A2062" t="s">
        <v>4711</v>
      </c>
      <c r="B2062" t="s">
        <v>26281</v>
      </c>
      <c r="C2062" t="s">
        <v>20489</v>
      </c>
      <c r="D2062" t="s">
        <v>11</v>
      </c>
      <c r="E2062" t="s">
        <v>4712</v>
      </c>
      <c r="F2062">
        <v>56</v>
      </c>
      <c r="G2062" t="s">
        <v>16</v>
      </c>
      <c r="H2062" t="s">
        <v>9785</v>
      </c>
      <c r="I2062" t="s">
        <v>17</v>
      </c>
      <c r="J2062" t="s">
        <v>2076</v>
      </c>
    </row>
    <row r="2063" spans="1:10" x14ac:dyDescent="0.3">
      <c r="A2063" t="s">
        <v>4713</v>
      </c>
      <c r="B2063" t="s">
        <v>26282</v>
      </c>
      <c r="C2063" t="s">
        <v>20490</v>
      </c>
      <c r="D2063" t="s">
        <v>22</v>
      </c>
      <c r="E2063" t="s">
        <v>4714</v>
      </c>
      <c r="F2063">
        <v>64</v>
      </c>
      <c r="G2063" t="s">
        <v>370</v>
      </c>
      <c r="H2063" t="s">
        <v>46</v>
      </c>
      <c r="J2063" t="s">
        <v>4715</v>
      </c>
    </row>
    <row r="2064" spans="1:10" x14ac:dyDescent="0.3">
      <c r="A2064" t="s">
        <v>4716</v>
      </c>
      <c r="B2064" t="s">
        <v>26283</v>
      </c>
      <c r="C2064" t="s">
        <v>20486</v>
      </c>
      <c r="D2064" t="s">
        <v>22</v>
      </c>
      <c r="E2064" t="s">
        <v>4717</v>
      </c>
      <c r="F2064">
        <v>51</v>
      </c>
      <c r="G2064" t="s">
        <v>31</v>
      </c>
      <c r="H2064" t="s">
        <v>31</v>
      </c>
      <c r="J2064" t="s">
        <v>33</v>
      </c>
    </row>
    <row r="2065" spans="1:10" x14ac:dyDescent="0.3">
      <c r="A2065" t="s">
        <v>4718</v>
      </c>
      <c r="B2065" t="s">
        <v>26284</v>
      </c>
      <c r="C2065" t="s">
        <v>20489</v>
      </c>
      <c r="D2065" t="s">
        <v>22</v>
      </c>
      <c r="E2065" t="s">
        <v>4719</v>
      </c>
      <c r="F2065">
        <v>48</v>
      </c>
      <c r="G2065" t="s">
        <v>109</v>
      </c>
      <c r="H2065" t="s">
        <v>9788</v>
      </c>
      <c r="I2065" t="s">
        <v>4720</v>
      </c>
      <c r="J2065" t="s">
        <v>4721</v>
      </c>
    </row>
    <row r="2066" spans="1:10" x14ac:dyDescent="0.3">
      <c r="A2066" t="s">
        <v>4722</v>
      </c>
      <c r="B2066" t="s">
        <v>26285</v>
      </c>
      <c r="C2066" t="s">
        <v>20486</v>
      </c>
      <c r="D2066" t="s">
        <v>22</v>
      </c>
      <c r="E2066" t="s">
        <v>4723</v>
      </c>
      <c r="F2066">
        <v>38</v>
      </c>
      <c r="G2066" t="s">
        <v>31</v>
      </c>
      <c r="H2066" t="s">
        <v>31</v>
      </c>
      <c r="J2066" t="s">
        <v>33</v>
      </c>
    </row>
    <row r="2067" spans="1:10" x14ac:dyDescent="0.3">
      <c r="A2067" t="s">
        <v>4724</v>
      </c>
      <c r="B2067" t="s">
        <v>26286</v>
      </c>
      <c r="C2067" t="s">
        <v>20486</v>
      </c>
      <c r="D2067" t="s">
        <v>22</v>
      </c>
      <c r="E2067" t="s">
        <v>1612</v>
      </c>
      <c r="F2067">
        <v>52</v>
      </c>
      <c r="G2067" t="s">
        <v>46</v>
      </c>
      <c r="H2067" t="s">
        <v>46</v>
      </c>
      <c r="J2067" t="s">
        <v>1514</v>
      </c>
    </row>
    <row r="2068" spans="1:10" x14ac:dyDescent="0.3">
      <c r="A2068" t="s">
        <v>4726</v>
      </c>
      <c r="B2068" t="s">
        <v>26287</v>
      </c>
      <c r="C2068" t="s">
        <v>20486</v>
      </c>
      <c r="D2068" t="s">
        <v>11</v>
      </c>
      <c r="E2068" t="s">
        <v>4727</v>
      </c>
      <c r="F2068">
        <v>50</v>
      </c>
      <c r="G2068" t="s">
        <v>172</v>
      </c>
      <c r="H2068" t="s">
        <v>12099</v>
      </c>
      <c r="I2068" t="s">
        <v>110</v>
      </c>
      <c r="J2068" t="s">
        <v>4286</v>
      </c>
    </row>
    <row r="2069" spans="1:10" x14ac:dyDescent="0.3">
      <c r="A2069" t="s">
        <v>4728</v>
      </c>
      <c r="B2069" t="s">
        <v>26288</v>
      </c>
      <c r="C2069" t="s">
        <v>20490</v>
      </c>
      <c r="D2069" t="s">
        <v>22</v>
      </c>
      <c r="E2069" t="s">
        <v>4729</v>
      </c>
      <c r="F2069">
        <v>53</v>
      </c>
      <c r="G2069" t="s">
        <v>31</v>
      </c>
      <c r="H2069" t="s">
        <v>31</v>
      </c>
    </row>
    <row r="2070" spans="1:10" x14ac:dyDescent="0.3">
      <c r="A2070" t="s">
        <v>4730</v>
      </c>
      <c r="B2070" t="s">
        <v>26289</v>
      </c>
      <c r="C2070" t="s">
        <v>20490</v>
      </c>
      <c r="D2070" t="s">
        <v>11</v>
      </c>
      <c r="E2070" t="s">
        <v>4731</v>
      </c>
      <c r="F2070">
        <v>45</v>
      </c>
      <c r="G2070" t="s">
        <v>109</v>
      </c>
      <c r="H2070" t="s">
        <v>9788</v>
      </c>
    </row>
    <row r="2071" spans="1:10" x14ac:dyDescent="0.3">
      <c r="A2071" t="s">
        <v>12334</v>
      </c>
      <c r="B2071" t="s">
        <v>26290</v>
      </c>
      <c r="C2071" t="s">
        <v>20490</v>
      </c>
      <c r="D2071" t="s">
        <v>11</v>
      </c>
      <c r="E2071" t="s">
        <v>9676</v>
      </c>
      <c r="F2071">
        <v>22</v>
      </c>
      <c r="G2071" t="s">
        <v>337</v>
      </c>
      <c r="H2071" t="s">
        <v>337</v>
      </c>
    </row>
    <row r="2072" spans="1:10" x14ac:dyDescent="0.3">
      <c r="A2072" t="s">
        <v>4732</v>
      </c>
      <c r="B2072" t="s">
        <v>26291</v>
      </c>
      <c r="C2072" t="s">
        <v>20490</v>
      </c>
      <c r="D2072" t="s">
        <v>22</v>
      </c>
      <c r="E2072" t="s">
        <v>4733</v>
      </c>
      <c r="F2072">
        <v>51</v>
      </c>
      <c r="G2072" t="s">
        <v>441</v>
      </c>
      <c r="H2072" t="s">
        <v>9785</v>
      </c>
      <c r="J2072" t="s">
        <v>4734</v>
      </c>
    </row>
    <row r="2073" spans="1:10" x14ac:dyDescent="0.3">
      <c r="A2073" t="s">
        <v>4735</v>
      </c>
      <c r="B2073" t="s">
        <v>26292</v>
      </c>
      <c r="C2073" t="s">
        <v>20488</v>
      </c>
      <c r="D2073" t="s">
        <v>11</v>
      </c>
      <c r="E2073" t="s">
        <v>4736</v>
      </c>
      <c r="F2073">
        <v>68</v>
      </c>
      <c r="G2073" t="s">
        <v>2055</v>
      </c>
      <c r="H2073" t="s">
        <v>9789</v>
      </c>
    </row>
    <row r="2074" spans="1:10" x14ac:dyDescent="0.3">
      <c r="A2074" t="s">
        <v>4737</v>
      </c>
      <c r="B2074" t="s">
        <v>26293</v>
      </c>
      <c r="C2074" t="s">
        <v>20490</v>
      </c>
      <c r="D2074" t="s">
        <v>11</v>
      </c>
      <c r="E2074" t="s">
        <v>4738</v>
      </c>
      <c r="F2074">
        <v>87</v>
      </c>
      <c r="G2074" t="s">
        <v>1226</v>
      </c>
      <c r="H2074" t="s">
        <v>9791</v>
      </c>
      <c r="J2074" t="s">
        <v>4668</v>
      </c>
    </row>
    <row r="2075" spans="1:10" x14ac:dyDescent="0.3">
      <c r="A2075" t="s">
        <v>4739</v>
      </c>
      <c r="B2075" t="s">
        <v>26294</v>
      </c>
      <c r="C2075" t="s">
        <v>20486</v>
      </c>
      <c r="D2075" t="s">
        <v>11</v>
      </c>
      <c r="E2075" t="s">
        <v>4740</v>
      </c>
      <c r="F2075">
        <v>43</v>
      </c>
      <c r="G2075" t="s">
        <v>133</v>
      </c>
      <c r="H2075" t="s">
        <v>9789</v>
      </c>
      <c r="I2075" t="s">
        <v>1425</v>
      </c>
      <c r="J2075" t="s">
        <v>1426</v>
      </c>
    </row>
    <row r="2076" spans="1:10" x14ac:dyDescent="0.3">
      <c r="A2076" t="s">
        <v>4741</v>
      </c>
      <c r="B2076" t="s">
        <v>26295</v>
      </c>
      <c r="C2076" t="s">
        <v>20487</v>
      </c>
      <c r="D2076" t="s">
        <v>11</v>
      </c>
      <c r="E2076" t="s">
        <v>4742</v>
      </c>
      <c r="F2076">
        <v>50</v>
      </c>
      <c r="G2076" t="s">
        <v>46</v>
      </c>
      <c r="H2076" t="s">
        <v>46</v>
      </c>
      <c r="J2076" t="s">
        <v>4743</v>
      </c>
    </row>
    <row r="2077" spans="1:10" x14ac:dyDescent="0.3">
      <c r="A2077" t="s">
        <v>4744</v>
      </c>
      <c r="B2077" t="s">
        <v>26296</v>
      </c>
      <c r="C2077" t="s">
        <v>20488</v>
      </c>
      <c r="D2077" t="s">
        <v>11</v>
      </c>
      <c r="E2077" t="s">
        <v>4745</v>
      </c>
      <c r="F2077">
        <v>18</v>
      </c>
      <c r="G2077" t="s">
        <v>337</v>
      </c>
      <c r="H2077" t="s">
        <v>337</v>
      </c>
      <c r="J2077" t="s">
        <v>4746</v>
      </c>
    </row>
    <row r="2078" spans="1:10" x14ac:dyDescent="0.3">
      <c r="A2078" t="s">
        <v>4747</v>
      </c>
      <c r="B2078" t="s">
        <v>26297</v>
      </c>
      <c r="C2078" t="s">
        <v>20486</v>
      </c>
      <c r="D2078" t="s">
        <v>22</v>
      </c>
      <c r="E2078" t="s">
        <v>1891</v>
      </c>
      <c r="F2078">
        <v>62</v>
      </c>
      <c r="G2078" t="s">
        <v>133</v>
      </c>
      <c r="H2078" t="s">
        <v>9789</v>
      </c>
      <c r="I2078" t="s">
        <v>968</v>
      </c>
    </row>
    <row r="2079" spans="1:10" x14ac:dyDescent="0.3">
      <c r="A2079" t="s">
        <v>4748</v>
      </c>
      <c r="B2079" t="s">
        <v>26298</v>
      </c>
      <c r="C2079" t="s">
        <v>20487</v>
      </c>
      <c r="D2079" t="s">
        <v>22</v>
      </c>
      <c r="E2079" t="s">
        <v>4749</v>
      </c>
      <c r="F2079">
        <v>43</v>
      </c>
      <c r="G2079" t="s">
        <v>109</v>
      </c>
      <c r="H2079" t="s">
        <v>9788</v>
      </c>
      <c r="J2079" t="s">
        <v>1426</v>
      </c>
    </row>
    <row r="2080" spans="1:10" x14ac:dyDescent="0.3">
      <c r="A2080" t="s">
        <v>4750</v>
      </c>
      <c r="B2080" t="s">
        <v>26299</v>
      </c>
      <c r="C2080" t="s">
        <v>20488</v>
      </c>
      <c r="D2080" t="s">
        <v>22</v>
      </c>
      <c r="E2080" t="s">
        <v>4751</v>
      </c>
      <c r="F2080">
        <v>50</v>
      </c>
      <c r="G2080" t="s">
        <v>46</v>
      </c>
      <c r="H2080" t="s">
        <v>46</v>
      </c>
      <c r="I2080" t="s">
        <v>12335</v>
      </c>
      <c r="J2080" t="s">
        <v>12336</v>
      </c>
    </row>
    <row r="2081" spans="1:10" x14ac:dyDescent="0.3">
      <c r="A2081" t="s">
        <v>12337</v>
      </c>
      <c r="B2081" t="s">
        <v>26300</v>
      </c>
      <c r="C2081" t="s">
        <v>20486</v>
      </c>
      <c r="D2081" t="s">
        <v>11</v>
      </c>
      <c r="E2081" t="s">
        <v>9675</v>
      </c>
      <c r="F2081">
        <v>25</v>
      </c>
      <c r="G2081" t="s">
        <v>109</v>
      </c>
      <c r="H2081" t="s">
        <v>9788</v>
      </c>
      <c r="I2081" t="s">
        <v>12338</v>
      </c>
      <c r="J2081" t="s">
        <v>12339</v>
      </c>
    </row>
    <row r="2082" spans="1:10" x14ac:dyDescent="0.3">
      <c r="A2082" t="s">
        <v>4752</v>
      </c>
      <c r="B2082" t="s">
        <v>26301</v>
      </c>
      <c r="C2082" t="s">
        <v>20487</v>
      </c>
      <c r="D2082" t="s">
        <v>22</v>
      </c>
      <c r="E2082" t="s">
        <v>1054</v>
      </c>
      <c r="F2082">
        <v>50</v>
      </c>
      <c r="G2082" t="s">
        <v>46</v>
      </c>
      <c r="H2082" t="s">
        <v>46</v>
      </c>
      <c r="I2082" t="s">
        <v>1828</v>
      </c>
    </row>
    <row r="2083" spans="1:10" x14ac:dyDescent="0.3">
      <c r="A2083" t="s">
        <v>4753</v>
      </c>
      <c r="B2083" t="s">
        <v>26302</v>
      </c>
      <c r="C2083" t="s">
        <v>20486</v>
      </c>
      <c r="D2083" t="s">
        <v>22</v>
      </c>
      <c r="E2083" t="s">
        <v>4754</v>
      </c>
      <c r="F2083">
        <v>43</v>
      </c>
      <c r="G2083" t="s">
        <v>31</v>
      </c>
      <c r="H2083" t="s">
        <v>31</v>
      </c>
      <c r="J2083" t="s">
        <v>33</v>
      </c>
    </row>
    <row r="2084" spans="1:10" x14ac:dyDescent="0.3">
      <c r="A2084" t="s">
        <v>4755</v>
      </c>
      <c r="B2084" t="s">
        <v>26303</v>
      </c>
      <c r="C2084" t="s">
        <v>20486</v>
      </c>
      <c r="D2084" t="s">
        <v>22</v>
      </c>
      <c r="E2084" t="s">
        <v>4756</v>
      </c>
      <c r="F2084">
        <v>60</v>
      </c>
      <c r="G2084" t="s">
        <v>172</v>
      </c>
      <c r="H2084" t="s">
        <v>12099</v>
      </c>
    </row>
    <row r="2085" spans="1:10" x14ac:dyDescent="0.3">
      <c r="A2085" t="s">
        <v>12340</v>
      </c>
      <c r="B2085" t="s">
        <v>26304</v>
      </c>
      <c r="C2085" t="s">
        <v>20488</v>
      </c>
      <c r="D2085" t="s">
        <v>22</v>
      </c>
      <c r="E2085" t="s">
        <v>4757</v>
      </c>
      <c r="F2085">
        <v>58</v>
      </c>
      <c r="G2085" t="s">
        <v>31</v>
      </c>
      <c r="H2085" t="s">
        <v>31</v>
      </c>
    </row>
    <row r="2086" spans="1:10" x14ac:dyDescent="0.3">
      <c r="A2086" t="s">
        <v>4758</v>
      </c>
      <c r="B2086" t="s">
        <v>26305</v>
      </c>
      <c r="C2086" t="s">
        <v>20486</v>
      </c>
      <c r="D2086" t="s">
        <v>11</v>
      </c>
      <c r="E2086" t="s">
        <v>4759</v>
      </c>
      <c r="F2086">
        <v>53</v>
      </c>
      <c r="G2086" t="s">
        <v>133</v>
      </c>
      <c r="H2086" t="s">
        <v>9789</v>
      </c>
      <c r="J2086" t="s">
        <v>4760</v>
      </c>
    </row>
    <row r="2087" spans="1:10" x14ac:dyDescent="0.3">
      <c r="A2087" t="s">
        <v>4761</v>
      </c>
      <c r="B2087" t="s">
        <v>26306</v>
      </c>
      <c r="C2087" t="s">
        <v>20488</v>
      </c>
      <c r="D2087" t="s">
        <v>22</v>
      </c>
      <c r="E2087" t="s">
        <v>4762</v>
      </c>
      <c r="F2087">
        <v>44</v>
      </c>
      <c r="G2087" t="s">
        <v>31</v>
      </c>
      <c r="H2087" t="s">
        <v>31</v>
      </c>
      <c r="I2087" t="s">
        <v>33</v>
      </c>
    </row>
    <row r="2088" spans="1:10" x14ac:dyDescent="0.3">
      <c r="A2088" t="s">
        <v>4763</v>
      </c>
      <c r="B2088" t="s">
        <v>26307</v>
      </c>
      <c r="C2088" t="s">
        <v>20486</v>
      </c>
      <c r="D2088" t="s">
        <v>22</v>
      </c>
      <c r="E2088" t="s">
        <v>4764</v>
      </c>
      <c r="F2088">
        <v>61</v>
      </c>
      <c r="G2088" t="s">
        <v>172</v>
      </c>
      <c r="H2088" t="s">
        <v>12099</v>
      </c>
    </row>
    <row r="2089" spans="1:10" x14ac:dyDescent="0.3">
      <c r="A2089" t="s">
        <v>4765</v>
      </c>
      <c r="B2089" t="s">
        <v>26308</v>
      </c>
      <c r="C2089" t="s">
        <v>20486</v>
      </c>
      <c r="D2089" t="s">
        <v>11</v>
      </c>
      <c r="E2089" t="s">
        <v>4766</v>
      </c>
      <c r="F2089">
        <v>44</v>
      </c>
      <c r="G2089" t="s">
        <v>370</v>
      </c>
      <c r="H2089" t="s">
        <v>46</v>
      </c>
      <c r="I2089" t="s">
        <v>4767</v>
      </c>
      <c r="J2089" t="s">
        <v>4768</v>
      </c>
    </row>
    <row r="2090" spans="1:10" x14ac:dyDescent="0.3">
      <c r="A2090" t="s">
        <v>4769</v>
      </c>
      <c r="B2090" t="s">
        <v>26309</v>
      </c>
      <c r="C2090" t="s">
        <v>20490</v>
      </c>
      <c r="D2090" t="s">
        <v>22</v>
      </c>
      <c r="E2090" t="s">
        <v>4770</v>
      </c>
      <c r="F2090">
        <v>66</v>
      </c>
      <c r="G2090" t="s">
        <v>201</v>
      </c>
      <c r="H2090" t="s">
        <v>46</v>
      </c>
      <c r="J2090" t="s">
        <v>1248</v>
      </c>
    </row>
    <row r="2091" spans="1:10" x14ac:dyDescent="0.3">
      <c r="A2091" t="s">
        <v>4771</v>
      </c>
      <c r="B2091" t="s">
        <v>26310</v>
      </c>
      <c r="C2091" t="s">
        <v>20486</v>
      </c>
      <c r="D2091" t="s">
        <v>22</v>
      </c>
      <c r="E2091" t="s">
        <v>4772</v>
      </c>
      <c r="F2091">
        <v>52</v>
      </c>
      <c r="G2091" t="s">
        <v>46</v>
      </c>
      <c r="H2091" t="s">
        <v>46</v>
      </c>
      <c r="I2091" t="s">
        <v>228</v>
      </c>
      <c r="J2091" t="s">
        <v>4773</v>
      </c>
    </row>
    <row r="2092" spans="1:10" x14ac:dyDescent="0.3">
      <c r="A2092" t="s">
        <v>4774</v>
      </c>
      <c r="B2092" t="s">
        <v>26311</v>
      </c>
      <c r="C2092" t="s">
        <v>20486</v>
      </c>
      <c r="D2092" t="s">
        <v>11</v>
      </c>
      <c r="E2092" t="s">
        <v>4775</v>
      </c>
      <c r="F2092">
        <v>37</v>
      </c>
      <c r="G2092" t="s">
        <v>109</v>
      </c>
      <c r="H2092" t="s">
        <v>9788</v>
      </c>
      <c r="I2092" t="s">
        <v>4776</v>
      </c>
      <c r="J2092" t="s">
        <v>4777</v>
      </c>
    </row>
    <row r="2093" spans="1:10" x14ac:dyDescent="0.3">
      <c r="A2093" t="s">
        <v>4778</v>
      </c>
      <c r="B2093" t="s">
        <v>26312</v>
      </c>
      <c r="C2093" t="s">
        <v>20486</v>
      </c>
      <c r="D2093" t="s">
        <v>22</v>
      </c>
      <c r="E2093" t="s">
        <v>4779</v>
      </c>
      <c r="F2093">
        <v>33</v>
      </c>
      <c r="G2093" t="s">
        <v>109</v>
      </c>
      <c r="H2093" t="s">
        <v>9788</v>
      </c>
    </row>
    <row r="2094" spans="1:10" x14ac:dyDescent="0.3">
      <c r="A2094" t="s">
        <v>12341</v>
      </c>
      <c r="B2094" t="s">
        <v>26313</v>
      </c>
      <c r="C2094" t="s">
        <v>20486</v>
      </c>
      <c r="D2094" t="s">
        <v>11</v>
      </c>
      <c r="E2094" t="s">
        <v>9674</v>
      </c>
      <c r="F2094">
        <v>24</v>
      </c>
      <c r="G2094" t="s">
        <v>109</v>
      </c>
      <c r="H2094" t="s">
        <v>9788</v>
      </c>
    </row>
    <row r="2095" spans="1:10" x14ac:dyDescent="0.3">
      <c r="A2095" t="s">
        <v>4780</v>
      </c>
      <c r="B2095" t="s">
        <v>26314</v>
      </c>
      <c r="C2095" t="s">
        <v>20488</v>
      </c>
      <c r="D2095" t="s">
        <v>22</v>
      </c>
      <c r="E2095" t="s">
        <v>4781</v>
      </c>
      <c r="F2095">
        <v>42</v>
      </c>
      <c r="G2095" t="s">
        <v>109</v>
      </c>
      <c r="H2095" t="s">
        <v>9788</v>
      </c>
    </row>
    <row r="2096" spans="1:10" x14ac:dyDescent="0.3">
      <c r="A2096" t="s">
        <v>4782</v>
      </c>
      <c r="B2096" t="s">
        <v>26315</v>
      </c>
      <c r="C2096" t="s">
        <v>20486</v>
      </c>
      <c r="D2096" t="s">
        <v>22</v>
      </c>
      <c r="E2096" t="s">
        <v>4783</v>
      </c>
      <c r="F2096">
        <v>54</v>
      </c>
      <c r="G2096" t="s">
        <v>46</v>
      </c>
      <c r="H2096" t="s">
        <v>46</v>
      </c>
      <c r="J2096" t="s">
        <v>74</v>
      </c>
    </row>
    <row r="2097" spans="1:10" x14ac:dyDescent="0.3">
      <c r="A2097" t="s">
        <v>4784</v>
      </c>
      <c r="B2097" t="s">
        <v>26316</v>
      </c>
      <c r="C2097" t="s">
        <v>20488</v>
      </c>
      <c r="D2097" t="s">
        <v>22</v>
      </c>
      <c r="E2097" t="s">
        <v>1250</v>
      </c>
      <c r="F2097">
        <v>52</v>
      </c>
      <c r="G2097" t="s">
        <v>31</v>
      </c>
      <c r="H2097" t="s">
        <v>31</v>
      </c>
      <c r="I2097" t="s">
        <v>33</v>
      </c>
    </row>
    <row r="2098" spans="1:10" x14ac:dyDescent="0.3">
      <c r="A2098" t="s">
        <v>4785</v>
      </c>
      <c r="B2098" t="s">
        <v>26317</v>
      </c>
      <c r="C2098" t="s">
        <v>20487</v>
      </c>
      <c r="D2098" t="s">
        <v>22</v>
      </c>
      <c r="E2098" t="s">
        <v>4786</v>
      </c>
      <c r="F2098">
        <v>32</v>
      </c>
      <c r="G2098" t="s">
        <v>4787</v>
      </c>
      <c r="H2098" t="s">
        <v>9788</v>
      </c>
      <c r="J2098" t="s">
        <v>4788</v>
      </c>
    </row>
    <row r="2099" spans="1:10" x14ac:dyDescent="0.3">
      <c r="A2099" t="s">
        <v>4789</v>
      </c>
      <c r="B2099" t="s">
        <v>26318</v>
      </c>
      <c r="C2099" t="s">
        <v>20488</v>
      </c>
      <c r="D2099" t="s">
        <v>22</v>
      </c>
      <c r="E2099" t="s">
        <v>4790</v>
      </c>
      <c r="F2099">
        <v>69</v>
      </c>
      <c r="G2099" t="s">
        <v>13</v>
      </c>
      <c r="H2099" t="s">
        <v>13</v>
      </c>
    </row>
    <row r="2100" spans="1:10" x14ac:dyDescent="0.3">
      <c r="A2100" t="s">
        <v>4791</v>
      </c>
      <c r="B2100" t="s">
        <v>26319</v>
      </c>
      <c r="C2100" t="s">
        <v>20486</v>
      </c>
      <c r="D2100" t="s">
        <v>22</v>
      </c>
      <c r="E2100" t="s">
        <v>4792</v>
      </c>
      <c r="F2100">
        <v>42</v>
      </c>
      <c r="G2100" t="s">
        <v>46</v>
      </c>
      <c r="H2100" t="s">
        <v>46</v>
      </c>
      <c r="I2100" t="s">
        <v>4793</v>
      </c>
      <c r="J2100" t="s">
        <v>4794</v>
      </c>
    </row>
    <row r="2101" spans="1:10" x14ac:dyDescent="0.3">
      <c r="A2101" t="s">
        <v>12342</v>
      </c>
      <c r="B2101" t="s">
        <v>26320</v>
      </c>
      <c r="C2101" t="s">
        <v>20486</v>
      </c>
      <c r="D2101" t="s">
        <v>11</v>
      </c>
      <c r="E2101" t="s">
        <v>9673</v>
      </c>
      <c r="F2101">
        <v>19</v>
      </c>
    </row>
    <row r="2102" spans="1:10" x14ac:dyDescent="0.3">
      <c r="A2102" t="s">
        <v>4795</v>
      </c>
      <c r="B2102" t="s">
        <v>26321</v>
      </c>
      <c r="C2102" t="s">
        <v>20486</v>
      </c>
      <c r="D2102" t="s">
        <v>11</v>
      </c>
      <c r="E2102" t="s">
        <v>4796</v>
      </c>
      <c r="F2102">
        <v>51</v>
      </c>
      <c r="G2102" t="s">
        <v>201</v>
      </c>
      <c r="H2102" t="s">
        <v>46</v>
      </c>
      <c r="J2102" t="s">
        <v>135</v>
      </c>
    </row>
    <row r="2103" spans="1:10" x14ac:dyDescent="0.3">
      <c r="A2103" t="s">
        <v>4797</v>
      </c>
      <c r="B2103" t="s">
        <v>26322</v>
      </c>
      <c r="C2103" t="s">
        <v>20489</v>
      </c>
      <c r="D2103" t="s">
        <v>22</v>
      </c>
      <c r="E2103" t="s">
        <v>4798</v>
      </c>
      <c r="F2103">
        <v>75</v>
      </c>
      <c r="G2103" t="s">
        <v>13</v>
      </c>
      <c r="H2103" t="s">
        <v>13</v>
      </c>
      <c r="I2103" t="s">
        <v>110</v>
      </c>
      <c r="J2103" t="s">
        <v>4799</v>
      </c>
    </row>
    <row r="2104" spans="1:10" x14ac:dyDescent="0.3">
      <c r="A2104" t="s">
        <v>4800</v>
      </c>
      <c r="B2104" t="s">
        <v>26323</v>
      </c>
      <c r="C2104" t="s">
        <v>20488</v>
      </c>
      <c r="D2104" t="s">
        <v>11</v>
      </c>
      <c r="E2104" t="s">
        <v>4801</v>
      </c>
      <c r="F2104">
        <v>34</v>
      </c>
      <c r="G2104" t="s">
        <v>109</v>
      </c>
      <c r="H2104" t="s">
        <v>9788</v>
      </c>
      <c r="I2104" t="s">
        <v>779</v>
      </c>
      <c r="J2104" t="s">
        <v>4802</v>
      </c>
    </row>
    <row r="2105" spans="1:10" x14ac:dyDescent="0.3">
      <c r="A2105" t="s">
        <v>4803</v>
      </c>
      <c r="B2105" t="s">
        <v>26324</v>
      </c>
      <c r="C2105" t="s">
        <v>20486</v>
      </c>
      <c r="D2105" t="s">
        <v>11</v>
      </c>
      <c r="E2105" t="s">
        <v>4804</v>
      </c>
      <c r="F2105">
        <v>54</v>
      </c>
      <c r="G2105" t="s">
        <v>540</v>
      </c>
      <c r="H2105" t="s">
        <v>12074</v>
      </c>
      <c r="J2105" t="s">
        <v>1269</v>
      </c>
    </row>
    <row r="2106" spans="1:10" x14ac:dyDescent="0.3">
      <c r="A2106" t="s">
        <v>4805</v>
      </c>
      <c r="B2106" t="s">
        <v>26325</v>
      </c>
      <c r="C2106" t="s">
        <v>20488</v>
      </c>
      <c r="D2106" t="s">
        <v>22</v>
      </c>
      <c r="E2106" t="s">
        <v>4806</v>
      </c>
      <c r="F2106">
        <v>30</v>
      </c>
      <c r="G2106" t="s">
        <v>109</v>
      </c>
      <c r="H2106" t="s">
        <v>9788</v>
      </c>
    </row>
    <row r="2107" spans="1:10" x14ac:dyDescent="0.3">
      <c r="A2107" t="s">
        <v>4807</v>
      </c>
      <c r="B2107" t="s">
        <v>26326</v>
      </c>
      <c r="C2107" t="s">
        <v>20489</v>
      </c>
      <c r="D2107" t="s">
        <v>11</v>
      </c>
      <c r="E2107" t="s">
        <v>4808</v>
      </c>
      <c r="F2107">
        <v>47</v>
      </c>
      <c r="G2107" t="s">
        <v>109</v>
      </c>
      <c r="H2107" t="s">
        <v>9788</v>
      </c>
      <c r="I2107" t="s">
        <v>360</v>
      </c>
    </row>
    <row r="2108" spans="1:10" x14ac:dyDescent="0.3">
      <c r="A2108" t="s">
        <v>4809</v>
      </c>
      <c r="B2108" t="s">
        <v>26327</v>
      </c>
      <c r="C2108" t="s">
        <v>20486</v>
      </c>
      <c r="D2108" t="s">
        <v>22</v>
      </c>
      <c r="E2108" t="s">
        <v>4810</v>
      </c>
      <c r="F2108">
        <v>32</v>
      </c>
      <c r="G2108" t="s">
        <v>243</v>
      </c>
      <c r="H2108" t="s">
        <v>243</v>
      </c>
      <c r="I2108" t="s">
        <v>193</v>
      </c>
    </row>
    <row r="2109" spans="1:10" x14ac:dyDescent="0.3">
      <c r="A2109" t="s">
        <v>4811</v>
      </c>
      <c r="B2109" t="s">
        <v>26328</v>
      </c>
      <c r="C2109" t="s">
        <v>20489</v>
      </c>
      <c r="D2109" t="s">
        <v>11</v>
      </c>
      <c r="E2109" t="s">
        <v>4812</v>
      </c>
      <c r="F2109">
        <v>54</v>
      </c>
      <c r="G2109" t="s">
        <v>46</v>
      </c>
      <c r="H2109" t="s">
        <v>46</v>
      </c>
      <c r="I2109" t="s">
        <v>672</v>
      </c>
      <c r="J2109" t="s">
        <v>4813</v>
      </c>
    </row>
    <row r="2110" spans="1:10" x14ac:dyDescent="0.3">
      <c r="A2110" t="s">
        <v>4814</v>
      </c>
      <c r="B2110" t="s">
        <v>26329</v>
      </c>
      <c r="C2110" t="s">
        <v>20491</v>
      </c>
      <c r="D2110" t="s">
        <v>22</v>
      </c>
      <c r="E2110" t="s">
        <v>4815</v>
      </c>
      <c r="F2110">
        <v>37</v>
      </c>
      <c r="G2110" t="s">
        <v>231</v>
      </c>
      <c r="H2110" t="s">
        <v>9788</v>
      </c>
      <c r="J2110" t="s">
        <v>4816</v>
      </c>
    </row>
    <row r="2111" spans="1:10" x14ac:dyDescent="0.3">
      <c r="A2111" t="s">
        <v>4817</v>
      </c>
      <c r="B2111" t="s">
        <v>26330</v>
      </c>
      <c r="C2111" t="s">
        <v>20486</v>
      </c>
      <c r="D2111" t="s">
        <v>22</v>
      </c>
      <c r="E2111" t="s">
        <v>4818</v>
      </c>
      <c r="F2111">
        <v>57</v>
      </c>
      <c r="G2111" t="s">
        <v>16</v>
      </c>
      <c r="H2111" t="s">
        <v>9785</v>
      </c>
      <c r="I2111" t="s">
        <v>12084</v>
      </c>
      <c r="J2111" t="s">
        <v>18822</v>
      </c>
    </row>
    <row r="2112" spans="1:10" x14ac:dyDescent="0.3">
      <c r="A2112" t="s">
        <v>4819</v>
      </c>
      <c r="B2112" t="s">
        <v>26331</v>
      </c>
      <c r="C2112" t="s">
        <v>20489</v>
      </c>
      <c r="D2112" t="s">
        <v>22</v>
      </c>
      <c r="E2112" t="s">
        <v>4820</v>
      </c>
      <c r="F2112">
        <v>61</v>
      </c>
      <c r="G2112" t="s">
        <v>46</v>
      </c>
      <c r="H2112" t="s">
        <v>46</v>
      </c>
      <c r="I2112" t="s">
        <v>12343</v>
      </c>
      <c r="J2112" t="s">
        <v>12343</v>
      </c>
    </row>
    <row r="2113" spans="1:10" x14ac:dyDescent="0.3">
      <c r="A2113" t="s">
        <v>4821</v>
      </c>
      <c r="B2113" t="s">
        <v>26332</v>
      </c>
      <c r="C2113" t="s">
        <v>20486</v>
      </c>
      <c r="D2113" t="s">
        <v>22</v>
      </c>
      <c r="E2113" t="s">
        <v>4822</v>
      </c>
      <c r="F2113">
        <v>35</v>
      </c>
      <c r="G2113" t="s">
        <v>31</v>
      </c>
      <c r="H2113" t="s">
        <v>31</v>
      </c>
    </row>
    <row r="2114" spans="1:10" x14ac:dyDescent="0.3">
      <c r="A2114" t="s">
        <v>4823</v>
      </c>
      <c r="B2114" t="s">
        <v>26333</v>
      </c>
      <c r="C2114" t="s">
        <v>20488</v>
      </c>
      <c r="D2114" t="s">
        <v>11</v>
      </c>
      <c r="E2114" t="s">
        <v>4325</v>
      </c>
      <c r="F2114">
        <v>35</v>
      </c>
      <c r="G2114" t="s">
        <v>109</v>
      </c>
      <c r="H2114" t="s">
        <v>9788</v>
      </c>
    </row>
    <row r="2115" spans="1:10" x14ac:dyDescent="0.3">
      <c r="A2115" t="s">
        <v>4824</v>
      </c>
      <c r="B2115" t="s">
        <v>26334</v>
      </c>
      <c r="C2115" t="s">
        <v>20486</v>
      </c>
      <c r="D2115" t="s">
        <v>22</v>
      </c>
      <c r="E2115" t="s">
        <v>4825</v>
      </c>
      <c r="F2115">
        <v>31</v>
      </c>
      <c r="G2115" t="s">
        <v>133</v>
      </c>
      <c r="H2115" t="s">
        <v>9789</v>
      </c>
      <c r="I2115" t="s">
        <v>3529</v>
      </c>
      <c r="J2115" t="s">
        <v>4826</v>
      </c>
    </row>
    <row r="2116" spans="1:10" x14ac:dyDescent="0.3">
      <c r="A2116" t="s">
        <v>4827</v>
      </c>
      <c r="B2116" t="s">
        <v>26335</v>
      </c>
      <c r="C2116" t="s">
        <v>20486</v>
      </c>
      <c r="D2116" t="s">
        <v>22</v>
      </c>
      <c r="E2116" t="s">
        <v>4828</v>
      </c>
      <c r="F2116">
        <v>46</v>
      </c>
      <c r="G2116" t="s">
        <v>109</v>
      </c>
      <c r="H2116" t="s">
        <v>31</v>
      </c>
      <c r="I2116" t="s">
        <v>3763</v>
      </c>
    </row>
    <row r="2117" spans="1:10" x14ac:dyDescent="0.3">
      <c r="A2117" t="s">
        <v>4829</v>
      </c>
      <c r="B2117" t="s">
        <v>26336</v>
      </c>
      <c r="C2117" t="s">
        <v>20486</v>
      </c>
      <c r="D2117" t="s">
        <v>11</v>
      </c>
      <c r="E2117" t="s">
        <v>4830</v>
      </c>
      <c r="F2117">
        <v>46</v>
      </c>
      <c r="G2117" t="s">
        <v>109</v>
      </c>
      <c r="H2117" t="s">
        <v>9788</v>
      </c>
      <c r="J2117" t="s">
        <v>4831</v>
      </c>
    </row>
    <row r="2118" spans="1:10" x14ac:dyDescent="0.3">
      <c r="A2118" t="s">
        <v>4832</v>
      </c>
      <c r="B2118" t="s">
        <v>26337</v>
      </c>
      <c r="C2118" t="s">
        <v>20488</v>
      </c>
      <c r="D2118" t="s">
        <v>11</v>
      </c>
      <c r="E2118" t="s">
        <v>4833</v>
      </c>
      <c r="F2118">
        <v>45</v>
      </c>
      <c r="G2118" t="s">
        <v>109</v>
      </c>
      <c r="H2118" t="s">
        <v>9788</v>
      </c>
    </row>
    <row r="2119" spans="1:10" x14ac:dyDescent="0.3">
      <c r="A2119" t="s">
        <v>4835</v>
      </c>
      <c r="B2119" t="s">
        <v>26338</v>
      </c>
      <c r="C2119" t="s">
        <v>20486</v>
      </c>
      <c r="D2119" t="s">
        <v>11</v>
      </c>
      <c r="E2119" t="s">
        <v>4836</v>
      </c>
      <c r="F2119">
        <v>30</v>
      </c>
      <c r="G2119" t="s">
        <v>133</v>
      </c>
      <c r="H2119" t="s">
        <v>9789</v>
      </c>
      <c r="I2119" t="s">
        <v>3798</v>
      </c>
      <c r="J2119" t="s">
        <v>4837</v>
      </c>
    </row>
    <row r="2120" spans="1:10" x14ac:dyDescent="0.3">
      <c r="A2120" t="s">
        <v>4838</v>
      </c>
      <c r="B2120" t="s">
        <v>26339</v>
      </c>
      <c r="C2120" t="s">
        <v>20486</v>
      </c>
      <c r="D2120" t="s">
        <v>11</v>
      </c>
      <c r="E2120" t="s">
        <v>4839</v>
      </c>
      <c r="F2120">
        <v>43</v>
      </c>
      <c r="G2120" t="s">
        <v>1047</v>
      </c>
      <c r="H2120" t="s">
        <v>9788</v>
      </c>
    </row>
    <row r="2121" spans="1:10" x14ac:dyDescent="0.3">
      <c r="A2121" t="s">
        <v>4840</v>
      </c>
      <c r="B2121" t="s">
        <v>26340</v>
      </c>
      <c r="C2121" t="s">
        <v>20489</v>
      </c>
      <c r="D2121" t="s">
        <v>22</v>
      </c>
      <c r="E2121" t="s">
        <v>4841</v>
      </c>
      <c r="F2121">
        <v>31</v>
      </c>
      <c r="G2121" t="s">
        <v>109</v>
      </c>
      <c r="H2121" t="s">
        <v>9788</v>
      </c>
      <c r="I2121" t="s">
        <v>2851</v>
      </c>
    </row>
    <row r="2122" spans="1:10" x14ac:dyDescent="0.3">
      <c r="A2122" t="s">
        <v>12344</v>
      </c>
      <c r="B2122" t="s">
        <v>26341</v>
      </c>
      <c r="C2122" t="s">
        <v>20488</v>
      </c>
      <c r="D2122" t="s">
        <v>11</v>
      </c>
      <c r="E2122" t="s">
        <v>12345</v>
      </c>
      <c r="F2122">
        <v>51</v>
      </c>
      <c r="G2122" t="s">
        <v>46</v>
      </c>
      <c r="H2122" t="s">
        <v>46</v>
      </c>
      <c r="I2122" t="s">
        <v>228</v>
      </c>
      <c r="J2122" t="s">
        <v>9403</v>
      </c>
    </row>
    <row r="2123" spans="1:10" x14ac:dyDescent="0.3">
      <c r="A2123" t="s">
        <v>4842</v>
      </c>
      <c r="B2123" t="s">
        <v>26342</v>
      </c>
      <c r="C2123" t="s">
        <v>20486</v>
      </c>
      <c r="D2123" t="s">
        <v>11</v>
      </c>
      <c r="E2123" t="s">
        <v>4843</v>
      </c>
      <c r="F2123">
        <v>49</v>
      </c>
      <c r="G2123" t="s">
        <v>827</v>
      </c>
      <c r="H2123" t="s">
        <v>12099</v>
      </c>
      <c r="I2123" t="s">
        <v>1057</v>
      </c>
      <c r="J2123" t="s">
        <v>1230</v>
      </c>
    </row>
    <row r="2124" spans="1:10" x14ac:dyDescent="0.3">
      <c r="A2124" t="s">
        <v>4844</v>
      </c>
      <c r="B2124" t="s">
        <v>26343</v>
      </c>
      <c r="C2124" t="s">
        <v>20488</v>
      </c>
      <c r="D2124" t="s">
        <v>11</v>
      </c>
      <c r="E2124" t="s">
        <v>4845</v>
      </c>
      <c r="F2124">
        <v>46</v>
      </c>
      <c r="G2124" t="s">
        <v>46</v>
      </c>
      <c r="H2124" t="s">
        <v>46</v>
      </c>
      <c r="I2124" t="s">
        <v>4846</v>
      </c>
    </row>
    <row r="2125" spans="1:10" x14ac:dyDescent="0.3">
      <c r="A2125" t="s">
        <v>4847</v>
      </c>
      <c r="B2125" t="s">
        <v>26344</v>
      </c>
      <c r="C2125" t="s">
        <v>20486</v>
      </c>
      <c r="D2125" t="s">
        <v>22</v>
      </c>
      <c r="E2125" t="s">
        <v>4848</v>
      </c>
      <c r="F2125">
        <v>40</v>
      </c>
      <c r="G2125" t="s">
        <v>109</v>
      </c>
      <c r="H2125" t="s">
        <v>12099</v>
      </c>
      <c r="I2125" t="s">
        <v>18823</v>
      </c>
      <c r="J2125" t="s">
        <v>18824</v>
      </c>
    </row>
    <row r="2126" spans="1:10" x14ac:dyDescent="0.3">
      <c r="A2126" t="s">
        <v>4849</v>
      </c>
      <c r="B2126" t="s">
        <v>26345</v>
      </c>
      <c r="C2126" t="s">
        <v>20488</v>
      </c>
      <c r="D2126" t="s">
        <v>22</v>
      </c>
      <c r="E2126" t="s">
        <v>4850</v>
      </c>
      <c r="F2126">
        <v>34</v>
      </c>
      <c r="G2126" t="s">
        <v>31</v>
      </c>
      <c r="H2126" t="s">
        <v>31</v>
      </c>
      <c r="I2126" t="s">
        <v>33</v>
      </c>
    </row>
    <row r="2127" spans="1:10" x14ac:dyDescent="0.3">
      <c r="A2127" t="s">
        <v>4851</v>
      </c>
      <c r="B2127" t="s">
        <v>26346</v>
      </c>
      <c r="C2127" t="s">
        <v>20488</v>
      </c>
      <c r="D2127" t="s">
        <v>22</v>
      </c>
      <c r="E2127" t="s">
        <v>2699</v>
      </c>
      <c r="F2127">
        <v>55</v>
      </c>
      <c r="G2127" t="s">
        <v>31</v>
      </c>
      <c r="H2127" t="s">
        <v>31</v>
      </c>
      <c r="I2127" t="s">
        <v>33</v>
      </c>
    </row>
    <row r="2128" spans="1:10" x14ac:dyDescent="0.3">
      <c r="A2128" t="s">
        <v>4852</v>
      </c>
      <c r="B2128" t="s">
        <v>26347</v>
      </c>
      <c r="C2128" t="s">
        <v>20488</v>
      </c>
      <c r="D2128" t="s">
        <v>22</v>
      </c>
      <c r="E2128" t="s">
        <v>4853</v>
      </c>
      <c r="F2128">
        <v>56</v>
      </c>
      <c r="G2128" t="s">
        <v>31</v>
      </c>
      <c r="H2128" t="s">
        <v>31</v>
      </c>
    </row>
    <row r="2129" spans="1:10" x14ac:dyDescent="0.3">
      <c r="A2129" t="s">
        <v>4854</v>
      </c>
      <c r="B2129" t="s">
        <v>26348</v>
      </c>
      <c r="C2129" t="s">
        <v>20491</v>
      </c>
      <c r="D2129" t="s">
        <v>22</v>
      </c>
      <c r="E2129" t="s">
        <v>4855</v>
      </c>
      <c r="F2129">
        <v>55</v>
      </c>
      <c r="G2129" t="s">
        <v>16</v>
      </c>
      <c r="H2129" t="s">
        <v>9785</v>
      </c>
      <c r="J2129" t="s">
        <v>4205</v>
      </c>
    </row>
    <row r="2130" spans="1:10" x14ac:dyDescent="0.3">
      <c r="A2130" t="s">
        <v>4856</v>
      </c>
      <c r="B2130" t="s">
        <v>26349</v>
      </c>
      <c r="C2130" t="s">
        <v>20490</v>
      </c>
      <c r="D2130" t="s">
        <v>11</v>
      </c>
      <c r="E2130" t="s">
        <v>1182</v>
      </c>
      <c r="F2130">
        <v>39</v>
      </c>
      <c r="G2130" t="s">
        <v>109</v>
      </c>
      <c r="H2130" t="s">
        <v>9788</v>
      </c>
      <c r="J2130" t="s">
        <v>4857</v>
      </c>
    </row>
    <row r="2131" spans="1:10" x14ac:dyDescent="0.3">
      <c r="A2131" t="s">
        <v>4859</v>
      </c>
      <c r="B2131" t="s">
        <v>26350</v>
      </c>
      <c r="C2131" t="s">
        <v>20490</v>
      </c>
      <c r="D2131" t="s">
        <v>22</v>
      </c>
      <c r="E2131" t="s">
        <v>4860</v>
      </c>
      <c r="F2131">
        <v>46</v>
      </c>
      <c r="G2131" t="s">
        <v>31</v>
      </c>
      <c r="H2131" t="s">
        <v>31</v>
      </c>
    </row>
    <row r="2132" spans="1:10" x14ac:dyDescent="0.3">
      <c r="A2132" t="s">
        <v>4861</v>
      </c>
      <c r="B2132" t="s">
        <v>26351</v>
      </c>
      <c r="C2132" t="s">
        <v>20487</v>
      </c>
      <c r="D2132" t="s">
        <v>11</v>
      </c>
      <c r="E2132" t="s">
        <v>4862</v>
      </c>
      <c r="F2132">
        <v>53</v>
      </c>
      <c r="G2132" t="s">
        <v>231</v>
      </c>
      <c r="H2132" t="s">
        <v>9788</v>
      </c>
      <c r="J2132" t="s">
        <v>2639</v>
      </c>
    </row>
    <row r="2133" spans="1:10" x14ac:dyDescent="0.3">
      <c r="A2133" t="s">
        <v>4863</v>
      </c>
      <c r="B2133" t="s">
        <v>26352</v>
      </c>
      <c r="C2133" t="s">
        <v>20490</v>
      </c>
      <c r="D2133" t="s">
        <v>11</v>
      </c>
      <c r="E2133" t="s">
        <v>4864</v>
      </c>
      <c r="F2133">
        <v>59</v>
      </c>
      <c r="G2133" t="s">
        <v>540</v>
      </c>
      <c r="H2133" t="s">
        <v>12074</v>
      </c>
      <c r="J2133" t="s">
        <v>1269</v>
      </c>
    </row>
    <row r="2134" spans="1:10" x14ac:dyDescent="0.3">
      <c r="A2134" t="s">
        <v>4865</v>
      </c>
      <c r="B2134" t="s">
        <v>26353</v>
      </c>
      <c r="C2134" t="s">
        <v>20487</v>
      </c>
      <c r="D2134" t="s">
        <v>22</v>
      </c>
      <c r="E2134" t="s">
        <v>4866</v>
      </c>
      <c r="F2134">
        <v>61</v>
      </c>
      <c r="G2134" t="s">
        <v>201</v>
      </c>
      <c r="H2134" t="s">
        <v>46</v>
      </c>
      <c r="J2134" t="s">
        <v>4867</v>
      </c>
    </row>
    <row r="2135" spans="1:10" x14ac:dyDescent="0.3">
      <c r="A2135" t="s">
        <v>4868</v>
      </c>
      <c r="B2135" t="s">
        <v>26354</v>
      </c>
      <c r="C2135" t="s">
        <v>20486</v>
      </c>
      <c r="D2135" t="s">
        <v>22</v>
      </c>
      <c r="E2135" t="s">
        <v>4869</v>
      </c>
      <c r="F2135">
        <v>45</v>
      </c>
      <c r="G2135" t="s">
        <v>384</v>
      </c>
    </row>
    <row r="2136" spans="1:10" x14ac:dyDescent="0.3">
      <c r="A2136" t="s">
        <v>4870</v>
      </c>
      <c r="B2136" t="s">
        <v>26355</v>
      </c>
      <c r="C2136" t="s">
        <v>20486</v>
      </c>
      <c r="D2136" t="s">
        <v>22</v>
      </c>
      <c r="E2136" t="s">
        <v>4871</v>
      </c>
      <c r="F2136">
        <v>71</v>
      </c>
      <c r="G2136" t="s">
        <v>46</v>
      </c>
      <c r="H2136" t="s">
        <v>46</v>
      </c>
      <c r="I2136" t="s">
        <v>74</v>
      </c>
    </row>
    <row r="2137" spans="1:10" x14ac:dyDescent="0.3">
      <c r="A2137" t="s">
        <v>4872</v>
      </c>
      <c r="B2137" t="s">
        <v>26356</v>
      </c>
      <c r="C2137" t="s">
        <v>20486</v>
      </c>
      <c r="D2137" t="s">
        <v>11</v>
      </c>
      <c r="E2137" t="s">
        <v>4873</v>
      </c>
      <c r="F2137">
        <v>39</v>
      </c>
    </row>
    <row r="2138" spans="1:10" x14ac:dyDescent="0.3">
      <c r="A2138" t="s">
        <v>4874</v>
      </c>
      <c r="B2138" t="s">
        <v>26357</v>
      </c>
      <c r="C2138" t="s">
        <v>20491</v>
      </c>
      <c r="D2138" t="s">
        <v>22</v>
      </c>
      <c r="E2138" t="s">
        <v>4875</v>
      </c>
      <c r="F2138">
        <v>41</v>
      </c>
      <c r="G2138" t="s">
        <v>31</v>
      </c>
      <c r="H2138" t="s">
        <v>31</v>
      </c>
      <c r="I2138" t="s">
        <v>33</v>
      </c>
    </row>
    <row r="2139" spans="1:10" x14ac:dyDescent="0.3">
      <c r="A2139" t="s">
        <v>4876</v>
      </c>
      <c r="B2139" t="s">
        <v>26358</v>
      </c>
      <c r="C2139" t="s">
        <v>20486</v>
      </c>
      <c r="D2139" t="s">
        <v>11</v>
      </c>
      <c r="E2139" t="s">
        <v>4877</v>
      </c>
      <c r="F2139">
        <v>30</v>
      </c>
      <c r="G2139" t="s">
        <v>109</v>
      </c>
      <c r="H2139" t="s">
        <v>9788</v>
      </c>
      <c r="I2139" t="s">
        <v>971</v>
      </c>
      <c r="J2139" t="s">
        <v>225</v>
      </c>
    </row>
    <row r="2140" spans="1:10" x14ac:dyDescent="0.3">
      <c r="A2140" t="s">
        <v>4878</v>
      </c>
      <c r="B2140" t="s">
        <v>26359</v>
      </c>
      <c r="C2140" t="s">
        <v>20486</v>
      </c>
      <c r="D2140" t="s">
        <v>11</v>
      </c>
      <c r="E2140" t="s">
        <v>4879</v>
      </c>
      <c r="F2140">
        <v>54</v>
      </c>
      <c r="G2140" t="s">
        <v>109</v>
      </c>
      <c r="H2140" t="s">
        <v>9788</v>
      </c>
      <c r="I2140" t="s">
        <v>201</v>
      </c>
      <c r="J2140" t="s">
        <v>14323</v>
      </c>
    </row>
    <row r="2141" spans="1:10" x14ac:dyDescent="0.3">
      <c r="A2141" t="s">
        <v>4880</v>
      </c>
      <c r="B2141" t="s">
        <v>26360</v>
      </c>
      <c r="C2141" t="s">
        <v>20486</v>
      </c>
      <c r="D2141" t="s">
        <v>22</v>
      </c>
      <c r="E2141" t="s">
        <v>4881</v>
      </c>
      <c r="F2141">
        <v>20</v>
      </c>
      <c r="H2141" t="s">
        <v>9788</v>
      </c>
      <c r="J2141" t="s">
        <v>4882</v>
      </c>
    </row>
    <row r="2142" spans="1:10" x14ac:dyDescent="0.3">
      <c r="A2142" t="s">
        <v>4883</v>
      </c>
      <c r="B2142" t="s">
        <v>26361</v>
      </c>
      <c r="C2142" t="s">
        <v>20486</v>
      </c>
      <c r="D2142" t="s">
        <v>11</v>
      </c>
      <c r="E2142" t="s">
        <v>4884</v>
      </c>
      <c r="F2142">
        <v>32</v>
      </c>
      <c r="G2142" t="s">
        <v>109</v>
      </c>
      <c r="H2142" t="s">
        <v>9788</v>
      </c>
      <c r="I2142" t="s">
        <v>4885</v>
      </c>
      <c r="J2142" t="s">
        <v>4886</v>
      </c>
    </row>
    <row r="2143" spans="1:10" x14ac:dyDescent="0.3">
      <c r="A2143" t="s">
        <v>4887</v>
      </c>
      <c r="B2143" t="s">
        <v>26362</v>
      </c>
      <c r="C2143" t="s">
        <v>20486</v>
      </c>
      <c r="D2143" t="s">
        <v>11</v>
      </c>
      <c r="E2143" t="s">
        <v>4888</v>
      </c>
      <c r="F2143">
        <v>44</v>
      </c>
      <c r="G2143" t="s">
        <v>16</v>
      </c>
      <c r="H2143" t="s">
        <v>9785</v>
      </c>
      <c r="I2143" t="s">
        <v>17</v>
      </c>
      <c r="J2143" t="s">
        <v>4889</v>
      </c>
    </row>
    <row r="2144" spans="1:10" x14ac:dyDescent="0.3">
      <c r="A2144" t="s">
        <v>4890</v>
      </c>
      <c r="B2144" t="s">
        <v>26363</v>
      </c>
      <c r="C2144" t="s">
        <v>20489</v>
      </c>
      <c r="D2144" t="s">
        <v>11</v>
      </c>
      <c r="E2144" t="s">
        <v>1081</v>
      </c>
      <c r="F2144">
        <v>60</v>
      </c>
      <c r="G2144" t="s">
        <v>172</v>
      </c>
      <c r="H2144" t="s">
        <v>12099</v>
      </c>
      <c r="I2144" t="s">
        <v>17</v>
      </c>
      <c r="J2144" t="s">
        <v>4891</v>
      </c>
    </row>
    <row r="2145" spans="1:10" x14ac:dyDescent="0.3">
      <c r="A2145" t="s">
        <v>4892</v>
      </c>
      <c r="B2145" t="s">
        <v>26364</v>
      </c>
      <c r="C2145" t="s">
        <v>20491</v>
      </c>
      <c r="D2145" t="s">
        <v>22</v>
      </c>
      <c r="E2145" t="s">
        <v>4893</v>
      </c>
      <c r="F2145">
        <v>71</v>
      </c>
      <c r="G2145" t="s">
        <v>46</v>
      </c>
      <c r="H2145" t="s">
        <v>46</v>
      </c>
      <c r="I2145" t="s">
        <v>4894</v>
      </c>
      <c r="J2145" t="s">
        <v>4895</v>
      </c>
    </row>
    <row r="2146" spans="1:10" x14ac:dyDescent="0.3">
      <c r="A2146" t="s">
        <v>4896</v>
      </c>
      <c r="B2146" t="s">
        <v>26365</v>
      </c>
      <c r="C2146" t="s">
        <v>20486</v>
      </c>
      <c r="D2146" t="s">
        <v>22</v>
      </c>
      <c r="E2146" t="s">
        <v>4897</v>
      </c>
      <c r="F2146">
        <v>40</v>
      </c>
      <c r="G2146" t="s">
        <v>109</v>
      </c>
      <c r="H2146" t="s">
        <v>9788</v>
      </c>
      <c r="J2146" t="s">
        <v>101</v>
      </c>
    </row>
    <row r="2147" spans="1:10" x14ac:dyDescent="0.3">
      <c r="A2147" t="s">
        <v>4898</v>
      </c>
      <c r="B2147" t="s">
        <v>26366</v>
      </c>
      <c r="C2147" t="s">
        <v>20488</v>
      </c>
      <c r="D2147" t="s">
        <v>22</v>
      </c>
      <c r="E2147" t="s">
        <v>4853</v>
      </c>
      <c r="F2147">
        <v>56</v>
      </c>
      <c r="G2147" t="s">
        <v>31</v>
      </c>
      <c r="H2147" t="s">
        <v>31</v>
      </c>
      <c r="I2147" t="s">
        <v>33</v>
      </c>
    </row>
    <row r="2148" spans="1:10" x14ac:dyDescent="0.3">
      <c r="A2148" t="s">
        <v>4900</v>
      </c>
      <c r="B2148" t="s">
        <v>26367</v>
      </c>
      <c r="C2148" t="s">
        <v>20486</v>
      </c>
      <c r="D2148" t="s">
        <v>11</v>
      </c>
      <c r="E2148" t="s">
        <v>4505</v>
      </c>
      <c r="F2148">
        <v>51</v>
      </c>
      <c r="G2148" t="s">
        <v>109</v>
      </c>
      <c r="H2148" t="s">
        <v>9788</v>
      </c>
      <c r="J2148" t="s">
        <v>4901</v>
      </c>
    </row>
    <row r="2149" spans="1:10" x14ac:dyDescent="0.3">
      <c r="A2149" t="s">
        <v>4902</v>
      </c>
      <c r="B2149" t="s">
        <v>26368</v>
      </c>
      <c r="C2149" t="s">
        <v>20486</v>
      </c>
      <c r="D2149" t="s">
        <v>22</v>
      </c>
      <c r="E2149" t="s">
        <v>4903</v>
      </c>
      <c r="F2149">
        <v>58</v>
      </c>
      <c r="G2149" t="s">
        <v>46</v>
      </c>
      <c r="H2149" t="s">
        <v>46</v>
      </c>
      <c r="I2149" t="s">
        <v>228</v>
      </c>
      <c r="J2149" t="s">
        <v>33</v>
      </c>
    </row>
    <row r="2150" spans="1:10" x14ac:dyDescent="0.3">
      <c r="A2150" t="s">
        <v>4904</v>
      </c>
      <c r="B2150" t="s">
        <v>26369</v>
      </c>
      <c r="C2150" t="s">
        <v>20486</v>
      </c>
      <c r="D2150" t="s">
        <v>22</v>
      </c>
      <c r="E2150" t="s">
        <v>2605</v>
      </c>
      <c r="F2150">
        <v>37</v>
      </c>
      <c r="G2150" t="s">
        <v>31</v>
      </c>
      <c r="H2150" t="s">
        <v>31</v>
      </c>
      <c r="I2150" t="s">
        <v>384</v>
      </c>
      <c r="J2150" t="s">
        <v>33</v>
      </c>
    </row>
    <row r="2151" spans="1:10" x14ac:dyDescent="0.3">
      <c r="A2151" t="s">
        <v>4905</v>
      </c>
      <c r="B2151" t="s">
        <v>26370</v>
      </c>
      <c r="C2151" t="s">
        <v>20490</v>
      </c>
      <c r="D2151" t="s">
        <v>22</v>
      </c>
      <c r="E2151" t="s">
        <v>4906</v>
      </c>
      <c r="F2151">
        <v>75</v>
      </c>
      <c r="G2151" t="s">
        <v>133</v>
      </c>
      <c r="H2151" t="s">
        <v>9789</v>
      </c>
      <c r="J2151" t="s">
        <v>4907</v>
      </c>
    </row>
    <row r="2152" spans="1:10" x14ac:dyDescent="0.3">
      <c r="A2152" t="s">
        <v>4908</v>
      </c>
      <c r="B2152" t="s">
        <v>26371</v>
      </c>
      <c r="C2152" t="s">
        <v>20489</v>
      </c>
      <c r="D2152" t="s">
        <v>22</v>
      </c>
      <c r="E2152" t="s">
        <v>4909</v>
      </c>
      <c r="F2152">
        <v>28</v>
      </c>
      <c r="G2152" t="s">
        <v>109</v>
      </c>
      <c r="H2152" t="s">
        <v>9788</v>
      </c>
      <c r="I2152" t="s">
        <v>779</v>
      </c>
      <c r="J2152" t="s">
        <v>4910</v>
      </c>
    </row>
    <row r="2153" spans="1:10" x14ac:dyDescent="0.3">
      <c r="A2153" t="s">
        <v>4911</v>
      </c>
      <c r="B2153" t="s">
        <v>26372</v>
      </c>
      <c r="C2153" t="s">
        <v>20490</v>
      </c>
      <c r="D2153" t="s">
        <v>22</v>
      </c>
      <c r="E2153" t="s">
        <v>4912</v>
      </c>
      <c r="F2153">
        <v>68</v>
      </c>
      <c r="G2153" t="s">
        <v>31</v>
      </c>
      <c r="H2153" t="s">
        <v>31</v>
      </c>
      <c r="J2153" t="s">
        <v>4913</v>
      </c>
    </row>
    <row r="2154" spans="1:10" x14ac:dyDescent="0.3">
      <c r="A2154" t="s">
        <v>4914</v>
      </c>
      <c r="B2154" t="s">
        <v>26373</v>
      </c>
      <c r="C2154" t="s">
        <v>20490</v>
      </c>
      <c r="D2154" t="s">
        <v>22</v>
      </c>
      <c r="E2154" t="s">
        <v>4915</v>
      </c>
      <c r="F2154">
        <v>25</v>
      </c>
      <c r="G2154" t="s">
        <v>31</v>
      </c>
      <c r="H2154" t="s">
        <v>31</v>
      </c>
      <c r="I2154" t="s">
        <v>12346</v>
      </c>
    </row>
    <row r="2155" spans="1:10" x14ac:dyDescent="0.3">
      <c r="A2155" t="s">
        <v>4916</v>
      </c>
      <c r="B2155" t="s">
        <v>26374</v>
      </c>
      <c r="C2155" t="s">
        <v>20486</v>
      </c>
      <c r="D2155" t="s">
        <v>11</v>
      </c>
      <c r="E2155" t="s">
        <v>4917</v>
      </c>
      <c r="F2155">
        <v>49</v>
      </c>
      <c r="G2155" t="s">
        <v>172</v>
      </c>
      <c r="H2155" t="s">
        <v>12099</v>
      </c>
      <c r="I2155" t="s">
        <v>421</v>
      </c>
      <c r="J2155" t="s">
        <v>4918</v>
      </c>
    </row>
    <row r="2156" spans="1:10" x14ac:dyDescent="0.3">
      <c r="A2156" t="s">
        <v>4919</v>
      </c>
      <c r="B2156" t="s">
        <v>26375</v>
      </c>
      <c r="C2156" t="s">
        <v>20486</v>
      </c>
      <c r="D2156" t="s">
        <v>22</v>
      </c>
      <c r="E2156" t="s">
        <v>4920</v>
      </c>
      <c r="F2156">
        <v>39</v>
      </c>
      <c r="G2156" t="s">
        <v>384</v>
      </c>
    </row>
    <row r="2157" spans="1:10" x14ac:dyDescent="0.3">
      <c r="A2157" t="s">
        <v>4921</v>
      </c>
      <c r="B2157" t="s">
        <v>26376</v>
      </c>
      <c r="C2157" t="s">
        <v>20489</v>
      </c>
      <c r="D2157" t="s">
        <v>22</v>
      </c>
      <c r="E2157" t="s">
        <v>3325</v>
      </c>
      <c r="F2157">
        <v>41</v>
      </c>
      <c r="G2157" t="s">
        <v>31</v>
      </c>
      <c r="H2157" t="s">
        <v>31</v>
      </c>
    </row>
    <row r="2158" spans="1:10" x14ac:dyDescent="0.3">
      <c r="A2158" t="s">
        <v>4922</v>
      </c>
      <c r="B2158" t="s">
        <v>26377</v>
      </c>
      <c r="C2158" t="s">
        <v>20488</v>
      </c>
      <c r="D2158" t="s">
        <v>22</v>
      </c>
      <c r="E2158" t="s">
        <v>4923</v>
      </c>
      <c r="F2158">
        <v>36</v>
      </c>
      <c r="G2158" t="s">
        <v>109</v>
      </c>
      <c r="H2158" t="s">
        <v>9788</v>
      </c>
    </row>
    <row r="2159" spans="1:10" x14ac:dyDescent="0.3">
      <c r="A2159" t="s">
        <v>4924</v>
      </c>
      <c r="B2159" t="s">
        <v>26378</v>
      </c>
      <c r="C2159" t="s">
        <v>20486</v>
      </c>
      <c r="D2159" t="s">
        <v>11</v>
      </c>
      <c r="E2159" t="s">
        <v>4925</v>
      </c>
      <c r="F2159">
        <v>52</v>
      </c>
    </row>
    <row r="2160" spans="1:10" x14ac:dyDescent="0.3">
      <c r="A2160" t="s">
        <v>4926</v>
      </c>
      <c r="B2160" t="s">
        <v>26379</v>
      </c>
      <c r="C2160" t="s">
        <v>20491</v>
      </c>
      <c r="D2160" t="s">
        <v>22</v>
      </c>
      <c r="E2160" t="s">
        <v>4927</v>
      </c>
      <c r="F2160">
        <v>51</v>
      </c>
      <c r="G2160" t="s">
        <v>31</v>
      </c>
      <c r="H2160" t="s">
        <v>31</v>
      </c>
    </row>
    <row r="2161" spans="1:10" x14ac:dyDescent="0.3">
      <c r="A2161" t="s">
        <v>4928</v>
      </c>
      <c r="B2161" t="s">
        <v>26380</v>
      </c>
      <c r="C2161" t="s">
        <v>20486</v>
      </c>
      <c r="D2161" t="s">
        <v>22</v>
      </c>
      <c r="E2161" t="s">
        <v>4929</v>
      </c>
      <c r="F2161">
        <v>60</v>
      </c>
    </row>
    <row r="2162" spans="1:10" x14ac:dyDescent="0.3">
      <c r="A2162" t="s">
        <v>4930</v>
      </c>
      <c r="B2162" t="s">
        <v>26381</v>
      </c>
      <c r="C2162" t="s">
        <v>20490</v>
      </c>
      <c r="D2162" t="s">
        <v>22</v>
      </c>
      <c r="E2162" t="s">
        <v>4931</v>
      </c>
      <c r="F2162">
        <v>65</v>
      </c>
      <c r="G2162" t="s">
        <v>198</v>
      </c>
      <c r="H2162" t="s">
        <v>13</v>
      </c>
    </row>
    <row r="2163" spans="1:10" x14ac:dyDescent="0.3">
      <c r="A2163" t="s">
        <v>4932</v>
      </c>
      <c r="B2163" t="s">
        <v>26382</v>
      </c>
      <c r="C2163" t="s">
        <v>20488</v>
      </c>
      <c r="D2163" t="s">
        <v>22</v>
      </c>
      <c r="E2163" t="s">
        <v>3370</v>
      </c>
      <c r="F2163">
        <v>47</v>
      </c>
      <c r="G2163" t="s">
        <v>109</v>
      </c>
      <c r="H2163" t="s">
        <v>9788</v>
      </c>
    </row>
    <row r="2164" spans="1:10" x14ac:dyDescent="0.3">
      <c r="A2164" t="s">
        <v>4933</v>
      </c>
      <c r="B2164" t="s">
        <v>26383</v>
      </c>
      <c r="C2164" t="s">
        <v>20488</v>
      </c>
      <c r="D2164" t="s">
        <v>11</v>
      </c>
      <c r="E2164" t="s">
        <v>4934</v>
      </c>
      <c r="F2164">
        <v>54</v>
      </c>
      <c r="G2164" t="s">
        <v>109</v>
      </c>
      <c r="H2164" t="s">
        <v>9788</v>
      </c>
    </row>
    <row r="2165" spans="1:10" x14ac:dyDescent="0.3">
      <c r="A2165" t="s">
        <v>4935</v>
      </c>
      <c r="B2165" t="s">
        <v>26384</v>
      </c>
      <c r="C2165" t="s">
        <v>20488</v>
      </c>
      <c r="D2165" t="s">
        <v>22</v>
      </c>
      <c r="E2165" t="s">
        <v>1533</v>
      </c>
      <c r="F2165">
        <v>60</v>
      </c>
      <c r="G2165" t="s">
        <v>31</v>
      </c>
      <c r="H2165" t="s">
        <v>31</v>
      </c>
      <c r="I2165" t="s">
        <v>33</v>
      </c>
    </row>
    <row r="2166" spans="1:10" x14ac:dyDescent="0.3">
      <c r="A2166" t="s">
        <v>4936</v>
      </c>
      <c r="B2166" t="s">
        <v>26385</v>
      </c>
      <c r="C2166" t="s">
        <v>20486</v>
      </c>
      <c r="D2166" t="s">
        <v>22</v>
      </c>
      <c r="E2166" t="s">
        <v>740</v>
      </c>
      <c r="F2166">
        <v>53</v>
      </c>
      <c r="G2166" t="s">
        <v>109</v>
      </c>
      <c r="H2166" t="s">
        <v>9788</v>
      </c>
      <c r="I2166" t="s">
        <v>4937</v>
      </c>
      <c r="J2166" t="s">
        <v>4938</v>
      </c>
    </row>
    <row r="2167" spans="1:10" x14ac:dyDescent="0.3">
      <c r="A2167" t="s">
        <v>4939</v>
      </c>
      <c r="B2167" t="s">
        <v>26386</v>
      </c>
      <c r="C2167" t="s">
        <v>20491</v>
      </c>
      <c r="D2167" t="s">
        <v>11</v>
      </c>
      <c r="E2167" t="s">
        <v>4940</v>
      </c>
      <c r="F2167">
        <v>39</v>
      </c>
      <c r="G2167" t="s">
        <v>1200</v>
      </c>
      <c r="H2167" t="s">
        <v>9788</v>
      </c>
      <c r="I2167" t="s">
        <v>1121</v>
      </c>
      <c r="J2167" t="s">
        <v>4941</v>
      </c>
    </row>
    <row r="2168" spans="1:10" x14ac:dyDescent="0.3">
      <c r="A2168" t="s">
        <v>4942</v>
      </c>
      <c r="B2168" t="s">
        <v>26387</v>
      </c>
      <c r="C2168" t="s">
        <v>20488</v>
      </c>
      <c r="D2168" t="s">
        <v>22</v>
      </c>
      <c r="E2168" t="s">
        <v>1180</v>
      </c>
      <c r="F2168">
        <v>47</v>
      </c>
      <c r="G2168" t="s">
        <v>109</v>
      </c>
      <c r="H2168" t="s">
        <v>9788</v>
      </c>
    </row>
    <row r="2169" spans="1:10" x14ac:dyDescent="0.3">
      <c r="A2169" t="s">
        <v>4943</v>
      </c>
      <c r="B2169" t="s">
        <v>26388</v>
      </c>
      <c r="C2169" t="s">
        <v>20486</v>
      </c>
      <c r="D2169" t="s">
        <v>22</v>
      </c>
      <c r="E2169" t="s">
        <v>4944</v>
      </c>
      <c r="F2169">
        <v>50</v>
      </c>
      <c r="G2169" t="s">
        <v>384</v>
      </c>
    </row>
    <row r="2170" spans="1:10" x14ac:dyDescent="0.3">
      <c r="A2170" t="s">
        <v>4945</v>
      </c>
      <c r="B2170" t="s">
        <v>26389</v>
      </c>
      <c r="C2170" t="s">
        <v>20487</v>
      </c>
      <c r="D2170" t="s">
        <v>22</v>
      </c>
      <c r="E2170" t="s">
        <v>4946</v>
      </c>
      <c r="F2170">
        <v>39</v>
      </c>
      <c r="G2170" t="s">
        <v>46</v>
      </c>
      <c r="H2170" t="s">
        <v>46</v>
      </c>
      <c r="J2170" t="s">
        <v>4947</v>
      </c>
    </row>
    <row r="2171" spans="1:10" x14ac:dyDescent="0.3">
      <c r="A2171" t="s">
        <v>4948</v>
      </c>
      <c r="B2171" t="s">
        <v>26390</v>
      </c>
      <c r="C2171" t="s">
        <v>20486</v>
      </c>
      <c r="D2171" t="s">
        <v>11</v>
      </c>
      <c r="E2171" t="s">
        <v>4949</v>
      </c>
      <c r="F2171">
        <v>76</v>
      </c>
      <c r="G2171" t="s">
        <v>13</v>
      </c>
      <c r="H2171" t="s">
        <v>13</v>
      </c>
    </row>
    <row r="2172" spans="1:10" x14ac:dyDescent="0.3">
      <c r="A2172" t="s">
        <v>4950</v>
      </c>
      <c r="B2172" t="s">
        <v>26391</v>
      </c>
      <c r="C2172" t="s">
        <v>20486</v>
      </c>
      <c r="D2172" t="s">
        <v>22</v>
      </c>
      <c r="E2172" t="s">
        <v>3709</v>
      </c>
      <c r="F2172">
        <v>41</v>
      </c>
      <c r="G2172" t="s">
        <v>172</v>
      </c>
      <c r="H2172" t="s">
        <v>12099</v>
      </c>
      <c r="I2172" t="s">
        <v>17</v>
      </c>
      <c r="J2172" t="s">
        <v>4951</v>
      </c>
    </row>
    <row r="2173" spans="1:10" x14ac:dyDescent="0.3">
      <c r="A2173" t="s">
        <v>4952</v>
      </c>
      <c r="B2173" t="s">
        <v>26392</v>
      </c>
      <c r="C2173" t="s">
        <v>20486</v>
      </c>
      <c r="D2173" t="s">
        <v>11</v>
      </c>
      <c r="E2173" t="s">
        <v>4953</v>
      </c>
      <c r="F2173">
        <v>39</v>
      </c>
      <c r="G2173" t="s">
        <v>329</v>
      </c>
      <c r="H2173" t="s">
        <v>9789</v>
      </c>
      <c r="I2173" t="s">
        <v>4954</v>
      </c>
      <c r="J2173" t="s">
        <v>4955</v>
      </c>
    </row>
    <row r="2174" spans="1:10" x14ac:dyDescent="0.3">
      <c r="A2174" t="s">
        <v>4956</v>
      </c>
      <c r="B2174" t="s">
        <v>26393</v>
      </c>
      <c r="C2174" t="s">
        <v>20486</v>
      </c>
      <c r="D2174" t="s">
        <v>22</v>
      </c>
      <c r="E2174" t="s">
        <v>4957</v>
      </c>
      <c r="F2174">
        <v>30</v>
      </c>
      <c r="G2174" t="s">
        <v>329</v>
      </c>
      <c r="H2174" t="s">
        <v>9789</v>
      </c>
      <c r="I2174" t="s">
        <v>4954</v>
      </c>
      <c r="J2174" t="s">
        <v>4958</v>
      </c>
    </row>
    <row r="2175" spans="1:10" x14ac:dyDescent="0.3">
      <c r="A2175" t="s">
        <v>4959</v>
      </c>
      <c r="B2175" t="s">
        <v>26394</v>
      </c>
      <c r="C2175" t="s">
        <v>20486</v>
      </c>
      <c r="D2175" t="s">
        <v>11</v>
      </c>
      <c r="E2175" t="s">
        <v>4960</v>
      </c>
      <c r="F2175">
        <v>55</v>
      </c>
      <c r="G2175" t="s">
        <v>384</v>
      </c>
    </row>
    <row r="2176" spans="1:10" x14ac:dyDescent="0.3">
      <c r="A2176" t="s">
        <v>4961</v>
      </c>
      <c r="B2176" t="s">
        <v>26395</v>
      </c>
      <c r="C2176" t="s">
        <v>20486</v>
      </c>
      <c r="D2176" t="s">
        <v>11</v>
      </c>
      <c r="E2176" t="s">
        <v>4962</v>
      </c>
      <c r="F2176">
        <v>35</v>
      </c>
      <c r="G2176" t="s">
        <v>329</v>
      </c>
      <c r="H2176" t="s">
        <v>9789</v>
      </c>
      <c r="I2176" t="s">
        <v>4954</v>
      </c>
      <c r="J2176" t="s">
        <v>4958</v>
      </c>
    </row>
    <row r="2177" spans="1:10" x14ac:dyDescent="0.3">
      <c r="A2177" t="s">
        <v>4963</v>
      </c>
      <c r="B2177" t="s">
        <v>26396</v>
      </c>
      <c r="C2177" t="s">
        <v>20490</v>
      </c>
      <c r="D2177" t="s">
        <v>22</v>
      </c>
      <c r="E2177" t="s">
        <v>4964</v>
      </c>
      <c r="F2177">
        <v>35</v>
      </c>
      <c r="G2177" t="s">
        <v>1439</v>
      </c>
      <c r="H2177" t="s">
        <v>46</v>
      </c>
      <c r="I2177" t="s">
        <v>228</v>
      </c>
      <c r="J2177" t="s">
        <v>14324</v>
      </c>
    </row>
    <row r="2178" spans="1:10" x14ac:dyDescent="0.3">
      <c r="A2178" t="s">
        <v>12347</v>
      </c>
      <c r="B2178" t="s">
        <v>26397</v>
      </c>
      <c r="C2178" t="s">
        <v>20486</v>
      </c>
      <c r="D2178" t="s">
        <v>11</v>
      </c>
      <c r="E2178" t="s">
        <v>2191</v>
      </c>
      <c r="F2178">
        <v>25</v>
      </c>
      <c r="G2178" t="s">
        <v>337</v>
      </c>
      <c r="H2178" t="s">
        <v>337</v>
      </c>
    </row>
    <row r="2179" spans="1:10" x14ac:dyDescent="0.3">
      <c r="A2179" t="s">
        <v>12348</v>
      </c>
      <c r="B2179" t="s">
        <v>26398</v>
      </c>
      <c r="C2179" t="s">
        <v>20486</v>
      </c>
      <c r="D2179" t="s">
        <v>22</v>
      </c>
      <c r="E2179" t="s">
        <v>9672</v>
      </c>
      <c r="F2179">
        <v>31</v>
      </c>
      <c r="G2179" t="s">
        <v>370</v>
      </c>
      <c r="H2179" t="s">
        <v>46</v>
      </c>
      <c r="I2179" t="s">
        <v>1526</v>
      </c>
      <c r="J2179" t="s">
        <v>1828</v>
      </c>
    </row>
    <row r="2180" spans="1:10" x14ac:dyDescent="0.3">
      <c r="A2180" t="s">
        <v>4965</v>
      </c>
      <c r="B2180" t="s">
        <v>26399</v>
      </c>
      <c r="C2180" t="s">
        <v>20486</v>
      </c>
      <c r="D2180" t="s">
        <v>11</v>
      </c>
      <c r="E2180" t="s">
        <v>4966</v>
      </c>
      <c r="F2180">
        <v>36</v>
      </c>
      <c r="G2180" t="s">
        <v>4685</v>
      </c>
      <c r="H2180" t="s">
        <v>12099</v>
      </c>
      <c r="I2180" t="s">
        <v>1057</v>
      </c>
      <c r="J2180" t="s">
        <v>4967</v>
      </c>
    </row>
    <row r="2181" spans="1:10" x14ac:dyDescent="0.3">
      <c r="A2181" t="s">
        <v>12349</v>
      </c>
      <c r="B2181" t="s">
        <v>26400</v>
      </c>
      <c r="C2181" t="s">
        <v>20486</v>
      </c>
      <c r="D2181" t="s">
        <v>22</v>
      </c>
      <c r="E2181" t="s">
        <v>9671</v>
      </c>
      <c r="F2181">
        <v>20</v>
      </c>
    </row>
    <row r="2182" spans="1:10" x14ac:dyDescent="0.3">
      <c r="A2182" t="s">
        <v>4968</v>
      </c>
      <c r="B2182" t="s">
        <v>26401</v>
      </c>
      <c r="C2182" t="s">
        <v>20486</v>
      </c>
      <c r="D2182" t="s">
        <v>11</v>
      </c>
      <c r="E2182" t="s">
        <v>4969</v>
      </c>
      <c r="F2182">
        <v>68</v>
      </c>
      <c r="G2182" t="s">
        <v>16</v>
      </c>
      <c r="H2182" t="s">
        <v>9785</v>
      </c>
      <c r="I2182" t="s">
        <v>17</v>
      </c>
      <c r="J2182" t="s">
        <v>822</v>
      </c>
    </row>
    <row r="2183" spans="1:10" x14ac:dyDescent="0.3">
      <c r="A2183" t="s">
        <v>4970</v>
      </c>
      <c r="B2183" t="s">
        <v>26402</v>
      </c>
      <c r="C2183" t="s">
        <v>20488</v>
      </c>
      <c r="D2183" t="s">
        <v>22</v>
      </c>
      <c r="E2183" t="s">
        <v>4971</v>
      </c>
      <c r="F2183">
        <v>43</v>
      </c>
      <c r="G2183" t="s">
        <v>109</v>
      </c>
      <c r="H2183" t="s">
        <v>9788</v>
      </c>
    </row>
    <row r="2184" spans="1:10" x14ac:dyDescent="0.3">
      <c r="A2184" t="s">
        <v>4972</v>
      </c>
      <c r="B2184" t="s">
        <v>26403</v>
      </c>
      <c r="C2184" t="s">
        <v>20488</v>
      </c>
      <c r="D2184" t="s">
        <v>11</v>
      </c>
      <c r="E2184" t="s">
        <v>4973</v>
      </c>
      <c r="F2184">
        <v>45</v>
      </c>
      <c r="G2184" t="s">
        <v>109</v>
      </c>
      <c r="H2184" t="s">
        <v>9788</v>
      </c>
    </row>
    <row r="2185" spans="1:10" x14ac:dyDescent="0.3">
      <c r="A2185" t="s">
        <v>4974</v>
      </c>
      <c r="B2185" t="s">
        <v>26404</v>
      </c>
      <c r="C2185" t="s">
        <v>20490</v>
      </c>
      <c r="D2185" t="s">
        <v>22</v>
      </c>
      <c r="E2185" t="s">
        <v>4975</v>
      </c>
      <c r="F2185">
        <v>52</v>
      </c>
      <c r="G2185" t="s">
        <v>370</v>
      </c>
      <c r="H2185" t="s">
        <v>46</v>
      </c>
      <c r="J2185" t="s">
        <v>4976</v>
      </c>
    </row>
    <row r="2186" spans="1:10" x14ac:dyDescent="0.3">
      <c r="A2186" t="s">
        <v>4977</v>
      </c>
      <c r="B2186" t="s">
        <v>26405</v>
      </c>
      <c r="C2186" t="s">
        <v>20486</v>
      </c>
      <c r="D2186" t="s">
        <v>22</v>
      </c>
      <c r="E2186" t="s">
        <v>4978</v>
      </c>
      <c r="F2186">
        <v>50</v>
      </c>
      <c r="G2186" t="s">
        <v>31</v>
      </c>
      <c r="H2186" t="s">
        <v>31</v>
      </c>
      <c r="J2186" t="s">
        <v>33</v>
      </c>
    </row>
    <row r="2187" spans="1:10" x14ac:dyDescent="0.3">
      <c r="A2187" t="s">
        <v>4979</v>
      </c>
      <c r="B2187" t="s">
        <v>26406</v>
      </c>
      <c r="C2187" t="s">
        <v>20488</v>
      </c>
      <c r="D2187" t="s">
        <v>22</v>
      </c>
      <c r="E2187" t="s">
        <v>4980</v>
      </c>
      <c r="F2187">
        <v>41</v>
      </c>
      <c r="G2187" t="s">
        <v>109</v>
      </c>
      <c r="H2187" t="s">
        <v>9788</v>
      </c>
      <c r="I2187" t="s">
        <v>1011</v>
      </c>
      <c r="J2187" t="s">
        <v>4981</v>
      </c>
    </row>
    <row r="2188" spans="1:10" x14ac:dyDescent="0.3">
      <c r="A2188" t="s">
        <v>4982</v>
      </c>
      <c r="B2188" t="s">
        <v>26407</v>
      </c>
      <c r="C2188" t="s">
        <v>20486</v>
      </c>
      <c r="D2188" t="s">
        <v>22</v>
      </c>
      <c r="E2188" t="s">
        <v>4983</v>
      </c>
      <c r="F2188">
        <v>70</v>
      </c>
      <c r="G2188" t="s">
        <v>384</v>
      </c>
    </row>
    <row r="2189" spans="1:10" x14ac:dyDescent="0.3">
      <c r="A2189" t="s">
        <v>4984</v>
      </c>
      <c r="B2189" t="s">
        <v>26408</v>
      </c>
      <c r="C2189" t="s">
        <v>20486</v>
      </c>
      <c r="D2189" t="s">
        <v>22</v>
      </c>
      <c r="E2189" t="s">
        <v>4985</v>
      </c>
      <c r="F2189">
        <v>54</v>
      </c>
      <c r="G2189" t="s">
        <v>16</v>
      </c>
      <c r="H2189" t="s">
        <v>9785</v>
      </c>
      <c r="I2189" t="s">
        <v>17</v>
      </c>
      <c r="J2189" t="s">
        <v>4986</v>
      </c>
    </row>
    <row r="2190" spans="1:10" x14ac:dyDescent="0.3">
      <c r="A2190" t="s">
        <v>4987</v>
      </c>
      <c r="B2190" t="s">
        <v>26409</v>
      </c>
      <c r="C2190" t="s">
        <v>20488</v>
      </c>
      <c r="D2190" t="s">
        <v>11</v>
      </c>
      <c r="E2190" t="s">
        <v>4988</v>
      </c>
      <c r="F2190">
        <v>41</v>
      </c>
      <c r="G2190" t="s">
        <v>109</v>
      </c>
      <c r="H2190" t="s">
        <v>9788</v>
      </c>
    </row>
    <row r="2191" spans="1:10" x14ac:dyDescent="0.3">
      <c r="A2191" t="s">
        <v>4989</v>
      </c>
      <c r="B2191" t="s">
        <v>26410</v>
      </c>
      <c r="C2191" t="s">
        <v>20486</v>
      </c>
      <c r="D2191" t="s">
        <v>11</v>
      </c>
      <c r="E2191" t="s">
        <v>4990</v>
      </c>
      <c r="F2191">
        <v>49</v>
      </c>
      <c r="G2191" t="s">
        <v>172</v>
      </c>
      <c r="H2191" t="s">
        <v>12099</v>
      </c>
    </row>
    <row r="2192" spans="1:10" x14ac:dyDescent="0.3">
      <c r="A2192" t="s">
        <v>4991</v>
      </c>
      <c r="B2192" t="s">
        <v>26411</v>
      </c>
      <c r="C2192" t="s">
        <v>20490</v>
      </c>
      <c r="D2192" t="s">
        <v>22</v>
      </c>
      <c r="E2192" t="s">
        <v>4992</v>
      </c>
      <c r="F2192">
        <v>63</v>
      </c>
      <c r="G2192" t="s">
        <v>133</v>
      </c>
      <c r="H2192" t="s">
        <v>9789</v>
      </c>
      <c r="J2192" t="s">
        <v>4993</v>
      </c>
    </row>
    <row r="2193" spans="1:10" x14ac:dyDescent="0.3">
      <c r="A2193" t="s">
        <v>4994</v>
      </c>
      <c r="B2193" t="s">
        <v>26412</v>
      </c>
      <c r="C2193" t="s">
        <v>20490</v>
      </c>
      <c r="D2193" t="s">
        <v>22</v>
      </c>
      <c r="E2193" t="s">
        <v>2686</v>
      </c>
      <c r="F2193">
        <v>52</v>
      </c>
      <c r="G2193" t="s">
        <v>133</v>
      </c>
      <c r="H2193" t="s">
        <v>9789</v>
      </c>
      <c r="J2193" t="s">
        <v>4039</v>
      </c>
    </row>
    <row r="2194" spans="1:10" x14ac:dyDescent="0.3">
      <c r="A2194" t="s">
        <v>4996</v>
      </c>
      <c r="B2194" t="s">
        <v>26413</v>
      </c>
      <c r="C2194" t="s">
        <v>20486</v>
      </c>
      <c r="D2194" t="s">
        <v>11</v>
      </c>
      <c r="E2194" t="s">
        <v>4997</v>
      </c>
      <c r="F2194">
        <v>48</v>
      </c>
      <c r="G2194" t="s">
        <v>109</v>
      </c>
      <c r="H2194" t="s">
        <v>9788</v>
      </c>
      <c r="I2194" t="s">
        <v>4998</v>
      </c>
      <c r="J2194" t="s">
        <v>4999</v>
      </c>
    </row>
    <row r="2195" spans="1:10" x14ac:dyDescent="0.3">
      <c r="A2195" t="s">
        <v>5000</v>
      </c>
      <c r="B2195" t="s">
        <v>26414</v>
      </c>
      <c r="C2195" t="s">
        <v>20486</v>
      </c>
      <c r="D2195" t="s">
        <v>22</v>
      </c>
      <c r="E2195" t="s">
        <v>5001</v>
      </c>
      <c r="F2195">
        <v>58</v>
      </c>
      <c r="G2195" t="s">
        <v>109</v>
      </c>
      <c r="H2195" t="s">
        <v>9788</v>
      </c>
    </row>
    <row r="2196" spans="1:10" x14ac:dyDescent="0.3">
      <c r="A2196" t="s">
        <v>5002</v>
      </c>
      <c r="B2196" t="s">
        <v>26415</v>
      </c>
      <c r="C2196" t="s">
        <v>20486</v>
      </c>
      <c r="D2196" t="s">
        <v>11</v>
      </c>
      <c r="E2196" t="s">
        <v>5003</v>
      </c>
      <c r="F2196">
        <v>70</v>
      </c>
      <c r="G2196" t="s">
        <v>109</v>
      </c>
      <c r="H2196" t="s">
        <v>9788</v>
      </c>
      <c r="J2196" t="s">
        <v>5004</v>
      </c>
    </row>
    <row r="2197" spans="1:10" x14ac:dyDescent="0.3">
      <c r="A2197" t="s">
        <v>5005</v>
      </c>
      <c r="B2197" t="s">
        <v>26416</v>
      </c>
      <c r="C2197" t="s">
        <v>20491</v>
      </c>
      <c r="D2197" t="s">
        <v>22</v>
      </c>
      <c r="E2197" t="s">
        <v>5006</v>
      </c>
      <c r="F2197">
        <v>30</v>
      </c>
      <c r="G2197" t="s">
        <v>231</v>
      </c>
      <c r="H2197" t="s">
        <v>9788</v>
      </c>
      <c r="J2197" t="s">
        <v>5007</v>
      </c>
    </row>
    <row r="2198" spans="1:10" x14ac:dyDescent="0.3">
      <c r="A2198" t="s">
        <v>5008</v>
      </c>
      <c r="B2198" t="s">
        <v>26417</v>
      </c>
      <c r="C2198" t="s">
        <v>20488</v>
      </c>
      <c r="D2198" t="s">
        <v>11</v>
      </c>
      <c r="E2198" t="s">
        <v>5009</v>
      </c>
      <c r="F2198">
        <v>44</v>
      </c>
      <c r="G2198" t="s">
        <v>109</v>
      </c>
      <c r="H2198" t="s">
        <v>9788</v>
      </c>
    </row>
    <row r="2199" spans="1:10" x14ac:dyDescent="0.3">
      <c r="A2199" t="s">
        <v>5010</v>
      </c>
      <c r="B2199" t="s">
        <v>26418</v>
      </c>
      <c r="C2199" t="s">
        <v>20486</v>
      </c>
      <c r="D2199" t="s">
        <v>11</v>
      </c>
      <c r="E2199" t="s">
        <v>5011</v>
      </c>
      <c r="F2199">
        <v>40</v>
      </c>
      <c r="G2199" t="s">
        <v>133</v>
      </c>
      <c r="H2199" t="s">
        <v>9789</v>
      </c>
      <c r="I2199" t="s">
        <v>2520</v>
      </c>
      <c r="J2199" t="s">
        <v>2520</v>
      </c>
    </row>
    <row r="2200" spans="1:10" x14ac:dyDescent="0.3">
      <c r="A2200" t="s">
        <v>12350</v>
      </c>
      <c r="B2200" t="s">
        <v>26419</v>
      </c>
      <c r="C2200" t="s">
        <v>20487</v>
      </c>
      <c r="D2200" t="s">
        <v>22</v>
      </c>
      <c r="E2200" t="s">
        <v>12351</v>
      </c>
      <c r="F2200">
        <v>36</v>
      </c>
      <c r="G2200" t="s">
        <v>31</v>
      </c>
      <c r="H2200" t="s">
        <v>31</v>
      </c>
    </row>
    <row r="2201" spans="1:10" x14ac:dyDescent="0.3">
      <c r="A2201" t="s">
        <v>5012</v>
      </c>
      <c r="B2201" t="s">
        <v>26420</v>
      </c>
      <c r="C2201" t="s">
        <v>20487</v>
      </c>
      <c r="D2201" t="s">
        <v>11</v>
      </c>
      <c r="E2201" t="s">
        <v>5013</v>
      </c>
      <c r="F2201">
        <v>45</v>
      </c>
      <c r="G2201" t="s">
        <v>231</v>
      </c>
      <c r="H2201" t="s">
        <v>9788</v>
      </c>
      <c r="J2201" t="s">
        <v>5014</v>
      </c>
    </row>
    <row r="2202" spans="1:10" x14ac:dyDescent="0.3">
      <c r="A2202" t="s">
        <v>5015</v>
      </c>
      <c r="B2202" t="s">
        <v>26421</v>
      </c>
      <c r="C2202" t="s">
        <v>20488</v>
      </c>
      <c r="D2202" t="s">
        <v>22</v>
      </c>
      <c r="E2202" t="s">
        <v>1781</v>
      </c>
      <c r="F2202">
        <v>79</v>
      </c>
      <c r="G2202" t="s">
        <v>31</v>
      </c>
      <c r="H2202" t="s">
        <v>31</v>
      </c>
      <c r="I2202" t="s">
        <v>33</v>
      </c>
    </row>
    <row r="2203" spans="1:10" x14ac:dyDescent="0.3">
      <c r="A2203" t="s">
        <v>5016</v>
      </c>
      <c r="B2203" t="s">
        <v>26422</v>
      </c>
      <c r="C2203" t="s">
        <v>20488</v>
      </c>
      <c r="D2203" t="s">
        <v>11</v>
      </c>
      <c r="E2203" t="s">
        <v>3768</v>
      </c>
      <c r="F2203">
        <v>63</v>
      </c>
      <c r="G2203" t="s">
        <v>173</v>
      </c>
      <c r="H2203" t="s">
        <v>12099</v>
      </c>
    </row>
    <row r="2204" spans="1:10" x14ac:dyDescent="0.3">
      <c r="A2204" t="s">
        <v>5017</v>
      </c>
      <c r="B2204" t="s">
        <v>26423</v>
      </c>
      <c r="C2204" t="s">
        <v>20486</v>
      </c>
      <c r="D2204" t="s">
        <v>11</v>
      </c>
      <c r="E2204" t="s">
        <v>5018</v>
      </c>
      <c r="F2204">
        <v>34</v>
      </c>
      <c r="G2204" t="s">
        <v>88</v>
      </c>
      <c r="H2204" t="s">
        <v>12065</v>
      </c>
      <c r="I2204" t="s">
        <v>5019</v>
      </c>
      <c r="J2204" t="s">
        <v>5020</v>
      </c>
    </row>
    <row r="2205" spans="1:10" x14ac:dyDescent="0.3">
      <c r="A2205" t="s">
        <v>5021</v>
      </c>
      <c r="B2205" t="s">
        <v>26424</v>
      </c>
      <c r="C2205" t="s">
        <v>20487</v>
      </c>
      <c r="D2205" t="s">
        <v>11</v>
      </c>
      <c r="E2205" t="s">
        <v>5022</v>
      </c>
      <c r="F2205">
        <v>51</v>
      </c>
    </row>
    <row r="2206" spans="1:10" x14ac:dyDescent="0.3">
      <c r="A2206" t="s">
        <v>5023</v>
      </c>
      <c r="B2206" t="s">
        <v>26425</v>
      </c>
      <c r="C2206" t="s">
        <v>20486</v>
      </c>
      <c r="D2206" t="s">
        <v>22</v>
      </c>
      <c r="E2206" t="s">
        <v>5024</v>
      </c>
      <c r="F2206">
        <v>56</v>
      </c>
      <c r="G2206" t="s">
        <v>46</v>
      </c>
      <c r="H2206" t="s">
        <v>46</v>
      </c>
      <c r="I2206" t="s">
        <v>228</v>
      </c>
      <c r="J2206" t="s">
        <v>5025</v>
      </c>
    </row>
    <row r="2207" spans="1:10" x14ac:dyDescent="0.3">
      <c r="A2207" t="s">
        <v>5026</v>
      </c>
      <c r="B2207" t="s">
        <v>26426</v>
      </c>
      <c r="C2207" t="s">
        <v>20488</v>
      </c>
      <c r="D2207" t="s">
        <v>22</v>
      </c>
      <c r="E2207" t="s">
        <v>5027</v>
      </c>
      <c r="F2207">
        <v>47</v>
      </c>
      <c r="G2207" t="s">
        <v>31</v>
      </c>
      <c r="H2207" t="s">
        <v>31</v>
      </c>
      <c r="I2207" t="s">
        <v>33</v>
      </c>
    </row>
    <row r="2208" spans="1:10" x14ac:dyDescent="0.3">
      <c r="A2208" t="s">
        <v>5028</v>
      </c>
      <c r="B2208" t="s">
        <v>26427</v>
      </c>
      <c r="C2208" t="s">
        <v>20488</v>
      </c>
      <c r="D2208" t="s">
        <v>22</v>
      </c>
      <c r="E2208" t="s">
        <v>5029</v>
      </c>
      <c r="F2208">
        <v>46</v>
      </c>
      <c r="G2208" t="s">
        <v>31</v>
      </c>
      <c r="H2208" t="s">
        <v>31</v>
      </c>
      <c r="I2208" t="s">
        <v>33</v>
      </c>
    </row>
    <row r="2209" spans="1:10" x14ac:dyDescent="0.3">
      <c r="A2209" t="s">
        <v>5030</v>
      </c>
      <c r="B2209" t="s">
        <v>26428</v>
      </c>
      <c r="C2209" t="s">
        <v>20489</v>
      </c>
      <c r="D2209" t="s">
        <v>22</v>
      </c>
      <c r="E2209" t="s">
        <v>5031</v>
      </c>
      <c r="F2209">
        <v>57</v>
      </c>
      <c r="G2209" t="s">
        <v>46</v>
      </c>
      <c r="H2209" t="s">
        <v>46</v>
      </c>
      <c r="I2209" t="s">
        <v>228</v>
      </c>
      <c r="J2209" t="s">
        <v>5032</v>
      </c>
    </row>
    <row r="2210" spans="1:10" x14ac:dyDescent="0.3">
      <c r="A2210" t="s">
        <v>12352</v>
      </c>
      <c r="B2210" t="s">
        <v>26429</v>
      </c>
      <c r="C2210" t="s">
        <v>20486</v>
      </c>
      <c r="D2210" t="s">
        <v>22</v>
      </c>
      <c r="E2210" t="s">
        <v>9670</v>
      </c>
      <c r="F2210">
        <v>23</v>
      </c>
    </row>
    <row r="2211" spans="1:10" x14ac:dyDescent="0.3">
      <c r="A2211" t="s">
        <v>5033</v>
      </c>
      <c r="B2211" t="s">
        <v>26430</v>
      </c>
      <c r="C2211" t="s">
        <v>20486</v>
      </c>
      <c r="D2211" t="s">
        <v>11</v>
      </c>
      <c r="E2211" t="s">
        <v>5034</v>
      </c>
      <c r="F2211">
        <v>52</v>
      </c>
      <c r="G2211" t="s">
        <v>109</v>
      </c>
      <c r="H2211" t="s">
        <v>9788</v>
      </c>
      <c r="I2211" t="s">
        <v>1484</v>
      </c>
      <c r="J2211" t="s">
        <v>5035</v>
      </c>
    </row>
    <row r="2212" spans="1:10" x14ac:dyDescent="0.3">
      <c r="A2212" t="s">
        <v>5036</v>
      </c>
      <c r="B2212" t="s">
        <v>26431</v>
      </c>
      <c r="C2212" t="s">
        <v>20486</v>
      </c>
      <c r="D2212" t="s">
        <v>22</v>
      </c>
      <c r="E2212" t="s">
        <v>5037</v>
      </c>
      <c r="F2212">
        <v>41</v>
      </c>
      <c r="G2212" t="s">
        <v>31</v>
      </c>
      <c r="H2212" t="s">
        <v>31</v>
      </c>
    </row>
    <row r="2213" spans="1:10" x14ac:dyDescent="0.3">
      <c r="A2213" t="s">
        <v>5038</v>
      </c>
      <c r="B2213" t="s">
        <v>26432</v>
      </c>
      <c r="C2213" t="s">
        <v>20488</v>
      </c>
      <c r="D2213" t="s">
        <v>11</v>
      </c>
      <c r="E2213" t="s">
        <v>5039</v>
      </c>
      <c r="F2213">
        <v>38</v>
      </c>
      <c r="G2213" t="s">
        <v>109</v>
      </c>
      <c r="H2213" t="s">
        <v>9788</v>
      </c>
    </row>
    <row r="2214" spans="1:10" x14ac:dyDescent="0.3">
      <c r="A2214" t="s">
        <v>5040</v>
      </c>
      <c r="B2214" t="s">
        <v>26433</v>
      </c>
      <c r="C2214" t="s">
        <v>20486</v>
      </c>
      <c r="D2214" t="s">
        <v>11</v>
      </c>
      <c r="E2214" t="s">
        <v>5041</v>
      </c>
      <c r="F2214">
        <v>42</v>
      </c>
      <c r="G2214" t="s">
        <v>384</v>
      </c>
    </row>
    <row r="2215" spans="1:10" x14ac:dyDescent="0.3">
      <c r="A2215" t="s">
        <v>5042</v>
      </c>
      <c r="B2215" t="s">
        <v>26434</v>
      </c>
      <c r="C2215" t="s">
        <v>20486</v>
      </c>
      <c r="D2215" t="s">
        <v>22</v>
      </c>
      <c r="E2215" t="s">
        <v>5043</v>
      </c>
      <c r="F2215">
        <v>57</v>
      </c>
      <c r="G2215" t="s">
        <v>46</v>
      </c>
      <c r="H2215" t="s">
        <v>46</v>
      </c>
      <c r="I2215" t="s">
        <v>228</v>
      </c>
      <c r="J2215" t="s">
        <v>5044</v>
      </c>
    </row>
    <row r="2216" spans="1:10" x14ac:dyDescent="0.3">
      <c r="A2216" t="s">
        <v>5045</v>
      </c>
      <c r="B2216" t="s">
        <v>26435</v>
      </c>
      <c r="C2216" t="s">
        <v>20489</v>
      </c>
      <c r="D2216" t="s">
        <v>11</v>
      </c>
      <c r="E2216" t="s">
        <v>5046</v>
      </c>
      <c r="F2216">
        <v>35</v>
      </c>
      <c r="G2216" t="s">
        <v>243</v>
      </c>
      <c r="H2216" t="s">
        <v>243</v>
      </c>
    </row>
    <row r="2217" spans="1:10" x14ac:dyDescent="0.3">
      <c r="A2217" t="s">
        <v>5047</v>
      </c>
      <c r="B2217" t="s">
        <v>26436</v>
      </c>
      <c r="C2217" t="s">
        <v>20486</v>
      </c>
      <c r="D2217" t="s">
        <v>22</v>
      </c>
      <c r="E2217" t="s">
        <v>5048</v>
      </c>
      <c r="F2217">
        <v>55</v>
      </c>
      <c r="G2217" t="s">
        <v>46</v>
      </c>
      <c r="H2217" t="s">
        <v>46</v>
      </c>
      <c r="I2217" t="s">
        <v>139</v>
      </c>
      <c r="J2217" t="s">
        <v>74</v>
      </c>
    </row>
    <row r="2218" spans="1:10" x14ac:dyDescent="0.3">
      <c r="A2218" t="s">
        <v>5049</v>
      </c>
      <c r="B2218" t="s">
        <v>26437</v>
      </c>
      <c r="C2218" t="s">
        <v>20490</v>
      </c>
      <c r="D2218" t="s">
        <v>22</v>
      </c>
      <c r="E2218" t="s">
        <v>5050</v>
      </c>
      <c r="F2218">
        <v>23</v>
      </c>
      <c r="G2218" t="s">
        <v>337</v>
      </c>
      <c r="H2218" t="s">
        <v>337</v>
      </c>
    </row>
    <row r="2219" spans="1:10" x14ac:dyDescent="0.3">
      <c r="A2219" t="s">
        <v>5051</v>
      </c>
      <c r="B2219" t="s">
        <v>26438</v>
      </c>
      <c r="C2219" t="s">
        <v>20489</v>
      </c>
      <c r="D2219" t="s">
        <v>22</v>
      </c>
      <c r="E2219" t="s">
        <v>5052</v>
      </c>
      <c r="F2219">
        <v>58</v>
      </c>
      <c r="G2219" t="s">
        <v>370</v>
      </c>
      <c r="H2219" t="s">
        <v>46</v>
      </c>
      <c r="I2219" t="s">
        <v>1248</v>
      </c>
      <c r="J2219" t="s">
        <v>5053</v>
      </c>
    </row>
    <row r="2220" spans="1:10" x14ac:dyDescent="0.3">
      <c r="A2220" t="s">
        <v>5054</v>
      </c>
      <c r="B2220" t="s">
        <v>26439</v>
      </c>
      <c r="C2220" t="s">
        <v>20488</v>
      </c>
      <c r="D2220" t="s">
        <v>22</v>
      </c>
      <c r="E2220" t="s">
        <v>5055</v>
      </c>
      <c r="F2220">
        <v>49</v>
      </c>
      <c r="G2220" t="s">
        <v>31</v>
      </c>
      <c r="H2220" t="s">
        <v>31</v>
      </c>
      <c r="I2220" t="s">
        <v>33</v>
      </c>
    </row>
    <row r="2221" spans="1:10" x14ac:dyDescent="0.3">
      <c r="A2221" t="s">
        <v>5056</v>
      </c>
      <c r="B2221" t="s">
        <v>26440</v>
      </c>
      <c r="C2221" t="s">
        <v>20490</v>
      </c>
      <c r="D2221" t="s">
        <v>11</v>
      </c>
      <c r="E2221" t="s">
        <v>5057</v>
      </c>
      <c r="F2221">
        <v>40</v>
      </c>
      <c r="G2221" t="s">
        <v>109</v>
      </c>
      <c r="H2221" t="s">
        <v>9788</v>
      </c>
      <c r="J2221" t="s">
        <v>5058</v>
      </c>
    </row>
    <row r="2222" spans="1:10" x14ac:dyDescent="0.3">
      <c r="A2222" t="s">
        <v>5059</v>
      </c>
      <c r="B2222" t="s">
        <v>26441</v>
      </c>
      <c r="C2222" t="s">
        <v>20490</v>
      </c>
      <c r="D2222" t="s">
        <v>11</v>
      </c>
      <c r="E2222" t="s">
        <v>5060</v>
      </c>
      <c r="F2222">
        <v>41</v>
      </c>
      <c r="G2222" t="s">
        <v>109</v>
      </c>
      <c r="H2222" t="s">
        <v>9788</v>
      </c>
      <c r="J2222" t="s">
        <v>5061</v>
      </c>
    </row>
    <row r="2223" spans="1:10" x14ac:dyDescent="0.3">
      <c r="A2223" t="s">
        <v>12353</v>
      </c>
      <c r="B2223" t="s">
        <v>26442</v>
      </c>
      <c r="C2223" t="s">
        <v>20487</v>
      </c>
      <c r="D2223" t="s">
        <v>11</v>
      </c>
      <c r="E2223" t="s">
        <v>3718</v>
      </c>
      <c r="F2223">
        <v>38</v>
      </c>
      <c r="G2223" t="s">
        <v>109</v>
      </c>
      <c r="H2223" t="s">
        <v>9788</v>
      </c>
      <c r="J2223" t="s">
        <v>832</v>
      </c>
    </row>
    <row r="2224" spans="1:10" x14ac:dyDescent="0.3">
      <c r="A2224" t="s">
        <v>5062</v>
      </c>
      <c r="B2224" t="s">
        <v>26443</v>
      </c>
      <c r="C2224" t="s">
        <v>20486</v>
      </c>
      <c r="D2224" t="s">
        <v>11</v>
      </c>
      <c r="E2224" t="s">
        <v>5063</v>
      </c>
      <c r="F2224">
        <v>45</v>
      </c>
      <c r="G2224" t="s">
        <v>133</v>
      </c>
      <c r="H2224" t="s">
        <v>9789</v>
      </c>
      <c r="J2224" t="s">
        <v>5064</v>
      </c>
    </row>
    <row r="2225" spans="1:10" x14ac:dyDescent="0.3">
      <c r="A2225" t="s">
        <v>5065</v>
      </c>
      <c r="B2225" t="s">
        <v>26444</v>
      </c>
      <c r="C2225" t="s">
        <v>20486</v>
      </c>
      <c r="D2225" t="s">
        <v>11</v>
      </c>
      <c r="E2225" t="s">
        <v>1418</v>
      </c>
      <c r="F2225">
        <v>50</v>
      </c>
      <c r="G2225" t="s">
        <v>4685</v>
      </c>
      <c r="H2225" t="s">
        <v>12099</v>
      </c>
    </row>
    <row r="2226" spans="1:10" x14ac:dyDescent="0.3">
      <c r="A2226" t="s">
        <v>12354</v>
      </c>
      <c r="B2226" t="s">
        <v>26445</v>
      </c>
      <c r="C2226" t="s">
        <v>20486</v>
      </c>
      <c r="D2226" t="s">
        <v>22</v>
      </c>
      <c r="E2226" t="s">
        <v>12355</v>
      </c>
      <c r="F2226">
        <v>37</v>
      </c>
      <c r="G2226" t="s">
        <v>5098</v>
      </c>
      <c r="H2226" t="s">
        <v>9785</v>
      </c>
      <c r="J2226" t="s">
        <v>12356</v>
      </c>
    </row>
    <row r="2227" spans="1:10" x14ac:dyDescent="0.3">
      <c r="A2227" t="s">
        <v>5066</v>
      </c>
      <c r="B2227" t="s">
        <v>26446</v>
      </c>
      <c r="C2227" t="s">
        <v>20486</v>
      </c>
      <c r="D2227" t="s">
        <v>11</v>
      </c>
      <c r="E2227" t="s">
        <v>5067</v>
      </c>
      <c r="F2227">
        <v>57</v>
      </c>
    </row>
    <row r="2228" spans="1:10" x14ac:dyDescent="0.3">
      <c r="A2228" t="s">
        <v>5068</v>
      </c>
      <c r="B2228" t="s">
        <v>26447</v>
      </c>
      <c r="C2228" t="s">
        <v>20491</v>
      </c>
      <c r="D2228" t="s">
        <v>22</v>
      </c>
      <c r="E2228" t="s">
        <v>1356</v>
      </c>
      <c r="F2228">
        <v>58</v>
      </c>
      <c r="G2228" t="s">
        <v>441</v>
      </c>
      <c r="H2228" t="s">
        <v>9785</v>
      </c>
      <c r="J2228" t="s">
        <v>5069</v>
      </c>
    </row>
    <row r="2229" spans="1:10" x14ac:dyDescent="0.3">
      <c r="A2229" t="s">
        <v>5070</v>
      </c>
      <c r="B2229" t="s">
        <v>26448</v>
      </c>
      <c r="C2229" t="s">
        <v>20486</v>
      </c>
      <c r="D2229" t="s">
        <v>22</v>
      </c>
      <c r="E2229" t="s">
        <v>4648</v>
      </c>
      <c r="F2229">
        <v>48</v>
      </c>
      <c r="G2229" t="s">
        <v>31</v>
      </c>
      <c r="H2229" t="s">
        <v>31</v>
      </c>
      <c r="J2229" t="s">
        <v>33</v>
      </c>
    </row>
    <row r="2230" spans="1:10" x14ac:dyDescent="0.3">
      <c r="A2230" t="s">
        <v>5071</v>
      </c>
      <c r="B2230" t="s">
        <v>26449</v>
      </c>
      <c r="C2230" t="s">
        <v>20489</v>
      </c>
      <c r="D2230" t="s">
        <v>22</v>
      </c>
      <c r="E2230" t="s">
        <v>5072</v>
      </c>
      <c r="F2230">
        <v>49</v>
      </c>
      <c r="G2230" t="s">
        <v>31</v>
      </c>
      <c r="H2230" t="s">
        <v>31</v>
      </c>
    </row>
    <row r="2231" spans="1:10" x14ac:dyDescent="0.3">
      <c r="A2231" t="s">
        <v>5073</v>
      </c>
      <c r="B2231" t="s">
        <v>26450</v>
      </c>
      <c r="C2231" t="s">
        <v>20489</v>
      </c>
      <c r="D2231" t="s">
        <v>11</v>
      </c>
      <c r="E2231" t="s">
        <v>5074</v>
      </c>
      <c r="F2231">
        <v>48</v>
      </c>
      <c r="G2231" t="s">
        <v>109</v>
      </c>
      <c r="H2231" t="s">
        <v>9788</v>
      </c>
      <c r="I2231" t="s">
        <v>360</v>
      </c>
      <c r="J2231" t="s">
        <v>5075</v>
      </c>
    </row>
    <row r="2232" spans="1:10" x14ac:dyDescent="0.3">
      <c r="A2232" t="s">
        <v>5076</v>
      </c>
      <c r="B2232" t="s">
        <v>26451</v>
      </c>
      <c r="C2232" t="s">
        <v>20486</v>
      </c>
      <c r="D2232" t="s">
        <v>22</v>
      </c>
      <c r="E2232" t="s">
        <v>5077</v>
      </c>
      <c r="F2232">
        <v>41</v>
      </c>
      <c r="G2232" t="s">
        <v>133</v>
      </c>
      <c r="H2232" t="s">
        <v>9789</v>
      </c>
      <c r="I2232" t="s">
        <v>2477</v>
      </c>
      <c r="J2232" t="s">
        <v>1632</v>
      </c>
    </row>
    <row r="2233" spans="1:10" x14ac:dyDescent="0.3">
      <c r="A2233" t="s">
        <v>5078</v>
      </c>
      <c r="B2233" t="s">
        <v>26452</v>
      </c>
      <c r="C2233" t="s">
        <v>20486</v>
      </c>
      <c r="D2233" t="s">
        <v>11</v>
      </c>
      <c r="E2233" t="s">
        <v>5079</v>
      </c>
      <c r="F2233">
        <v>34</v>
      </c>
      <c r="G2233" t="s">
        <v>955</v>
      </c>
      <c r="H2233" t="s">
        <v>9788</v>
      </c>
      <c r="I2233" t="s">
        <v>923</v>
      </c>
      <c r="J2233" t="s">
        <v>5080</v>
      </c>
    </row>
    <row r="2234" spans="1:10" x14ac:dyDescent="0.3">
      <c r="A2234" t="s">
        <v>5081</v>
      </c>
      <c r="B2234" t="s">
        <v>26453</v>
      </c>
      <c r="C2234" t="s">
        <v>20486</v>
      </c>
      <c r="D2234" t="s">
        <v>22</v>
      </c>
      <c r="E2234" t="s">
        <v>5082</v>
      </c>
      <c r="F2234">
        <v>47</v>
      </c>
      <c r="G2234" t="s">
        <v>172</v>
      </c>
      <c r="H2234" t="s">
        <v>12099</v>
      </c>
      <c r="I2234" t="s">
        <v>17</v>
      </c>
      <c r="J2234" t="s">
        <v>5083</v>
      </c>
    </row>
    <row r="2235" spans="1:10" x14ac:dyDescent="0.3">
      <c r="A2235" t="s">
        <v>5084</v>
      </c>
      <c r="B2235" t="s">
        <v>26454</v>
      </c>
      <c r="C2235" t="s">
        <v>20486</v>
      </c>
      <c r="D2235" t="s">
        <v>22</v>
      </c>
      <c r="E2235" t="s">
        <v>5085</v>
      </c>
      <c r="F2235">
        <v>60</v>
      </c>
      <c r="G2235" t="s">
        <v>109</v>
      </c>
      <c r="H2235" t="s">
        <v>9788</v>
      </c>
      <c r="J2235" t="s">
        <v>5083</v>
      </c>
    </row>
    <row r="2236" spans="1:10" x14ac:dyDescent="0.3">
      <c r="A2236" t="s">
        <v>5086</v>
      </c>
      <c r="B2236" t="s">
        <v>26455</v>
      </c>
      <c r="C2236" t="s">
        <v>20487</v>
      </c>
      <c r="D2236" t="s">
        <v>22</v>
      </c>
      <c r="E2236" t="s">
        <v>1772</v>
      </c>
      <c r="F2236">
        <v>49</v>
      </c>
      <c r="G2236" t="s">
        <v>46</v>
      </c>
      <c r="H2236" t="s">
        <v>46</v>
      </c>
      <c r="J2236" t="s">
        <v>5087</v>
      </c>
    </row>
    <row r="2237" spans="1:10" x14ac:dyDescent="0.3">
      <c r="A2237" t="s">
        <v>5088</v>
      </c>
      <c r="B2237" t="s">
        <v>26456</v>
      </c>
      <c r="C2237" t="s">
        <v>20486</v>
      </c>
      <c r="D2237" t="s">
        <v>11</v>
      </c>
      <c r="E2237" t="s">
        <v>5089</v>
      </c>
      <c r="F2237">
        <v>42</v>
      </c>
      <c r="G2237" t="s">
        <v>109</v>
      </c>
      <c r="H2237" t="s">
        <v>9788</v>
      </c>
      <c r="J2237" t="s">
        <v>1377</v>
      </c>
    </row>
    <row r="2238" spans="1:10" x14ac:dyDescent="0.3">
      <c r="A2238" t="s">
        <v>5090</v>
      </c>
      <c r="B2238" t="s">
        <v>26457</v>
      </c>
      <c r="C2238" t="s">
        <v>20489</v>
      </c>
      <c r="D2238" t="s">
        <v>11</v>
      </c>
      <c r="E2238" t="s">
        <v>5091</v>
      </c>
      <c r="F2238">
        <v>22</v>
      </c>
      <c r="G2238" t="s">
        <v>337</v>
      </c>
      <c r="H2238" t="s">
        <v>337</v>
      </c>
    </row>
    <row r="2239" spans="1:10" x14ac:dyDescent="0.3">
      <c r="A2239" t="s">
        <v>5092</v>
      </c>
      <c r="B2239" t="s">
        <v>26458</v>
      </c>
      <c r="C2239" t="s">
        <v>20488</v>
      </c>
      <c r="D2239" t="s">
        <v>22</v>
      </c>
      <c r="E2239" t="s">
        <v>2251</v>
      </c>
      <c r="F2239">
        <v>53</v>
      </c>
      <c r="G2239" t="s">
        <v>31</v>
      </c>
      <c r="H2239" t="s">
        <v>31</v>
      </c>
      <c r="I2239" t="s">
        <v>33</v>
      </c>
    </row>
    <row r="2240" spans="1:10" x14ac:dyDescent="0.3">
      <c r="A2240" t="s">
        <v>5093</v>
      </c>
      <c r="B2240" t="s">
        <v>26459</v>
      </c>
      <c r="C2240" t="s">
        <v>20486</v>
      </c>
      <c r="D2240" t="s">
        <v>11</v>
      </c>
      <c r="E2240" t="s">
        <v>5094</v>
      </c>
      <c r="F2240">
        <v>52</v>
      </c>
      <c r="G2240" t="s">
        <v>133</v>
      </c>
      <c r="H2240" t="s">
        <v>9789</v>
      </c>
      <c r="I2240" t="s">
        <v>980</v>
      </c>
      <c r="J2240" t="s">
        <v>5095</v>
      </c>
    </row>
    <row r="2241" spans="1:10" x14ac:dyDescent="0.3">
      <c r="A2241" t="s">
        <v>5096</v>
      </c>
      <c r="B2241" t="s">
        <v>26460</v>
      </c>
      <c r="C2241" t="s">
        <v>20488</v>
      </c>
      <c r="D2241" t="s">
        <v>22</v>
      </c>
      <c r="E2241" t="s">
        <v>5097</v>
      </c>
      <c r="F2241">
        <v>54</v>
      </c>
      <c r="G2241" t="s">
        <v>5098</v>
      </c>
      <c r="H2241" t="s">
        <v>9785</v>
      </c>
      <c r="I2241" t="s">
        <v>1859</v>
      </c>
      <c r="J2241" t="s">
        <v>1431</v>
      </c>
    </row>
    <row r="2242" spans="1:10" x14ac:dyDescent="0.3">
      <c r="A2242" t="s">
        <v>5099</v>
      </c>
      <c r="B2242" t="s">
        <v>26461</v>
      </c>
      <c r="C2242" t="s">
        <v>20487</v>
      </c>
      <c r="D2242" t="s">
        <v>11</v>
      </c>
      <c r="E2242" t="s">
        <v>5100</v>
      </c>
      <c r="F2242">
        <v>47</v>
      </c>
      <c r="G2242" t="s">
        <v>2418</v>
      </c>
      <c r="H2242" t="s">
        <v>9787</v>
      </c>
      <c r="J2242" t="s">
        <v>5101</v>
      </c>
    </row>
    <row r="2243" spans="1:10" x14ac:dyDescent="0.3">
      <c r="A2243" t="s">
        <v>5102</v>
      </c>
      <c r="B2243" t="s">
        <v>26462</v>
      </c>
      <c r="C2243" t="s">
        <v>20486</v>
      </c>
      <c r="D2243" t="s">
        <v>11</v>
      </c>
      <c r="E2243" t="s">
        <v>5103</v>
      </c>
      <c r="F2243">
        <v>23</v>
      </c>
      <c r="G2243" t="s">
        <v>109</v>
      </c>
      <c r="H2243" t="s">
        <v>9788</v>
      </c>
      <c r="I2243" t="s">
        <v>963</v>
      </c>
    </row>
    <row r="2244" spans="1:10" x14ac:dyDescent="0.3">
      <c r="A2244" t="s">
        <v>5104</v>
      </c>
      <c r="B2244" t="s">
        <v>26463</v>
      </c>
      <c r="C2244" t="s">
        <v>20489</v>
      </c>
      <c r="D2244" t="s">
        <v>22</v>
      </c>
      <c r="E2244" t="s">
        <v>809</v>
      </c>
      <c r="F2244">
        <v>56</v>
      </c>
      <c r="G2244" t="s">
        <v>31</v>
      </c>
      <c r="H2244" t="s">
        <v>31</v>
      </c>
    </row>
    <row r="2245" spans="1:10" x14ac:dyDescent="0.3">
      <c r="A2245" t="s">
        <v>12357</v>
      </c>
      <c r="B2245" t="s">
        <v>26464</v>
      </c>
      <c r="C2245" t="s">
        <v>20489</v>
      </c>
      <c r="D2245" t="s">
        <v>22</v>
      </c>
      <c r="E2245" t="s">
        <v>9669</v>
      </c>
      <c r="F2245">
        <v>21</v>
      </c>
      <c r="G2245" t="s">
        <v>337</v>
      </c>
      <c r="H2245" t="s">
        <v>337</v>
      </c>
    </row>
    <row r="2246" spans="1:10" x14ac:dyDescent="0.3">
      <c r="A2246" t="s">
        <v>12358</v>
      </c>
      <c r="B2246" t="s">
        <v>26465</v>
      </c>
      <c r="C2246" t="s">
        <v>20489</v>
      </c>
      <c r="D2246" t="s">
        <v>11</v>
      </c>
      <c r="E2246" t="s">
        <v>12359</v>
      </c>
      <c r="F2246">
        <v>18</v>
      </c>
      <c r="G2246" t="s">
        <v>337</v>
      </c>
      <c r="H2246" t="s">
        <v>337</v>
      </c>
    </row>
    <row r="2247" spans="1:10" x14ac:dyDescent="0.3">
      <c r="A2247" t="s">
        <v>5105</v>
      </c>
      <c r="B2247" t="s">
        <v>26466</v>
      </c>
      <c r="C2247" t="s">
        <v>20487</v>
      </c>
      <c r="D2247" t="s">
        <v>22</v>
      </c>
      <c r="E2247" t="s">
        <v>5106</v>
      </c>
      <c r="F2247">
        <v>46</v>
      </c>
      <c r="G2247" t="s">
        <v>109</v>
      </c>
      <c r="H2247" t="s">
        <v>9788</v>
      </c>
      <c r="J2247" t="s">
        <v>5107</v>
      </c>
    </row>
    <row r="2248" spans="1:10" x14ac:dyDescent="0.3">
      <c r="A2248" t="s">
        <v>5108</v>
      </c>
      <c r="B2248" t="s">
        <v>26467</v>
      </c>
      <c r="C2248" t="s">
        <v>20486</v>
      </c>
      <c r="D2248" t="s">
        <v>11</v>
      </c>
      <c r="E2248" t="s">
        <v>2828</v>
      </c>
      <c r="F2248">
        <v>47</v>
      </c>
      <c r="G2248" t="s">
        <v>5109</v>
      </c>
      <c r="H2248" t="s">
        <v>9788</v>
      </c>
      <c r="I2248" t="s">
        <v>5110</v>
      </c>
      <c r="J2248" t="s">
        <v>5110</v>
      </c>
    </row>
    <row r="2249" spans="1:10" x14ac:dyDescent="0.3">
      <c r="A2249" t="s">
        <v>5111</v>
      </c>
      <c r="B2249" t="s">
        <v>26468</v>
      </c>
      <c r="C2249" t="s">
        <v>20488</v>
      </c>
      <c r="D2249" t="s">
        <v>22</v>
      </c>
      <c r="E2249" t="s">
        <v>5112</v>
      </c>
      <c r="F2249">
        <v>52</v>
      </c>
      <c r="G2249" t="s">
        <v>31</v>
      </c>
      <c r="H2249" t="s">
        <v>31</v>
      </c>
      <c r="I2249" t="s">
        <v>33</v>
      </c>
    </row>
    <row r="2250" spans="1:10" x14ac:dyDescent="0.3">
      <c r="A2250" t="s">
        <v>5113</v>
      </c>
      <c r="B2250" t="s">
        <v>26469</v>
      </c>
      <c r="C2250" t="s">
        <v>20486</v>
      </c>
      <c r="D2250" t="s">
        <v>22</v>
      </c>
      <c r="E2250" t="s">
        <v>5114</v>
      </c>
      <c r="F2250">
        <v>44</v>
      </c>
      <c r="G2250" t="s">
        <v>31</v>
      </c>
      <c r="H2250" t="s">
        <v>31</v>
      </c>
      <c r="I2250" t="s">
        <v>139</v>
      </c>
      <c r="J2250" t="s">
        <v>1828</v>
      </c>
    </row>
    <row r="2251" spans="1:10" x14ac:dyDescent="0.3">
      <c r="A2251" t="s">
        <v>5115</v>
      </c>
      <c r="B2251" t="s">
        <v>26470</v>
      </c>
      <c r="C2251" t="s">
        <v>20490</v>
      </c>
      <c r="D2251" t="s">
        <v>11</v>
      </c>
      <c r="E2251" t="s">
        <v>2867</v>
      </c>
      <c r="F2251">
        <v>46</v>
      </c>
      <c r="G2251" t="s">
        <v>133</v>
      </c>
      <c r="H2251" t="s">
        <v>9789</v>
      </c>
      <c r="J2251" t="s">
        <v>5116</v>
      </c>
    </row>
    <row r="2252" spans="1:10" x14ac:dyDescent="0.3">
      <c r="A2252" t="s">
        <v>5117</v>
      </c>
      <c r="B2252" t="s">
        <v>26471</v>
      </c>
      <c r="C2252" t="s">
        <v>20486</v>
      </c>
      <c r="D2252" t="s">
        <v>22</v>
      </c>
      <c r="E2252" t="s">
        <v>5118</v>
      </c>
      <c r="F2252">
        <v>58</v>
      </c>
      <c r="G2252" t="s">
        <v>46</v>
      </c>
      <c r="H2252" t="s">
        <v>46</v>
      </c>
      <c r="I2252" t="s">
        <v>228</v>
      </c>
      <c r="J2252" t="s">
        <v>12360</v>
      </c>
    </row>
    <row r="2253" spans="1:10" x14ac:dyDescent="0.3">
      <c r="A2253" t="s">
        <v>5119</v>
      </c>
      <c r="B2253" t="s">
        <v>26472</v>
      </c>
      <c r="C2253" t="s">
        <v>20491</v>
      </c>
      <c r="D2253" t="s">
        <v>22</v>
      </c>
      <c r="E2253" t="s">
        <v>5120</v>
      </c>
      <c r="F2253">
        <v>59</v>
      </c>
      <c r="G2253" t="s">
        <v>16</v>
      </c>
      <c r="H2253" t="s">
        <v>9785</v>
      </c>
      <c r="J2253" t="s">
        <v>4205</v>
      </c>
    </row>
    <row r="2254" spans="1:10" x14ac:dyDescent="0.3">
      <c r="A2254" t="s">
        <v>5121</v>
      </c>
      <c r="B2254" t="s">
        <v>26473</v>
      </c>
      <c r="C2254" t="s">
        <v>20488</v>
      </c>
      <c r="D2254" t="s">
        <v>11</v>
      </c>
      <c r="E2254" t="s">
        <v>5122</v>
      </c>
      <c r="F2254">
        <v>38</v>
      </c>
      <c r="G2254" t="s">
        <v>109</v>
      </c>
      <c r="H2254" t="s">
        <v>9788</v>
      </c>
      <c r="I2254" t="s">
        <v>2859</v>
      </c>
      <c r="J2254" t="s">
        <v>5123</v>
      </c>
    </row>
    <row r="2255" spans="1:10" x14ac:dyDescent="0.3">
      <c r="A2255" t="s">
        <v>5124</v>
      </c>
      <c r="B2255" t="s">
        <v>26474</v>
      </c>
      <c r="C2255" t="s">
        <v>20488</v>
      </c>
      <c r="D2255" t="s">
        <v>11</v>
      </c>
      <c r="E2255" t="s">
        <v>5060</v>
      </c>
      <c r="F2255">
        <v>41</v>
      </c>
      <c r="G2255" t="s">
        <v>109</v>
      </c>
      <c r="H2255" t="s">
        <v>9788</v>
      </c>
    </row>
    <row r="2256" spans="1:10" x14ac:dyDescent="0.3">
      <c r="A2256" t="s">
        <v>5125</v>
      </c>
      <c r="B2256" t="s">
        <v>26475</v>
      </c>
      <c r="C2256" t="s">
        <v>20486</v>
      </c>
      <c r="D2256" t="s">
        <v>22</v>
      </c>
      <c r="E2256" t="s">
        <v>5126</v>
      </c>
      <c r="F2256">
        <v>46</v>
      </c>
      <c r="G2256" t="s">
        <v>46</v>
      </c>
      <c r="H2256" t="s">
        <v>46</v>
      </c>
      <c r="I2256" t="s">
        <v>139</v>
      </c>
      <c r="J2256" t="s">
        <v>74</v>
      </c>
    </row>
    <row r="2257" spans="1:10" x14ac:dyDescent="0.3">
      <c r="A2257" t="s">
        <v>5127</v>
      </c>
      <c r="B2257" t="s">
        <v>26476</v>
      </c>
      <c r="C2257" t="s">
        <v>20486</v>
      </c>
      <c r="D2257" t="s">
        <v>22</v>
      </c>
      <c r="E2257" t="s">
        <v>5128</v>
      </c>
      <c r="F2257">
        <v>45</v>
      </c>
      <c r="G2257" t="s">
        <v>243</v>
      </c>
    </row>
    <row r="2258" spans="1:10" x14ac:dyDescent="0.3">
      <c r="A2258" t="s">
        <v>5129</v>
      </c>
      <c r="B2258" t="s">
        <v>26477</v>
      </c>
      <c r="C2258" t="s">
        <v>20491</v>
      </c>
      <c r="D2258" t="s">
        <v>22</v>
      </c>
      <c r="E2258" t="s">
        <v>5130</v>
      </c>
      <c r="F2258">
        <v>46</v>
      </c>
      <c r="G2258" t="s">
        <v>109</v>
      </c>
      <c r="H2258" t="s">
        <v>9788</v>
      </c>
      <c r="I2258" t="s">
        <v>5131</v>
      </c>
      <c r="J2258" t="s">
        <v>1788</v>
      </c>
    </row>
    <row r="2259" spans="1:10" x14ac:dyDescent="0.3">
      <c r="A2259" t="s">
        <v>5132</v>
      </c>
      <c r="B2259" t="s">
        <v>26478</v>
      </c>
      <c r="C2259" t="s">
        <v>20488</v>
      </c>
      <c r="D2259" t="s">
        <v>22</v>
      </c>
      <c r="E2259" t="s">
        <v>5133</v>
      </c>
      <c r="F2259">
        <v>38</v>
      </c>
      <c r="G2259" t="s">
        <v>31</v>
      </c>
      <c r="H2259" t="s">
        <v>31</v>
      </c>
      <c r="I2259" t="s">
        <v>33</v>
      </c>
    </row>
    <row r="2260" spans="1:10" x14ac:dyDescent="0.3">
      <c r="A2260" t="s">
        <v>12361</v>
      </c>
      <c r="B2260" t="s">
        <v>26479</v>
      </c>
      <c r="C2260" t="s">
        <v>20488</v>
      </c>
      <c r="D2260" t="s">
        <v>22</v>
      </c>
      <c r="E2260" t="s">
        <v>5837</v>
      </c>
      <c r="F2260">
        <v>35</v>
      </c>
      <c r="G2260" t="s">
        <v>109</v>
      </c>
      <c r="H2260" t="s">
        <v>9788</v>
      </c>
    </row>
    <row r="2261" spans="1:10" x14ac:dyDescent="0.3">
      <c r="A2261" t="s">
        <v>5134</v>
      </c>
      <c r="B2261" t="s">
        <v>26480</v>
      </c>
      <c r="C2261" t="s">
        <v>20486</v>
      </c>
      <c r="D2261" t="s">
        <v>11</v>
      </c>
      <c r="E2261" t="s">
        <v>5135</v>
      </c>
      <c r="F2261">
        <v>32</v>
      </c>
      <c r="G2261" t="s">
        <v>46</v>
      </c>
      <c r="H2261" t="s">
        <v>46</v>
      </c>
      <c r="I2261" t="s">
        <v>139</v>
      </c>
      <c r="J2261" t="s">
        <v>5136</v>
      </c>
    </row>
    <row r="2262" spans="1:10" x14ac:dyDescent="0.3">
      <c r="A2262" t="s">
        <v>5137</v>
      </c>
      <c r="B2262" t="s">
        <v>26481</v>
      </c>
      <c r="C2262" t="s">
        <v>20491</v>
      </c>
      <c r="D2262" t="s">
        <v>22</v>
      </c>
      <c r="E2262" t="s">
        <v>1720</v>
      </c>
      <c r="F2262">
        <v>48</v>
      </c>
      <c r="G2262" t="s">
        <v>109</v>
      </c>
      <c r="H2262" t="s">
        <v>9788</v>
      </c>
      <c r="I2262" t="s">
        <v>5138</v>
      </c>
      <c r="J2262" t="s">
        <v>5139</v>
      </c>
    </row>
    <row r="2263" spans="1:10" x14ac:dyDescent="0.3">
      <c r="A2263" t="s">
        <v>12362</v>
      </c>
      <c r="B2263" t="s">
        <v>26482</v>
      </c>
      <c r="C2263" t="s">
        <v>20488</v>
      </c>
      <c r="D2263" t="s">
        <v>22</v>
      </c>
      <c r="E2263" t="s">
        <v>9668</v>
      </c>
      <c r="F2263">
        <v>20</v>
      </c>
      <c r="G2263" t="s">
        <v>337</v>
      </c>
      <c r="H2263" t="s">
        <v>337</v>
      </c>
    </row>
    <row r="2264" spans="1:10" x14ac:dyDescent="0.3">
      <c r="A2264" t="s">
        <v>5140</v>
      </c>
      <c r="B2264" t="s">
        <v>26483</v>
      </c>
      <c r="C2264" t="s">
        <v>20486</v>
      </c>
      <c r="D2264" t="s">
        <v>22</v>
      </c>
      <c r="E2264" t="s">
        <v>4279</v>
      </c>
      <c r="F2264">
        <v>38</v>
      </c>
      <c r="G2264" t="s">
        <v>133</v>
      </c>
      <c r="H2264" t="s">
        <v>9789</v>
      </c>
      <c r="I2264" t="s">
        <v>2477</v>
      </c>
      <c r="J2264" t="s">
        <v>1632</v>
      </c>
    </row>
    <row r="2265" spans="1:10" x14ac:dyDescent="0.3">
      <c r="A2265" t="s">
        <v>5141</v>
      </c>
      <c r="B2265" t="s">
        <v>26484</v>
      </c>
      <c r="C2265" t="s">
        <v>20486</v>
      </c>
      <c r="D2265" t="s">
        <v>11</v>
      </c>
      <c r="E2265" t="s">
        <v>4132</v>
      </c>
      <c r="F2265">
        <v>47</v>
      </c>
      <c r="G2265" t="s">
        <v>46</v>
      </c>
      <c r="H2265" t="s">
        <v>46</v>
      </c>
      <c r="I2265" t="s">
        <v>228</v>
      </c>
      <c r="J2265" t="s">
        <v>5142</v>
      </c>
    </row>
    <row r="2266" spans="1:10" x14ac:dyDescent="0.3">
      <c r="A2266" t="s">
        <v>5143</v>
      </c>
      <c r="B2266" t="s">
        <v>26485</v>
      </c>
      <c r="C2266" t="s">
        <v>20488</v>
      </c>
      <c r="D2266" t="s">
        <v>22</v>
      </c>
      <c r="E2266" t="s">
        <v>3788</v>
      </c>
      <c r="F2266">
        <v>48</v>
      </c>
      <c r="G2266" t="s">
        <v>540</v>
      </c>
      <c r="H2266" t="s">
        <v>12074</v>
      </c>
    </row>
    <row r="2267" spans="1:10" x14ac:dyDescent="0.3">
      <c r="A2267" t="s">
        <v>5144</v>
      </c>
      <c r="B2267" t="s">
        <v>26486</v>
      </c>
      <c r="C2267" t="s">
        <v>20490</v>
      </c>
      <c r="D2267" t="s">
        <v>11</v>
      </c>
      <c r="E2267" t="s">
        <v>5145</v>
      </c>
      <c r="F2267">
        <v>24</v>
      </c>
      <c r="G2267" t="s">
        <v>109</v>
      </c>
      <c r="H2267" t="s">
        <v>9788</v>
      </c>
    </row>
    <row r="2268" spans="1:10" x14ac:dyDescent="0.3">
      <c r="A2268" t="s">
        <v>5147</v>
      </c>
      <c r="B2268" t="s">
        <v>26487</v>
      </c>
      <c r="C2268" t="s">
        <v>20488</v>
      </c>
      <c r="D2268" t="s">
        <v>11</v>
      </c>
      <c r="E2268" t="s">
        <v>2541</v>
      </c>
      <c r="F2268">
        <v>47</v>
      </c>
      <c r="G2268" t="s">
        <v>16</v>
      </c>
      <c r="H2268" t="s">
        <v>9785</v>
      </c>
      <c r="I2268" t="s">
        <v>449</v>
      </c>
      <c r="J2268" t="s">
        <v>4746</v>
      </c>
    </row>
    <row r="2269" spans="1:10" x14ac:dyDescent="0.3">
      <c r="A2269" t="s">
        <v>5148</v>
      </c>
      <c r="B2269" t="s">
        <v>26488</v>
      </c>
      <c r="C2269" t="s">
        <v>20486</v>
      </c>
      <c r="D2269" t="s">
        <v>11</v>
      </c>
      <c r="E2269" t="s">
        <v>5149</v>
      </c>
      <c r="F2269">
        <v>36</v>
      </c>
      <c r="G2269" t="s">
        <v>109</v>
      </c>
      <c r="H2269" t="s">
        <v>9788</v>
      </c>
      <c r="I2269" t="s">
        <v>5150</v>
      </c>
      <c r="J2269" t="s">
        <v>5151</v>
      </c>
    </row>
    <row r="2270" spans="1:10" x14ac:dyDescent="0.3">
      <c r="A2270" t="s">
        <v>5152</v>
      </c>
      <c r="B2270" t="s">
        <v>26489</v>
      </c>
      <c r="C2270" t="s">
        <v>20486</v>
      </c>
      <c r="D2270" t="s">
        <v>22</v>
      </c>
      <c r="E2270" t="s">
        <v>5153</v>
      </c>
      <c r="F2270">
        <v>62</v>
      </c>
      <c r="G2270" t="s">
        <v>31</v>
      </c>
      <c r="H2270" t="s">
        <v>31</v>
      </c>
    </row>
    <row r="2271" spans="1:10" x14ac:dyDescent="0.3">
      <c r="A2271" t="s">
        <v>5154</v>
      </c>
      <c r="B2271" t="s">
        <v>26490</v>
      </c>
      <c r="C2271" t="s">
        <v>20486</v>
      </c>
      <c r="D2271" t="s">
        <v>11</v>
      </c>
      <c r="E2271" t="s">
        <v>5155</v>
      </c>
      <c r="F2271">
        <v>37</v>
      </c>
      <c r="G2271" t="s">
        <v>109</v>
      </c>
      <c r="H2271" t="s">
        <v>9788</v>
      </c>
      <c r="I2271" t="s">
        <v>224</v>
      </c>
      <c r="J2271" t="s">
        <v>5156</v>
      </c>
    </row>
    <row r="2272" spans="1:10" x14ac:dyDescent="0.3">
      <c r="A2272" t="s">
        <v>5157</v>
      </c>
      <c r="B2272" t="s">
        <v>26491</v>
      </c>
      <c r="C2272" t="s">
        <v>20486</v>
      </c>
      <c r="D2272" t="s">
        <v>22</v>
      </c>
      <c r="E2272" t="s">
        <v>5158</v>
      </c>
      <c r="F2272">
        <v>44</v>
      </c>
      <c r="G2272" t="s">
        <v>16</v>
      </c>
      <c r="H2272" t="s">
        <v>9785</v>
      </c>
      <c r="I2272" t="s">
        <v>17</v>
      </c>
      <c r="J2272" t="s">
        <v>5159</v>
      </c>
    </row>
    <row r="2273" spans="1:10" x14ac:dyDescent="0.3">
      <c r="A2273" t="s">
        <v>5160</v>
      </c>
      <c r="B2273" t="s">
        <v>26492</v>
      </c>
      <c r="C2273" t="s">
        <v>20486</v>
      </c>
      <c r="D2273" t="s">
        <v>22</v>
      </c>
      <c r="E2273" t="s">
        <v>5161</v>
      </c>
      <c r="F2273">
        <v>65</v>
      </c>
      <c r="G2273" t="s">
        <v>337</v>
      </c>
      <c r="H2273" t="s">
        <v>337</v>
      </c>
    </row>
    <row r="2274" spans="1:10" x14ac:dyDescent="0.3">
      <c r="A2274" t="s">
        <v>5162</v>
      </c>
      <c r="B2274" t="s">
        <v>26493</v>
      </c>
      <c r="C2274" t="s">
        <v>20486</v>
      </c>
      <c r="D2274" t="s">
        <v>22</v>
      </c>
      <c r="E2274" t="s">
        <v>2523</v>
      </c>
      <c r="F2274">
        <v>50</v>
      </c>
      <c r="G2274" t="s">
        <v>31</v>
      </c>
      <c r="H2274" t="s">
        <v>31</v>
      </c>
      <c r="J2274" t="s">
        <v>33</v>
      </c>
    </row>
    <row r="2275" spans="1:10" x14ac:dyDescent="0.3">
      <c r="A2275" t="s">
        <v>5163</v>
      </c>
      <c r="B2275" t="s">
        <v>26494</v>
      </c>
      <c r="C2275" t="s">
        <v>20486</v>
      </c>
      <c r="D2275" t="s">
        <v>22</v>
      </c>
      <c r="E2275" t="s">
        <v>5164</v>
      </c>
      <c r="F2275">
        <v>60</v>
      </c>
      <c r="G2275" t="s">
        <v>46</v>
      </c>
      <c r="H2275" t="s">
        <v>46</v>
      </c>
      <c r="I2275" t="s">
        <v>228</v>
      </c>
    </row>
    <row r="2276" spans="1:10" x14ac:dyDescent="0.3">
      <c r="A2276" t="s">
        <v>5165</v>
      </c>
      <c r="B2276" t="s">
        <v>26495</v>
      </c>
      <c r="C2276" t="s">
        <v>20486</v>
      </c>
      <c r="D2276" t="s">
        <v>22</v>
      </c>
      <c r="E2276" t="s">
        <v>5166</v>
      </c>
      <c r="F2276">
        <v>36</v>
      </c>
      <c r="G2276" t="s">
        <v>109</v>
      </c>
      <c r="H2276" t="s">
        <v>9788</v>
      </c>
      <c r="I2276" t="s">
        <v>110</v>
      </c>
      <c r="J2276" t="s">
        <v>5167</v>
      </c>
    </row>
    <row r="2277" spans="1:10" x14ac:dyDescent="0.3">
      <c r="A2277" t="s">
        <v>5168</v>
      </c>
      <c r="B2277" t="s">
        <v>26496</v>
      </c>
      <c r="C2277" t="s">
        <v>20491</v>
      </c>
      <c r="D2277" t="s">
        <v>22</v>
      </c>
      <c r="E2277" t="s">
        <v>5169</v>
      </c>
      <c r="F2277">
        <v>48</v>
      </c>
      <c r="G2277" t="s">
        <v>46</v>
      </c>
      <c r="H2277" t="s">
        <v>46</v>
      </c>
      <c r="J2277" t="s">
        <v>5170</v>
      </c>
    </row>
    <row r="2278" spans="1:10" x14ac:dyDescent="0.3">
      <c r="A2278" t="s">
        <v>5171</v>
      </c>
      <c r="B2278" t="s">
        <v>26497</v>
      </c>
      <c r="C2278" t="s">
        <v>20488</v>
      </c>
      <c r="D2278" t="s">
        <v>11</v>
      </c>
      <c r="E2278" t="s">
        <v>5172</v>
      </c>
      <c r="F2278">
        <v>68</v>
      </c>
      <c r="G2278" t="s">
        <v>173</v>
      </c>
      <c r="H2278" t="s">
        <v>12099</v>
      </c>
    </row>
    <row r="2279" spans="1:10" x14ac:dyDescent="0.3">
      <c r="A2279" t="s">
        <v>5173</v>
      </c>
      <c r="B2279" t="s">
        <v>26498</v>
      </c>
      <c r="C2279" t="s">
        <v>20487</v>
      </c>
      <c r="D2279" t="s">
        <v>11</v>
      </c>
      <c r="E2279" t="s">
        <v>5037</v>
      </c>
      <c r="F2279">
        <v>41</v>
      </c>
      <c r="G2279" t="s">
        <v>1269</v>
      </c>
      <c r="H2279" t="s">
        <v>12074</v>
      </c>
    </row>
    <row r="2280" spans="1:10" x14ac:dyDescent="0.3">
      <c r="A2280" t="s">
        <v>5174</v>
      </c>
      <c r="B2280" t="s">
        <v>26499</v>
      </c>
      <c r="C2280" t="s">
        <v>20486</v>
      </c>
      <c r="D2280" t="s">
        <v>22</v>
      </c>
      <c r="E2280" t="s">
        <v>5175</v>
      </c>
      <c r="F2280">
        <v>40</v>
      </c>
      <c r="G2280" t="s">
        <v>133</v>
      </c>
      <c r="H2280" t="s">
        <v>9789</v>
      </c>
      <c r="I2280" t="s">
        <v>281</v>
      </c>
      <c r="J2280" t="s">
        <v>281</v>
      </c>
    </row>
    <row r="2281" spans="1:10" x14ac:dyDescent="0.3">
      <c r="A2281" t="s">
        <v>5176</v>
      </c>
      <c r="B2281" t="s">
        <v>26500</v>
      </c>
      <c r="C2281" t="s">
        <v>20490</v>
      </c>
      <c r="D2281" t="s">
        <v>22</v>
      </c>
      <c r="E2281" t="s">
        <v>5177</v>
      </c>
      <c r="F2281">
        <v>58</v>
      </c>
      <c r="G2281" t="s">
        <v>31</v>
      </c>
      <c r="H2281" t="s">
        <v>31</v>
      </c>
    </row>
    <row r="2282" spans="1:10" x14ac:dyDescent="0.3">
      <c r="A2282" t="s">
        <v>5178</v>
      </c>
      <c r="B2282" t="s">
        <v>26501</v>
      </c>
      <c r="C2282" t="s">
        <v>20490</v>
      </c>
      <c r="D2282" t="s">
        <v>22</v>
      </c>
      <c r="E2282" t="s">
        <v>5179</v>
      </c>
      <c r="F2282">
        <v>45</v>
      </c>
      <c r="G2282" t="s">
        <v>370</v>
      </c>
      <c r="H2282" t="s">
        <v>46</v>
      </c>
      <c r="J2282" t="s">
        <v>5180</v>
      </c>
    </row>
    <row r="2283" spans="1:10" x14ac:dyDescent="0.3">
      <c r="A2283" t="s">
        <v>5181</v>
      </c>
      <c r="B2283" t="s">
        <v>26502</v>
      </c>
      <c r="C2283" t="s">
        <v>20490</v>
      </c>
      <c r="D2283" t="s">
        <v>22</v>
      </c>
      <c r="E2283" t="s">
        <v>5182</v>
      </c>
      <c r="F2283">
        <v>48</v>
      </c>
      <c r="G2283" t="s">
        <v>370</v>
      </c>
      <c r="H2283" t="s">
        <v>46</v>
      </c>
      <c r="J2283" t="s">
        <v>5183</v>
      </c>
    </row>
    <row r="2284" spans="1:10" x14ac:dyDescent="0.3">
      <c r="A2284" t="s">
        <v>5184</v>
      </c>
      <c r="B2284" t="s">
        <v>26503</v>
      </c>
      <c r="C2284" t="s">
        <v>20486</v>
      </c>
      <c r="D2284" t="s">
        <v>22</v>
      </c>
      <c r="E2284" t="s">
        <v>5185</v>
      </c>
      <c r="F2284">
        <v>40</v>
      </c>
      <c r="G2284" t="s">
        <v>31</v>
      </c>
      <c r="H2284" t="s">
        <v>31</v>
      </c>
      <c r="J2284" t="s">
        <v>33</v>
      </c>
    </row>
    <row r="2285" spans="1:10" x14ac:dyDescent="0.3">
      <c r="A2285" t="s">
        <v>5186</v>
      </c>
      <c r="B2285" t="s">
        <v>26504</v>
      </c>
      <c r="C2285" t="s">
        <v>20486</v>
      </c>
      <c r="D2285" t="s">
        <v>22</v>
      </c>
      <c r="E2285" t="s">
        <v>2205</v>
      </c>
      <c r="F2285">
        <v>47</v>
      </c>
      <c r="G2285" t="s">
        <v>531</v>
      </c>
      <c r="H2285" t="s">
        <v>46</v>
      </c>
      <c r="I2285" t="s">
        <v>4289</v>
      </c>
    </row>
    <row r="2286" spans="1:10" x14ac:dyDescent="0.3">
      <c r="A2286" t="s">
        <v>5187</v>
      </c>
      <c r="B2286" t="s">
        <v>26505</v>
      </c>
      <c r="C2286" t="s">
        <v>20486</v>
      </c>
      <c r="D2286" t="s">
        <v>22</v>
      </c>
      <c r="E2286" t="s">
        <v>5188</v>
      </c>
      <c r="F2286">
        <v>69</v>
      </c>
      <c r="G2286" t="s">
        <v>133</v>
      </c>
      <c r="H2286" t="s">
        <v>9789</v>
      </c>
      <c r="J2286" t="s">
        <v>5189</v>
      </c>
    </row>
    <row r="2287" spans="1:10" x14ac:dyDescent="0.3">
      <c r="A2287" t="s">
        <v>5190</v>
      </c>
      <c r="B2287" t="s">
        <v>26506</v>
      </c>
      <c r="C2287" t="s">
        <v>20487</v>
      </c>
      <c r="D2287" t="s">
        <v>22</v>
      </c>
      <c r="E2287" t="s">
        <v>5191</v>
      </c>
      <c r="F2287">
        <v>59</v>
      </c>
      <c r="G2287" t="s">
        <v>33</v>
      </c>
      <c r="H2287" t="s">
        <v>31</v>
      </c>
    </row>
    <row r="2288" spans="1:10" x14ac:dyDescent="0.3">
      <c r="A2288" t="s">
        <v>5192</v>
      </c>
      <c r="B2288" t="s">
        <v>26507</v>
      </c>
      <c r="C2288" t="s">
        <v>20489</v>
      </c>
      <c r="D2288" t="s">
        <v>22</v>
      </c>
      <c r="E2288" t="s">
        <v>5193</v>
      </c>
      <c r="F2288">
        <v>55</v>
      </c>
      <c r="G2288" t="s">
        <v>88</v>
      </c>
      <c r="H2288" t="s">
        <v>12065</v>
      </c>
      <c r="I2288" t="s">
        <v>5194</v>
      </c>
      <c r="J2288" t="s">
        <v>4799</v>
      </c>
    </row>
    <row r="2289" spans="1:10" x14ac:dyDescent="0.3">
      <c r="A2289" t="s">
        <v>5195</v>
      </c>
      <c r="B2289" t="s">
        <v>26508</v>
      </c>
      <c r="C2289" t="s">
        <v>20486</v>
      </c>
      <c r="D2289" t="s">
        <v>11</v>
      </c>
      <c r="E2289" t="s">
        <v>5196</v>
      </c>
      <c r="F2289">
        <v>34</v>
      </c>
      <c r="G2289" t="s">
        <v>133</v>
      </c>
      <c r="H2289" t="s">
        <v>9789</v>
      </c>
      <c r="I2289" t="s">
        <v>1028</v>
      </c>
      <c r="J2289" t="s">
        <v>5197</v>
      </c>
    </row>
    <row r="2290" spans="1:10" x14ac:dyDescent="0.3">
      <c r="A2290" t="s">
        <v>12363</v>
      </c>
      <c r="B2290" t="s">
        <v>26509</v>
      </c>
      <c r="C2290" t="s">
        <v>20486</v>
      </c>
      <c r="D2290" t="s">
        <v>11</v>
      </c>
      <c r="E2290" t="s">
        <v>9667</v>
      </c>
      <c r="F2290">
        <v>29</v>
      </c>
      <c r="G2290" t="s">
        <v>109</v>
      </c>
      <c r="H2290" t="s">
        <v>9788</v>
      </c>
    </row>
    <row r="2291" spans="1:10" x14ac:dyDescent="0.3">
      <c r="A2291" t="s">
        <v>5198</v>
      </c>
      <c r="B2291" t="s">
        <v>26510</v>
      </c>
      <c r="C2291" t="s">
        <v>20491</v>
      </c>
      <c r="D2291" t="s">
        <v>22</v>
      </c>
      <c r="E2291" t="s">
        <v>5199</v>
      </c>
      <c r="F2291">
        <v>37</v>
      </c>
      <c r="G2291" t="s">
        <v>231</v>
      </c>
      <c r="H2291" t="s">
        <v>9788</v>
      </c>
      <c r="J2291" t="s">
        <v>5200</v>
      </c>
    </row>
    <row r="2292" spans="1:10" x14ac:dyDescent="0.3">
      <c r="A2292" t="s">
        <v>5201</v>
      </c>
      <c r="B2292" t="s">
        <v>26511</v>
      </c>
      <c r="C2292" t="s">
        <v>20490</v>
      </c>
      <c r="D2292" t="s">
        <v>22</v>
      </c>
      <c r="E2292" t="s">
        <v>4057</v>
      </c>
      <c r="F2292">
        <v>42</v>
      </c>
      <c r="G2292" t="s">
        <v>5098</v>
      </c>
      <c r="H2292" t="s">
        <v>9785</v>
      </c>
    </row>
    <row r="2293" spans="1:10" x14ac:dyDescent="0.3">
      <c r="A2293" t="s">
        <v>12364</v>
      </c>
      <c r="B2293" t="s">
        <v>26512</v>
      </c>
      <c r="C2293" t="s">
        <v>20486</v>
      </c>
      <c r="D2293" t="s">
        <v>22</v>
      </c>
      <c r="E2293" t="s">
        <v>9666</v>
      </c>
      <c r="F2293">
        <v>17</v>
      </c>
      <c r="H2293" t="s">
        <v>337</v>
      </c>
    </row>
    <row r="2294" spans="1:10" x14ac:dyDescent="0.3">
      <c r="A2294" t="s">
        <v>5202</v>
      </c>
      <c r="B2294" t="s">
        <v>26513</v>
      </c>
      <c r="C2294" t="s">
        <v>20486</v>
      </c>
      <c r="D2294" t="s">
        <v>11</v>
      </c>
      <c r="E2294" t="s">
        <v>5203</v>
      </c>
      <c r="F2294">
        <v>56</v>
      </c>
      <c r="G2294" t="s">
        <v>46</v>
      </c>
      <c r="H2294" t="s">
        <v>46</v>
      </c>
      <c r="I2294" t="s">
        <v>5204</v>
      </c>
      <c r="J2294" t="s">
        <v>5205</v>
      </c>
    </row>
    <row r="2295" spans="1:10" x14ac:dyDescent="0.3">
      <c r="A2295" t="s">
        <v>5206</v>
      </c>
      <c r="B2295" t="s">
        <v>26514</v>
      </c>
      <c r="C2295" t="s">
        <v>20486</v>
      </c>
      <c r="D2295" t="s">
        <v>11</v>
      </c>
      <c r="E2295" t="s">
        <v>5207</v>
      </c>
      <c r="F2295">
        <v>49</v>
      </c>
      <c r="G2295" t="s">
        <v>133</v>
      </c>
      <c r="H2295" t="s">
        <v>9789</v>
      </c>
      <c r="I2295" t="s">
        <v>139</v>
      </c>
      <c r="J2295" t="s">
        <v>5208</v>
      </c>
    </row>
    <row r="2296" spans="1:10" x14ac:dyDescent="0.3">
      <c r="A2296" t="s">
        <v>5209</v>
      </c>
      <c r="B2296" t="s">
        <v>26515</v>
      </c>
      <c r="C2296" t="s">
        <v>20486</v>
      </c>
      <c r="D2296" t="s">
        <v>22</v>
      </c>
      <c r="E2296" t="s">
        <v>5210</v>
      </c>
      <c r="F2296">
        <v>39</v>
      </c>
      <c r="G2296" t="s">
        <v>243</v>
      </c>
      <c r="H2296" t="s">
        <v>243</v>
      </c>
      <c r="I2296" t="s">
        <v>5211</v>
      </c>
      <c r="J2296" t="s">
        <v>5212</v>
      </c>
    </row>
    <row r="2297" spans="1:10" x14ac:dyDescent="0.3">
      <c r="A2297" t="s">
        <v>5213</v>
      </c>
      <c r="B2297" t="s">
        <v>26516</v>
      </c>
      <c r="C2297" t="s">
        <v>20489</v>
      </c>
      <c r="D2297" t="s">
        <v>11</v>
      </c>
      <c r="E2297" t="s">
        <v>5214</v>
      </c>
      <c r="F2297">
        <v>54</v>
      </c>
      <c r="G2297" t="s">
        <v>370</v>
      </c>
      <c r="H2297" t="s">
        <v>46</v>
      </c>
      <c r="I2297" t="s">
        <v>228</v>
      </c>
      <c r="J2297" t="s">
        <v>5215</v>
      </c>
    </row>
    <row r="2298" spans="1:10" x14ac:dyDescent="0.3">
      <c r="A2298" t="s">
        <v>5216</v>
      </c>
      <c r="B2298" t="s">
        <v>26517</v>
      </c>
      <c r="C2298" t="s">
        <v>20489</v>
      </c>
      <c r="D2298" t="s">
        <v>22</v>
      </c>
      <c r="E2298" t="s">
        <v>5217</v>
      </c>
      <c r="F2298">
        <v>36</v>
      </c>
      <c r="G2298" t="s">
        <v>370</v>
      </c>
      <c r="H2298" t="s">
        <v>46</v>
      </c>
      <c r="I2298" t="s">
        <v>6364</v>
      </c>
    </row>
    <row r="2299" spans="1:10" x14ac:dyDescent="0.3">
      <c r="A2299" t="s">
        <v>5218</v>
      </c>
      <c r="B2299" t="s">
        <v>26518</v>
      </c>
      <c r="C2299" t="s">
        <v>20491</v>
      </c>
      <c r="D2299" t="s">
        <v>22</v>
      </c>
      <c r="E2299" t="s">
        <v>5219</v>
      </c>
      <c r="F2299">
        <v>36</v>
      </c>
      <c r="G2299" t="s">
        <v>16</v>
      </c>
      <c r="H2299" t="s">
        <v>9785</v>
      </c>
      <c r="J2299" t="s">
        <v>5220</v>
      </c>
    </row>
    <row r="2300" spans="1:10" x14ac:dyDescent="0.3">
      <c r="A2300" t="s">
        <v>12365</v>
      </c>
      <c r="B2300" t="s">
        <v>26519</v>
      </c>
      <c r="C2300" t="s">
        <v>20491</v>
      </c>
      <c r="D2300" t="s">
        <v>11</v>
      </c>
      <c r="E2300" t="s">
        <v>9665</v>
      </c>
      <c r="F2300">
        <v>23</v>
      </c>
      <c r="G2300" t="s">
        <v>243</v>
      </c>
      <c r="H2300" t="s">
        <v>243</v>
      </c>
      <c r="J2300" t="s">
        <v>9664</v>
      </c>
    </row>
    <row r="2301" spans="1:10" x14ac:dyDescent="0.3">
      <c r="A2301" t="s">
        <v>5221</v>
      </c>
      <c r="B2301" t="s">
        <v>26520</v>
      </c>
      <c r="C2301" t="s">
        <v>20486</v>
      </c>
      <c r="D2301" t="s">
        <v>22</v>
      </c>
      <c r="E2301" t="s">
        <v>5222</v>
      </c>
      <c r="F2301">
        <v>38</v>
      </c>
      <c r="G2301" t="s">
        <v>46</v>
      </c>
      <c r="H2301" t="s">
        <v>46</v>
      </c>
      <c r="I2301" t="s">
        <v>5223</v>
      </c>
      <c r="J2301" t="s">
        <v>74</v>
      </c>
    </row>
    <row r="2302" spans="1:10" x14ac:dyDescent="0.3">
      <c r="A2302" t="s">
        <v>5224</v>
      </c>
      <c r="B2302" t="s">
        <v>26521</v>
      </c>
      <c r="C2302" t="s">
        <v>20490</v>
      </c>
      <c r="D2302" t="s">
        <v>11</v>
      </c>
      <c r="E2302" t="s">
        <v>5225</v>
      </c>
      <c r="F2302">
        <v>57</v>
      </c>
      <c r="G2302" t="s">
        <v>540</v>
      </c>
      <c r="H2302" t="s">
        <v>12074</v>
      </c>
      <c r="J2302" t="s">
        <v>5226</v>
      </c>
    </row>
    <row r="2303" spans="1:10" x14ac:dyDescent="0.3">
      <c r="A2303" t="s">
        <v>5227</v>
      </c>
      <c r="B2303" t="s">
        <v>26522</v>
      </c>
      <c r="C2303" t="s">
        <v>20486</v>
      </c>
      <c r="D2303" t="s">
        <v>22</v>
      </c>
      <c r="E2303" t="s">
        <v>5228</v>
      </c>
      <c r="F2303">
        <v>38</v>
      </c>
      <c r="G2303" t="s">
        <v>172</v>
      </c>
      <c r="H2303" t="s">
        <v>12099</v>
      </c>
      <c r="I2303" t="s">
        <v>17</v>
      </c>
      <c r="J2303" t="s">
        <v>5229</v>
      </c>
    </row>
    <row r="2304" spans="1:10" x14ac:dyDescent="0.3">
      <c r="A2304" t="s">
        <v>5230</v>
      </c>
      <c r="B2304" t="s">
        <v>26523</v>
      </c>
      <c r="C2304" t="s">
        <v>20491</v>
      </c>
      <c r="D2304" t="s">
        <v>22</v>
      </c>
      <c r="E2304" t="s">
        <v>5231</v>
      </c>
      <c r="F2304">
        <v>56</v>
      </c>
      <c r="G2304" t="s">
        <v>201</v>
      </c>
      <c r="H2304" t="s">
        <v>46</v>
      </c>
      <c r="J2304" t="s">
        <v>5232</v>
      </c>
    </row>
    <row r="2305" spans="1:10" x14ac:dyDescent="0.3">
      <c r="A2305" t="s">
        <v>5233</v>
      </c>
      <c r="B2305" t="s">
        <v>26524</v>
      </c>
      <c r="C2305" t="s">
        <v>20488</v>
      </c>
      <c r="D2305" t="s">
        <v>11</v>
      </c>
      <c r="E2305" t="s">
        <v>5234</v>
      </c>
      <c r="F2305">
        <v>36</v>
      </c>
      <c r="G2305" t="s">
        <v>109</v>
      </c>
      <c r="H2305" t="s">
        <v>9788</v>
      </c>
    </row>
    <row r="2306" spans="1:10" x14ac:dyDescent="0.3">
      <c r="A2306" t="s">
        <v>5235</v>
      </c>
      <c r="B2306" t="s">
        <v>26525</v>
      </c>
      <c r="C2306" t="s">
        <v>20488</v>
      </c>
      <c r="D2306" t="s">
        <v>22</v>
      </c>
      <c r="E2306" t="s">
        <v>5236</v>
      </c>
      <c r="F2306">
        <v>18</v>
      </c>
      <c r="G2306" t="s">
        <v>337</v>
      </c>
      <c r="H2306" t="s">
        <v>337</v>
      </c>
    </row>
    <row r="2307" spans="1:10" x14ac:dyDescent="0.3">
      <c r="A2307" t="s">
        <v>5237</v>
      </c>
      <c r="B2307" t="s">
        <v>26526</v>
      </c>
      <c r="C2307" t="s">
        <v>20488</v>
      </c>
      <c r="D2307" t="s">
        <v>22</v>
      </c>
      <c r="E2307" t="s">
        <v>2394</v>
      </c>
      <c r="F2307">
        <v>19</v>
      </c>
      <c r="G2307" t="s">
        <v>337</v>
      </c>
      <c r="H2307" t="s">
        <v>337</v>
      </c>
    </row>
    <row r="2308" spans="1:10" x14ac:dyDescent="0.3">
      <c r="A2308" t="s">
        <v>5238</v>
      </c>
      <c r="B2308" t="s">
        <v>26527</v>
      </c>
      <c r="C2308" t="s">
        <v>20488</v>
      </c>
      <c r="D2308" t="s">
        <v>22</v>
      </c>
      <c r="E2308" t="s">
        <v>3604</v>
      </c>
      <c r="F2308">
        <v>47</v>
      </c>
      <c r="G2308" t="s">
        <v>31</v>
      </c>
      <c r="H2308" t="s">
        <v>31</v>
      </c>
      <c r="I2308" t="s">
        <v>33</v>
      </c>
    </row>
    <row r="2309" spans="1:10" x14ac:dyDescent="0.3">
      <c r="A2309" t="s">
        <v>5239</v>
      </c>
      <c r="B2309" t="s">
        <v>26528</v>
      </c>
      <c r="C2309" t="s">
        <v>20486</v>
      </c>
      <c r="D2309" t="s">
        <v>11</v>
      </c>
      <c r="E2309" t="s">
        <v>5240</v>
      </c>
      <c r="F2309">
        <v>44</v>
      </c>
      <c r="G2309" t="s">
        <v>109</v>
      </c>
      <c r="H2309" t="s">
        <v>9788</v>
      </c>
      <c r="I2309" t="s">
        <v>1484</v>
      </c>
      <c r="J2309" t="s">
        <v>5241</v>
      </c>
    </row>
    <row r="2310" spans="1:10" x14ac:dyDescent="0.3">
      <c r="A2310" t="s">
        <v>5242</v>
      </c>
      <c r="B2310" t="s">
        <v>26529</v>
      </c>
      <c r="C2310" t="s">
        <v>20486</v>
      </c>
      <c r="D2310" t="s">
        <v>22</v>
      </c>
      <c r="E2310" t="s">
        <v>5243</v>
      </c>
      <c r="F2310">
        <v>48</v>
      </c>
      <c r="G2310" t="s">
        <v>31</v>
      </c>
      <c r="H2310" t="s">
        <v>31</v>
      </c>
      <c r="I2310" t="s">
        <v>384</v>
      </c>
      <c r="J2310" t="s">
        <v>33</v>
      </c>
    </row>
    <row r="2311" spans="1:10" x14ac:dyDescent="0.3">
      <c r="A2311" t="s">
        <v>5244</v>
      </c>
      <c r="B2311" t="s">
        <v>26530</v>
      </c>
      <c r="C2311" t="s">
        <v>20488</v>
      </c>
      <c r="D2311" t="s">
        <v>11</v>
      </c>
      <c r="E2311" t="s">
        <v>5245</v>
      </c>
      <c r="F2311">
        <v>42</v>
      </c>
      <c r="G2311" t="s">
        <v>109</v>
      </c>
      <c r="H2311" t="s">
        <v>9788</v>
      </c>
    </row>
    <row r="2312" spans="1:10" x14ac:dyDescent="0.3">
      <c r="A2312" t="s">
        <v>5246</v>
      </c>
      <c r="B2312" t="s">
        <v>26531</v>
      </c>
      <c r="C2312" t="s">
        <v>20488</v>
      </c>
      <c r="D2312" t="s">
        <v>11</v>
      </c>
      <c r="E2312" t="s">
        <v>5247</v>
      </c>
      <c r="F2312">
        <v>37</v>
      </c>
      <c r="G2312" t="s">
        <v>109</v>
      </c>
      <c r="H2312" t="s">
        <v>9788</v>
      </c>
    </row>
    <row r="2313" spans="1:10" x14ac:dyDescent="0.3">
      <c r="A2313" t="s">
        <v>5248</v>
      </c>
      <c r="B2313" t="s">
        <v>26532</v>
      </c>
      <c r="C2313" t="s">
        <v>20486</v>
      </c>
      <c r="D2313" t="s">
        <v>11</v>
      </c>
      <c r="E2313" t="s">
        <v>5249</v>
      </c>
      <c r="F2313">
        <v>30</v>
      </c>
      <c r="G2313" t="s">
        <v>955</v>
      </c>
      <c r="H2313" t="s">
        <v>9788</v>
      </c>
      <c r="I2313" t="s">
        <v>923</v>
      </c>
      <c r="J2313" t="s">
        <v>5080</v>
      </c>
    </row>
    <row r="2314" spans="1:10" x14ac:dyDescent="0.3">
      <c r="A2314" t="s">
        <v>5250</v>
      </c>
      <c r="B2314" t="s">
        <v>26533</v>
      </c>
      <c r="C2314" t="s">
        <v>20489</v>
      </c>
      <c r="D2314" t="s">
        <v>11</v>
      </c>
      <c r="E2314" t="s">
        <v>5251</v>
      </c>
      <c r="F2314">
        <v>56</v>
      </c>
      <c r="G2314" t="s">
        <v>109</v>
      </c>
      <c r="H2314" t="s">
        <v>9788</v>
      </c>
      <c r="I2314" t="s">
        <v>4629</v>
      </c>
      <c r="J2314" t="s">
        <v>5252</v>
      </c>
    </row>
    <row r="2315" spans="1:10" x14ac:dyDescent="0.3">
      <c r="A2315" t="s">
        <v>5253</v>
      </c>
      <c r="B2315" t="s">
        <v>26534</v>
      </c>
      <c r="C2315" t="s">
        <v>20486</v>
      </c>
      <c r="D2315" t="s">
        <v>22</v>
      </c>
      <c r="E2315" t="s">
        <v>5254</v>
      </c>
      <c r="F2315">
        <v>48</v>
      </c>
      <c r="G2315" t="s">
        <v>46</v>
      </c>
      <c r="H2315" t="s">
        <v>46</v>
      </c>
      <c r="I2315" t="s">
        <v>228</v>
      </c>
      <c r="J2315" t="s">
        <v>2216</v>
      </c>
    </row>
    <row r="2316" spans="1:10" x14ac:dyDescent="0.3">
      <c r="A2316" t="s">
        <v>5255</v>
      </c>
      <c r="B2316" t="s">
        <v>26535</v>
      </c>
      <c r="C2316" t="s">
        <v>20491</v>
      </c>
      <c r="D2316" t="s">
        <v>22</v>
      </c>
      <c r="E2316" t="s">
        <v>5256</v>
      </c>
      <c r="F2316">
        <v>50</v>
      </c>
      <c r="G2316" t="s">
        <v>46</v>
      </c>
      <c r="H2316" t="s">
        <v>46</v>
      </c>
    </row>
    <row r="2317" spans="1:10" x14ac:dyDescent="0.3">
      <c r="A2317" t="s">
        <v>5257</v>
      </c>
      <c r="B2317" t="s">
        <v>26536</v>
      </c>
      <c r="C2317" t="s">
        <v>20489</v>
      </c>
      <c r="D2317" t="s">
        <v>11</v>
      </c>
      <c r="E2317" t="s">
        <v>84</v>
      </c>
      <c r="F2317">
        <v>70</v>
      </c>
      <c r="G2317" t="s">
        <v>370</v>
      </c>
      <c r="H2317" t="s">
        <v>46</v>
      </c>
      <c r="I2317" t="s">
        <v>12366</v>
      </c>
      <c r="J2317" t="s">
        <v>9147</v>
      </c>
    </row>
    <row r="2318" spans="1:10" x14ac:dyDescent="0.3">
      <c r="A2318" t="s">
        <v>5258</v>
      </c>
      <c r="B2318" t="s">
        <v>26537</v>
      </c>
      <c r="C2318" t="s">
        <v>20489</v>
      </c>
      <c r="D2318" t="s">
        <v>22</v>
      </c>
      <c r="E2318" t="s">
        <v>5259</v>
      </c>
      <c r="F2318">
        <v>46</v>
      </c>
      <c r="G2318" t="s">
        <v>109</v>
      </c>
      <c r="H2318" t="s">
        <v>9788</v>
      </c>
      <c r="I2318" t="s">
        <v>4834</v>
      </c>
      <c r="J2318" t="s">
        <v>14325</v>
      </c>
    </row>
    <row r="2319" spans="1:10" x14ac:dyDescent="0.3">
      <c r="A2319" t="s">
        <v>5260</v>
      </c>
      <c r="B2319" t="s">
        <v>26538</v>
      </c>
      <c r="C2319" t="s">
        <v>20486</v>
      </c>
      <c r="D2319" t="s">
        <v>22</v>
      </c>
      <c r="E2319" t="s">
        <v>5261</v>
      </c>
      <c r="F2319">
        <v>53</v>
      </c>
      <c r="G2319" t="s">
        <v>133</v>
      </c>
      <c r="H2319" t="s">
        <v>9789</v>
      </c>
      <c r="I2319" t="s">
        <v>5262</v>
      </c>
      <c r="J2319" t="s">
        <v>5262</v>
      </c>
    </row>
    <row r="2320" spans="1:10" x14ac:dyDescent="0.3">
      <c r="A2320" t="s">
        <v>12367</v>
      </c>
      <c r="B2320" t="s">
        <v>26539</v>
      </c>
      <c r="C2320" t="s">
        <v>20486</v>
      </c>
      <c r="D2320" t="s">
        <v>22</v>
      </c>
      <c r="E2320" t="s">
        <v>18825</v>
      </c>
      <c r="F2320">
        <v>31</v>
      </c>
      <c r="G2320" t="s">
        <v>109</v>
      </c>
      <c r="H2320" t="s">
        <v>9788</v>
      </c>
    </row>
    <row r="2321" spans="1:10" x14ac:dyDescent="0.3">
      <c r="A2321" t="s">
        <v>5263</v>
      </c>
      <c r="B2321" t="s">
        <v>26540</v>
      </c>
      <c r="C2321" t="s">
        <v>20487</v>
      </c>
      <c r="D2321" t="s">
        <v>22</v>
      </c>
      <c r="E2321" t="s">
        <v>5264</v>
      </c>
      <c r="F2321">
        <v>45</v>
      </c>
      <c r="G2321" t="s">
        <v>109</v>
      </c>
      <c r="H2321" t="s">
        <v>9788</v>
      </c>
    </row>
    <row r="2322" spans="1:10" x14ac:dyDescent="0.3">
      <c r="A2322" t="s">
        <v>5265</v>
      </c>
      <c r="B2322" t="s">
        <v>26541</v>
      </c>
      <c r="C2322" t="s">
        <v>20486</v>
      </c>
      <c r="D2322" t="s">
        <v>22</v>
      </c>
      <c r="E2322" t="s">
        <v>5266</v>
      </c>
      <c r="F2322">
        <v>42</v>
      </c>
      <c r="G2322" t="s">
        <v>31</v>
      </c>
      <c r="H2322" t="s">
        <v>31</v>
      </c>
      <c r="J2322" t="s">
        <v>33</v>
      </c>
    </row>
    <row r="2323" spans="1:10" x14ac:dyDescent="0.3">
      <c r="A2323" t="s">
        <v>5267</v>
      </c>
      <c r="B2323" t="s">
        <v>26542</v>
      </c>
      <c r="C2323" t="s">
        <v>20486</v>
      </c>
      <c r="D2323" t="s">
        <v>11</v>
      </c>
      <c r="E2323" t="s">
        <v>5268</v>
      </c>
      <c r="F2323">
        <v>54</v>
      </c>
      <c r="G2323" t="s">
        <v>109</v>
      </c>
      <c r="H2323" t="s">
        <v>9788</v>
      </c>
      <c r="I2323" t="s">
        <v>12368</v>
      </c>
      <c r="J2323" t="s">
        <v>12369</v>
      </c>
    </row>
    <row r="2324" spans="1:10" x14ac:dyDescent="0.3">
      <c r="A2324" t="s">
        <v>5269</v>
      </c>
      <c r="B2324" t="s">
        <v>26543</v>
      </c>
      <c r="C2324" t="s">
        <v>20487</v>
      </c>
      <c r="D2324" t="s">
        <v>22</v>
      </c>
      <c r="E2324" t="s">
        <v>5270</v>
      </c>
      <c r="F2324">
        <v>47</v>
      </c>
      <c r="G2324" t="s">
        <v>31</v>
      </c>
      <c r="H2324" t="s">
        <v>31</v>
      </c>
    </row>
    <row r="2325" spans="1:10" x14ac:dyDescent="0.3">
      <c r="A2325" t="s">
        <v>5271</v>
      </c>
      <c r="B2325" t="s">
        <v>26544</v>
      </c>
      <c r="C2325" t="s">
        <v>20488</v>
      </c>
      <c r="D2325" t="s">
        <v>22</v>
      </c>
      <c r="E2325" t="s">
        <v>5272</v>
      </c>
      <c r="F2325">
        <v>57</v>
      </c>
      <c r="G2325" t="s">
        <v>31</v>
      </c>
      <c r="H2325" t="s">
        <v>31</v>
      </c>
      <c r="I2325" t="s">
        <v>33</v>
      </c>
    </row>
    <row r="2326" spans="1:10" x14ac:dyDescent="0.3">
      <c r="A2326" t="s">
        <v>5273</v>
      </c>
      <c r="B2326" t="s">
        <v>26545</v>
      </c>
      <c r="C2326" t="s">
        <v>20488</v>
      </c>
      <c r="D2326" t="s">
        <v>22</v>
      </c>
      <c r="E2326" t="s">
        <v>2180</v>
      </c>
      <c r="F2326">
        <v>57</v>
      </c>
      <c r="G2326" t="s">
        <v>46</v>
      </c>
      <c r="H2326" t="s">
        <v>46</v>
      </c>
      <c r="I2326" t="s">
        <v>5274</v>
      </c>
    </row>
    <row r="2327" spans="1:10" x14ac:dyDescent="0.3">
      <c r="A2327" t="s">
        <v>5275</v>
      </c>
      <c r="B2327" t="s">
        <v>26546</v>
      </c>
      <c r="C2327" t="s">
        <v>20486</v>
      </c>
      <c r="D2327" t="s">
        <v>11</v>
      </c>
      <c r="E2327" t="s">
        <v>5276</v>
      </c>
      <c r="F2327">
        <v>55</v>
      </c>
      <c r="G2327" t="s">
        <v>133</v>
      </c>
      <c r="H2327" t="s">
        <v>9789</v>
      </c>
      <c r="I2327" t="s">
        <v>2477</v>
      </c>
      <c r="J2327" t="s">
        <v>2478</v>
      </c>
    </row>
    <row r="2328" spans="1:10" x14ac:dyDescent="0.3">
      <c r="A2328" t="s">
        <v>5277</v>
      </c>
      <c r="B2328" t="s">
        <v>26547</v>
      </c>
      <c r="C2328" t="s">
        <v>20488</v>
      </c>
      <c r="D2328" t="s">
        <v>22</v>
      </c>
      <c r="E2328" t="s">
        <v>5278</v>
      </c>
      <c r="F2328">
        <v>54</v>
      </c>
      <c r="G2328" t="s">
        <v>31</v>
      </c>
      <c r="H2328" t="s">
        <v>31</v>
      </c>
      <c r="I2328" t="s">
        <v>33</v>
      </c>
    </row>
    <row r="2329" spans="1:10" x14ac:dyDescent="0.3">
      <c r="A2329" t="s">
        <v>5279</v>
      </c>
      <c r="B2329" t="s">
        <v>26548</v>
      </c>
      <c r="C2329" t="s">
        <v>20491</v>
      </c>
      <c r="D2329" t="s">
        <v>22</v>
      </c>
      <c r="E2329" t="s">
        <v>5280</v>
      </c>
      <c r="F2329">
        <v>40</v>
      </c>
      <c r="G2329" t="s">
        <v>46</v>
      </c>
      <c r="H2329" t="s">
        <v>46</v>
      </c>
      <c r="I2329" t="s">
        <v>5281</v>
      </c>
      <c r="J2329" t="s">
        <v>5281</v>
      </c>
    </row>
    <row r="2330" spans="1:10" x14ac:dyDescent="0.3">
      <c r="A2330" t="s">
        <v>5282</v>
      </c>
      <c r="B2330" t="s">
        <v>26549</v>
      </c>
      <c r="C2330" t="s">
        <v>20487</v>
      </c>
      <c r="D2330" t="s">
        <v>11</v>
      </c>
      <c r="E2330" t="s">
        <v>5283</v>
      </c>
      <c r="F2330">
        <v>29</v>
      </c>
      <c r="G2330" t="s">
        <v>1047</v>
      </c>
      <c r="H2330" t="s">
        <v>9788</v>
      </c>
    </row>
    <row r="2331" spans="1:10" x14ac:dyDescent="0.3">
      <c r="A2331" t="s">
        <v>5284</v>
      </c>
      <c r="B2331" t="s">
        <v>26550</v>
      </c>
      <c r="C2331" t="s">
        <v>20486</v>
      </c>
      <c r="D2331" t="s">
        <v>22</v>
      </c>
      <c r="E2331" t="s">
        <v>5285</v>
      </c>
      <c r="F2331">
        <v>48</v>
      </c>
      <c r="G2331" t="s">
        <v>16</v>
      </c>
      <c r="H2331" t="s">
        <v>9785</v>
      </c>
      <c r="I2331" t="s">
        <v>17</v>
      </c>
      <c r="J2331" t="s">
        <v>5286</v>
      </c>
    </row>
    <row r="2332" spans="1:10" x14ac:dyDescent="0.3">
      <c r="A2332" t="s">
        <v>5287</v>
      </c>
      <c r="B2332" t="s">
        <v>26551</v>
      </c>
      <c r="C2332" t="s">
        <v>20488</v>
      </c>
      <c r="D2332" t="s">
        <v>11</v>
      </c>
      <c r="E2332" t="s">
        <v>5288</v>
      </c>
      <c r="F2332">
        <v>51</v>
      </c>
      <c r="G2332" t="s">
        <v>109</v>
      </c>
      <c r="H2332" t="s">
        <v>9788</v>
      </c>
    </row>
    <row r="2333" spans="1:10" x14ac:dyDescent="0.3">
      <c r="A2333" t="s">
        <v>5289</v>
      </c>
      <c r="B2333" t="s">
        <v>26552</v>
      </c>
      <c r="C2333" t="s">
        <v>20486</v>
      </c>
      <c r="D2333" t="s">
        <v>22</v>
      </c>
      <c r="E2333" t="s">
        <v>5290</v>
      </c>
      <c r="F2333">
        <v>81</v>
      </c>
      <c r="G2333" t="s">
        <v>13</v>
      </c>
      <c r="H2333" t="s">
        <v>13</v>
      </c>
    </row>
    <row r="2334" spans="1:10" x14ac:dyDescent="0.3">
      <c r="A2334" t="s">
        <v>5291</v>
      </c>
      <c r="B2334" t="s">
        <v>26553</v>
      </c>
      <c r="C2334" t="s">
        <v>20490</v>
      </c>
      <c r="D2334" t="s">
        <v>22</v>
      </c>
      <c r="E2334" t="s">
        <v>5292</v>
      </c>
      <c r="F2334">
        <v>26</v>
      </c>
      <c r="G2334" t="s">
        <v>31</v>
      </c>
      <c r="H2334" t="s">
        <v>31</v>
      </c>
      <c r="I2334" t="s">
        <v>14326</v>
      </c>
    </row>
    <row r="2335" spans="1:10" x14ac:dyDescent="0.3">
      <c r="A2335" t="s">
        <v>5293</v>
      </c>
      <c r="B2335" t="s">
        <v>26554</v>
      </c>
      <c r="C2335" t="s">
        <v>20486</v>
      </c>
      <c r="D2335" t="s">
        <v>22</v>
      </c>
      <c r="E2335" t="s">
        <v>5294</v>
      </c>
      <c r="F2335">
        <v>48</v>
      </c>
      <c r="G2335" t="s">
        <v>46</v>
      </c>
      <c r="H2335" t="s">
        <v>46</v>
      </c>
    </row>
    <row r="2336" spans="1:10" x14ac:dyDescent="0.3">
      <c r="A2336" t="s">
        <v>5295</v>
      </c>
      <c r="B2336" t="s">
        <v>26555</v>
      </c>
      <c r="C2336" t="s">
        <v>20488</v>
      </c>
      <c r="D2336" t="s">
        <v>11</v>
      </c>
      <c r="E2336" t="s">
        <v>5296</v>
      </c>
      <c r="F2336">
        <v>39</v>
      </c>
      <c r="G2336" t="s">
        <v>109</v>
      </c>
      <c r="H2336" t="s">
        <v>9788</v>
      </c>
      <c r="I2336" t="s">
        <v>364</v>
      </c>
      <c r="J2336" t="s">
        <v>5297</v>
      </c>
    </row>
    <row r="2337" spans="1:10" x14ac:dyDescent="0.3">
      <c r="A2337" t="s">
        <v>5298</v>
      </c>
      <c r="B2337" t="s">
        <v>26556</v>
      </c>
      <c r="C2337" t="s">
        <v>20486</v>
      </c>
      <c r="D2337" t="s">
        <v>22</v>
      </c>
      <c r="E2337" t="s">
        <v>5299</v>
      </c>
      <c r="F2337">
        <v>39</v>
      </c>
      <c r="G2337" t="s">
        <v>16</v>
      </c>
      <c r="H2337" t="s">
        <v>12099</v>
      </c>
      <c r="I2337" t="s">
        <v>17</v>
      </c>
      <c r="J2337" t="s">
        <v>5300</v>
      </c>
    </row>
    <row r="2338" spans="1:10" x14ac:dyDescent="0.3">
      <c r="A2338" t="s">
        <v>5301</v>
      </c>
      <c r="B2338" t="s">
        <v>26557</v>
      </c>
      <c r="C2338" t="s">
        <v>20490</v>
      </c>
      <c r="D2338" t="s">
        <v>11</v>
      </c>
      <c r="E2338" t="s">
        <v>5302</v>
      </c>
      <c r="F2338">
        <v>44</v>
      </c>
      <c r="G2338" t="s">
        <v>540</v>
      </c>
      <c r="H2338" t="s">
        <v>12074</v>
      </c>
      <c r="J2338" t="s">
        <v>2144</v>
      </c>
    </row>
    <row r="2339" spans="1:10" x14ac:dyDescent="0.3">
      <c r="A2339" t="s">
        <v>5303</v>
      </c>
      <c r="B2339" t="s">
        <v>26558</v>
      </c>
      <c r="C2339" t="s">
        <v>20490</v>
      </c>
      <c r="D2339" t="s">
        <v>11</v>
      </c>
      <c r="E2339" t="s">
        <v>5304</v>
      </c>
      <c r="F2339">
        <v>56</v>
      </c>
      <c r="G2339" t="s">
        <v>370</v>
      </c>
      <c r="H2339" t="s">
        <v>46</v>
      </c>
      <c r="J2339" t="s">
        <v>5305</v>
      </c>
    </row>
    <row r="2340" spans="1:10" x14ac:dyDescent="0.3">
      <c r="A2340" t="s">
        <v>5306</v>
      </c>
      <c r="B2340" t="s">
        <v>26559</v>
      </c>
      <c r="C2340" t="s">
        <v>20491</v>
      </c>
      <c r="D2340" t="s">
        <v>22</v>
      </c>
      <c r="E2340" t="s">
        <v>5307</v>
      </c>
      <c r="F2340">
        <v>28</v>
      </c>
      <c r="G2340" t="s">
        <v>46</v>
      </c>
      <c r="H2340" t="s">
        <v>46</v>
      </c>
      <c r="I2340" t="s">
        <v>228</v>
      </c>
    </row>
    <row r="2341" spans="1:10" x14ac:dyDescent="0.3">
      <c r="A2341" t="s">
        <v>5308</v>
      </c>
      <c r="B2341" t="s">
        <v>26560</v>
      </c>
      <c r="C2341" t="s">
        <v>20490</v>
      </c>
      <c r="D2341" t="s">
        <v>22</v>
      </c>
      <c r="E2341" t="s">
        <v>5309</v>
      </c>
      <c r="F2341">
        <v>40</v>
      </c>
      <c r="G2341" t="s">
        <v>109</v>
      </c>
      <c r="H2341" t="s">
        <v>9788</v>
      </c>
      <c r="J2341" t="s">
        <v>5310</v>
      </c>
    </row>
    <row r="2342" spans="1:10" x14ac:dyDescent="0.3">
      <c r="A2342" t="s">
        <v>5311</v>
      </c>
      <c r="B2342" t="s">
        <v>26561</v>
      </c>
      <c r="C2342" t="s">
        <v>20486</v>
      </c>
      <c r="D2342" t="s">
        <v>22</v>
      </c>
      <c r="E2342" t="s">
        <v>12370</v>
      </c>
      <c r="F2342">
        <v>36</v>
      </c>
      <c r="G2342" t="s">
        <v>109</v>
      </c>
      <c r="H2342" t="s">
        <v>9788</v>
      </c>
      <c r="I2342" t="s">
        <v>12371</v>
      </c>
      <c r="J2342" t="s">
        <v>1091</v>
      </c>
    </row>
    <row r="2343" spans="1:10" x14ac:dyDescent="0.3">
      <c r="A2343" t="s">
        <v>5313</v>
      </c>
      <c r="B2343" t="s">
        <v>26562</v>
      </c>
      <c r="C2343" t="s">
        <v>20488</v>
      </c>
      <c r="D2343" t="s">
        <v>22</v>
      </c>
      <c r="E2343" t="s">
        <v>5314</v>
      </c>
      <c r="F2343">
        <v>50</v>
      </c>
      <c r="G2343" t="s">
        <v>31</v>
      </c>
      <c r="H2343" t="s">
        <v>31</v>
      </c>
      <c r="I2343" t="s">
        <v>33</v>
      </c>
    </row>
    <row r="2344" spans="1:10" x14ac:dyDescent="0.3">
      <c r="A2344" t="s">
        <v>5315</v>
      </c>
      <c r="B2344" t="s">
        <v>26563</v>
      </c>
      <c r="C2344" t="s">
        <v>20486</v>
      </c>
      <c r="D2344" t="s">
        <v>22</v>
      </c>
      <c r="E2344" t="s">
        <v>5316</v>
      </c>
      <c r="F2344">
        <v>40</v>
      </c>
      <c r="G2344" t="s">
        <v>31</v>
      </c>
      <c r="H2344" t="s">
        <v>31</v>
      </c>
    </row>
    <row r="2345" spans="1:10" x14ac:dyDescent="0.3">
      <c r="A2345" t="s">
        <v>5317</v>
      </c>
      <c r="B2345" t="s">
        <v>26564</v>
      </c>
      <c r="C2345" t="s">
        <v>20486</v>
      </c>
      <c r="D2345" t="s">
        <v>11</v>
      </c>
      <c r="E2345" t="s">
        <v>5318</v>
      </c>
      <c r="F2345">
        <v>48</v>
      </c>
      <c r="G2345" t="s">
        <v>133</v>
      </c>
      <c r="H2345" t="s">
        <v>9789</v>
      </c>
      <c r="I2345" t="s">
        <v>1968</v>
      </c>
      <c r="J2345" t="s">
        <v>1968</v>
      </c>
    </row>
    <row r="2346" spans="1:10" x14ac:dyDescent="0.3">
      <c r="A2346" t="s">
        <v>5319</v>
      </c>
      <c r="B2346" t="s">
        <v>26565</v>
      </c>
      <c r="C2346" t="s">
        <v>20486</v>
      </c>
      <c r="D2346" t="s">
        <v>22</v>
      </c>
      <c r="E2346" t="s">
        <v>5320</v>
      </c>
      <c r="F2346">
        <v>53</v>
      </c>
      <c r="G2346" t="s">
        <v>46</v>
      </c>
      <c r="H2346" t="s">
        <v>46</v>
      </c>
      <c r="I2346" t="s">
        <v>228</v>
      </c>
    </row>
    <row r="2347" spans="1:10" x14ac:dyDescent="0.3">
      <c r="A2347" t="s">
        <v>5321</v>
      </c>
      <c r="B2347" t="s">
        <v>26566</v>
      </c>
      <c r="C2347" t="s">
        <v>20486</v>
      </c>
      <c r="D2347" t="s">
        <v>22</v>
      </c>
      <c r="E2347" t="s">
        <v>5322</v>
      </c>
      <c r="F2347">
        <v>55</v>
      </c>
      <c r="G2347" t="s">
        <v>31</v>
      </c>
      <c r="H2347" t="s">
        <v>31</v>
      </c>
      <c r="J2347" t="s">
        <v>33</v>
      </c>
    </row>
    <row r="2348" spans="1:10" x14ac:dyDescent="0.3">
      <c r="A2348" t="s">
        <v>5323</v>
      </c>
      <c r="B2348" t="s">
        <v>26567</v>
      </c>
      <c r="C2348" t="s">
        <v>20487</v>
      </c>
      <c r="D2348" t="s">
        <v>11</v>
      </c>
      <c r="E2348" t="s">
        <v>5324</v>
      </c>
      <c r="F2348">
        <v>44</v>
      </c>
      <c r="G2348" t="s">
        <v>46</v>
      </c>
      <c r="H2348" t="s">
        <v>46</v>
      </c>
      <c r="J2348" t="s">
        <v>13849</v>
      </c>
    </row>
    <row r="2349" spans="1:10" x14ac:dyDescent="0.3">
      <c r="A2349" t="s">
        <v>5325</v>
      </c>
      <c r="B2349" t="s">
        <v>26568</v>
      </c>
      <c r="C2349" t="s">
        <v>20486</v>
      </c>
      <c r="D2349" t="s">
        <v>22</v>
      </c>
      <c r="E2349" t="s">
        <v>5326</v>
      </c>
      <c r="F2349">
        <v>37</v>
      </c>
      <c r="H2349" t="s">
        <v>9785</v>
      </c>
      <c r="J2349" t="s">
        <v>3234</v>
      </c>
    </row>
    <row r="2350" spans="1:10" x14ac:dyDescent="0.3">
      <c r="A2350" t="s">
        <v>5327</v>
      </c>
      <c r="B2350" t="s">
        <v>26569</v>
      </c>
      <c r="C2350" t="s">
        <v>20490</v>
      </c>
      <c r="D2350" t="s">
        <v>22</v>
      </c>
      <c r="E2350" t="s">
        <v>5328</v>
      </c>
      <c r="F2350">
        <v>58</v>
      </c>
      <c r="G2350" t="s">
        <v>370</v>
      </c>
      <c r="H2350" t="s">
        <v>46</v>
      </c>
      <c r="I2350" t="s">
        <v>5329</v>
      </c>
    </row>
    <row r="2351" spans="1:10" x14ac:dyDescent="0.3">
      <c r="A2351" t="s">
        <v>5330</v>
      </c>
      <c r="B2351" t="s">
        <v>26570</v>
      </c>
      <c r="C2351" t="s">
        <v>20486</v>
      </c>
      <c r="D2351" t="s">
        <v>22</v>
      </c>
      <c r="E2351" t="s">
        <v>5331</v>
      </c>
      <c r="F2351">
        <v>42</v>
      </c>
      <c r="G2351" t="s">
        <v>31</v>
      </c>
      <c r="H2351" t="s">
        <v>31</v>
      </c>
    </row>
    <row r="2352" spans="1:10" x14ac:dyDescent="0.3">
      <c r="A2352" t="s">
        <v>5332</v>
      </c>
      <c r="B2352" t="s">
        <v>26571</v>
      </c>
      <c r="C2352" t="s">
        <v>20490</v>
      </c>
      <c r="D2352" t="s">
        <v>22</v>
      </c>
      <c r="E2352" t="s">
        <v>5333</v>
      </c>
      <c r="F2352">
        <v>66</v>
      </c>
      <c r="G2352" t="s">
        <v>31</v>
      </c>
      <c r="H2352" t="s">
        <v>31</v>
      </c>
    </row>
    <row r="2353" spans="1:10" x14ac:dyDescent="0.3">
      <c r="A2353" t="s">
        <v>5334</v>
      </c>
      <c r="B2353" t="s">
        <v>26572</v>
      </c>
      <c r="C2353" t="s">
        <v>20490</v>
      </c>
      <c r="D2353" t="s">
        <v>11</v>
      </c>
      <c r="E2353" t="s">
        <v>5335</v>
      </c>
      <c r="F2353">
        <v>51</v>
      </c>
      <c r="G2353" t="s">
        <v>370</v>
      </c>
      <c r="H2353" t="s">
        <v>46</v>
      </c>
      <c r="I2353" t="s">
        <v>5336</v>
      </c>
    </row>
    <row r="2354" spans="1:10" x14ac:dyDescent="0.3">
      <c r="A2354" t="s">
        <v>5337</v>
      </c>
      <c r="B2354" t="s">
        <v>26573</v>
      </c>
      <c r="C2354" t="s">
        <v>20486</v>
      </c>
      <c r="D2354" t="s">
        <v>22</v>
      </c>
      <c r="E2354" t="s">
        <v>12372</v>
      </c>
      <c r="F2354">
        <v>62</v>
      </c>
      <c r="G2354" t="s">
        <v>243</v>
      </c>
      <c r="H2354" t="s">
        <v>46</v>
      </c>
      <c r="I2354" t="s">
        <v>201</v>
      </c>
      <c r="J2354" t="s">
        <v>5338</v>
      </c>
    </row>
    <row r="2355" spans="1:10" x14ac:dyDescent="0.3">
      <c r="A2355" t="s">
        <v>5339</v>
      </c>
      <c r="B2355" t="s">
        <v>26574</v>
      </c>
      <c r="C2355" t="s">
        <v>20486</v>
      </c>
      <c r="D2355" t="s">
        <v>11</v>
      </c>
      <c r="E2355" t="s">
        <v>5340</v>
      </c>
      <c r="F2355">
        <v>43</v>
      </c>
      <c r="G2355" t="s">
        <v>1200</v>
      </c>
      <c r="H2355" t="s">
        <v>9788</v>
      </c>
      <c r="I2355" t="s">
        <v>12373</v>
      </c>
    </row>
    <row r="2356" spans="1:10" x14ac:dyDescent="0.3">
      <c r="A2356" t="s">
        <v>12374</v>
      </c>
      <c r="B2356" t="s">
        <v>26575</v>
      </c>
      <c r="C2356" t="s">
        <v>20486</v>
      </c>
      <c r="D2356" t="s">
        <v>22</v>
      </c>
      <c r="E2356" t="s">
        <v>9663</v>
      </c>
      <c r="F2356">
        <v>22</v>
      </c>
    </row>
    <row r="2357" spans="1:10" x14ac:dyDescent="0.3">
      <c r="A2357" t="s">
        <v>5342</v>
      </c>
      <c r="B2357" t="s">
        <v>26576</v>
      </c>
      <c r="C2357" t="s">
        <v>20491</v>
      </c>
      <c r="D2357" t="s">
        <v>22</v>
      </c>
      <c r="E2357" t="s">
        <v>5343</v>
      </c>
      <c r="F2357">
        <v>47</v>
      </c>
      <c r="G2357" t="s">
        <v>46</v>
      </c>
      <c r="H2357" t="s">
        <v>46</v>
      </c>
      <c r="I2357" t="s">
        <v>1412</v>
      </c>
    </row>
    <row r="2358" spans="1:10" x14ac:dyDescent="0.3">
      <c r="A2358" t="s">
        <v>5344</v>
      </c>
      <c r="B2358" t="s">
        <v>26577</v>
      </c>
      <c r="C2358" t="s">
        <v>20487</v>
      </c>
      <c r="D2358" t="s">
        <v>22</v>
      </c>
      <c r="E2358" t="s">
        <v>1647</v>
      </c>
      <c r="F2358">
        <v>53</v>
      </c>
      <c r="G2358" t="s">
        <v>46</v>
      </c>
      <c r="H2358" t="s">
        <v>46</v>
      </c>
    </row>
    <row r="2359" spans="1:10" x14ac:dyDescent="0.3">
      <c r="A2359" t="s">
        <v>5345</v>
      </c>
      <c r="B2359" t="s">
        <v>26578</v>
      </c>
      <c r="C2359" t="s">
        <v>20486</v>
      </c>
      <c r="D2359" t="s">
        <v>22</v>
      </c>
      <c r="E2359" t="s">
        <v>5346</v>
      </c>
      <c r="F2359">
        <v>47</v>
      </c>
      <c r="G2359" t="s">
        <v>31</v>
      </c>
      <c r="H2359" t="s">
        <v>31</v>
      </c>
      <c r="J2359" t="s">
        <v>33</v>
      </c>
    </row>
    <row r="2360" spans="1:10" x14ac:dyDescent="0.3">
      <c r="A2360" t="s">
        <v>5347</v>
      </c>
      <c r="B2360" t="s">
        <v>26579</v>
      </c>
      <c r="C2360" t="s">
        <v>20489</v>
      </c>
      <c r="D2360" t="s">
        <v>22</v>
      </c>
      <c r="E2360" t="s">
        <v>5348</v>
      </c>
      <c r="F2360">
        <v>55</v>
      </c>
      <c r="G2360" t="s">
        <v>109</v>
      </c>
      <c r="H2360" t="s">
        <v>9788</v>
      </c>
      <c r="I2360" t="s">
        <v>17</v>
      </c>
      <c r="J2360" t="s">
        <v>5349</v>
      </c>
    </row>
    <row r="2361" spans="1:10" x14ac:dyDescent="0.3">
      <c r="A2361" t="s">
        <v>5350</v>
      </c>
      <c r="B2361" t="s">
        <v>26580</v>
      </c>
      <c r="C2361" t="s">
        <v>20486</v>
      </c>
      <c r="D2361" t="s">
        <v>22</v>
      </c>
      <c r="E2361" t="s">
        <v>4439</v>
      </c>
      <c r="F2361">
        <v>53</v>
      </c>
      <c r="G2361" t="s">
        <v>31</v>
      </c>
      <c r="H2361" t="s">
        <v>31</v>
      </c>
    </row>
    <row r="2362" spans="1:10" x14ac:dyDescent="0.3">
      <c r="A2362" t="s">
        <v>5351</v>
      </c>
      <c r="B2362" t="s">
        <v>26581</v>
      </c>
      <c r="C2362" t="s">
        <v>20490</v>
      </c>
      <c r="D2362" t="s">
        <v>11</v>
      </c>
      <c r="E2362" t="s">
        <v>5352</v>
      </c>
      <c r="F2362">
        <v>25</v>
      </c>
      <c r="G2362" t="s">
        <v>337</v>
      </c>
      <c r="H2362" t="s">
        <v>337</v>
      </c>
    </row>
    <row r="2363" spans="1:10" x14ac:dyDescent="0.3">
      <c r="A2363" t="s">
        <v>5353</v>
      </c>
      <c r="B2363" t="s">
        <v>26582</v>
      </c>
      <c r="C2363" t="s">
        <v>20489</v>
      </c>
      <c r="D2363" t="s">
        <v>22</v>
      </c>
      <c r="E2363" t="s">
        <v>5354</v>
      </c>
      <c r="F2363">
        <v>41</v>
      </c>
      <c r="G2363" t="s">
        <v>370</v>
      </c>
      <c r="H2363" t="s">
        <v>46</v>
      </c>
      <c r="I2363" t="s">
        <v>228</v>
      </c>
      <c r="J2363" t="s">
        <v>5146</v>
      </c>
    </row>
    <row r="2364" spans="1:10" x14ac:dyDescent="0.3">
      <c r="A2364" t="s">
        <v>5355</v>
      </c>
      <c r="B2364" t="s">
        <v>26583</v>
      </c>
      <c r="C2364" t="s">
        <v>20489</v>
      </c>
      <c r="D2364" t="s">
        <v>22</v>
      </c>
      <c r="E2364" t="s">
        <v>4050</v>
      </c>
      <c r="F2364">
        <v>44</v>
      </c>
      <c r="G2364" t="s">
        <v>31</v>
      </c>
      <c r="H2364" t="s">
        <v>31</v>
      </c>
    </row>
    <row r="2365" spans="1:10" x14ac:dyDescent="0.3">
      <c r="A2365" t="s">
        <v>5356</v>
      </c>
      <c r="B2365" t="s">
        <v>26584</v>
      </c>
      <c r="C2365" t="s">
        <v>20487</v>
      </c>
      <c r="D2365" t="s">
        <v>22</v>
      </c>
      <c r="E2365" t="s">
        <v>5357</v>
      </c>
      <c r="F2365">
        <v>55</v>
      </c>
    </row>
    <row r="2366" spans="1:10" x14ac:dyDescent="0.3">
      <c r="A2366" t="s">
        <v>5358</v>
      </c>
      <c r="B2366" t="s">
        <v>26585</v>
      </c>
      <c r="C2366" t="s">
        <v>20486</v>
      </c>
      <c r="D2366" t="s">
        <v>22</v>
      </c>
      <c r="E2366" t="s">
        <v>3289</v>
      </c>
      <c r="F2366">
        <v>46</v>
      </c>
      <c r="G2366" t="s">
        <v>31</v>
      </c>
      <c r="H2366" t="s">
        <v>31</v>
      </c>
      <c r="I2366" t="s">
        <v>5359</v>
      </c>
    </row>
    <row r="2367" spans="1:10" x14ac:dyDescent="0.3">
      <c r="A2367" t="s">
        <v>5360</v>
      </c>
      <c r="B2367" t="s">
        <v>26586</v>
      </c>
      <c r="C2367" t="s">
        <v>20486</v>
      </c>
      <c r="D2367" t="s">
        <v>22</v>
      </c>
      <c r="E2367" t="s">
        <v>5361</v>
      </c>
      <c r="F2367">
        <v>62</v>
      </c>
      <c r="G2367" t="s">
        <v>384</v>
      </c>
    </row>
    <row r="2368" spans="1:10" x14ac:dyDescent="0.3">
      <c r="A2368" t="s">
        <v>5362</v>
      </c>
      <c r="B2368" t="s">
        <v>26587</v>
      </c>
      <c r="C2368" t="s">
        <v>20486</v>
      </c>
      <c r="D2368" t="s">
        <v>22</v>
      </c>
      <c r="E2368" t="s">
        <v>5363</v>
      </c>
      <c r="F2368">
        <v>43</v>
      </c>
      <c r="G2368" t="s">
        <v>46</v>
      </c>
      <c r="H2368" t="s">
        <v>46</v>
      </c>
      <c r="J2368">
        <v>0</v>
      </c>
    </row>
    <row r="2369" spans="1:10" x14ac:dyDescent="0.3">
      <c r="A2369" t="s">
        <v>5364</v>
      </c>
      <c r="B2369" t="s">
        <v>26588</v>
      </c>
      <c r="C2369" t="s">
        <v>20486</v>
      </c>
      <c r="D2369" t="s">
        <v>22</v>
      </c>
      <c r="E2369" t="s">
        <v>3814</v>
      </c>
      <c r="F2369">
        <v>34</v>
      </c>
      <c r="G2369" t="s">
        <v>46</v>
      </c>
      <c r="H2369" t="s">
        <v>46</v>
      </c>
      <c r="J2369" t="s">
        <v>5365</v>
      </c>
    </row>
    <row r="2370" spans="1:10" x14ac:dyDescent="0.3">
      <c r="A2370" t="s">
        <v>5366</v>
      </c>
      <c r="B2370" t="s">
        <v>26589</v>
      </c>
      <c r="C2370" t="s">
        <v>20486</v>
      </c>
      <c r="D2370" t="s">
        <v>22</v>
      </c>
      <c r="E2370" t="s">
        <v>5367</v>
      </c>
      <c r="F2370">
        <v>34</v>
      </c>
      <c r="H2370" t="s">
        <v>9788</v>
      </c>
      <c r="J2370" t="s">
        <v>5368</v>
      </c>
    </row>
    <row r="2371" spans="1:10" x14ac:dyDescent="0.3">
      <c r="A2371" t="s">
        <v>5369</v>
      </c>
      <c r="B2371" t="s">
        <v>26590</v>
      </c>
      <c r="C2371" t="s">
        <v>20489</v>
      </c>
      <c r="D2371" t="s">
        <v>11</v>
      </c>
      <c r="E2371" t="s">
        <v>5370</v>
      </c>
      <c r="F2371">
        <v>60</v>
      </c>
      <c r="G2371" t="s">
        <v>370</v>
      </c>
      <c r="H2371" t="s">
        <v>46</v>
      </c>
      <c r="I2371" t="s">
        <v>5371</v>
      </c>
      <c r="J2371" t="s">
        <v>5371</v>
      </c>
    </row>
    <row r="2372" spans="1:10" x14ac:dyDescent="0.3">
      <c r="A2372" t="s">
        <v>5372</v>
      </c>
      <c r="B2372" t="s">
        <v>26591</v>
      </c>
      <c r="C2372" t="s">
        <v>20486</v>
      </c>
      <c r="D2372" t="s">
        <v>22</v>
      </c>
      <c r="E2372" t="s">
        <v>4535</v>
      </c>
      <c r="F2372">
        <v>46</v>
      </c>
      <c r="G2372" t="s">
        <v>5373</v>
      </c>
      <c r="H2372" t="s">
        <v>12074</v>
      </c>
      <c r="I2372" t="s">
        <v>935</v>
      </c>
      <c r="J2372" t="s">
        <v>5374</v>
      </c>
    </row>
    <row r="2373" spans="1:10" x14ac:dyDescent="0.3">
      <c r="A2373" t="s">
        <v>5375</v>
      </c>
      <c r="B2373" t="s">
        <v>26592</v>
      </c>
      <c r="C2373" t="s">
        <v>20487</v>
      </c>
      <c r="D2373" t="s">
        <v>22</v>
      </c>
      <c r="E2373" t="s">
        <v>5376</v>
      </c>
      <c r="F2373">
        <v>42</v>
      </c>
    </row>
    <row r="2374" spans="1:10" x14ac:dyDescent="0.3">
      <c r="A2374" t="s">
        <v>12375</v>
      </c>
      <c r="B2374" t="s">
        <v>26593</v>
      </c>
      <c r="C2374" t="s">
        <v>20486</v>
      </c>
      <c r="D2374" t="s">
        <v>22</v>
      </c>
      <c r="E2374" t="s">
        <v>9662</v>
      </c>
      <c r="F2374">
        <v>17</v>
      </c>
      <c r="H2374" t="s">
        <v>337</v>
      </c>
    </row>
    <row r="2375" spans="1:10" x14ac:dyDescent="0.3">
      <c r="A2375" t="s">
        <v>5377</v>
      </c>
      <c r="B2375" t="s">
        <v>26594</v>
      </c>
      <c r="C2375" t="s">
        <v>20487</v>
      </c>
      <c r="D2375" t="s">
        <v>22</v>
      </c>
      <c r="E2375" t="s">
        <v>5378</v>
      </c>
      <c r="F2375">
        <v>54</v>
      </c>
      <c r="G2375" t="s">
        <v>220</v>
      </c>
      <c r="H2375" t="s">
        <v>46</v>
      </c>
    </row>
    <row r="2376" spans="1:10" x14ac:dyDescent="0.3">
      <c r="A2376" t="s">
        <v>5379</v>
      </c>
      <c r="B2376" t="s">
        <v>26595</v>
      </c>
      <c r="C2376" t="s">
        <v>20486</v>
      </c>
      <c r="D2376" t="s">
        <v>11</v>
      </c>
      <c r="E2376" t="s">
        <v>5380</v>
      </c>
      <c r="F2376">
        <v>48</v>
      </c>
      <c r="G2376" t="s">
        <v>16</v>
      </c>
      <c r="H2376" t="s">
        <v>9785</v>
      </c>
      <c r="I2376" t="s">
        <v>17</v>
      </c>
      <c r="J2376" t="s">
        <v>12376</v>
      </c>
    </row>
    <row r="2377" spans="1:10" x14ac:dyDescent="0.3">
      <c r="A2377" t="s">
        <v>12377</v>
      </c>
      <c r="B2377" t="s">
        <v>26596</v>
      </c>
      <c r="C2377" t="s">
        <v>20486</v>
      </c>
      <c r="D2377" t="s">
        <v>11</v>
      </c>
      <c r="E2377" t="s">
        <v>9661</v>
      </c>
      <c r="F2377">
        <v>23</v>
      </c>
      <c r="H2377" t="s">
        <v>337</v>
      </c>
      <c r="J2377" t="s">
        <v>67</v>
      </c>
    </row>
    <row r="2378" spans="1:10" x14ac:dyDescent="0.3">
      <c r="A2378" t="s">
        <v>5381</v>
      </c>
      <c r="B2378" t="s">
        <v>26597</v>
      </c>
      <c r="C2378" t="s">
        <v>20490</v>
      </c>
      <c r="D2378" t="s">
        <v>22</v>
      </c>
      <c r="E2378" t="s">
        <v>5382</v>
      </c>
      <c r="F2378">
        <v>43</v>
      </c>
      <c r="G2378" t="s">
        <v>370</v>
      </c>
      <c r="H2378" t="s">
        <v>46</v>
      </c>
    </row>
    <row r="2379" spans="1:10" x14ac:dyDescent="0.3">
      <c r="A2379" t="s">
        <v>5383</v>
      </c>
      <c r="B2379" t="s">
        <v>26598</v>
      </c>
      <c r="C2379" t="s">
        <v>20488</v>
      </c>
      <c r="D2379" t="s">
        <v>22</v>
      </c>
      <c r="E2379" t="s">
        <v>5384</v>
      </c>
      <c r="F2379">
        <v>46</v>
      </c>
      <c r="G2379" t="s">
        <v>109</v>
      </c>
      <c r="H2379" t="s">
        <v>9788</v>
      </c>
    </row>
    <row r="2380" spans="1:10" x14ac:dyDescent="0.3">
      <c r="A2380" t="s">
        <v>5385</v>
      </c>
      <c r="B2380" t="s">
        <v>26599</v>
      </c>
      <c r="C2380" t="s">
        <v>20486</v>
      </c>
      <c r="D2380" t="s">
        <v>11</v>
      </c>
      <c r="E2380" t="s">
        <v>5386</v>
      </c>
      <c r="F2380">
        <v>55</v>
      </c>
      <c r="G2380" t="s">
        <v>1226</v>
      </c>
      <c r="H2380" t="s">
        <v>9791</v>
      </c>
      <c r="I2380" t="s">
        <v>5387</v>
      </c>
      <c r="J2380" t="s">
        <v>5388</v>
      </c>
    </row>
    <row r="2381" spans="1:10" x14ac:dyDescent="0.3">
      <c r="A2381" t="s">
        <v>5389</v>
      </c>
      <c r="B2381" t="s">
        <v>26600</v>
      </c>
      <c r="C2381" t="s">
        <v>20486</v>
      </c>
      <c r="D2381" t="s">
        <v>11</v>
      </c>
      <c r="E2381" t="s">
        <v>5390</v>
      </c>
      <c r="F2381">
        <v>59</v>
      </c>
      <c r="G2381" t="s">
        <v>46</v>
      </c>
      <c r="H2381" t="s">
        <v>46</v>
      </c>
      <c r="I2381" t="s">
        <v>228</v>
      </c>
      <c r="J2381" t="s">
        <v>5391</v>
      </c>
    </row>
    <row r="2382" spans="1:10" x14ac:dyDescent="0.3">
      <c r="A2382" t="s">
        <v>5392</v>
      </c>
      <c r="B2382" t="s">
        <v>26601</v>
      </c>
      <c r="C2382" t="s">
        <v>20488</v>
      </c>
      <c r="D2382" t="s">
        <v>11</v>
      </c>
      <c r="E2382" t="s">
        <v>1002</v>
      </c>
      <c r="F2382">
        <v>64</v>
      </c>
      <c r="G2382" t="s">
        <v>16</v>
      </c>
      <c r="H2382" t="s">
        <v>9785</v>
      </c>
    </row>
    <row r="2383" spans="1:10" x14ac:dyDescent="0.3">
      <c r="A2383" t="s">
        <v>5393</v>
      </c>
      <c r="B2383" t="s">
        <v>26602</v>
      </c>
      <c r="C2383" t="s">
        <v>20489</v>
      </c>
      <c r="D2383" t="s">
        <v>11</v>
      </c>
      <c r="E2383" t="s">
        <v>5394</v>
      </c>
      <c r="F2383">
        <v>53</v>
      </c>
      <c r="G2383" t="s">
        <v>109</v>
      </c>
      <c r="H2383" t="s">
        <v>9788</v>
      </c>
      <c r="I2383" t="s">
        <v>12162</v>
      </c>
      <c r="J2383" t="s">
        <v>5395</v>
      </c>
    </row>
    <row r="2384" spans="1:10" x14ac:dyDescent="0.3">
      <c r="A2384" t="s">
        <v>5396</v>
      </c>
      <c r="B2384" t="s">
        <v>26603</v>
      </c>
      <c r="C2384" t="s">
        <v>20486</v>
      </c>
      <c r="D2384" t="s">
        <v>22</v>
      </c>
      <c r="E2384" t="s">
        <v>3792</v>
      </c>
      <c r="F2384">
        <v>36</v>
      </c>
      <c r="G2384" t="s">
        <v>109</v>
      </c>
      <c r="H2384" t="s">
        <v>9788</v>
      </c>
    </row>
    <row r="2385" spans="1:10" x14ac:dyDescent="0.3">
      <c r="A2385" t="s">
        <v>5397</v>
      </c>
      <c r="B2385" t="s">
        <v>26604</v>
      </c>
      <c r="C2385" t="s">
        <v>20490</v>
      </c>
      <c r="D2385" t="s">
        <v>11</v>
      </c>
      <c r="E2385" t="s">
        <v>757</v>
      </c>
      <c r="F2385">
        <v>58</v>
      </c>
      <c r="G2385" t="s">
        <v>172</v>
      </c>
      <c r="H2385" t="s">
        <v>12099</v>
      </c>
    </row>
    <row r="2386" spans="1:10" x14ac:dyDescent="0.3">
      <c r="A2386" t="s">
        <v>5398</v>
      </c>
      <c r="B2386" t="s">
        <v>26605</v>
      </c>
      <c r="C2386" t="s">
        <v>20486</v>
      </c>
      <c r="D2386" t="s">
        <v>22</v>
      </c>
      <c r="E2386" t="s">
        <v>5399</v>
      </c>
      <c r="F2386">
        <v>31</v>
      </c>
      <c r="G2386" t="s">
        <v>109</v>
      </c>
      <c r="H2386" t="s">
        <v>9788</v>
      </c>
      <c r="I2386" t="s">
        <v>17</v>
      </c>
      <c r="J2386" t="s">
        <v>5400</v>
      </c>
    </row>
    <row r="2387" spans="1:10" x14ac:dyDescent="0.3">
      <c r="A2387" t="s">
        <v>5401</v>
      </c>
      <c r="B2387" t="s">
        <v>26606</v>
      </c>
      <c r="C2387" t="s">
        <v>20490</v>
      </c>
      <c r="D2387" t="s">
        <v>22</v>
      </c>
      <c r="E2387" t="s">
        <v>5402</v>
      </c>
      <c r="F2387">
        <v>45</v>
      </c>
      <c r="G2387" t="s">
        <v>109</v>
      </c>
      <c r="H2387" t="s">
        <v>9788</v>
      </c>
      <c r="J2387" t="s">
        <v>5403</v>
      </c>
    </row>
    <row r="2388" spans="1:10" x14ac:dyDescent="0.3">
      <c r="A2388" t="s">
        <v>5404</v>
      </c>
      <c r="B2388" t="s">
        <v>26607</v>
      </c>
      <c r="C2388" t="s">
        <v>20489</v>
      </c>
      <c r="D2388" t="s">
        <v>22</v>
      </c>
      <c r="E2388" t="s">
        <v>5405</v>
      </c>
      <c r="F2388">
        <v>51</v>
      </c>
      <c r="G2388" t="s">
        <v>109</v>
      </c>
      <c r="H2388" t="s">
        <v>9788</v>
      </c>
      <c r="I2388" t="s">
        <v>5406</v>
      </c>
      <c r="J2388" t="s">
        <v>5406</v>
      </c>
    </row>
    <row r="2389" spans="1:10" x14ac:dyDescent="0.3">
      <c r="A2389" t="s">
        <v>5407</v>
      </c>
      <c r="B2389" t="s">
        <v>26608</v>
      </c>
      <c r="C2389" t="s">
        <v>20488</v>
      </c>
      <c r="D2389" t="s">
        <v>22</v>
      </c>
      <c r="E2389" t="s">
        <v>5408</v>
      </c>
      <c r="F2389">
        <v>38</v>
      </c>
      <c r="G2389" t="s">
        <v>109</v>
      </c>
      <c r="H2389" t="s">
        <v>9788</v>
      </c>
    </row>
    <row r="2390" spans="1:10" x14ac:dyDescent="0.3">
      <c r="A2390" t="s">
        <v>5409</v>
      </c>
      <c r="B2390" t="s">
        <v>26609</v>
      </c>
      <c r="C2390" t="s">
        <v>20490</v>
      </c>
      <c r="D2390" t="s">
        <v>22</v>
      </c>
      <c r="E2390" t="s">
        <v>5410</v>
      </c>
      <c r="F2390">
        <v>59</v>
      </c>
      <c r="G2390" t="s">
        <v>1047</v>
      </c>
      <c r="H2390" t="s">
        <v>9788</v>
      </c>
      <c r="J2390" t="s">
        <v>3819</v>
      </c>
    </row>
    <row r="2391" spans="1:10" x14ac:dyDescent="0.3">
      <c r="A2391" t="s">
        <v>5411</v>
      </c>
      <c r="B2391" t="s">
        <v>26610</v>
      </c>
      <c r="C2391" t="s">
        <v>20486</v>
      </c>
      <c r="D2391" t="s">
        <v>11</v>
      </c>
      <c r="E2391" t="s">
        <v>5412</v>
      </c>
      <c r="F2391">
        <v>39</v>
      </c>
      <c r="G2391" t="s">
        <v>46</v>
      </c>
      <c r="H2391" t="s">
        <v>46</v>
      </c>
    </row>
    <row r="2392" spans="1:10" x14ac:dyDescent="0.3">
      <c r="A2392" t="s">
        <v>5413</v>
      </c>
      <c r="B2392" t="s">
        <v>26611</v>
      </c>
      <c r="C2392" t="s">
        <v>20487</v>
      </c>
      <c r="D2392" t="s">
        <v>22</v>
      </c>
      <c r="E2392" t="s">
        <v>5414</v>
      </c>
      <c r="F2392">
        <v>47</v>
      </c>
      <c r="G2392" t="s">
        <v>46</v>
      </c>
      <c r="H2392" t="s">
        <v>46</v>
      </c>
      <c r="I2392" t="s">
        <v>12378</v>
      </c>
    </row>
    <row r="2393" spans="1:10" x14ac:dyDescent="0.3">
      <c r="A2393" t="s">
        <v>12379</v>
      </c>
      <c r="B2393" t="s">
        <v>26612</v>
      </c>
      <c r="C2393" t="s">
        <v>20487</v>
      </c>
      <c r="D2393" t="s">
        <v>11</v>
      </c>
      <c r="E2393" t="s">
        <v>9660</v>
      </c>
      <c r="F2393">
        <v>26</v>
      </c>
      <c r="G2393" t="s">
        <v>337</v>
      </c>
      <c r="H2393" t="s">
        <v>337</v>
      </c>
    </row>
    <row r="2394" spans="1:10" x14ac:dyDescent="0.3">
      <c r="A2394" t="s">
        <v>5415</v>
      </c>
      <c r="B2394" t="s">
        <v>26613</v>
      </c>
      <c r="C2394" t="s">
        <v>20488</v>
      </c>
      <c r="D2394" t="s">
        <v>22</v>
      </c>
      <c r="E2394" t="s">
        <v>5416</v>
      </c>
      <c r="F2394">
        <v>56</v>
      </c>
      <c r="G2394" t="s">
        <v>109</v>
      </c>
      <c r="H2394" t="s">
        <v>9788</v>
      </c>
    </row>
    <row r="2395" spans="1:10" x14ac:dyDescent="0.3">
      <c r="A2395" t="s">
        <v>5417</v>
      </c>
      <c r="B2395" t="s">
        <v>26614</v>
      </c>
      <c r="C2395" t="s">
        <v>20486</v>
      </c>
      <c r="D2395" t="s">
        <v>22</v>
      </c>
      <c r="E2395" t="s">
        <v>5418</v>
      </c>
      <c r="F2395">
        <v>57</v>
      </c>
      <c r="G2395" t="s">
        <v>16</v>
      </c>
      <c r="H2395" t="s">
        <v>9785</v>
      </c>
      <c r="I2395" t="s">
        <v>17</v>
      </c>
      <c r="J2395" t="s">
        <v>5419</v>
      </c>
    </row>
    <row r="2396" spans="1:10" x14ac:dyDescent="0.3">
      <c r="A2396" t="s">
        <v>5420</v>
      </c>
      <c r="B2396" t="s">
        <v>26615</v>
      </c>
      <c r="C2396" t="s">
        <v>20488</v>
      </c>
      <c r="D2396" t="s">
        <v>11</v>
      </c>
      <c r="E2396" t="s">
        <v>5421</v>
      </c>
      <c r="F2396">
        <v>32</v>
      </c>
      <c r="G2396" t="s">
        <v>46</v>
      </c>
      <c r="H2396" t="s">
        <v>46</v>
      </c>
    </row>
    <row r="2397" spans="1:10" x14ac:dyDescent="0.3">
      <c r="A2397" t="s">
        <v>5422</v>
      </c>
      <c r="B2397" t="s">
        <v>26616</v>
      </c>
      <c r="C2397" t="s">
        <v>20486</v>
      </c>
      <c r="D2397" t="s">
        <v>22</v>
      </c>
      <c r="E2397" t="s">
        <v>5423</v>
      </c>
      <c r="F2397">
        <v>44</v>
      </c>
      <c r="G2397" t="s">
        <v>172</v>
      </c>
      <c r="H2397" t="s">
        <v>12099</v>
      </c>
      <c r="I2397" t="s">
        <v>1444</v>
      </c>
      <c r="J2397" t="s">
        <v>2615</v>
      </c>
    </row>
    <row r="2398" spans="1:10" x14ac:dyDescent="0.3">
      <c r="A2398" t="s">
        <v>5425</v>
      </c>
      <c r="B2398" t="s">
        <v>26617</v>
      </c>
      <c r="C2398" t="s">
        <v>20486</v>
      </c>
      <c r="D2398" t="s">
        <v>22</v>
      </c>
      <c r="E2398" t="s">
        <v>5426</v>
      </c>
      <c r="F2398">
        <v>41</v>
      </c>
      <c r="G2398" t="s">
        <v>133</v>
      </c>
      <c r="H2398" t="s">
        <v>9789</v>
      </c>
      <c r="I2398" t="s">
        <v>2477</v>
      </c>
      <c r="J2398" t="s">
        <v>1632</v>
      </c>
    </row>
    <row r="2399" spans="1:10" x14ac:dyDescent="0.3">
      <c r="A2399" t="s">
        <v>5427</v>
      </c>
      <c r="B2399" t="s">
        <v>26618</v>
      </c>
      <c r="C2399" t="s">
        <v>20488</v>
      </c>
      <c r="D2399" t="s">
        <v>22</v>
      </c>
      <c r="E2399" t="s">
        <v>5428</v>
      </c>
      <c r="F2399">
        <v>36</v>
      </c>
      <c r="G2399" t="s">
        <v>16</v>
      </c>
      <c r="H2399" t="s">
        <v>9785</v>
      </c>
      <c r="I2399" t="s">
        <v>17</v>
      </c>
      <c r="J2399" t="s">
        <v>12380</v>
      </c>
    </row>
    <row r="2400" spans="1:10" x14ac:dyDescent="0.3">
      <c r="A2400" t="s">
        <v>5429</v>
      </c>
      <c r="B2400" t="s">
        <v>26619</v>
      </c>
      <c r="C2400" t="s">
        <v>20486</v>
      </c>
      <c r="D2400" t="s">
        <v>22</v>
      </c>
      <c r="E2400" t="s">
        <v>5430</v>
      </c>
      <c r="F2400">
        <v>42</v>
      </c>
      <c r="G2400" t="s">
        <v>16</v>
      </c>
      <c r="H2400" t="s">
        <v>9785</v>
      </c>
      <c r="I2400" t="s">
        <v>17</v>
      </c>
      <c r="J2400" t="s">
        <v>2880</v>
      </c>
    </row>
    <row r="2401" spans="1:10" x14ac:dyDescent="0.3">
      <c r="A2401" t="s">
        <v>5431</v>
      </c>
      <c r="B2401" t="s">
        <v>26620</v>
      </c>
      <c r="C2401" t="s">
        <v>20486</v>
      </c>
      <c r="D2401" t="s">
        <v>22</v>
      </c>
      <c r="E2401" t="s">
        <v>5432</v>
      </c>
      <c r="F2401">
        <v>42</v>
      </c>
      <c r="G2401" t="s">
        <v>16</v>
      </c>
      <c r="H2401" t="s">
        <v>9785</v>
      </c>
      <c r="I2401" t="s">
        <v>17</v>
      </c>
      <c r="J2401" t="s">
        <v>2880</v>
      </c>
    </row>
    <row r="2402" spans="1:10" x14ac:dyDescent="0.3">
      <c r="A2402" t="s">
        <v>5433</v>
      </c>
      <c r="B2402" t="s">
        <v>26621</v>
      </c>
      <c r="C2402" t="s">
        <v>20486</v>
      </c>
      <c r="D2402" t="s">
        <v>11</v>
      </c>
      <c r="E2402" t="s">
        <v>5434</v>
      </c>
      <c r="F2402">
        <v>63</v>
      </c>
      <c r="G2402" t="s">
        <v>13</v>
      </c>
      <c r="H2402" t="s">
        <v>13</v>
      </c>
      <c r="J2402" t="s">
        <v>5435</v>
      </c>
    </row>
    <row r="2403" spans="1:10" x14ac:dyDescent="0.3">
      <c r="A2403" t="s">
        <v>5436</v>
      </c>
      <c r="B2403" t="s">
        <v>26622</v>
      </c>
      <c r="C2403" t="s">
        <v>20486</v>
      </c>
      <c r="D2403" t="s">
        <v>11</v>
      </c>
      <c r="E2403" t="s">
        <v>5437</v>
      </c>
      <c r="F2403">
        <v>38</v>
      </c>
      <c r="G2403" t="s">
        <v>109</v>
      </c>
      <c r="H2403" t="s">
        <v>9788</v>
      </c>
      <c r="I2403" t="s">
        <v>2235</v>
      </c>
      <c r="J2403" t="s">
        <v>5438</v>
      </c>
    </row>
    <row r="2404" spans="1:10" x14ac:dyDescent="0.3">
      <c r="A2404" t="s">
        <v>12381</v>
      </c>
      <c r="B2404" t="s">
        <v>26623</v>
      </c>
      <c r="C2404" t="s">
        <v>20487</v>
      </c>
      <c r="D2404" t="s">
        <v>11</v>
      </c>
      <c r="E2404" t="s">
        <v>9659</v>
      </c>
      <c r="F2404">
        <v>29</v>
      </c>
      <c r="G2404" t="s">
        <v>46</v>
      </c>
      <c r="H2404" t="s">
        <v>46</v>
      </c>
      <c r="I2404" t="s">
        <v>12382</v>
      </c>
    </row>
    <row r="2405" spans="1:10" x14ac:dyDescent="0.3">
      <c r="A2405" t="s">
        <v>5439</v>
      </c>
      <c r="B2405" t="s">
        <v>26624</v>
      </c>
      <c r="C2405" t="s">
        <v>20487</v>
      </c>
      <c r="D2405" t="s">
        <v>22</v>
      </c>
      <c r="E2405" t="s">
        <v>5440</v>
      </c>
      <c r="F2405">
        <v>38</v>
      </c>
      <c r="G2405" t="s">
        <v>441</v>
      </c>
      <c r="H2405" t="s">
        <v>9785</v>
      </c>
      <c r="J2405" t="s">
        <v>5441</v>
      </c>
    </row>
    <row r="2406" spans="1:10" x14ac:dyDescent="0.3">
      <c r="A2406" t="s">
        <v>5442</v>
      </c>
      <c r="B2406" t="s">
        <v>26625</v>
      </c>
      <c r="C2406" t="s">
        <v>20486</v>
      </c>
      <c r="D2406" t="s">
        <v>22</v>
      </c>
      <c r="E2406" t="s">
        <v>5443</v>
      </c>
      <c r="F2406">
        <v>47</v>
      </c>
      <c r="G2406" t="s">
        <v>31</v>
      </c>
      <c r="H2406" t="s">
        <v>31</v>
      </c>
      <c r="J2406" t="s">
        <v>33</v>
      </c>
    </row>
    <row r="2407" spans="1:10" x14ac:dyDescent="0.3">
      <c r="A2407" t="s">
        <v>5444</v>
      </c>
      <c r="B2407" t="s">
        <v>26626</v>
      </c>
      <c r="C2407" t="s">
        <v>20488</v>
      </c>
      <c r="D2407" t="s">
        <v>22</v>
      </c>
      <c r="E2407" t="s">
        <v>5445</v>
      </c>
      <c r="F2407">
        <v>45</v>
      </c>
      <c r="G2407" t="s">
        <v>31</v>
      </c>
      <c r="H2407" t="s">
        <v>31</v>
      </c>
    </row>
    <row r="2408" spans="1:10" x14ac:dyDescent="0.3">
      <c r="A2408" t="s">
        <v>5446</v>
      </c>
      <c r="B2408" t="s">
        <v>26627</v>
      </c>
      <c r="C2408" t="s">
        <v>20490</v>
      </c>
      <c r="D2408" t="s">
        <v>22</v>
      </c>
      <c r="E2408" t="s">
        <v>5447</v>
      </c>
      <c r="F2408">
        <v>55</v>
      </c>
      <c r="G2408" t="s">
        <v>16</v>
      </c>
      <c r="H2408" t="s">
        <v>9785</v>
      </c>
      <c r="J2408" t="s">
        <v>5448</v>
      </c>
    </row>
    <row r="2409" spans="1:10" x14ac:dyDescent="0.3">
      <c r="A2409" t="s">
        <v>5449</v>
      </c>
      <c r="B2409" t="s">
        <v>26628</v>
      </c>
      <c r="C2409" t="s">
        <v>20489</v>
      </c>
      <c r="D2409" t="s">
        <v>11</v>
      </c>
      <c r="E2409" t="s">
        <v>5450</v>
      </c>
      <c r="F2409">
        <v>56</v>
      </c>
      <c r="G2409" t="s">
        <v>370</v>
      </c>
      <c r="H2409" t="s">
        <v>46</v>
      </c>
      <c r="I2409" t="s">
        <v>228</v>
      </c>
      <c r="J2409" t="s">
        <v>5451</v>
      </c>
    </row>
    <row r="2410" spans="1:10" x14ac:dyDescent="0.3">
      <c r="A2410" t="s">
        <v>5452</v>
      </c>
      <c r="B2410" t="s">
        <v>26629</v>
      </c>
      <c r="C2410" t="s">
        <v>20488</v>
      </c>
      <c r="D2410" t="s">
        <v>11</v>
      </c>
      <c r="E2410" t="s">
        <v>2424</v>
      </c>
      <c r="F2410">
        <v>48</v>
      </c>
      <c r="G2410" t="s">
        <v>109</v>
      </c>
      <c r="H2410" t="s">
        <v>9788</v>
      </c>
    </row>
    <row r="2411" spans="1:10" x14ac:dyDescent="0.3">
      <c r="A2411" t="s">
        <v>5453</v>
      </c>
      <c r="B2411" t="s">
        <v>26630</v>
      </c>
      <c r="C2411" t="s">
        <v>20488</v>
      </c>
      <c r="D2411" t="s">
        <v>11</v>
      </c>
      <c r="E2411" t="s">
        <v>5454</v>
      </c>
      <c r="F2411">
        <v>39</v>
      </c>
      <c r="G2411" t="s">
        <v>109</v>
      </c>
      <c r="H2411" t="s">
        <v>9788</v>
      </c>
    </row>
    <row r="2412" spans="1:10" x14ac:dyDescent="0.3">
      <c r="A2412" t="s">
        <v>5455</v>
      </c>
      <c r="B2412" t="s">
        <v>26631</v>
      </c>
      <c r="C2412" t="s">
        <v>20490</v>
      </c>
      <c r="D2412" t="s">
        <v>22</v>
      </c>
      <c r="E2412" t="s">
        <v>5456</v>
      </c>
      <c r="F2412">
        <v>77</v>
      </c>
      <c r="G2412" t="s">
        <v>31</v>
      </c>
      <c r="H2412" t="s">
        <v>31</v>
      </c>
    </row>
    <row r="2413" spans="1:10" x14ac:dyDescent="0.3">
      <c r="A2413" t="s">
        <v>5457</v>
      </c>
      <c r="B2413" t="s">
        <v>26632</v>
      </c>
      <c r="C2413" t="s">
        <v>20487</v>
      </c>
      <c r="D2413" t="s">
        <v>11</v>
      </c>
      <c r="E2413" t="s">
        <v>3069</v>
      </c>
      <c r="F2413">
        <v>42</v>
      </c>
      <c r="G2413" t="s">
        <v>441</v>
      </c>
      <c r="H2413" t="s">
        <v>9785</v>
      </c>
      <c r="J2413" t="s">
        <v>5458</v>
      </c>
    </row>
    <row r="2414" spans="1:10" x14ac:dyDescent="0.3">
      <c r="A2414" t="s">
        <v>5459</v>
      </c>
      <c r="B2414" t="s">
        <v>26633</v>
      </c>
      <c r="C2414" t="s">
        <v>20486</v>
      </c>
      <c r="D2414" t="s">
        <v>22</v>
      </c>
      <c r="E2414" t="s">
        <v>5460</v>
      </c>
      <c r="F2414">
        <v>60</v>
      </c>
      <c r="G2414" t="s">
        <v>46</v>
      </c>
      <c r="H2414" t="s">
        <v>46</v>
      </c>
      <c r="I2414" t="s">
        <v>228</v>
      </c>
      <c r="J2414" t="s">
        <v>2515</v>
      </c>
    </row>
    <row r="2415" spans="1:10" x14ac:dyDescent="0.3">
      <c r="A2415" t="s">
        <v>5461</v>
      </c>
      <c r="B2415" t="s">
        <v>26634</v>
      </c>
      <c r="C2415" t="s">
        <v>20488</v>
      </c>
      <c r="D2415" t="s">
        <v>22</v>
      </c>
      <c r="E2415" t="s">
        <v>5462</v>
      </c>
      <c r="F2415">
        <v>33</v>
      </c>
      <c r="G2415" t="s">
        <v>88</v>
      </c>
      <c r="H2415" t="s">
        <v>12065</v>
      </c>
      <c r="I2415" t="s">
        <v>481</v>
      </c>
      <c r="J2415" t="s">
        <v>14327</v>
      </c>
    </row>
    <row r="2416" spans="1:10" x14ac:dyDescent="0.3">
      <c r="A2416" t="s">
        <v>5464</v>
      </c>
      <c r="B2416" t="s">
        <v>26635</v>
      </c>
      <c r="C2416" t="s">
        <v>20487</v>
      </c>
      <c r="D2416" t="s">
        <v>11</v>
      </c>
      <c r="E2416" t="s">
        <v>1626</v>
      </c>
      <c r="F2416">
        <v>56</v>
      </c>
      <c r="G2416" t="s">
        <v>5465</v>
      </c>
      <c r="H2416" t="s">
        <v>9788</v>
      </c>
    </row>
    <row r="2417" spans="1:10" x14ac:dyDescent="0.3">
      <c r="A2417" t="s">
        <v>5466</v>
      </c>
      <c r="B2417" t="s">
        <v>26636</v>
      </c>
      <c r="C2417" t="s">
        <v>20489</v>
      </c>
      <c r="D2417" t="s">
        <v>22</v>
      </c>
      <c r="E2417" t="s">
        <v>5467</v>
      </c>
      <c r="F2417">
        <v>49</v>
      </c>
      <c r="G2417" t="s">
        <v>46</v>
      </c>
      <c r="H2417" t="s">
        <v>46</v>
      </c>
      <c r="I2417" t="s">
        <v>12383</v>
      </c>
    </row>
    <row r="2418" spans="1:10" x14ac:dyDescent="0.3">
      <c r="A2418" t="s">
        <v>5468</v>
      </c>
      <c r="B2418" t="s">
        <v>26637</v>
      </c>
      <c r="C2418" t="s">
        <v>20489</v>
      </c>
      <c r="D2418" t="s">
        <v>22</v>
      </c>
      <c r="E2418" t="s">
        <v>5469</v>
      </c>
      <c r="F2418">
        <v>30</v>
      </c>
      <c r="G2418" t="s">
        <v>16</v>
      </c>
      <c r="H2418" t="s">
        <v>9785</v>
      </c>
      <c r="I2418" t="s">
        <v>17</v>
      </c>
      <c r="J2418" t="s">
        <v>12384</v>
      </c>
    </row>
    <row r="2419" spans="1:10" x14ac:dyDescent="0.3">
      <c r="A2419" t="s">
        <v>5470</v>
      </c>
      <c r="B2419" t="s">
        <v>26638</v>
      </c>
      <c r="C2419" t="s">
        <v>20486</v>
      </c>
      <c r="D2419" t="s">
        <v>11</v>
      </c>
      <c r="E2419" t="s">
        <v>5471</v>
      </c>
      <c r="F2419">
        <v>36</v>
      </c>
      <c r="G2419" t="s">
        <v>46</v>
      </c>
      <c r="H2419" t="s">
        <v>46</v>
      </c>
      <c r="I2419" t="s">
        <v>5472</v>
      </c>
      <c r="J2419" t="s">
        <v>5473</v>
      </c>
    </row>
    <row r="2420" spans="1:10" x14ac:dyDescent="0.3">
      <c r="A2420" t="s">
        <v>5474</v>
      </c>
      <c r="B2420" t="s">
        <v>26639</v>
      </c>
      <c r="C2420" t="s">
        <v>20486</v>
      </c>
      <c r="D2420" t="s">
        <v>22</v>
      </c>
      <c r="E2420" t="s">
        <v>5475</v>
      </c>
      <c r="F2420">
        <v>55</v>
      </c>
      <c r="G2420" t="s">
        <v>31</v>
      </c>
      <c r="H2420" t="s">
        <v>31</v>
      </c>
      <c r="J2420" t="s">
        <v>33</v>
      </c>
    </row>
    <row r="2421" spans="1:10" x14ac:dyDescent="0.3">
      <c r="A2421" t="s">
        <v>5476</v>
      </c>
      <c r="B2421" t="s">
        <v>26640</v>
      </c>
      <c r="C2421" t="s">
        <v>20488</v>
      </c>
      <c r="D2421" t="s">
        <v>22</v>
      </c>
      <c r="E2421" t="s">
        <v>3488</v>
      </c>
      <c r="F2421">
        <v>49</v>
      </c>
      <c r="G2421" t="s">
        <v>46</v>
      </c>
      <c r="H2421" t="s">
        <v>46</v>
      </c>
      <c r="I2421" t="s">
        <v>12385</v>
      </c>
      <c r="J2421" t="s">
        <v>12386</v>
      </c>
    </row>
    <row r="2422" spans="1:10" x14ac:dyDescent="0.3">
      <c r="A2422" t="s">
        <v>5477</v>
      </c>
      <c r="B2422" t="s">
        <v>26641</v>
      </c>
      <c r="C2422" t="s">
        <v>20489</v>
      </c>
      <c r="D2422" t="s">
        <v>22</v>
      </c>
      <c r="E2422" t="s">
        <v>5312</v>
      </c>
      <c r="F2422">
        <v>36</v>
      </c>
      <c r="G2422" t="s">
        <v>31</v>
      </c>
      <c r="H2422" t="s">
        <v>31</v>
      </c>
    </row>
    <row r="2423" spans="1:10" x14ac:dyDescent="0.3">
      <c r="A2423" t="s">
        <v>5478</v>
      </c>
      <c r="B2423" t="s">
        <v>26642</v>
      </c>
      <c r="C2423" t="s">
        <v>20490</v>
      </c>
      <c r="D2423" t="s">
        <v>11</v>
      </c>
      <c r="E2423" t="s">
        <v>5479</v>
      </c>
      <c r="F2423">
        <v>58</v>
      </c>
      <c r="H2423" t="s">
        <v>9788</v>
      </c>
      <c r="J2423" t="s">
        <v>5480</v>
      </c>
    </row>
    <row r="2424" spans="1:10" x14ac:dyDescent="0.3">
      <c r="A2424" t="s">
        <v>5481</v>
      </c>
      <c r="B2424" t="s">
        <v>26643</v>
      </c>
      <c r="C2424" t="s">
        <v>20486</v>
      </c>
      <c r="D2424" t="s">
        <v>11</v>
      </c>
      <c r="E2424" t="s">
        <v>5482</v>
      </c>
      <c r="F2424">
        <v>54</v>
      </c>
      <c r="G2424" t="s">
        <v>109</v>
      </c>
      <c r="H2424" t="s">
        <v>9788</v>
      </c>
      <c r="J2424" t="s">
        <v>5483</v>
      </c>
    </row>
    <row r="2425" spans="1:10" x14ac:dyDescent="0.3">
      <c r="A2425" t="s">
        <v>5484</v>
      </c>
      <c r="B2425" t="s">
        <v>26644</v>
      </c>
      <c r="C2425" t="s">
        <v>20491</v>
      </c>
      <c r="D2425" t="s">
        <v>22</v>
      </c>
      <c r="E2425" t="s">
        <v>5485</v>
      </c>
      <c r="F2425">
        <v>69</v>
      </c>
      <c r="G2425" t="s">
        <v>31</v>
      </c>
      <c r="H2425" t="s">
        <v>31</v>
      </c>
    </row>
    <row r="2426" spans="1:10" x14ac:dyDescent="0.3">
      <c r="A2426" t="s">
        <v>5487</v>
      </c>
      <c r="B2426" t="s">
        <v>26645</v>
      </c>
      <c r="C2426" t="s">
        <v>20486</v>
      </c>
      <c r="D2426" t="s">
        <v>22</v>
      </c>
      <c r="E2426" t="s">
        <v>5486</v>
      </c>
      <c r="F2426">
        <v>36</v>
      </c>
      <c r="G2426" t="s">
        <v>16</v>
      </c>
      <c r="H2426" t="s">
        <v>9785</v>
      </c>
      <c r="I2426" t="s">
        <v>17</v>
      </c>
      <c r="J2426" t="s">
        <v>5229</v>
      </c>
    </row>
    <row r="2427" spans="1:10" x14ac:dyDescent="0.3">
      <c r="A2427" t="s">
        <v>5488</v>
      </c>
      <c r="B2427" t="s">
        <v>26646</v>
      </c>
      <c r="C2427" t="s">
        <v>20486</v>
      </c>
      <c r="D2427" t="s">
        <v>11</v>
      </c>
      <c r="E2427" t="s">
        <v>5489</v>
      </c>
      <c r="F2427">
        <v>52</v>
      </c>
      <c r="G2427" t="s">
        <v>109</v>
      </c>
      <c r="H2427" t="s">
        <v>9788</v>
      </c>
      <c r="J2427" t="s">
        <v>5490</v>
      </c>
    </row>
    <row r="2428" spans="1:10" x14ac:dyDescent="0.3">
      <c r="A2428" t="s">
        <v>5491</v>
      </c>
      <c r="B2428" t="s">
        <v>26647</v>
      </c>
      <c r="C2428" t="s">
        <v>20488</v>
      </c>
      <c r="D2428" t="s">
        <v>11</v>
      </c>
      <c r="E2428" t="s">
        <v>5492</v>
      </c>
      <c r="F2428">
        <v>46</v>
      </c>
      <c r="G2428" t="s">
        <v>46</v>
      </c>
      <c r="H2428" t="s">
        <v>46</v>
      </c>
      <c r="I2428" t="s">
        <v>5493</v>
      </c>
    </row>
    <row r="2429" spans="1:10" x14ac:dyDescent="0.3">
      <c r="A2429" t="s">
        <v>5494</v>
      </c>
      <c r="B2429" t="s">
        <v>26648</v>
      </c>
      <c r="C2429" t="s">
        <v>20488</v>
      </c>
      <c r="D2429" t="s">
        <v>22</v>
      </c>
      <c r="E2429" t="s">
        <v>5495</v>
      </c>
      <c r="F2429">
        <v>33</v>
      </c>
      <c r="G2429" t="s">
        <v>109</v>
      </c>
      <c r="H2429" t="s">
        <v>9788</v>
      </c>
      <c r="I2429" t="s">
        <v>481</v>
      </c>
      <c r="J2429" t="s">
        <v>5463</v>
      </c>
    </row>
    <row r="2430" spans="1:10" x14ac:dyDescent="0.3">
      <c r="A2430" t="s">
        <v>5496</v>
      </c>
      <c r="B2430" t="s">
        <v>26649</v>
      </c>
      <c r="C2430" t="s">
        <v>20487</v>
      </c>
      <c r="D2430" t="s">
        <v>11</v>
      </c>
      <c r="E2430" t="s">
        <v>5497</v>
      </c>
      <c r="F2430">
        <v>42</v>
      </c>
      <c r="G2430" t="s">
        <v>109</v>
      </c>
      <c r="H2430" t="s">
        <v>9788</v>
      </c>
      <c r="J2430" t="s">
        <v>5498</v>
      </c>
    </row>
    <row r="2431" spans="1:10" x14ac:dyDescent="0.3">
      <c r="A2431" t="s">
        <v>5499</v>
      </c>
      <c r="B2431" t="s">
        <v>26650</v>
      </c>
      <c r="C2431" t="s">
        <v>20491</v>
      </c>
      <c r="D2431" t="s">
        <v>22</v>
      </c>
      <c r="E2431" t="s">
        <v>5500</v>
      </c>
      <c r="F2431">
        <v>81</v>
      </c>
      <c r="G2431" t="s">
        <v>31</v>
      </c>
      <c r="H2431" t="s">
        <v>31</v>
      </c>
      <c r="J2431" t="s">
        <v>4042</v>
      </c>
    </row>
    <row r="2432" spans="1:10" x14ac:dyDescent="0.3">
      <c r="A2432" t="s">
        <v>5501</v>
      </c>
      <c r="B2432" t="s">
        <v>26651</v>
      </c>
      <c r="C2432" t="s">
        <v>20489</v>
      </c>
      <c r="D2432" t="s">
        <v>11</v>
      </c>
      <c r="E2432" t="s">
        <v>3960</v>
      </c>
      <c r="F2432">
        <v>54</v>
      </c>
      <c r="G2432" t="s">
        <v>243</v>
      </c>
      <c r="H2432" t="s">
        <v>243</v>
      </c>
    </row>
    <row r="2433" spans="1:10" x14ac:dyDescent="0.3">
      <c r="A2433" t="s">
        <v>5502</v>
      </c>
      <c r="B2433" t="s">
        <v>26652</v>
      </c>
      <c r="C2433" t="s">
        <v>20486</v>
      </c>
      <c r="D2433" t="s">
        <v>11</v>
      </c>
      <c r="E2433" t="s">
        <v>5503</v>
      </c>
      <c r="F2433">
        <v>45</v>
      </c>
      <c r="G2433" t="s">
        <v>172</v>
      </c>
      <c r="H2433" t="s">
        <v>12099</v>
      </c>
      <c r="I2433" t="s">
        <v>110</v>
      </c>
      <c r="J2433" t="s">
        <v>5504</v>
      </c>
    </row>
    <row r="2434" spans="1:10" x14ac:dyDescent="0.3">
      <c r="A2434" t="s">
        <v>5505</v>
      </c>
      <c r="B2434" t="s">
        <v>26653</v>
      </c>
      <c r="C2434" t="s">
        <v>20486</v>
      </c>
      <c r="D2434" t="s">
        <v>22</v>
      </c>
      <c r="E2434" t="s">
        <v>5506</v>
      </c>
      <c r="F2434">
        <v>43</v>
      </c>
      <c r="G2434" t="s">
        <v>46</v>
      </c>
      <c r="H2434" t="s">
        <v>46</v>
      </c>
      <c r="I2434" t="s">
        <v>9599</v>
      </c>
      <c r="J2434" t="s">
        <v>4148</v>
      </c>
    </row>
    <row r="2435" spans="1:10" x14ac:dyDescent="0.3">
      <c r="A2435" t="s">
        <v>5507</v>
      </c>
      <c r="B2435" t="s">
        <v>26654</v>
      </c>
      <c r="C2435" t="s">
        <v>20488</v>
      </c>
      <c r="D2435" t="s">
        <v>22</v>
      </c>
      <c r="E2435" t="s">
        <v>5508</v>
      </c>
      <c r="F2435">
        <v>44</v>
      </c>
      <c r="G2435" t="s">
        <v>109</v>
      </c>
      <c r="H2435" t="s">
        <v>9788</v>
      </c>
    </row>
    <row r="2436" spans="1:10" x14ac:dyDescent="0.3">
      <c r="A2436" t="s">
        <v>5509</v>
      </c>
      <c r="B2436" t="s">
        <v>26655</v>
      </c>
      <c r="C2436" t="s">
        <v>20487</v>
      </c>
      <c r="D2436" t="s">
        <v>22</v>
      </c>
      <c r="E2436" t="s">
        <v>2115</v>
      </c>
      <c r="F2436">
        <v>71</v>
      </c>
    </row>
    <row r="2437" spans="1:10" x14ac:dyDescent="0.3">
      <c r="A2437" t="s">
        <v>5510</v>
      </c>
      <c r="B2437" t="s">
        <v>26656</v>
      </c>
      <c r="C2437" t="s">
        <v>20490</v>
      </c>
      <c r="D2437" t="s">
        <v>22</v>
      </c>
      <c r="E2437" t="s">
        <v>5511</v>
      </c>
      <c r="F2437">
        <v>48</v>
      </c>
      <c r="G2437" t="s">
        <v>370</v>
      </c>
      <c r="H2437" t="s">
        <v>46</v>
      </c>
      <c r="I2437" t="s">
        <v>5512</v>
      </c>
    </row>
    <row r="2438" spans="1:10" x14ac:dyDescent="0.3">
      <c r="A2438" t="s">
        <v>5513</v>
      </c>
      <c r="B2438" t="s">
        <v>26657</v>
      </c>
      <c r="C2438" t="s">
        <v>20488</v>
      </c>
      <c r="D2438" t="s">
        <v>22</v>
      </c>
      <c r="E2438" t="s">
        <v>5514</v>
      </c>
      <c r="F2438">
        <v>46</v>
      </c>
      <c r="G2438" t="s">
        <v>109</v>
      </c>
      <c r="H2438" t="s">
        <v>9788</v>
      </c>
    </row>
    <row r="2439" spans="1:10" x14ac:dyDescent="0.3">
      <c r="A2439" t="s">
        <v>5515</v>
      </c>
      <c r="B2439" t="s">
        <v>26658</v>
      </c>
      <c r="C2439" t="s">
        <v>20491</v>
      </c>
      <c r="D2439" t="s">
        <v>11</v>
      </c>
      <c r="E2439" t="s">
        <v>5516</v>
      </c>
      <c r="F2439">
        <v>31</v>
      </c>
      <c r="G2439" t="s">
        <v>1047</v>
      </c>
      <c r="H2439" t="s">
        <v>9788</v>
      </c>
      <c r="J2439" t="s">
        <v>5517</v>
      </c>
    </row>
    <row r="2440" spans="1:10" x14ac:dyDescent="0.3">
      <c r="A2440" t="s">
        <v>5518</v>
      </c>
      <c r="B2440" t="s">
        <v>26659</v>
      </c>
      <c r="C2440" t="s">
        <v>20486</v>
      </c>
      <c r="D2440" t="s">
        <v>22</v>
      </c>
      <c r="E2440" t="s">
        <v>5519</v>
      </c>
      <c r="F2440">
        <v>51</v>
      </c>
      <c r="G2440" t="s">
        <v>172</v>
      </c>
      <c r="H2440" t="s">
        <v>12099</v>
      </c>
      <c r="I2440" t="s">
        <v>421</v>
      </c>
      <c r="J2440" t="s">
        <v>5520</v>
      </c>
    </row>
    <row r="2441" spans="1:10" x14ac:dyDescent="0.3">
      <c r="A2441" t="s">
        <v>5521</v>
      </c>
      <c r="B2441" t="s">
        <v>26660</v>
      </c>
      <c r="C2441" t="s">
        <v>20486</v>
      </c>
      <c r="D2441" t="s">
        <v>11</v>
      </c>
      <c r="E2441" t="s">
        <v>5522</v>
      </c>
      <c r="F2441">
        <v>63</v>
      </c>
      <c r="G2441" t="s">
        <v>46</v>
      </c>
      <c r="H2441" t="s">
        <v>46</v>
      </c>
      <c r="J2441" t="s">
        <v>5523</v>
      </c>
    </row>
    <row r="2442" spans="1:10" x14ac:dyDescent="0.3">
      <c r="A2442" t="s">
        <v>5524</v>
      </c>
      <c r="B2442" t="s">
        <v>26661</v>
      </c>
      <c r="C2442" t="s">
        <v>20486</v>
      </c>
      <c r="D2442" t="s">
        <v>22</v>
      </c>
      <c r="E2442" t="s">
        <v>5525</v>
      </c>
      <c r="F2442">
        <v>31</v>
      </c>
      <c r="G2442" t="s">
        <v>46</v>
      </c>
      <c r="H2442" t="s">
        <v>46</v>
      </c>
      <c r="I2442" t="s">
        <v>5526</v>
      </c>
      <c r="J2442" t="s">
        <v>5527</v>
      </c>
    </row>
    <row r="2443" spans="1:10" x14ac:dyDescent="0.3">
      <c r="A2443" t="s">
        <v>5528</v>
      </c>
      <c r="B2443" t="s">
        <v>26662</v>
      </c>
      <c r="C2443" t="s">
        <v>20486</v>
      </c>
      <c r="D2443" t="s">
        <v>22</v>
      </c>
      <c r="E2443" t="s">
        <v>5529</v>
      </c>
      <c r="F2443">
        <v>57</v>
      </c>
      <c r="G2443" t="s">
        <v>31</v>
      </c>
      <c r="H2443" t="s">
        <v>31</v>
      </c>
      <c r="J2443" t="s">
        <v>33</v>
      </c>
    </row>
    <row r="2444" spans="1:10" x14ac:dyDescent="0.3">
      <c r="A2444" t="s">
        <v>12387</v>
      </c>
      <c r="B2444" t="s">
        <v>26663</v>
      </c>
      <c r="C2444" t="s">
        <v>20486</v>
      </c>
      <c r="D2444" t="s">
        <v>11</v>
      </c>
      <c r="E2444" t="s">
        <v>9658</v>
      </c>
      <c r="F2444">
        <v>22</v>
      </c>
      <c r="G2444" t="s">
        <v>337</v>
      </c>
      <c r="H2444" t="s">
        <v>337</v>
      </c>
    </row>
    <row r="2445" spans="1:10" x14ac:dyDescent="0.3">
      <c r="A2445" t="s">
        <v>12388</v>
      </c>
      <c r="B2445" t="s">
        <v>26664</v>
      </c>
      <c r="C2445" t="s">
        <v>20486</v>
      </c>
      <c r="D2445" t="s">
        <v>22</v>
      </c>
      <c r="E2445" t="s">
        <v>12389</v>
      </c>
      <c r="F2445">
        <v>64</v>
      </c>
      <c r="G2445" t="s">
        <v>13</v>
      </c>
      <c r="H2445" t="s">
        <v>13</v>
      </c>
      <c r="J2445" t="s">
        <v>12390</v>
      </c>
    </row>
    <row r="2446" spans="1:10" x14ac:dyDescent="0.3">
      <c r="A2446" t="s">
        <v>5530</v>
      </c>
      <c r="B2446" t="s">
        <v>26665</v>
      </c>
      <c r="C2446" t="s">
        <v>20487</v>
      </c>
      <c r="D2446" t="s">
        <v>11</v>
      </c>
      <c r="E2446" t="s">
        <v>5531</v>
      </c>
      <c r="F2446">
        <v>54</v>
      </c>
      <c r="G2446" t="s">
        <v>1047</v>
      </c>
      <c r="H2446" t="s">
        <v>9788</v>
      </c>
      <c r="J2446" t="s">
        <v>4482</v>
      </c>
    </row>
    <row r="2447" spans="1:10" x14ac:dyDescent="0.3">
      <c r="A2447" t="s">
        <v>5532</v>
      </c>
      <c r="B2447" t="s">
        <v>26666</v>
      </c>
      <c r="C2447" t="s">
        <v>20487</v>
      </c>
      <c r="D2447" t="s">
        <v>22</v>
      </c>
      <c r="E2447" t="s">
        <v>5533</v>
      </c>
      <c r="F2447">
        <v>39</v>
      </c>
      <c r="G2447" t="s">
        <v>16</v>
      </c>
      <c r="H2447" t="s">
        <v>9785</v>
      </c>
      <c r="J2447" t="s">
        <v>5534</v>
      </c>
    </row>
    <row r="2448" spans="1:10" x14ac:dyDescent="0.3">
      <c r="A2448" t="s">
        <v>5535</v>
      </c>
      <c r="B2448" t="s">
        <v>26667</v>
      </c>
      <c r="C2448" t="s">
        <v>20490</v>
      </c>
      <c r="D2448" t="s">
        <v>22</v>
      </c>
      <c r="E2448" t="s">
        <v>5536</v>
      </c>
      <c r="F2448">
        <v>48</v>
      </c>
      <c r="G2448" t="s">
        <v>31</v>
      </c>
      <c r="H2448" t="s">
        <v>31</v>
      </c>
    </row>
    <row r="2449" spans="1:10" x14ac:dyDescent="0.3">
      <c r="A2449" t="s">
        <v>5537</v>
      </c>
      <c r="B2449" t="s">
        <v>26668</v>
      </c>
      <c r="C2449" t="s">
        <v>20488</v>
      </c>
      <c r="D2449" t="s">
        <v>22</v>
      </c>
      <c r="E2449" t="s">
        <v>5538</v>
      </c>
      <c r="F2449">
        <v>63</v>
      </c>
      <c r="G2449" t="s">
        <v>31</v>
      </c>
      <c r="H2449" t="s">
        <v>31</v>
      </c>
      <c r="I2449" t="s">
        <v>33</v>
      </c>
      <c r="J2449" t="s">
        <v>384</v>
      </c>
    </row>
    <row r="2450" spans="1:10" x14ac:dyDescent="0.3">
      <c r="A2450" t="s">
        <v>5539</v>
      </c>
      <c r="B2450" t="s">
        <v>26669</v>
      </c>
      <c r="C2450" t="s">
        <v>20487</v>
      </c>
      <c r="D2450" t="s">
        <v>11</v>
      </c>
      <c r="E2450" t="s">
        <v>5540</v>
      </c>
      <c r="F2450">
        <v>52</v>
      </c>
      <c r="G2450" t="s">
        <v>5541</v>
      </c>
      <c r="H2450" t="s">
        <v>12099</v>
      </c>
      <c r="J2450" t="s">
        <v>5542</v>
      </c>
    </row>
    <row r="2451" spans="1:10" x14ac:dyDescent="0.3">
      <c r="A2451" t="s">
        <v>5543</v>
      </c>
      <c r="B2451" t="s">
        <v>26670</v>
      </c>
      <c r="C2451" t="s">
        <v>20486</v>
      </c>
      <c r="D2451" t="s">
        <v>22</v>
      </c>
      <c r="E2451" t="s">
        <v>5544</v>
      </c>
      <c r="F2451">
        <v>85</v>
      </c>
      <c r="G2451" t="s">
        <v>31</v>
      </c>
      <c r="H2451" t="s">
        <v>31</v>
      </c>
      <c r="J2451" t="s">
        <v>33</v>
      </c>
    </row>
    <row r="2452" spans="1:10" x14ac:dyDescent="0.3">
      <c r="A2452" t="s">
        <v>5545</v>
      </c>
      <c r="B2452" t="s">
        <v>26671</v>
      </c>
      <c r="C2452" t="s">
        <v>20486</v>
      </c>
      <c r="D2452" t="s">
        <v>11</v>
      </c>
      <c r="E2452" t="s">
        <v>5546</v>
      </c>
      <c r="F2452">
        <v>52</v>
      </c>
      <c r="G2452" t="s">
        <v>133</v>
      </c>
      <c r="H2452" t="s">
        <v>9789</v>
      </c>
      <c r="J2452" t="s">
        <v>5547</v>
      </c>
    </row>
    <row r="2453" spans="1:10" x14ac:dyDescent="0.3">
      <c r="A2453" t="s">
        <v>5548</v>
      </c>
      <c r="B2453" t="s">
        <v>26672</v>
      </c>
      <c r="C2453" t="s">
        <v>20486</v>
      </c>
      <c r="D2453" t="s">
        <v>22</v>
      </c>
      <c r="E2453" t="s">
        <v>5549</v>
      </c>
      <c r="F2453">
        <v>35</v>
      </c>
      <c r="G2453" t="s">
        <v>31</v>
      </c>
      <c r="H2453" t="s">
        <v>9788</v>
      </c>
      <c r="I2453" t="s">
        <v>1047</v>
      </c>
      <c r="J2453" t="s">
        <v>5550</v>
      </c>
    </row>
    <row r="2454" spans="1:10" x14ac:dyDescent="0.3">
      <c r="A2454" t="s">
        <v>5551</v>
      </c>
      <c r="B2454" t="s">
        <v>26673</v>
      </c>
      <c r="C2454" t="s">
        <v>20486</v>
      </c>
      <c r="D2454" t="s">
        <v>22</v>
      </c>
      <c r="E2454" t="s">
        <v>5552</v>
      </c>
      <c r="F2454">
        <v>27</v>
      </c>
      <c r="G2454" t="s">
        <v>109</v>
      </c>
      <c r="H2454" t="s">
        <v>9788</v>
      </c>
      <c r="I2454" t="s">
        <v>224</v>
      </c>
      <c r="J2454" t="s">
        <v>5553</v>
      </c>
    </row>
    <row r="2455" spans="1:10" x14ac:dyDescent="0.3">
      <c r="A2455" t="s">
        <v>5554</v>
      </c>
      <c r="B2455" t="s">
        <v>26674</v>
      </c>
      <c r="C2455" t="s">
        <v>20486</v>
      </c>
      <c r="D2455" t="s">
        <v>22</v>
      </c>
      <c r="E2455" t="s">
        <v>5555</v>
      </c>
      <c r="F2455">
        <v>35</v>
      </c>
      <c r="G2455" t="s">
        <v>46</v>
      </c>
      <c r="H2455" t="s">
        <v>46</v>
      </c>
      <c r="J2455" t="s">
        <v>5556</v>
      </c>
    </row>
    <row r="2456" spans="1:10" x14ac:dyDescent="0.3">
      <c r="A2456" t="s">
        <v>12391</v>
      </c>
      <c r="B2456" t="s">
        <v>26675</v>
      </c>
      <c r="C2456" t="s">
        <v>20486</v>
      </c>
      <c r="D2456" t="s">
        <v>11</v>
      </c>
      <c r="E2456" t="s">
        <v>9656</v>
      </c>
      <c r="F2456">
        <v>17</v>
      </c>
      <c r="H2456" t="s">
        <v>337</v>
      </c>
      <c r="J2456" t="s">
        <v>9655</v>
      </c>
    </row>
    <row r="2457" spans="1:10" x14ac:dyDescent="0.3">
      <c r="A2457" t="s">
        <v>5557</v>
      </c>
      <c r="B2457" t="s">
        <v>26676</v>
      </c>
      <c r="C2457" t="s">
        <v>20486</v>
      </c>
      <c r="D2457" t="s">
        <v>11</v>
      </c>
      <c r="E2457" t="s">
        <v>5558</v>
      </c>
      <c r="F2457">
        <v>43</v>
      </c>
      <c r="G2457" t="s">
        <v>46</v>
      </c>
      <c r="H2457" t="s">
        <v>46</v>
      </c>
      <c r="I2457" t="s">
        <v>384</v>
      </c>
      <c r="J2457" t="s">
        <v>384</v>
      </c>
    </row>
    <row r="2458" spans="1:10" x14ac:dyDescent="0.3">
      <c r="A2458" t="s">
        <v>5559</v>
      </c>
      <c r="B2458" t="s">
        <v>26677</v>
      </c>
      <c r="C2458" t="s">
        <v>20486</v>
      </c>
      <c r="D2458" t="s">
        <v>22</v>
      </c>
      <c r="E2458" t="s">
        <v>275</v>
      </c>
      <c r="F2458">
        <v>57</v>
      </c>
      <c r="G2458" t="s">
        <v>31</v>
      </c>
      <c r="H2458" t="s">
        <v>31</v>
      </c>
      <c r="J2458" t="s">
        <v>33</v>
      </c>
    </row>
    <row r="2459" spans="1:10" x14ac:dyDescent="0.3">
      <c r="A2459" t="s">
        <v>5560</v>
      </c>
      <c r="B2459" t="s">
        <v>26678</v>
      </c>
      <c r="C2459" t="s">
        <v>20486</v>
      </c>
      <c r="D2459" t="s">
        <v>22</v>
      </c>
      <c r="E2459" t="s">
        <v>5561</v>
      </c>
      <c r="F2459">
        <v>36</v>
      </c>
      <c r="G2459" t="s">
        <v>16</v>
      </c>
      <c r="H2459" t="s">
        <v>9785</v>
      </c>
      <c r="I2459" t="s">
        <v>17</v>
      </c>
      <c r="J2459" t="s">
        <v>5562</v>
      </c>
    </row>
    <row r="2460" spans="1:10" x14ac:dyDescent="0.3">
      <c r="A2460" t="s">
        <v>5563</v>
      </c>
      <c r="B2460" t="s">
        <v>26679</v>
      </c>
      <c r="C2460" t="s">
        <v>20490</v>
      </c>
      <c r="D2460" t="s">
        <v>11</v>
      </c>
      <c r="E2460" t="s">
        <v>5564</v>
      </c>
      <c r="F2460">
        <v>39</v>
      </c>
      <c r="H2460" t="s">
        <v>9788</v>
      </c>
    </row>
    <row r="2461" spans="1:10" x14ac:dyDescent="0.3">
      <c r="A2461" t="s">
        <v>5565</v>
      </c>
      <c r="B2461" t="s">
        <v>26680</v>
      </c>
      <c r="C2461" t="s">
        <v>20487</v>
      </c>
      <c r="D2461" t="s">
        <v>22</v>
      </c>
      <c r="E2461" t="s">
        <v>5566</v>
      </c>
      <c r="F2461">
        <v>54</v>
      </c>
      <c r="G2461" t="s">
        <v>31</v>
      </c>
      <c r="H2461" t="s">
        <v>31</v>
      </c>
    </row>
    <row r="2462" spans="1:10" x14ac:dyDescent="0.3">
      <c r="A2462" t="s">
        <v>5567</v>
      </c>
      <c r="B2462" t="s">
        <v>26681</v>
      </c>
      <c r="C2462" t="s">
        <v>20486</v>
      </c>
      <c r="D2462" t="s">
        <v>22</v>
      </c>
      <c r="E2462" t="s">
        <v>1129</v>
      </c>
      <c r="F2462">
        <v>72</v>
      </c>
      <c r="G2462" t="s">
        <v>31</v>
      </c>
      <c r="H2462" t="s">
        <v>46</v>
      </c>
      <c r="I2462" t="s">
        <v>18826</v>
      </c>
      <c r="J2462" t="s">
        <v>74</v>
      </c>
    </row>
    <row r="2463" spans="1:10" x14ac:dyDescent="0.3">
      <c r="A2463" t="s">
        <v>5568</v>
      </c>
      <c r="B2463" t="s">
        <v>26682</v>
      </c>
      <c r="C2463" t="s">
        <v>20486</v>
      </c>
      <c r="D2463" t="s">
        <v>11</v>
      </c>
      <c r="E2463" t="s">
        <v>5569</v>
      </c>
      <c r="F2463">
        <v>64</v>
      </c>
      <c r="G2463" t="s">
        <v>172</v>
      </c>
      <c r="H2463" t="s">
        <v>12099</v>
      </c>
      <c r="J2463" t="s">
        <v>5570</v>
      </c>
    </row>
    <row r="2464" spans="1:10" x14ac:dyDescent="0.3">
      <c r="A2464" t="s">
        <v>5571</v>
      </c>
      <c r="B2464" t="s">
        <v>26683</v>
      </c>
      <c r="C2464" t="s">
        <v>20486</v>
      </c>
      <c r="D2464" t="s">
        <v>22</v>
      </c>
      <c r="E2464" t="s">
        <v>5572</v>
      </c>
      <c r="F2464">
        <v>28</v>
      </c>
      <c r="G2464" t="s">
        <v>133</v>
      </c>
      <c r="H2464" t="s">
        <v>9789</v>
      </c>
      <c r="I2464" t="s">
        <v>2477</v>
      </c>
      <c r="J2464" t="s">
        <v>1632</v>
      </c>
    </row>
    <row r="2465" spans="1:10" x14ac:dyDescent="0.3">
      <c r="A2465" t="s">
        <v>5573</v>
      </c>
      <c r="B2465" t="s">
        <v>26684</v>
      </c>
      <c r="C2465" t="s">
        <v>20487</v>
      </c>
      <c r="D2465" t="s">
        <v>11</v>
      </c>
      <c r="E2465" t="s">
        <v>3699</v>
      </c>
      <c r="F2465">
        <v>46</v>
      </c>
      <c r="G2465" t="s">
        <v>2055</v>
      </c>
      <c r="H2465" t="s">
        <v>9789</v>
      </c>
    </row>
    <row r="2466" spans="1:10" x14ac:dyDescent="0.3">
      <c r="A2466" t="s">
        <v>5575</v>
      </c>
      <c r="B2466" t="s">
        <v>26685</v>
      </c>
      <c r="C2466" t="s">
        <v>20486</v>
      </c>
      <c r="D2466" t="s">
        <v>22</v>
      </c>
      <c r="E2466" t="s">
        <v>5576</v>
      </c>
      <c r="F2466">
        <v>48</v>
      </c>
      <c r="G2466" t="s">
        <v>31</v>
      </c>
      <c r="H2466" t="s">
        <v>31</v>
      </c>
      <c r="J2466" t="s">
        <v>33</v>
      </c>
    </row>
    <row r="2467" spans="1:10" x14ac:dyDescent="0.3">
      <c r="A2467" t="s">
        <v>5577</v>
      </c>
      <c r="B2467" t="s">
        <v>26686</v>
      </c>
      <c r="C2467" t="s">
        <v>20488</v>
      </c>
      <c r="D2467" t="s">
        <v>11</v>
      </c>
      <c r="E2467" t="s">
        <v>5578</v>
      </c>
      <c r="F2467">
        <v>43</v>
      </c>
      <c r="G2467" t="s">
        <v>109</v>
      </c>
      <c r="H2467" t="s">
        <v>9788</v>
      </c>
    </row>
    <row r="2468" spans="1:10" x14ac:dyDescent="0.3">
      <c r="A2468" t="s">
        <v>5579</v>
      </c>
      <c r="B2468" t="s">
        <v>26687</v>
      </c>
      <c r="C2468" t="s">
        <v>20487</v>
      </c>
      <c r="D2468" t="s">
        <v>22</v>
      </c>
      <c r="E2468" t="s">
        <v>5580</v>
      </c>
      <c r="F2468">
        <v>34</v>
      </c>
      <c r="G2468" t="s">
        <v>1200</v>
      </c>
      <c r="H2468" t="s">
        <v>9785</v>
      </c>
    </row>
    <row r="2469" spans="1:10" x14ac:dyDescent="0.3">
      <c r="A2469" t="s">
        <v>5581</v>
      </c>
      <c r="B2469" t="s">
        <v>26688</v>
      </c>
      <c r="C2469" t="s">
        <v>20486</v>
      </c>
      <c r="D2469" t="s">
        <v>22</v>
      </c>
      <c r="E2469" t="s">
        <v>317</v>
      </c>
      <c r="F2469">
        <v>72</v>
      </c>
      <c r="G2469" t="s">
        <v>46</v>
      </c>
      <c r="H2469" t="s">
        <v>46</v>
      </c>
      <c r="I2469" t="s">
        <v>228</v>
      </c>
      <c r="J2469" t="s">
        <v>5582</v>
      </c>
    </row>
    <row r="2470" spans="1:10" x14ac:dyDescent="0.3">
      <c r="A2470" t="s">
        <v>5583</v>
      </c>
      <c r="B2470" t="s">
        <v>26689</v>
      </c>
      <c r="C2470" t="s">
        <v>20486</v>
      </c>
      <c r="D2470" t="s">
        <v>11</v>
      </c>
      <c r="E2470" t="s">
        <v>5584</v>
      </c>
      <c r="F2470">
        <v>39</v>
      </c>
      <c r="G2470" t="s">
        <v>109</v>
      </c>
      <c r="H2470" t="s">
        <v>9788</v>
      </c>
      <c r="I2470" t="s">
        <v>12392</v>
      </c>
      <c r="J2470" t="s">
        <v>12393</v>
      </c>
    </row>
    <row r="2471" spans="1:10" x14ac:dyDescent="0.3">
      <c r="A2471" t="s">
        <v>5585</v>
      </c>
      <c r="B2471" t="s">
        <v>26690</v>
      </c>
      <c r="C2471" t="s">
        <v>20491</v>
      </c>
      <c r="D2471" t="s">
        <v>11</v>
      </c>
      <c r="E2471" t="s">
        <v>5586</v>
      </c>
      <c r="F2471">
        <v>48</v>
      </c>
      <c r="G2471" t="s">
        <v>46</v>
      </c>
      <c r="H2471" t="s">
        <v>46</v>
      </c>
      <c r="J2471" t="s">
        <v>5587</v>
      </c>
    </row>
    <row r="2472" spans="1:10" x14ac:dyDescent="0.3">
      <c r="A2472" t="s">
        <v>5588</v>
      </c>
      <c r="B2472" t="s">
        <v>26691</v>
      </c>
      <c r="C2472" t="s">
        <v>20487</v>
      </c>
      <c r="D2472" t="s">
        <v>11</v>
      </c>
      <c r="E2472" t="s">
        <v>5589</v>
      </c>
      <c r="F2472">
        <v>39</v>
      </c>
      <c r="G2472" t="s">
        <v>1047</v>
      </c>
      <c r="H2472" t="s">
        <v>9788</v>
      </c>
      <c r="J2472" t="s">
        <v>5590</v>
      </c>
    </row>
    <row r="2473" spans="1:10" x14ac:dyDescent="0.3">
      <c r="A2473" t="s">
        <v>5591</v>
      </c>
      <c r="B2473" t="s">
        <v>26692</v>
      </c>
      <c r="C2473" t="s">
        <v>20486</v>
      </c>
      <c r="D2473" t="s">
        <v>11</v>
      </c>
      <c r="E2473" t="s">
        <v>5592</v>
      </c>
      <c r="F2473">
        <v>32</v>
      </c>
      <c r="G2473" t="s">
        <v>109</v>
      </c>
      <c r="H2473" t="s">
        <v>9788</v>
      </c>
      <c r="I2473" t="s">
        <v>5211</v>
      </c>
      <c r="J2473" t="s">
        <v>5593</v>
      </c>
    </row>
    <row r="2474" spans="1:10" x14ac:dyDescent="0.3">
      <c r="A2474" t="s">
        <v>5594</v>
      </c>
      <c r="B2474" t="s">
        <v>26693</v>
      </c>
      <c r="C2474" t="s">
        <v>20491</v>
      </c>
      <c r="D2474" t="s">
        <v>22</v>
      </c>
      <c r="E2474" t="s">
        <v>5595</v>
      </c>
      <c r="F2474">
        <v>52</v>
      </c>
      <c r="G2474" t="s">
        <v>31</v>
      </c>
      <c r="H2474" t="s">
        <v>31</v>
      </c>
    </row>
    <row r="2475" spans="1:10" x14ac:dyDescent="0.3">
      <c r="A2475" t="s">
        <v>5596</v>
      </c>
      <c r="B2475" t="s">
        <v>26694</v>
      </c>
      <c r="C2475" t="s">
        <v>20490</v>
      </c>
      <c r="D2475" t="s">
        <v>11</v>
      </c>
      <c r="E2475" t="s">
        <v>2610</v>
      </c>
      <c r="F2475">
        <v>53</v>
      </c>
      <c r="G2475" t="s">
        <v>370</v>
      </c>
      <c r="H2475" t="s">
        <v>46</v>
      </c>
      <c r="I2475" t="s">
        <v>2515</v>
      </c>
    </row>
    <row r="2476" spans="1:10" x14ac:dyDescent="0.3">
      <c r="A2476" t="s">
        <v>5597</v>
      </c>
      <c r="B2476" t="s">
        <v>26695</v>
      </c>
      <c r="C2476" t="s">
        <v>20486</v>
      </c>
      <c r="D2476" t="s">
        <v>22</v>
      </c>
      <c r="E2476" t="s">
        <v>5598</v>
      </c>
      <c r="F2476">
        <v>37</v>
      </c>
      <c r="G2476" t="s">
        <v>133</v>
      </c>
      <c r="H2476" t="s">
        <v>9789</v>
      </c>
      <c r="I2476" t="s">
        <v>900</v>
      </c>
      <c r="J2476" t="s">
        <v>1091</v>
      </c>
    </row>
    <row r="2477" spans="1:10" x14ac:dyDescent="0.3">
      <c r="A2477" t="s">
        <v>5599</v>
      </c>
      <c r="B2477" t="s">
        <v>26696</v>
      </c>
      <c r="C2477" t="s">
        <v>20486</v>
      </c>
      <c r="D2477" t="s">
        <v>22</v>
      </c>
      <c r="E2477" t="s">
        <v>5600</v>
      </c>
      <c r="F2477">
        <v>23</v>
      </c>
    </row>
    <row r="2478" spans="1:10" x14ac:dyDescent="0.3">
      <c r="A2478" t="s">
        <v>5602</v>
      </c>
      <c r="B2478" t="s">
        <v>26697</v>
      </c>
      <c r="C2478" t="s">
        <v>20490</v>
      </c>
      <c r="D2478" t="s">
        <v>11</v>
      </c>
      <c r="E2478" t="s">
        <v>5603</v>
      </c>
      <c r="F2478">
        <v>47</v>
      </c>
      <c r="G2478" t="s">
        <v>46</v>
      </c>
      <c r="H2478" t="s">
        <v>46</v>
      </c>
      <c r="I2478" t="s">
        <v>2555</v>
      </c>
    </row>
    <row r="2479" spans="1:10" x14ac:dyDescent="0.3">
      <c r="A2479" t="s">
        <v>5604</v>
      </c>
      <c r="B2479" t="s">
        <v>26698</v>
      </c>
      <c r="C2479" t="s">
        <v>20488</v>
      </c>
      <c r="D2479" t="s">
        <v>11</v>
      </c>
      <c r="E2479" t="s">
        <v>1848</v>
      </c>
      <c r="F2479">
        <v>45</v>
      </c>
      <c r="G2479" t="s">
        <v>109</v>
      </c>
      <c r="H2479" t="s">
        <v>9788</v>
      </c>
    </row>
    <row r="2480" spans="1:10" x14ac:dyDescent="0.3">
      <c r="A2480" t="s">
        <v>5605</v>
      </c>
      <c r="B2480" t="s">
        <v>26699</v>
      </c>
      <c r="C2480" t="s">
        <v>20490</v>
      </c>
      <c r="D2480" t="s">
        <v>11</v>
      </c>
      <c r="E2480" t="s">
        <v>5606</v>
      </c>
      <c r="F2480">
        <v>38</v>
      </c>
      <c r="G2480" t="s">
        <v>109</v>
      </c>
      <c r="H2480" t="s">
        <v>9788</v>
      </c>
      <c r="J2480" t="s">
        <v>5607</v>
      </c>
    </row>
    <row r="2481" spans="1:10" x14ac:dyDescent="0.3">
      <c r="A2481" t="s">
        <v>5608</v>
      </c>
      <c r="B2481" t="s">
        <v>26700</v>
      </c>
      <c r="C2481" t="s">
        <v>20486</v>
      </c>
      <c r="D2481" t="s">
        <v>22</v>
      </c>
      <c r="E2481" t="s">
        <v>5609</v>
      </c>
      <c r="F2481">
        <v>44</v>
      </c>
      <c r="G2481" t="s">
        <v>31</v>
      </c>
      <c r="H2481" t="s">
        <v>31</v>
      </c>
      <c r="J2481" t="s">
        <v>33</v>
      </c>
    </row>
    <row r="2482" spans="1:10" x14ac:dyDescent="0.3">
      <c r="A2482" t="s">
        <v>5610</v>
      </c>
      <c r="B2482" t="s">
        <v>26701</v>
      </c>
      <c r="C2482" t="s">
        <v>20486</v>
      </c>
      <c r="D2482" t="s">
        <v>11</v>
      </c>
      <c r="E2482" t="s">
        <v>5611</v>
      </c>
      <c r="F2482">
        <v>42</v>
      </c>
      <c r="G2482" t="s">
        <v>109</v>
      </c>
      <c r="H2482" t="s">
        <v>9788</v>
      </c>
      <c r="I2482" t="s">
        <v>980</v>
      </c>
    </row>
    <row r="2483" spans="1:10" x14ac:dyDescent="0.3">
      <c r="A2483" t="s">
        <v>5612</v>
      </c>
      <c r="B2483" t="s">
        <v>26702</v>
      </c>
      <c r="C2483" t="s">
        <v>20489</v>
      </c>
      <c r="D2483" t="s">
        <v>11</v>
      </c>
      <c r="E2483" t="s">
        <v>5613</v>
      </c>
      <c r="F2483">
        <v>38</v>
      </c>
      <c r="G2483" t="s">
        <v>243</v>
      </c>
      <c r="H2483" t="s">
        <v>243</v>
      </c>
    </row>
    <row r="2484" spans="1:10" x14ac:dyDescent="0.3">
      <c r="A2484" t="s">
        <v>5614</v>
      </c>
      <c r="B2484" t="s">
        <v>26703</v>
      </c>
      <c r="C2484" t="s">
        <v>20488</v>
      </c>
      <c r="D2484" t="s">
        <v>22</v>
      </c>
      <c r="E2484" t="s">
        <v>5615</v>
      </c>
      <c r="F2484">
        <v>63</v>
      </c>
      <c r="G2484" t="s">
        <v>31</v>
      </c>
      <c r="H2484" t="s">
        <v>31</v>
      </c>
    </row>
    <row r="2485" spans="1:10" x14ac:dyDescent="0.3">
      <c r="A2485" t="s">
        <v>5616</v>
      </c>
      <c r="B2485" t="s">
        <v>26704</v>
      </c>
      <c r="C2485" t="s">
        <v>20488</v>
      </c>
      <c r="D2485" t="s">
        <v>11</v>
      </c>
      <c r="E2485" t="s">
        <v>5617</v>
      </c>
      <c r="F2485">
        <v>38</v>
      </c>
      <c r="G2485" t="s">
        <v>109</v>
      </c>
      <c r="H2485" t="s">
        <v>9788</v>
      </c>
    </row>
    <row r="2486" spans="1:10" x14ac:dyDescent="0.3">
      <c r="A2486" t="s">
        <v>5618</v>
      </c>
      <c r="B2486" t="s">
        <v>26705</v>
      </c>
      <c r="C2486" t="s">
        <v>20490</v>
      </c>
      <c r="D2486" t="s">
        <v>22</v>
      </c>
      <c r="E2486" t="s">
        <v>5619</v>
      </c>
      <c r="F2486">
        <v>34</v>
      </c>
      <c r="G2486" t="s">
        <v>109</v>
      </c>
      <c r="H2486" t="s">
        <v>9788</v>
      </c>
      <c r="J2486" t="s">
        <v>5620</v>
      </c>
    </row>
    <row r="2487" spans="1:10" x14ac:dyDescent="0.3">
      <c r="A2487" t="s">
        <v>5621</v>
      </c>
      <c r="B2487" t="s">
        <v>26706</v>
      </c>
      <c r="C2487" t="s">
        <v>20486</v>
      </c>
      <c r="D2487" t="s">
        <v>22</v>
      </c>
      <c r="E2487" t="s">
        <v>5622</v>
      </c>
      <c r="F2487">
        <v>71</v>
      </c>
      <c r="G2487" t="s">
        <v>31</v>
      </c>
      <c r="H2487" t="s">
        <v>31</v>
      </c>
      <c r="J2487" t="s">
        <v>33</v>
      </c>
    </row>
    <row r="2488" spans="1:10" x14ac:dyDescent="0.3">
      <c r="A2488" t="s">
        <v>5623</v>
      </c>
      <c r="B2488" t="s">
        <v>26707</v>
      </c>
      <c r="C2488" t="s">
        <v>20488</v>
      </c>
      <c r="D2488" t="s">
        <v>22</v>
      </c>
      <c r="E2488" t="s">
        <v>5624</v>
      </c>
      <c r="F2488">
        <v>42</v>
      </c>
      <c r="G2488" t="s">
        <v>109</v>
      </c>
      <c r="H2488" t="s">
        <v>9788</v>
      </c>
      <c r="I2488" t="s">
        <v>481</v>
      </c>
      <c r="J2488" t="s">
        <v>5625</v>
      </c>
    </row>
    <row r="2489" spans="1:10" x14ac:dyDescent="0.3">
      <c r="A2489" t="s">
        <v>5626</v>
      </c>
      <c r="B2489" t="s">
        <v>26708</v>
      </c>
      <c r="C2489" t="s">
        <v>20488</v>
      </c>
      <c r="D2489" t="s">
        <v>22</v>
      </c>
      <c r="E2489" t="s">
        <v>5627</v>
      </c>
      <c r="F2489">
        <v>41</v>
      </c>
      <c r="G2489" t="s">
        <v>109</v>
      </c>
      <c r="H2489" t="s">
        <v>9788</v>
      </c>
      <c r="I2489" t="s">
        <v>5628</v>
      </c>
      <c r="J2489" t="s">
        <v>5629</v>
      </c>
    </row>
    <row r="2490" spans="1:10" x14ac:dyDescent="0.3">
      <c r="A2490" t="s">
        <v>5630</v>
      </c>
      <c r="B2490" t="s">
        <v>26709</v>
      </c>
      <c r="C2490" t="s">
        <v>20488</v>
      </c>
      <c r="D2490" t="s">
        <v>22</v>
      </c>
      <c r="E2490" t="s">
        <v>5631</v>
      </c>
      <c r="F2490">
        <v>43</v>
      </c>
      <c r="G2490" t="s">
        <v>109</v>
      </c>
      <c r="H2490" t="s">
        <v>9788</v>
      </c>
      <c r="J2490" t="s">
        <v>5632</v>
      </c>
    </row>
    <row r="2491" spans="1:10" x14ac:dyDescent="0.3">
      <c r="A2491" t="s">
        <v>5633</v>
      </c>
      <c r="B2491" t="s">
        <v>26710</v>
      </c>
      <c r="C2491" t="s">
        <v>20488</v>
      </c>
      <c r="D2491" t="s">
        <v>11</v>
      </c>
      <c r="E2491" t="s">
        <v>5634</v>
      </c>
      <c r="F2491">
        <v>50</v>
      </c>
      <c r="G2491" t="s">
        <v>109</v>
      </c>
      <c r="H2491" t="s">
        <v>9788</v>
      </c>
      <c r="J2491" t="s">
        <v>5635</v>
      </c>
    </row>
    <row r="2492" spans="1:10" x14ac:dyDescent="0.3">
      <c r="A2492" t="s">
        <v>5636</v>
      </c>
      <c r="B2492" t="s">
        <v>26711</v>
      </c>
      <c r="C2492" t="s">
        <v>20490</v>
      </c>
      <c r="D2492" t="s">
        <v>22</v>
      </c>
      <c r="E2492" t="s">
        <v>5637</v>
      </c>
      <c r="F2492">
        <v>38</v>
      </c>
      <c r="G2492" t="s">
        <v>31</v>
      </c>
      <c r="H2492" t="s">
        <v>31</v>
      </c>
    </row>
    <row r="2493" spans="1:10" x14ac:dyDescent="0.3">
      <c r="A2493" t="s">
        <v>5639</v>
      </c>
      <c r="B2493" t="s">
        <v>26712</v>
      </c>
      <c r="C2493" t="s">
        <v>20486</v>
      </c>
      <c r="D2493" t="s">
        <v>22</v>
      </c>
      <c r="E2493" t="s">
        <v>5640</v>
      </c>
      <c r="F2493">
        <v>34</v>
      </c>
      <c r="G2493" t="s">
        <v>172</v>
      </c>
      <c r="H2493" t="s">
        <v>12099</v>
      </c>
      <c r="J2493" t="s">
        <v>5641</v>
      </c>
    </row>
    <row r="2494" spans="1:10" x14ac:dyDescent="0.3">
      <c r="A2494" t="s">
        <v>5642</v>
      </c>
      <c r="B2494" t="s">
        <v>26713</v>
      </c>
      <c r="C2494" t="s">
        <v>20486</v>
      </c>
      <c r="D2494" t="s">
        <v>22</v>
      </c>
      <c r="E2494" t="s">
        <v>5643</v>
      </c>
      <c r="F2494">
        <v>40</v>
      </c>
      <c r="G2494" t="s">
        <v>172</v>
      </c>
      <c r="H2494" t="s">
        <v>12099</v>
      </c>
      <c r="J2494" t="s">
        <v>5641</v>
      </c>
    </row>
    <row r="2495" spans="1:10" x14ac:dyDescent="0.3">
      <c r="A2495" t="s">
        <v>5644</v>
      </c>
      <c r="B2495" t="s">
        <v>26714</v>
      </c>
      <c r="C2495" t="s">
        <v>20488</v>
      </c>
      <c r="D2495" t="s">
        <v>11</v>
      </c>
      <c r="E2495" t="s">
        <v>4025</v>
      </c>
      <c r="F2495">
        <v>65</v>
      </c>
      <c r="G2495" t="s">
        <v>2055</v>
      </c>
      <c r="H2495" t="s">
        <v>9789</v>
      </c>
    </row>
    <row r="2496" spans="1:10" x14ac:dyDescent="0.3">
      <c r="A2496" t="s">
        <v>5645</v>
      </c>
      <c r="B2496" t="s">
        <v>26715</v>
      </c>
      <c r="C2496" t="s">
        <v>20490</v>
      </c>
      <c r="D2496" t="s">
        <v>11</v>
      </c>
      <c r="E2496" t="s">
        <v>5646</v>
      </c>
      <c r="F2496">
        <v>44</v>
      </c>
      <c r="G2496" t="s">
        <v>370</v>
      </c>
      <c r="H2496" t="s">
        <v>46</v>
      </c>
      <c r="I2496" t="s">
        <v>5647</v>
      </c>
    </row>
    <row r="2497" spans="1:10" x14ac:dyDescent="0.3">
      <c r="A2497" t="s">
        <v>5648</v>
      </c>
      <c r="B2497" t="s">
        <v>26716</v>
      </c>
      <c r="C2497" t="s">
        <v>20487</v>
      </c>
      <c r="D2497" t="s">
        <v>22</v>
      </c>
      <c r="E2497" t="s">
        <v>5649</v>
      </c>
      <c r="F2497">
        <v>36</v>
      </c>
      <c r="G2497" t="s">
        <v>109</v>
      </c>
      <c r="H2497" t="s">
        <v>9788</v>
      </c>
      <c r="J2497" t="s">
        <v>5650</v>
      </c>
    </row>
    <row r="2498" spans="1:10" x14ac:dyDescent="0.3">
      <c r="A2498" t="s">
        <v>5651</v>
      </c>
      <c r="B2498" t="s">
        <v>26717</v>
      </c>
      <c r="C2498" t="s">
        <v>20486</v>
      </c>
      <c r="D2498" t="s">
        <v>22</v>
      </c>
      <c r="E2498" t="s">
        <v>5652</v>
      </c>
      <c r="F2498">
        <v>48</v>
      </c>
      <c r="G2498" t="s">
        <v>109</v>
      </c>
      <c r="H2498" t="s">
        <v>9788</v>
      </c>
      <c r="J2498" t="s">
        <v>5653</v>
      </c>
    </row>
    <row r="2499" spans="1:10" x14ac:dyDescent="0.3">
      <c r="A2499" t="s">
        <v>5654</v>
      </c>
      <c r="B2499" t="s">
        <v>26718</v>
      </c>
      <c r="C2499" t="s">
        <v>20490</v>
      </c>
      <c r="D2499" t="s">
        <v>22</v>
      </c>
      <c r="E2499" t="s">
        <v>5655</v>
      </c>
      <c r="F2499">
        <v>71</v>
      </c>
      <c r="G2499" t="s">
        <v>370</v>
      </c>
      <c r="H2499" t="s">
        <v>46</v>
      </c>
      <c r="I2499" t="s">
        <v>387</v>
      </c>
    </row>
    <row r="2500" spans="1:10" x14ac:dyDescent="0.3">
      <c r="A2500" t="s">
        <v>5656</v>
      </c>
      <c r="B2500" t="s">
        <v>26719</v>
      </c>
      <c r="C2500" t="s">
        <v>20488</v>
      </c>
      <c r="D2500" t="s">
        <v>22</v>
      </c>
      <c r="E2500" t="s">
        <v>5657</v>
      </c>
      <c r="F2500">
        <v>42</v>
      </c>
      <c r="G2500" t="s">
        <v>16</v>
      </c>
      <c r="H2500" t="s">
        <v>9785</v>
      </c>
      <c r="I2500" t="s">
        <v>449</v>
      </c>
      <c r="J2500" t="s">
        <v>5658</v>
      </c>
    </row>
    <row r="2501" spans="1:10" x14ac:dyDescent="0.3">
      <c r="A2501" t="s">
        <v>5659</v>
      </c>
      <c r="B2501" t="s">
        <v>26720</v>
      </c>
      <c r="C2501" t="s">
        <v>20486</v>
      </c>
      <c r="D2501" t="s">
        <v>22</v>
      </c>
      <c r="E2501" t="s">
        <v>5660</v>
      </c>
      <c r="F2501">
        <v>46</v>
      </c>
      <c r="G2501" t="s">
        <v>133</v>
      </c>
      <c r="H2501" t="s">
        <v>9789</v>
      </c>
      <c r="I2501" t="s">
        <v>2477</v>
      </c>
      <c r="J2501" t="s">
        <v>1632</v>
      </c>
    </row>
    <row r="2502" spans="1:10" x14ac:dyDescent="0.3">
      <c r="A2502" t="s">
        <v>5661</v>
      </c>
      <c r="B2502" t="s">
        <v>26721</v>
      </c>
      <c r="C2502" t="s">
        <v>20488</v>
      </c>
      <c r="D2502" t="s">
        <v>22</v>
      </c>
      <c r="E2502" t="s">
        <v>5662</v>
      </c>
      <c r="F2502">
        <v>58</v>
      </c>
      <c r="G2502" t="s">
        <v>31</v>
      </c>
      <c r="H2502" t="s">
        <v>31</v>
      </c>
    </row>
    <row r="2503" spans="1:10" x14ac:dyDescent="0.3">
      <c r="A2503" t="s">
        <v>5663</v>
      </c>
      <c r="B2503" t="s">
        <v>26722</v>
      </c>
      <c r="C2503" t="s">
        <v>20489</v>
      </c>
      <c r="D2503" t="s">
        <v>22</v>
      </c>
      <c r="E2503" t="s">
        <v>5664</v>
      </c>
      <c r="F2503">
        <v>49</v>
      </c>
      <c r="G2503" t="s">
        <v>46</v>
      </c>
      <c r="H2503" t="s">
        <v>46</v>
      </c>
      <c r="I2503" t="s">
        <v>1388</v>
      </c>
      <c r="J2503" t="s">
        <v>5665</v>
      </c>
    </row>
    <row r="2504" spans="1:10" x14ac:dyDescent="0.3">
      <c r="A2504" t="s">
        <v>5666</v>
      </c>
      <c r="B2504" t="s">
        <v>26723</v>
      </c>
      <c r="C2504" t="s">
        <v>20487</v>
      </c>
      <c r="D2504" t="s">
        <v>22</v>
      </c>
      <c r="E2504" t="s">
        <v>5667</v>
      </c>
      <c r="F2504">
        <v>43</v>
      </c>
      <c r="G2504" t="s">
        <v>109</v>
      </c>
      <c r="H2504" t="s">
        <v>9788</v>
      </c>
      <c r="J2504" t="s">
        <v>5668</v>
      </c>
    </row>
    <row r="2505" spans="1:10" x14ac:dyDescent="0.3">
      <c r="A2505" t="s">
        <v>12394</v>
      </c>
      <c r="B2505" t="s">
        <v>26724</v>
      </c>
      <c r="C2505" t="s">
        <v>20486</v>
      </c>
      <c r="D2505" t="s">
        <v>11</v>
      </c>
      <c r="E2505" t="s">
        <v>9653</v>
      </c>
      <c r="F2505">
        <v>23</v>
      </c>
    </row>
    <row r="2506" spans="1:10" x14ac:dyDescent="0.3">
      <c r="A2506" t="s">
        <v>12395</v>
      </c>
      <c r="B2506" t="s">
        <v>26725</v>
      </c>
      <c r="C2506" t="s">
        <v>20486</v>
      </c>
      <c r="D2506" t="s">
        <v>22</v>
      </c>
      <c r="E2506" t="s">
        <v>9652</v>
      </c>
      <c r="F2506">
        <v>25</v>
      </c>
    </row>
    <row r="2507" spans="1:10" x14ac:dyDescent="0.3">
      <c r="A2507" t="s">
        <v>5669</v>
      </c>
      <c r="B2507" t="s">
        <v>26726</v>
      </c>
      <c r="C2507" t="s">
        <v>20486</v>
      </c>
      <c r="D2507" t="s">
        <v>22</v>
      </c>
      <c r="E2507" t="s">
        <v>5670</v>
      </c>
      <c r="F2507">
        <v>53</v>
      </c>
      <c r="G2507" t="s">
        <v>109</v>
      </c>
      <c r="H2507" t="s">
        <v>9788</v>
      </c>
    </row>
    <row r="2508" spans="1:10" x14ac:dyDescent="0.3">
      <c r="A2508" t="s">
        <v>5671</v>
      </c>
      <c r="B2508" t="s">
        <v>26727</v>
      </c>
      <c r="C2508" t="s">
        <v>20486</v>
      </c>
      <c r="D2508" t="s">
        <v>11</v>
      </c>
      <c r="E2508" t="s">
        <v>5672</v>
      </c>
      <c r="F2508">
        <v>22</v>
      </c>
      <c r="G2508" t="s">
        <v>337</v>
      </c>
      <c r="H2508" t="s">
        <v>337</v>
      </c>
      <c r="J2508" t="s">
        <v>5673</v>
      </c>
    </row>
    <row r="2509" spans="1:10" x14ac:dyDescent="0.3">
      <c r="A2509" t="s">
        <v>5674</v>
      </c>
      <c r="B2509" t="s">
        <v>26728</v>
      </c>
      <c r="C2509" t="s">
        <v>20490</v>
      </c>
      <c r="D2509" t="s">
        <v>22</v>
      </c>
      <c r="E2509" t="s">
        <v>1247</v>
      </c>
      <c r="F2509">
        <v>57</v>
      </c>
      <c r="G2509" t="s">
        <v>370</v>
      </c>
      <c r="H2509" t="s">
        <v>46</v>
      </c>
      <c r="I2509" t="s">
        <v>5512</v>
      </c>
      <c r="J2509" t="s">
        <v>5675</v>
      </c>
    </row>
    <row r="2510" spans="1:10" x14ac:dyDescent="0.3">
      <c r="A2510" t="s">
        <v>5676</v>
      </c>
      <c r="B2510" t="s">
        <v>26729</v>
      </c>
      <c r="C2510" t="s">
        <v>20486</v>
      </c>
      <c r="D2510" t="s">
        <v>22</v>
      </c>
      <c r="E2510" t="s">
        <v>5677</v>
      </c>
      <c r="F2510">
        <v>71</v>
      </c>
      <c r="G2510" t="s">
        <v>46</v>
      </c>
      <c r="H2510" t="s">
        <v>46</v>
      </c>
      <c r="I2510" t="s">
        <v>5678</v>
      </c>
      <c r="J2510" t="s">
        <v>5679</v>
      </c>
    </row>
    <row r="2511" spans="1:10" x14ac:dyDescent="0.3">
      <c r="A2511" t="s">
        <v>5680</v>
      </c>
      <c r="B2511" t="s">
        <v>26730</v>
      </c>
      <c r="C2511" t="s">
        <v>20486</v>
      </c>
      <c r="D2511" t="s">
        <v>22</v>
      </c>
      <c r="E2511" t="s">
        <v>5681</v>
      </c>
      <c r="F2511">
        <v>50</v>
      </c>
      <c r="G2511" t="s">
        <v>16</v>
      </c>
      <c r="H2511" t="s">
        <v>9785</v>
      </c>
      <c r="I2511" t="s">
        <v>17</v>
      </c>
      <c r="J2511" t="s">
        <v>2880</v>
      </c>
    </row>
    <row r="2512" spans="1:10" x14ac:dyDescent="0.3">
      <c r="A2512" t="s">
        <v>5682</v>
      </c>
      <c r="B2512" t="s">
        <v>26731</v>
      </c>
      <c r="C2512" t="s">
        <v>20491</v>
      </c>
      <c r="D2512" t="s">
        <v>11</v>
      </c>
      <c r="E2512" t="s">
        <v>5683</v>
      </c>
      <c r="F2512">
        <v>54</v>
      </c>
      <c r="G2512" t="s">
        <v>1200</v>
      </c>
      <c r="H2512" t="s">
        <v>9788</v>
      </c>
      <c r="I2512" t="s">
        <v>17</v>
      </c>
      <c r="J2512" t="s">
        <v>4205</v>
      </c>
    </row>
    <row r="2513" spans="1:10" x14ac:dyDescent="0.3">
      <c r="A2513" t="s">
        <v>5685</v>
      </c>
      <c r="B2513" t="s">
        <v>26732</v>
      </c>
      <c r="C2513" t="s">
        <v>20486</v>
      </c>
      <c r="D2513" t="s">
        <v>11</v>
      </c>
      <c r="E2513" t="s">
        <v>5686</v>
      </c>
      <c r="F2513">
        <v>44</v>
      </c>
      <c r="G2513" t="s">
        <v>16</v>
      </c>
      <c r="H2513" t="s">
        <v>9785</v>
      </c>
      <c r="I2513" t="s">
        <v>17</v>
      </c>
      <c r="J2513" t="s">
        <v>5687</v>
      </c>
    </row>
    <row r="2514" spans="1:10" x14ac:dyDescent="0.3">
      <c r="A2514" t="s">
        <v>5688</v>
      </c>
      <c r="B2514" t="s">
        <v>26733</v>
      </c>
      <c r="C2514" t="s">
        <v>20486</v>
      </c>
      <c r="D2514" t="s">
        <v>22</v>
      </c>
      <c r="E2514" t="s">
        <v>5689</v>
      </c>
      <c r="F2514">
        <v>43</v>
      </c>
      <c r="G2514" t="s">
        <v>31</v>
      </c>
      <c r="H2514" t="s">
        <v>31</v>
      </c>
      <c r="J2514" t="s">
        <v>33</v>
      </c>
    </row>
    <row r="2515" spans="1:10" x14ac:dyDescent="0.3">
      <c r="A2515" t="s">
        <v>5690</v>
      </c>
      <c r="B2515" t="s">
        <v>26734</v>
      </c>
      <c r="C2515" t="s">
        <v>20486</v>
      </c>
      <c r="D2515" t="s">
        <v>11</v>
      </c>
      <c r="E2515" t="s">
        <v>5691</v>
      </c>
      <c r="F2515">
        <v>33</v>
      </c>
      <c r="G2515" t="s">
        <v>109</v>
      </c>
      <c r="H2515" t="s">
        <v>9788</v>
      </c>
      <c r="J2515" t="s">
        <v>3615</v>
      </c>
    </row>
    <row r="2516" spans="1:10" x14ac:dyDescent="0.3">
      <c r="A2516" t="s">
        <v>5692</v>
      </c>
      <c r="B2516" t="s">
        <v>26735</v>
      </c>
      <c r="C2516" t="s">
        <v>20488</v>
      </c>
      <c r="D2516" t="s">
        <v>22</v>
      </c>
      <c r="E2516" t="s">
        <v>5693</v>
      </c>
      <c r="F2516">
        <v>44</v>
      </c>
      <c r="G2516" t="s">
        <v>109</v>
      </c>
      <c r="H2516" t="s">
        <v>9788</v>
      </c>
    </row>
    <row r="2517" spans="1:10" x14ac:dyDescent="0.3">
      <c r="A2517" t="s">
        <v>5694</v>
      </c>
      <c r="B2517" t="s">
        <v>26736</v>
      </c>
      <c r="C2517" t="s">
        <v>20486</v>
      </c>
      <c r="D2517" t="s">
        <v>22</v>
      </c>
      <c r="E2517" t="s">
        <v>5695</v>
      </c>
      <c r="F2517">
        <v>41</v>
      </c>
      <c r="G2517" t="s">
        <v>243</v>
      </c>
      <c r="H2517" t="s">
        <v>9789</v>
      </c>
      <c r="I2517" t="s">
        <v>3043</v>
      </c>
    </row>
    <row r="2518" spans="1:10" x14ac:dyDescent="0.3">
      <c r="A2518" t="s">
        <v>5696</v>
      </c>
      <c r="B2518" t="s">
        <v>26737</v>
      </c>
      <c r="C2518" t="s">
        <v>20490</v>
      </c>
      <c r="D2518" t="s">
        <v>11</v>
      </c>
      <c r="E2518" t="s">
        <v>5697</v>
      </c>
      <c r="F2518">
        <v>30</v>
      </c>
      <c r="G2518" t="s">
        <v>109</v>
      </c>
      <c r="H2518" t="s">
        <v>9788</v>
      </c>
      <c r="I2518" t="s">
        <v>5698</v>
      </c>
      <c r="J2518" t="s">
        <v>5698</v>
      </c>
    </row>
    <row r="2519" spans="1:10" x14ac:dyDescent="0.3">
      <c r="A2519" t="s">
        <v>5700</v>
      </c>
      <c r="B2519" t="s">
        <v>26738</v>
      </c>
      <c r="C2519" t="s">
        <v>20488</v>
      </c>
      <c r="D2519" t="s">
        <v>22</v>
      </c>
      <c r="E2519" t="s">
        <v>5701</v>
      </c>
      <c r="F2519">
        <v>54</v>
      </c>
      <c r="G2519" t="s">
        <v>88</v>
      </c>
      <c r="H2519" t="s">
        <v>12065</v>
      </c>
      <c r="I2519" t="s">
        <v>101</v>
      </c>
      <c r="J2519" t="s">
        <v>2027</v>
      </c>
    </row>
    <row r="2520" spans="1:10" x14ac:dyDescent="0.3">
      <c r="A2520" t="s">
        <v>5702</v>
      </c>
      <c r="B2520" t="s">
        <v>26739</v>
      </c>
      <c r="C2520" t="s">
        <v>20489</v>
      </c>
      <c r="D2520" t="s">
        <v>11</v>
      </c>
      <c r="E2520" t="s">
        <v>5703</v>
      </c>
      <c r="F2520">
        <v>44</v>
      </c>
      <c r="G2520" t="s">
        <v>133</v>
      </c>
      <c r="H2520" t="s">
        <v>9789</v>
      </c>
      <c r="I2520" t="s">
        <v>12396</v>
      </c>
    </row>
    <row r="2521" spans="1:10" x14ac:dyDescent="0.3">
      <c r="A2521" t="s">
        <v>5704</v>
      </c>
      <c r="B2521" t="s">
        <v>26740</v>
      </c>
      <c r="C2521" t="s">
        <v>20488</v>
      </c>
      <c r="D2521" t="s">
        <v>22</v>
      </c>
      <c r="E2521" t="s">
        <v>5705</v>
      </c>
      <c r="F2521">
        <v>28</v>
      </c>
      <c r="G2521" t="s">
        <v>337</v>
      </c>
      <c r="H2521" t="s">
        <v>337</v>
      </c>
    </row>
    <row r="2522" spans="1:10" x14ac:dyDescent="0.3">
      <c r="A2522" t="s">
        <v>5706</v>
      </c>
      <c r="B2522" t="s">
        <v>26741</v>
      </c>
      <c r="C2522" t="s">
        <v>20488</v>
      </c>
      <c r="D2522" t="s">
        <v>22</v>
      </c>
      <c r="E2522" t="s">
        <v>5707</v>
      </c>
      <c r="F2522">
        <v>27</v>
      </c>
      <c r="G2522" t="s">
        <v>337</v>
      </c>
      <c r="H2522" t="s">
        <v>337</v>
      </c>
      <c r="J2522" t="s">
        <v>1431</v>
      </c>
    </row>
    <row r="2523" spans="1:10" x14ac:dyDescent="0.3">
      <c r="A2523" t="s">
        <v>5708</v>
      </c>
      <c r="B2523" t="s">
        <v>26742</v>
      </c>
      <c r="C2523" t="s">
        <v>20486</v>
      </c>
      <c r="D2523" t="s">
        <v>22</v>
      </c>
      <c r="E2523" t="s">
        <v>1921</v>
      </c>
      <c r="F2523">
        <v>63</v>
      </c>
      <c r="G2523" t="s">
        <v>109</v>
      </c>
      <c r="H2523" t="s">
        <v>9788</v>
      </c>
      <c r="I2523" t="s">
        <v>1377</v>
      </c>
      <c r="J2523" t="s">
        <v>5709</v>
      </c>
    </row>
    <row r="2524" spans="1:10" x14ac:dyDescent="0.3">
      <c r="A2524" t="s">
        <v>5710</v>
      </c>
      <c r="B2524" t="s">
        <v>26743</v>
      </c>
      <c r="C2524" t="s">
        <v>20486</v>
      </c>
      <c r="D2524" t="s">
        <v>11</v>
      </c>
      <c r="E2524" t="s">
        <v>5711</v>
      </c>
      <c r="F2524">
        <v>62</v>
      </c>
      <c r="G2524" t="s">
        <v>109</v>
      </c>
      <c r="H2524" t="s">
        <v>9788</v>
      </c>
      <c r="I2524" t="s">
        <v>2235</v>
      </c>
      <c r="J2524" t="s">
        <v>5523</v>
      </c>
    </row>
    <row r="2525" spans="1:10" x14ac:dyDescent="0.3">
      <c r="A2525" t="s">
        <v>5712</v>
      </c>
      <c r="B2525" t="s">
        <v>26744</v>
      </c>
      <c r="C2525" t="s">
        <v>20486</v>
      </c>
      <c r="D2525" t="s">
        <v>22</v>
      </c>
      <c r="E2525" t="s">
        <v>5713</v>
      </c>
      <c r="F2525">
        <v>42</v>
      </c>
      <c r="G2525" t="s">
        <v>31</v>
      </c>
      <c r="H2525" t="s">
        <v>31</v>
      </c>
      <c r="I2525" t="s">
        <v>5714</v>
      </c>
      <c r="J2525" t="s">
        <v>5715</v>
      </c>
    </row>
    <row r="2526" spans="1:10" x14ac:dyDescent="0.3">
      <c r="A2526" t="s">
        <v>5716</v>
      </c>
      <c r="B2526" t="s">
        <v>26745</v>
      </c>
      <c r="C2526" t="s">
        <v>20487</v>
      </c>
      <c r="D2526" t="s">
        <v>11</v>
      </c>
      <c r="E2526" t="s">
        <v>5717</v>
      </c>
      <c r="F2526">
        <v>46</v>
      </c>
      <c r="G2526" t="s">
        <v>220</v>
      </c>
      <c r="H2526" t="s">
        <v>46</v>
      </c>
    </row>
    <row r="2527" spans="1:10" x14ac:dyDescent="0.3">
      <c r="A2527" t="s">
        <v>5718</v>
      </c>
      <c r="B2527" t="s">
        <v>26746</v>
      </c>
      <c r="C2527" t="s">
        <v>20486</v>
      </c>
      <c r="D2527" t="s">
        <v>22</v>
      </c>
      <c r="E2527" t="s">
        <v>5719</v>
      </c>
      <c r="F2527">
        <v>55</v>
      </c>
      <c r="G2527" t="s">
        <v>133</v>
      </c>
      <c r="H2527" t="s">
        <v>9789</v>
      </c>
      <c r="I2527" t="s">
        <v>2477</v>
      </c>
      <c r="J2527" t="s">
        <v>2481</v>
      </c>
    </row>
    <row r="2528" spans="1:10" x14ac:dyDescent="0.3">
      <c r="A2528" t="s">
        <v>5720</v>
      </c>
      <c r="B2528" t="s">
        <v>26747</v>
      </c>
      <c r="C2528" t="s">
        <v>20490</v>
      </c>
      <c r="D2528" t="s">
        <v>22</v>
      </c>
      <c r="E2528" t="s">
        <v>5721</v>
      </c>
      <c r="F2528">
        <v>73</v>
      </c>
      <c r="G2528" t="s">
        <v>109</v>
      </c>
      <c r="H2528" t="s">
        <v>9788</v>
      </c>
      <c r="J2528" t="s">
        <v>5722</v>
      </c>
    </row>
    <row r="2529" spans="1:10" x14ac:dyDescent="0.3">
      <c r="A2529" t="s">
        <v>5723</v>
      </c>
      <c r="B2529" t="s">
        <v>26748</v>
      </c>
      <c r="C2529" t="s">
        <v>20486</v>
      </c>
      <c r="D2529" t="s">
        <v>22</v>
      </c>
      <c r="E2529" t="s">
        <v>5724</v>
      </c>
      <c r="F2529">
        <v>51</v>
      </c>
      <c r="G2529" t="s">
        <v>31</v>
      </c>
      <c r="H2529" t="s">
        <v>31</v>
      </c>
      <c r="J2529" t="s">
        <v>33</v>
      </c>
    </row>
    <row r="2530" spans="1:10" x14ac:dyDescent="0.3">
      <c r="A2530" t="s">
        <v>5725</v>
      </c>
      <c r="B2530" t="s">
        <v>26749</v>
      </c>
      <c r="C2530" t="s">
        <v>20486</v>
      </c>
      <c r="D2530" t="s">
        <v>22</v>
      </c>
      <c r="E2530" t="s">
        <v>5726</v>
      </c>
      <c r="F2530">
        <v>50</v>
      </c>
      <c r="G2530" t="s">
        <v>109</v>
      </c>
      <c r="H2530" t="s">
        <v>9788</v>
      </c>
      <c r="I2530" t="s">
        <v>110</v>
      </c>
      <c r="J2530" t="s">
        <v>5727</v>
      </c>
    </row>
    <row r="2531" spans="1:10" x14ac:dyDescent="0.3">
      <c r="A2531" t="s">
        <v>5728</v>
      </c>
      <c r="B2531" t="s">
        <v>26750</v>
      </c>
      <c r="C2531" t="s">
        <v>20488</v>
      </c>
      <c r="D2531" t="s">
        <v>22</v>
      </c>
      <c r="E2531" t="s">
        <v>5729</v>
      </c>
      <c r="F2531">
        <v>50</v>
      </c>
      <c r="G2531" t="s">
        <v>31</v>
      </c>
      <c r="H2531" t="s">
        <v>31</v>
      </c>
    </row>
    <row r="2532" spans="1:10" x14ac:dyDescent="0.3">
      <c r="A2532" t="s">
        <v>5730</v>
      </c>
      <c r="B2532" t="s">
        <v>26751</v>
      </c>
      <c r="C2532" t="s">
        <v>20489</v>
      </c>
      <c r="D2532" t="s">
        <v>11</v>
      </c>
      <c r="E2532" t="s">
        <v>5731</v>
      </c>
      <c r="F2532">
        <v>22</v>
      </c>
      <c r="G2532" t="s">
        <v>337</v>
      </c>
      <c r="H2532" t="s">
        <v>337</v>
      </c>
      <c r="J2532" t="s">
        <v>5732</v>
      </c>
    </row>
    <row r="2533" spans="1:10" x14ac:dyDescent="0.3">
      <c r="A2533" t="s">
        <v>5733</v>
      </c>
      <c r="B2533" t="s">
        <v>26752</v>
      </c>
      <c r="C2533" t="s">
        <v>20491</v>
      </c>
      <c r="D2533" t="s">
        <v>11</v>
      </c>
      <c r="E2533" t="s">
        <v>5734</v>
      </c>
      <c r="F2533">
        <v>40</v>
      </c>
      <c r="G2533" t="s">
        <v>109</v>
      </c>
      <c r="H2533" t="s">
        <v>9788</v>
      </c>
      <c r="J2533" t="s">
        <v>5735</v>
      </c>
    </row>
    <row r="2534" spans="1:10" x14ac:dyDescent="0.3">
      <c r="A2534" t="s">
        <v>5737</v>
      </c>
      <c r="B2534" t="s">
        <v>26753</v>
      </c>
      <c r="C2534" t="s">
        <v>20486</v>
      </c>
      <c r="D2534" t="s">
        <v>11</v>
      </c>
      <c r="E2534" t="s">
        <v>5738</v>
      </c>
      <c r="F2534">
        <v>55</v>
      </c>
      <c r="G2534" t="s">
        <v>1331</v>
      </c>
      <c r="H2534" t="s">
        <v>9788</v>
      </c>
      <c r="I2534" t="s">
        <v>3978</v>
      </c>
      <c r="J2534" t="s">
        <v>5739</v>
      </c>
    </row>
    <row r="2535" spans="1:10" x14ac:dyDescent="0.3">
      <c r="A2535" t="s">
        <v>5740</v>
      </c>
      <c r="B2535" t="s">
        <v>26754</v>
      </c>
      <c r="C2535" t="s">
        <v>20491</v>
      </c>
      <c r="D2535" t="s">
        <v>22</v>
      </c>
      <c r="E2535" t="s">
        <v>5741</v>
      </c>
      <c r="F2535">
        <v>58</v>
      </c>
      <c r="G2535" t="s">
        <v>46</v>
      </c>
      <c r="H2535" t="s">
        <v>46</v>
      </c>
      <c r="I2535" t="s">
        <v>228</v>
      </c>
    </row>
    <row r="2536" spans="1:10" x14ac:dyDescent="0.3">
      <c r="A2536" t="s">
        <v>5742</v>
      </c>
      <c r="B2536" t="s">
        <v>26755</v>
      </c>
      <c r="C2536" t="s">
        <v>20486</v>
      </c>
      <c r="D2536" t="s">
        <v>22</v>
      </c>
      <c r="E2536" t="s">
        <v>5743</v>
      </c>
      <c r="F2536">
        <v>37</v>
      </c>
      <c r="G2536" t="s">
        <v>109</v>
      </c>
      <c r="H2536" t="s">
        <v>9788</v>
      </c>
      <c r="J2536" t="s">
        <v>5744</v>
      </c>
    </row>
    <row r="2537" spans="1:10" x14ac:dyDescent="0.3">
      <c r="A2537" t="s">
        <v>5745</v>
      </c>
      <c r="B2537" t="s">
        <v>26756</v>
      </c>
      <c r="C2537" t="s">
        <v>20486</v>
      </c>
      <c r="D2537" t="s">
        <v>11</v>
      </c>
      <c r="E2537" t="s">
        <v>1677</v>
      </c>
      <c r="F2537">
        <v>54</v>
      </c>
      <c r="G2537" t="s">
        <v>109</v>
      </c>
      <c r="H2537" t="s">
        <v>9788</v>
      </c>
      <c r="J2537" t="s">
        <v>1047</v>
      </c>
    </row>
    <row r="2538" spans="1:10" x14ac:dyDescent="0.3">
      <c r="A2538" t="s">
        <v>5746</v>
      </c>
      <c r="B2538" t="s">
        <v>26757</v>
      </c>
      <c r="C2538" t="s">
        <v>20486</v>
      </c>
      <c r="D2538" t="s">
        <v>22</v>
      </c>
      <c r="E2538" t="s">
        <v>353</v>
      </c>
      <c r="F2538">
        <v>67</v>
      </c>
      <c r="G2538" t="s">
        <v>4481</v>
      </c>
      <c r="H2538" t="s">
        <v>12099</v>
      </c>
      <c r="I2538" t="s">
        <v>421</v>
      </c>
      <c r="J2538" t="s">
        <v>5747</v>
      </c>
    </row>
    <row r="2539" spans="1:10" x14ac:dyDescent="0.3">
      <c r="A2539" t="s">
        <v>5748</v>
      </c>
      <c r="B2539" t="s">
        <v>26758</v>
      </c>
      <c r="C2539" t="s">
        <v>20490</v>
      </c>
      <c r="D2539" t="s">
        <v>11</v>
      </c>
      <c r="E2539" t="s">
        <v>5749</v>
      </c>
      <c r="F2539">
        <v>26</v>
      </c>
      <c r="G2539" t="s">
        <v>337</v>
      </c>
      <c r="H2539" t="s">
        <v>337</v>
      </c>
    </row>
    <row r="2540" spans="1:10" x14ac:dyDescent="0.3">
      <c r="A2540" t="s">
        <v>5750</v>
      </c>
      <c r="B2540" t="s">
        <v>26759</v>
      </c>
      <c r="C2540" t="s">
        <v>20486</v>
      </c>
      <c r="D2540" t="s">
        <v>11</v>
      </c>
      <c r="E2540" t="s">
        <v>5751</v>
      </c>
      <c r="F2540">
        <v>65</v>
      </c>
      <c r="G2540" t="s">
        <v>133</v>
      </c>
      <c r="H2540" t="s">
        <v>9789</v>
      </c>
      <c r="I2540" t="s">
        <v>2477</v>
      </c>
      <c r="J2540" t="s">
        <v>1632</v>
      </c>
    </row>
    <row r="2541" spans="1:10" x14ac:dyDescent="0.3">
      <c r="A2541" t="s">
        <v>5752</v>
      </c>
      <c r="B2541" t="s">
        <v>26760</v>
      </c>
      <c r="C2541" t="s">
        <v>20490</v>
      </c>
      <c r="D2541" t="s">
        <v>22</v>
      </c>
      <c r="E2541" t="s">
        <v>5753</v>
      </c>
      <c r="F2541">
        <v>51</v>
      </c>
      <c r="G2541" t="s">
        <v>24</v>
      </c>
      <c r="H2541" t="s">
        <v>9789</v>
      </c>
    </row>
    <row r="2542" spans="1:10" x14ac:dyDescent="0.3">
      <c r="A2542" t="s">
        <v>5754</v>
      </c>
      <c r="B2542" t="s">
        <v>26761</v>
      </c>
      <c r="C2542" t="s">
        <v>20486</v>
      </c>
      <c r="D2542" t="s">
        <v>22</v>
      </c>
      <c r="E2542" t="s">
        <v>5755</v>
      </c>
      <c r="F2542">
        <v>69</v>
      </c>
      <c r="G2542" t="s">
        <v>46</v>
      </c>
      <c r="H2542" t="s">
        <v>46</v>
      </c>
      <c r="J2542" t="s">
        <v>1018</v>
      </c>
    </row>
    <row r="2543" spans="1:10" x14ac:dyDescent="0.3">
      <c r="A2543" t="s">
        <v>5756</v>
      </c>
      <c r="B2543" t="s">
        <v>26762</v>
      </c>
      <c r="C2543" t="s">
        <v>20487</v>
      </c>
      <c r="D2543" t="s">
        <v>22</v>
      </c>
      <c r="E2543" t="s">
        <v>5757</v>
      </c>
      <c r="F2543">
        <v>62</v>
      </c>
      <c r="G2543" t="s">
        <v>46</v>
      </c>
      <c r="H2543" t="s">
        <v>46</v>
      </c>
      <c r="J2543" t="s">
        <v>5758</v>
      </c>
    </row>
    <row r="2544" spans="1:10" x14ac:dyDescent="0.3">
      <c r="A2544" t="s">
        <v>5759</v>
      </c>
      <c r="B2544" t="s">
        <v>26763</v>
      </c>
      <c r="C2544" t="s">
        <v>20486</v>
      </c>
      <c r="D2544" t="s">
        <v>11</v>
      </c>
      <c r="E2544" t="s">
        <v>5760</v>
      </c>
      <c r="F2544">
        <v>39</v>
      </c>
      <c r="G2544" t="s">
        <v>172</v>
      </c>
      <c r="H2544" t="s">
        <v>12099</v>
      </c>
      <c r="I2544" t="s">
        <v>17</v>
      </c>
      <c r="J2544" t="s">
        <v>441</v>
      </c>
    </row>
    <row r="2545" spans="1:10" x14ac:dyDescent="0.3">
      <c r="A2545" t="s">
        <v>5761</v>
      </c>
      <c r="B2545" t="s">
        <v>26764</v>
      </c>
      <c r="C2545" t="s">
        <v>20486</v>
      </c>
      <c r="D2545" t="s">
        <v>11</v>
      </c>
      <c r="E2545" t="s">
        <v>5762</v>
      </c>
      <c r="F2545">
        <v>31</v>
      </c>
      <c r="G2545" t="s">
        <v>1200</v>
      </c>
      <c r="H2545" t="s">
        <v>9788</v>
      </c>
      <c r="I2545" t="s">
        <v>17</v>
      </c>
      <c r="J2545" t="s">
        <v>12397</v>
      </c>
    </row>
    <row r="2546" spans="1:10" x14ac:dyDescent="0.3">
      <c r="A2546" t="s">
        <v>5763</v>
      </c>
      <c r="B2546" t="s">
        <v>26765</v>
      </c>
      <c r="C2546" t="s">
        <v>20486</v>
      </c>
      <c r="D2546" t="s">
        <v>22</v>
      </c>
      <c r="E2546" t="s">
        <v>5764</v>
      </c>
      <c r="F2546">
        <v>35</v>
      </c>
      <c r="G2546" t="s">
        <v>31</v>
      </c>
      <c r="H2546" t="s">
        <v>31</v>
      </c>
    </row>
    <row r="2547" spans="1:10" x14ac:dyDescent="0.3">
      <c r="A2547" t="s">
        <v>5765</v>
      </c>
      <c r="B2547" t="s">
        <v>26766</v>
      </c>
      <c r="C2547" t="s">
        <v>20486</v>
      </c>
      <c r="D2547" t="s">
        <v>11</v>
      </c>
      <c r="E2547" t="s">
        <v>5766</v>
      </c>
      <c r="F2547">
        <v>75</v>
      </c>
      <c r="G2547" t="s">
        <v>46</v>
      </c>
      <c r="H2547" t="s">
        <v>46</v>
      </c>
      <c r="J2547" t="s">
        <v>1018</v>
      </c>
    </row>
    <row r="2548" spans="1:10" x14ac:dyDescent="0.3">
      <c r="A2548" t="s">
        <v>5767</v>
      </c>
      <c r="B2548" t="s">
        <v>26767</v>
      </c>
      <c r="C2548" t="s">
        <v>20486</v>
      </c>
      <c r="D2548" t="s">
        <v>22</v>
      </c>
      <c r="E2548" t="s">
        <v>5768</v>
      </c>
      <c r="F2548">
        <v>67</v>
      </c>
      <c r="G2548" t="s">
        <v>133</v>
      </c>
      <c r="H2548" t="s">
        <v>9789</v>
      </c>
      <c r="I2548" t="s">
        <v>228</v>
      </c>
      <c r="J2548" t="s">
        <v>5769</v>
      </c>
    </row>
    <row r="2549" spans="1:10" x14ac:dyDescent="0.3">
      <c r="A2549" t="s">
        <v>5770</v>
      </c>
      <c r="B2549" t="s">
        <v>26768</v>
      </c>
      <c r="C2549" t="s">
        <v>20486</v>
      </c>
      <c r="D2549" t="s">
        <v>22</v>
      </c>
      <c r="E2549" t="s">
        <v>5771</v>
      </c>
      <c r="F2549">
        <v>52</v>
      </c>
      <c r="G2549" t="s">
        <v>1439</v>
      </c>
      <c r="H2549" t="s">
        <v>46</v>
      </c>
      <c r="I2549" t="s">
        <v>5772</v>
      </c>
      <c r="J2549" t="s">
        <v>5773</v>
      </c>
    </row>
    <row r="2550" spans="1:10" x14ac:dyDescent="0.3">
      <c r="A2550" t="s">
        <v>5774</v>
      </c>
      <c r="B2550" t="s">
        <v>26769</v>
      </c>
      <c r="C2550" t="s">
        <v>20488</v>
      </c>
      <c r="D2550" t="s">
        <v>11</v>
      </c>
      <c r="E2550" t="s">
        <v>5775</v>
      </c>
      <c r="F2550">
        <v>64</v>
      </c>
      <c r="G2550" t="s">
        <v>13</v>
      </c>
      <c r="H2550" t="s">
        <v>13</v>
      </c>
      <c r="I2550" t="s">
        <v>5776</v>
      </c>
    </row>
    <row r="2551" spans="1:10" x14ac:dyDescent="0.3">
      <c r="A2551" t="s">
        <v>5777</v>
      </c>
      <c r="B2551" t="s">
        <v>26770</v>
      </c>
      <c r="C2551" t="s">
        <v>20488</v>
      </c>
      <c r="D2551" t="s">
        <v>22</v>
      </c>
      <c r="E2551" t="s">
        <v>5778</v>
      </c>
      <c r="F2551">
        <v>56</v>
      </c>
      <c r="G2551" t="s">
        <v>88</v>
      </c>
      <c r="H2551" t="s">
        <v>12065</v>
      </c>
      <c r="I2551" t="s">
        <v>101</v>
      </c>
      <c r="J2551" t="s">
        <v>5779</v>
      </c>
    </row>
    <row r="2552" spans="1:10" x14ac:dyDescent="0.3">
      <c r="A2552" t="s">
        <v>5780</v>
      </c>
      <c r="B2552" t="s">
        <v>26771</v>
      </c>
      <c r="C2552" t="s">
        <v>20491</v>
      </c>
      <c r="D2552" t="s">
        <v>22</v>
      </c>
      <c r="E2552" t="s">
        <v>5781</v>
      </c>
      <c r="F2552">
        <v>40</v>
      </c>
      <c r="G2552" t="s">
        <v>46</v>
      </c>
      <c r="H2552" t="s">
        <v>46</v>
      </c>
      <c r="I2552" t="s">
        <v>228</v>
      </c>
    </row>
    <row r="2553" spans="1:10" x14ac:dyDescent="0.3">
      <c r="A2553" t="s">
        <v>5782</v>
      </c>
      <c r="B2553" t="s">
        <v>26772</v>
      </c>
      <c r="C2553" t="s">
        <v>20486</v>
      </c>
      <c r="D2553" t="s">
        <v>22</v>
      </c>
      <c r="E2553" t="s">
        <v>5783</v>
      </c>
      <c r="F2553">
        <v>40</v>
      </c>
      <c r="G2553" t="s">
        <v>31</v>
      </c>
      <c r="H2553" t="s">
        <v>31</v>
      </c>
      <c r="J2553" t="s">
        <v>3763</v>
      </c>
    </row>
    <row r="2554" spans="1:10" x14ac:dyDescent="0.3">
      <c r="A2554" t="s">
        <v>5784</v>
      </c>
      <c r="B2554" t="s">
        <v>26773</v>
      </c>
      <c r="C2554" t="s">
        <v>20486</v>
      </c>
      <c r="D2554" t="s">
        <v>22</v>
      </c>
      <c r="E2554" t="s">
        <v>5785</v>
      </c>
      <c r="F2554">
        <v>46</v>
      </c>
      <c r="G2554" t="s">
        <v>31</v>
      </c>
      <c r="H2554" t="s">
        <v>31</v>
      </c>
      <c r="J2554" t="s">
        <v>33</v>
      </c>
    </row>
    <row r="2555" spans="1:10" x14ac:dyDescent="0.3">
      <c r="A2555" t="s">
        <v>5786</v>
      </c>
      <c r="B2555" t="s">
        <v>26774</v>
      </c>
      <c r="C2555" t="s">
        <v>20486</v>
      </c>
      <c r="D2555" t="s">
        <v>22</v>
      </c>
      <c r="E2555" t="s">
        <v>3249</v>
      </c>
      <c r="F2555">
        <v>41</v>
      </c>
      <c r="G2555" t="s">
        <v>46</v>
      </c>
      <c r="H2555" t="s">
        <v>46</v>
      </c>
    </row>
    <row r="2556" spans="1:10" x14ac:dyDescent="0.3">
      <c r="A2556" t="s">
        <v>5787</v>
      </c>
      <c r="B2556" t="s">
        <v>26775</v>
      </c>
      <c r="C2556" t="s">
        <v>20486</v>
      </c>
      <c r="D2556" t="s">
        <v>22</v>
      </c>
      <c r="E2556" t="s">
        <v>5788</v>
      </c>
      <c r="F2556">
        <v>45</v>
      </c>
      <c r="G2556" t="s">
        <v>109</v>
      </c>
      <c r="H2556" t="s">
        <v>9788</v>
      </c>
      <c r="I2556" t="s">
        <v>923</v>
      </c>
      <c r="J2556" t="s">
        <v>5789</v>
      </c>
    </row>
    <row r="2557" spans="1:10" x14ac:dyDescent="0.3">
      <c r="A2557" t="s">
        <v>5790</v>
      </c>
      <c r="B2557" t="s">
        <v>26776</v>
      </c>
      <c r="C2557" t="s">
        <v>20486</v>
      </c>
      <c r="D2557" t="s">
        <v>22</v>
      </c>
      <c r="E2557" t="s">
        <v>1903</v>
      </c>
      <c r="F2557">
        <v>59</v>
      </c>
      <c r="G2557" t="s">
        <v>16</v>
      </c>
      <c r="H2557" t="s">
        <v>9785</v>
      </c>
      <c r="I2557" t="s">
        <v>17</v>
      </c>
      <c r="J2557" t="s">
        <v>5791</v>
      </c>
    </row>
    <row r="2558" spans="1:10" x14ac:dyDescent="0.3">
      <c r="A2558" t="s">
        <v>5792</v>
      </c>
      <c r="B2558" t="s">
        <v>26777</v>
      </c>
      <c r="C2558" t="s">
        <v>20486</v>
      </c>
      <c r="D2558" t="s">
        <v>22</v>
      </c>
      <c r="E2558" t="s">
        <v>5793</v>
      </c>
      <c r="F2558">
        <v>73</v>
      </c>
      <c r="G2558" t="s">
        <v>46</v>
      </c>
      <c r="H2558" t="s">
        <v>46</v>
      </c>
      <c r="J2558" t="s">
        <v>33</v>
      </c>
    </row>
    <row r="2559" spans="1:10" x14ac:dyDescent="0.3">
      <c r="A2559" t="s">
        <v>5794</v>
      </c>
      <c r="B2559" t="s">
        <v>26778</v>
      </c>
      <c r="C2559" t="s">
        <v>20486</v>
      </c>
      <c r="D2559" t="s">
        <v>22</v>
      </c>
      <c r="E2559" t="s">
        <v>5795</v>
      </c>
      <c r="F2559">
        <v>28</v>
      </c>
      <c r="G2559" t="s">
        <v>46</v>
      </c>
      <c r="H2559" t="s">
        <v>46</v>
      </c>
      <c r="I2559" t="s">
        <v>228</v>
      </c>
      <c r="J2559" t="s">
        <v>12398</v>
      </c>
    </row>
    <row r="2560" spans="1:10" x14ac:dyDescent="0.3">
      <c r="A2560" t="s">
        <v>5797</v>
      </c>
      <c r="B2560" t="s">
        <v>26779</v>
      </c>
      <c r="C2560" t="s">
        <v>20486</v>
      </c>
      <c r="D2560" t="s">
        <v>22</v>
      </c>
      <c r="E2560" t="s">
        <v>5798</v>
      </c>
      <c r="F2560">
        <v>37</v>
      </c>
      <c r="G2560" t="s">
        <v>31</v>
      </c>
      <c r="H2560" t="s">
        <v>31</v>
      </c>
      <c r="J2560" t="s">
        <v>33</v>
      </c>
    </row>
    <row r="2561" spans="1:10" x14ac:dyDescent="0.3">
      <c r="A2561" t="s">
        <v>5799</v>
      </c>
      <c r="B2561" t="s">
        <v>26780</v>
      </c>
      <c r="C2561" t="s">
        <v>20486</v>
      </c>
      <c r="D2561" t="s">
        <v>22</v>
      </c>
      <c r="E2561" t="s">
        <v>2396</v>
      </c>
      <c r="F2561">
        <v>37</v>
      </c>
      <c r="G2561" t="s">
        <v>172</v>
      </c>
      <c r="H2561" t="s">
        <v>12099</v>
      </c>
      <c r="J2561" t="s">
        <v>5800</v>
      </c>
    </row>
    <row r="2562" spans="1:10" x14ac:dyDescent="0.3">
      <c r="A2562" t="s">
        <v>5801</v>
      </c>
      <c r="B2562" t="s">
        <v>26781</v>
      </c>
      <c r="C2562" t="s">
        <v>20486</v>
      </c>
      <c r="D2562" t="s">
        <v>22</v>
      </c>
      <c r="E2562" t="s">
        <v>4062</v>
      </c>
      <c r="F2562">
        <v>48</v>
      </c>
      <c r="G2562" t="s">
        <v>133</v>
      </c>
      <c r="H2562" t="s">
        <v>9789</v>
      </c>
      <c r="I2562" t="s">
        <v>900</v>
      </c>
      <c r="J2562" t="s">
        <v>490</v>
      </c>
    </row>
    <row r="2563" spans="1:10" x14ac:dyDescent="0.3">
      <c r="A2563" t="s">
        <v>5802</v>
      </c>
      <c r="B2563" t="s">
        <v>26782</v>
      </c>
      <c r="C2563" t="s">
        <v>20486</v>
      </c>
      <c r="D2563" t="s">
        <v>22</v>
      </c>
      <c r="E2563" t="s">
        <v>5803</v>
      </c>
      <c r="F2563">
        <v>36</v>
      </c>
      <c r="G2563" t="s">
        <v>46</v>
      </c>
      <c r="H2563" t="s">
        <v>46</v>
      </c>
      <c r="I2563" t="s">
        <v>228</v>
      </c>
      <c r="J2563" t="s">
        <v>5804</v>
      </c>
    </row>
    <row r="2564" spans="1:10" x14ac:dyDescent="0.3">
      <c r="A2564" t="s">
        <v>5805</v>
      </c>
      <c r="B2564" t="s">
        <v>26783</v>
      </c>
      <c r="C2564" t="s">
        <v>20486</v>
      </c>
      <c r="D2564" t="s">
        <v>11</v>
      </c>
      <c r="E2564" t="s">
        <v>5806</v>
      </c>
      <c r="F2564">
        <v>30</v>
      </c>
      <c r="G2564" t="s">
        <v>109</v>
      </c>
      <c r="H2564" t="s">
        <v>9788</v>
      </c>
      <c r="J2564" t="s">
        <v>3548</v>
      </c>
    </row>
    <row r="2565" spans="1:10" x14ac:dyDescent="0.3">
      <c r="A2565" t="s">
        <v>5807</v>
      </c>
      <c r="B2565" t="s">
        <v>26784</v>
      </c>
      <c r="C2565" t="s">
        <v>20486</v>
      </c>
      <c r="D2565" t="s">
        <v>11</v>
      </c>
      <c r="E2565" t="s">
        <v>5808</v>
      </c>
      <c r="F2565">
        <v>41</v>
      </c>
      <c r="G2565" t="s">
        <v>109</v>
      </c>
      <c r="H2565" t="s">
        <v>9788</v>
      </c>
    </row>
    <row r="2566" spans="1:10" x14ac:dyDescent="0.3">
      <c r="A2566" t="s">
        <v>5809</v>
      </c>
      <c r="B2566" t="s">
        <v>26785</v>
      </c>
      <c r="C2566" t="s">
        <v>20489</v>
      </c>
      <c r="D2566" t="s">
        <v>22</v>
      </c>
      <c r="E2566" t="s">
        <v>5810</v>
      </c>
      <c r="F2566">
        <v>55</v>
      </c>
      <c r="G2566" t="s">
        <v>109</v>
      </c>
      <c r="H2566" t="s">
        <v>9788</v>
      </c>
      <c r="I2566" t="s">
        <v>12399</v>
      </c>
      <c r="J2566" t="s">
        <v>5812</v>
      </c>
    </row>
    <row r="2567" spans="1:10" x14ac:dyDescent="0.3">
      <c r="A2567" t="s">
        <v>5813</v>
      </c>
      <c r="B2567" t="s">
        <v>26786</v>
      </c>
      <c r="C2567" t="s">
        <v>20486</v>
      </c>
      <c r="D2567" t="s">
        <v>11</v>
      </c>
      <c r="E2567" t="s">
        <v>5814</v>
      </c>
      <c r="F2567">
        <v>58</v>
      </c>
      <c r="G2567" t="s">
        <v>1331</v>
      </c>
      <c r="H2567" t="s">
        <v>46</v>
      </c>
      <c r="I2567" t="s">
        <v>923</v>
      </c>
    </row>
    <row r="2568" spans="1:10" x14ac:dyDescent="0.3">
      <c r="A2568" t="s">
        <v>5815</v>
      </c>
      <c r="B2568" t="s">
        <v>26787</v>
      </c>
      <c r="C2568" t="s">
        <v>20487</v>
      </c>
      <c r="D2568" t="s">
        <v>11</v>
      </c>
      <c r="E2568" t="s">
        <v>2169</v>
      </c>
      <c r="F2568">
        <v>61</v>
      </c>
      <c r="G2568" t="s">
        <v>220</v>
      </c>
      <c r="H2568" t="s">
        <v>46</v>
      </c>
      <c r="J2568" t="s">
        <v>5816</v>
      </c>
    </row>
    <row r="2569" spans="1:10" x14ac:dyDescent="0.3">
      <c r="A2569" t="s">
        <v>5817</v>
      </c>
      <c r="B2569" t="s">
        <v>26788</v>
      </c>
      <c r="C2569" t="s">
        <v>20486</v>
      </c>
      <c r="D2569" t="s">
        <v>22</v>
      </c>
      <c r="E2569" t="s">
        <v>161</v>
      </c>
      <c r="F2569">
        <v>64</v>
      </c>
      <c r="G2569" t="s">
        <v>31</v>
      </c>
      <c r="H2569" t="s">
        <v>31</v>
      </c>
      <c r="J2569" t="s">
        <v>33</v>
      </c>
    </row>
    <row r="2570" spans="1:10" x14ac:dyDescent="0.3">
      <c r="A2570" t="s">
        <v>5818</v>
      </c>
      <c r="B2570" t="s">
        <v>26789</v>
      </c>
      <c r="C2570" t="s">
        <v>20488</v>
      </c>
      <c r="D2570" t="s">
        <v>22</v>
      </c>
      <c r="E2570" t="s">
        <v>5819</v>
      </c>
      <c r="F2570">
        <v>32</v>
      </c>
      <c r="G2570" t="s">
        <v>109</v>
      </c>
      <c r="H2570" t="s">
        <v>9788</v>
      </c>
    </row>
    <row r="2571" spans="1:10" x14ac:dyDescent="0.3">
      <c r="A2571" t="s">
        <v>5820</v>
      </c>
      <c r="B2571" t="s">
        <v>26790</v>
      </c>
      <c r="C2571" t="s">
        <v>20486</v>
      </c>
      <c r="D2571" t="s">
        <v>11</v>
      </c>
      <c r="E2571" t="s">
        <v>5821</v>
      </c>
      <c r="F2571">
        <v>38</v>
      </c>
      <c r="G2571" t="s">
        <v>133</v>
      </c>
      <c r="H2571" t="s">
        <v>9789</v>
      </c>
      <c r="J2571" t="s">
        <v>5822</v>
      </c>
    </row>
    <row r="2572" spans="1:10" x14ac:dyDescent="0.3">
      <c r="A2572" t="s">
        <v>5823</v>
      </c>
      <c r="B2572" t="s">
        <v>26791</v>
      </c>
      <c r="C2572" t="s">
        <v>20488</v>
      </c>
      <c r="D2572" t="s">
        <v>22</v>
      </c>
      <c r="E2572" t="s">
        <v>5824</v>
      </c>
      <c r="F2572">
        <v>32</v>
      </c>
      <c r="G2572" t="s">
        <v>31</v>
      </c>
      <c r="H2572" t="s">
        <v>31</v>
      </c>
    </row>
    <row r="2573" spans="1:10" x14ac:dyDescent="0.3">
      <c r="A2573" t="s">
        <v>5825</v>
      </c>
      <c r="B2573" t="s">
        <v>26792</v>
      </c>
      <c r="C2573" t="s">
        <v>20488</v>
      </c>
      <c r="D2573" t="s">
        <v>11</v>
      </c>
      <c r="E2573" t="s">
        <v>5826</v>
      </c>
      <c r="F2573">
        <v>49</v>
      </c>
      <c r="G2573" t="s">
        <v>109</v>
      </c>
      <c r="H2573" t="s">
        <v>9788</v>
      </c>
      <c r="I2573" t="s">
        <v>660</v>
      </c>
      <c r="J2573" t="s">
        <v>571</v>
      </c>
    </row>
    <row r="2574" spans="1:10" x14ac:dyDescent="0.3">
      <c r="A2574" t="s">
        <v>5827</v>
      </c>
      <c r="B2574" t="s">
        <v>26793</v>
      </c>
      <c r="C2574" t="s">
        <v>20486</v>
      </c>
      <c r="D2574" t="s">
        <v>22</v>
      </c>
      <c r="E2574" t="s">
        <v>5828</v>
      </c>
      <c r="F2574">
        <v>61</v>
      </c>
      <c r="G2574" t="s">
        <v>370</v>
      </c>
      <c r="H2574" t="s">
        <v>46</v>
      </c>
      <c r="I2574" t="s">
        <v>228</v>
      </c>
      <c r="J2574" t="s">
        <v>5829</v>
      </c>
    </row>
    <row r="2575" spans="1:10" x14ac:dyDescent="0.3">
      <c r="A2575" t="s">
        <v>5830</v>
      </c>
      <c r="B2575" t="s">
        <v>26794</v>
      </c>
      <c r="C2575" t="s">
        <v>20491</v>
      </c>
      <c r="D2575" t="s">
        <v>22</v>
      </c>
      <c r="E2575" t="s">
        <v>772</v>
      </c>
      <c r="F2575">
        <v>62</v>
      </c>
      <c r="G2575" t="s">
        <v>46</v>
      </c>
      <c r="H2575" t="s">
        <v>46</v>
      </c>
      <c r="I2575" t="s">
        <v>228</v>
      </c>
    </row>
    <row r="2576" spans="1:10" x14ac:dyDescent="0.3">
      <c r="A2576" t="s">
        <v>5831</v>
      </c>
      <c r="B2576" t="s">
        <v>26795</v>
      </c>
      <c r="C2576" t="s">
        <v>20490</v>
      </c>
      <c r="D2576" t="s">
        <v>11</v>
      </c>
      <c r="E2576" t="s">
        <v>5832</v>
      </c>
      <c r="F2576">
        <v>42</v>
      </c>
      <c r="G2576" t="s">
        <v>46</v>
      </c>
      <c r="H2576" t="s">
        <v>46</v>
      </c>
      <c r="I2576" t="s">
        <v>5833</v>
      </c>
    </row>
    <row r="2577" spans="1:10" x14ac:dyDescent="0.3">
      <c r="A2577" t="s">
        <v>5834</v>
      </c>
      <c r="B2577" t="s">
        <v>26796</v>
      </c>
      <c r="C2577" t="s">
        <v>20488</v>
      </c>
      <c r="D2577" t="s">
        <v>22</v>
      </c>
      <c r="E2577" t="s">
        <v>5835</v>
      </c>
      <c r="F2577">
        <v>62</v>
      </c>
      <c r="G2577" t="s">
        <v>109</v>
      </c>
      <c r="H2577" t="s">
        <v>9788</v>
      </c>
      <c r="I2577" t="s">
        <v>4867</v>
      </c>
      <c r="J2577" t="s">
        <v>4867</v>
      </c>
    </row>
    <row r="2578" spans="1:10" x14ac:dyDescent="0.3">
      <c r="A2578" t="s">
        <v>5836</v>
      </c>
      <c r="B2578" t="s">
        <v>26797</v>
      </c>
      <c r="C2578" t="s">
        <v>20488</v>
      </c>
      <c r="D2578" t="s">
        <v>22</v>
      </c>
      <c r="E2578" t="s">
        <v>5837</v>
      </c>
      <c r="F2578">
        <v>35</v>
      </c>
      <c r="G2578" t="s">
        <v>31</v>
      </c>
      <c r="H2578" t="s">
        <v>31</v>
      </c>
    </row>
    <row r="2579" spans="1:10" x14ac:dyDescent="0.3">
      <c r="A2579" t="s">
        <v>5838</v>
      </c>
      <c r="B2579" t="s">
        <v>26798</v>
      </c>
      <c r="C2579" t="s">
        <v>20488</v>
      </c>
      <c r="D2579" t="s">
        <v>22</v>
      </c>
      <c r="E2579" t="s">
        <v>5839</v>
      </c>
      <c r="F2579">
        <v>51</v>
      </c>
      <c r="G2579" t="s">
        <v>88</v>
      </c>
      <c r="H2579" t="s">
        <v>12065</v>
      </c>
      <c r="I2579" t="s">
        <v>101</v>
      </c>
      <c r="J2579" t="s">
        <v>5779</v>
      </c>
    </row>
    <row r="2580" spans="1:10" x14ac:dyDescent="0.3">
      <c r="A2580" t="s">
        <v>12400</v>
      </c>
      <c r="B2580" t="s">
        <v>26799</v>
      </c>
      <c r="C2580" t="s">
        <v>20488</v>
      </c>
      <c r="D2580" t="s">
        <v>11</v>
      </c>
      <c r="E2580" t="s">
        <v>9651</v>
      </c>
      <c r="F2580">
        <v>21</v>
      </c>
      <c r="G2580" t="s">
        <v>337</v>
      </c>
      <c r="H2580" t="s">
        <v>337</v>
      </c>
    </row>
    <row r="2581" spans="1:10" x14ac:dyDescent="0.3">
      <c r="A2581" t="s">
        <v>5840</v>
      </c>
      <c r="B2581" t="s">
        <v>26800</v>
      </c>
      <c r="C2581" t="s">
        <v>20489</v>
      </c>
      <c r="D2581" t="s">
        <v>22</v>
      </c>
      <c r="E2581" t="s">
        <v>3308</v>
      </c>
      <c r="F2581">
        <v>43</v>
      </c>
      <c r="G2581" t="s">
        <v>16</v>
      </c>
      <c r="H2581" t="s">
        <v>9785</v>
      </c>
      <c r="I2581" t="s">
        <v>17</v>
      </c>
      <c r="J2581" t="s">
        <v>627</v>
      </c>
    </row>
    <row r="2582" spans="1:10" x14ac:dyDescent="0.3">
      <c r="A2582" t="s">
        <v>5841</v>
      </c>
      <c r="B2582" t="s">
        <v>26801</v>
      </c>
      <c r="C2582" t="s">
        <v>20490</v>
      </c>
      <c r="D2582" t="s">
        <v>22</v>
      </c>
      <c r="E2582" t="s">
        <v>4115</v>
      </c>
      <c r="F2582">
        <v>34</v>
      </c>
      <c r="G2582" t="s">
        <v>1047</v>
      </c>
      <c r="H2582" t="s">
        <v>9788</v>
      </c>
    </row>
    <row r="2583" spans="1:10" x14ac:dyDescent="0.3">
      <c r="A2583" t="s">
        <v>5842</v>
      </c>
      <c r="B2583" t="s">
        <v>26802</v>
      </c>
      <c r="C2583" t="s">
        <v>20488</v>
      </c>
      <c r="D2583" t="s">
        <v>22</v>
      </c>
      <c r="E2583" t="s">
        <v>5843</v>
      </c>
      <c r="F2583">
        <v>45</v>
      </c>
      <c r="G2583" t="s">
        <v>31</v>
      </c>
      <c r="H2583" t="s">
        <v>31</v>
      </c>
    </row>
    <row r="2584" spans="1:10" x14ac:dyDescent="0.3">
      <c r="A2584" t="s">
        <v>12401</v>
      </c>
      <c r="B2584" t="s">
        <v>26803</v>
      </c>
      <c r="C2584" t="s">
        <v>20486</v>
      </c>
      <c r="D2584" t="s">
        <v>22</v>
      </c>
      <c r="E2584" t="s">
        <v>9650</v>
      </c>
      <c r="F2584">
        <v>16</v>
      </c>
      <c r="H2584" t="s">
        <v>337</v>
      </c>
      <c r="J2584" t="s">
        <v>18</v>
      </c>
    </row>
    <row r="2585" spans="1:10" x14ac:dyDescent="0.3">
      <c r="A2585" t="s">
        <v>5844</v>
      </c>
      <c r="B2585" t="s">
        <v>26804</v>
      </c>
      <c r="C2585" t="s">
        <v>20486</v>
      </c>
      <c r="D2585" t="s">
        <v>22</v>
      </c>
      <c r="E2585" t="s">
        <v>5845</v>
      </c>
      <c r="F2585">
        <v>37</v>
      </c>
      <c r="G2585" t="s">
        <v>109</v>
      </c>
      <c r="H2585" t="s">
        <v>9788</v>
      </c>
      <c r="I2585" t="s">
        <v>703</v>
      </c>
      <c r="J2585" t="s">
        <v>5846</v>
      </c>
    </row>
    <row r="2586" spans="1:10" x14ac:dyDescent="0.3">
      <c r="A2586" t="s">
        <v>5847</v>
      </c>
      <c r="B2586" t="s">
        <v>26805</v>
      </c>
      <c r="C2586" t="s">
        <v>20486</v>
      </c>
      <c r="D2586" t="s">
        <v>11</v>
      </c>
      <c r="E2586" t="s">
        <v>5848</v>
      </c>
      <c r="F2586">
        <v>34</v>
      </c>
      <c r="G2586" t="s">
        <v>133</v>
      </c>
      <c r="H2586" t="s">
        <v>9789</v>
      </c>
      <c r="J2586" t="s">
        <v>5849</v>
      </c>
    </row>
    <row r="2587" spans="1:10" x14ac:dyDescent="0.3">
      <c r="A2587" t="s">
        <v>5850</v>
      </c>
      <c r="B2587" t="s">
        <v>26806</v>
      </c>
      <c r="C2587" t="s">
        <v>20486</v>
      </c>
      <c r="D2587" t="s">
        <v>22</v>
      </c>
      <c r="E2587" t="s">
        <v>5851</v>
      </c>
      <c r="F2587">
        <v>83</v>
      </c>
      <c r="G2587" t="s">
        <v>133</v>
      </c>
      <c r="H2587" t="s">
        <v>9789</v>
      </c>
      <c r="J2587" t="s">
        <v>4867</v>
      </c>
    </row>
    <row r="2588" spans="1:10" x14ac:dyDescent="0.3">
      <c r="A2588" t="s">
        <v>5852</v>
      </c>
      <c r="B2588" t="s">
        <v>26807</v>
      </c>
      <c r="C2588" t="s">
        <v>20486</v>
      </c>
      <c r="D2588" t="s">
        <v>11</v>
      </c>
      <c r="E2588" t="s">
        <v>5853</v>
      </c>
      <c r="F2588">
        <v>71</v>
      </c>
      <c r="G2588" t="s">
        <v>370</v>
      </c>
      <c r="H2588" t="s">
        <v>46</v>
      </c>
      <c r="I2588" t="s">
        <v>3091</v>
      </c>
      <c r="J2588" t="s">
        <v>5854</v>
      </c>
    </row>
    <row r="2589" spans="1:10" x14ac:dyDescent="0.3">
      <c r="A2589" t="s">
        <v>5855</v>
      </c>
      <c r="B2589" t="s">
        <v>26808</v>
      </c>
      <c r="C2589" t="s">
        <v>20490</v>
      </c>
      <c r="D2589" t="s">
        <v>22</v>
      </c>
      <c r="E2589" t="s">
        <v>4714</v>
      </c>
      <c r="F2589">
        <v>64</v>
      </c>
      <c r="G2589" t="s">
        <v>31</v>
      </c>
      <c r="H2589" t="s">
        <v>31</v>
      </c>
    </row>
    <row r="2590" spans="1:10" x14ac:dyDescent="0.3">
      <c r="A2590" t="s">
        <v>5856</v>
      </c>
      <c r="B2590" t="s">
        <v>26809</v>
      </c>
      <c r="C2590" t="s">
        <v>20490</v>
      </c>
      <c r="D2590" t="s">
        <v>22</v>
      </c>
      <c r="E2590" t="s">
        <v>5857</v>
      </c>
      <c r="F2590">
        <v>46</v>
      </c>
      <c r="G2590" t="s">
        <v>370</v>
      </c>
      <c r="H2590" t="s">
        <v>46</v>
      </c>
      <c r="I2590" t="s">
        <v>5858</v>
      </c>
      <c r="J2590" t="s">
        <v>14328</v>
      </c>
    </row>
    <row r="2591" spans="1:10" x14ac:dyDescent="0.3">
      <c r="A2591" t="s">
        <v>5859</v>
      </c>
      <c r="B2591" t="s">
        <v>26810</v>
      </c>
      <c r="C2591" t="s">
        <v>20486</v>
      </c>
      <c r="D2591" t="s">
        <v>22</v>
      </c>
      <c r="E2591" t="s">
        <v>5860</v>
      </c>
      <c r="F2591">
        <v>45</v>
      </c>
      <c r="G2591" t="s">
        <v>46</v>
      </c>
      <c r="H2591" t="s">
        <v>46</v>
      </c>
      <c r="I2591" t="s">
        <v>228</v>
      </c>
      <c r="J2591" t="s">
        <v>5861</v>
      </c>
    </row>
    <row r="2592" spans="1:10" x14ac:dyDescent="0.3">
      <c r="A2592" t="s">
        <v>5862</v>
      </c>
      <c r="B2592" t="s">
        <v>26811</v>
      </c>
      <c r="C2592" t="s">
        <v>20486</v>
      </c>
      <c r="D2592" t="s">
        <v>11</v>
      </c>
      <c r="E2592" t="s">
        <v>5863</v>
      </c>
      <c r="F2592">
        <v>52</v>
      </c>
      <c r="G2592" t="s">
        <v>109</v>
      </c>
      <c r="H2592" t="s">
        <v>9788</v>
      </c>
      <c r="I2592" t="s">
        <v>5864</v>
      </c>
      <c r="J2592" t="s">
        <v>5865</v>
      </c>
    </row>
    <row r="2593" spans="1:10" x14ac:dyDescent="0.3">
      <c r="A2593" t="s">
        <v>5866</v>
      </c>
      <c r="B2593" t="s">
        <v>26812</v>
      </c>
      <c r="C2593" t="s">
        <v>20486</v>
      </c>
      <c r="D2593" t="s">
        <v>11</v>
      </c>
      <c r="E2593" t="s">
        <v>5867</v>
      </c>
      <c r="F2593">
        <v>60</v>
      </c>
      <c r="G2593" t="s">
        <v>109</v>
      </c>
      <c r="H2593" t="s">
        <v>9788</v>
      </c>
      <c r="I2593" t="s">
        <v>703</v>
      </c>
      <c r="J2593" t="s">
        <v>2419</v>
      </c>
    </row>
    <row r="2594" spans="1:10" x14ac:dyDescent="0.3">
      <c r="A2594" t="s">
        <v>5868</v>
      </c>
      <c r="B2594" t="s">
        <v>26813</v>
      </c>
      <c r="C2594" t="s">
        <v>20488</v>
      </c>
      <c r="D2594" t="s">
        <v>11</v>
      </c>
      <c r="E2594" t="s">
        <v>5869</v>
      </c>
      <c r="F2594">
        <v>31</v>
      </c>
      <c r="G2594" t="s">
        <v>109</v>
      </c>
      <c r="H2594" t="s">
        <v>9788</v>
      </c>
      <c r="I2594" t="s">
        <v>5870</v>
      </c>
      <c r="J2594" t="s">
        <v>5871</v>
      </c>
    </row>
    <row r="2595" spans="1:10" x14ac:dyDescent="0.3">
      <c r="A2595" t="s">
        <v>5872</v>
      </c>
      <c r="B2595" t="s">
        <v>26814</v>
      </c>
      <c r="C2595" t="s">
        <v>20486</v>
      </c>
      <c r="D2595" t="s">
        <v>22</v>
      </c>
      <c r="E2595" t="s">
        <v>5873</v>
      </c>
      <c r="F2595">
        <v>43</v>
      </c>
      <c r="G2595" t="s">
        <v>46</v>
      </c>
      <c r="H2595" t="s">
        <v>46</v>
      </c>
      <c r="I2595" t="s">
        <v>228</v>
      </c>
      <c r="J2595" t="s">
        <v>5874</v>
      </c>
    </row>
    <row r="2596" spans="1:10" x14ac:dyDescent="0.3">
      <c r="A2596" t="s">
        <v>5875</v>
      </c>
      <c r="B2596" t="s">
        <v>26815</v>
      </c>
      <c r="C2596" t="s">
        <v>20486</v>
      </c>
      <c r="D2596" t="s">
        <v>22</v>
      </c>
      <c r="E2596" t="s">
        <v>5876</v>
      </c>
      <c r="F2596">
        <v>60</v>
      </c>
      <c r="G2596" t="s">
        <v>31</v>
      </c>
      <c r="H2596" t="s">
        <v>31</v>
      </c>
      <c r="J2596" t="s">
        <v>33</v>
      </c>
    </row>
    <row r="2597" spans="1:10" x14ac:dyDescent="0.3">
      <c r="A2597" t="s">
        <v>5877</v>
      </c>
      <c r="B2597" t="s">
        <v>26816</v>
      </c>
      <c r="C2597" t="s">
        <v>20486</v>
      </c>
      <c r="D2597" t="s">
        <v>11</v>
      </c>
      <c r="E2597" t="s">
        <v>5878</v>
      </c>
      <c r="F2597">
        <v>57</v>
      </c>
      <c r="G2597" t="s">
        <v>46</v>
      </c>
      <c r="H2597" t="s">
        <v>46</v>
      </c>
      <c r="I2597" t="s">
        <v>228</v>
      </c>
      <c r="J2597" t="s">
        <v>3929</v>
      </c>
    </row>
    <row r="2598" spans="1:10" x14ac:dyDescent="0.3">
      <c r="A2598" t="s">
        <v>5879</v>
      </c>
      <c r="B2598" t="s">
        <v>26817</v>
      </c>
      <c r="C2598" t="s">
        <v>20486</v>
      </c>
      <c r="D2598" t="s">
        <v>22</v>
      </c>
      <c r="E2598" t="s">
        <v>5880</v>
      </c>
      <c r="F2598">
        <v>47</v>
      </c>
      <c r="G2598" t="s">
        <v>31</v>
      </c>
      <c r="H2598" t="s">
        <v>31</v>
      </c>
      <c r="J2598" t="s">
        <v>33</v>
      </c>
    </row>
    <row r="2599" spans="1:10" x14ac:dyDescent="0.3">
      <c r="A2599" t="s">
        <v>5881</v>
      </c>
      <c r="B2599" t="s">
        <v>26818</v>
      </c>
      <c r="C2599" t="s">
        <v>20486</v>
      </c>
      <c r="D2599" t="s">
        <v>22</v>
      </c>
      <c r="E2599" t="s">
        <v>5882</v>
      </c>
      <c r="F2599">
        <v>27</v>
      </c>
      <c r="G2599" t="s">
        <v>384</v>
      </c>
    </row>
    <row r="2600" spans="1:10" x14ac:dyDescent="0.3">
      <c r="A2600" t="s">
        <v>5883</v>
      </c>
      <c r="B2600" t="s">
        <v>26819</v>
      </c>
      <c r="C2600" t="s">
        <v>20488</v>
      </c>
      <c r="D2600" t="s">
        <v>11</v>
      </c>
      <c r="E2600" t="s">
        <v>5884</v>
      </c>
      <c r="F2600">
        <v>40</v>
      </c>
      <c r="G2600" t="s">
        <v>109</v>
      </c>
      <c r="H2600" t="s">
        <v>9788</v>
      </c>
    </row>
    <row r="2601" spans="1:10" x14ac:dyDescent="0.3">
      <c r="A2601" t="s">
        <v>5885</v>
      </c>
      <c r="B2601" t="s">
        <v>26820</v>
      </c>
      <c r="C2601" t="s">
        <v>20488</v>
      </c>
      <c r="D2601" t="s">
        <v>22</v>
      </c>
      <c r="E2601" t="s">
        <v>5886</v>
      </c>
      <c r="F2601">
        <v>52</v>
      </c>
      <c r="G2601" t="s">
        <v>109</v>
      </c>
      <c r="H2601" t="s">
        <v>9788</v>
      </c>
      <c r="I2601" t="s">
        <v>441</v>
      </c>
      <c r="J2601" t="s">
        <v>12402</v>
      </c>
    </row>
    <row r="2602" spans="1:10" x14ac:dyDescent="0.3">
      <c r="A2602" t="s">
        <v>5887</v>
      </c>
      <c r="B2602" t="s">
        <v>26821</v>
      </c>
      <c r="C2602" t="s">
        <v>20488</v>
      </c>
      <c r="D2602" t="s">
        <v>22</v>
      </c>
      <c r="E2602" t="s">
        <v>5888</v>
      </c>
      <c r="F2602">
        <v>46</v>
      </c>
      <c r="G2602" t="s">
        <v>109</v>
      </c>
      <c r="H2602" t="s">
        <v>9788</v>
      </c>
    </row>
    <row r="2603" spans="1:10" x14ac:dyDescent="0.3">
      <c r="A2603" t="s">
        <v>12403</v>
      </c>
      <c r="B2603" t="s">
        <v>26822</v>
      </c>
      <c r="C2603" t="s">
        <v>20488</v>
      </c>
      <c r="D2603" t="s">
        <v>11</v>
      </c>
      <c r="E2603" t="s">
        <v>9649</v>
      </c>
      <c r="F2603">
        <v>21</v>
      </c>
      <c r="G2603" t="s">
        <v>337</v>
      </c>
      <c r="H2603" t="s">
        <v>337</v>
      </c>
    </row>
    <row r="2604" spans="1:10" x14ac:dyDescent="0.3">
      <c r="A2604" t="s">
        <v>5889</v>
      </c>
      <c r="B2604" t="s">
        <v>26823</v>
      </c>
      <c r="C2604" t="s">
        <v>20490</v>
      </c>
      <c r="D2604" t="s">
        <v>22</v>
      </c>
      <c r="E2604" t="s">
        <v>5890</v>
      </c>
      <c r="F2604">
        <v>59</v>
      </c>
      <c r="G2604" t="s">
        <v>155</v>
      </c>
      <c r="H2604" t="s">
        <v>9791</v>
      </c>
    </row>
    <row r="2605" spans="1:10" x14ac:dyDescent="0.3">
      <c r="A2605" t="s">
        <v>5891</v>
      </c>
      <c r="B2605" t="s">
        <v>26824</v>
      </c>
      <c r="C2605" t="s">
        <v>20486</v>
      </c>
      <c r="D2605" t="s">
        <v>11</v>
      </c>
      <c r="E2605" t="s">
        <v>3036</v>
      </c>
      <c r="F2605">
        <v>39</v>
      </c>
      <c r="G2605" t="s">
        <v>16</v>
      </c>
      <c r="H2605" t="s">
        <v>9785</v>
      </c>
      <c r="I2605" t="s">
        <v>17</v>
      </c>
    </row>
    <row r="2606" spans="1:10" x14ac:dyDescent="0.3">
      <c r="A2606" t="s">
        <v>5892</v>
      </c>
      <c r="B2606" t="s">
        <v>26825</v>
      </c>
      <c r="C2606" t="s">
        <v>20488</v>
      </c>
      <c r="D2606" t="s">
        <v>22</v>
      </c>
      <c r="E2606" t="s">
        <v>5893</v>
      </c>
      <c r="F2606">
        <v>43</v>
      </c>
      <c r="G2606" t="s">
        <v>109</v>
      </c>
      <c r="H2606" t="s">
        <v>9788</v>
      </c>
    </row>
    <row r="2607" spans="1:10" x14ac:dyDescent="0.3">
      <c r="A2607" t="s">
        <v>5894</v>
      </c>
      <c r="B2607" t="s">
        <v>26826</v>
      </c>
      <c r="C2607" t="s">
        <v>20488</v>
      </c>
      <c r="D2607" t="s">
        <v>22</v>
      </c>
      <c r="E2607" t="s">
        <v>5895</v>
      </c>
      <c r="F2607">
        <v>34</v>
      </c>
      <c r="G2607" t="s">
        <v>109</v>
      </c>
      <c r="H2607" t="s">
        <v>9788</v>
      </c>
    </row>
    <row r="2608" spans="1:10" x14ac:dyDescent="0.3">
      <c r="A2608" t="s">
        <v>5896</v>
      </c>
      <c r="B2608" t="s">
        <v>26827</v>
      </c>
      <c r="C2608" t="s">
        <v>20486</v>
      </c>
      <c r="D2608" t="s">
        <v>22</v>
      </c>
      <c r="E2608" t="s">
        <v>5897</v>
      </c>
      <c r="F2608">
        <v>54</v>
      </c>
      <c r="G2608" t="s">
        <v>109</v>
      </c>
      <c r="H2608" t="s">
        <v>9788</v>
      </c>
      <c r="J2608" t="s">
        <v>18</v>
      </c>
    </row>
    <row r="2609" spans="1:10" x14ac:dyDescent="0.3">
      <c r="A2609" t="s">
        <v>5898</v>
      </c>
      <c r="B2609" t="s">
        <v>26828</v>
      </c>
      <c r="C2609" t="s">
        <v>20486</v>
      </c>
      <c r="D2609" t="s">
        <v>11</v>
      </c>
      <c r="E2609" t="s">
        <v>5899</v>
      </c>
      <c r="F2609">
        <v>61</v>
      </c>
      <c r="G2609" t="s">
        <v>46</v>
      </c>
      <c r="H2609" t="s">
        <v>46</v>
      </c>
      <c r="I2609" t="s">
        <v>228</v>
      </c>
      <c r="J2609" t="s">
        <v>5900</v>
      </c>
    </row>
    <row r="2610" spans="1:10" x14ac:dyDescent="0.3">
      <c r="A2610" t="s">
        <v>5901</v>
      </c>
      <c r="B2610" t="s">
        <v>26829</v>
      </c>
      <c r="C2610" t="s">
        <v>20489</v>
      </c>
      <c r="D2610" t="s">
        <v>22</v>
      </c>
      <c r="E2610" t="s">
        <v>5902</v>
      </c>
      <c r="F2610">
        <v>48</v>
      </c>
      <c r="G2610" t="s">
        <v>31</v>
      </c>
      <c r="H2610" t="s">
        <v>31</v>
      </c>
    </row>
    <row r="2611" spans="1:10" x14ac:dyDescent="0.3">
      <c r="A2611" t="s">
        <v>5903</v>
      </c>
      <c r="B2611" t="s">
        <v>26830</v>
      </c>
      <c r="C2611" t="s">
        <v>20486</v>
      </c>
      <c r="D2611" t="s">
        <v>11</v>
      </c>
      <c r="E2611" t="s">
        <v>5904</v>
      </c>
      <c r="F2611">
        <v>64</v>
      </c>
      <c r="G2611" t="s">
        <v>172</v>
      </c>
      <c r="H2611" t="s">
        <v>12099</v>
      </c>
      <c r="I2611" t="s">
        <v>765</v>
      </c>
      <c r="J2611" t="s">
        <v>5905</v>
      </c>
    </row>
    <row r="2612" spans="1:10" x14ac:dyDescent="0.3">
      <c r="A2612" t="s">
        <v>5906</v>
      </c>
      <c r="B2612" t="s">
        <v>26831</v>
      </c>
      <c r="C2612" t="s">
        <v>20486</v>
      </c>
      <c r="D2612" t="s">
        <v>22</v>
      </c>
      <c r="E2612" t="s">
        <v>5907</v>
      </c>
      <c r="F2612">
        <v>53</v>
      </c>
      <c r="G2612" t="s">
        <v>46</v>
      </c>
      <c r="H2612" t="s">
        <v>46</v>
      </c>
      <c r="I2612" t="s">
        <v>74</v>
      </c>
      <c r="J2612" t="s">
        <v>74</v>
      </c>
    </row>
    <row r="2613" spans="1:10" x14ac:dyDescent="0.3">
      <c r="A2613" t="s">
        <v>5908</v>
      </c>
      <c r="B2613" t="s">
        <v>26832</v>
      </c>
      <c r="C2613" t="s">
        <v>20486</v>
      </c>
      <c r="D2613" t="s">
        <v>11</v>
      </c>
      <c r="E2613" t="s">
        <v>5909</v>
      </c>
      <c r="F2613">
        <v>61</v>
      </c>
      <c r="G2613" t="s">
        <v>172</v>
      </c>
      <c r="H2613" t="s">
        <v>12099</v>
      </c>
      <c r="J2613" t="s">
        <v>5910</v>
      </c>
    </row>
    <row r="2614" spans="1:10" x14ac:dyDescent="0.3">
      <c r="A2614" t="s">
        <v>5911</v>
      </c>
      <c r="B2614" t="s">
        <v>26833</v>
      </c>
      <c r="C2614" t="s">
        <v>20486</v>
      </c>
      <c r="D2614" t="s">
        <v>22</v>
      </c>
      <c r="E2614" t="s">
        <v>5912</v>
      </c>
      <c r="F2614">
        <v>41</v>
      </c>
      <c r="G2614" t="s">
        <v>31</v>
      </c>
      <c r="H2614" t="s">
        <v>31</v>
      </c>
      <c r="J2614" t="s">
        <v>33</v>
      </c>
    </row>
    <row r="2615" spans="1:10" x14ac:dyDescent="0.3">
      <c r="A2615" t="s">
        <v>5913</v>
      </c>
      <c r="B2615" t="s">
        <v>26834</v>
      </c>
      <c r="C2615" t="s">
        <v>20491</v>
      </c>
      <c r="D2615" t="s">
        <v>22</v>
      </c>
      <c r="E2615" t="s">
        <v>5914</v>
      </c>
      <c r="F2615">
        <v>47</v>
      </c>
      <c r="G2615" t="s">
        <v>220</v>
      </c>
      <c r="H2615" t="s">
        <v>46</v>
      </c>
      <c r="J2615" t="s">
        <v>5915</v>
      </c>
    </row>
    <row r="2616" spans="1:10" x14ac:dyDescent="0.3">
      <c r="A2616" t="s">
        <v>5916</v>
      </c>
      <c r="B2616" t="s">
        <v>26835</v>
      </c>
      <c r="C2616" t="s">
        <v>20488</v>
      </c>
      <c r="D2616" t="s">
        <v>11</v>
      </c>
      <c r="E2616" t="s">
        <v>60</v>
      </c>
      <c r="F2616">
        <v>60</v>
      </c>
      <c r="G2616" t="s">
        <v>46</v>
      </c>
      <c r="H2616" t="s">
        <v>46</v>
      </c>
      <c r="I2616" t="s">
        <v>1412</v>
      </c>
    </row>
    <row r="2617" spans="1:10" x14ac:dyDescent="0.3">
      <c r="A2617" t="s">
        <v>5917</v>
      </c>
      <c r="B2617" t="s">
        <v>26836</v>
      </c>
      <c r="C2617" t="s">
        <v>20487</v>
      </c>
      <c r="D2617" t="s">
        <v>11</v>
      </c>
      <c r="E2617" t="s">
        <v>5918</v>
      </c>
      <c r="F2617">
        <v>37</v>
      </c>
      <c r="G2617" t="s">
        <v>1047</v>
      </c>
      <c r="H2617" t="s">
        <v>9788</v>
      </c>
      <c r="J2617" t="s">
        <v>5919</v>
      </c>
    </row>
    <row r="2618" spans="1:10" x14ac:dyDescent="0.3">
      <c r="A2618" t="s">
        <v>5920</v>
      </c>
      <c r="B2618" t="s">
        <v>26837</v>
      </c>
      <c r="C2618" t="s">
        <v>20490</v>
      </c>
      <c r="D2618" t="s">
        <v>22</v>
      </c>
      <c r="E2618" t="s">
        <v>5921</v>
      </c>
      <c r="F2618">
        <v>34</v>
      </c>
      <c r="G2618" t="s">
        <v>370</v>
      </c>
      <c r="H2618" t="s">
        <v>46</v>
      </c>
      <c r="I2618" t="s">
        <v>5922</v>
      </c>
    </row>
    <row r="2619" spans="1:10" x14ac:dyDescent="0.3">
      <c r="A2619" t="s">
        <v>5923</v>
      </c>
      <c r="B2619" t="s">
        <v>26838</v>
      </c>
      <c r="C2619" t="s">
        <v>20490</v>
      </c>
      <c r="D2619" t="s">
        <v>22</v>
      </c>
      <c r="E2619" t="s">
        <v>5924</v>
      </c>
      <c r="F2619">
        <v>21</v>
      </c>
      <c r="G2619" t="s">
        <v>337</v>
      </c>
      <c r="H2619" t="s">
        <v>337</v>
      </c>
    </row>
    <row r="2620" spans="1:10" x14ac:dyDescent="0.3">
      <c r="A2620" t="s">
        <v>5925</v>
      </c>
      <c r="B2620" t="s">
        <v>26839</v>
      </c>
      <c r="C2620" t="s">
        <v>20486</v>
      </c>
      <c r="D2620" t="s">
        <v>11</v>
      </c>
      <c r="E2620" t="s">
        <v>5926</v>
      </c>
      <c r="F2620">
        <v>37</v>
      </c>
      <c r="G2620" t="s">
        <v>370</v>
      </c>
      <c r="H2620" t="s">
        <v>46</v>
      </c>
      <c r="J2620" t="s">
        <v>5927</v>
      </c>
    </row>
    <row r="2621" spans="1:10" x14ac:dyDescent="0.3">
      <c r="A2621" t="s">
        <v>5928</v>
      </c>
      <c r="B2621" t="s">
        <v>26840</v>
      </c>
      <c r="C2621" t="s">
        <v>20488</v>
      </c>
      <c r="D2621" t="s">
        <v>11</v>
      </c>
      <c r="E2621" t="s">
        <v>5929</v>
      </c>
      <c r="F2621">
        <v>28</v>
      </c>
      <c r="G2621" t="s">
        <v>109</v>
      </c>
      <c r="H2621" t="s">
        <v>9788</v>
      </c>
      <c r="I2621" t="s">
        <v>1802</v>
      </c>
      <c r="J2621" t="s">
        <v>5930</v>
      </c>
    </row>
    <row r="2622" spans="1:10" x14ac:dyDescent="0.3">
      <c r="A2622" t="s">
        <v>5931</v>
      </c>
      <c r="B2622" t="s">
        <v>26841</v>
      </c>
      <c r="C2622" t="s">
        <v>20486</v>
      </c>
      <c r="D2622" t="s">
        <v>22</v>
      </c>
      <c r="E2622" t="s">
        <v>5932</v>
      </c>
      <c r="F2622">
        <v>41</v>
      </c>
      <c r="G2622" t="s">
        <v>172</v>
      </c>
      <c r="H2622" t="s">
        <v>12099</v>
      </c>
      <c r="J2622" t="s">
        <v>5933</v>
      </c>
    </row>
    <row r="2623" spans="1:10" x14ac:dyDescent="0.3">
      <c r="A2623" t="s">
        <v>5934</v>
      </c>
      <c r="B2623" t="s">
        <v>26842</v>
      </c>
      <c r="C2623" t="s">
        <v>20486</v>
      </c>
      <c r="D2623" t="s">
        <v>11</v>
      </c>
      <c r="E2623" t="s">
        <v>5935</v>
      </c>
      <c r="F2623">
        <v>51</v>
      </c>
      <c r="G2623" t="s">
        <v>220</v>
      </c>
      <c r="H2623" t="s">
        <v>46</v>
      </c>
      <c r="J2623" t="s">
        <v>5936</v>
      </c>
    </row>
    <row r="2624" spans="1:10" x14ac:dyDescent="0.3">
      <c r="A2624" t="s">
        <v>5937</v>
      </c>
      <c r="B2624" t="s">
        <v>26843</v>
      </c>
      <c r="C2624" t="s">
        <v>20489</v>
      </c>
      <c r="D2624" t="s">
        <v>22</v>
      </c>
      <c r="E2624" t="s">
        <v>5938</v>
      </c>
      <c r="F2624">
        <v>65</v>
      </c>
      <c r="G2624" t="s">
        <v>31</v>
      </c>
      <c r="H2624" t="s">
        <v>31</v>
      </c>
    </row>
    <row r="2625" spans="1:10" x14ac:dyDescent="0.3">
      <c r="A2625" t="s">
        <v>5939</v>
      </c>
      <c r="B2625" t="s">
        <v>26844</v>
      </c>
      <c r="C2625" t="s">
        <v>20488</v>
      </c>
      <c r="D2625" t="s">
        <v>22</v>
      </c>
      <c r="E2625" t="s">
        <v>5940</v>
      </c>
      <c r="F2625">
        <v>76</v>
      </c>
      <c r="G2625" t="s">
        <v>31</v>
      </c>
      <c r="H2625" t="s">
        <v>31</v>
      </c>
    </row>
    <row r="2626" spans="1:10" x14ac:dyDescent="0.3">
      <c r="A2626" t="s">
        <v>5941</v>
      </c>
      <c r="B2626" t="s">
        <v>26845</v>
      </c>
      <c r="C2626" t="s">
        <v>20488</v>
      </c>
      <c r="D2626" t="s">
        <v>22</v>
      </c>
      <c r="E2626" t="s">
        <v>5942</v>
      </c>
      <c r="F2626">
        <v>88</v>
      </c>
      <c r="G2626" t="s">
        <v>109</v>
      </c>
      <c r="H2626" t="s">
        <v>9788</v>
      </c>
    </row>
    <row r="2627" spans="1:10" x14ac:dyDescent="0.3">
      <c r="A2627" t="s">
        <v>5943</v>
      </c>
      <c r="B2627" t="s">
        <v>26846</v>
      </c>
      <c r="C2627" t="s">
        <v>20486</v>
      </c>
      <c r="D2627" t="s">
        <v>22</v>
      </c>
      <c r="E2627" t="s">
        <v>5944</v>
      </c>
      <c r="F2627">
        <v>39</v>
      </c>
      <c r="G2627" t="s">
        <v>109</v>
      </c>
      <c r="H2627" t="s">
        <v>46</v>
      </c>
      <c r="I2627" t="s">
        <v>201</v>
      </c>
      <c r="J2627" t="s">
        <v>5945</v>
      </c>
    </row>
    <row r="2628" spans="1:10" x14ac:dyDescent="0.3">
      <c r="A2628" t="s">
        <v>5946</v>
      </c>
      <c r="B2628" t="s">
        <v>26847</v>
      </c>
      <c r="C2628" t="s">
        <v>20486</v>
      </c>
      <c r="D2628" t="s">
        <v>22</v>
      </c>
      <c r="E2628" t="s">
        <v>5947</v>
      </c>
      <c r="F2628">
        <v>28</v>
      </c>
      <c r="G2628" t="s">
        <v>109</v>
      </c>
      <c r="H2628" t="s">
        <v>9788</v>
      </c>
      <c r="I2628" t="s">
        <v>3763</v>
      </c>
    </row>
    <row r="2629" spans="1:10" x14ac:dyDescent="0.3">
      <c r="A2629" t="s">
        <v>5948</v>
      </c>
      <c r="B2629" t="s">
        <v>26848</v>
      </c>
      <c r="C2629" t="s">
        <v>20487</v>
      </c>
      <c r="D2629" t="s">
        <v>11</v>
      </c>
      <c r="E2629" t="s">
        <v>5949</v>
      </c>
      <c r="F2629">
        <v>27</v>
      </c>
      <c r="G2629" t="s">
        <v>5950</v>
      </c>
      <c r="H2629" t="s">
        <v>337</v>
      </c>
    </row>
    <row r="2630" spans="1:10" x14ac:dyDescent="0.3">
      <c r="A2630" t="s">
        <v>5951</v>
      </c>
      <c r="B2630" t="s">
        <v>26849</v>
      </c>
      <c r="C2630" t="s">
        <v>20487</v>
      </c>
      <c r="D2630" t="s">
        <v>22</v>
      </c>
      <c r="E2630" t="s">
        <v>5952</v>
      </c>
      <c r="F2630">
        <v>69</v>
      </c>
      <c r="G2630" t="s">
        <v>31</v>
      </c>
      <c r="H2630" t="s">
        <v>31</v>
      </c>
    </row>
    <row r="2631" spans="1:10" x14ac:dyDescent="0.3">
      <c r="A2631" t="s">
        <v>5953</v>
      </c>
      <c r="B2631" t="s">
        <v>26850</v>
      </c>
      <c r="C2631" t="s">
        <v>20487</v>
      </c>
      <c r="D2631" t="s">
        <v>22</v>
      </c>
      <c r="E2631" t="s">
        <v>5954</v>
      </c>
      <c r="F2631">
        <v>42</v>
      </c>
      <c r="G2631" t="s">
        <v>172</v>
      </c>
      <c r="H2631" t="s">
        <v>12099</v>
      </c>
    </row>
    <row r="2632" spans="1:10" x14ac:dyDescent="0.3">
      <c r="A2632" t="s">
        <v>5955</v>
      </c>
      <c r="B2632" t="s">
        <v>26851</v>
      </c>
      <c r="C2632" t="s">
        <v>20487</v>
      </c>
      <c r="D2632" t="s">
        <v>11</v>
      </c>
      <c r="E2632" t="s">
        <v>5956</v>
      </c>
      <c r="F2632">
        <v>48</v>
      </c>
      <c r="G2632" t="s">
        <v>109</v>
      </c>
      <c r="H2632" t="s">
        <v>9788</v>
      </c>
    </row>
    <row r="2633" spans="1:10" x14ac:dyDescent="0.3">
      <c r="A2633" t="s">
        <v>5957</v>
      </c>
      <c r="B2633" t="s">
        <v>26852</v>
      </c>
      <c r="C2633" t="s">
        <v>20486</v>
      </c>
      <c r="D2633" t="s">
        <v>22</v>
      </c>
      <c r="E2633" t="s">
        <v>5958</v>
      </c>
      <c r="F2633">
        <v>34</v>
      </c>
      <c r="G2633" t="s">
        <v>31</v>
      </c>
      <c r="H2633" t="s">
        <v>31</v>
      </c>
      <c r="J2633" t="s">
        <v>33</v>
      </c>
    </row>
    <row r="2634" spans="1:10" x14ac:dyDescent="0.3">
      <c r="A2634" t="s">
        <v>5959</v>
      </c>
      <c r="B2634" t="s">
        <v>26853</v>
      </c>
      <c r="C2634" t="s">
        <v>20489</v>
      </c>
      <c r="D2634" t="s">
        <v>11</v>
      </c>
      <c r="E2634" t="s">
        <v>12404</v>
      </c>
      <c r="F2634">
        <v>41</v>
      </c>
      <c r="G2634" t="s">
        <v>109</v>
      </c>
      <c r="H2634" t="s">
        <v>9788</v>
      </c>
      <c r="I2634" t="s">
        <v>2851</v>
      </c>
    </row>
    <row r="2635" spans="1:10" x14ac:dyDescent="0.3">
      <c r="A2635" t="s">
        <v>5960</v>
      </c>
      <c r="B2635" t="s">
        <v>26854</v>
      </c>
      <c r="C2635" t="s">
        <v>20487</v>
      </c>
      <c r="D2635" t="s">
        <v>22</v>
      </c>
      <c r="E2635" t="s">
        <v>5961</v>
      </c>
      <c r="F2635">
        <v>59</v>
      </c>
      <c r="G2635" t="s">
        <v>46</v>
      </c>
      <c r="H2635" t="s">
        <v>46</v>
      </c>
    </row>
    <row r="2636" spans="1:10" x14ac:dyDescent="0.3">
      <c r="A2636" t="s">
        <v>5962</v>
      </c>
      <c r="B2636" t="s">
        <v>26855</v>
      </c>
      <c r="C2636" t="s">
        <v>20486</v>
      </c>
      <c r="D2636" t="s">
        <v>11</v>
      </c>
      <c r="E2636" t="s">
        <v>5963</v>
      </c>
      <c r="F2636">
        <v>39</v>
      </c>
      <c r="G2636" t="s">
        <v>109</v>
      </c>
      <c r="H2636" t="s">
        <v>9788</v>
      </c>
      <c r="I2636" t="s">
        <v>4468</v>
      </c>
      <c r="J2636" t="s">
        <v>5964</v>
      </c>
    </row>
    <row r="2637" spans="1:10" x14ac:dyDescent="0.3">
      <c r="A2637" t="s">
        <v>5965</v>
      </c>
      <c r="B2637" t="s">
        <v>26856</v>
      </c>
      <c r="C2637" t="s">
        <v>20489</v>
      </c>
      <c r="D2637" t="s">
        <v>22</v>
      </c>
      <c r="E2637" t="s">
        <v>5966</v>
      </c>
      <c r="F2637">
        <v>32</v>
      </c>
      <c r="G2637" t="s">
        <v>109</v>
      </c>
      <c r="H2637" t="s">
        <v>9788</v>
      </c>
      <c r="I2637" t="s">
        <v>5967</v>
      </c>
      <c r="J2637" t="s">
        <v>5968</v>
      </c>
    </row>
    <row r="2638" spans="1:10" x14ac:dyDescent="0.3">
      <c r="A2638" t="s">
        <v>5969</v>
      </c>
      <c r="B2638" t="s">
        <v>26857</v>
      </c>
      <c r="C2638" t="s">
        <v>20486</v>
      </c>
      <c r="D2638" t="s">
        <v>22</v>
      </c>
      <c r="E2638" t="s">
        <v>5970</v>
      </c>
      <c r="F2638">
        <v>41</v>
      </c>
      <c r="G2638" t="s">
        <v>31</v>
      </c>
      <c r="H2638" t="s">
        <v>31</v>
      </c>
      <c r="J2638" t="s">
        <v>33</v>
      </c>
    </row>
    <row r="2639" spans="1:10" x14ac:dyDescent="0.3">
      <c r="A2639" t="s">
        <v>5971</v>
      </c>
      <c r="B2639" t="s">
        <v>26858</v>
      </c>
      <c r="C2639" t="s">
        <v>20488</v>
      </c>
      <c r="D2639" t="s">
        <v>22</v>
      </c>
      <c r="E2639" t="s">
        <v>5972</v>
      </c>
      <c r="F2639">
        <v>55</v>
      </c>
      <c r="G2639" t="s">
        <v>16</v>
      </c>
      <c r="H2639" t="s">
        <v>9785</v>
      </c>
      <c r="I2639" t="s">
        <v>449</v>
      </c>
      <c r="J2639" t="s">
        <v>654</v>
      </c>
    </row>
    <row r="2640" spans="1:10" x14ac:dyDescent="0.3">
      <c r="A2640" t="s">
        <v>12405</v>
      </c>
      <c r="B2640" t="s">
        <v>26859</v>
      </c>
      <c r="C2640" t="s">
        <v>20489</v>
      </c>
      <c r="D2640" t="s">
        <v>11</v>
      </c>
      <c r="E2640" t="s">
        <v>9648</v>
      </c>
      <c r="F2640">
        <v>28</v>
      </c>
      <c r="G2640" t="s">
        <v>109</v>
      </c>
      <c r="H2640" t="s">
        <v>9788</v>
      </c>
      <c r="I2640" t="s">
        <v>12406</v>
      </c>
      <c r="J2640" t="s">
        <v>12407</v>
      </c>
    </row>
    <row r="2641" spans="1:10" x14ac:dyDescent="0.3">
      <c r="A2641" t="s">
        <v>12408</v>
      </c>
      <c r="B2641" t="s">
        <v>26860</v>
      </c>
      <c r="C2641" t="s">
        <v>20489</v>
      </c>
      <c r="D2641" t="s">
        <v>11</v>
      </c>
      <c r="E2641" t="s">
        <v>9647</v>
      </c>
      <c r="F2641">
        <v>19</v>
      </c>
      <c r="G2641" t="s">
        <v>337</v>
      </c>
      <c r="H2641" t="s">
        <v>337</v>
      </c>
    </row>
    <row r="2642" spans="1:10" x14ac:dyDescent="0.3">
      <c r="A2642" t="s">
        <v>5973</v>
      </c>
      <c r="B2642" t="s">
        <v>26861</v>
      </c>
      <c r="C2642" t="s">
        <v>20488</v>
      </c>
      <c r="D2642" t="s">
        <v>22</v>
      </c>
      <c r="E2642" t="s">
        <v>5974</v>
      </c>
      <c r="F2642">
        <v>40</v>
      </c>
      <c r="G2642" t="s">
        <v>16</v>
      </c>
      <c r="H2642" t="s">
        <v>9785</v>
      </c>
      <c r="I2642" t="s">
        <v>449</v>
      </c>
      <c r="J2642" t="s">
        <v>5975</v>
      </c>
    </row>
    <row r="2643" spans="1:10" x14ac:dyDescent="0.3">
      <c r="A2643" t="s">
        <v>5976</v>
      </c>
      <c r="B2643" t="s">
        <v>26862</v>
      </c>
      <c r="C2643" t="s">
        <v>20486</v>
      </c>
      <c r="D2643" t="s">
        <v>22</v>
      </c>
      <c r="E2643" t="s">
        <v>5977</v>
      </c>
      <c r="F2643">
        <v>54</v>
      </c>
      <c r="G2643" t="s">
        <v>31</v>
      </c>
      <c r="H2643" t="s">
        <v>31</v>
      </c>
      <c r="J2643" t="s">
        <v>33</v>
      </c>
    </row>
    <row r="2644" spans="1:10" x14ac:dyDescent="0.3">
      <c r="A2644" t="s">
        <v>5978</v>
      </c>
      <c r="B2644" t="s">
        <v>26863</v>
      </c>
      <c r="C2644" t="s">
        <v>20486</v>
      </c>
      <c r="D2644" t="s">
        <v>11</v>
      </c>
      <c r="E2644" t="s">
        <v>3576</v>
      </c>
      <c r="F2644">
        <v>40</v>
      </c>
      <c r="G2644" t="s">
        <v>109</v>
      </c>
      <c r="H2644" t="s">
        <v>9788</v>
      </c>
      <c r="J2644" t="s">
        <v>5979</v>
      </c>
    </row>
    <row r="2645" spans="1:10" x14ac:dyDescent="0.3">
      <c r="A2645" t="s">
        <v>5980</v>
      </c>
      <c r="B2645" t="s">
        <v>26864</v>
      </c>
      <c r="C2645" t="s">
        <v>20486</v>
      </c>
      <c r="D2645" t="s">
        <v>11</v>
      </c>
      <c r="E2645" t="s">
        <v>5981</v>
      </c>
      <c r="F2645">
        <v>47</v>
      </c>
      <c r="G2645" t="s">
        <v>109</v>
      </c>
      <c r="H2645" t="s">
        <v>9788</v>
      </c>
      <c r="J2645" t="s">
        <v>5982</v>
      </c>
    </row>
    <row r="2646" spans="1:10" x14ac:dyDescent="0.3">
      <c r="A2646" t="s">
        <v>5983</v>
      </c>
      <c r="B2646" t="s">
        <v>26865</v>
      </c>
      <c r="C2646" t="s">
        <v>20486</v>
      </c>
      <c r="D2646" t="s">
        <v>11</v>
      </c>
      <c r="E2646" t="s">
        <v>5984</v>
      </c>
      <c r="F2646">
        <v>55</v>
      </c>
      <c r="G2646" t="s">
        <v>46</v>
      </c>
      <c r="H2646" t="s">
        <v>46</v>
      </c>
      <c r="J2646" t="s">
        <v>5985</v>
      </c>
    </row>
    <row r="2647" spans="1:10" x14ac:dyDescent="0.3">
      <c r="A2647" t="s">
        <v>5986</v>
      </c>
      <c r="B2647" t="s">
        <v>26866</v>
      </c>
      <c r="C2647" t="s">
        <v>20486</v>
      </c>
      <c r="D2647" t="s">
        <v>22</v>
      </c>
      <c r="E2647" t="s">
        <v>5987</v>
      </c>
      <c r="F2647">
        <v>30</v>
      </c>
      <c r="G2647" t="s">
        <v>109</v>
      </c>
      <c r="H2647" t="s">
        <v>9788</v>
      </c>
      <c r="J2647" t="s">
        <v>5988</v>
      </c>
    </row>
    <row r="2648" spans="1:10" x14ac:dyDescent="0.3">
      <c r="A2648" t="s">
        <v>12409</v>
      </c>
      <c r="B2648" t="s">
        <v>26867</v>
      </c>
      <c r="C2648" t="s">
        <v>20487</v>
      </c>
      <c r="D2648" t="s">
        <v>11</v>
      </c>
      <c r="E2648" t="s">
        <v>12410</v>
      </c>
      <c r="F2648">
        <v>56</v>
      </c>
      <c r="G2648" t="s">
        <v>109</v>
      </c>
      <c r="H2648" t="s">
        <v>9788</v>
      </c>
    </row>
    <row r="2649" spans="1:10" x14ac:dyDescent="0.3">
      <c r="A2649" t="s">
        <v>5989</v>
      </c>
      <c r="B2649" t="s">
        <v>26868</v>
      </c>
      <c r="C2649" t="s">
        <v>20486</v>
      </c>
      <c r="D2649" t="s">
        <v>22</v>
      </c>
      <c r="E2649" t="s">
        <v>5990</v>
      </c>
      <c r="F2649">
        <v>62</v>
      </c>
      <c r="G2649" t="s">
        <v>31</v>
      </c>
      <c r="H2649" t="s">
        <v>31</v>
      </c>
      <c r="J2649" t="s">
        <v>33</v>
      </c>
    </row>
    <row r="2650" spans="1:10" x14ac:dyDescent="0.3">
      <c r="A2650" t="s">
        <v>12411</v>
      </c>
      <c r="B2650" t="s">
        <v>26869</v>
      </c>
      <c r="C2650" t="s">
        <v>20491</v>
      </c>
      <c r="D2650" t="s">
        <v>22</v>
      </c>
      <c r="E2650" t="s">
        <v>9646</v>
      </c>
      <c r="F2650">
        <v>21</v>
      </c>
      <c r="G2650" t="s">
        <v>337</v>
      </c>
      <c r="H2650" t="s">
        <v>337</v>
      </c>
    </row>
    <row r="2651" spans="1:10" x14ac:dyDescent="0.3">
      <c r="A2651" t="s">
        <v>5991</v>
      </c>
      <c r="B2651" t="s">
        <v>26870</v>
      </c>
      <c r="C2651" t="s">
        <v>20486</v>
      </c>
      <c r="D2651" t="s">
        <v>11</v>
      </c>
      <c r="E2651" t="s">
        <v>4779</v>
      </c>
      <c r="F2651">
        <v>33</v>
      </c>
      <c r="G2651" t="s">
        <v>16</v>
      </c>
      <c r="H2651" t="s">
        <v>9785</v>
      </c>
      <c r="I2651" t="s">
        <v>17</v>
      </c>
      <c r="J2651" t="s">
        <v>5992</v>
      </c>
    </row>
    <row r="2652" spans="1:10" x14ac:dyDescent="0.3">
      <c r="A2652" t="s">
        <v>5993</v>
      </c>
      <c r="B2652" t="s">
        <v>26871</v>
      </c>
      <c r="C2652" t="s">
        <v>20486</v>
      </c>
      <c r="D2652" t="s">
        <v>11</v>
      </c>
      <c r="E2652" t="s">
        <v>407</v>
      </c>
      <c r="F2652">
        <v>69</v>
      </c>
      <c r="G2652" t="s">
        <v>46</v>
      </c>
      <c r="H2652" t="s">
        <v>46</v>
      </c>
      <c r="J2652" t="s">
        <v>5994</v>
      </c>
    </row>
    <row r="2653" spans="1:10" x14ac:dyDescent="0.3">
      <c r="A2653" t="s">
        <v>5995</v>
      </c>
      <c r="B2653" t="s">
        <v>26872</v>
      </c>
      <c r="C2653" t="s">
        <v>20486</v>
      </c>
      <c r="D2653" t="s">
        <v>11</v>
      </c>
      <c r="E2653" t="s">
        <v>12412</v>
      </c>
      <c r="F2653">
        <v>66</v>
      </c>
      <c r="G2653" t="s">
        <v>109</v>
      </c>
      <c r="H2653" t="s">
        <v>9788</v>
      </c>
      <c r="I2653" t="s">
        <v>2014</v>
      </c>
      <c r="J2653" t="s">
        <v>5996</v>
      </c>
    </row>
    <row r="2654" spans="1:10" x14ac:dyDescent="0.3">
      <c r="A2654" t="s">
        <v>5997</v>
      </c>
      <c r="B2654" t="s">
        <v>26873</v>
      </c>
      <c r="C2654" t="s">
        <v>20486</v>
      </c>
      <c r="D2654" t="s">
        <v>11</v>
      </c>
      <c r="E2654" t="s">
        <v>5998</v>
      </c>
      <c r="F2654">
        <v>38</v>
      </c>
      <c r="G2654" t="s">
        <v>46</v>
      </c>
      <c r="H2654" t="s">
        <v>46</v>
      </c>
      <c r="I2654" t="s">
        <v>3060</v>
      </c>
      <c r="J2654" t="s">
        <v>3060</v>
      </c>
    </row>
    <row r="2655" spans="1:10" x14ac:dyDescent="0.3">
      <c r="A2655" t="s">
        <v>5999</v>
      </c>
      <c r="B2655" t="s">
        <v>26874</v>
      </c>
      <c r="C2655" t="s">
        <v>20488</v>
      </c>
      <c r="D2655" t="s">
        <v>22</v>
      </c>
      <c r="E2655" t="s">
        <v>4672</v>
      </c>
      <c r="F2655">
        <v>60</v>
      </c>
      <c r="G2655" t="s">
        <v>31</v>
      </c>
      <c r="H2655" t="s">
        <v>31</v>
      </c>
    </row>
    <row r="2656" spans="1:10" x14ac:dyDescent="0.3">
      <c r="A2656" t="s">
        <v>6000</v>
      </c>
      <c r="B2656" t="s">
        <v>26875</v>
      </c>
      <c r="C2656" t="s">
        <v>20486</v>
      </c>
      <c r="D2656" t="s">
        <v>11</v>
      </c>
      <c r="E2656" t="s">
        <v>4413</v>
      </c>
      <c r="F2656">
        <v>36</v>
      </c>
      <c r="G2656" t="s">
        <v>109</v>
      </c>
      <c r="H2656" t="s">
        <v>9788</v>
      </c>
      <c r="J2656" t="s">
        <v>6001</v>
      </c>
    </row>
    <row r="2657" spans="1:10" x14ac:dyDescent="0.3">
      <c r="A2657" t="s">
        <v>6002</v>
      </c>
      <c r="B2657" t="s">
        <v>26876</v>
      </c>
      <c r="C2657" t="s">
        <v>20486</v>
      </c>
      <c r="D2657" t="s">
        <v>22</v>
      </c>
      <c r="E2657" t="s">
        <v>14329</v>
      </c>
      <c r="F2657">
        <v>59</v>
      </c>
      <c r="G2657" t="s">
        <v>16</v>
      </c>
      <c r="H2657" t="s">
        <v>9785</v>
      </c>
      <c r="I2657" t="s">
        <v>17</v>
      </c>
      <c r="J2657" t="s">
        <v>14330</v>
      </c>
    </row>
    <row r="2658" spans="1:10" x14ac:dyDescent="0.3">
      <c r="A2658" t="s">
        <v>6004</v>
      </c>
      <c r="B2658" t="s">
        <v>26877</v>
      </c>
      <c r="C2658" t="s">
        <v>20487</v>
      </c>
      <c r="D2658" t="s">
        <v>11</v>
      </c>
      <c r="E2658" t="s">
        <v>6005</v>
      </c>
      <c r="F2658">
        <v>63</v>
      </c>
      <c r="G2658" t="s">
        <v>3188</v>
      </c>
      <c r="H2658" t="s">
        <v>12074</v>
      </c>
    </row>
    <row r="2659" spans="1:10" x14ac:dyDescent="0.3">
      <c r="A2659" t="s">
        <v>6006</v>
      </c>
      <c r="B2659" t="s">
        <v>26878</v>
      </c>
      <c r="C2659" t="s">
        <v>20486</v>
      </c>
      <c r="D2659" t="s">
        <v>11</v>
      </c>
      <c r="E2659" t="s">
        <v>6007</v>
      </c>
      <c r="F2659">
        <v>68</v>
      </c>
      <c r="G2659" t="s">
        <v>46</v>
      </c>
      <c r="H2659" t="s">
        <v>46</v>
      </c>
      <c r="I2659" t="s">
        <v>6008</v>
      </c>
      <c r="J2659" t="s">
        <v>6009</v>
      </c>
    </row>
    <row r="2660" spans="1:10" x14ac:dyDescent="0.3">
      <c r="A2660" t="s">
        <v>6010</v>
      </c>
      <c r="B2660" t="s">
        <v>26879</v>
      </c>
      <c r="C2660" t="s">
        <v>20486</v>
      </c>
      <c r="D2660" t="s">
        <v>22</v>
      </c>
      <c r="E2660" t="s">
        <v>6011</v>
      </c>
      <c r="F2660">
        <v>64</v>
      </c>
      <c r="G2660" t="s">
        <v>172</v>
      </c>
      <c r="H2660" t="s">
        <v>12099</v>
      </c>
      <c r="J2660" t="s">
        <v>6012</v>
      </c>
    </row>
    <row r="2661" spans="1:10" x14ac:dyDescent="0.3">
      <c r="A2661" t="s">
        <v>6013</v>
      </c>
      <c r="B2661" t="s">
        <v>26880</v>
      </c>
      <c r="C2661" t="s">
        <v>20488</v>
      </c>
      <c r="D2661" t="s">
        <v>22</v>
      </c>
      <c r="E2661" t="s">
        <v>6014</v>
      </c>
      <c r="F2661">
        <v>33</v>
      </c>
      <c r="G2661" t="s">
        <v>31</v>
      </c>
      <c r="H2661" t="s">
        <v>31</v>
      </c>
    </row>
    <row r="2662" spans="1:10" x14ac:dyDescent="0.3">
      <c r="A2662" t="s">
        <v>6015</v>
      </c>
      <c r="B2662" t="s">
        <v>26881</v>
      </c>
      <c r="C2662" t="s">
        <v>20486</v>
      </c>
      <c r="D2662" t="s">
        <v>22</v>
      </c>
      <c r="E2662" t="s">
        <v>6016</v>
      </c>
      <c r="F2662">
        <v>51</v>
      </c>
      <c r="G2662" t="s">
        <v>31</v>
      </c>
      <c r="H2662" t="s">
        <v>31</v>
      </c>
      <c r="J2662" t="s">
        <v>33</v>
      </c>
    </row>
    <row r="2663" spans="1:10" x14ac:dyDescent="0.3">
      <c r="A2663" t="s">
        <v>6017</v>
      </c>
      <c r="B2663" t="s">
        <v>26882</v>
      </c>
      <c r="C2663" t="s">
        <v>20490</v>
      </c>
      <c r="D2663" t="s">
        <v>22</v>
      </c>
      <c r="E2663" t="s">
        <v>6018</v>
      </c>
      <c r="F2663">
        <v>68</v>
      </c>
      <c r="G2663" t="s">
        <v>16</v>
      </c>
      <c r="H2663" t="s">
        <v>9785</v>
      </c>
      <c r="J2663" t="s">
        <v>2531</v>
      </c>
    </row>
    <row r="2664" spans="1:10" x14ac:dyDescent="0.3">
      <c r="A2664" t="s">
        <v>6019</v>
      </c>
      <c r="B2664" t="s">
        <v>26883</v>
      </c>
      <c r="C2664" t="s">
        <v>20490</v>
      </c>
      <c r="D2664" t="s">
        <v>11</v>
      </c>
      <c r="E2664" t="s">
        <v>6020</v>
      </c>
      <c r="F2664">
        <v>34</v>
      </c>
      <c r="G2664" t="s">
        <v>109</v>
      </c>
      <c r="H2664" t="s">
        <v>9788</v>
      </c>
    </row>
    <row r="2665" spans="1:10" x14ac:dyDescent="0.3">
      <c r="A2665" t="s">
        <v>6021</v>
      </c>
      <c r="B2665" t="s">
        <v>26884</v>
      </c>
      <c r="C2665" t="s">
        <v>20486</v>
      </c>
      <c r="D2665" t="s">
        <v>22</v>
      </c>
      <c r="E2665" t="s">
        <v>6022</v>
      </c>
      <c r="F2665">
        <v>42</v>
      </c>
      <c r="G2665" t="s">
        <v>109</v>
      </c>
      <c r="H2665" t="s">
        <v>9788</v>
      </c>
      <c r="I2665" t="s">
        <v>5211</v>
      </c>
      <c r="J2665" t="s">
        <v>6023</v>
      </c>
    </row>
    <row r="2666" spans="1:10" x14ac:dyDescent="0.3">
      <c r="A2666" t="s">
        <v>6024</v>
      </c>
      <c r="B2666" t="s">
        <v>26885</v>
      </c>
      <c r="C2666" t="s">
        <v>20486</v>
      </c>
      <c r="D2666" t="s">
        <v>11</v>
      </c>
      <c r="E2666" t="s">
        <v>6025</v>
      </c>
      <c r="F2666">
        <v>41</v>
      </c>
      <c r="G2666" t="s">
        <v>213</v>
      </c>
      <c r="H2666" t="s">
        <v>12065</v>
      </c>
      <c r="I2666" t="s">
        <v>110</v>
      </c>
      <c r="J2666" t="s">
        <v>6026</v>
      </c>
    </row>
    <row r="2667" spans="1:10" x14ac:dyDescent="0.3">
      <c r="A2667" t="s">
        <v>6027</v>
      </c>
      <c r="B2667" t="s">
        <v>26886</v>
      </c>
      <c r="C2667" t="s">
        <v>20487</v>
      </c>
      <c r="D2667" t="s">
        <v>22</v>
      </c>
      <c r="E2667" t="s">
        <v>6028</v>
      </c>
      <c r="F2667">
        <v>56</v>
      </c>
      <c r="G2667" t="s">
        <v>441</v>
      </c>
      <c r="H2667" t="s">
        <v>9785</v>
      </c>
      <c r="J2667" t="s">
        <v>6029</v>
      </c>
    </row>
    <row r="2668" spans="1:10" x14ac:dyDescent="0.3">
      <c r="A2668" t="s">
        <v>6030</v>
      </c>
      <c r="B2668" t="s">
        <v>26887</v>
      </c>
      <c r="C2668" t="s">
        <v>20486</v>
      </c>
      <c r="D2668" t="s">
        <v>11</v>
      </c>
      <c r="E2668" t="s">
        <v>6031</v>
      </c>
      <c r="F2668">
        <v>63</v>
      </c>
      <c r="G2668" t="s">
        <v>13</v>
      </c>
      <c r="H2668" t="s">
        <v>13</v>
      </c>
      <c r="I2668" t="s">
        <v>12414</v>
      </c>
      <c r="J2668" t="s">
        <v>67</v>
      </c>
    </row>
    <row r="2669" spans="1:10" x14ac:dyDescent="0.3">
      <c r="A2669" t="s">
        <v>6032</v>
      </c>
      <c r="B2669" t="s">
        <v>26888</v>
      </c>
      <c r="C2669" t="s">
        <v>20486</v>
      </c>
      <c r="D2669" t="s">
        <v>22</v>
      </c>
      <c r="E2669" t="s">
        <v>6033</v>
      </c>
      <c r="F2669">
        <v>42</v>
      </c>
      <c r="H2669" t="s">
        <v>9788</v>
      </c>
      <c r="J2669" t="s">
        <v>6034</v>
      </c>
    </row>
    <row r="2670" spans="1:10" x14ac:dyDescent="0.3">
      <c r="A2670" t="s">
        <v>6035</v>
      </c>
      <c r="B2670" t="s">
        <v>26889</v>
      </c>
      <c r="C2670" t="s">
        <v>20488</v>
      </c>
      <c r="D2670" t="s">
        <v>11</v>
      </c>
      <c r="E2670" t="s">
        <v>6036</v>
      </c>
      <c r="F2670">
        <v>45</v>
      </c>
      <c r="G2670" t="s">
        <v>109</v>
      </c>
      <c r="H2670" t="s">
        <v>9788</v>
      </c>
    </row>
    <row r="2671" spans="1:10" x14ac:dyDescent="0.3">
      <c r="A2671" t="s">
        <v>6037</v>
      </c>
      <c r="B2671" t="s">
        <v>26890</v>
      </c>
      <c r="C2671" t="s">
        <v>20488</v>
      </c>
      <c r="D2671" t="s">
        <v>22</v>
      </c>
      <c r="E2671" t="s">
        <v>6038</v>
      </c>
      <c r="F2671">
        <v>23</v>
      </c>
      <c r="G2671" t="s">
        <v>337</v>
      </c>
      <c r="H2671" t="s">
        <v>337</v>
      </c>
    </row>
    <row r="2672" spans="1:10" x14ac:dyDescent="0.3">
      <c r="A2672" t="s">
        <v>6039</v>
      </c>
      <c r="B2672" t="s">
        <v>26891</v>
      </c>
      <c r="C2672" t="s">
        <v>20486</v>
      </c>
      <c r="D2672" t="s">
        <v>11</v>
      </c>
      <c r="E2672" t="s">
        <v>6040</v>
      </c>
      <c r="F2672">
        <v>47</v>
      </c>
      <c r="G2672" t="s">
        <v>109</v>
      </c>
      <c r="H2672" t="s">
        <v>9788</v>
      </c>
      <c r="J2672" t="s">
        <v>6041</v>
      </c>
    </row>
    <row r="2673" spans="1:10" x14ac:dyDescent="0.3">
      <c r="A2673" t="s">
        <v>6042</v>
      </c>
      <c r="B2673" t="s">
        <v>26892</v>
      </c>
      <c r="C2673" t="s">
        <v>20491</v>
      </c>
      <c r="D2673" t="s">
        <v>22</v>
      </c>
      <c r="E2673" t="s">
        <v>251</v>
      </c>
      <c r="F2673">
        <v>62</v>
      </c>
      <c r="G2673" t="s">
        <v>31</v>
      </c>
      <c r="H2673" t="s">
        <v>31</v>
      </c>
    </row>
    <row r="2674" spans="1:10" x14ac:dyDescent="0.3">
      <c r="A2674" t="s">
        <v>6043</v>
      </c>
      <c r="B2674" t="s">
        <v>26893</v>
      </c>
      <c r="C2674" t="s">
        <v>20487</v>
      </c>
      <c r="D2674" t="s">
        <v>22</v>
      </c>
      <c r="E2674" t="s">
        <v>2790</v>
      </c>
      <c r="F2674">
        <v>49</v>
      </c>
      <c r="G2674" t="s">
        <v>193</v>
      </c>
      <c r="H2674" t="s">
        <v>243</v>
      </c>
    </row>
    <row r="2675" spans="1:10" x14ac:dyDescent="0.3">
      <c r="A2675" t="s">
        <v>6044</v>
      </c>
      <c r="B2675" t="s">
        <v>26894</v>
      </c>
      <c r="C2675" t="s">
        <v>20486</v>
      </c>
      <c r="D2675" t="s">
        <v>22</v>
      </c>
      <c r="E2675" t="s">
        <v>6045</v>
      </c>
      <c r="F2675">
        <v>76</v>
      </c>
      <c r="G2675" t="s">
        <v>13</v>
      </c>
      <c r="H2675" t="s">
        <v>13</v>
      </c>
      <c r="I2675" t="s">
        <v>318</v>
      </c>
    </row>
    <row r="2676" spans="1:10" x14ac:dyDescent="0.3">
      <c r="A2676" t="s">
        <v>12415</v>
      </c>
      <c r="B2676" t="s">
        <v>26895</v>
      </c>
      <c r="C2676" t="s">
        <v>20486</v>
      </c>
      <c r="D2676" t="s">
        <v>11</v>
      </c>
      <c r="E2676" t="s">
        <v>9644</v>
      </c>
      <c r="F2676">
        <v>27</v>
      </c>
      <c r="G2676" t="s">
        <v>337</v>
      </c>
      <c r="H2676" t="s">
        <v>337</v>
      </c>
      <c r="J2676" t="s">
        <v>67</v>
      </c>
    </row>
    <row r="2677" spans="1:10" x14ac:dyDescent="0.3">
      <c r="A2677" t="s">
        <v>6046</v>
      </c>
      <c r="B2677" t="s">
        <v>26896</v>
      </c>
      <c r="C2677" t="s">
        <v>20488</v>
      </c>
      <c r="D2677" t="s">
        <v>11</v>
      </c>
      <c r="E2677" t="s">
        <v>6047</v>
      </c>
      <c r="F2677">
        <v>61</v>
      </c>
      <c r="G2677" t="s">
        <v>2055</v>
      </c>
      <c r="H2677" t="s">
        <v>9789</v>
      </c>
    </row>
    <row r="2678" spans="1:10" x14ac:dyDescent="0.3">
      <c r="A2678" t="s">
        <v>6048</v>
      </c>
      <c r="B2678" t="s">
        <v>26897</v>
      </c>
      <c r="C2678" t="s">
        <v>20486</v>
      </c>
      <c r="D2678" t="s">
        <v>11</v>
      </c>
      <c r="E2678" t="s">
        <v>5222</v>
      </c>
      <c r="F2678">
        <v>38</v>
      </c>
      <c r="H2678" t="s">
        <v>46</v>
      </c>
      <c r="J2678" t="s">
        <v>225</v>
      </c>
    </row>
    <row r="2679" spans="1:10" x14ac:dyDescent="0.3">
      <c r="A2679" t="s">
        <v>6049</v>
      </c>
      <c r="B2679" t="s">
        <v>26898</v>
      </c>
      <c r="C2679" t="s">
        <v>20486</v>
      </c>
      <c r="D2679" t="s">
        <v>22</v>
      </c>
      <c r="E2679" t="s">
        <v>6050</v>
      </c>
      <c r="F2679">
        <v>71</v>
      </c>
      <c r="G2679" t="s">
        <v>531</v>
      </c>
      <c r="H2679" t="s">
        <v>46</v>
      </c>
      <c r="J2679" t="s">
        <v>1412</v>
      </c>
    </row>
    <row r="2680" spans="1:10" x14ac:dyDescent="0.3">
      <c r="A2680" t="s">
        <v>6051</v>
      </c>
      <c r="B2680" t="s">
        <v>26899</v>
      </c>
      <c r="C2680" t="s">
        <v>20486</v>
      </c>
      <c r="D2680" t="s">
        <v>22</v>
      </c>
      <c r="E2680" t="s">
        <v>6052</v>
      </c>
      <c r="F2680">
        <v>47</v>
      </c>
      <c r="G2680" t="s">
        <v>109</v>
      </c>
      <c r="H2680" t="s">
        <v>9788</v>
      </c>
    </row>
    <row r="2681" spans="1:10" x14ac:dyDescent="0.3">
      <c r="A2681" t="s">
        <v>6053</v>
      </c>
      <c r="B2681" t="s">
        <v>26900</v>
      </c>
      <c r="C2681" t="s">
        <v>20487</v>
      </c>
      <c r="D2681" t="s">
        <v>11</v>
      </c>
      <c r="E2681" t="s">
        <v>6054</v>
      </c>
      <c r="F2681">
        <v>39</v>
      </c>
      <c r="G2681" t="s">
        <v>1047</v>
      </c>
      <c r="H2681" t="s">
        <v>9788</v>
      </c>
      <c r="J2681" t="s">
        <v>6055</v>
      </c>
    </row>
    <row r="2682" spans="1:10" x14ac:dyDescent="0.3">
      <c r="A2682" t="s">
        <v>6056</v>
      </c>
      <c r="B2682" t="s">
        <v>26901</v>
      </c>
      <c r="C2682" t="s">
        <v>20486</v>
      </c>
      <c r="D2682" t="s">
        <v>11</v>
      </c>
      <c r="E2682" t="s">
        <v>6057</v>
      </c>
      <c r="F2682">
        <v>74</v>
      </c>
      <c r="G2682" t="s">
        <v>6058</v>
      </c>
      <c r="H2682" t="s">
        <v>9791</v>
      </c>
      <c r="J2682" t="s">
        <v>6059</v>
      </c>
    </row>
    <row r="2683" spans="1:10" x14ac:dyDescent="0.3">
      <c r="A2683" t="s">
        <v>6060</v>
      </c>
      <c r="B2683" t="s">
        <v>26902</v>
      </c>
      <c r="C2683" t="s">
        <v>20490</v>
      </c>
      <c r="D2683" t="s">
        <v>11</v>
      </c>
      <c r="E2683" t="s">
        <v>6061</v>
      </c>
      <c r="F2683">
        <v>64</v>
      </c>
      <c r="G2683" t="s">
        <v>16</v>
      </c>
      <c r="H2683" t="s">
        <v>9785</v>
      </c>
    </row>
    <row r="2684" spans="1:10" x14ac:dyDescent="0.3">
      <c r="A2684" t="s">
        <v>6062</v>
      </c>
      <c r="B2684" t="s">
        <v>26903</v>
      </c>
      <c r="C2684" t="s">
        <v>20486</v>
      </c>
      <c r="D2684" t="s">
        <v>11</v>
      </c>
      <c r="E2684" t="s">
        <v>6063</v>
      </c>
      <c r="F2684">
        <v>51</v>
      </c>
      <c r="G2684" t="s">
        <v>133</v>
      </c>
      <c r="H2684" t="s">
        <v>9789</v>
      </c>
      <c r="J2684" t="s">
        <v>6064</v>
      </c>
    </row>
    <row r="2685" spans="1:10" x14ac:dyDescent="0.3">
      <c r="A2685" t="s">
        <v>6065</v>
      </c>
      <c r="B2685" t="s">
        <v>26904</v>
      </c>
      <c r="C2685" t="s">
        <v>20486</v>
      </c>
      <c r="D2685" t="s">
        <v>22</v>
      </c>
      <c r="E2685" t="s">
        <v>6066</v>
      </c>
      <c r="F2685">
        <v>24</v>
      </c>
      <c r="G2685" t="s">
        <v>172</v>
      </c>
      <c r="H2685" t="s">
        <v>12099</v>
      </c>
      <c r="J2685" t="s">
        <v>6003</v>
      </c>
    </row>
    <row r="2686" spans="1:10" x14ac:dyDescent="0.3">
      <c r="A2686" t="s">
        <v>6067</v>
      </c>
      <c r="B2686" t="s">
        <v>26905</v>
      </c>
      <c r="C2686" t="s">
        <v>20486</v>
      </c>
      <c r="D2686" t="s">
        <v>11</v>
      </c>
      <c r="E2686" t="s">
        <v>6068</v>
      </c>
      <c r="F2686">
        <v>40</v>
      </c>
      <c r="G2686" t="s">
        <v>133</v>
      </c>
      <c r="H2686" t="s">
        <v>9789</v>
      </c>
      <c r="I2686" t="s">
        <v>6069</v>
      </c>
      <c r="J2686" t="s">
        <v>6070</v>
      </c>
    </row>
    <row r="2687" spans="1:10" x14ac:dyDescent="0.3">
      <c r="A2687" t="s">
        <v>6071</v>
      </c>
      <c r="B2687" t="s">
        <v>26906</v>
      </c>
      <c r="C2687" t="s">
        <v>20486</v>
      </c>
      <c r="D2687" t="s">
        <v>22</v>
      </c>
      <c r="E2687" t="s">
        <v>6072</v>
      </c>
      <c r="F2687">
        <v>45</v>
      </c>
      <c r="G2687" t="s">
        <v>31</v>
      </c>
      <c r="H2687" t="s">
        <v>31</v>
      </c>
      <c r="J2687" t="s">
        <v>33</v>
      </c>
    </row>
    <row r="2688" spans="1:10" x14ac:dyDescent="0.3">
      <c r="A2688" t="s">
        <v>12416</v>
      </c>
      <c r="B2688" t="s">
        <v>26907</v>
      </c>
      <c r="C2688" t="s">
        <v>20488</v>
      </c>
      <c r="D2688" t="s">
        <v>22</v>
      </c>
      <c r="E2688" t="s">
        <v>9643</v>
      </c>
      <c r="F2688">
        <v>22</v>
      </c>
      <c r="G2688" t="s">
        <v>337</v>
      </c>
      <c r="H2688" t="s">
        <v>337</v>
      </c>
    </row>
    <row r="2689" spans="1:10" x14ac:dyDescent="0.3">
      <c r="A2689" t="s">
        <v>6073</v>
      </c>
      <c r="B2689" t="s">
        <v>26908</v>
      </c>
      <c r="C2689" t="s">
        <v>20486</v>
      </c>
      <c r="D2689" t="s">
        <v>22</v>
      </c>
      <c r="E2689" t="s">
        <v>6074</v>
      </c>
      <c r="F2689">
        <v>44</v>
      </c>
      <c r="G2689" t="s">
        <v>31</v>
      </c>
      <c r="H2689" t="s">
        <v>31</v>
      </c>
    </row>
    <row r="2690" spans="1:10" x14ac:dyDescent="0.3">
      <c r="A2690" t="s">
        <v>6075</v>
      </c>
      <c r="B2690" t="s">
        <v>26909</v>
      </c>
      <c r="C2690" t="s">
        <v>20488</v>
      </c>
      <c r="D2690" t="s">
        <v>11</v>
      </c>
      <c r="E2690" t="s">
        <v>6076</v>
      </c>
      <c r="F2690">
        <v>58</v>
      </c>
      <c r="G2690" t="s">
        <v>46</v>
      </c>
      <c r="H2690" t="s">
        <v>46</v>
      </c>
    </row>
    <row r="2691" spans="1:10" x14ac:dyDescent="0.3">
      <c r="A2691" t="s">
        <v>6077</v>
      </c>
      <c r="B2691" t="s">
        <v>26910</v>
      </c>
      <c r="C2691" t="s">
        <v>20488</v>
      </c>
      <c r="D2691" t="s">
        <v>22</v>
      </c>
      <c r="E2691" t="s">
        <v>6078</v>
      </c>
      <c r="F2691">
        <v>27</v>
      </c>
      <c r="G2691" t="s">
        <v>337</v>
      </c>
      <c r="H2691" t="s">
        <v>337</v>
      </c>
    </row>
    <row r="2692" spans="1:10" x14ac:dyDescent="0.3">
      <c r="A2692" t="s">
        <v>12417</v>
      </c>
      <c r="B2692" t="s">
        <v>26911</v>
      </c>
      <c r="C2692" t="s">
        <v>20488</v>
      </c>
      <c r="D2692" t="s">
        <v>11</v>
      </c>
      <c r="E2692" t="s">
        <v>9642</v>
      </c>
      <c r="F2692">
        <v>24</v>
      </c>
      <c r="G2692" t="s">
        <v>337</v>
      </c>
      <c r="H2692" t="s">
        <v>337</v>
      </c>
    </row>
    <row r="2693" spans="1:10" x14ac:dyDescent="0.3">
      <c r="A2693" t="s">
        <v>6079</v>
      </c>
      <c r="B2693" t="s">
        <v>26912</v>
      </c>
      <c r="C2693" t="s">
        <v>20488</v>
      </c>
      <c r="D2693" t="s">
        <v>11</v>
      </c>
      <c r="E2693" t="s">
        <v>6080</v>
      </c>
      <c r="F2693">
        <v>22</v>
      </c>
      <c r="G2693" t="s">
        <v>337</v>
      </c>
      <c r="H2693" t="s">
        <v>337</v>
      </c>
    </row>
    <row r="2694" spans="1:10" x14ac:dyDescent="0.3">
      <c r="A2694" t="s">
        <v>6081</v>
      </c>
      <c r="B2694" t="s">
        <v>26913</v>
      </c>
      <c r="C2694" t="s">
        <v>20486</v>
      </c>
      <c r="D2694" t="s">
        <v>22</v>
      </c>
      <c r="E2694" t="s">
        <v>6082</v>
      </c>
      <c r="F2694">
        <v>51</v>
      </c>
      <c r="G2694" t="s">
        <v>172</v>
      </c>
      <c r="H2694" t="s">
        <v>12099</v>
      </c>
      <c r="I2694" t="s">
        <v>17</v>
      </c>
      <c r="J2694" t="s">
        <v>6003</v>
      </c>
    </row>
    <row r="2695" spans="1:10" x14ac:dyDescent="0.3">
      <c r="A2695" t="s">
        <v>6083</v>
      </c>
      <c r="B2695" t="s">
        <v>26914</v>
      </c>
      <c r="C2695" t="s">
        <v>20486</v>
      </c>
      <c r="D2695" t="s">
        <v>22</v>
      </c>
      <c r="E2695" t="s">
        <v>6084</v>
      </c>
      <c r="F2695">
        <v>67</v>
      </c>
      <c r="G2695" t="s">
        <v>172</v>
      </c>
      <c r="H2695" t="s">
        <v>12099</v>
      </c>
      <c r="I2695" t="s">
        <v>17</v>
      </c>
      <c r="J2695" t="s">
        <v>6085</v>
      </c>
    </row>
    <row r="2696" spans="1:10" x14ac:dyDescent="0.3">
      <c r="A2696" t="s">
        <v>6086</v>
      </c>
      <c r="B2696" t="s">
        <v>26915</v>
      </c>
      <c r="C2696" t="s">
        <v>20486</v>
      </c>
      <c r="D2696" t="s">
        <v>22</v>
      </c>
      <c r="E2696" t="s">
        <v>6087</v>
      </c>
      <c r="F2696">
        <v>66</v>
      </c>
      <c r="G2696" t="s">
        <v>172</v>
      </c>
      <c r="H2696" t="s">
        <v>12099</v>
      </c>
      <c r="J2696" t="s">
        <v>2227</v>
      </c>
    </row>
    <row r="2697" spans="1:10" x14ac:dyDescent="0.3">
      <c r="A2697" t="s">
        <v>6088</v>
      </c>
      <c r="B2697" t="s">
        <v>26916</v>
      </c>
      <c r="C2697" t="s">
        <v>20489</v>
      </c>
      <c r="D2697" t="s">
        <v>22</v>
      </c>
      <c r="E2697" t="s">
        <v>6089</v>
      </c>
      <c r="F2697">
        <v>53</v>
      </c>
      <c r="G2697" t="s">
        <v>46</v>
      </c>
      <c r="H2697" t="s">
        <v>46</v>
      </c>
      <c r="I2697" t="s">
        <v>12418</v>
      </c>
      <c r="J2697" t="s">
        <v>6090</v>
      </c>
    </row>
    <row r="2698" spans="1:10" x14ac:dyDescent="0.3">
      <c r="A2698" t="s">
        <v>12419</v>
      </c>
      <c r="B2698" t="s">
        <v>26917</v>
      </c>
      <c r="C2698" t="s">
        <v>20489</v>
      </c>
      <c r="D2698" t="s">
        <v>22</v>
      </c>
      <c r="E2698" t="s">
        <v>9641</v>
      </c>
      <c r="F2698">
        <v>21</v>
      </c>
      <c r="G2698" t="s">
        <v>337</v>
      </c>
      <c r="H2698" t="s">
        <v>337</v>
      </c>
    </row>
    <row r="2699" spans="1:10" x14ac:dyDescent="0.3">
      <c r="A2699" t="s">
        <v>12420</v>
      </c>
      <c r="B2699" t="s">
        <v>26918</v>
      </c>
      <c r="C2699" t="s">
        <v>20489</v>
      </c>
      <c r="D2699" t="s">
        <v>11</v>
      </c>
      <c r="E2699" t="s">
        <v>9640</v>
      </c>
      <c r="F2699">
        <v>20</v>
      </c>
      <c r="G2699" t="s">
        <v>243</v>
      </c>
      <c r="H2699" t="s">
        <v>243</v>
      </c>
    </row>
    <row r="2700" spans="1:10" x14ac:dyDescent="0.3">
      <c r="A2700" t="s">
        <v>6091</v>
      </c>
      <c r="B2700" t="s">
        <v>26919</v>
      </c>
      <c r="C2700" t="s">
        <v>20488</v>
      </c>
      <c r="D2700" t="s">
        <v>22</v>
      </c>
      <c r="E2700" t="s">
        <v>6092</v>
      </c>
      <c r="F2700">
        <v>46</v>
      </c>
      <c r="G2700" t="s">
        <v>109</v>
      </c>
      <c r="H2700" t="s">
        <v>9788</v>
      </c>
      <c r="I2700" t="s">
        <v>481</v>
      </c>
      <c r="J2700" t="s">
        <v>5625</v>
      </c>
    </row>
    <row r="2701" spans="1:10" x14ac:dyDescent="0.3">
      <c r="A2701" t="s">
        <v>6093</v>
      </c>
      <c r="B2701" t="s">
        <v>26920</v>
      </c>
      <c r="C2701" t="s">
        <v>20488</v>
      </c>
      <c r="D2701" t="s">
        <v>22</v>
      </c>
      <c r="E2701" t="s">
        <v>6094</v>
      </c>
      <c r="F2701">
        <v>40</v>
      </c>
      <c r="G2701" t="s">
        <v>109</v>
      </c>
      <c r="H2701" t="s">
        <v>9788</v>
      </c>
      <c r="I2701" t="s">
        <v>481</v>
      </c>
      <c r="J2701" t="s">
        <v>5625</v>
      </c>
    </row>
    <row r="2702" spans="1:10" x14ac:dyDescent="0.3">
      <c r="A2702" t="s">
        <v>6095</v>
      </c>
      <c r="B2702" t="s">
        <v>26921</v>
      </c>
      <c r="C2702" t="s">
        <v>20487</v>
      </c>
      <c r="D2702" t="s">
        <v>11</v>
      </c>
      <c r="E2702" t="s">
        <v>6096</v>
      </c>
      <c r="F2702">
        <v>42</v>
      </c>
      <c r="G2702" t="s">
        <v>109</v>
      </c>
      <c r="H2702" t="s">
        <v>9788</v>
      </c>
    </row>
    <row r="2703" spans="1:10" x14ac:dyDescent="0.3">
      <c r="A2703" t="s">
        <v>6097</v>
      </c>
      <c r="B2703" t="s">
        <v>26922</v>
      </c>
      <c r="C2703" t="s">
        <v>20486</v>
      </c>
      <c r="D2703" t="s">
        <v>11</v>
      </c>
      <c r="E2703" t="s">
        <v>6098</v>
      </c>
      <c r="F2703">
        <v>82</v>
      </c>
      <c r="G2703" t="s">
        <v>5098</v>
      </c>
      <c r="H2703" t="s">
        <v>9785</v>
      </c>
      <c r="I2703" t="s">
        <v>17</v>
      </c>
      <c r="J2703" t="s">
        <v>6099</v>
      </c>
    </row>
    <row r="2704" spans="1:10" x14ac:dyDescent="0.3">
      <c r="A2704" t="s">
        <v>6100</v>
      </c>
      <c r="B2704" t="s">
        <v>26923</v>
      </c>
      <c r="C2704" t="s">
        <v>20487</v>
      </c>
      <c r="D2704" t="s">
        <v>22</v>
      </c>
      <c r="E2704" t="s">
        <v>6101</v>
      </c>
      <c r="F2704">
        <v>45</v>
      </c>
      <c r="G2704" t="s">
        <v>46</v>
      </c>
      <c r="H2704" t="s">
        <v>46</v>
      </c>
    </row>
    <row r="2705" spans="1:10" x14ac:dyDescent="0.3">
      <c r="A2705" t="s">
        <v>6102</v>
      </c>
      <c r="B2705" t="s">
        <v>26924</v>
      </c>
      <c r="C2705" t="s">
        <v>20491</v>
      </c>
      <c r="D2705" t="s">
        <v>11</v>
      </c>
      <c r="E2705" t="s">
        <v>5193</v>
      </c>
      <c r="F2705">
        <v>55</v>
      </c>
      <c r="G2705" t="s">
        <v>133</v>
      </c>
      <c r="H2705" t="s">
        <v>9789</v>
      </c>
      <c r="I2705" t="s">
        <v>1074</v>
      </c>
      <c r="J2705" t="s">
        <v>2520</v>
      </c>
    </row>
    <row r="2706" spans="1:10" x14ac:dyDescent="0.3">
      <c r="A2706" t="s">
        <v>6103</v>
      </c>
      <c r="B2706" t="s">
        <v>26925</v>
      </c>
      <c r="C2706" t="s">
        <v>20486</v>
      </c>
      <c r="D2706" t="s">
        <v>22</v>
      </c>
      <c r="E2706" t="s">
        <v>6104</v>
      </c>
      <c r="F2706">
        <v>30</v>
      </c>
    </row>
    <row r="2707" spans="1:10" x14ac:dyDescent="0.3">
      <c r="A2707" t="s">
        <v>6105</v>
      </c>
      <c r="B2707" t="s">
        <v>26926</v>
      </c>
      <c r="C2707" t="s">
        <v>20489</v>
      </c>
      <c r="D2707" t="s">
        <v>22</v>
      </c>
      <c r="E2707" t="s">
        <v>1941</v>
      </c>
      <c r="F2707">
        <v>46</v>
      </c>
      <c r="G2707" t="s">
        <v>370</v>
      </c>
      <c r="H2707" t="s">
        <v>46</v>
      </c>
      <c r="I2707" t="s">
        <v>1248</v>
      </c>
    </row>
    <row r="2708" spans="1:10" x14ac:dyDescent="0.3">
      <c r="A2708" t="s">
        <v>6106</v>
      </c>
      <c r="B2708" t="s">
        <v>26927</v>
      </c>
      <c r="C2708" t="s">
        <v>20486</v>
      </c>
      <c r="D2708" t="s">
        <v>11</v>
      </c>
      <c r="E2708" t="s">
        <v>18827</v>
      </c>
      <c r="F2708">
        <v>52</v>
      </c>
      <c r="G2708" t="s">
        <v>46</v>
      </c>
      <c r="H2708" t="s">
        <v>46</v>
      </c>
      <c r="I2708" t="s">
        <v>1047</v>
      </c>
      <c r="J2708" t="s">
        <v>18828</v>
      </c>
    </row>
    <row r="2709" spans="1:10" x14ac:dyDescent="0.3">
      <c r="A2709" t="s">
        <v>6108</v>
      </c>
      <c r="B2709" t="s">
        <v>26928</v>
      </c>
      <c r="C2709" t="s">
        <v>20491</v>
      </c>
      <c r="D2709" t="s">
        <v>22</v>
      </c>
      <c r="E2709" t="s">
        <v>6109</v>
      </c>
      <c r="F2709">
        <v>40</v>
      </c>
      <c r="G2709" t="s">
        <v>3043</v>
      </c>
      <c r="H2709" t="s">
        <v>9789</v>
      </c>
    </row>
    <row r="2710" spans="1:10" x14ac:dyDescent="0.3">
      <c r="A2710" t="s">
        <v>6110</v>
      </c>
      <c r="B2710" t="s">
        <v>26929</v>
      </c>
      <c r="C2710" t="s">
        <v>20488</v>
      </c>
      <c r="D2710" t="s">
        <v>22</v>
      </c>
      <c r="E2710" t="s">
        <v>6111</v>
      </c>
      <c r="F2710">
        <v>37</v>
      </c>
      <c r="G2710" t="s">
        <v>109</v>
      </c>
      <c r="H2710" t="s">
        <v>9788</v>
      </c>
      <c r="J2710" t="s">
        <v>6112</v>
      </c>
    </row>
    <row r="2711" spans="1:10" x14ac:dyDescent="0.3">
      <c r="A2711" t="s">
        <v>6113</v>
      </c>
      <c r="B2711" t="s">
        <v>26930</v>
      </c>
      <c r="C2711" t="s">
        <v>20486</v>
      </c>
      <c r="D2711" t="s">
        <v>22</v>
      </c>
      <c r="E2711" t="s">
        <v>6114</v>
      </c>
      <c r="F2711">
        <v>46</v>
      </c>
    </row>
    <row r="2712" spans="1:10" x14ac:dyDescent="0.3">
      <c r="A2712" t="s">
        <v>6115</v>
      </c>
      <c r="B2712" t="s">
        <v>26931</v>
      </c>
      <c r="C2712" t="s">
        <v>20488</v>
      </c>
      <c r="D2712" t="s">
        <v>22</v>
      </c>
      <c r="E2712" t="s">
        <v>6116</v>
      </c>
      <c r="F2712">
        <v>42</v>
      </c>
      <c r="G2712" t="s">
        <v>46</v>
      </c>
      <c r="H2712" t="s">
        <v>46</v>
      </c>
      <c r="I2712" t="s">
        <v>6117</v>
      </c>
    </row>
    <row r="2713" spans="1:10" x14ac:dyDescent="0.3">
      <c r="A2713" t="s">
        <v>12421</v>
      </c>
      <c r="B2713" t="s">
        <v>26932</v>
      </c>
      <c r="C2713" t="s">
        <v>20487</v>
      </c>
      <c r="D2713" t="s">
        <v>22</v>
      </c>
      <c r="E2713" t="s">
        <v>9639</v>
      </c>
      <c r="F2713">
        <v>20</v>
      </c>
    </row>
    <row r="2714" spans="1:10" x14ac:dyDescent="0.3">
      <c r="A2714" t="s">
        <v>6118</v>
      </c>
      <c r="B2714" t="s">
        <v>26933</v>
      </c>
      <c r="C2714" t="s">
        <v>20486</v>
      </c>
      <c r="D2714" t="s">
        <v>22</v>
      </c>
      <c r="E2714" t="s">
        <v>6119</v>
      </c>
      <c r="F2714">
        <v>42</v>
      </c>
      <c r="G2714" t="s">
        <v>31</v>
      </c>
      <c r="H2714" t="s">
        <v>31</v>
      </c>
      <c r="J2714" t="s">
        <v>33</v>
      </c>
    </row>
    <row r="2715" spans="1:10" x14ac:dyDescent="0.3">
      <c r="A2715" t="s">
        <v>6120</v>
      </c>
      <c r="B2715" t="s">
        <v>26934</v>
      </c>
      <c r="C2715" t="s">
        <v>20487</v>
      </c>
      <c r="D2715" t="s">
        <v>11</v>
      </c>
      <c r="E2715" t="s">
        <v>6121</v>
      </c>
      <c r="F2715">
        <v>43</v>
      </c>
      <c r="G2715" t="s">
        <v>109</v>
      </c>
      <c r="H2715" t="s">
        <v>9788</v>
      </c>
    </row>
    <row r="2716" spans="1:10" x14ac:dyDescent="0.3">
      <c r="A2716" t="s">
        <v>6122</v>
      </c>
      <c r="B2716" t="s">
        <v>26935</v>
      </c>
      <c r="C2716" t="s">
        <v>20486</v>
      </c>
      <c r="D2716" t="s">
        <v>22</v>
      </c>
      <c r="E2716" t="s">
        <v>6123</v>
      </c>
      <c r="F2716">
        <v>25</v>
      </c>
      <c r="G2716" t="s">
        <v>172</v>
      </c>
      <c r="H2716" t="s">
        <v>12099</v>
      </c>
      <c r="I2716" t="s">
        <v>17</v>
      </c>
      <c r="J2716" t="s">
        <v>6124</v>
      </c>
    </row>
    <row r="2717" spans="1:10" x14ac:dyDescent="0.3">
      <c r="A2717" t="s">
        <v>6125</v>
      </c>
      <c r="B2717" t="s">
        <v>26936</v>
      </c>
      <c r="C2717" t="s">
        <v>20491</v>
      </c>
      <c r="D2717" t="s">
        <v>22</v>
      </c>
      <c r="E2717" t="s">
        <v>6126</v>
      </c>
      <c r="F2717">
        <v>59</v>
      </c>
      <c r="G2717" t="s">
        <v>31</v>
      </c>
      <c r="H2717" t="s">
        <v>31</v>
      </c>
    </row>
    <row r="2718" spans="1:10" x14ac:dyDescent="0.3">
      <c r="A2718" t="s">
        <v>6127</v>
      </c>
      <c r="B2718" t="s">
        <v>26937</v>
      </c>
      <c r="C2718" t="s">
        <v>20491</v>
      </c>
      <c r="D2718" t="s">
        <v>22</v>
      </c>
      <c r="E2718" t="s">
        <v>6128</v>
      </c>
      <c r="F2718">
        <v>20</v>
      </c>
      <c r="G2718" t="s">
        <v>243</v>
      </c>
      <c r="H2718" t="s">
        <v>243</v>
      </c>
    </row>
    <row r="2719" spans="1:10" x14ac:dyDescent="0.3">
      <c r="A2719" t="s">
        <v>6129</v>
      </c>
      <c r="B2719" t="s">
        <v>26938</v>
      </c>
      <c r="C2719" t="s">
        <v>20490</v>
      </c>
      <c r="D2719" t="s">
        <v>22</v>
      </c>
      <c r="E2719" t="s">
        <v>6130</v>
      </c>
      <c r="F2719">
        <v>46</v>
      </c>
      <c r="G2719" t="s">
        <v>1200</v>
      </c>
      <c r="H2719" t="s">
        <v>9788</v>
      </c>
      <c r="I2719" t="s">
        <v>6131</v>
      </c>
      <c r="J2719" t="s">
        <v>6884</v>
      </c>
    </row>
    <row r="2720" spans="1:10" x14ac:dyDescent="0.3">
      <c r="A2720" t="s">
        <v>12422</v>
      </c>
      <c r="B2720" t="s">
        <v>26939</v>
      </c>
      <c r="C2720" t="s">
        <v>20487</v>
      </c>
      <c r="D2720" t="s">
        <v>22</v>
      </c>
      <c r="E2720" t="s">
        <v>9638</v>
      </c>
      <c r="F2720">
        <v>23</v>
      </c>
      <c r="G2720" t="s">
        <v>337</v>
      </c>
      <c r="H2720" t="s">
        <v>337</v>
      </c>
    </row>
    <row r="2721" spans="1:10" x14ac:dyDescent="0.3">
      <c r="A2721" t="s">
        <v>6133</v>
      </c>
      <c r="B2721" t="s">
        <v>26940</v>
      </c>
      <c r="C2721" t="s">
        <v>20486</v>
      </c>
      <c r="D2721" t="s">
        <v>22</v>
      </c>
      <c r="E2721" t="s">
        <v>6134</v>
      </c>
      <c r="F2721">
        <v>53</v>
      </c>
      <c r="G2721" t="s">
        <v>31</v>
      </c>
      <c r="H2721" t="s">
        <v>31</v>
      </c>
      <c r="J2721" t="s">
        <v>33</v>
      </c>
    </row>
    <row r="2722" spans="1:10" x14ac:dyDescent="0.3">
      <c r="A2722" t="s">
        <v>6135</v>
      </c>
      <c r="B2722" t="s">
        <v>26941</v>
      </c>
      <c r="C2722" t="s">
        <v>20486</v>
      </c>
      <c r="D2722" t="s">
        <v>22</v>
      </c>
      <c r="E2722" t="s">
        <v>6136</v>
      </c>
      <c r="F2722">
        <v>30</v>
      </c>
      <c r="G2722" t="s">
        <v>31</v>
      </c>
      <c r="H2722" t="s">
        <v>9789</v>
      </c>
      <c r="I2722" t="s">
        <v>6137</v>
      </c>
      <c r="J2722" t="s">
        <v>3511</v>
      </c>
    </row>
    <row r="2723" spans="1:10" x14ac:dyDescent="0.3">
      <c r="A2723" t="s">
        <v>6138</v>
      </c>
      <c r="B2723" t="s">
        <v>26942</v>
      </c>
      <c r="C2723" t="s">
        <v>20486</v>
      </c>
      <c r="D2723" t="s">
        <v>22</v>
      </c>
      <c r="E2723" t="s">
        <v>6139</v>
      </c>
      <c r="F2723">
        <v>56</v>
      </c>
      <c r="G2723" t="s">
        <v>46</v>
      </c>
      <c r="H2723" t="s">
        <v>46</v>
      </c>
      <c r="I2723" t="s">
        <v>4238</v>
      </c>
      <c r="J2723" t="s">
        <v>6140</v>
      </c>
    </row>
    <row r="2724" spans="1:10" x14ac:dyDescent="0.3">
      <c r="A2724" t="s">
        <v>6141</v>
      </c>
      <c r="B2724" t="s">
        <v>26943</v>
      </c>
      <c r="C2724" t="s">
        <v>20486</v>
      </c>
      <c r="D2724" t="s">
        <v>11</v>
      </c>
      <c r="E2724" t="s">
        <v>6142</v>
      </c>
      <c r="F2724">
        <v>28</v>
      </c>
      <c r="G2724" t="s">
        <v>1200</v>
      </c>
      <c r="H2724" t="s">
        <v>9788</v>
      </c>
      <c r="I2724" t="s">
        <v>421</v>
      </c>
      <c r="J2724" t="s">
        <v>6143</v>
      </c>
    </row>
    <row r="2725" spans="1:10" x14ac:dyDescent="0.3">
      <c r="A2725" t="s">
        <v>6144</v>
      </c>
      <c r="B2725" t="s">
        <v>26944</v>
      </c>
      <c r="C2725" t="s">
        <v>20486</v>
      </c>
      <c r="D2725" t="s">
        <v>11</v>
      </c>
      <c r="E2725" t="s">
        <v>4934</v>
      </c>
      <c r="F2725">
        <v>54</v>
      </c>
      <c r="G2725" t="s">
        <v>4685</v>
      </c>
      <c r="H2725" t="s">
        <v>12099</v>
      </c>
    </row>
    <row r="2726" spans="1:10" x14ac:dyDescent="0.3">
      <c r="A2726" t="s">
        <v>6145</v>
      </c>
      <c r="B2726" t="s">
        <v>26945</v>
      </c>
      <c r="C2726" t="s">
        <v>20486</v>
      </c>
      <c r="D2726" t="s">
        <v>22</v>
      </c>
      <c r="E2726" t="s">
        <v>6146</v>
      </c>
      <c r="F2726">
        <v>35</v>
      </c>
      <c r="G2726" t="s">
        <v>46</v>
      </c>
      <c r="H2726" t="s">
        <v>46</v>
      </c>
      <c r="I2726" t="s">
        <v>6147</v>
      </c>
    </row>
    <row r="2727" spans="1:10" x14ac:dyDescent="0.3">
      <c r="A2727" t="s">
        <v>6148</v>
      </c>
      <c r="B2727" t="s">
        <v>26946</v>
      </c>
      <c r="C2727" t="s">
        <v>20486</v>
      </c>
      <c r="D2727" t="s">
        <v>22</v>
      </c>
      <c r="E2727" t="s">
        <v>665</v>
      </c>
      <c r="F2727">
        <v>55</v>
      </c>
      <c r="G2727" t="s">
        <v>109</v>
      </c>
      <c r="H2727" t="s">
        <v>9788</v>
      </c>
      <c r="I2727" t="s">
        <v>6149</v>
      </c>
      <c r="J2727" t="s">
        <v>6150</v>
      </c>
    </row>
    <row r="2728" spans="1:10" x14ac:dyDescent="0.3">
      <c r="A2728" t="s">
        <v>6151</v>
      </c>
      <c r="B2728" t="s">
        <v>26947</v>
      </c>
      <c r="C2728" t="s">
        <v>20488</v>
      </c>
      <c r="D2728" t="s">
        <v>22</v>
      </c>
      <c r="E2728" t="s">
        <v>6152</v>
      </c>
      <c r="F2728">
        <v>25</v>
      </c>
      <c r="G2728" t="s">
        <v>109</v>
      </c>
      <c r="H2728" t="s">
        <v>9788</v>
      </c>
      <c r="I2728" t="s">
        <v>1074</v>
      </c>
      <c r="J2728" t="s">
        <v>6153</v>
      </c>
    </row>
    <row r="2729" spans="1:10" x14ac:dyDescent="0.3">
      <c r="A2729" t="s">
        <v>6154</v>
      </c>
      <c r="B2729" t="s">
        <v>26948</v>
      </c>
      <c r="C2729" t="s">
        <v>20490</v>
      </c>
      <c r="D2729" t="s">
        <v>22</v>
      </c>
      <c r="E2729" t="s">
        <v>6155</v>
      </c>
      <c r="F2729">
        <v>43</v>
      </c>
      <c r="G2729" t="s">
        <v>243</v>
      </c>
      <c r="H2729" t="s">
        <v>243</v>
      </c>
    </row>
    <row r="2730" spans="1:10" x14ac:dyDescent="0.3">
      <c r="A2730" t="s">
        <v>6156</v>
      </c>
      <c r="B2730" t="s">
        <v>26949</v>
      </c>
      <c r="C2730" t="s">
        <v>20486</v>
      </c>
      <c r="D2730" t="s">
        <v>11</v>
      </c>
      <c r="E2730" t="s">
        <v>6157</v>
      </c>
      <c r="F2730">
        <v>79</v>
      </c>
      <c r="G2730" t="s">
        <v>46</v>
      </c>
      <c r="H2730" t="s">
        <v>46</v>
      </c>
      <c r="I2730" t="s">
        <v>139</v>
      </c>
      <c r="J2730" t="s">
        <v>340</v>
      </c>
    </row>
    <row r="2731" spans="1:10" x14ac:dyDescent="0.3">
      <c r="A2731" t="s">
        <v>6158</v>
      </c>
      <c r="B2731" t="s">
        <v>26950</v>
      </c>
      <c r="C2731" t="s">
        <v>20487</v>
      </c>
      <c r="D2731" t="s">
        <v>22</v>
      </c>
      <c r="E2731" t="s">
        <v>6159</v>
      </c>
      <c r="F2731">
        <v>42</v>
      </c>
      <c r="G2731" t="s">
        <v>109</v>
      </c>
      <c r="H2731" t="s">
        <v>9788</v>
      </c>
      <c r="J2731" t="s">
        <v>2997</v>
      </c>
    </row>
    <row r="2732" spans="1:10" x14ac:dyDescent="0.3">
      <c r="A2732" t="s">
        <v>6160</v>
      </c>
      <c r="B2732" t="s">
        <v>26951</v>
      </c>
      <c r="C2732" t="s">
        <v>20486</v>
      </c>
      <c r="D2732" t="s">
        <v>22</v>
      </c>
      <c r="E2732" t="s">
        <v>6161</v>
      </c>
      <c r="F2732">
        <v>59</v>
      </c>
      <c r="G2732" t="s">
        <v>370</v>
      </c>
      <c r="H2732" t="s">
        <v>46</v>
      </c>
      <c r="I2732" t="s">
        <v>3091</v>
      </c>
      <c r="J2732" t="s">
        <v>6162</v>
      </c>
    </row>
    <row r="2733" spans="1:10" x14ac:dyDescent="0.3">
      <c r="A2733" t="s">
        <v>12423</v>
      </c>
      <c r="B2733" t="s">
        <v>26952</v>
      </c>
      <c r="C2733" t="s">
        <v>20487</v>
      </c>
      <c r="D2733" t="s">
        <v>11</v>
      </c>
      <c r="E2733" t="s">
        <v>12424</v>
      </c>
      <c r="F2733">
        <v>47</v>
      </c>
    </row>
    <row r="2734" spans="1:10" x14ac:dyDescent="0.3">
      <c r="A2734" t="s">
        <v>6163</v>
      </c>
      <c r="B2734" t="s">
        <v>26953</v>
      </c>
      <c r="C2734" t="s">
        <v>20486</v>
      </c>
      <c r="D2734" t="s">
        <v>11</v>
      </c>
      <c r="E2734" t="s">
        <v>6164</v>
      </c>
      <c r="F2734">
        <v>37</v>
      </c>
      <c r="G2734" t="s">
        <v>109</v>
      </c>
      <c r="H2734" t="s">
        <v>9788</v>
      </c>
      <c r="I2734" t="s">
        <v>6165</v>
      </c>
      <c r="J2734" t="s">
        <v>225</v>
      </c>
    </row>
    <row r="2735" spans="1:10" x14ac:dyDescent="0.3">
      <c r="A2735" t="s">
        <v>6166</v>
      </c>
      <c r="B2735" t="s">
        <v>26954</v>
      </c>
      <c r="C2735" t="s">
        <v>20486</v>
      </c>
      <c r="D2735" t="s">
        <v>11</v>
      </c>
      <c r="E2735" t="s">
        <v>5670</v>
      </c>
      <c r="F2735">
        <v>53</v>
      </c>
      <c r="G2735" t="s">
        <v>133</v>
      </c>
      <c r="H2735" t="s">
        <v>9789</v>
      </c>
      <c r="I2735" t="s">
        <v>135</v>
      </c>
    </row>
    <row r="2736" spans="1:10" x14ac:dyDescent="0.3">
      <c r="A2736" t="s">
        <v>6167</v>
      </c>
      <c r="B2736" t="s">
        <v>26955</v>
      </c>
      <c r="C2736" t="s">
        <v>20486</v>
      </c>
      <c r="D2736" t="s">
        <v>22</v>
      </c>
      <c r="E2736" t="s">
        <v>2185</v>
      </c>
      <c r="F2736">
        <v>54</v>
      </c>
      <c r="G2736" t="s">
        <v>109</v>
      </c>
      <c r="H2736" t="s">
        <v>9788</v>
      </c>
      <c r="I2736" t="s">
        <v>4468</v>
      </c>
      <c r="J2736" t="s">
        <v>6168</v>
      </c>
    </row>
    <row r="2737" spans="1:10" x14ac:dyDescent="0.3">
      <c r="A2737" t="s">
        <v>6169</v>
      </c>
      <c r="B2737" t="s">
        <v>26956</v>
      </c>
      <c r="C2737" t="s">
        <v>20487</v>
      </c>
      <c r="D2737" t="s">
        <v>22</v>
      </c>
      <c r="E2737" t="s">
        <v>1115</v>
      </c>
      <c r="F2737">
        <v>61</v>
      </c>
      <c r="G2737" t="s">
        <v>193</v>
      </c>
      <c r="H2737" t="s">
        <v>243</v>
      </c>
    </row>
    <row r="2738" spans="1:10" x14ac:dyDescent="0.3">
      <c r="A2738" t="s">
        <v>6170</v>
      </c>
      <c r="B2738" t="s">
        <v>26957</v>
      </c>
      <c r="C2738" t="s">
        <v>20487</v>
      </c>
      <c r="D2738" t="s">
        <v>22</v>
      </c>
      <c r="E2738" t="s">
        <v>5867</v>
      </c>
      <c r="F2738">
        <v>60</v>
      </c>
      <c r="G2738" t="s">
        <v>31</v>
      </c>
      <c r="H2738" t="s">
        <v>31</v>
      </c>
    </row>
    <row r="2739" spans="1:10" x14ac:dyDescent="0.3">
      <c r="A2739" t="s">
        <v>6171</v>
      </c>
      <c r="B2739" t="s">
        <v>26958</v>
      </c>
      <c r="C2739" t="s">
        <v>20488</v>
      </c>
      <c r="D2739" t="s">
        <v>22</v>
      </c>
      <c r="E2739" t="s">
        <v>6172</v>
      </c>
      <c r="F2739">
        <v>64</v>
      </c>
      <c r="G2739" t="s">
        <v>31</v>
      </c>
      <c r="H2739" t="s">
        <v>31</v>
      </c>
    </row>
    <row r="2740" spans="1:10" x14ac:dyDescent="0.3">
      <c r="A2740" t="s">
        <v>6173</v>
      </c>
      <c r="B2740" t="s">
        <v>26959</v>
      </c>
      <c r="C2740" t="s">
        <v>20488</v>
      </c>
      <c r="D2740" t="s">
        <v>22</v>
      </c>
      <c r="E2740" t="s">
        <v>6174</v>
      </c>
      <c r="F2740">
        <v>39</v>
      </c>
      <c r="G2740" t="s">
        <v>133</v>
      </c>
      <c r="H2740" t="s">
        <v>9789</v>
      </c>
      <c r="I2740" t="s">
        <v>6175</v>
      </c>
      <c r="J2740" t="s">
        <v>6176</v>
      </c>
    </row>
    <row r="2741" spans="1:10" x14ac:dyDescent="0.3">
      <c r="A2741" t="s">
        <v>6177</v>
      </c>
      <c r="B2741" t="s">
        <v>26960</v>
      </c>
      <c r="C2741" t="s">
        <v>20489</v>
      </c>
      <c r="D2741" t="s">
        <v>22</v>
      </c>
      <c r="E2741" t="s">
        <v>6178</v>
      </c>
      <c r="F2741">
        <v>47</v>
      </c>
      <c r="G2741" t="s">
        <v>109</v>
      </c>
      <c r="H2741" t="s">
        <v>9788</v>
      </c>
      <c r="I2741" t="s">
        <v>6179</v>
      </c>
      <c r="J2741" t="s">
        <v>822</v>
      </c>
    </row>
    <row r="2742" spans="1:10" x14ac:dyDescent="0.3">
      <c r="A2742" t="s">
        <v>6180</v>
      </c>
      <c r="B2742" t="s">
        <v>26961</v>
      </c>
      <c r="C2742" t="s">
        <v>20486</v>
      </c>
      <c r="D2742" t="s">
        <v>11</v>
      </c>
      <c r="E2742" t="s">
        <v>6181</v>
      </c>
      <c r="F2742">
        <v>61</v>
      </c>
      <c r="G2742" t="s">
        <v>46</v>
      </c>
      <c r="H2742" t="s">
        <v>46</v>
      </c>
      <c r="I2742" t="s">
        <v>6182</v>
      </c>
      <c r="J2742" t="s">
        <v>6183</v>
      </c>
    </row>
    <row r="2743" spans="1:10" x14ac:dyDescent="0.3">
      <c r="A2743" t="s">
        <v>6184</v>
      </c>
      <c r="B2743" t="s">
        <v>26962</v>
      </c>
      <c r="C2743" t="s">
        <v>20486</v>
      </c>
      <c r="D2743" t="s">
        <v>22</v>
      </c>
      <c r="E2743" t="s">
        <v>4237</v>
      </c>
      <c r="F2743">
        <v>46</v>
      </c>
      <c r="G2743" t="s">
        <v>31</v>
      </c>
      <c r="H2743" t="s">
        <v>31</v>
      </c>
      <c r="J2743" t="s">
        <v>33</v>
      </c>
    </row>
    <row r="2744" spans="1:10" x14ac:dyDescent="0.3">
      <c r="A2744" t="s">
        <v>6185</v>
      </c>
      <c r="B2744" t="s">
        <v>26963</v>
      </c>
      <c r="C2744" t="s">
        <v>20486</v>
      </c>
      <c r="D2744" t="s">
        <v>22</v>
      </c>
      <c r="E2744" t="s">
        <v>6186</v>
      </c>
      <c r="F2744">
        <v>55</v>
      </c>
      <c r="G2744" t="s">
        <v>31</v>
      </c>
      <c r="H2744" t="s">
        <v>31</v>
      </c>
      <c r="J2744" t="s">
        <v>33</v>
      </c>
    </row>
    <row r="2745" spans="1:10" x14ac:dyDescent="0.3">
      <c r="A2745" t="s">
        <v>6187</v>
      </c>
      <c r="B2745" t="s">
        <v>26964</v>
      </c>
      <c r="C2745" t="s">
        <v>20486</v>
      </c>
      <c r="D2745" t="s">
        <v>22</v>
      </c>
      <c r="E2745" t="s">
        <v>6188</v>
      </c>
      <c r="F2745">
        <v>53</v>
      </c>
      <c r="G2745" t="s">
        <v>31</v>
      </c>
      <c r="H2745" t="s">
        <v>31</v>
      </c>
      <c r="J2745" t="s">
        <v>33</v>
      </c>
    </row>
    <row r="2746" spans="1:10" x14ac:dyDescent="0.3">
      <c r="A2746" t="s">
        <v>6189</v>
      </c>
      <c r="B2746" t="s">
        <v>26965</v>
      </c>
      <c r="C2746" t="s">
        <v>20488</v>
      </c>
      <c r="D2746" t="s">
        <v>22</v>
      </c>
      <c r="E2746" t="s">
        <v>6190</v>
      </c>
      <c r="F2746">
        <v>67</v>
      </c>
      <c r="G2746" t="s">
        <v>213</v>
      </c>
      <c r="H2746" t="s">
        <v>12065</v>
      </c>
      <c r="I2746" t="s">
        <v>825</v>
      </c>
      <c r="J2746" t="s">
        <v>6191</v>
      </c>
    </row>
    <row r="2747" spans="1:10" x14ac:dyDescent="0.3">
      <c r="A2747" t="s">
        <v>6192</v>
      </c>
      <c r="B2747" t="s">
        <v>26966</v>
      </c>
      <c r="C2747" t="s">
        <v>20487</v>
      </c>
      <c r="D2747" t="s">
        <v>22</v>
      </c>
      <c r="E2747" t="s">
        <v>6193</v>
      </c>
      <c r="F2747">
        <v>45</v>
      </c>
      <c r="G2747" t="s">
        <v>88</v>
      </c>
      <c r="H2747" t="s">
        <v>12065</v>
      </c>
    </row>
    <row r="2748" spans="1:10" x14ac:dyDescent="0.3">
      <c r="A2748" t="s">
        <v>6194</v>
      </c>
      <c r="B2748" t="s">
        <v>26967</v>
      </c>
      <c r="C2748" t="s">
        <v>20486</v>
      </c>
      <c r="D2748" t="s">
        <v>22</v>
      </c>
      <c r="E2748" t="s">
        <v>6195</v>
      </c>
      <c r="F2748">
        <v>45</v>
      </c>
      <c r="G2748" t="s">
        <v>16</v>
      </c>
      <c r="H2748" t="s">
        <v>9788</v>
      </c>
      <c r="I2748" t="s">
        <v>17</v>
      </c>
      <c r="J2748" t="s">
        <v>6196</v>
      </c>
    </row>
    <row r="2749" spans="1:10" x14ac:dyDescent="0.3">
      <c r="A2749" t="s">
        <v>6197</v>
      </c>
      <c r="B2749" t="s">
        <v>26968</v>
      </c>
      <c r="C2749" t="s">
        <v>20486</v>
      </c>
      <c r="D2749" t="s">
        <v>22</v>
      </c>
      <c r="E2749" t="s">
        <v>6198</v>
      </c>
      <c r="F2749">
        <v>41</v>
      </c>
      <c r="G2749" t="s">
        <v>16</v>
      </c>
      <c r="H2749" t="s">
        <v>9785</v>
      </c>
      <c r="I2749" t="s">
        <v>17</v>
      </c>
      <c r="J2749" t="s">
        <v>6199</v>
      </c>
    </row>
    <row r="2750" spans="1:10" x14ac:dyDescent="0.3">
      <c r="A2750" t="s">
        <v>6200</v>
      </c>
      <c r="B2750" t="s">
        <v>26969</v>
      </c>
      <c r="C2750" t="s">
        <v>20491</v>
      </c>
      <c r="D2750" t="s">
        <v>11</v>
      </c>
      <c r="E2750" t="s">
        <v>6201</v>
      </c>
      <c r="F2750">
        <v>72</v>
      </c>
      <c r="G2750" t="s">
        <v>201</v>
      </c>
      <c r="H2750" t="s">
        <v>46</v>
      </c>
      <c r="J2750" t="s">
        <v>149</v>
      </c>
    </row>
    <row r="2751" spans="1:10" x14ac:dyDescent="0.3">
      <c r="A2751" t="s">
        <v>6202</v>
      </c>
      <c r="B2751" t="s">
        <v>26970</v>
      </c>
      <c r="C2751" t="s">
        <v>20489</v>
      </c>
      <c r="D2751" t="s">
        <v>11</v>
      </c>
      <c r="E2751" t="s">
        <v>6203</v>
      </c>
      <c r="F2751">
        <v>46</v>
      </c>
      <c r="G2751" t="s">
        <v>4481</v>
      </c>
      <c r="H2751" t="s">
        <v>12099</v>
      </c>
      <c r="I2751" t="s">
        <v>6204</v>
      </c>
      <c r="J2751" t="s">
        <v>6204</v>
      </c>
    </row>
    <row r="2752" spans="1:10" x14ac:dyDescent="0.3">
      <c r="A2752" t="s">
        <v>6205</v>
      </c>
      <c r="B2752" t="s">
        <v>26971</v>
      </c>
      <c r="C2752" t="s">
        <v>20489</v>
      </c>
      <c r="D2752" t="s">
        <v>22</v>
      </c>
      <c r="E2752" t="s">
        <v>6206</v>
      </c>
      <c r="F2752">
        <v>46</v>
      </c>
      <c r="G2752" t="s">
        <v>4481</v>
      </c>
      <c r="H2752" t="s">
        <v>12099</v>
      </c>
      <c r="I2752" t="s">
        <v>4482</v>
      </c>
      <c r="J2752" t="s">
        <v>12425</v>
      </c>
    </row>
    <row r="2753" spans="1:10" x14ac:dyDescent="0.3">
      <c r="A2753" t="s">
        <v>6207</v>
      </c>
      <c r="B2753" t="s">
        <v>26972</v>
      </c>
      <c r="C2753" t="s">
        <v>20489</v>
      </c>
      <c r="D2753" t="s">
        <v>11</v>
      </c>
      <c r="E2753" t="s">
        <v>6208</v>
      </c>
      <c r="F2753">
        <v>26</v>
      </c>
      <c r="G2753" t="s">
        <v>337</v>
      </c>
      <c r="H2753" t="s">
        <v>337</v>
      </c>
    </row>
    <row r="2754" spans="1:10" x14ac:dyDescent="0.3">
      <c r="A2754" t="s">
        <v>6209</v>
      </c>
      <c r="B2754" t="s">
        <v>26973</v>
      </c>
      <c r="C2754" t="s">
        <v>20486</v>
      </c>
      <c r="D2754" t="s">
        <v>22</v>
      </c>
      <c r="E2754" t="s">
        <v>6210</v>
      </c>
      <c r="F2754">
        <v>56</v>
      </c>
      <c r="G2754" t="s">
        <v>31</v>
      </c>
      <c r="H2754" t="s">
        <v>31</v>
      </c>
      <c r="J2754" t="s">
        <v>33</v>
      </c>
    </row>
    <row r="2755" spans="1:10" x14ac:dyDescent="0.3">
      <c r="A2755" t="s">
        <v>6211</v>
      </c>
      <c r="B2755" t="s">
        <v>26974</v>
      </c>
      <c r="C2755" t="s">
        <v>20489</v>
      </c>
      <c r="D2755" t="s">
        <v>22</v>
      </c>
      <c r="E2755" t="s">
        <v>6212</v>
      </c>
      <c r="F2755">
        <v>53</v>
      </c>
      <c r="G2755" t="s">
        <v>31</v>
      </c>
      <c r="H2755" t="s">
        <v>31</v>
      </c>
    </row>
    <row r="2756" spans="1:10" x14ac:dyDescent="0.3">
      <c r="A2756" t="s">
        <v>6213</v>
      </c>
      <c r="B2756" t="s">
        <v>26975</v>
      </c>
      <c r="C2756" t="s">
        <v>20486</v>
      </c>
      <c r="D2756" t="s">
        <v>22</v>
      </c>
      <c r="E2756" t="s">
        <v>6214</v>
      </c>
      <c r="F2756">
        <v>66</v>
      </c>
      <c r="G2756" t="s">
        <v>531</v>
      </c>
      <c r="H2756" t="s">
        <v>46</v>
      </c>
      <c r="I2756" t="s">
        <v>4289</v>
      </c>
      <c r="J2756" t="s">
        <v>1412</v>
      </c>
    </row>
    <row r="2757" spans="1:10" x14ac:dyDescent="0.3">
      <c r="A2757" t="s">
        <v>6215</v>
      </c>
      <c r="B2757" t="s">
        <v>26976</v>
      </c>
      <c r="C2757" t="s">
        <v>20486</v>
      </c>
      <c r="D2757" t="s">
        <v>11</v>
      </c>
      <c r="E2757" t="s">
        <v>6216</v>
      </c>
      <c r="F2757">
        <v>57</v>
      </c>
      <c r="G2757" t="s">
        <v>46</v>
      </c>
      <c r="H2757" t="s">
        <v>46</v>
      </c>
      <c r="I2757" t="s">
        <v>228</v>
      </c>
      <c r="J2757" t="s">
        <v>6217</v>
      </c>
    </row>
    <row r="2758" spans="1:10" x14ac:dyDescent="0.3">
      <c r="A2758" t="s">
        <v>6218</v>
      </c>
      <c r="B2758" t="s">
        <v>26977</v>
      </c>
      <c r="C2758" t="s">
        <v>20488</v>
      </c>
      <c r="D2758" t="s">
        <v>11</v>
      </c>
      <c r="E2758" t="s">
        <v>6219</v>
      </c>
      <c r="F2758">
        <v>31</v>
      </c>
      <c r="G2758" t="s">
        <v>109</v>
      </c>
      <c r="H2758" t="s">
        <v>9788</v>
      </c>
      <c r="I2758" t="s">
        <v>5870</v>
      </c>
      <c r="J2758" t="s">
        <v>5632</v>
      </c>
    </row>
    <row r="2759" spans="1:10" x14ac:dyDescent="0.3">
      <c r="A2759" t="s">
        <v>6220</v>
      </c>
      <c r="B2759" t="s">
        <v>26978</v>
      </c>
      <c r="C2759" t="s">
        <v>20486</v>
      </c>
      <c r="D2759" t="s">
        <v>22</v>
      </c>
      <c r="E2759" t="s">
        <v>6221</v>
      </c>
      <c r="F2759">
        <v>86</v>
      </c>
      <c r="G2759" t="s">
        <v>155</v>
      </c>
      <c r="H2759" t="s">
        <v>9791</v>
      </c>
      <c r="I2759" t="s">
        <v>5424</v>
      </c>
    </row>
    <row r="2760" spans="1:10" x14ac:dyDescent="0.3">
      <c r="A2760" t="s">
        <v>6222</v>
      </c>
      <c r="B2760" t="s">
        <v>26979</v>
      </c>
      <c r="C2760" t="s">
        <v>20491</v>
      </c>
      <c r="D2760" t="s">
        <v>22</v>
      </c>
      <c r="E2760" t="s">
        <v>6223</v>
      </c>
      <c r="F2760">
        <v>77</v>
      </c>
      <c r="G2760" t="s">
        <v>13</v>
      </c>
      <c r="H2760" t="s">
        <v>13</v>
      </c>
    </row>
    <row r="2761" spans="1:10" x14ac:dyDescent="0.3">
      <c r="A2761" t="s">
        <v>6224</v>
      </c>
      <c r="B2761" t="s">
        <v>26980</v>
      </c>
      <c r="C2761" t="s">
        <v>20491</v>
      </c>
      <c r="D2761" t="s">
        <v>22</v>
      </c>
      <c r="E2761" t="s">
        <v>6225</v>
      </c>
      <c r="F2761">
        <v>43</v>
      </c>
      <c r="G2761" t="s">
        <v>31</v>
      </c>
      <c r="H2761" t="s">
        <v>31</v>
      </c>
    </row>
    <row r="2762" spans="1:10" x14ac:dyDescent="0.3">
      <c r="A2762" t="s">
        <v>6226</v>
      </c>
      <c r="B2762" t="s">
        <v>26981</v>
      </c>
      <c r="C2762" t="s">
        <v>20486</v>
      </c>
      <c r="D2762" t="s">
        <v>22</v>
      </c>
      <c r="E2762" t="s">
        <v>6227</v>
      </c>
      <c r="F2762">
        <v>43</v>
      </c>
      <c r="G2762" t="s">
        <v>31</v>
      </c>
      <c r="H2762" t="s">
        <v>31</v>
      </c>
    </row>
    <row r="2763" spans="1:10" x14ac:dyDescent="0.3">
      <c r="A2763" t="s">
        <v>6228</v>
      </c>
      <c r="B2763" t="s">
        <v>26982</v>
      </c>
      <c r="C2763" t="s">
        <v>20486</v>
      </c>
      <c r="D2763" t="s">
        <v>22</v>
      </c>
      <c r="E2763" t="s">
        <v>6229</v>
      </c>
      <c r="F2763">
        <v>59</v>
      </c>
      <c r="G2763" t="s">
        <v>31</v>
      </c>
      <c r="H2763" t="s">
        <v>31</v>
      </c>
    </row>
    <row r="2764" spans="1:10" x14ac:dyDescent="0.3">
      <c r="A2764" t="s">
        <v>6230</v>
      </c>
      <c r="B2764" t="s">
        <v>26983</v>
      </c>
      <c r="C2764" t="s">
        <v>20486</v>
      </c>
      <c r="D2764" t="s">
        <v>11</v>
      </c>
      <c r="E2764" t="s">
        <v>470</v>
      </c>
      <c r="F2764">
        <v>60</v>
      </c>
      <c r="G2764" t="s">
        <v>46</v>
      </c>
      <c r="H2764" t="s">
        <v>46</v>
      </c>
    </row>
    <row r="2765" spans="1:10" x14ac:dyDescent="0.3">
      <c r="A2765" t="s">
        <v>6231</v>
      </c>
      <c r="B2765" t="s">
        <v>26984</v>
      </c>
      <c r="C2765" t="s">
        <v>20487</v>
      </c>
      <c r="D2765" t="s">
        <v>11</v>
      </c>
      <c r="E2765" t="s">
        <v>6232</v>
      </c>
      <c r="F2765">
        <v>32</v>
      </c>
      <c r="G2765" t="s">
        <v>46</v>
      </c>
      <c r="H2765" t="s">
        <v>9788</v>
      </c>
      <c r="J2765" t="s">
        <v>6233</v>
      </c>
    </row>
    <row r="2766" spans="1:10" x14ac:dyDescent="0.3">
      <c r="A2766" t="s">
        <v>6234</v>
      </c>
      <c r="B2766" t="s">
        <v>26985</v>
      </c>
      <c r="C2766" t="s">
        <v>20486</v>
      </c>
      <c r="D2766" t="s">
        <v>11</v>
      </c>
      <c r="E2766" t="s">
        <v>6235</v>
      </c>
      <c r="F2766">
        <v>31</v>
      </c>
      <c r="G2766" t="s">
        <v>384</v>
      </c>
    </row>
    <row r="2767" spans="1:10" x14ac:dyDescent="0.3">
      <c r="A2767" t="s">
        <v>6236</v>
      </c>
      <c r="B2767" t="s">
        <v>26986</v>
      </c>
      <c r="C2767" t="s">
        <v>20488</v>
      </c>
      <c r="D2767" t="s">
        <v>11</v>
      </c>
      <c r="E2767" t="s">
        <v>6237</v>
      </c>
      <c r="F2767">
        <v>36</v>
      </c>
      <c r="G2767" t="s">
        <v>109</v>
      </c>
      <c r="H2767" t="s">
        <v>9788</v>
      </c>
    </row>
    <row r="2768" spans="1:10" x14ac:dyDescent="0.3">
      <c r="A2768" t="s">
        <v>6238</v>
      </c>
      <c r="B2768" t="s">
        <v>26987</v>
      </c>
      <c r="C2768" t="s">
        <v>20486</v>
      </c>
      <c r="D2768" t="s">
        <v>22</v>
      </c>
      <c r="E2768" t="s">
        <v>6239</v>
      </c>
      <c r="F2768">
        <v>48</v>
      </c>
      <c r="G2768" t="s">
        <v>16</v>
      </c>
      <c r="H2768" t="s">
        <v>9785</v>
      </c>
      <c r="I2768" t="s">
        <v>17</v>
      </c>
      <c r="J2768" t="s">
        <v>6240</v>
      </c>
    </row>
    <row r="2769" spans="1:10" x14ac:dyDescent="0.3">
      <c r="A2769" t="s">
        <v>6241</v>
      </c>
      <c r="B2769" t="s">
        <v>26988</v>
      </c>
      <c r="C2769" t="s">
        <v>20486</v>
      </c>
      <c r="D2769" t="s">
        <v>11</v>
      </c>
      <c r="E2769" t="s">
        <v>6242</v>
      </c>
      <c r="F2769">
        <v>28</v>
      </c>
    </row>
    <row r="2770" spans="1:10" x14ac:dyDescent="0.3">
      <c r="A2770" t="s">
        <v>6243</v>
      </c>
      <c r="B2770" t="s">
        <v>26989</v>
      </c>
      <c r="C2770" t="s">
        <v>20488</v>
      </c>
      <c r="D2770" t="s">
        <v>11</v>
      </c>
      <c r="E2770" t="s">
        <v>6244</v>
      </c>
      <c r="F2770">
        <v>52</v>
      </c>
      <c r="G2770" t="s">
        <v>109</v>
      </c>
      <c r="H2770" t="s">
        <v>9788</v>
      </c>
    </row>
    <row r="2771" spans="1:10" x14ac:dyDescent="0.3">
      <c r="A2771" t="s">
        <v>6247</v>
      </c>
      <c r="B2771" t="s">
        <v>26990</v>
      </c>
      <c r="C2771" t="s">
        <v>20486</v>
      </c>
      <c r="D2771" t="s">
        <v>22</v>
      </c>
      <c r="E2771" t="s">
        <v>6248</v>
      </c>
      <c r="F2771">
        <v>61</v>
      </c>
      <c r="G2771" t="s">
        <v>16</v>
      </c>
      <c r="H2771" t="s">
        <v>9785</v>
      </c>
      <c r="I2771" t="s">
        <v>17</v>
      </c>
      <c r="J2771" t="s">
        <v>4882</v>
      </c>
    </row>
    <row r="2772" spans="1:10" x14ac:dyDescent="0.3">
      <c r="A2772" t="s">
        <v>6249</v>
      </c>
      <c r="B2772" t="s">
        <v>26991</v>
      </c>
      <c r="C2772" t="s">
        <v>20486</v>
      </c>
      <c r="D2772" t="s">
        <v>22</v>
      </c>
      <c r="E2772" t="s">
        <v>2846</v>
      </c>
      <c r="F2772">
        <v>54</v>
      </c>
      <c r="G2772" t="s">
        <v>133</v>
      </c>
      <c r="H2772" t="s">
        <v>9789</v>
      </c>
      <c r="I2772" t="s">
        <v>85</v>
      </c>
      <c r="J2772" t="s">
        <v>225</v>
      </c>
    </row>
    <row r="2773" spans="1:10" x14ac:dyDescent="0.3">
      <c r="A2773" t="s">
        <v>6250</v>
      </c>
      <c r="B2773" t="s">
        <v>26992</v>
      </c>
      <c r="C2773" t="s">
        <v>20486</v>
      </c>
      <c r="D2773" t="s">
        <v>22</v>
      </c>
      <c r="E2773" t="s">
        <v>6251</v>
      </c>
      <c r="F2773">
        <v>59</v>
      </c>
      <c r="G2773" t="s">
        <v>31</v>
      </c>
      <c r="H2773" t="s">
        <v>31</v>
      </c>
    </row>
    <row r="2774" spans="1:10" x14ac:dyDescent="0.3">
      <c r="A2774" t="s">
        <v>6252</v>
      </c>
      <c r="B2774" t="s">
        <v>26993</v>
      </c>
      <c r="C2774" t="s">
        <v>20486</v>
      </c>
      <c r="D2774" t="s">
        <v>22</v>
      </c>
      <c r="E2774" t="s">
        <v>6253</v>
      </c>
      <c r="F2774">
        <v>61</v>
      </c>
      <c r="G2774" t="s">
        <v>109</v>
      </c>
      <c r="H2774" t="s">
        <v>9788</v>
      </c>
      <c r="J2774" t="s">
        <v>6254</v>
      </c>
    </row>
    <row r="2775" spans="1:10" x14ac:dyDescent="0.3">
      <c r="A2775" t="s">
        <v>6255</v>
      </c>
      <c r="B2775" t="s">
        <v>26994</v>
      </c>
      <c r="C2775" t="s">
        <v>20486</v>
      </c>
      <c r="D2775" t="s">
        <v>11</v>
      </c>
      <c r="E2775" t="s">
        <v>2013</v>
      </c>
      <c r="F2775">
        <v>48</v>
      </c>
    </row>
    <row r="2776" spans="1:10" x14ac:dyDescent="0.3">
      <c r="A2776" t="s">
        <v>6256</v>
      </c>
      <c r="B2776" t="s">
        <v>26995</v>
      </c>
      <c r="C2776" t="s">
        <v>20491</v>
      </c>
      <c r="D2776" t="s">
        <v>22</v>
      </c>
      <c r="E2776" t="s">
        <v>6257</v>
      </c>
      <c r="F2776">
        <v>41</v>
      </c>
      <c r="G2776" t="s">
        <v>31</v>
      </c>
      <c r="H2776" t="s">
        <v>31</v>
      </c>
    </row>
    <row r="2777" spans="1:10" x14ac:dyDescent="0.3">
      <c r="A2777" t="s">
        <v>6258</v>
      </c>
      <c r="B2777" t="s">
        <v>26996</v>
      </c>
      <c r="C2777" t="s">
        <v>20488</v>
      </c>
      <c r="D2777" t="s">
        <v>22</v>
      </c>
      <c r="E2777" t="s">
        <v>6259</v>
      </c>
      <c r="F2777">
        <v>55</v>
      </c>
      <c r="G2777" t="s">
        <v>31</v>
      </c>
      <c r="H2777" t="s">
        <v>31</v>
      </c>
    </row>
    <row r="2778" spans="1:10" x14ac:dyDescent="0.3">
      <c r="A2778" t="s">
        <v>6260</v>
      </c>
      <c r="B2778" t="s">
        <v>26997</v>
      </c>
      <c r="C2778" t="s">
        <v>20486</v>
      </c>
      <c r="D2778" t="s">
        <v>11</v>
      </c>
      <c r="E2778" t="s">
        <v>6261</v>
      </c>
      <c r="F2778">
        <v>55</v>
      </c>
      <c r="G2778" t="s">
        <v>5098</v>
      </c>
      <c r="H2778" t="s">
        <v>9785</v>
      </c>
      <c r="I2778" t="s">
        <v>6262</v>
      </c>
      <c r="J2778" t="s">
        <v>6262</v>
      </c>
    </row>
    <row r="2779" spans="1:10" x14ac:dyDescent="0.3">
      <c r="A2779" t="s">
        <v>6263</v>
      </c>
      <c r="B2779" t="s">
        <v>26998</v>
      </c>
      <c r="C2779" t="s">
        <v>20490</v>
      </c>
      <c r="D2779" t="s">
        <v>11</v>
      </c>
      <c r="E2779" t="s">
        <v>6264</v>
      </c>
      <c r="F2779">
        <v>33</v>
      </c>
      <c r="G2779" t="s">
        <v>109</v>
      </c>
      <c r="H2779" t="s">
        <v>9788</v>
      </c>
      <c r="I2779" t="s">
        <v>6265</v>
      </c>
      <c r="J2779" t="s">
        <v>6266</v>
      </c>
    </row>
    <row r="2780" spans="1:10" x14ac:dyDescent="0.3">
      <c r="A2780" t="s">
        <v>6267</v>
      </c>
      <c r="B2780" t="s">
        <v>26999</v>
      </c>
      <c r="C2780" t="s">
        <v>20486</v>
      </c>
      <c r="D2780" t="s">
        <v>22</v>
      </c>
      <c r="E2780" t="s">
        <v>6268</v>
      </c>
      <c r="F2780">
        <v>39</v>
      </c>
      <c r="G2780" t="s">
        <v>109</v>
      </c>
      <c r="H2780" t="s">
        <v>9788</v>
      </c>
      <c r="I2780" t="s">
        <v>17</v>
      </c>
      <c r="J2780" t="s">
        <v>51</v>
      </c>
    </row>
    <row r="2781" spans="1:10" x14ac:dyDescent="0.3">
      <c r="A2781" t="s">
        <v>6269</v>
      </c>
      <c r="B2781" t="s">
        <v>27000</v>
      </c>
      <c r="C2781" t="s">
        <v>20486</v>
      </c>
      <c r="D2781" t="s">
        <v>22</v>
      </c>
      <c r="E2781" t="s">
        <v>6270</v>
      </c>
      <c r="F2781">
        <v>33</v>
      </c>
      <c r="G2781" t="s">
        <v>725</v>
      </c>
      <c r="H2781" t="s">
        <v>9788</v>
      </c>
      <c r="I2781" t="s">
        <v>224</v>
      </c>
      <c r="J2781" t="s">
        <v>5919</v>
      </c>
    </row>
    <row r="2782" spans="1:10" x14ac:dyDescent="0.3">
      <c r="A2782" t="s">
        <v>6271</v>
      </c>
      <c r="B2782" t="s">
        <v>27001</v>
      </c>
      <c r="C2782" t="s">
        <v>20486</v>
      </c>
      <c r="D2782" t="s">
        <v>22</v>
      </c>
      <c r="E2782" t="s">
        <v>6272</v>
      </c>
      <c r="F2782">
        <v>52</v>
      </c>
      <c r="G2782" t="s">
        <v>243</v>
      </c>
      <c r="H2782" t="s">
        <v>9789</v>
      </c>
      <c r="I2782" t="s">
        <v>6273</v>
      </c>
      <c r="J2782" t="s">
        <v>25</v>
      </c>
    </row>
    <row r="2783" spans="1:10" x14ac:dyDescent="0.3">
      <c r="A2783" t="s">
        <v>6274</v>
      </c>
      <c r="B2783" t="s">
        <v>27002</v>
      </c>
      <c r="C2783" t="s">
        <v>20486</v>
      </c>
      <c r="D2783" t="s">
        <v>22</v>
      </c>
      <c r="E2783" t="s">
        <v>6275</v>
      </c>
      <c r="F2783">
        <v>32</v>
      </c>
      <c r="G2783" t="s">
        <v>46</v>
      </c>
      <c r="H2783" t="s">
        <v>46</v>
      </c>
      <c r="I2783" t="s">
        <v>228</v>
      </c>
      <c r="J2783" t="s">
        <v>6276</v>
      </c>
    </row>
    <row r="2784" spans="1:10" x14ac:dyDescent="0.3">
      <c r="A2784" t="s">
        <v>6277</v>
      </c>
      <c r="B2784" t="s">
        <v>27003</v>
      </c>
      <c r="C2784" t="s">
        <v>20486</v>
      </c>
      <c r="D2784" t="s">
        <v>11</v>
      </c>
      <c r="E2784" t="s">
        <v>6278</v>
      </c>
      <c r="F2784">
        <v>32</v>
      </c>
      <c r="G2784" t="s">
        <v>109</v>
      </c>
      <c r="H2784" t="s">
        <v>9788</v>
      </c>
      <c r="I2784" t="s">
        <v>4329</v>
      </c>
      <c r="J2784" t="s">
        <v>6279</v>
      </c>
    </row>
    <row r="2785" spans="1:10" x14ac:dyDescent="0.3">
      <c r="A2785" t="s">
        <v>6280</v>
      </c>
      <c r="B2785" t="s">
        <v>27004</v>
      </c>
      <c r="C2785" t="s">
        <v>20486</v>
      </c>
      <c r="D2785" t="s">
        <v>11</v>
      </c>
      <c r="E2785" t="s">
        <v>6281</v>
      </c>
      <c r="F2785">
        <v>65</v>
      </c>
    </row>
    <row r="2786" spans="1:10" x14ac:dyDescent="0.3">
      <c r="A2786" t="s">
        <v>6283</v>
      </c>
      <c r="B2786" t="s">
        <v>27005</v>
      </c>
      <c r="C2786" t="s">
        <v>20489</v>
      </c>
      <c r="D2786" t="s">
        <v>11</v>
      </c>
      <c r="E2786" t="s">
        <v>6284</v>
      </c>
      <c r="F2786">
        <v>28</v>
      </c>
      <c r="G2786" t="s">
        <v>109</v>
      </c>
      <c r="H2786" t="s">
        <v>9788</v>
      </c>
      <c r="I2786" t="s">
        <v>2851</v>
      </c>
      <c r="J2786" t="s">
        <v>5075</v>
      </c>
    </row>
    <row r="2787" spans="1:10" x14ac:dyDescent="0.3">
      <c r="A2787" t="s">
        <v>6285</v>
      </c>
      <c r="B2787" t="s">
        <v>27006</v>
      </c>
      <c r="C2787" t="s">
        <v>20487</v>
      </c>
      <c r="D2787" t="s">
        <v>11</v>
      </c>
      <c r="E2787" t="s">
        <v>6286</v>
      </c>
      <c r="F2787">
        <v>42</v>
      </c>
      <c r="G2787" t="s">
        <v>109</v>
      </c>
      <c r="H2787" t="s">
        <v>9788</v>
      </c>
      <c r="J2787" t="s">
        <v>6287</v>
      </c>
    </row>
    <row r="2788" spans="1:10" x14ac:dyDescent="0.3">
      <c r="A2788" t="s">
        <v>6288</v>
      </c>
      <c r="B2788" t="s">
        <v>27007</v>
      </c>
      <c r="C2788" t="s">
        <v>20488</v>
      </c>
      <c r="D2788" t="s">
        <v>22</v>
      </c>
      <c r="E2788" t="s">
        <v>6289</v>
      </c>
      <c r="F2788">
        <v>36</v>
      </c>
      <c r="G2788" t="s">
        <v>109</v>
      </c>
      <c r="H2788" t="s">
        <v>9788</v>
      </c>
    </row>
    <row r="2789" spans="1:10" x14ac:dyDescent="0.3">
      <c r="A2789" t="s">
        <v>6290</v>
      </c>
      <c r="B2789" t="s">
        <v>27008</v>
      </c>
      <c r="C2789" t="s">
        <v>20489</v>
      </c>
      <c r="D2789" t="s">
        <v>22</v>
      </c>
      <c r="E2789" t="s">
        <v>6291</v>
      </c>
      <c r="F2789">
        <v>50</v>
      </c>
      <c r="G2789" t="s">
        <v>109</v>
      </c>
      <c r="H2789" t="s">
        <v>9788</v>
      </c>
      <c r="I2789" t="s">
        <v>110</v>
      </c>
      <c r="J2789" t="s">
        <v>6292</v>
      </c>
    </row>
    <row r="2790" spans="1:10" x14ac:dyDescent="0.3">
      <c r="A2790" t="s">
        <v>12426</v>
      </c>
      <c r="B2790" t="s">
        <v>27009</v>
      </c>
      <c r="C2790" t="s">
        <v>20486</v>
      </c>
      <c r="D2790" t="s">
        <v>22</v>
      </c>
      <c r="E2790" t="s">
        <v>9636</v>
      </c>
      <c r="F2790">
        <v>17</v>
      </c>
      <c r="H2790" t="s">
        <v>337</v>
      </c>
      <c r="J2790" t="s">
        <v>9635</v>
      </c>
    </row>
    <row r="2791" spans="1:10" x14ac:dyDescent="0.3">
      <c r="A2791" t="s">
        <v>6293</v>
      </c>
      <c r="B2791" t="s">
        <v>27010</v>
      </c>
      <c r="C2791" t="s">
        <v>20486</v>
      </c>
      <c r="D2791" t="s">
        <v>11</v>
      </c>
      <c r="E2791" t="s">
        <v>6294</v>
      </c>
      <c r="F2791">
        <v>36</v>
      </c>
      <c r="G2791" t="s">
        <v>133</v>
      </c>
      <c r="H2791" t="s">
        <v>9789</v>
      </c>
      <c r="I2791" t="s">
        <v>6295</v>
      </c>
      <c r="J2791" t="s">
        <v>6296</v>
      </c>
    </row>
    <row r="2792" spans="1:10" x14ac:dyDescent="0.3">
      <c r="A2792" t="s">
        <v>6297</v>
      </c>
      <c r="B2792" t="s">
        <v>27011</v>
      </c>
      <c r="C2792" t="s">
        <v>20486</v>
      </c>
      <c r="D2792" t="s">
        <v>22</v>
      </c>
      <c r="E2792" t="s">
        <v>2052</v>
      </c>
      <c r="F2792">
        <v>43</v>
      </c>
      <c r="G2792" t="s">
        <v>16</v>
      </c>
      <c r="H2792" t="s">
        <v>9785</v>
      </c>
      <c r="I2792" t="s">
        <v>17</v>
      </c>
      <c r="J2792" t="s">
        <v>6298</v>
      </c>
    </row>
    <row r="2793" spans="1:10" x14ac:dyDescent="0.3">
      <c r="A2793" t="s">
        <v>6299</v>
      </c>
      <c r="B2793" t="s">
        <v>27012</v>
      </c>
      <c r="C2793" t="s">
        <v>20486</v>
      </c>
      <c r="D2793" t="s">
        <v>11</v>
      </c>
      <c r="E2793" t="s">
        <v>1623</v>
      </c>
      <c r="F2793">
        <v>45</v>
      </c>
      <c r="G2793" t="s">
        <v>109</v>
      </c>
      <c r="H2793" t="s">
        <v>9789</v>
      </c>
      <c r="J2793" t="s">
        <v>6300</v>
      </c>
    </row>
    <row r="2794" spans="1:10" x14ac:dyDescent="0.3">
      <c r="A2794" t="s">
        <v>6301</v>
      </c>
      <c r="B2794" t="s">
        <v>27013</v>
      </c>
      <c r="C2794" t="s">
        <v>20486</v>
      </c>
      <c r="D2794" t="s">
        <v>22</v>
      </c>
      <c r="E2794" t="s">
        <v>6302</v>
      </c>
      <c r="F2794">
        <v>62</v>
      </c>
      <c r="G2794" t="s">
        <v>31</v>
      </c>
      <c r="H2794" t="s">
        <v>46</v>
      </c>
      <c r="I2794" t="s">
        <v>18829</v>
      </c>
      <c r="J2794" t="s">
        <v>74</v>
      </c>
    </row>
    <row r="2795" spans="1:10" x14ac:dyDescent="0.3">
      <c r="A2795" t="s">
        <v>12427</v>
      </c>
      <c r="B2795" t="s">
        <v>27014</v>
      </c>
      <c r="C2795" t="s">
        <v>20486</v>
      </c>
      <c r="D2795" t="s">
        <v>11</v>
      </c>
      <c r="E2795" t="s">
        <v>9634</v>
      </c>
      <c r="F2795">
        <v>26</v>
      </c>
    </row>
    <row r="2796" spans="1:10" x14ac:dyDescent="0.3">
      <c r="A2796" t="s">
        <v>12428</v>
      </c>
      <c r="B2796" t="s">
        <v>27015</v>
      </c>
      <c r="C2796" t="s">
        <v>20486</v>
      </c>
      <c r="D2796" t="s">
        <v>11</v>
      </c>
      <c r="E2796" t="s">
        <v>9633</v>
      </c>
      <c r="F2796">
        <v>17</v>
      </c>
      <c r="H2796" t="s">
        <v>337</v>
      </c>
    </row>
    <row r="2797" spans="1:10" x14ac:dyDescent="0.3">
      <c r="A2797" t="s">
        <v>6303</v>
      </c>
      <c r="B2797" t="s">
        <v>27016</v>
      </c>
      <c r="C2797" t="s">
        <v>20486</v>
      </c>
      <c r="D2797" t="s">
        <v>11</v>
      </c>
      <c r="E2797" t="s">
        <v>6304</v>
      </c>
      <c r="F2797">
        <v>57</v>
      </c>
      <c r="G2797" t="s">
        <v>133</v>
      </c>
      <c r="H2797" t="s">
        <v>9789</v>
      </c>
      <c r="I2797" t="s">
        <v>1425</v>
      </c>
      <c r="J2797" t="s">
        <v>1426</v>
      </c>
    </row>
    <row r="2798" spans="1:10" x14ac:dyDescent="0.3">
      <c r="A2798" t="s">
        <v>6305</v>
      </c>
      <c r="B2798" t="s">
        <v>27017</v>
      </c>
      <c r="C2798" t="s">
        <v>20486</v>
      </c>
      <c r="D2798" t="s">
        <v>22</v>
      </c>
      <c r="E2798" t="s">
        <v>6306</v>
      </c>
      <c r="F2798">
        <v>55</v>
      </c>
      <c r="G2798" t="s">
        <v>46</v>
      </c>
      <c r="H2798" t="s">
        <v>46</v>
      </c>
      <c r="I2798" t="s">
        <v>228</v>
      </c>
      <c r="J2798" t="s">
        <v>2216</v>
      </c>
    </row>
    <row r="2799" spans="1:10" x14ac:dyDescent="0.3">
      <c r="A2799" t="s">
        <v>6307</v>
      </c>
      <c r="B2799" t="s">
        <v>27018</v>
      </c>
      <c r="C2799" t="s">
        <v>20486</v>
      </c>
      <c r="D2799" t="s">
        <v>22</v>
      </c>
      <c r="E2799" t="s">
        <v>6308</v>
      </c>
      <c r="F2799">
        <v>74</v>
      </c>
      <c r="G2799" t="s">
        <v>13</v>
      </c>
      <c r="H2799" t="s">
        <v>13</v>
      </c>
    </row>
    <row r="2800" spans="1:10" x14ac:dyDescent="0.3">
      <c r="A2800" t="s">
        <v>6309</v>
      </c>
      <c r="B2800" t="s">
        <v>27019</v>
      </c>
      <c r="C2800" t="s">
        <v>20486</v>
      </c>
      <c r="D2800" t="s">
        <v>22</v>
      </c>
      <c r="E2800" t="s">
        <v>6310</v>
      </c>
      <c r="F2800">
        <v>28</v>
      </c>
      <c r="G2800" t="s">
        <v>109</v>
      </c>
      <c r="H2800" t="s">
        <v>9788</v>
      </c>
    </row>
    <row r="2801" spans="1:10" x14ac:dyDescent="0.3">
      <c r="A2801" t="s">
        <v>6311</v>
      </c>
      <c r="B2801" t="s">
        <v>27020</v>
      </c>
      <c r="C2801" t="s">
        <v>20486</v>
      </c>
      <c r="D2801" t="s">
        <v>11</v>
      </c>
      <c r="E2801" t="s">
        <v>6312</v>
      </c>
      <c r="F2801">
        <v>62</v>
      </c>
      <c r="G2801" t="s">
        <v>955</v>
      </c>
      <c r="H2801" t="s">
        <v>9788</v>
      </c>
      <c r="J2801" t="s">
        <v>6313</v>
      </c>
    </row>
    <row r="2802" spans="1:10" x14ac:dyDescent="0.3">
      <c r="A2802" t="s">
        <v>6314</v>
      </c>
      <c r="B2802" t="s">
        <v>27021</v>
      </c>
      <c r="C2802" t="s">
        <v>20486</v>
      </c>
      <c r="D2802" t="s">
        <v>22</v>
      </c>
      <c r="E2802" t="s">
        <v>6315</v>
      </c>
      <c r="F2802">
        <v>49</v>
      </c>
      <c r="G2802" t="s">
        <v>24</v>
      </c>
      <c r="H2802" t="s">
        <v>9789</v>
      </c>
    </row>
    <row r="2803" spans="1:10" x14ac:dyDescent="0.3">
      <c r="A2803" t="s">
        <v>6316</v>
      </c>
      <c r="B2803" t="s">
        <v>27022</v>
      </c>
      <c r="C2803" t="s">
        <v>20488</v>
      </c>
      <c r="D2803" t="s">
        <v>22</v>
      </c>
      <c r="E2803" t="s">
        <v>6317</v>
      </c>
      <c r="F2803">
        <v>28</v>
      </c>
      <c r="G2803" t="s">
        <v>109</v>
      </c>
      <c r="H2803" t="s">
        <v>9788</v>
      </c>
    </row>
    <row r="2804" spans="1:10" x14ac:dyDescent="0.3">
      <c r="A2804" t="s">
        <v>6318</v>
      </c>
      <c r="B2804" t="s">
        <v>27023</v>
      </c>
      <c r="C2804" t="s">
        <v>20487</v>
      </c>
      <c r="D2804" t="s">
        <v>22</v>
      </c>
      <c r="E2804" t="s">
        <v>6319</v>
      </c>
      <c r="F2804">
        <v>45</v>
      </c>
      <c r="G2804" t="s">
        <v>16</v>
      </c>
      <c r="H2804" t="s">
        <v>9785</v>
      </c>
      <c r="J2804" t="s">
        <v>6320</v>
      </c>
    </row>
    <row r="2805" spans="1:10" x14ac:dyDescent="0.3">
      <c r="A2805" t="s">
        <v>6321</v>
      </c>
      <c r="B2805" t="s">
        <v>27024</v>
      </c>
      <c r="C2805" t="s">
        <v>20487</v>
      </c>
      <c r="D2805" t="s">
        <v>22</v>
      </c>
      <c r="E2805" t="s">
        <v>6322</v>
      </c>
      <c r="F2805">
        <v>36</v>
      </c>
      <c r="G2805" t="s">
        <v>16</v>
      </c>
      <c r="H2805" t="s">
        <v>9785</v>
      </c>
      <c r="J2805" t="s">
        <v>6323</v>
      </c>
    </row>
    <row r="2806" spans="1:10" x14ac:dyDescent="0.3">
      <c r="A2806" t="s">
        <v>6324</v>
      </c>
      <c r="B2806" t="s">
        <v>27025</v>
      </c>
      <c r="C2806" t="s">
        <v>20488</v>
      </c>
      <c r="D2806" t="s">
        <v>22</v>
      </c>
      <c r="E2806" t="s">
        <v>6325</v>
      </c>
      <c r="F2806">
        <v>31</v>
      </c>
      <c r="G2806" t="s">
        <v>31</v>
      </c>
      <c r="H2806" t="s">
        <v>31</v>
      </c>
    </row>
    <row r="2807" spans="1:10" x14ac:dyDescent="0.3">
      <c r="A2807" t="s">
        <v>6326</v>
      </c>
      <c r="B2807" t="s">
        <v>27026</v>
      </c>
      <c r="C2807" t="s">
        <v>20488</v>
      </c>
      <c r="D2807" t="s">
        <v>22</v>
      </c>
      <c r="E2807" t="s">
        <v>6327</v>
      </c>
      <c r="F2807">
        <v>40</v>
      </c>
      <c r="G2807" t="s">
        <v>31</v>
      </c>
      <c r="H2807" t="s">
        <v>31</v>
      </c>
    </row>
    <row r="2808" spans="1:10" x14ac:dyDescent="0.3">
      <c r="A2808" t="s">
        <v>6328</v>
      </c>
      <c r="B2808" t="s">
        <v>27027</v>
      </c>
      <c r="C2808" t="s">
        <v>20486</v>
      </c>
      <c r="D2808" t="s">
        <v>22</v>
      </c>
      <c r="E2808" t="s">
        <v>6329</v>
      </c>
      <c r="F2808">
        <v>44</v>
      </c>
    </row>
    <row r="2809" spans="1:10" x14ac:dyDescent="0.3">
      <c r="A2809" t="s">
        <v>6330</v>
      </c>
      <c r="B2809" t="s">
        <v>27028</v>
      </c>
      <c r="C2809" t="s">
        <v>20487</v>
      </c>
      <c r="D2809" t="s">
        <v>22</v>
      </c>
      <c r="E2809" t="s">
        <v>6331</v>
      </c>
      <c r="F2809">
        <v>40</v>
      </c>
      <c r="G2809" t="s">
        <v>109</v>
      </c>
      <c r="H2809" t="s">
        <v>9788</v>
      </c>
    </row>
    <row r="2810" spans="1:10" x14ac:dyDescent="0.3">
      <c r="A2810" t="s">
        <v>6332</v>
      </c>
      <c r="B2810" t="s">
        <v>27029</v>
      </c>
      <c r="C2810" t="s">
        <v>20487</v>
      </c>
      <c r="D2810" t="s">
        <v>22</v>
      </c>
      <c r="E2810" t="s">
        <v>1733</v>
      </c>
      <c r="F2810">
        <v>49</v>
      </c>
      <c r="G2810" t="s">
        <v>193</v>
      </c>
      <c r="H2810" t="s">
        <v>243</v>
      </c>
    </row>
    <row r="2811" spans="1:10" x14ac:dyDescent="0.3">
      <c r="A2811" t="s">
        <v>6333</v>
      </c>
      <c r="B2811" t="s">
        <v>27030</v>
      </c>
      <c r="C2811" t="s">
        <v>20489</v>
      </c>
      <c r="D2811" t="s">
        <v>22</v>
      </c>
      <c r="E2811" t="s">
        <v>6334</v>
      </c>
      <c r="F2811">
        <v>19</v>
      </c>
      <c r="G2811" t="s">
        <v>337</v>
      </c>
      <c r="H2811" t="s">
        <v>337</v>
      </c>
    </row>
    <row r="2812" spans="1:10" x14ac:dyDescent="0.3">
      <c r="A2812" t="s">
        <v>6335</v>
      </c>
      <c r="B2812" t="s">
        <v>27031</v>
      </c>
      <c r="C2812" t="s">
        <v>20489</v>
      </c>
      <c r="D2812" t="s">
        <v>22</v>
      </c>
      <c r="E2812" t="s">
        <v>6336</v>
      </c>
      <c r="F2812">
        <v>24</v>
      </c>
      <c r="G2812" t="s">
        <v>109</v>
      </c>
      <c r="H2812" t="s">
        <v>9788</v>
      </c>
      <c r="I2812" t="s">
        <v>12429</v>
      </c>
    </row>
    <row r="2813" spans="1:10" x14ac:dyDescent="0.3">
      <c r="A2813" t="s">
        <v>6337</v>
      </c>
      <c r="B2813" t="s">
        <v>27032</v>
      </c>
      <c r="C2813" t="s">
        <v>20487</v>
      </c>
      <c r="D2813" t="s">
        <v>11</v>
      </c>
      <c r="E2813" t="s">
        <v>6338</v>
      </c>
      <c r="F2813">
        <v>58</v>
      </c>
      <c r="G2813" t="s">
        <v>172</v>
      </c>
      <c r="H2813" t="s">
        <v>9788</v>
      </c>
      <c r="J2813" t="s">
        <v>1624</v>
      </c>
    </row>
    <row r="2814" spans="1:10" x14ac:dyDescent="0.3">
      <c r="A2814" t="s">
        <v>6339</v>
      </c>
      <c r="B2814" t="s">
        <v>27033</v>
      </c>
      <c r="C2814" t="s">
        <v>20487</v>
      </c>
      <c r="D2814" t="s">
        <v>22</v>
      </c>
      <c r="E2814" t="s">
        <v>6340</v>
      </c>
      <c r="F2814">
        <v>69</v>
      </c>
      <c r="G2814" t="s">
        <v>193</v>
      </c>
      <c r="H2814" t="s">
        <v>243</v>
      </c>
    </row>
    <row r="2815" spans="1:10" x14ac:dyDescent="0.3">
      <c r="A2815" t="s">
        <v>6341</v>
      </c>
      <c r="B2815" t="s">
        <v>27034</v>
      </c>
      <c r="C2815" t="s">
        <v>20486</v>
      </c>
      <c r="D2815" t="s">
        <v>22</v>
      </c>
      <c r="E2815" t="s">
        <v>6342</v>
      </c>
      <c r="F2815">
        <v>41</v>
      </c>
      <c r="G2815" t="s">
        <v>109</v>
      </c>
      <c r="H2815" t="s">
        <v>9788</v>
      </c>
      <c r="J2815" t="s">
        <v>6343</v>
      </c>
    </row>
    <row r="2816" spans="1:10" x14ac:dyDescent="0.3">
      <c r="A2816" t="s">
        <v>6344</v>
      </c>
      <c r="B2816" t="s">
        <v>27035</v>
      </c>
      <c r="C2816" t="s">
        <v>20486</v>
      </c>
      <c r="D2816" t="s">
        <v>22</v>
      </c>
      <c r="E2816" t="s">
        <v>6345</v>
      </c>
      <c r="F2816">
        <v>30</v>
      </c>
      <c r="G2816" t="s">
        <v>109</v>
      </c>
      <c r="H2816" t="s">
        <v>9788</v>
      </c>
    </row>
    <row r="2817" spans="1:10" x14ac:dyDescent="0.3">
      <c r="A2817" t="s">
        <v>6346</v>
      </c>
      <c r="B2817" t="s">
        <v>27036</v>
      </c>
      <c r="C2817" t="s">
        <v>20486</v>
      </c>
      <c r="D2817" t="s">
        <v>11</v>
      </c>
      <c r="E2817" t="s">
        <v>6347</v>
      </c>
      <c r="F2817">
        <v>46</v>
      </c>
      <c r="G2817" t="s">
        <v>2055</v>
      </c>
      <c r="H2817" t="s">
        <v>9789</v>
      </c>
      <c r="I2817" t="s">
        <v>1526</v>
      </c>
      <c r="J2817" t="s">
        <v>6348</v>
      </c>
    </row>
    <row r="2818" spans="1:10" x14ac:dyDescent="0.3">
      <c r="A2818" t="s">
        <v>6349</v>
      </c>
      <c r="B2818" t="s">
        <v>27037</v>
      </c>
      <c r="C2818" t="s">
        <v>20486</v>
      </c>
      <c r="D2818" t="s">
        <v>22</v>
      </c>
      <c r="E2818" t="s">
        <v>6350</v>
      </c>
      <c r="F2818">
        <v>63</v>
      </c>
      <c r="G2818" t="s">
        <v>31</v>
      </c>
      <c r="H2818" t="s">
        <v>31</v>
      </c>
      <c r="I2818" t="s">
        <v>201</v>
      </c>
      <c r="J2818" t="s">
        <v>14331</v>
      </c>
    </row>
    <row r="2819" spans="1:10" x14ac:dyDescent="0.3">
      <c r="A2819" t="s">
        <v>6351</v>
      </c>
      <c r="B2819" t="s">
        <v>27038</v>
      </c>
      <c r="C2819" t="s">
        <v>20486</v>
      </c>
      <c r="D2819" t="s">
        <v>22</v>
      </c>
      <c r="E2819" t="s">
        <v>6352</v>
      </c>
      <c r="F2819">
        <v>51</v>
      </c>
      <c r="G2819" t="s">
        <v>31</v>
      </c>
      <c r="H2819" t="s">
        <v>13</v>
      </c>
      <c r="I2819" t="s">
        <v>765</v>
      </c>
    </row>
    <row r="2820" spans="1:10" x14ac:dyDescent="0.3">
      <c r="A2820" t="s">
        <v>6353</v>
      </c>
      <c r="B2820" t="s">
        <v>27039</v>
      </c>
      <c r="C2820" t="s">
        <v>20488</v>
      </c>
      <c r="D2820" t="s">
        <v>11</v>
      </c>
      <c r="E2820" t="s">
        <v>6354</v>
      </c>
      <c r="F2820">
        <v>40</v>
      </c>
      <c r="G2820" t="s">
        <v>109</v>
      </c>
      <c r="H2820" t="s">
        <v>9788</v>
      </c>
    </row>
    <row r="2821" spans="1:10" x14ac:dyDescent="0.3">
      <c r="A2821" t="s">
        <v>6355</v>
      </c>
      <c r="B2821" t="s">
        <v>27040</v>
      </c>
      <c r="C2821" t="s">
        <v>20486</v>
      </c>
      <c r="D2821" t="s">
        <v>11</v>
      </c>
      <c r="E2821" t="s">
        <v>6356</v>
      </c>
      <c r="F2821">
        <v>40</v>
      </c>
      <c r="G2821" t="s">
        <v>109</v>
      </c>
      <c r="H2821" t="s">
        <v>9788</v>
      </c>
      <c r="I2821" t="s">
        <v>17</v>
      </c>
      <c r="J2821" t="s">
        <v>54</v>
      </c>
    </row>
    <row r="2822" spans="1:10" x14ac:dyDescent="0.3">
      <c r="A2822" t="s">
        <v>6357</v>
      </c>
      <c r="B2822" t="s">
        <v>27041</v>
      </c>
      <c r="C2822" t="s">
        <v>20486</v>
      </c>
      <c r="D2822" t="s">
        <v>11</v>
      </c>
      <c r="E2822" t="s">
        <v>6358</v>
      </c>
      <c r="F2822">
        <v>40</v>
      </c>
      <c r="G2822" t="s">
        <v>827</v>
      </c>
      <c r="H2822" t="s">
        <v>12099</v>
      </c>
      <c r="I2822" t="s">
        <v>1057</v>
      </c>
      <c r="J2822" t="s">
        <v>1230</v>
      </c>
    </row>
    <row r="2823" spans="1:10" x14ac:dyDescent="0.3">
      <c r="A2823" t="s">
        <v>6359</v>
      </c>
      <c r="B2823" t="s">
        <v>27042</v>
      </c>
      <c r="C2823" t="s">
        <v>20486</v>
      </c>
      <c r="D2823" t="s">
        <v>22</v>
      </c>
      <c r="E2823" t="s">
        <v>6360</v>
      </c>
      <c r="F2823">
        <v>35</v>
      </c>
      <c r="G2823" t="s">
        <v>109</v>
      </c>
      <c r="H2823" t="s">
        <v>9788</v>
      </c>
      <c r="J2823" t="s">
        <v>496</v>
      </c>
    </row>
    <row r="2824" spans="1:10" x14ac:dyDescent="0.3">
      <c r="A2824" t="s">
        <v>6361</v>
      </c>
      <c r="B2824" t="s">
        <v>27043</v>
      </c>
      <c r="C2824" t="s">
        <v>20486</v>
      </c>
      <c r="D2824" t="s">
        <v>22</v>
      </c>
      <c r="E2824" t="s">
        <v>6362</v>
      </c>
      <c r="F2824">
        <v>34</v>
      </c>
      <c r="G2824" t="s">
        <v>109</v>
      </c>
      <c r="H2824" t="s">
        <v>9788</v>
      </c>
      <c r="J2824" t="s">
        <v>1853</v>
      </c>
    </row>
    <row r="2825" spans="1:10" x14ac:dyDescent="0.3">
      <c r="A2825" t="s">
        <v>6363</v>
      </c>
      <c r="B2825" t="s">
        <v>27044</v>
      </c>
      <c r="C2825" t="s">
        <v>20486</v>
      </c>
      <c r="D2825" t="s">
        <v>11</v>
      </c>
      <c r="E2825" t="s">
        <v>2123</v>
      </c>
      <c r="F2825">
        <v>41</v>
      </c>
      <c r="G2825" t="s">
        <v>109</v>
      </c>
      <c r="H2825" t="s">
        <v>9788</v>
      </c>
      <c r="I2825" t="s">
        <v>1377</v>
      </c>
      <c r="J2825" t="s">
        <v>14332</v>
      </c>
    </row>
    <row r="2826" spans="1:10" x14ac:dyDescent="0.3">
      <c r="A2826" t="s">
        <v>6365</v>
      </c>
      <c r="B2826" t="s">
        <v>27045</v>
      </c>
      <c r="C2826" t="s">
        <v>20488</v>
      </c>
      <c r="D2826" t="s">
        <v>11</v>
      </c>
      <c r="E2826" t="s">
        <v>6366</v>
      </c>
      <c r="F2826">
        <v>59</v>
      </c>
      <c r="G2826" t="s">
        <v>109</v>
      </c>
      <c r="H2826" t="s">
        <v>9788</v>
      </c>
      <c r="I2826" t="s">
        <v>6367</v>
      </c>
      <c r="J2826" t="s">
        <v>1431</v>
      </c>
    </row>
    <row r="2827" spans="1:10" x14ac:dyDescent="0.3">
      <c r="A2827" t="s">
        <v>6368</v>
      </c>
      <c r="B2827" t="s">
        <v>27046</v>
      </c>
      <c r="C2827" t="s">
        <v>20488</v>
      </c>
      <c r="D2827" t="s">
        <v>11</v>
      </c>
      <c r="E2827" t="s">
        <v>6369</v>
      </c>
      <c r="F2827">
        <v>63</v>
      </c>
      <c r="G2827" t="s">
        <v>109</v>
      </c>
      <c r="H2827" t="s">
        <v>9788</v>
      </c>
    </row>
    <row r="2828" spans="1:10" x14ac:dyDescent="0.3">
      <c r="A2828" t="s">
        <v>6370</v>
      </c>
      <c r="B2828" t="s">
        <v>27047</v>
      </c>
      <c r="C2828" t="s">
        <v>20488</v>
      </c>
      <c r="D2828" t="s">
        <v>22</v>
      </c>
      <c r="E2828" t="s">
        <v>3914</v>
      </c>
      <c r="F2828">
        <v>62</v>
      </c>
      <c r="G2828" t="s">
        <v>31</v>
      </c>
      <c r="H2828" t="s">
        <v>31</v>
      </c>
    </row>
    <row r="2829" spans="1:10" x14ac:dyDescent="0.3">
      <c r="A2829" t="s">
        <v>6371</v>
      </c>
      <c r="B2829" t="s">
        <v>27048</v>
      </c>
      <c r="C2829" t="s">
        <v>20488</v>
      </c>
      <c r="D2829" t="s">
        <v>22</v>
      </c>
      <c r="E2829" t="s">
        <v>4717</v>
      </c>
      <c r="F2829">
        <v>51</v>
      </c>
      <c r="G2829" t="s">
        <v>31</v>
      </c>
      <c r="H2829" t="s">
        <v>31</v>
      </c>
    </row>
    <row r="2830" spans="1:10" x14ac:dyDescent="0.3">
      <c r="A2830" t="s">
        <v>6372</v>
      </c>
      <c r="B2830" t="s">
        <v>27049</v>
      </c>
      <c r="C2830" t="s">
        <v>20491</v>
      </c>
      <c r="D2830" t="s">
        <v>22</v>
      </c>
      <c r="E2830" t="s">
        <v>2793</v>
      </c>
      <c r="F2830">
        <v>47</v>
      </c>
      <c r="G2830" t="s">
        <v>31</v>
      </c>
      <c r="H2830" t="s">
        <v>31</v>
      </c>
    </row>
    <row r="2831" spans="1:10" x14ac:dyDescent="0.3">
      <c r="A2831" t="s">
        <v>6373</v>
      </c>
      <c r="B2831" t="s">
        <v>27050</v>
      </c>
      <c r="C2831" t="s">
        <v>20486</v>
      </c>
      <c r="D2831" t="s">
        <v>22</v>
      </c>
      <c r="E2831" t="s">
        <v>6374</v>
      </c>
      <c r="F2831">
        <v>39</v>
      </c>
      <c r="G2831" t="s">
        <v>955</v>
      </c>
      <c r="H2831" t="s">
        <v>9788</v>
      </c>
      <c r="I2831" t="s">
        <v>6375</v>
      </c>
      <c r="J2831" t="s">
        <v>6376</v>
      </c>
    </row>
    <row r="2832" spans="1:10" x14ac:dyDescent="0.3">
      <c r="A2832" t="s">
        <v>6377</v>
      </c>
      <c r="B2832" t="s">
        <v>27051</v>
      </c>
      <c r="C2832" t="s">
        <v>20486</v>
      </c>
      <c r="D2832" t="s">
        <v>22</v>
      </c>
      <c r="E2832" t="s">
        <v>6378</v>
      </c>
      <c r="F2832">
        <v>50</v>
      </c>
      <c r="G2832" t="s">
        <v>46</v>
      </c>
      <c r="H2832" t="s">
        <v>46</v>
      </c>
      <c r="J2832" t="s">
        <v>6379</v>
      </c>
    </row>
    <row r="2833" spans="1:10" x14ac:dyDescent="0.3">
      <c r="A2833" t="s">
        <v>6380</v>
      </c>
      <c r="B2833" t="s">
        <v>27052</v>
      </c>
      <c r="C2833" t="s">
        <v>20490</v>
      </c>
      <c r="D2833" t="s">
        <v>22</v>
      </c>
      <c r="E2833" t="s">
        <v>6381</v>
      </c>
      <c r="F2833">
        <v>51</v>
      </c>
      <c r="G2833" t="s">
        <v>16</v>
      </c>
      <c r="H2833" t="s">
        <v>9785</v>
      </c>
      <c r="J2833" t="s">
        <v>6382</v>
      </c>
    </row>
    <row r="2834" spans="1:10" x14ac:dyDescent="0.3">
      <c r="A2834" t="s">
        <v>6383</v>
      </c>
      <c r="B2834" t="s">
        <v>27053</v>
      </c>
      <c r="C2834" t="s">
        <v>20486</v>
      </c>
      <c r="D2834" t="s">
        <v>22</v>
      </c>
      <c r="E2834" t="s">
        <v>6384</v>
      </c>
      <c r="F2834">
        <v>47</v>
      </c>
      <c r="G2834" t="s">
        <v>220</v>
      </c>
      <c r="H2834" t="s">
        <v>46</v>
      </c>
      <c r="J2834" t="s">
        <v>6385</v>
      </c>
    </row>
    <row r="2835" spans="1:10" x14ac:dyDescent="0.3">
      <c r="A2835" t="s">
        <v>6386</v>
      </c>
      <c r="B2835" t="s">
        <v>27054</v>
      </c>
      <c r="C2835" t="s">
        <v>20489</v>
      </c>
      <c r="D2835" t="s">
        <v>11</v>
      </c>
      <c r="E2835" t="s">
        <v>1394</v>
      </c>
      <c r="F2835">
        <v>53</v>
      </c>
      <c r="G2835" t="s">
        <v>370</v>
      </c>
      <c r="H2835" t="s">
        <v>46</v>
      </c>
      <c r="I2835" t="s">
        <v>12430</v>
      </c>
      <c r="J2835" t="s">
        <v>12431</v>
      </c>
    </row>
    <row r="2836" spans="1:10" x14ac:dyDescent="0.3">
      <c r="A2836" t="s">
        <v>6387</v>
      </c>
      <c r="B2836" t="s">
        <v>27055</v>
      </c>
      <c r="C2836" t="s">
        <v>20491</v>
      </c>
      <c r="D2836" t="s">
        <v>22</v>
      </c>
      <c r="E2836" t="s">
        <v>6388</v>
      </c>
      <c r="F2836">
        <v>33</v>
      </c>
      <c r="G2836" t="s">
        <v>1200</v>
      </c>
      <c r="H2836" t="s">
        <v>9788</v>
      </c>
      <c r="I2836" t="s">
        <v>6389</v>
      </c>
      <c r="J2836" t="s">
        <v>6389</v>
      </c>
    </row>
    <row r="2837" spans="1:10" x14ac:dyDescent="0.3">
      <c r="A2837" t="s">
        <v>6390</v>
      </c>
      <c r="B2837" t="s">
        <v>27056</v>
      </c>
      <c r="C2837" t="s">
        <v>20489</v>
      </c>
      <c r="D2837" t="s">
        <v>11</v>
      </c>
      <c r="E2837" t="s">
        <v>6391</v>
      </c>
      <c r="F2837">
        <v>49</v>
      </c>
      <c r="G2837" t="s">
        <v>109</v>
      </c>
      <c r="H2837" t="s">
        <v>9788</v>
      </c>
      <c r="I2837" t="s">
        <v>12162</v>
      </c>
      <c r="J2837" t="s">
        <v>5395</v>
      </c>
    </row>
    <row r="2838" spans="1:10" x14ac:dyDescent="0.3">
      <c r="A2838" t="s">
        <v>6392</v>
      </c>
      <c r="B2838" t="s">
        <v>27057</v>
      </c>
      <c r="C2838" t="s">
        <v>20488</v>
      </c>
      <c r="D2838" t="s">
        <v>22</v>
      </c>
      <c r="E2838" t="s">
        <v>6393</v>
      </c>
      <c r="F2838">
        <v>72</v>
      </c>
      <c r="G2838" t="s">
        <v>31</v>
      </c>
      <c r="H2838" t="s">
        <v>31</v>
      </c>
    </row>
    <row r="2839" spans="1:10" x14ac:dyDescent="0.3">
      <c r="A2839" t="s">
        <v>6394</v>
      </c>
      <c r="B2839" t="s">
        <v>27058</v>
      </c>
      <c r="C2839" t="s">
        <v>20489</v>
      </c>
      <c r="D2839" t="s">
        <v>11</v>
      </c>
      <c r="E2839" t="s">
        <v>6395</v>
      </c>
      <c r="F2839">
        <v>48</v>
      </c>
      <c r="G2839" t="s">
        <v>88</v>
      </c>
      <c r="H2839" t="s">
        <v>12065</v>
      </c>
      <c r="I2839" t="s">
        <v>110</v>
      </c>
      <c r="J2839" t="s">
        <v>6396</v>
      </c>
    </row>
    <row r="2840" spans="1:10" x14ac:dyDescent="0.3">
      <c r="A2840" t="s">
        <v>6397</v>
      </c>
      <c r="B2840" t="s">
        <v>27059</v>
      </c>
      <c r="C2840" t="s">
        <v>20489</v>
      </c>
      <c r="D2840" t="s">
        <v>11</v>
      </c>
      <c r="E2840" t="s">
        <v>6398</v>
      </c>
      <c r="F2840">
        <v>21</v>
      </c>
      <c r="G2840" t="s">
        <v>337</v>
      </c>
      <c r="H2840" t="s">
        <v>337</v>
      </c>
    </row>
    <row r="2841" spans="1:10" x14ac:dyDescent="0.3">
      <c r="A2841" t="s">
        <v>6399</v>
      </c>
      <c r="B2841" t="s">
        <v>27060</v>
      </c>
      <c r="C2841" t="s">
        <v>20486</v>
      </c>
      <c r="D2841" t="s">
        <v>11</v>
      </c>
      <c r="E2841" t="s">
        <v>6400</v>
      </c>
      <c r="F2841">
        <v>27</v>
      </c>
      <c r="G2841" t="s">
        <v>1525</v>
      </c>
      <c r="H2841" t="s">
        <v>9789</v>
      </c>
      <c r="J2841" t="s">
        <v>1527</v>
      </c>
    </row>
    <row r="2842" spans="1:10" x14ac:dyDescent="0.3">
      <c r="A2842" t="s">
        <v>6401</v>
      </c>
      <c r="B2842" t="s">
        <v>27061</v>
      </c>
      <c r="C2842" t="s">
        <v>20486</v>
      </c>
      <c r="D2842" t="s">
        <v>22</v>
      </c>
      <c r="E2842" t="s">
        <v>3856</v>
      </c>
      <c r="F2842">
        <v>38</v>
      </c>
      <c r="G2842" t="s">
        <v>31</v>
      </c>
      <c r="H2842" t="s">
        <v>31</v>
      </c>
    </row>
    <row r="2843" spans="1:10" x14ac:dyDescent="0.3">
      <c r="A2843" t="s">
        <v>6402</v>
      </c>
      <c r="B2843" t="s">
        <v>27062</v>
      </c>
      <c r="C2843" t="s">
        <v>20489</v>
      </c>
      <c r="D2843" t="s">
        <v>22</v>
      </c>
      <c r="E2843" t="s">
        <v>6403</v>
      </c>
      <c r="F2843">
        <v>33</v>
      </c>
      <c r="G2843" t="s">
        <v>31</v>
      </c>
      <c r="H2843" t="s">
        <v>31</v>
      </c>
    </row>
    <row r="2844" spans="1:10" x14ac:dyDescent="0.3">
      <c r="A2844" t="s">
        <v>6404</v>
      </c>
      <c r="B2844" t="s">
        <v>27063</v>
      </c>
      <c r="C2844" t="s">
        <v>20486</v>
      </c>
      <c r="D2844" t="s">
        <v>22</v>
      </c>
      <c r="E2844" t="s">
        <v>6405</v>
      </c>
      <c r="F2844">
        <v>57</v>
      </c>
      <c r="G2844" t="s">
        <v>46</v>
      </c>
      <c r="H2844" t="s">
        <v>46</v>
      </c>
      <c r="I2844" t="s">
        <v>228</v>
      </c>
      <c r="J2844" t="s">
        <v>6406</v>
      </c>
    </row>
    <row r="2845" spans="1:10" x14ac:dyDescent="0.3">
      <c r="A2845" t="s">
        <v>6407</v>
      </c>
      <c r="B2845" t="s">
        <v>27064</v>
      </c>
      <c r="C2845" t="s">
        <v>20486</v>
      </c>
      <c r="D2845" t="s">
        <v>22</v>
      </c>
      <c r="E2845" t="s">
        <v>6408</v>
      </c>
      <c r="F2845">
        <v>44</v>
      </c>
    </row>
    <row r="2846" spans="1:10" x14ac:dyDescent="0.3">
      <c r="A2846" t="s">
        <v>12432</v>
      </c>
      <c r="B2846" t="s">
        <v>27065</v>
      </c>
      <c r="C2846" t="s">
        <v>20489</v>
      </c>
      <c r="D2846" t="s">
        <v>22</v>
      </c>
      <c r="E2846" t="s">
        <v>9632</v>
      </c>
      <c r="F2846">
        <v>26</v>
      </c>
      <c r="G2846" t="s">
        <v>243</v>
      </c>
      <c r="H2846" t="s">
        <v>243</v>
      </c>
    </row>
    <row r="2847" spans="1:10" x14ac:dyDescent="0.3">
      <c r="A2847" t="s">
        <v>6409</v>
      </c>
      <c r="B2847" t="s">
        <v>27066</v>
      </c>
      <c r="C2847" t="s">
        <v>20489</v>
      </c>
      <c r="D2847" t="s">
        <v>11</v>
      </c>
      <c r="E2847" t="s">
        <v>6410</v>
      </c>
      <c r="F2847">
        <v>37</v>
      </c>
      <c r="G2847" t="s">
        <v>109</v>
      </c>
      <c r="H2847" t="s">
        <v>9788</v>
      </c>
      <c r="I2847" t="s">
        <v>2851</v>
      </c>
    </row>
    <row r="2848" spans="1:10" x14ac:dyDescent="0.3">
      <c r="A2848" t="s">
        <v>6411</v>
      </c>
      <c r="B2848" t="s">
        <v>27067</v>
      </c>
      <c r="C2848" t="s">
        <v>20489</v>
      </c>
      <c r="D2848" t="s">
        <v>22</v>
      </c>
      <c r="E2848" t="s">
        <v>6412</v>
      </c>
      <c r="F2848">
        <v>45</v>
      </c>
      <c r="G2848" t="s">
        <v>46</v>
      </c>
      <c r="H2848" t="s">
        <v>46</v>
      </c>
      <c r="I2848" t="s">
        <v>12433</v>
      </c>
      <c r="J2848" t="s">
        <v>6413</v>
      </c>
    </row>
    <row r="2849" spans="1:10" x14ac:dyDescent="0.3">
      <c r="A2849" t="s">
        <v>6414</v>
      </c>
      <c r="B2849" t="s">
        <v>27068</v>
      </c>
      <c r="C2849" t="s">
        <v>20488</v>
      </c>
      <c r="D2849" t="s">
        <v>22</v>
      </c>
      <c r="E2849" t="s">
        <v>1925</v>
      </c>
      <c r="F2849">
        <v>44</v>
      </c>
      <c r="G2849" t="s">
        <v>46</v>
      </c>
      <c r="H2849" t="s">
        <v>46</v>
      </c>
      <c r="I2849" t="s">
        <v>6415</v>
      </c>
    </row>
    <row r="2850" spans="1:10" x14ac:dyDescent="0.3">
      <c r="A2850" t="s">
        <v>6416</v>
      </c>
      <c r="B2850" t="s">
        <v>27069</v>
      </c>
      <c r="C2850" t="s">
        <v>20486</v>
      </c>
      <c r="D2850" t="s">
        <v>22</v>
      </c>
      <c r="E2850" t="s">
        <v>6417</v>
      </c>
      <c r="F2850">
        <v>62</v>
      </c>
      <c r="G2850" t="s">
        <v>16</v>
      </c>
      <c r="H2850" t="s">
        <v>9785</v>
      </c>
      <c r="I2850" t="s">
        <v>17</v>
      </c>
      <c r="J2850" t="s">
        <v>6418</v>
      </c>
    </row>
    <row r="2851" spans="1:10" x14ac:dyDescent="0.3">
      <c r="A2851" t="s">
        <v>6419</v>
      </c>
      <c r="B2851" t="s">
        <v>27070</v>
      </c>
      <c r="C2851" t="s">
        <v>20487</v>
      </c>
      <c r="D2851" t="s">
        <v>11</v>
      </c>
      <c r="E2851" t="s">
        <v>6420</v>
      </c>
      <c r="F2851">
        <v>35</v>
      </c>
      <c r="G2851" t="s">
        <v>109</v>
      </c>
      <c r="H2851" t="s">
        <v>9788</v>
      </c>
    </row>
    <row r="2852" spans="1:10" x14ac:dyDescent="0.3">
      <c r="A2852" t="s">
        <v>6421</v>
      </c>
      <c r="B2852" t="s">
        <v>27071</v>
      </c>
      <c r="C2852" t="s">
        <v>20489</v>
      </c>
      <c r="D2852" t="s">
        <v>22</v>
      </c>
      <c r="E2852" t="s">
        <v>1784</v>
      </c>
      <c r="F2852">
        <v>45</v>
      </c>
      <c r="G2852" t="s">
        <v>109</v>
      </c>
      <c r="H2852" t="s">
        <v>9788</v>
      </c>
      <c r="I2852" t="s">
        <v>779</v>
      </c>
      <c r="J2852" t="s">
        <v>6422</v>
      </c>
    </row>
    <row r="2853" spans="1:10" x14ac:dyDescent="0.3">
      <c r="A2853" t="s">
        <v>6423</v>
      </c>
      <c r="B2853" t="s">
        <v>27072</v>
      </c>
      <c r="C2853" t="s">
        <v>20486</v>
      </c>
      <c r="D2853" t="s">
        <v>11</v>
      </c>
      <c r="E2853" t="s">
        <v>5027</v>
      </c>
      <c r="F2853">
        <v>47</v>
      </c>
      <c r="G2853" t="s">
        <v>329</v>
      </c>
      <c r="H2853" t="s">
        <v>9789</v>
      </c>
      <c r="I2853" t="s">
        <v>6424</v>
      </c>
    </row>
    <row r="2854" spans="1:10" x14ac:dyDescent="0.3">
      <c r="A2854" t="s">
        <v>6425</v>
      </c>
      <c r="B2854" t="s">
        <v>27073</v>
      </c>
      <c r="C2854" t="s">
        <v>20486</v>
      </c>
      <c r="D2854" t="s">
        <v>22</v>
      </c>
      <c r="E2854" t="s">
        <v>6426</v>
      </c>
      <c r="F2854">
        <v>54</v>
      </c>
      <c r="G2854" t="s">
        <v>31</v>
      </c>
      <c r="H2854" t="s">
        <v>31</v>
      </c>
    </row>
    <row r="2855" spans="1:10" x14ac:dyDescent="0.3">
      <c r="A2855" t="s">
        <v>6427</v>
      </c>
      <c r="B2855" t="s">
        <v>27074</v>
      </c>
      <c r="C2855" t="s">
        <v>20486</v>
      </c>
      <c r="D2855" t="s">
        <v>22</v>
      </c>
      <c r="E2855" t="s">
        <v>6428</v>
      </c>
      <c r="F2855">
        <v>40</v>
      </c>
      <c r="G2855" t="s">
        <v>109</v>
      </c>
      <c r="H2855" t="s">
        <v>9788</v>
      </c>
      <c r="I2855" t="s">
        <v>1377</v>
      </c>
      <c r="J2855" t="s">
        <v>12434</v>
      </c>
    </row>
    <row r="2856" spans="1:10" x14ac:dyDescent="0.3">
      <c r="A2856" t="s">
        <v>6429</v>
      </c>
      <c r="B2856" t="s">
        <v>27075</v>
      </c>
      <c r="C2856" t="s">
        <v>20488</v>
      </c>
      <c r="D2856" t="s">
        <v>22</v>
      </c>
      <c r="E2856" t="s">
        <v>6430</v>
      </c>
      <c r="F2856">
        <v>49</v>
      </c>
      <c r="G2856" t="s">
        <v>109</v>
      </c>
      <c r="H2856" t="s">
        <v>9788</v>
      </c>
    </row>
    <row r="2857" spans="1:10" x14ac:dyDescent="0.3">
      <c r="A2857" t="s">
        <v>6431</v>
      </c>
      <c r="B2857" t="s">
        <v>27076</v>
      </c>
      <c r="C2857" t="s">
        <v>20487</v>
      </c>
      <c r="D2857" t="s">
        <v>22</v>
      </c>
      <c r="E2857" t="s">
        <v>6432</v>
      </c>
      <c r="F2857">
        <v>50</v>
      </c>
      <c r="G2857" t="s">
        <v>172</v>
      </c>
      <c r="H2857" t="s">
        <v>9788</v>
      </c>
      <c r="J2857" t="s">
        <v>6433</v>
      </c>
    </row>
    <row r="2858" spans="1:10" x14ac:dyDescent="0.3">
      <c r="A2858" t="s">
        <v>6434</v>
      </c>
      <c r="B2858" t="s">
        <v>27077</v>
      </c>
      <c r="C2858" t="s">
        <v>20486</v>
      </c>
      <c r="D2858" t="s">
        <v>22</v>
      </c>
      <c r="E2858" t="s">
        <v>6435</v>
      </c>
      <c r="F2858">
        <v>41</v>
      </c>
      <c r="G2858" t="s">
        <v>31</v>
      </c>
      <c r="H2858" t="s">
        <v>31</v>
      </c>
      <c r="J2858" t="s">
        <v>33</v>
      </c>
    </row>
    <row r="2859" spans="1:10" x14ac:dyDescent="0.3">
      <c r="A2859" t="s">
        <v>6436</v>
      </c>
      <c r="B2859" t="s">
        <v>27078</v>
      </c>
      <c r="C2859" t="s">
        <v>20486</v>
      </c>
      <c r="D2859" t="s">
        <v>22</v>
      </c>
      <c r="E2859" t="s">
        <v>6437</v>
      </c>
      <c r="F2859">
        <v>68</v>
      </c>
      <c r="G2859" t="s">
        <v>531</v>
      </c>
      <c r="H2859" t="s">
        <v>46</v>
      </c>
      <c r="I2859" t="s">
        <v>4289</v>
      </c>
      <c r="J2859" t="s">
        <v>1412</v>
      </c>
    </row>
    <row r="2860" spans="1:10" x14ac:dyDescent="0.3">
      <c r="A2860" t="s">
        <v>6438</v>
      </c>
      <c r="B2860" t="s">
        <v>27079</v>
      </c>
      <c r="C2860" t="s">
        <v>20486</v>
      </c>
      <c r="D2860" t="s">
        <v>22</v>
      </c>
      <c r="E2860" t="s">
        <v>6439</v>
      </c>
      <c r="F2860">
        <v>58</v>
      </c>
      <c r="G2860" t="s">
        <v>46</v>
      </c>
      <c r="H2860" t="s">
        <v>46</v>
      </c>
      <c r="I2860" t="s">
        <v>228</v>
      </c>
      <c r="J2860" t="s">
        <v>6440</v>
      </c>
    </row>
    <row r="2861" spans="1:10" x14ac:dyDescent="0.3">
      <c r="A2861" t="s">
        <v>6441</v>
      </c>
      <c r="B2861" t="s">
        <v>27080</v>
      </c>
      <c r="C2861" t="s">
        <v>20486</v>
      </c>
      <c r="D2861" t="s">
        <v>11</v>
      </c>
      <c r="E2861" t="s">
        <v>6442</v>
      </c>
      <c r="F2861">
        <v>72</v>
      </c>
      <c r="G2861" t="s">
        <v>243</v>
      </c>
      <c r="H2861" t="s">
        <v>243</v>
      </c>
    </row>
    <row r="2862" spans="1:10" x14ac:dyDescent="0.3">
      <c r="A2862" t="s">
        <v>6443</v>
      </c>
      <c r="B2862" t="s">
        <v>27081</v>
      </c>
      <c r="C2862" t="s">
        <v>20486</v>
      </c>
      <c r="D2862" t="s">
        <v>22</v>
      </c>
      <c r="E2862" t="s">
        <v>6444</v>
      </c>
      <c r="F2862">
        <v>37</v>
      </c>
      <c r="G2862" t="s">
        <v>109</v>
      </c>
      <c r="H2862" t="s">
        <v>9788</v>
      </c>
      <c r="J2862" t="s">
        <v>6445</v>
      </c>
    </row>
    <row r="2863" spans="1:10" x14ac:dyDescent="0.3">
      <c r="A2863" t="s">
        <v>6446</v>
      </c>
      <c r="B2863" t="s">
        <v>27082</v>
      </c>
      <c r="C2863" t="s">
        <v>20489</v>
      </c>
      <c r="D2863" t="s">
        <v>22</v>
      </c>
      <c r="E2863" t="s">
        <v>6447</v>
      </c>
      <c r="F2863">
        <v>44</v>
      </c>
      <c r="G2863" t="s">
        <v>31</v>
      </c>
      <c r="H2863" t="s">
        <v>31</v>
      </c>
    </row>
    <row r="2864" spans="1:10" x14ac:dyDescent="0.3">
      <c r="A2864" t="s">
        <v>6448</v>
      </c>
      <c r="B2864" t="s">
        <v>27083</v>
      </c>
      <c r="C2864" t="s">
        <v>20490</v>
      </c>
      <c r="D2864" t="s">
        <v>11</v>
      </c>
      <c r="E2864" t="s">
        <v>6449</v>
      </c>
      <c r="F2864">
        <v>36</v>
      </c>
      <c r="G2864" t="s">
        <v>370</v>
      </c>
      <c r="H2864" t="s">
        <v>46</v>
      </c>
      <c r="I2864" t="s">
        <v>6450</v>
      </c>
    </row>
    <row r="2865" spans="1:10" x14ac:dyDescent="0.3">
      <c r="A2865" t="s">
        <v>6451</v>
      </c>
      <c r="B2865" t="s">
        <v>27084</v>
      </c>
      <c r="C2865" t="s">
        <v>20486</v>
      </c>
      <c r="D2865" t="s">
        <v>11</v>
      </c>
      <c r="E2865" t="s">
        <v>6452</v>
      </c>
      <c r="F2865">
        <v>68</v>
      </c>
      <c r="G2865" t="s">
        <v>133</v>
      </c>
      <c r="H2865" t="s">
        <v>9789</v>
      </c>
      <c r="I2865" t="s">
        <v>6453</v>
      </c>
      <c r="J2865" t="s">
        <v>6454</v>
      </c>
    </row>
    <row r="2866" spans="1:10" x14ac:dyDescent="0.3">
      <c r="A2866" t="s">
        <v>6455</v>
      </c>
      <c r="B2866" t="s">
        <v>27085</v>
      </c>
      <c r="C2866" t="s">
        <v>20489</v>
      </c>
      <c r="D2866" t="s">
        <v>11</v>
      </c>
      <c r="E2866" t="s">
        <v>6456</v>
      </c>
      <c r="F2866">
        <v>50</v>
      </c>
      <c r="G2866" t="s">
        <v>12435</v>
      </c>
      <c r="H2866" t="s">
        <v>9789</v>
      </c>
      <c r="I2866" t="s">
        <v>12436</v>
      </c>
    </row>
    <row r="2867" spans="1:10" x14ac:dyDescent="0.3">
      <c r="A2867" t="s">
        <v>6457</v>
      </c>
      <c r="B2867" t="s">
        <v>27086</v>
      </c>
      <c r="C2867" t="s">
        <v>20489</v>
      </c>
      <c r="D2867" t="s">
        <v>22</v>
      </c>
      <c r="E2867" t="s">
        <v>6458</v>
      </c>
      <c r="F2867">
        <v>49</v>
      </c>
      <c r="G2867" t="s">
        <v>31</v>
      </c>
      <c r="H2867" t="s">
        <v>31</v>
      </c>
    </row>
    <row r="2868" spans="1:10" x14ac:dyDescent="0.3">
      <c r="A2868" t="s">
        <v>6459</v>
      </c>
      <c r="B2868" t="s">
        <v>27087</v>
      </c>
      <c r="C2868" t="s">
        <v>20489</v>
      </c>
      <c r="D2868" t="s">
        <v>11</v>
      </c>
      <c r="E2868" t="s">
        <v>12437</v>
      </c>
      <c r="F2868">
        <v>19</v>
      </c>
      <c r="G2868" t="s">
        <v>337</v>
      </c>
      <c r="H2868" t="s">
        <v>337</v>
      </c>
    </row>
    <row r="2869" spans="1:10" x14ac:dyDescent="0.3">
      <c r="A2869" t="s">
        <v>6460</v>
      </c>
      <c r="B2869" t="s">
        <v>27088</v>
      </c>
      <c r="C2869" t="s">
        <v>20489</v>
      </c>
      <c r="D2869" t="s">
        <v>22</v>
      </c>
      <c r="E2869" t="s">
        <v>6461</v>
      </c>
      <c r="F2869">
        <v>19</v>
      </c>
      <c r="G2869" t="s">
        <v>337</v>
      </c>
      <c r="H2869" t="s">
        <v>337</v>
      </c>
    </row>
    <row r="2870" spans="1:10" x14ac:dyDescent="0.3">
      <c r="A2870" t="s">
        <v>6462</v>
      </c>
      <c r="B2870" t="s">
        <v>27089</v>
      </c>
      <c r="C2870" t="s">
        <v>20486</v>
      </c>
      <c r="D2870" t="s">
        <v>22</v>
      </c>
      <c r="E2870" t="s">
        <v>6463</v>
      </c>
      <c r="F2870">
        <v>36</v>
      </c>
      <c r="G2870" t="s">
        <v>31</v>
      </c>
      <c r="H2870" t="s">
        <v>31</v>
      </c>
    </row>
    <row r="2871" spans="1:10" x14ac:dyDescent="0.3">
      <c r="A2871" t="s">
        <v>6464</v>
      </c>
      <c r="B2871" t="s">
        <v>27090</v>
      </c>
      <c r="C2871" t="s">
        <v>20487</v>
      </c>
      <c r="D2871" t="s">
        <v>11</v>
      </c>
      <c r="E2871" t="s">
        <v>6465</v>
      </c>
      <c r="F2871">
        <v>62</v>
      </c>
      <c r="G2871" t="s">
        <v>1047</v>
      </c>
      <c r="H2871" t="s">
        <v>9788</v>
      </c>
    </row>
    <row r="2872" spans="1:10" x14ac:dyDescent="0.3">
      <c r="A2872" t="s">
        <v>6466</v>
      </c>
      <c r="B2872" t="s">
        <v>27091</v>
      </c>
      <c r="C2872" t="s">
        <v>20486</v>
      </c>
      <c r="D2872" t="s">
        <v>22</v>
      </c>
      <c r="E2872" t="s">
        <v>6467</v>
      </c>
      <c r="F2872">
        <v>61</v>
      </c>
      <c r="G2872" t="s">
        <v>16</v>
      </c>
      <c r="H2872" t="s">
        <v>9785</v>
      </c>
      <c r="I2872" t="s">
        <v>17</v>
      </c>
      <c r="J2872" t="s">
        <v>6468</v>
      </c>
    </row>
    <row r="2873" spans="1:10" x14ac:dyDescent="0.3">
      <c r="A2873" t="s">
        <v>6469</v>
      </c>
      <c r="B2873" t="s">
        <v>27092</v>
      </c>
      <c r="C2873" t="s">
        <v>20487</v>
      </c>
      <c r="D2873" t="s">
        <v>22</v>
      </c>
      <c r="E2873" t="s">
        <v>6470</v>
      </c>
      <c r="F2873">
        <v>37</v>
      </c>
      <c r="G2873" t="s">
        <v>193</v>
      </c>
      <c r="H2873" t="s">
        <v>243</v>
      </c>
    </row>
    <row r="2874" spans="1:10" x14ac:dyDescent="0.3">
      <c r="A2874" t="s">
        <v>6471</v>
      </c>
      <c r="B2874" t="s">
        <v>27093</v>
      </c>
      <c r="C2874" t="s">
        <v>20486</v>
      </c>
      <c r="D2874" t="s">
        <v>11</v>
      </c>
      <c r="E2874" t="s">
        <v>6472</v>
      </c>
      <c r="F2874">
        <v>34</v>
      </c>
      <c r="G2874" t="s">
        <v>109</v>
      </c>
      <c r="H2874" t="s">
        <v>9788</v>
      </c>
      <c r="I2874" t="s">
        <v>110</v>
      </c>
      <c r="J2874" t="s">
        <v>6473</v>
      </c>
    </row>
    <row r="2875" spans="1:10" x14ac:dyDescent="0.3">
      <c r="A2875" t="s">
        <v>6474</v>
      </c>
      <c r="B2875" t="s">
        <v>27094</v>
      </c>
      <c r="C2875" t="s">
        <v>20486</v>
      </c>
      <c r="D2875" t="s">
        <v>22</v>
      </c>
      <c r="E2875" t="s">
        <v>6475</v>
      </c>
      <c r="F2875">
        <v>37</v>
      </c>
      <c r="G2875" t="s">
        <v>46</v>
      </c>
      <c r="H2875" t="s">
        <v>46</v>
      </c>
      <c r="J2875" t="s">
        <v>6476</v>
      </c>
    </row>
    <row r="2876" spans="1:10" x14ac:dyDescent="0.3">
      <c r="A2876" t="s">
        <v>6477</v>
      </c>
      <c r="B2876" t="s">
        <v>27095</v>
      </c>
      <c r="C2876" t="s">
        <v>20486</v>
      </c>
      <c r="D2876" t="s">
        <v>22</v>
      </c>
      <c r="E2876" t="s">
        <v>6478</v>
      </c>
      <c r="F2876">
        <v>35</v>
      </c>
      <c r="G2876" t="s">
        <v>31</v>
      </c>
      <c r="H2876" t="s">
        <v>9785</v>
      </c>
    </row>
    <row r="2877" spans="1:10" x14ac:dyDescent="0.3">
      <c r="A2877" t="s">
        <v>6479</v>
      </c>
      <c r="B2877" t="s">
        <v>27096</v>
      </c>
      <c r="C2877" t="s">
        <v>20490</v>
      </c>
      <c r="D2877" t="s">
        <v>22</v>
      </c>
      <c r="E2877" t="s">
        <v>6480</v>
      </c>
      <c r="F2877">
        <v>50</v>
      </c>
      <c r="G2877" t="s">
        <v>370</v>
      </c>
      <c r="H2877" t="s">
        <v>46</v>
      </c>
      <c r="J2877" t="s">
        <v>5675</v>
      </c>
    </row>
    <row r="2878" spans="1:10" x14ac:dyDescent="0.3">
      <c r="A2878" t="s">
        <v>6481</v>
      </c>
      <c r="B2878" t="s">
        <v>27097</v>
      </c>
      <c r="C2878" t="s">
        <v>20489</v>
      </c>
      <c r="D2878" t="s">
        <v>11</v>
      </c>
      <c r="E2878" t="s">
        <v>1411</v>
      </c>
      <c r="F2878">
        <v>62</v>
      </c>
      <c r="G2878" t="s">
        <v>46</v>
      </c>
      <c r="H2878" t="s">
        <v>46</v>
      </c>
      <c r="I2878" t="s">
        <v>12438</v>
      </c>
    </row>
    <row r="2879" spans="1:10" x14ac:dyDescent="0.3">
      <c r="A2879" t="s">
        <v>6482</v>
      </c>
      <c r="B2879" t="s">
        <v>27098</v>
      </c>
      <c r="C2879" t="s">
        <v>20486</v>
      </c>
      <c r="D2879" t="s">
        <v>11</v>
      </c>
      <c r="E2879" t="s">
        <v>6483</v>
      </c>
      <c r="F2879">
        <v>63</v>
      </c>
      <c r="G2879" t="s">
        <v>133</v>
      </c>
      <c r="H2879" t="s">
        <v>9789</v>
      </c>
      <c r="I2879" t="s">
        <v>980</v>
      </c>
    </row>
    <row r="2880" spans="1:10" x14ac:dyDescent="0.3">
      <c r="A2880" t="s">
        <v>6484</v>
      </c>
      <c r="B2880" t="s">
        <v>27099</v>
      </c>
      <c r="C2880" t="s">
        <v>20486</v>
      </c>
      <c r="D2880" t="s">
        <v>22</v>
      </c>
      <c r="E2880" t="s">
        <v>6485</v>
      </c>
      <c r="F2880">
        <v>47</v>
      </c>
      <c r="G2880" t="s">
        <v>31</v>
      </c>
      <c r="H2880" t="s">
        <v>31</v>
      </c>
      <c r="J2880" t="s">
        <v>33</v>
      </c>
    </row>
    <row r="2881" spans="1:10" x14ac:dyDescent="0.3">
      <c r="A2881" t="s">
        <v>6486</v>
      </c>
      <c r="B2881" t="s">
        <v>27100</v>
      </c>
      <c r="C2881" t="s">
        <v>20486</v>
      </c>
      <c r="D2881" t="s">
        <v>22</v>
      </c>
      <c r="E2881" t="s">
        <v>6487</v>
      </c>
      <c r="F2881">
        <v>58</v>
      </c>
      <c r="G2881" t="s">
        <v>109</v>
      </c>
      <c r="H2881" t="s">
        <v>9788</v>
      </c>
    </row>
    <row r="2882" spans="1:10" x14ac:dyDescent="0.3">
      <c r="A2882" t="s">
        <v>6488</v>
      </c>
      <c r="B2882" t="s">
        <v>27101</v>
      </c>
      <c r="C2882" t="s">
        <v>20486</v>
      </c>
      <c r="D2882" t="s">
        <v>22</v>
      </c>
      <c r="E2882" t="s">
        <v>6489</v>
      </c>
      <c r="F2882">
        <v>36</v>
      </c>
      <c r="G2882" t="s">
        <v>133</v>
      </c>
      <c r="H2882" t="s">
        <v>9789</v>
      </c>
      <c r="I2882" t="s">
        <v>2477</v>
      </c>
      <c r="J2882" t="s">
        <v>6490</v>
      </c>
    </row>
    <row r="2883" spans="1:10" x14ac:dyDescent="0.3">
      <c r="A2883" t="s">
        <v>6491</v>
      </c>
      <c r="B2883" t="s">
        <v>27102</v>
      </c>
      <c r="C2883" t="s">
        <v>20486</v>
      </c>
      <c r="D2883" t="s">
        <v>22</v>
      </c>
      <c r="E2883" t="s">
        <v>6492</v>
      </c>
      <c r="F2883">
        <v>62</v>
      </c>
      <c r="G2883" t="s">
        <v>46</v>
      </c>
      <c r="H2883" t="s">
        <v>46</v>
      </c>
      <c r="I2883" t="s">
        <v>74</v>
      </c>
      <c r="J2883" t="s">
        <v>74</v>
      </c>
    </row>
    <row r="2884" spans="1:10" x14ac:dyDescent="0.3">
      <c r="A2884" t="s">
        <v>6493</v>
      </c>
      <c r="B2884" t="s">
        <v>27103</v>
      </c>
      <c r="C2884" t="s">
        <v>20488</v>
      </c>
      <c r="D2884" t="s">
        <v>22</v>
      </c>
      <c r="E2884" t="s">
        <v>6494</v>
      </c>
      <c r="F2884">
        <v>45</v>
      </c>
      <c r="G2884" t="s">
        <v>109</v>
      </c>
      <c r="H2884" t="s">
        <v>9788</v>
      </c>
    </row>
    <row r="2885" spans="1:10" x14ac:dyDescent="0.3">
      <c r="A2885" t="s">
        <v>6495</v>
      </c>
      <c r="B2885" t="s">
        <v>27104</v>
      </c>
      <c r="C2885" t="s">
        <v>20486</v>
      </c>
      <c r="D2885" t="s">
        <v>22</v>
      </c>
      <c r="E2885" t="s">
        <v>6496</v>
      </c>
      <c r="F2885">
        <v>39</v>
      </c>
      <c r="G2885" t="s">
        <v>31</v>
      </c>
      <c r="H2885" t="s">
        <v>31</v>
      </c>
      <c r="J2885" t="s">
        <v>33</v>
      </c>
    </row>
    <row r="2886" spans="1:10" x14ac:dyDescent="0.3">
      <c r="A2886" t="s">
        <v>6497</v>
      </c>
      <c r="B2886" t="s">
        <v>27105</v>
      </c>
      <c r="C2886" t="s">
        <v>20488</v>
      </c>
      <c r="D2886" t="s">
        <v>22</v>
      </c>
      <c r="E2886" t="s">
        <v>6498</v>
      </c>
      <c r="F2886">
        <v>32</v>
      </c>
      <c r="G2886" t="s">
        <v>16</v>
      </c>
      <c r="H2886" t="s">
        <v>9785</v>
      </c>
      <c r="I2886" t="s">
        <v>449</v>
      </c>
    </row>
    <row r="2887" spans="1:10" x14ac:dyDescent="0.3">
      <c r="A2887" t="s">
        <v>6499</v>
      </c>
      <c r="B2887" t="s">
        <v>27106</v>
      </c>
      <c r="C2887" t="s">
        <v>20487</v>
      </c>
      <c r="D2887" t="s">
        <v>22</v>
      </c>
      <c r="E2887" t="s">
        <v>6500</v>
      </c>
      <c r="F2887">
        <v>33</v>
      </c>
      <c r="G2887" t="s">
        <v>31</v>
      </c>
      <c r="H2887" t="s">
        <v>31</v>
      </c>
    </row>
    <row r="2888" spans="1:10" x14ac:dyDescent="0.3">
      <c r="A2888" t="s">
        <v>6501</v>
      </c>
      <c r="B2888" t="s">
        <v>27107</v>
      </c>
      <c r="C2888" t="s">
        <v>20489</v>
      </c>
      <c r="D2888" t="s">
        <v>22</v>
      </c>
      <c r="E2888" t="s">
        <v>5314</v>
      </c>
      <c r="F2888">
        <v>50</v>
      </c>
      <c r="G2888" t="s">
        <v>31</v>
      </c>
      <c r="H2888" t="s">
        <v>31</v>
      </c>
    </row>
    <row r="2889" spans="1:10" x14ac:dyDescent="0.3">
      <c r="A2889" t="s">
        <v>6502</v>
      </c>
      <c r="B2889" t="s">
        <v>27108</v>
      </c>
      <c r="C2889" t="s">
        <v>20489</v>
      </c>
      <c r="D2889" t="s">
        <v>11</v>
      </c>
      <c r="E2889" t="s">
        <v>12439</v>
      </c>
      <c r="F2889">
        <v>74</v>
      </c>
      <c r="G2889" t="s">
        <v>46</v>
      </c>
      <c r="H2889" t="s">
        <v>46</v>
      </c>
      <c r="I2889" t="s">
        <v>12263</v>
      </c>
    </row>
    <row r="2890" spans="1:10" x14ac:dyDescent="0.3">
      <c r="A2890" t="s">
        <v>12440</v>
      </c>
      <c r="B2890" t="s">
        <v>27109</v>
      </c>
      <c r="C2890" t="s">
        <v>20491</v>
      </c>
      <c r="D2890" t="s">
        <v>22</v>
      </c>
      <c r="E2890" t="s">
        <v>9631</v>
      </c>
      <c r="F2890">
        <v>16</v>
      </c>
      <c r="G2890" t="s">
        <v>337</v>
      </c>
      <c r="H2890" t="s">
        <v>337</v>
      </c>
    </row>
    <row r="2891" spans="1:10" x14ac:dyDescent="0.3">
      <c r="A2891" t="s">
        <v>6503</v>
      </c>
      <c r="B2891" t="s">
        <v>27110</v>
      </c>
      <c r="C2891" t="s">
        <v>20486</v>
      </c>
      <c r="D2891" t="s">
        <v>11</v>
      </c>
      <c r="E2891" t="s">
        <v>3320</v>
      </c>
      <c r="F2891">
        <v>56</v>
      </c>
      <c r="G2891" t="s">
        <v>2418</v>
      </c>
      <c r="H2891" t="s">
        <v>9787</v>
      </c>
      <c r="I2891" t="s">
        <v>703</v>
      </c>
      <c r="J2891" t="s">
        <v>6504</v>
      </c>
    </row>
    <row r="2892" spans="1:10" x14ac:dyDescent="0.3">
      <c r="A2892" t="s">
        <v>6505</v>
      </c>
      <c r="B2892" t="s">
        <v>27111</v>
      </c>
      <c r="C2892" t="s">
        <v>20487</v>
      </c>
      <c r="D2892" t="s">
        <v>22</v>
      </c>
      <c r="E2892" t="s">
        <v>6506</v>
      </c>
      <c r="F2892">
        <v>43</v>
      </c>
    </row>
    <row r="2893" spans="1:10" x14ac:dyDescent="0.3">
      <c r="A2893" t="s">
        <v>6507</v>
      </c>
      <c r="B2893" t="s">
        <v>27112</v>
      </c>
      <c r="C2893" t="s">
        <v>20488</v>
      </c>
      <c r="D2893" t="s">
        <v>11</v>
      </c>
      <c r="E2893" t="s">
        <v>6508</v>
      </c>
      <c r="F2893">
        <v>52</v>
      </c>
      <c r="G2893" t="s">
        <v>46</v>
      </c>
      <c r="H2893" t="s">
        <v>46</v>
      </c>
      <c r="I2893" t="s">
        <v>6509</v>
      </c>
    </row>
    <row r="2894" spans="1:10" x14ac:dyDescent="0.3">
      <c r="A2894" t="s">
        <v>6510</v>
      </c>
      <c r="B2894" t="s">
        <v>27113</v>
      </c>
      <c r="C2894" t="s">
        <v>20486</v>
      </c>
      <c r="D2894" t="s">
        <v>22</v>
      </c>
      <c r="E2894" t="s">
        <v>5638</v>
      </c>
      <c r="F2894">
        <v>49</v>
      </c>
      <c r="G2894" t="s">
        <v>172</v>
      </c>
      <c r="H2894" t="s">
        <v>12099</v>
      </c>
      <c r="J2894" t="s">
        <v>6085</v>
      </c>
    </row>
    <row r="2895" spans="1:10" x14ac:dyDescent="0.3">
      <c r="A2895" t="s">
        <v>6511</v>
      </c>
      <c r="B2895" t="s">
        <v>27114</v>
      </c>
      <c r="C2895" t="s">
        <v>20486</v>
      </c>
      <c r="D2895" t="s">
        <v>22</v>
      </c>
      <c r="E2895" t="s">
        <v>6512</v>
      </c>
      <c r="F2895">
        <v>32</v>
      </c>
      <c r="G2895" t="s">
        <v>16</v>
      </c>
      <c r="H2895" t="s">
        <v>9785</v>
      </c>
      <c r="I2895" t="s">
        <v>17</v>
      </c>
      <c r="J2895" t="s">
        <v>67</v>
      </c>
    </row>
    <row r="2896" spans="1:10" x14ac:dyDescent="0.3">
      <c r="A2896" t="s">
        <v>6513</v>
      </c>
      <c r="B2896" t="s">
        <v>27115</v>
      </c>
      <c r="C2896" t="s">
        <v>20486</v>
      </c>
      <c r="D2896" t="s">
        <v>22</v>
      </c>
      <c r="E2896" t="s">
        <v>6514</v>
      </c>
      <c r="F2896">
        <v>35</v>
      </c>
      <c r="G2896" t="s">
        <v>88</v>
      </c>
      <c r="H2896" t="s">
        <v>12065</v>
      </c>
      <c r="I2896" t="s">
        <v>110</v>
      </c>
      <c r="J2896" t="s">
        <v>101</v>
      </c>
    </row>
    <row r="2897" spans="1:10" x14ac:dyDescent="0.3">
      <c r="A2897" t="s">
        <v>6515</v>
      </c>
      <c r="B2897" t="s">
        <v>27116</v>
      </c>
      <c r="C2897" t="s">
        <v>20488</v>
      </c>
      <c r="D2897" t="s">
        <v>22</v>
      </c>
      <c r="E2897" t="s">
        <v>2136</v>
      </c>
      <c r="F2897">
        <v>48</v>
      </c>
      <c r="G2897" t="s">
        <v>46</v>
      </c>
      <c r="H2897" t="s">
        <v>46</v>
      </c>
      <c r="I2897" t="s">
        <v>3895</v>
      </c>
    </row>
    <row r="2898" spans="1:10" x14ac:dyDescent="0.3">
      <c r="A2898" t="s">
        <v>6516</v>
      </c>
      <c r="B2898" t="s">
        <v>27117</v>
      </c>
      <c r="C2898" t="s">
        <v>20486</v>
      </c>
      <c r="D2898" t="s">
        <v>22</v>
      </c>
      <c r="E2898" t="s">
        <v>6517</v>
      </c>
      <c r="F2898">
        <v>43</v>
      </c>
      <c r="G2898" t="s">
        <v>31</v>
      </c>
      <c r="H2898" t="s">
        <v>31</v>
      </c>
      <c r="J2898" t="s">
        <v>33</v>
      </c>
    </row>
    <row r="2899" spans="1:10" x14ac:dyDescent="0.3">
      <c r="A2899" t="s">
        <v>6518</v>
      </c>
      <c r="B2899" t="s">
        <v>27118</v>
      </c>
      <c r="C2899" t="s">
        <v>20486</v>
      </c>
      <c r="D2899" t="s">
        <v>22</v>
      </c>
      <c r="E2899" t="s">
        <v>6519</v>
      </c>
      <c r="F2899">
        <v>51</v>
      </c>
      <c r="G2899" t="s">
        <v>31</v>
      </c>
      <c r="H2899" t="s">
        <v>31</v>
      </c>
    </row>
    <row r="2900" spans="1:10" x14ac:dyDescent="0.3">
      <c r="A2900" t="s">
        <v>6520</v>
      </c>
      <c r="B2900" t="s">
        <v>27119</v>
      </c>
      <c r="C2900" t="s">
        <v>20486</v>
      </c>
      <c r="D2900" t="s">
        <v>22</v>
      </c>
      <c r="E2900" t="s">
        <v>6521</v>
      </c>
      <c r="F2900">
        <v>49</v>
      </c>
      <c r="G2900" t="s">
        <v>46</v>
      </c>
      <c r="H2900" t="s">
        <v>46</v>
      </c>
      <c r="I2900" t="s">
        <v>228</v>
      </c>
      <c r="J2900" t="s">
        <v>838</v>
      </c>
    </row>
    <row r="2901" spans="1:10" x14ac:dyDescent="0.3">
      <c r="A2901" t="s">
        <v>6522</v>
      </c>
      <c r="B2901" t="s">
        <v>27120</v>
      </c>
      <c r="C2901" t="s">
        <v>20488</v>
      </c>
      <c r="D2901" t="s">
        <v>22</v>
      </c>
      <c r="E2901" t="s">
        <v>6523</v>
      </c>
      <c r="F2901">
        <v>56</v>
      </c>
      <c r="G2901" t="s">
        <v>133</v>
      </c>
      <c r="H2901" t="s">
        <v>9789</v>
      </c>
      <c r="I2901" t="s">
        <v>1412</v>
      </c>
      <c r="J2901" t="s">
        <v>6524</v>
      </c>
    </row>
    <row r="2902" spans="1:10" x14ac:dyDescent="0.3">
      <c r="A2902" t="s">
        <v>6525</v>
      </c>
      <c r="B2902" t="s">
        <v>27121</v>
      </c>
      <c r="C2902" t="s">
        <v>20486</v>
      </c>
      <c r="D2902" t="s">
        <v>22</v>
      </c>
      <c r="E2902" t="s">
        <v>6526</v>
      </c>
      <c r="F2902">
        <v>61</v>
      </c>
      <c r="G2902" t="s">
        <v>31</v>
      </c>
      <c r="H2902" t="s">
        <v>46</v>
      </c>
      <c r="I2902" t="s">
        <v>18830</v>
      </c>
      <c r="J2902" t="s">
        <v>6527</v>
      </c>
    </row>
    <row r="2903" spans="1:10" x14ac:dyDescent="0.3">
      <c r="A2903" t="s">
        <v>6528</v>
      </c>
      <c r="B2903" t="s">
        <v>27122</v>
      </c>
      <c r="C2903" t="s">
        <v>20486</v>
      </c>
      <c r="D2903" t="s">
        <v>22</v>
      </c>
      <c r="E2903" t="s">
        <v>6529</v>
      </c>
      <c r="F2903">
        <v>33</v>
      </c>
      <c r="G2903" t="s">
        <v>31</v>
      </c>
      <c r="H2903" t="s">
        <v>31</v>
      </c>
      <c r="J2903" t="s">
        <v>33</v>
      </c>
    </row>
    <row r="2904" spans="1:10" x14ac:dyDescent="0.3">
      <c r="A2904" t="s">
        <v>6530</v>
      </c>
      <c r="B2904" t="s">
        <v>27123</v>
      </c>
      <c r="C2904" t="s">
        <v>20486</v>
      </c>
      <c r="D2904" t="s">
        <v>22</v>
      </c>
      <c r="E2904" t="s">
        <v>6531</v>
      </c>
      <c r="F2904">
        <v>55</v>
      </c>
      <c r="G2904" t="s">
        <v>31</v>
      </c>
      <c r="H2904" t="s">
        <v>31</v>
      </c>
      <c r="J2904" t="s">
        <v>33</v>
      </c>
    </row>
    <row r="2905" spans="1:10" x14ac:dyDescent="0.3">
      <c r="A2905" t="s">
        <v>6532</v>
      </c>
      <c r="B2905" t="s">
        <v>27124</v>
      </c>
      <c r="C2905" t="s">
        <v>20486</v>
      </c>
      <c r="D2905" t="s">
        <v>11</v>
      </c>
      <c r="E2905" t="s">
        <v>5199</v>
      </c>
      <c r="F2905">
        <v>37</v>
      </c>
      <c r="G2905" t="s">
        <v>133</v>
      </c>
      <c r="H2905" t="s">
        <v>9789</v>
      </c>
      <c r="J2905" t="s">
        <v>6533</v>
      </c>
    </row>
    <row r="2906" spans="1:10" x14ac:dyDescent="0.3">
      <c r="A2906" t="s">
        <v>6534</v>
      </c>
      <c r="B2906" t="s">
        <v>27125</v>
      </c>
      <c r="C2906" t="s">
        <v>20490</v>
      </c>
      <c r="D2906" t="s">
        <v>22</v>
      </c>
      <c r="E2906" t="s">
        <v>6535</v>
      </c>
      <c r="F2906">
        <v>43</v>
      </c>
      <c r="G2906" t="s">
        <v>16</v>
      </c>
      <c r="H2906" t="s">
        <v>9785</v>
      </c>
      <c r="J2906" t="s">
        <v>6536</v>
      </c>
    </row>
    <row r="2907" spans="1:10" x14ac:dyDescent="0.3">
      <c r="A2907" t="s">
        <v>6537</v>
      </c>
      <c r="B2907" t="s">
        <v>27126</v>
      </c>
      <c r="C2907" t="s">
        <v>20487</v>
      </c>
      <c r="D2907" t="s">
        <v>11</v>
      </c>
      <c r="E2907" t="s">
        <v>6538</v>
      </c>
      <c r="F2907">
        <v>38</v>
      </c>
      <c r="G2907" t="s">
        <v>1047</v>
      </c>
      <c r="H2907" t="s">
        <v>9788</v>
      </c>
      <c r="J2907" t="s">
        <v>6539</v>
      </c>
    </row>
    <row r="2908" spans="1:10" x14ac:dyDescent="0.3">
      <c r="A2908" t="s">
        <v>6540</v>
      </c>
      <c r="B2908" t="s">
        <v>27127</v>
      </c>
      <c r="C2908" t="s">
        <v>20490</v>
      </c>
      <c r="D2908" t="s">
        <v>11</v>
      </c>
      <c r="E2908" t="s">
        <v>6541</v>
      </c>
      <c r="F2908">
        <v>56</v>
      </c>
      <c r="G2908" t="s">
        <v>370</v>
      </c>
      <c r="H2908" t="s">
        <v>46</v>
      </c>
      <c r="I2908" t="s">
        <v>6542</v>
      </c>
    </row>
    <row r="2909" spans="1:10" x14ac:dyDescent="0.3">
      <c r="A2909" t="s">
        <v>6543</v>
      </c>
      <c r="B2909" t="s">
        <v>27128</v>
      </c>
      <c r="C2909" t="s">
        <v>20490</v>
      </c>
      <c r="D2909" t="s">
        <v>22</v>
      </c>
      <c r="E2909" t="s">
        <v>6544</v>
      </c>
      <c r="F2909">
        <v>43</v>
      </c>
      <c r="G2909" t="s">
        <v>370</v>
      </c>
      <c r="H2909" t="s">
        <v>46</v>
      </c>
    </row>
    <row r="2910" spans="1:10" x14ac:dyDescent="0.3">
      <c r="A2910" t="s">
        <v>6545</v>
      </c>
      <c r="B2910" t="s">
        <v>27129</v>
      </c>
      <c r="C2910" t="s">
        <v>20486</v>
      </c>
      <c r="D2910" t="s">
        <v>11</v>
      </c>
      <c r="E2910" t="s">
        <v>6546</v>
      </c>
      <c r="F2910">
        <v>65</v>
      </c>
      <c r="G2910" t="s">
        <v>172</v>
      </c>
      <c r="H2910" t="s">
        <v>12099</v>
      </c>
      <c r="J2910" t="s">
        <v>6547</v>
      </c>
    </row>
    <row r="2911" spans="1:10" x14ac:dyDescent="0.3">
      <c r="A2911" t="s">
        <v>6548</v>
      </c>
      <c r="B2911" t="s">
        <v>27130</v>
      </c>
      <c r="C2911" t="s">
        <v>20490</v>
      </c>
      <c r="D2911" t="s">
        <v>11</v>
      </c>
      <c r="E2911" t="s">
        <v>6549</v>
      </c>
      <c r="F2911">
        <v>36</v>
      </c>
      <c r="G2911" t="s">
        <v>109</v>
      </c>
      <c r="H2911" t="s">
        <v>9788</v>
      </c>
      <c r="J2911" t="s">
        <v>3759</v>
      </c>
    </row>
    <row r="2912" spans="1:10" x14ac:dyDescent="0.3">
      <c r="A2912" t="s">
        <v>6550</v>
      </c>
      <c r="B2912" t="s">
        <v>27131</v>
      </c>
      <c r="C2912" t="s">
        <v>20486</v>
      </c>
      <c r="D2912" t="s">
        <v>22</v>
      </c>
      <c r="E2912" t="s">
        <v>4971</v>
      </c>
      <c r="F2912">
        <v>43</v>
      </c>
      <c r="G2912" t="s">
        <v>31</v>
      </c>
      <c r="H2912" t="s">
        <v>46</v>
      </c>
      <c r="I2912" t="s">
        <v>201</v>
      </c>
      <c r="J2912" t="s">
        <v>74</v>
      </c>
    </row>
    <row r="2913" spans="1:10" x14ac:dyDescent="0.3">
      <c r="A2913" t="s">
        <v>6551</v>
      </c>
      <c r="B2913" t="s">
        <v>27132</v>
      </c>
      <c r="C2913" t="s">
        <v>20486</v>
      </c>
      <c r="D2913" t="s">
        <v>22</v>
      </c>
      <c r="E2913" t="s">
        <v>6552</v>
      </c>
      <c r="F2913">
        <v>71</v>
      </c>
      <c r="G2913" t="s">
        <v>370</v>
      </c>
      <c r="H2913" t="s">
        <v>46</v>
      </c>
      <c r="I2913" t="s">
        <v>3091</v>
      </c>
      <c r="J2913" t="s">
        <v>3371</v>
      </c>
    </row>
    <row r="2914" spans="1:10" x14ac:dyDescent="0.3">
      <c r="A2914" t="s">
        <v>6553</v>
      </c>
      <c r="B2914" t="s">
        <v>27133</v>
      </c>
      <c r="C2914" t="s">
        <v>20486</v>
      </c>
      <c r="D2914" t="s">
        <v>22</v>
      </c>
      <c r="E2914" t="s">
        <v>6554</v>
      </c>
      <c r="F2914">
        <v>34</v>
      </c>
      <c r="G2914" t="s">
        <v>31</v>
      </c>
      <c r="H2914" t="s">
        <v>31</v>
      </c>
    </row>
    <row r="2915" spans="1:10" x14ac:dyDescent="0.3">
      <c r="A2915" t="s">
        <v>6555</v>
      </c>
      <c r="B2915" t="s">
        <v>27134</v>
      </c>
      <c r="C2915" t="s">
        <v>20486</v>
      </c>
      <c r="D2915" t="s">
        <v>22</v>
      </c>
      <c r="E2915" t="s">
        <v>625</v>
      </c>
      <c r="F2915">
        <v>40</v>
      </c>
      <c r="G2915" t="s">
        <v>109</v>
      </c>
      <c r="H2915" t="s">
        <v>9789</v>
      </c>
      <c r="I2915" t="s">
        <v>18831</v>
      </c>
      <c r="J2915" t="s">
        <v>901</v>
      </c>
    </row>
    <row r="2916" spans="1:10" x14ac:dyDescent="0.3">
      <c r="A2916" t="s">
        <v>6556</v>
      </c>
      <c r="B2916" t="s">
        <v>27135</v>
      </c>
      <c r="C2916" t="s">
        <v>20491</v>
      </c>
      <c r="D2916" t="s">
        <v>22</v>
      </c>
      <c r="E2916" t="s">
        <v>6557</v>
      </c>
      <c r="F2916">
        <v>51</v>
      </c>
      <c r="G2916" t="s">
        <v>31</v>
      </c>
      <c r="H2916" t="s">
        <v>31</v>
      </c>
      <c r="J2916" t="s">
        <v>1678</v>
      </c>
    </row>
    <row r="2917" spans="1:10" x14ac:dyDescent="0.3">
      <c r="A2917" t="s">
        <v>6558</v>
      </c>
      <c r="B2917" t="s">
        <v>27136</v>
      </c>
      <c r="C2917" t="s">
        <v>20486</v>
      </c>
      <c r="D2917" t="s">
        <v>11</v>
      </c>
      <c r="E2917" t="s">
        <v>6559</v>
      </c>
      <c r="F2917">
        <v>44</v>
      </c>
      <c r="G2917" t="s">
        <v>16</v>
      </c>
      <c r="H2917" t="s">
        <v>9785</v>
      </c>
      <c r="I2917" t="s">
        <v>17</v>
      </c>
      <c r="J2917" t="s">
        <v>6560</v>
      </c>
    </row>
    <row r="2918" spans="1:10" x14ac:dyDescent="0.3">
      <c r="A2918" t="s">
        <v>6561</v>
      </c>
      <c r="B2918" t="s">
        <v>27137</v>
      </c>
      <c r="C2918" t="s">
        <v>20486</v>
      </c>
      <c r="D2918" t="s">
        <v>22</v>
      </c>
      <c r="E2918" t="s">
        <v>6562</v>
      </c>
      <c r="F2918">
        <v>27</v>
      </c>
      <c r="G2918" t="s">
        <v>109</v>
      </c>
      <c r="H2918" t="s">
        <v>9788</v>
      </c>
      <c r="I2918" t="s">
        <v>956</v>
      </c>
    </row>
    <row r="2919" spans="1:10" x14ac:dyDescent="0.3">
      <c r="A2919" t="s">
        <v>6563</v>
      </c>
      <c r="B2919" t="s">
        <v>27138</v>
      </c>
      <c r="C2919" t="s">
        <v>20486</v>
      </c>
      <c r="D2919" t="s">
        <v>22</v>
      </c>
      <c r="E2919" t="s">
        <v>6564</v>
      </c>
      <c r="F2919">
        <v>27</v>
      </c>
      <c r="G2919" t="s">
        <v>109</v>
      </c>
      <c r="H2919" t="s">
        <v>9788</v>
      </c>
      <c r="I2919" t="s">
        <v>971</v>
      </c>
      <c r="J2919" t="s">
        <v>225</v>
      </c>
    </row>
    <row r="2920" spans="1:10" x14ac:dyDescent="0.3">
      <c r="A2920" t="s">
        <v>6566</v>
      </c>
      <c r="B2920" t="s">
        <v>27139</v>
      </c>
      <c r="C2920" t="s">
        <v>20486</v>
      </c>
      <c r="D2920" t="s">
        <v>22</v>
      </c>
      <c r="E2920" t="s">
        <v>6567</v>
      </c>
      <c r="F2920">
        <v>52</v>
      </c>
      <c r="G2920" t="s">
        <v>5098</v>
      </c>
      <c r="H2920" t="s">
        <v>9785</v>
      </c>
      <c r="I2920" t="s">
        <v>17</v>
      </c>
    </row>
    <row r="2921" spans="1:10" x14ac:dyDescent="0.3">
      <c r="A2921" t="s">
        <v>6568</v>
      </c>
      <c r="B2921" t="s">
        <v>27140</v>
      </c>
      <c r="C2921" t="s">
        <v>20488</v>
      </c>
      <c r="D2921" t="s">
        <v>11</v>
      </c>
      <c r="E2921" t="s">
        <v>6569</v>
      </c>
      <c r="F2921">
        <v>32</v>
      </c>
      <c r="G2921" t="s">
        <v>109</v>
      </c>
      <c r="H2921" t="s">
        <v>9788</v>
      </c>
    </row>
    <row r="2922" spans="1:10" x14ac:dyDescent="0.3">
      <c r="A2922" t="s">
        <v>6570</v>
      </c>
      <c r="B2922" t="s">
        <v>27141</v>
      </c>
      <c r="C2922" t="s">
        <v>20486</v>
      </c>
      <c r="D2922" t="s">
        <v>22</v>
      </c>
      <c r="E2922" t="s">
        <v>6087</v>
      </c>
      <c r="F2922">
        <v>66</v>
      </c>
      <c r="G2922" t="s">
        <v>531</v>
      </c>
      <c r="H2922" t="s">
        <v>46</v>
      </c>
      <c r="J2922" t="s">
        <v>1412</v>
      </c>
    </row>
    <row r="2923" spans="1:10" x14ac:dyDescent="0.3">
      <c r="A2923" t="s">
        <v>6571</v>
      </c>
      <c r="B2923" t="s">
        <v>27142</v>
      </c>
      <c r="C2923" t="s">
        <v>20486</v>
      </c>
      <c r="D2923" t="s">
        <v>11</v>
      </c>
      <c r="E2923" t="s">
        <v>6572</v>
      </c>
      <c r="F2923">
        <v>42</v>
      </c>
      <c r="G2923" t="s">
        <v>133</v>
      </c>
      <c r="H2923" t="s">
        <v>9789</v>
      </c>
      <c r="I2923" t="s">
        <v>1425</v>
      </c>
      <c r="J2923" t="s">
        <v>1426</v>
      </c>
    </row>
    <row r="2924" spans="1:10" x14ac:dyDescent="0.3">
      <c r="A2924" t="s">
        <v>6573</v>
      </c>
      <c r="B2924" t="s">
        <v>27143</v>
      </c>
      <c r="C2924" t="s">
        <v>20486</v>
      </c>
      <c r="D2924" t="s">
        <v>22</v>
      </c>
      <c r="E2924" t="s">
        <v>6574</v>
      </c>
      <c r="F2924">
        <v>47</v>
      </c>
      <c r="G2924" t="s">
        <v>31</v>
      </c>
      <c r="H2924" t="s">
        <v>31</v>
      </c>
      <c r="J2924" t="s">
        <v>33</v>
      </c>
    </row>
    <row r="2925" spans="1:10" x14ac:dyDescent="0.3">
      <c r="A2925" t="s">
        <v>6575</v>
      </c>
      <c r="B2925" t="s">
        <v>27144</v>
      </c>
      <c r="C2925" t="s">
        <v>20486</v>
      </c>
      <c r="D2925" t="s">
        <v>11</v>
      </c>
      <c r="E2925" t="s">
        <v>6576</v>
      </c>
      <c r="F2925">
        <v>29</v>
      </c>
      <c r="G2925" t="s">
        <v>109</v>
      </c>
      <c r="H2925" t="s">
        <v>9789</v>
      </c>
      <c r="I2925" t="s">
        <v>5095</v>
      </c>
      <c r="J2925" t="s">
        <v>5406</v>
      </c>
    </row>
    <row r="2926" spans="1:10" x14ac:dyDescent="0.3">
      <c r="A2926" t="s">
        <v>6577</v>
      </c>
      <c r="B2926" t="s">
        <v>27145</v>
      </c>
      <c r="C2926" t="s">
        <v>20488</v>
      </c>
      <c r="D2926" t="s">
        <v>22</v>
      </c>
      <c r="E2926" t="s">
        <v>6578</v>
      </c>
      <c r="F2926">
        <v>39</v>
      </c>
      <c r="G2926" t="s">
        <v>16</v>
      </c>
      <c r="H2926" t="s">
        <v>9785</v>
      </c>
      <c r="J2926" t="s">
        <v>6579</v>
      </c>
    </row>
    <row r="2927" spans="1:10" x14ac:dyDescent="0.3">
      <c r="A2927" t="s">
        <v>6580</v>
      </c>
      <c r="B2927" t="s">
        <v>27146</v>
      </c>
      <c r="C2927" t="s">
        <v>20490</v>
      </c>
      <c r="D2927" t="s">
        <v>22</v>
      </c>
      <c r="E2927" t="s">
        <v>6581</v>
      </c>
      <c r="F2927">
        <v>53</v>
      </c>
      <c r="G2927" t="s">
        <v>16</v>
      </c>
      <c r="H2927" t="s">
        <v>9785</v>
      </c>
      <c r="J2927" t="s">
        <v>6536</v>
      </c>
    </row>
    <row r="2928" spans="1:10" x14ac:dyDescent="0.3">
      <c r="A2928" t="s">
        <v>6582</v>
      </c>
      <c r="B2928" t="s">
        <v>27147</v>
      </c>
      <c r="C2928" t="s">
        <v>20489</v>
      </c>
      <c r="D2928" t="s">
        <v>22</v>
      </c>
      <c r="E2928" t="s">
        <v>6583</v>
      </c>
      <c r="F2928">
        <v>52</v>
      </c>
      <c r="G2928" t="s">
        <v>31</v>
      </c>
      <c r="H2928" t="s">
        <v>31</v>
      </c>
    </row>
    <row r="2929" spans="1:10" x14ac:dyDescent="0.3">
      <c r="A2929" t="s">
        <v>6584</v>
      </c>
      <c r="B2929" t="s">
        <v>27148</v>
      </c>
      <c r="C2929" t="s">
        <v>20486</v>
      </c>
      <c r="D2929" t="s">
        <v>22</v>
      </c>
      <c r="E2929" t="s">
        <v>6585</v>
      </c>
      <c r="F2929">
        <v>62</v>
      </c>
      <c r="G2929" t="s">
        <v>155</v>
      </c>
      <c r="H2929" t="s">
        <v>9791</v>
      </c>
      <c r="J2929" t="s">
        <v>54</v>
      </c>
    </row>
    <row r="2930" spans="1:10" x14ac:dyDescent="0.3">
      <c r="A2930" t="s">
        <v>6586</v>
      </c>
      <c r="B2930" t="s">
        <v>27149</v>
      </c>
      <c r="C2930" t="s">
        <v>20486</v>
      </c>
      <c r="D2930" t="s">
        <v>11</v>
      </c>
      <c r="E2930" t="s">
        <v>6587</v>
      </c>
      <c r="F2930">
        <v>62</v>
      </c>
      <c r="G2930" t="s">
        <v>133</v>
      </c>
      <c r="H2930" t="s">
        <v>9789</v>
      </c>
      <c r="I2930" t="s">
        <v>6588</v>
      </c>
      <c r="J2930" t="s">
        <v>6589</v>
      </c>
    </row>
    <row r="2931" spans="1:10" x14ac:dyDescent="0.3">
      <c r="A2931" t="s">
        <v>6590</v>
      </c>
      <c r="B2931" t="s">
        <v>27150</v>
      </c>
      <c r="C2931" t="s">
        <v>20486</v>
      </c>
      <c r="D2931" t="s">
        <v>11</v>
      </c>
      <c r="E2931" t="s">
        <v>6591</v>
      </c>
      <c r="F2931">
        <v>35</v>
      </c>
    </row>
    <row r="2932" spans="1:10" x14ac:dyDescent="0.3">
      <c r="A2932" t="s">
        <v>6592</v>
      </c>
      <c r="B2932" t="s">
        <v>27151</v>
      </c>
      <c r="C2932" t="s">
        <v>20489</v>
      </c>
      <c r="D2932" t="s">
        <v>11</v>
      </c>
      <c r="E2932" t="s">
        <v>1333</v>
      </c>
      <c r="F2932">
        <v>45</v>
      </c>
      <c r="G2932" t="s">
        <v>109</v>
      </c>
      <c r="H2932" t="s">
        <v>9788</v>
      </c>
      <c r="I2932" t="s">
        <v>110</v>
      </c>
      <c r="J2932" t="s">
        <v>6593</v>
      </c>
    </row>
    <row r="2933" spans="1:10" x14ac:dyDescent="0.3">
      <c r="A2933" t="s">
        <v>6594</v>
      </c>
      <c r="B2933" t="s">
        <v>27152</v>
      </c>
      <c r="C2933" t="s">
        <v>20487</v>
      </c>
      <c r="D2933" t="s">
        <v>22</v>
      </c>
      <c r="E2933" t="s">
        <v>6595</v>
      </c>
      <c r="F2933">
        <v>45</v>
      </c>
      <c r="G2933" t="s">
        <v>31</v>
      </c>
      <c r="H2933" t="s">
        <v>31</v>
      </c>
    </row>
    <row r="2934" spans="1:10" x14ac:dyDescent="0.3">
      <c r="A2934" t="s">
        <v>6596</v>
      </c>
      <c r="B2934" t="s">
        <v>27153</v>
      </c>
      <c r="C2934" t="s">
        <v>20486</v>
      </c>
      <c r="D2934" t="s">
        <v>22</v>
      </c>
      <c r="E2934" t="s">
        <v>6597</v>
      </c>
      <c r="F2934">
        <v>36</v>
      </c>
      <c r="G2934" t="s">
        <v>46</v>
      </c>
      <c r="H2934" t="s">
        <v>46</v>
      </c>
      <c r="I2934" t="s">
        <v>6598</v>
      </c>
      <c r="J2934" t="s">
        <v>6599</v>
      </c>
    </row>
    <row r="2935" spans="1:10" x14ac:dyDescent="0.3">
      <c r="A2935" t="s">
        <v>6600</v>
      </c>
      <c r="B2935" t="s">
        <v>27154</v>
      </c>
      <c r="C2935" t="s">
        <v>20488</v>
      </c>
      <c r="D2935" t="s">
        <v>22</v>
      </c>
      <c r="E2935" t="s">
        <v>6601</v>
      </c>
      <c r="F2935">
        <v>59</v>
      </c>
      <c r="G2935" t="s">
        <v>16</v>
      </c>
      <c r="H2935" t="s">
        <v>9785</v>
      </c>
      <c r="I2935" t="s">
        <v>449</v>
      </c>
      <c r="J2935" t="s">
        <v>6602</v>
      </c>
    </row>
    <row r="2936" spans="1:10" x14ac:dyDescent="0.3">
      <c r="A2936" t="s">
        <v>6603</v>
      </c>
      <c r="B2936" t="s">
        <v>27155</v>
      </c>
      <c r="C2936" t="s">
        <v>20486</v>
      </c>
      <c r="D2936" t="s">
        <v>11</v>
      </c>
      <c r="E2936" t="s">
        <v>6604</v>
      </c>
      <c r="F2936">
        <v>36</v>
      </c>
      <c r="G2936" t="s">
        <v>16</v>
      </c>
      <c r="H2936" t="s">
        <v>9785</v>
      </c>
      <c r="I2936" t="s">
        <v>17</v>
      </c>
      <c r="J2936" t="s">
        <v>6605</v>
      </c>
    </row>
    <row r="2937" spans="1:10" x14ac:dyDescent="0.3">
      <c r="A2937" t="s">
        <v>6606</v>
      </c>
      <c r="B2937" t="s">
        <v>27156</v>
      </c>
      <c r="C2937" t="s">
        <v>20486</v>
      </c>
      <c r="D2937" t="s">
        <v>11</v>
      </c>
      <c r="E2937" t="s">
        <v>6607</v>
      </c>
      <c r="F2937">
        <v>47</v>
      </c>
      <c r="G2937" t="s">
        <v>109</v>
      </c>
      <c r="H2937" t="s">
        <v>9788</v>
      </c>
    </row>
    <row r="2938" spans="1:10" x14ac:dyDescent="0.3">
      <c r="A2938" t="s">
        <v>6608</v>
      </c>
      <c r="B2938" t="s">
        <v>27157</v>
      </c>
      <c r="C2938" t="s">
        <v>20486</v>
      </c>
      <c r="D2938" t="s">
        <v>22</v>
      </c>
      <c r="E2938" t="s">
        <v>6609</v>
      </c>
      <c r="F2938">
        <v>47</v>
      </c>
      <c r="G2938" t="s">
        <v>172</v>
      </c>
      <c r="H2938" t="s">
        <v>12099</v>
      </c>
    </row>
    <row r="2939" spans="1:10" x14ac:dyDescent="0.3">
      <c r="A2939" t="s">
        <v>12441</v>
      </c>
      <c r="B2939" t="s">
        <v>27158</v>
      </c>
      <c r="C2939" t="s">
        <v>20486</v>
      </c>
      <c r="D2939" t="s">
        <v>22</v>
      </c>
      <c r="E2939" t="s">
        <v>9630</v>
      </c>
      <c r="F2939">
        <v>34</v>
      </c>
    </row>
    <row r="2940" spans="1:10" x14ac:dyDescent="0.3">
      <c r="A2940" t="s">
        <v>6610</v>
      </c>
      <c r="B2940" t="s">
        <v>27159</v>
      </c>
      <c r="C2940" t="s">
        <v>20489</v>
      </c>
      <c r="D2940" t="s">
        <v>22</v>
      </c>
      <c r="E2940" t="s">
        <v>6611</v>
      </c>
      <c r="F2940">
        <v>41</v>
      </c>
      <c r="G2940" t="s">
        <v>31</v>
      </c>
      <c r="H2940" t="s">
        <v>31</v>
      </c>
    </row>
    <row r="2941" spans="1:10" x14ac:dyDescent="0.3">
      <c r="A2941" t="s">
        <v>6613</v>
      </c>
      <c r="B2941" t="s">
        <v>27160</v>
      </c>
      <c r="C2941" t="s">
        <v>20490</v>
      </c>
      <c r="D2941" t="s">
        <v>22</v>
      </c>
      <c r="E2941" t="s">
        <v>2996</v>
      </c>
      <c r="F2941">
        <v>37</v>
      </c>
      <c r="G2941" t="s">
        <v>31</v>
      </c>
      <c r="H2941" t="s">
        <v>31</v>
      </c>
    </row>
    <row r="2942" spans="1:10" x14ac:dyDescent="0.3">
      <c r="A2942" t="s">
        <v>6614</v>
      </c>
      <c r="B2942" t="s">
        <v>27161</v>
      </c>
      <c r="C2942" t="s">
        <v>20488</v>
      </c>
      <c r="D2942" t="s">
        <v>11</v>
      </c>
      <c r="E2942" t="s">
        <v>6615</v>
      </c>
      <c r="F2942">
        <v>51</v>
      </c>
      <c r="G2942" t="s">
        <v>109</v>
      </c>
      <c r="H2942" t="s">
        <v>9788</v>
      </c>
    </row>
    <row r="2943" spans="1:10" x14ac:dyDescent="0.3">
      <c r="A2943" t="s">
        <v>6616</v>
      </c>
      <c r="B2943" t="s">
        <v>27162</v>
      </c>
      <c r="C2943" t="s">
        <v>20486</v>
      </c>
      <c r="D2943" t="s">
        <v>11</v>
      </c>
      <c r="E2943" t="s">
        <v>6617</v>
      </c>
      <c r="F2943">
        <v>42</v>
      </c>
      <c r="G2943" t="s">
        <v>133</v>
      </c>
      <c r="H2943" t="s">
        <v>9789</v>
      </c>
    </row>
    <row r="2944" spans="1:10" x14ac:dyDescent="0.3">
      <c r="A2944" t="s">
        <v>6618</v>
      </c>
      <c r="B2944" t="s">
        <v>27163</v>
      </c>
      <c r="C2944" t="s">
        <v>20488</v>
      </c>
      <c r="D2944" t="s">
        <v>22</v>
      </c>
      <c r="E2944" t="s">
        <v>6619</v>
      </c>
      <c r="F2944">
        <v>43</v>
      </c>
      <c r="G2944" t="s">
        <v>109</v>
      </c>
      <c r="H2944" t="s">
        <v>9788</v>
      </c>
    </row>
    <row r="2945" spans="1:10" x14ac:dyDescent="0.3">
      <c r="A2945" t="s">
        <v>6620</v>
      </c>
      <c r="B2945" t="s">
        <v>27164</v>
      </c>
      <c r="C2945" t="s">
        <v>20486</v>
      </c>
      <c r="D2945" t="s">
        <v>22</v>
      </c>
      <c r="E2945" t="s">
        <v>6621</v>
      </c>
      <c r="F2945">
        <v>50</v>
      </c>
      <c r="G2945" t="s">
        <v>133</v>
      </c>
      <c r="H2945" t="s">
        <v>9789</v>
      </c>
      <c r="I2945" t="s">
        <v>3529</v>
      </c>
      <c r="J2945" t="s">
        <v>6622</v>
      </c>
    </row>
    <row r="2946" spans="1:10" x14ac:dyDescent="0.3">
      <c r="A2946" t="s">
        <v>6623</v>
      </c>
      <c r="B2946" t="s">
        <v>27165</v>
      </c>
      <c r="C2946" t="s">
        <v>20486</v>
      </c>
      <c r="D2946" t="s">
        <v>22</v>
      </c>
      <c r="E2946" t="s">
        <v>6624</v>
      </c>
      <c r="F2946">
        <v>30</v>
      </c>
      <c r="G2946" t="s">
        <v>384</v>
      </c>
    </row>
    <row r="2947" spans="1:10" x14ac:dyDescent="0.3">
      <c r="A2947" t="s">
        <v>6625</v>
      </c>
      <c r="B2947" t="s">
        <v>27166</v>
      </c>
      <c r="C2947" t="s">
        <v>20489</v>
      </c>
      <c r="D2947" t="s">
        <v>11</v>
      </c>
      <c r="E2947" t="s">
        <v>6626</v>
      </c>
      <c r="F2947">
        <v>47</v>
      </c>
      <c r="G2947" t="s">
        <v>243</v>
      </c>
      <c r="H2947" t="s">
        <v>243</v>
      </c>
    </row>
    <row r="2948" spans="1:10" x14ac:dyDescent="0.3">
      <c r="A2948" t="s">
        <v>6627</v>
      </c>
      <c r="B2948" t="s">
        <v>27167</v>
      </c>
      <c r="C2948" t="s">
        <v>20486</v>
      </c>
      <c r="D2948" t="s">
        <v>22</v>
      </c>
      <c r="E2948" t="s">
        <v>6628</v>
      </c>
      <c r="F2948">
        <v>44</v>
      </c>
      <c r="G2948" t="s">
        <v>31</v>
      </c>
      <c r="H2948" t="s">
        <v>31</v>
      </c>
      <c r="J2948" t="s">
        <v>33</v>
      </c>
    </row>
    <row r="2949" spans="1:10" x14ac:dyDescent="0.3">
      <c r="A2949" t="s">
        <v>6629</v>
      </c>
      <c r="B2949" t="s">
        <v>27168</v>
      </c>
      <c r="C2949" t="s">
        <v>20486</v>
      </c>
      <c r="D2949" t="s">
        <v>22</v>
      </c>
      <c r="E2949" t="s">
        <v>6630</v>
      </c>
      <c r="F2949">
        <v>65</v>
      </c>
      <c r="G2949" t="s">
        <v>31</v>
      </c>
      <c r="H2949" t="s">
        <v>31</v>
      </c>
      <c r="J2949" t="s">
        <v>33</v>
      </c>
    </row>
    <row r="2950" spans="1:10" x14ac:dyDescent="0.3">
      <c r="A2950" t="s">
        <v>6631</v>
      </c>
      <c r="B2950" t="s">
        <v>27169</v>
      </c>
      <c r="C2950" t="s">
        <v>20486</v>
      </c>
      <c r="D2950" t="s">
        <v>22</v>
      </c>
      <c r="E2950" t="s">
        <v>5320</v>
      </c>
      <c r="F2950">
        <v>53</v>
      </c>
      <c r="G2950" t="s">
        <v>109</v>
      </c>
      <c r="H2950" t="s">
        <v>9788</v>
      </c>
      <c r="I2950" t="s">
        <v>17</v>
      </c>
      <c r="J2950" t="s">
        <v>6632</v>
      </c>
    </row>
    <row r="2951" spans="1:10" x14ac:dyDescent="0.3">
      <c r="A2951" t="s">
        <v>6633</v>
      </c>
      <c r="B2951" t="s">
        <v>27170</v>
      </c>
      <c r="C2951" t="s">
        <v>20488</v>
      </c>
      <c r="D2951" t="s">
        <v>22</v>
      </c>
      <c r="E2951" t="s">
        <v>6634</v>
      </c>
      <c r="F2951">
        <v>44</v>
      </c>
      <c r="G2951" t="s">
        <v>109</v>
      </c>
      <c r="H2951" t="s">
        <v>9788</v>
      </c>
      <c r="J2951" t="s">
        <v>6635</v>
      </c>
    </row>
    <row r="2952" spans="1:10" x14ac:dyDescent="0.3">
      <c r="A2952" t="s">
        <v>6636</v>
      </c>
      <c r="B2952" t="s">
        <v>27171</v>
      </c>
      <c r="C2952" t="s">
        <v>20486</v>
      </c>
      <c r="D2952" t="s">
        <v>22</v>
      </c>
      <c r="E2952" t="s">
        <v>6637</v>
      </c>
      <c r="F2952">
        <v>44</v>
      </c>
      <c r="G2952" t="s">
        <v>109</v>
      </c>
      <c r="H2952" t="s">
        <v>9788</v>
      </c>
      <c r="J2952" t="s">
        <v>2481</v>
      </c>
    </row>
    <row r="2953" spans="1:10" x14ac:dyDescent="0.3">
      <c r="A2953" t="s">
        <v>6638</v>
      </c>
      <c r="B2953" t="s">
        <v>27172</v>
      </c>
      <c r="C2953" t="s">
        <v>20490</v>
      </c>
      <c r="D2953" t="s">
        <v>22</v>
      </c>
      <c r="E2953" t="s">
        <v>6639</v>
      </c>
      <c r="F2953">
        <v>29</v>
      </c>
      <c r="G2953" t="s">
        <v>172</v>
      </c>
      <c r="H2953" t="s">
        <v>12099</v>
      </c>
    </row>
    <row r="2954" spans="1:10" x14ac:dyDescent="0.3">
      <c r="A2954" t="s">
        <v>6640</v>
      </c>
      <c r="B2954" t="s">
        <v>27173</v>
      </c>
      <c r="C2954" t="s">
        <v>20486</v>
      </c>
      <c r="D2954" t="s">
        <v>22</v>
      </c>
      <c r="E2954" t="s">
        <v>6641</v>
      </c>
      <c r="F2954">
        <v>59</v>
      </c>
      <c r="G2954" t="s">
        <v>155</v>
      </c>
      <c r="H2954" t="s">
        <v>9791</v>
      </c>
    </row>
    <row r="2955" spans="1:10" x14ac:dyDescent="0.3">
      <c r="A2955" t="s">
        <v>6642</v>
      </c>
      <c r="B2955" t="s">
        <v>27174</v>
      </c>
      <c r="C2955" t="s">
        <v>20486</v>
      </c>
      <c r="D2955" t="s">
        <v>11</v>
      </c>
      <c r="E2955" t="s">
        <v>6643</v>
      </c>
      <c r="F2955">
        <v>37</v>
      </c>
      <c r="G2955" t="s">
        <v>1331</v>
      </c>
      <c r="H2955" t="s">
        <v>9788</v>
      </c>
      <c r="J2955" t="s">
        <v>6644</v>
      </c>
    </row>
    <row r="2956" spans="1:10" x14ac:dyDescent="0.3">
      <c r="A2956" t="s">
        <v>6645</v>
      </c>
      <c r="B2956" t="s">
        <v>27175</v>
      </c>
      <c r="C2956" t="s">
        <v>20487</v>
      </c>
      <c r="D2956" t="s">
        <v>11</v>
      </c>
      <c r="E2956" t="s">
        <v>6646</v>
      </c>
      <c r="F2956">
        <v>39</v>
      </c>
      <c r="G2956" t="s">
        <v>109</v>
      </c>
      <c r="H2956" t="s">
        <v>9788</v>
      </c>
      <c r="J2956" t="s">
        <v>6647</v>
      </c>
    </row>
    <row r="2957" spans="1:10" x14ac:dyDescent="0.3">
      <c r="A2957" t="s">
        <v>6648</v>
      </c>
      <c r="B2957" t="s">
        <v>27176</v>
      </c>
      <c r="C2957" t="s">
        <v>20486</v>
      </c>
      <c r="D2957" t="s">
        <v>22</v>
      </c>
      <c r="E2957" t="s">
        <v>6649</v>
      </c>
      <c r="F2957">
        <v>37</v>
      </c>
      <c r="G2957" t="s">
        <v>133</v>
      </c>
      <c r="H2957" t="s">
        <v>9789</v>
      </c>
      <c r="I2957" t="s">
        <v>900</v>
      </c>
      <c r="J2957" t="s">
        <v>490</v>
      </c>
    </row>
    <row r="2958" spans="1:10" x14ac:dyDescent="0.3">
      <c r="A2958" t="s">
        <v>6650</v>
      </c>
      <c r="B2958" t="s">
        <v>27177</v>
      </c>
      <c r="C2958" t="s">
        <v>20487</v>
      </c>
      <c r="D2958" t="s">
        <v>22</v>
      </c>
      <c r="E2958" t="s">
        <v>6651</v>
      </c>
      <c r="F2958">
        <v>59</v>
      </c>
      <c r="G2958" t="s">
        <v>109</v>
      </c>
      <c r="H2958" t="s">
        <v>9788</v>
      </c>
      <c r="J2958" t="s">
        <v>6652</v>
      </c>
    </row>
    <row r="2959" spans="1:10" x14ac:dyDescent="0.3">
      <c r="A2959" t="s">
        <v>6653</v>
      </c>
      <c r="B2959" t="s">
        <v>27178</v>
      </c>
      <c r="C2959" t="s">
        <v>20486</v>
      </c>
      <c r="D2959" t="s">
        <v>22</v>
      </c>
      <c r="E2959" t="s">
        <v>6654</v>
      </c>
      <c r="F2959">
        <v>54</v>
      </c>
      <c r="G2959" t="s">
        <v>46</v>
      </c>
      <c r="H2959" t="s">
        <v>46</v>
      </c>
      <c r="I2959" t="s">
        <v>228</v>
      </c>
      <c r="J2959" t="s">
        <v>6655</v>
      </c>
    </row>
    <row r="2960" spans="1:10" x14ac:dyDescent="0.3">
      <c r="A2960" t="s">
        <v>6656</v>
      </c>
      <c r="B2960" t="s">
        <v>27179</v>
      </c>
      <c r="C2960" t="s">
        <v>20491</v>
      </c>
      <c r="D2960" t="s">
        <v>22</v>
      </c>
      <c r="E2960" t="s">
        <v>4749</v>
      </c>
      <c r="F2960">
        <v>43</v>
      </c>
      <c r="G2960" t="s">
        <v>109</v>
      </c>
      <c r="H2960" t="s">
        <v>9788</v>
      </c>
    </row>
    <row r="2961" spans="1:10" x14ac:dyDescent="0.3">
      <c r="A2961" t="s">
        <v>6657</v>
      </c>
      <c r="B2961" t="s">
        <v>27180</v>
      </c>
      <c r="C2961" t="s">
        <v>20486</v>
      </c>
      <c r="D2961" t="s">
        <v>11</v>
      </c>
      <c r="E2961" t="s">
        <v>6658</v>
      </c>
      <c r="F2961">
        <v>65</v>
      </c>
      <c r="G2961" t="s">
        <v>109</v>
      </c>
      <c r="H2961" t="s">
        <v>9788</v>
      </c>
    </row>
    <row r="2962" spans="1:10" x14ac:dyDescent="0.3">
      <c r="A2962" t="s">
        <v>6659</v>
      </c>
      <c r="B2962" t="s">
        <v>27181</v>
      </c>
      <c r="C2962" t="s">
        <v>20487</v>
      </c>
      <c r="D2962" t="s">
        <v>11</v>
      </c>
      <c r="E2962" t="s">
        <v>6660</v>
      </c>
      <c r="F2962">
        <v>35</v>
      </c>
      <c r="G2962" t="s">
        <v>109</v>
      </c>
      <c r="H2962" t="s">
        <v>9788</v>
      </c>
      <c r="J2962" t="s">
        <v>6661</v>
      </c>
    </row>
    <row r="2963" spans="1:10" x14ac:dyDescent="0.3">
      <c r="A2963" t="s">
        <v>6662</v>
      </c>
      <c r="B2963" t="s">
        <v>27182</v>
      </c>
      <c r="C2963" t="s">
        <v>20488</v>
      </c>
      <c r="D2963" t="s">
        <v>22</v>
      </c>
      <c r="E2963" t="s">
        <v>6663</v>
      </c>
      <c r="F2963">
        <v>27</v>
      </c>
      <c r="G2963" t="s">
        <v>109</v>
      </c>
      <c r="H2963" t="s">
        <v>9788</v>
      </c>
      <c r="I2963" t="s">
        <v>6367</v>
      </c>
      <c r="J2963" t="s">
        <v>574</v>
      </c>
    </row>
    <row r="2964" spans="1:10" x14ac:dyDescent="0.3">
      <c r="A2964" t="s">
        <v>6664</v>
      </c>
      <c r="B2964" t="s">
        <v>27183</v>
      </c>
      <c r="C2964" t="s">
        <v>20486</v>
      </c>
      <c r="D2964" t="s">
        <v>11</v>
      </c>
      <c r="E2964" t="s">
        <v>6284</v>
      </c>
      <c r="F2964">
        <v>28</v>
      </c>
      <c r="G2964" t="s">
        <v>109</v>
      </c>
      <c r="H2964" t="s">
        <v>9788</v>
      </c>
    </row>
    <row r="2965" spans="1:10" x14ac:dyDescent="0.3">
      <c r="A2965" t="s">
        <v>6665</v>
      </c>
      <c r="B2965" t="s">
        <v>27184</v>
      </c>
      <c r="C2965" t="s">
        <v>20486</v>
      </c>
      <c r="D2965" t="s">
        <v>22</v>
      </c>
      <c r="E2965" t="s">
        <v>6666</v>
      </c>
      <c r="F2965">
        <v>59</v>
      </c>
      <c r="G2965" t="s">
        <v>31</v>
      </c>
      <c r="H2965" t="s">
        <v>31</v>
      </c>
      <c r="J2965" t="s">
        <v>33</v>
      </c>
    </row>
    <row r="2966" spans="1:10" x14ac:dyDescent="0.3">
      <c r="A2966" t="s">
        <v>6667</v>
      </c>
      <c r="B2966" t="s">
        <v>27185</v>
      </c>
      <c r="C2966" t="s">
        <v>20486</v>
      </c>
      <c r="D2966" t="s">
        <v>22</v>
      </c>
      <c r="E2966" t="s">
        <v>6668</v>
      </c>
      <c r="F2966">
        <v>39</v>
      </c>
      <c r="G2966" t="s">
        <v>31</v>
      </c>
      <c r="H2966" t="s">
        <v>31</v>
      </c>
    </row>
    <row r="2967" spans="1:10" x14ac:dyDescent="0.3">
      <c r="A2967" t="s">
        <v>6669</v>
      </c>
      <c r="B2967" t="s">
        <v>27186</v>
      </c>
      <c r="C2967" t="s">
        <v>20486</v>
      </c>
      <c r="D2967" t="s">
        <v>22</v>
      </c>
      <c r="E2967" t="s">
        <v>6670</v>
      </c>
      <c r="F2967">
        <v>53</v>
      </c>
    </row>
    <row r="2968" spans="1:10" x14ac:dyDescent="0.3">
      <c r="A2968" t="s">
        <v>6671</v>
      </c>
      <c r="B2968" t="s">
        <v>27187</v>
      </c>
      <c r="C2968" t="s">
        <v>20490</v>
      </c>
      <c r="D2968" t="s">
        <v>22</v>
      </c>
      <c r="E2968" t="s">
        <v>2433</v>
      </c>
      <c r="F2968">
        <v>56</v>
      </c>
      <c r="G2968" t="s">
        <v>370</v>
      </c>
      <c r="H2968" t="s">
        <v>46</v>
      </c>
      <c r="I2968" t="s">
        <v>5816</v>
      </c>
    </row>
    <row r="2969" spans="1:10" x14ac:dyDescent="0.3">
      <c r="A2969" t="s">
        <v>6672</v>
      </c>
      <c r="B2969" t="s">
        <v>27188</v>
      </c>
      <c r="C2969" t="s">
        <v>20486</v>
      </c>
      <c r="D2969" t="s">
        <v>22</v>
      </c>
      <c r="E2969" t="s">
        <v>6673</v>
      </c>
      <c r="F2969">
        <v>75</v>
      </c>
      <c r="G2969" t="s">
        <v>13</v>
      </c>
      <c r="H2969" t="s">
        <v>13</v>
      </c>
    </row>
    <row r="2970" spans="1:10" x14ac:dyDescent="0.3">
      <c r="A2970" t="s">
        <v>6674</v>
      </c>
      <c r="B2970" t="s">
        <v>27189</v>
      </c>
      <c r="C2970" t="s">
        <v>20486</v>
      </c>
      <c r="D2970" t="s">
        <v>22</v>
      </c>
      <c r="E2970" t="s">
        <v>6675</v>
      </c>
      <c r="F2970">
        <v>33</v>
      </c>
      <c r="G2970" t="s">
        <v>46</v>
      </c>
      <c r="H2970" t="s">
        <v>46</v>
      </c>
      <c r="I2970" t="s">
        <v>228</v>
      </c>
      <c r="J2970" t="s">
        <v>6676</v>
      </c>
    </row>
    <row r="2971" spans="1:10" x14ac:dyDescent="0.3">
      <c r="A2971" t="s">
        <v>6677</v>
      </c>
      <c r="B2971" t="s">
        <v>27190</v>
      </c>
      <c r="C2971" t="s">
        <v>20486</v>
      </c>
      <c r="D2971" t="s">
        <v>22</v>
      </c>
      <c r="E2971" t="s">
        <v>916</v>
      </c>
      <c r="F2971">
        <v>35</v>
      </c>
      <c r="G2971" t="s">
        <v>31</v>
      </c>
      <c r="H2971" t="s">
        <v>31</v>
      </c>
    </row>
    <row r="2972" spans="1:10" x14ac:dyDescent="0.3">
      <c r="A2972" t="s">
        <v>12442</v>
      </c>
      <c r="B2972" t="s">
        <v>27191</v>
      </c>
      <c r="C2972" t="s">
        <v>20487</v>
      </c>
      <c r="D2972" t="s">
        <v>11</v>
      </c>
      <c r="E2972" t="s">
        <v>9629</v>
      </c>
      <c r="F2972">
        <v>21</v>
      </c>
      <c r="G2972" t="s">
        <v>337</v>
      </c>
      <c r="H2972" t="s">
        <v>337</v>
      </c>
    </row>
    <row r="2973" spans="1:10" x14ac:dyDescent="0.3">
      <c r="A2973" t="s">
        <v>6678</v>
      </c>
      <c r="B2973" t="s">
        <v>27192</v>
      </c>
      <c r="C2973" t="s">
        <v>20486</v>
      </c>
      <c r="D2973" t="s">
        <v>22</v>
      </c>
      <c r="E2973" t="s">
        <v>6679</v>
      </c>
      <c r="F2973">
        <v>43</v>
      </c>
      <c r="G2973" t="s">
        <v>31</v>
      </c>
      <c r="H2973" t="s">
        <v>31</v>
      </c>
      <c r="J2973" t="s">
        <v>33</v>
      </c>
    </row>
    <row r="2974" spans="1:10" x14ac:dyDescent="0.3">
      <c r="A2974" t="s">
        <v>6680</v>
      </c>
      <c r="B2974" t="s">
        <v>27193</v>
      </c>
      <c r="C2974" t="s">
        <v>20486</v>
      </c>
      <c r="D2974" t="s">
        <v>22</v>
      </c>
      <c r="E2974" t="s">
        <v>6681</v>
      </c>
      <c r="F2974">
        <v>66</v>
      </c>
      <c r="G2974" t="s">
        <v>46</v>
      </c>
      <c r="H2974" t="s">
        <v>46</v>
      </c>
    </row>
    <row r="2975" spans="1:10" x14ac:dyDescent="0.3">
      <c r="A2975" t="s">
        <v>6682</v>
      </c>
      <c r="B2975" t="s">
        <v>27194</v>
      </c>
      <c r="C2975" t="s">
        <v>20486</v>
      </c>
      <c r="D2975" t="s">
        <v>22</v>
      </c>
      <c r="E2975" t="s">
        <v>1257</v>
      </c>
      <c r="F2975">
        <v>61</v>
      </c>
      <c r="G2975" t="s">
        <v>31</v>
      </c>
      <c r="H2975" t="s">
        <v>31</v>
      </c>
    </row>
    <row r="2976" spans="1:10" x14ac:dyDescent="0.3">
      <c r="A2976" t="s">
        <v>6683</v>
      </c>
      <c r="B2976" t="s">
        <v>27195</v>
      </c>
      <c r="C2976" t="s">
        <v>20486</v>
      </c>
      <c r="D2976" t="s">
        <v>22</v>
      </c>
      <c r="E2976" t="s">
        <v>6684</v>
      </c>
      <c r="F2976">
        <v>46</v>
      </c>
      <c r="G2976" t="s">
        <v>109</v>
      </c>
      <c r="H2976" t="s">
        <v>9789</v>
      </c>
      <c r="I2976" t="s">
        <v>6685</v>
      </c>
      <c r="J2976" t="s">
        <v>6686</v>
      </c>
    </row>
    <row r="2977" spans="1:10" x14ac:dyDescent="0.3">
      <c r="A2977" t="s">
        <v>6687</v>
      </c>
      <c r="B2977" t="s">
        <v>27196</v>
      </c>
      <c r="C2977" t="s">
        <v>20487</v>
      </c>
      <c r="D2977" t="s">
        <v>11</v>
      </c>
      <c r="E2977" t="s">
        <v>6688</v>
      </c>
      <c r="F2977">
        <v>43</v>
      </c>
      <c r="G2977" t="s">
        <v>220</v>
      </c>
      <c r="H2977" t="s">
        <v>46</v>
      </c>
      <c r="J2977" t="s">
        <v>6689</v>
      </c>
    </row>
    <row r="2978" spans="1:10" x14ac:dyDescent="0.3">
      <c r="A2978" t="s">
        <v>6690</v>
      </c>
      <c r="B2978" t="s">
        <v>27197</v>
      </c>
      <c r="C2978" t="s">
        <v>20487</v>
      </c>
      <c r="D2978" t="s">
        <v>22</v>
      </c>
      <c r="E2978" t="s">
        <v>6691</v>
      </c>
      <c r="F2978">
        <v>42</v>
      </c>
      <c r="G2978" t="s">
        <v>220</v>
      </c>
      <c r="H2978" t="s">
        <v>46</v>
      </c>
      <c r="J2978" t="s">
        <v>6689</v>
      </c>
    </row>
    <row r="2979" spans="1:10" x14ac:dyDescent="0.3">
      <c r="A2979" t="s">
        <v>12443</v>
      </c>
      <c r="B2979" t="s">
        <v>27198</v>
      </c>
      <c r="C2979" t="s">
        <v>20491</v>
      </c>
      <c r="D2979" t="s">
        <v>11</v>
      </c>
      <c r="E2979" t="s">
        <v>9628</v>
      </c>
      <c r="F2979">
        <v>19</v>
      </c>
      <c r="G2979" t="s">
        <v>337</v>
      </c>
      <c r="H2979" t="s">
        <v>337</v>
      </c>
    </row>
    <row r="2980" spans="1:10" x14ac:dyDescent="0.3">
      <c r="A2980" t="s">
        <v>6692</v>
      </c>
      <c r="B2980" t="s">
        <v>27199</v>
      </c>
      <c r="C2980" t="s">
        <v>20488</v>
      </c>
      <c r="D2980" t="s">
        <v>22</v>
      </c>
      <c r="E2980" t="s">
        <v>6693</v>
      </c>
      <c r="F2980">
        <v>73</v>
      </c>
      <c r="G2980" t="s">
        <v>31</v>
      </c>
      <c r="H2980" t="s">
        <v>31</v>
      </c>
    </row>
    <row r="2981" spans="1:10" x14ac:dyDescent="0.3">
      <c r="A2981" t="s">
        <v>6694</v>
      </c>
      <c r="B2981" t="s">
        <v>27200</v>
      </c>
      <c r="C2981" t="s">
        <v>20488</v>
      </c>
      <c r="D2981" t="s">
        <v>11</v>
      </c>
      <c r="E2981" t="s">
        <v>4699</v>
      </c>
      <c r="F2981">
        <v>39</v>
      </c>
      <c r="G2981" t="s">
        <v>109</v>
      </c>
      <c r="H2981" t="s">
        <v>9788</v>
      </c>
    </row>
    <row r="2982" spans="1:10" x14ac:dyDescent="0.3">
      <c r="A2982" t="s">
        <v>6695</v>
      </c>
      <c r="B2982" t="s">
        <v>27201</v>
      </c>
      <c r="C2982" t="s">
        <v>20490</v>
      </c>
      <c r="D2982" t="s">
        <v>22</v>
      </c>
      <c r="E2982" t="s">
        <v>6696</v>
      </c>
      <c r="F2982">
        <v>46</v>
      </c>
      <c r="G2982" t="s">
        <v>109</v>
      </c>
      <c r="H2982" t="s">
        <v>9788</v>
      </c>
      <c r="I2982" t="s">
        <v>6697</v>
      </c>
      <c r="J2982" t="s">
        <v>14333</v>
      </c>
    </row>
    <row r="2983" spans="1:10" x14ac:dyDescent="0.3">
      <c r="A2983" t="s">
        <v>6698</v>
      </c>
      <c r="B2983" t="s">
        <v>27202</v>
      </c>
      <c r="C2983" t="s">
        <v>20487</v>
      </c>
      <c r="D2983" t="s">
        <v>22</v>
      </c>
      <c r="E2983" t="s">
        <v>6699</v>
      </c>
      <c r="F2983">
        <v>47</v>
      </c>
      <c r="G2983" t="s">
        <v>6700</v>
      </c>
      <c r="H2983" t="s">
        <v>46</v>
      </c>
    </row>
    <row r="2984" spans="1:10" x14ac:dyDescent="0.3">
      <c r="A2984" t="s">
        <v>6701</v>
      </c>
      <c r="B2984" t="s">
        <v>27203</v>
      </c>
      <c r="C2984" t="s">
        <v>20486</v>
      </c>
      <c r="D2984" t="s">
        <v>22</v>
      </c>
      <c r="E2984" t="s">
        <v>1858</v>
      </c>
      <c r="F2984">
        <v>43</v>
      </c>
      <c r="H2984" t="s">
        <v>9788</v>
      </c>
      <c r="J2984" t="s">
        <v>6702</v>
      </c>
    </row>
    <row r="2985" spans="1:10" x14ac:dyDescent="0.3">
      <c r="A2985" t="s">
        <v>6703</v>
      </c>
      <c r="B2985" t="s">
        <v>27204</v>
      </c>
      <c r="C2985" t="s">
        <v>20486</v>
      </c>
      <c r="D2985" t="s">
        <v>11</v>
      </c>
      <c r="E2985" t="s">
        <v>1288</v>
      </c>
      <c r="F2985">
        <v>45</v>
      </c>
      <c r="G2985" t="s">
        <v>1331</v>
      </c>
      <c r="H2985" t="s">
        <v>9788</v>
      </c>
      <c r="I2985" t="s">
        <v>3231</v>
      </c>
      <c r="J2985" t="s">
        <v>4485</v>
      </c>
    </row>
    <row r="2986" spans="1:10" x14ac:dyDescent="0.3">
      <c r="A2986" t="s">
        <v>6704</v>
      </c>
      <c r="B2986" t="s">
        <v>27205</v>
      </c>
      <c r="C2986" t="s">
        <v>20487</v>
      </c>
      <c r="D2986" t="s">
        <v>11</v>
      </c>
      <c r="E2986" t="s">
        <v>6705</v>
      </c>
      <c r="F2986">
        <v>31</v>
      </c>
      <c r="G2986" t="s">
        <v>46</v>
      </c>
      <c r="H2986" t="s">
        <v>46</v>
      </c>
    </row>
    <row r="2987" spans="1:10" x14ac:dyDescent="0.3">
      <c r="A2987" t="s">
        <v>12444</v>
      </c>
      <c r="B2987" t="s">
        <v>27206</v>
      </c>
      <c r="C2987" t="s">
        <v>20488</v>
      </c>
      <c r="D2987" t="s">
        <v>11</v>
      </c>
      <c r="E2987" t="s">
        <v>4328</v>
      </c>
      <c r="F2987">
        <v>37</v>
      </c>
      <c r="G2987" t="s">
        <v>16</v>
      </c>
      <c r="H2987" t="s">
        <v>9785</v>
      </c>
    </row>
    <row r="2988" spans="1:10" x14ac:dyDescent="0.3">
      <c r="A2988" t="s">
        <v>6706</v>
      </c>
      <c r="B2988" t="s">
        <v>27207</v>
      </c>
      <c r="C2988" t="s">
        <v>20488</v>
      </c>
      <c r="D2988" t="s">
        <v>22</v>
      </c>
      <c r="E2988" t="s">
        <v>6707</v>
      </c>
      <c r="F2988">
        <v>32</v>
      </c>
      <c r="G2988" t="s">
        <v>46</v>
      </c>
      <c r="H2988" t="s">
        <v>46</v>
      </c>
      <c r="I2988" t="s">
        <v>6708</v>
      </c>
      <c r="J2988" t="s">
        <v>14334</v>
      </c>
    </row>
    <row r="2989" spans="1:10" x14ac:dyDescent="0.3">
      <c r="A2989" t="s">
        <v>6709</v>
      </c>
      <c r="B2989" t="s">
        <v>27208</v>
      </c>
      <c r="C2989" t="s">
        <v>20487</v>
      </c>
      <c r="D2989" t="s">
        <v>11</v>
      </c>
      <c r="E2989" t="s">
        <v>6710</v>
      </c>
      <c r="F2989">
        <v>26</v>
      </c>
      <c r="G2989" t="s">
        <v>109</v>
      </c>
      <c r="H2989" t="s">
        <v>9788</v>
      </c>
    </row>
    <row r="2990" spans="1:10" x14ac:dyDescent="0.3">
      <c r="A2990" t="s">
        <v>6711</v>
      </c>
      <c r="B2990" t="s">
        <v>27209</v>
      </c>
      <c r="C2990" t="s">
        <v>20486</v>
      </c>
      <c r="D2990" t="s">
        <v>11</v>
      </c>
      <c r="E2990" t="s">
        <v>6712</v>
      </c>
      <c r="F2990">
        <v>48</v>
      </c>
      <c r="G2990" t="s">
        <v>46</v>
      </c>
      <c r="H2990" t="s">
        <v>46</v>
      </c>
      <c r="J2990" t="s">
        <v>6713</v>
      </c>
    </row>
    <row r="2991" spans="1:10" x14ac:dyDescent="0.3">
      <c r="A2991" t="s">
        <v>6714</v>
      </c>
      <c r="B2991" t="s">
        <v>27210</v>
      </c>
      <c r="C2991" t="s">
        <v>20486</v>
      </c>
      <c r="D2991" t="s">
        <v>11</v>
      </c>
      <c r="E2991" t="s">
        <v>6715</v>
      </c>
      <c r="F2991">
        <v>63</v>
      </c>
      <c r="G2991" t="s">
        <v>172</v>
      </c>
      <c r="H2991" t="s">
        <v>12099</v>
      </c>
      <c r="I2991" t="s">
        <v>17</v>
      </c>
      <c r="J2991" t="s">
        <v>6716</v>
      </c>
    </row>
    <row r="2992" spans="1:10" x14ac:dyDescent="0.3">
      <c r="A2992" t="s">
        <v>6717</v>
      </c>
      <c r="B2992" t="s">
        <v>27211</v>
      </c>
      <c r="C2992" t="s">
        <v>20487</v>
      </c>
      <c r="D2992" t="s">
        <v>11</v>
      </c>
      <c r="E2992" t="s">
        <v>6718</v>
      </c>
      <c r="F2992">
        <v>56</v>
      </c>
      <c r="G2992" t="s">
        <v>109</v>
      </c>
      <c r="H2992" t="s">
        <v>9788</v>
      </c>
      <c r="J2992" t="s">
        <v>6719</v>
      </c>
    </row>
    <row r="2993" spans="1:10" x14ac:dyDescent="0.3">
      <c r="A2993" t="s">
        <v>6720</v>
      </c>
      <c r="B2993" t="s">
        <v>27212</v>
      </c>
      <c r="C2993" t="s">
        <v>20486</v>
      </c>
      <c r="D2993" t="s">
        <v>22</v>
      </c>
      <c r="E2993" t="s">
        <v>6721</v>
      </c>
      <c r="F2993">
        <v>53</v>
      </c>
      <c r="G2993" t="s">
        <v>46</v>
      </c>
      <c r="H2993" t="s">
        <v>46</v>
      </c>
      <c r="J2993" t="s">
        <v>149</v>
      </c>
    </row>
    <row r="2994" spans="1:10" x14ac:dyDescent="0.3">
      <c r="A2994" t="s">
        <v>6722</v>
      </c>
      <c r="B2994" t="s">
        <v>27213</v>
      </c>
      <c r="C2994" t="s">
        <v>20486</v>
      </c>
      <c r="D2994" t="s">
        <v>22</v>
      </c>
      <c r="E2994" t="s">
        <v>6723</v>
      </c>
      <c r="F2994">
        <v>65</v>
      </c>
      <c r="G2994" t="s">
        <v>31</v>
      </c>
      <c r="H2994" t="s">
        <v>31</v>
      </c>
      <c r="J2994" t="s">
        <v>33</v>
      </c>
    </row>
    <row r="2995" spans="1:10" x14ac:dyDescent="0.3">
      <c r="A2995" t="s">
        <v>6725</v>
      </c>
      <c r="B2995" t="s">
        <v>27214</v>
      </c>
      <c r="C2995" t="s">
        <v>20488</v>
      </c>
      <c r="D2995" t="s">
        <v>22</v>
      </c>
      <c r="E2995" t="s">
        <v>6726</v>
      </c>
      <c r="F2995">
        <v>64</v>
      </c>
      <c r="G2995" t="s">
        <v>46</v>
      </c>
      <c r="H2995" t="s">
        <v>46</v>
      </c>
      <c r="I2995" t="s">
        <v>1412</v>
      </c>
    </row>
    <row r="2996" spans="1:10" x14ac:dyDescent="0.3">
      <c r="A2996" t="s">
        <v>6727</v>
      </c>
      <c r="B2996" t="s">
        <v>27215</v>
      </c>
      <c r="C2996" t="s">
        <v>20486</v>
      </c>
      <c r="D2996" t="s">
        <v>11</v>
      </c>
      <c r="E2996" t="s">
        <v>6728</v>
      </c>
      <c r="F2996">
        <v>49</v>
      </c>
      <c r="G2996" t="s">
        <v>133</v>
      </c>
      <c r="H2996" t="s">
        <v>9789</v>
      </c>
      <c r="I2996" t="s">
        <v>900</v>
      </c>
      <c r="J2996" t="s">
        <v>496</v>
      </c>
    </row>
    <row r="2997" spans="1:10" x14ac:dyDescent="0.3">
      <c r="A2997" t="s">
        <v>6729</v>
      </c>
      <c r="B2997" t="s">
        <v>27216</v>
      </c>
      <c r="C2997" t="s">
        <v>20487</v>
      </c>
      <c r="D2997" t="s">
        <v>22</v>
      </c>
      <c r="E2997" t="s">
        <v>6730</v>
      </c>
      <c r="F2997">
        <v>36</v>
      </c>
      <c r="G2997" t="s">
        <v>31</v>
      </c>
      <c r="H2997" t="s">
        <v>31</v>
      </c>
    </row>
    <row r="2998" spans="1:10" x14ac:dyDescent="0.3">
      <c r="A2998" t="s">
        <v>6731</v>
      </c>
      <c r="B2998" t="s">
        <v>27217</v>
      </c>
      <c r="C2998" t="s">
        <v>20487</v>
      </c>
      <c r="D2998" t="s">
        <v>22</v>
      </c>
      <c r="E2998" t="s">
        <v>6732</v>
      </c>
      <c r="F2998">
        <v>35</v>
      </c>
      <c r="G2998" t="s">
        <v>31</v>
      </c>
      <c r="H2998" t="s">
        <v>31</v>
      </c>
    </row>
    <row r="2999" spans="1:10" x14ac:dyDescent="0.3">
      <c r="A2999" t="s">
        <v>6733</v>
      </c>
      <c r="B2999" t="s">
        <v>27218</v>
      </c>
      <c r="C2999" t="s">
        <v>20488</v>
      </c>
      <c r="D2999" t="s">
        <v>11</v>
      </c>
      <c r="E2999" t="s">
        <v>6734</v>
      </c>
      <c r="F2999">
        <v>56</v>
      </c>
      <c r="G2999" t="s">
        <v>109</v>
      </c>
      <c r="H2999" t="s">
        <v>9788</v>
      </c>
    </row>
    <row r="3000" spans="1:10" x14ac:dyDescent="0.3">
      <c r="A3000" t="s">
        <v>6735</v>
      </c>
      <c r="B3000" t="s">
        <v>27219</v>
      </c>
      <c r="C3000" t="s">
        <v>20486</v>
      </c>
      <c r="D3000" t="s">
        <v>22</v>
      </c>
      <c r="E3000" t="s">
        <v>6736</v>
      </c>
      <c r="F3000">
        <v>56</v>
      </c>
      <c r="G3000" t="s">
        <v>46</v>
      </c>
      <c r="H3000" t="s">
        <v>46</v>
      </c>
      <c r="I3000" t="s">
        <v>228</v>
      </c>
    </row>
    <row r="3001" spans="1:10" x14ac:dyDescent="0.3">
      <c r="A3001" t="s">
        <v>6737</v>
      </c>
      <c r="B3001" t="s">
        <v>27220</v>
      </c>
      <c r="C3001" t="s">
        <v>20486</v>
      </c>
      <c r="D3001" t="s">
        <v>22</v>
      </c>
      <c r="E3001" t="s">
        <v>6738</v>
      </c>
      <c r="F3001">
        <v>65</v>
      </c>
      <c r="G3001" t="s">
        <v>370</v>
      </c>
      <c r="H3001" t="s">
        <v>46</v>
      </c>
      <c r="I3001" t="s">
        <v>3091</v>
      </c>
      <c r="J3001" t="s">
        <v>6739</v>
      </c>
    </row>
    <row r="3002" spans="1:10" x14ac:dyDescent="0.3">
      <c r="A3002" t="s">
        <v>6740</v>
      </c>
      <c r="B3002" t="s">
        <v>27221</v>
      </c>
      <c r="C3002" t="s">
        <v>20486</v>
      </c>
      <c r="D3002" t="s">
        <v>22</v>
      </c>
      <c r="E3002" t="s">
        <v>6741</v>
      </c>
      <c r="F3002">
        <v>44</v>
      </c>
      <c r="G3002" t="s">
        <v>133</v>
      </c>
      <c r="H3002" t="s">
        <v>9789</v>
      </c>
      <c r="J3002" t="s">
        <v>6742</v>
      </c>
    </row>
    <row r="3003" spans="1:10" x14ac:dyDescent="0.3">
      <c r="A3003" t="s">
        <v>6743</v>
      </c>
      <c r="B3003" t="s">
        <v>27222</v>
      </c>
      <c r="C3003" t="s">
        <v>20486</v>
      </c>
      <c r="D3003" t="s">
        <v>22</v>
      </c>
      <c r="E3003" t="s">
        <v>6744</v>
      </c>
      <c r="F3003">
        <v>54</v>
      </c>
      <c r="G3003" t="s">
        <v>172</v>
      </c>
      <c r="H3003" t="s">
        <v>12099</v>
      </c>
    </row>
    <row r="3004" spans="1:10" x14ac:dyDescent="0.3">
      <c r="A3004" t="s">
        <v>6745</v>
      </c>
      <c r="B3004" t="s">
        <v>27223</v>
      </c>
      <c r="C3004" t="s">
        <v>20487</v>
      </c>
      <c r="D3004" t="s">
        <v>11</v>
      </c>
      <c r="E3004" t="s">
        <v>6746</v>
      </c>
      <c r="F3004">
        <v>43</v>
      </c>
      <c r="G3004" t="s">
        <v>109</v>
      </c>
      <c r="H3004" t="s">
        <v>9788</v>
      </c>
      <c r="J3004" t="s">
        <v>6747</v>
      </c>
    </row>
    <row r="3005" spans="1:10" x14ac:dyDescent="0.3">
      <c r="A3005" t="s">
        <v>6748</v>
      </c>
      <c r="B3005" t="s">
        <v>27224</v>
      </c>
      <c r="C3005" t="s">
        <v>20491</v>
      </c>
      <c r="D3005" t="s">
        <v>22</v>
      </c>
      <c r="E3005" t="s">
        <v>6749</v>
      </c>
      <c r="F3005">
        <v>30</v>
      </c>
      <c r="G3005" t="s">
        <v>31</v>
      </c>
      <c r="H3005" t="s">
        <v>31</v>
      </c>
    </row>
    <row r="3006" spans="1:10" x14ac:dyDescent="0.3">
      <c r="A3006" t="s">
        <v>6750</v>
      </c>
      <c r="B3006" t="s">
        <v>27225</v>
      </c>
      <c r="C3006" t="s">
        <v>20486</v>
      </c>
      <c r="D3006" t="s">
        <v>22</v>
      </c>
      <c r="E3006" t="s">
        <v>6751</v>
      </c>
      <c r="F3006">
        <v>61</v>
      </c>
    </row>
    <row r="3007" spans="1:10" x14ac:dyDescent="0.3">
      <c r="A3007" t="s">
        <v>6752</v>
      </c>
      <c r="B3007" t="s">
        <v>27226</v>
      </c>
      <c r="C3007" t="s">
        <v>20486</v>
      </c>
      <c r="D3007" t="s">
        <v>22</v>
      </c>
      <c r="E3007" t="s">
        <v>6753</v>
      </c>
      <c r="F3007">
        <v>37</v>
      </c>
      <c r="G3007" t="s">
        <v>31</v>
      </c>
      <c r="H3007" t="s">
        <v>31</v>
      </c>
    </row>
    <row r="3008" spans="1:10" x14ac:dyDescent="0.3">
      <c r="A3008" t="s">
        <v>6754</v>
      </c>
      <c r="B3008" t="s">
        <v>27227</v>
      </c>
      <c r="C3008" t="s">
        <v>20486</v>
      </c>
      <c r="D3008" t="s">
        <v>22</v>
      </c>
      <c r="E3008" t="s">
        <v>6755</v>
      </c>
      <c r="F3008">
        <v>43</v>
      </c>
      <c r="G3008" t="s">
        <v>31</v>
      </c>
      <c r="H3008" t="s">
        <v>31</v>
      </c>
    </row>
    <row r="3009" spans="1:10" x14ac:dyDescent="0.3">
      <c r="A3009" t="s">
        <v>6756</v>
      </c>
      <c r="B3009" t="s">
        <v>27228</v>
      </c>
      <c r="C3009" t="s">
        <v>20486</v>
      </c>
      <c r="D3009" t="s">
        <v>22</v>
      </c>
      <c r="E3009" t="s">
        <v>6757</v>
      </c>
      <c r="F3009">
        <v>56</v>
      </c>
      <c r="G3009" t="s">
        <v>31</v>
      </c>
      <c r="H3009" t="s">
        <v>31</v>
      </c>
      <c r="J3009" t="s">
        <v>6758</v>
      </c>
    </row>
    <row r="3010" spans="1:10" x14ac:dyDescent="0.3">
      <c r="A3010" t="s">
        <v>6759</v>
      </c>
      <c r="B3010" t="s">
        <v>27229</v>
      </c>
      <c r="C3010" t="s">
        <v>20488</v>
      </c>
      <c r="D3010" t="s">
        <v>22</v>
      </c>
      <c r="E3010" t="s">
        <v>4095</v>
      </c>
      <c r="F3010">
        <v>36</v>
      </c>
      <c r="G3010" t="s">
        <v>109</v>
      </c>
      <c r="H3010" t="s">
        <v>9788</v>
      </c>
    </row>
    <row r="3011" spans="1:10" x14ac:dyDescent="0.3">
      <c r="A3011" t="s">
        <v>6760</v>
      </c>
      <c r="B3011" t="s">
        <v>27230</v>
      </c>
      <c r="C3011" t="s">
        <v>20487</v>
      </c>
      <c r="D3011" t="s">
        <v>11</v>
      </c>
      <c r="E3011" t="s">
        <v>273</v>
      </c>
      <c r="F3011">
        <v>46</v>
      </c>
      <c r="G3011" t="s">
        <v>1439</v>
      </c>
      <c r="H3011" t="s">
        <v>46</v>
      </c>
      <c r="I3011" t="s">
        <v>18832</v>
      </c>
    </row>
    <row r="3012" spans="1:10" x14ac:dyDescent="0.3">
      <c r="A3012" t="s">
        <v>6761</v>
      </c>
      <c r="B3012" t="s">
        <v>27231</v>
      </c>
      <c r="C3012" t="s">
        <v>20486</v>
      </c>
      <c r="D3012" t="s">
        <v>11</v>
      </c>
      <c r="E3012" t="s">
        <v>6762</v>
      </c>
      <c r="F3012">
        <v>40</v>
      </c>
      <c r="G3012" t="s">
        <v>46</v>
      </c>
      <c r="H3012" t="s">
        <v>9785</v>
      </c>
      <c r="I3012" t="s">
        <v>18815</v>
      </c>
      <c r="J3012" t="s">
        <v>6763</v>
      </c>
    </row>
    <row r="3013" spans="1:10" x14ac:dyDescent="0.3">
      <c r="A3013" t="s">
        <v>6764</v>
      </c>
      <c r="B3013" t="s">
        <v>27232</v>
      </c>
      <c r="C3013" t="s">
        <v>20486</v>
      </c>
      <c r="D3013" t="s">
        <v>11</v>
      </c>
      <c r="E3013" t="s">
        <v>6765</v>
      </c>
      <c r="F3013">
        <v>21</v>
      </c>
      <c r="H3013" t="s">
        <v>9788</v>
      </c>
      <c r="J3013" t="s">
        <v>6766</v>
      </c>
    </row>
    <row r="3014" spans="1:10" x14ac:dyDescent="0.3">
      <c r="A3014" t="s">
        <v>12445</v>
      </c>
      <c r="B3014" t="s">
        <v>27233</v>
      </c>
      <c r="C3014" t="s">
        <v>20487</v>
      </c>
      <c r="D3014" t="s">
        <v>22</v>
      </c>
      <c r="E3014" t="s">
        <v>9626</v>
      </c>
      <c r="F3014">
        <v>28</v>
      </c>
      <c r="G3014" t="s">
        <v>109</v>
      </c>
      <c r="H3014" t="s">
        <v>9788</v>
      </c>
    </row>
    <row r="3015" spans="1:10" x14ac:dyDescent="0.3">
      <c r="A3015" t="s">
        <v>6767</v>
      </c>
      <c r="B3015" t="s">
        <v>27234</v>
      </c>
      <c r="C3015" t="s">
        <v>20486</v>
      </c>
      <c r="D3015" t="s">
        <v>11</v>
      </c>
      <c r="E3015" t="s">
        <v>6768</v>
      </c>
      <c r="F3015">
        <v>32</v>
      </c>
      <c r="G3015" t="s">
        <v>1331</v>
      </c>
      <c r="H3015" t="s">
        <v>9788</v>
      </c>
      <c r="J3015" t="s">
        <v>3231</v>
      </c>
    </row>
    <row r="3016" spans="1:10" x14ac:dyDescent="0.3">
      <c r="A3016" t="s">
        <v>6769</v>
      </c>
      <c r="B3016" t="s">
        <v>27235</v>
      </c>
      <c r="C3016" t="s">
        <v>20487</v>
      </c>
      <c r="D3016" t="s">
        <v>22</v>
      </c>
      <c r="E3016" t="s">
        <v>6770</v>
      </c>
      <c r="F3016">
        <v>28</v>
      </c>
      <c r="G3016" t="s">
        <v>16</v>
      </c>
      <c r="H3016" t="s">
        <v>9785</v>
      </c>
      <c r="J3016" t="s">
        <v>6771</v>
      </c>
    </row>
    <row r="3017" spans="1:10" x14ac:dyDescent="0.3">
      <c r="A3017" t="s">
        <v>6772</v>
      </c>
      <c r="B3017" t="s">
        <v>27236</v>
      </c>
      <c r="C3017" t="s">
        <v>20488</v>
      </c>
      <c r="D3017" t="s">
        <v>11</v>
      </c>
      <c r="E3017" t="s">
        <v>6773</v>
      </c>
      <c r="F3017">
        <v>38</v>
      </c>
      <c r="G3017" t="s">
        <v>46</v>
      </c>
      <c r="H3017" t="s">
        <v>46</v>
      </c>
    </row>
    <row r="3018" spans="1:10" x14ac:dyDescent="0.3">
      <c r="A3018" t="s">
        <v>6775</v>
      </c>
      <c r="B3018" t="s">
        <v>27237</v>
      </c>
      <c r="C3018" t="s">
        <v>20486</v>
      </c>
      <c r="D3018" t="s">
        <v>22</v>
      </c>
      <c r="E3018" t="s">
        <v>6776</v>
      </c>
      <c r="F3018">
        <v>46</v>
      </c>
      <c r="G3018" t="s">
        <v>16</v>
      </c>
      <c r="H3018" t="s">
        <v>9785</v>
      </c>
      <c r="I3018" t="s">
        <v>17</v>
      </c>
      <c r="J3018" t="s">
        <v>6777</v>
      </c>
    </row>
    <row r="3019" spans="1:10" x14ac:dyDescent="0.3">
      <c r="A3019" t="s">
        <v>6778</v>
      </c>
      <c r="B3019" t="s">
        <v>27238</v>
      </c>
      <c r="C3019" t="s">
        <v>20488</v>
      </c>
      <c r="D3019" t="s">
        <v>11</v>
      </c>
      <c r="E3019" t="s">
        <v>6779</v>
      </c>
      <c r="F3019">
        <v>35</v>
      </c>
      <c r="G3019" t="s">
        <v>109</v>
      </c>
      <c r="H3019" t="s">
        <v>9788</v>
      </c>
    </row>
    <row r="3020" spans="1:10" x14ac:dyDescent="0.3">
      <c r="A3020" t="s">
        <v>6780</v>
      </c>
      <c r="B3020" t="s">
        <v>27239</v>
      </c>
      <c r="C3020" t="s">
        <v>20488</v>
      </c>
      <c r="D3020" t="s">
        <v>22</v>
      </c>
      <c r="E3020" t="s">
        <v>6781</v>
      </c>
      <c r="F3020">
        <v>48</v>
      </c>
      <c r="G3020" t="s">
        <v>46</v>
      </c>
      <c r="H3020" t="s">
        <v>46</v>
      </c>
      <c r="I3020" t="s">
        <v>1412</v>
      </c>
    </row>
    <row r="3021" spans="1:10" x14ac:dyDescent="0.3">
      <c r="A3021" t="s">
        <v>6782</v>
      </c>
      <c r="B3021" t="s">
        <v>27240</v>
      </c>
      <c r="C3021" t="s">
        <v>20486</v>
      </c>
      <c r="D3021" t="s">
        <v>22</v>
      </c>
      <c r="E3021" t="s">
        <v>6783</v>
      </c>
      <c r="F3021">
        <v>44</v>
      </c>
      <c r="G3021" t="s">
        <v>31</v>
      </c>
      <c r="H3021" t="s">
        <v>31</v>
      </c>
    </row>
    <row r="3022" spans="1:10" x14ac:dyDescent="0.3">
      <c r="A3022" t="s">
        <v>6784</v>
      </c>
      <c r="B3022" t="s">
        <v>27241</v>
      </c>
      <c r="C3022" t="s">
        <v>20486</v>
      </c>
      <c r="D3022" t="s">
        <v>22</v>
      </c>
      <c r="E3022" t="s">
        <v>2368</v>
      </c>
      <c r="F3022">
        <v>50</v>
      </c>
      <c r="G3022" t="s">
        <v>133</v>
      </c>
      <c r="H3022" t="s">
        <v>9789</v>
      </c>
      <c r="I3022" t="s">
        <v>900</v>
      </c>
      <c r="J3022" t="s">
        <v>490</v>
      </c>
    </row>
    <row r="3023" spans="1:10" x14ac:dyDescent="0.3">
      <c r="A3023" t="s">
        <v>6785</v>
      </c>
      <c r="B3023" t="s">
        <v>27242</v>
      </c>
      <c r="C3023" t="s">
        <v>20487</v>
      </c>
      <c r="D3023" t="s">
        <v>11</v>
      </c>
      <c r="E3023" t="s">
        <v>517</v>
      </c>
      <c r="F3023">
        <v>72</v>
      </c>
      <c r="G3023" t="s">
        <v>46</v>
      </c>
      <c r="H3023" t="s">
        <v>46</v>
      </c>
      <c r="J3023" t="s">
        <v>6786</v>
      </c>
    </row>
    <row r="3024" spans="1:10" x14ac:dyDescent="0.3">
      <c r="A3024" t="s">
        <v>6787</v>
      </c>
      <c r="B3024" t="s">
        <v>27243</v>
      </c>
      <c r="C3024" t="s">
        <v>20486</v>
      </c>
      <c r="D3024" t="s">
        <v>22</v>
      </c>
      <c r="E3024" t="s">
        <v>6788</v>
      </c>
      <c r="F3024">
        <v>57</v>
      </c>
      <c r="G3024" t="s">
        <v>46</v>
      </c>
      <c r="H3024" t="s">
        <v>46</v>
      </c>
      <c r="I3024" t="s">
        <v>4615</v>
      </c>
      <c r="J3024" t="s">
        <v>6789</v>
      </c>
    </row>
    <row r="3025" spans="1:10" x14ac:dyDescent="0.3">
      <c r="A3025" t="s">
        <v>6790</v>
      </c>
      <c r="B3025" t="s">
        <v>27244</v>
      </c>
      <c r="C3025" t="s">
        <v>20487</v>
      </c>
      <c r="D3025" t="s">
        <v>22</v>
      </c>
      <c r="E3025" t="s">
        <v>6791</v>
      </c>
      <c r="F3025">
        <v>51</v>
      </c>
      <c r="G3025" t="s">
        <v>31</v>
      </c>
      <c r="H3025" t="s">
        <v>31</v>
      </c>
    </row>
    <row r="3026" spans="1:10" x14ac:dyDescent="0.3">
      <c r="A3026" t="s">
        <v>6792</v>
      </c>
      <c r="B3026" t="s">
        <v>27245</v>
      </c>
      <c r="C3026" t="s">
        <v>20487</v>
      </c>
      <c r="D3026" t="s">
        <v>22</v>
      </c>
      <c r="E3026" t="s">
        <v>4071</v>
      </c>
      <c r="F3026">
        <v>47</v>
      </c>
      <c r="G3026" t="s">
        <v>31</v>
      </c>
      <c r="H3026" t="s">
        <v>31</v>
      </c>
    </row>
    <row r="3027" spans="1:10" x14ac:dyDescent="0.3">
      <c r="A3027" t="s">
        <v>6793</v>
      </c>
      <c r="B3027" t="s">
        <v>27246</v>
      </c>
      <c r="C3027" t="s">
        <v>20487</v>
      </c>
      <c r="D3027" t="s">
        <v>22</v>
      </c>
      <c r="E3027" t="s">
        <v>6794</v>
      </c>
      <c r="F3027">
        <v>42</v>
      </c>
      <c r="G3027" t="s">
        <v>31</v>
      </c>
      <c r="H3027" t="s">
        <v>31</v>
      </c>
    </row>
    <row r="3028" spans="1:10" x14ac:dyDescent="0.3">
      <c r="A3028" t="s">
        <v>6795</v>
      </c>
      <c r="B3028" t="s">
        <v>27247</v>
      </c>
      <c r="C3028" t="s">
        <v>20490</v>
      </c>
      <c r="D3028" t="s">
        <v>22</v>
      </c>
      <c r="E3028" t="s">
        <v>6796</v>
      </c>
      <c r="F3028">
        <v>41</v>
      </c>
      <c r="G3028" t="s">
        <v>370</v>
      </c>
      <c r="H3028" t="s">
        <v>46</v>
      </c>
      <c r="I3028" t="s">
        <v>387</v>
      </c>
    </row>
    <row r="3029" spans="1:10" x14ac:dyDescent="0.3">
      <c r="A3029" t="s">
        <v>6797</v>
      </c>
      <c r="B3029" t="s">
        <v>27248</v>
      </c>
      <c r="C3029" t="s">
        <v>20490</v>
      </c>
      <c r="D3029" t="s">
        <v>22</v>
      </c>
      <c r="E3029" t="s">
        <v>6798</v>
      </c>
      <c r="F3029">
        <v>61</v>
      </c>
      <c r="G3029" t="s">
        <v>31</v>
      </c>
      <c r="H3029" t="s">
        <v>31</v>
      </c>
    </row>
    <row r="3030" spans="1:10" x14ac:dyDescent="0.3">
      <c r="A3030" t="s">
        <v>6799</v>
      </c>
      <c r="B3030" t="s">
        <v>27249</v>
      </c>
      <c r="C3030" t="s">
        <v>20488</v>
      </c>
      <c r="D3030" t="s">
        <v>22</v>
      </c>
      <c r="E3030" t="s">
        <v>2180</v>
      </c>
      <c r="F3030">
        <v>57</v>
      </c>
      <c r="G3030" t="s">
        <v>46</v>
      </c>
      <c r="H3030" t="s">
        <v>46</v>
      </c>
      <c r="I3030" t="s">
        <v>6800</v>
      </c>
    </row>
    <row r="3031" spans="1:10" x14ac:dyDescent="0.3">
      <c r="A3031" t="s">
        <v>6801</v>
      </c>
      <c r="B3031" t="s">
        <v>27250</v>
      </c>
      <c r="C3031" t="s">
        <v>20486</v>
      </c>
      <c r="D3031" t="s">
        <v>22</v>
      </c>
      <c r="E3031" t="s">
        <v>6802</v>
      </c>
      <c r="F3031">
        <v>58</v>
      </c>
      <c r="G3031" t="s">
        <v>31</v>
      </c>
      <c r="H3031" t="s">
        <v>31</v>
      </c>
      <c r="J3031" t="s">
        <v>33</v>
      </c>
    </row>
    <row r="3032" spans="1:10" x14ac:dyDescent="0.3">
      <c r="A3032" t="s">
        <v>6803</v>
      </c>
      <c r="B3032" t="s">
        <v>27251</v>
      </c>
      <c r="C3032" t="s">
        <v>20488</v>
      </c>
      <c r="D3032" t="s">
        <v>11</v>
      </c>
      <c r="E3032" t="s">
        <v>6804</v>
      </c>
      <c r="F3032">
        <v>69</v>
      </c>
      <c r="G3032" t="s">
        <v>46</v>
      </c>
      <c r="H3032" t="s">
        <v>46</v>
      </c>
    </row>
    <row r="3033" spans="1:10" x14ac:dyDescent="0.3">
      <c r="A3033" t="s">
        <v>6805</v>
      </c>
      <c r="B3033" t="s">
        <v>27252</v>
      </c>
      <c r="C3033" t="s">
        <v>20490</v>
      </c>
      <c r="D3033" t="s">
        <v>22</v>
      </c>
      <c r="E3033" t="s">
        <v>6806</v>
      </c>
      <c r="F3033">
        <v>27</v>
      </c>
      <c r="G3033" t="s">
        <v>337</v>
      </c>
      <c r="H3033" t="s">
        <v>337</v>
      </c>
      <c r="J3033" t="s">
        <v>6807</v>
      </c>
    </row>
    <row r="3034" spans="1:10" x14ac:dyDescent="0.3">
      <c r="A3034" t="s">
        <v>6808</v>
      </c>
      <c r="B3034" t="s">
        <v>27253</v>
      </c>
      <c r="C3034" t="s">
        <v>20487</v>
      </c>
      <c r="D3034" t="s">
        <v>22</v>
      </c>
      <c r="E3034" t="s">
        <v>6809</v>
      </c>
      <c r="F3034">
        <v>45</v>
      </c>
      <c r="G3034" t="s">
        <v>46</v>
      </c>
      <c r="H3034" t="s">
        <v>46</v>
      </c>
    </row>
    <row r="3035" spans="1:10" x14ac:dyDescent="0.3">
      <c r="A3035" t="s">
        <v>6810</v>
      </c>
      <c r="B3035" t="s">
        <v>27254</v>
      </c>
      <c r="C3035" t="s">
        <v>20486</v>
      </c>
      <c r="D3035" t="s">
        <v>22</v>
      </c>
      <c r="E3035" t="s">
        <v>6811</v>
      </c>
      <c r="F3035">
        <v>33</v>
      </c>
      <c r="G3035" t="s">
        <v>31</v>
      </c>
      <c r="H3035" t="s">
        <v>31</v>
      </c>
    </row>
    <row r="3036" spans="1:10" x14ac:dyDescent="0.3">
      <c r="A3036" t="s">
        <v>6812</v>
      </c>
      <c r="B3036" t="s">
        <v>27255</v>
      </c>
      <c r="C3036" t="s">
        <v>20490</v>
      </c>
      <c r="D3036" t="s">
        <v>22</v>
      </c>
      <c r="E3036" t="s">
        <v>5684</v>
      </c>
      <c r="F3036">
        <v>57</v>
      </c>
      <c r="G3036" t="s">
        <v>243</v>
      </c>
      <c r="H3036" t="s">
        <v>243</v>
      </c>
    </row>
    <row r="3037" spans="1:10" x14ac:dyDescent="0.3">
      <c r="A3037" t="s">
        <v>6813</v>
      </c>
      <c r="B3037" t="s">
        <v>27256</v>
      </c>
      <c r="C3037" t="s">
        <v>20487</v>
      </c>
      <c r="D3037" t="s">
        <v>22</v>
      </c>
      <c r="E3037" t="s">
        <v>5974</v>
      </c>
      <c r="F3037">
        <v>40</v>
      </c>
      <c r="G3037" t="s">
        <v>31</v>
      </c>
      <c r="H3037" t="s">
        <v>31</v>
      </c>
    </row>
    <row r="3038" spans="1:10" x14ac:dyDescent="0.3">
      <c r="A3038" t="s">
        <v>6814</v>
      </c>
      <c r="B3038" t="s">
        <v>27257</v>
      </c>
      <c r="C3038" t="s">
        <v>20490</v>
      </c>
      <c r="D3038" t="s">
        <v>11</v>
      </c>
      <c r="E3038" t="s">
        <v>6815</v>
      </c>
      <c r="F3038">
        <v>53</v>
      </c>
      <c r="G3038" t="s">
        <v>243</v>
      </c>
      <c r="H3038" t="s">
        <v>243</v>
      </c>
    </row>
    <row r="3039" spans="1:10" x14ac:dyDescent="0.3">
      <c r="A3039" t="s">
        <v>6816</v>
      </c>
      <c r="B3039" t="s">
        <v>27258</v>
      </c>
      <c r="C3039" t="s">
        <v>20486</v>
      </c>
      <c r="D3039" t="s">
        <v>22</v>
      </c>
      <c r="E3039" t="s">
        <v>6817</v>
      </c>
      <c r="F3039">
        <v>54</v>
      </c>
      <c r="G3039" t="s">
        <v>16</v>
      </c>
      <c r="H3039" t="s">
        <v>9785</v>
      </c>
      <c r="I3039" t="s">
        <v>17</v>
      </c>
      <c r="J3039" t="s">
        <v>6818</v>
      </c>
    </row>
    <row r="3040" spans="1:10" x14ac:dyDescent="0.3">
      <c r="A3040" t="s">
        <v>6819</v>
      </c>
      <c r="B3040" t="s">
        <v>27259</v>
      </c>
      <c r="C3040" t="s">
        <v>20486</v>
      </c>
      <c r="D3040" t="s">
        <v>22</v>
      </c>
      <c r="E3040" t="s">
        <v>6820</v>
      </c>
      <c r="F3040">
        <v>39</v>
      </c>
      <c r="G3040" t="s">
        <v>337</v>
      </c>
      <c r="H3040" t="s">
        <v>337</v>
      </c>
    </row>
    <row r="3041" spans="1:10" x14ac:dyDescent="0.3">
      <c r="A3041" t="s">
        <v>6821</v>
      </c>
      <c r="B3041" t="s">
        <v>27260</v>
      </c>
      <c r="C3041" t="s">
        <v>20486</v>
      </c>
      <c r="D3041" t="s">
        <v>11</v>
      </c>
      <c r="E3041" t="s">
        <v>6822</v>
      </c>
      <c r="F3041">
        <v>35</v>
      </c>
      <c r="G3041" t="s">
        <v>133</v>
      </c>
      <c r="H3041" t="s">
        <v>9789</v>
      </c>
      <c r="I3041" t="s">
        <v>2477</v>
      </c>
      <c r="J3041" t="s">
        <v>1632</v>
      </c>
    </row>
    <row r="3042" spans="1:10" x14ac:dyDescent="0.3">
      <c r="A3042" t="s">
        <v>12446</v>
      </c>
      <c r="B3042" t="s">
        <v>27261</v>
      </c>
      <c r="C3042" t="s">
        <v>20486</v>
      </c>
      <c r="D3042" t="s">
        <v>22</v>
      </c>
      <c r="E3042" t="s">
        <v>12413</v>
      </c>
      <c r="F3042">
        <v>37</v>
      </c>
      <c r="G3042" t="s">
        <v>31</v>
      </c>
      <c r="H3042" t="s">
        <v>46</v>
      </c>
      <c r="I3042" t="s">
        <v>201</v>
      </c>
      <c r="J3042" t="s">
        <v>228</v>
      </c>
    </row>
    <row r="3043" spans="1:10" x14ac:dyDescent="0.3">
      <c r="A3043" t="s">
        <v>6823</v>
      </c>
      <c r="B3043" t="s">
        <v>27262</v>
      </c>
      <c r="C3043" t="s">
        <v>20486</v>
      </c>
      <c r="D3043" t="s">
        <v>22</v>
      </c>
      <c r="E3043" t="s">
        <v>6824</v>
      </c>
      <c r="F3043">
        <v>49</v>
      </c>
      <c r="G3043" t="s">
        <v>31</v>
      </c>
      <c r="H3043" t="s">
        <v>31</v>
      </c>
      <c r="J3043" t="s">
        <v>33</v>
      </c>
    </row>
    <row r="3044" spans="1:10" x14ac:dyDescent="0.3">
      <c r="A3044" t="s">
        <v>6825</v>
      </c>
      <c r="B3044" t="s">
        <v>27263</v>
      </c>
      <c r="C3044" t="s">
        <v>20486</v>
      </c>
      <c r="D3044" t="s">
        <v>11</v>
      </c>
      <c r="E3044" t="s">
        <v>6826</v>
      </c>
      <c r="F3044">
        <v>26</v>
      </c>
      <c r="G3044" t="s">
        <v>337</v>
      </c>
      <c r="H3044" t="s">
        <v>337</v>
      </c>
    </row>
    <row r="3045" spans="1:10" x14ac:dyDescent="0.3">
      <c r="A3045" t="s">
        <v>12447</v>
      </c>
      <c r="B3045" t="s">
        <v>27264</v>
      </c>
      <c r="C3045" t="s">
        <v>20486</v>
      </c>
      <c r="D3045" t="s">
        <v>22</v>
      </c>
      <c r="E3045" t="s">
        <v>9625</v>
      </c>
      <c r="F3045">
        <v>23</v>
      </c>
    </row>
    <row r="3046" spans="1:10" x14ac:dyDescent="0.3">
      <c r="A3046" t="s">
        <v>12448</v>
      </c>
      <c r="B3046" t="s">
        <v>27265</v>
      </c>
      <c r="C3046" t="s">
        <v>20486</v>
      </c>
      <c r="D3046" t="s">
        <v>22</v>
      </c>
      <c r="E3046" t="s">
        <v>9624</v>
      </c>
      <c r="F3046">
        <v>21</v>
      </c>
    </row>
    <row r="3047" spans="1:10" x14ac:dyDescent="0.3">
      <c r="A3047" t="s">
        <v>6827</v>
      </c>
      <c r="B3047" t="s">
        <v>27266</v>
      </c>
      <c r="C3047" t="s">
        <v>20489</v>
      </c>
      <c r="D3047" t="s">
        <v>11</v>
      </c>
      <c r="E3047" t="s">
        <v>2692</v>
      </c>
      <c r="F3047">
        <v>61</v>
      </c>
      <c r="G3047" t="s">
        <v>133</v>
      </c>
      <c r="H3047" t="s">
        <v>9789</v>
      </c>
      <c r="I3047" t="s">
        <v>12449</v>
      </c>
    </row>
    <row r="3048" spans="1:10" x14ac:dyDescent="0.3">
      <c r="A3048" t="s">
        <v>6828</v>
      </c>
      <c r="B3048" t="s">
        <v>27267</v>
      </c>
      <c r="C3048" t="s">
        <v>20488</v>
      </c>
      <c r="D3048" t="s">
        <v>11</v>
      </c>
      <c r="E3048" t="s">
        <v>1385</v>
      </c>
      <c r="F3048">
        <v>70</v>
      </c>
      <c r="G3048" t="s">
        <v>46</v>
      </c>
      <c r="H3048" t="s">
        <v>46</v>
      </c>
    </row>
    <row r="3049" spans="1:10" x14ac:dyDescent="0.3">
      <c r="A3049" t="s">
        <v>6829</v>
      </c>
      <c r="B3049" t="s">
        <v>27268</v>
      </c>
      <c r="C3049" t="s">
        <v>20486</v>
      </c>
      <c r="D3049" t="s">
        <v>22</v>
      </c>
      <c r="E3049" t="s">
        <v>6830</v>
      </c>
      <c r="F3049">
        <v>48</v>
      </c>
      <c r="G3049" t="s">
        <v>31</v>
      </c>
      <c r="H3049" t="s">
        <v>31</v>
      </c>
      <c r="J3049" t="s">
        <v>33</v>
      </c>
    </row>
    <row r="3050" spans="1:10" x14ac:dyDescent="0.3">
      <c r="A3050" t="s">
        <v>6832</v>
      </c>
      <c r="B3050" t="s">
        <v>27269</v>
      </c>
      <c r="C3050" t="s">
        <v>20488</v>
      </c>
      <c r="D3050" t="s">
        <v>22</v>
      </c>
      <c r="E3050" t="s">
        <v>6465</v>
      </c>
      <c r="F3050">
        <v>62</v>
      </c>
      <c r="G3050" t="s">
        <v>31</v>
      </c>
      <c r="H3050" t="s">
        <v>31</v>
      </c>
    </row>
    <row r="3051" spans="1:10" x14ac:dyDescent="0.3">
      <c r="A3051" t="s">
        <v>6833</v>
      </c>
      <c r="B3051" t="s">
        <v>27270</v>
      </c>
      <c r="C3051" t="s">
        <v>20486</v>
      </c>
      <c r="D3051" t="s">
        <v>22</v>
      </c>
      <c r="E3051" t="s">
        <v>6834</v>
      </c>
      <c r="F3051">
        <v>57</v>
      </c>
      <c r="G3051" t="s">
        <v>46</v>
      </c>
      <c r="H3051" t="s">
        <v>46</v>
      </c>
      <c r="I3051" t="s">
        <v>228</v>
      </c>
      <c r="J3051" t="s">
        <v>6835</v>
      </c>
    </row>
    <row r="3052" spans="1:10" x14ac:dyDescent="0.3">
      <c r="A3052" t="s">
        <v>6837</v>
      </c>
      <c r="B3052" t="s">
        <v>27271</v>
      </c>
      <c r="C3052" t="s">
        <v>20486</v>
      </c>
      <c r="D3052" t="s">
        <v>11</v>
      </c>
      <c r="E3052" t="s">
        <v>6838</v>
      </c>
      <c r="F3052">
        <v>37</v>
      </c>
      <c r="G3052" t="s">
        <v>109</v>
      </c>
      <c r="H3052" t="s">
        <v>9788</v>
      </c>
      <c r="I3052" t="s">
        <v>1484</v>
      </c>
      <c r="J3052" t="s">
        <v>6839</v>
      </c>
    </row>
    <row r="3053" spans="1:10" x14ac:dyDescent="0.3">
      <c r="A3053" t="s">
        <v>6840</v>
      </c>
      <c r="B3053" t="s">
        <v>27272</v>
      </c>
      <c r="C3053" t="s">
        <v>20488</v>
      </c>
      <c r="D3053" t="s">
        <v>22</v>
      </c>
      <c r="E3053" t="s">
        <v>6841</v>
      </c>
      <c r="F3053">
        <v>33</v>
      </c>
      <c r="G3053" t="s">
        <v>109</v>
      </c>
      <c r="H3053" t="s">
        <v>9788</v>
      </c>
    </row>
    <row r="3054" spans="1:10" x14ac:dyDescent="0.3">
      <c r="A3054" t="s">
        <v>6842</v>
      </c>
      <c r="B3054" t="s">
        <v>27273</v>
      </c>
      <c r="C3054" t="s">
        <v>20487</v>
      </c>
      <c r="D3054" t="s">
        <v>22</v>
      </c>
      <c r="E3054" t="s">
        <v>909</v>
      </c>
      <c r="F3054">
        <v>56</v>
      </c>
      <c r="G3054" t="s">
        <v>46</v>
      </c>
      <c r="H3054" t="s">
        <v>46</v>
      </c>
      <c r="I3054" t="s">
        <v>669</v>
      </c>
    </row>
    <row r="3055" spans="1:10" x14ac:dyDescent="0.3">
      <c r="A3055" t="s">
        <v>6843</v>
      </c>
      <c r="B3055" t="s">
        <v>27274</v>
      </c>
      <c r="C3055" t="s">
        <v>20486</v>
      </c>
      <c r="D3055" t="s">
        <v>22</v>
      </c>
      <c r="E3055" t="s">
        <v>6844</v>
      </c>
      <c r="F3055">
        <v>65</v>
      </c>
      <c r="G3055" t="s">
        <v>31</v>
      </c>
      <c r="H3055" t="s">
        <v>31</v>
      </c>
      <c r="J3055" t="s">
        <v>33</v>
      </c>
    </row>
    <row r="3056" spans="1:10" x14ac:dyDescent="0.3">
      <c r="A3056" t="s">
        <v>6845</v>
      </c>
      <c r="B3056" t="s">
        <v>27275</v>
      </c>
      <c r="C3056" t="s">
        <v>20487</v>
      </c>
      <c r="D3056" t="s">
        <v>11</v>
      </c>
      <c r="E3056" t="s">
        <v>6846</v>
      </c>
      <c r="F3056">
        <v>51</v>
      </c>
      <c r="G3056" t="s">
        <v>16</v>
      </c>
      <c r="H3056" t="s">
        <v>9785</v>
      </c>
      <c r="J3056" t="s">
        <v>6847</v>
      </c>
    </row>
    <row r="3057" spans="1:10" x14ac:dyDescent="0.3">
      <c r="A3057" t="s">
        <v>6848</v>
      </c>
      <c r="B3057" t="s">
        <v>27276</v>
      </c>
      <c r="C3057" t="s">
        <v>20487</v>
      </c>
      <c r="D3057" t="s">
        <v>22</v>
      </c>
      <c r="E3057" t="s">
        <v>3649</v>
      </c>
      <c r="F3057">
        <v>41</v>
      </c>
      <c r="G3057" t="s">
        <v>101</v>
      </c>
      <c r="H3057" t="s">
        <v>12065</v>
      </c>
      <c r="J3057" t="s">
        <v>6849</v>
      </c>
    </row>
    <row r="3058" spans="1:10" x14ac:dyDescent="0.3">
      <c r="A3058" t="s">
        <v>6850</v>
      </c>
      <c r="B3058" t="s">
        <v>27277</v>
      </c>
      <c r="C3058" t="s">
        <v>20486</v>
      </c>
      <c r="D3058" t="s">
        <v>11</v>
      </c>
      <c r="E3058" t="s">
        <v>6851</v>
      </c>
      <c r="F3058">
        <v>41</v>
      </c>
      <c r="G3058" t="s">
        <v>109</v>
      </c>
      <c r="H3058" t="s">
        <v>9788</v>
      </c>
      <c r="I3058" t="s">
        <v>1484</v>
      </c>
      <c r="J3058" t="s">
        <v>6852</v>
      </c>
    </row>
    <row r="3059" spans="1:10" x14ac:dyDescent="0.3">
      <c r="A3059" t="s">
        <v>6853</v>
      </c>
      <c r="B3059" t="s">
        <v>27278</v>
      </c>
      <c r="C3059" t="s">
        <v>20486</v>
      </c>
      <c r="D3059" t="s">
        <v>11</v>
      </c>
      <c r="E3059" t="s">
        <v>6854</v>
      </c>
      <c r="F3059">
        <v>49</v>
      </c>
      <c r="G3059" t="s">
        <v>46</v>
      </c>
      <c r="H3059" t="s">
        <v>46</v>
      </c>
    </row>
    <row r="3060" spans="1:10" x14ac:dyDescent="0.3">
      <c r="A3060" t="s">
        <v>6855</v>
      </c>
      <c r="B3060" t="s">
        <v>27279</v>
      </c>
      <c r="C3060" t="s">
        <v>20486</v>
      </c>
      <c r="D3060" t="s">
        <v>22</v>
      </c>
      <c r="E3060" t="s">
        <v>2795</v>
      </c>
      <c r="F3060">
        <v>43</v>
      </c>
      <c r="G3060" t="s">
        <v>109</v>
      </c>
      <c r="H3060" t="s">
        <v>9788</v>
      </c>
      <c r="J3060" t="s">
        <v>6343</v>
      </c>
    </row>
    <row r="3061" spans="1:10" x14ac:dyDescent="0.3">
      <c r="A3061" t="s">
        <v>6856</v>
      </c>
      <c r="B3061" t="s">
        <v>27280</v>
      </c>
      <c r="C3061" t="s">
        <v>20487</v>
      </c>
      <c r="D3061" t="s">
        <v>22</v>
      </c>
      <c r="E3061" t="s">
        <v>6857</v>
      </c>
      <c r="F3061">
        <v>63</v>
      </c>
      <c r="G3061" t="s">
        <v>193</v>
      </c>
      <c r="H3061" t="s">
        <v>243</v>
      </c>
    </row>
    <row r="3062" spans="1:10" x14ac:dyDescent="0.3">
      <c r="A3062" t="s">
        <v>6858</v>
      </c>
      <c r="B3062" t="s">
        <v>27281</v>
      </c>
      <c r="C3062" t="s">
        <v>20487</v>
      </c>
      <c r="D3062" t="s">
        <v>11</v>
      </c>
      <c r="E3062" t="s">
        <v>727</v>
      </c>
      <c r="F3062">
        <v>75</v>
      </c>
      <c r="G3062" t="s">
        <v>2418</v>
      </c>
      <c r="H3062" t="s">
        <v>13</v>
      </c>
    </row>
    <row r="3063" spans="1:10" x14ac:dyDescent="0.3">
      <c r="A3063" t="s">
        <v>12450</v>
      </c>
      <c r="B3063" t="s">
        <v>27282</v>
      </c>
      <c r="C3063" t="s">
        <v>20486</v>
      </c>
      <c r="D3063" t="s">
        <v>22</v>
      </c>
      <c r="E3063" t="s">
        <v>12451</v>
      </c>
      <c r="F3063">
        <v>40</v>
      </c>
      <c r="G3063" t="s">
        <v>16</v>
      </c>
      <c r="H3063" t="s">
        <v>9785</v>
      </c>
      <c r="I3063" t="s">
        <v>12452</v>
      </c>
      <c r="J3063" t="s">
        <v>12453</v>
      </c>
    </row>
    <row r="3064" spans="1:10" x14ac:dyDescent="0.3">
      <c r="A3064" t="s">
        <v>6859</v>
      </c>
      <c r="B3064" t="s">
        <v>27283</v>
      </c>
      <c r="C3064" t="s">
        <v>20486</v>
      </c>
      <c r="D3064" t="s">
        <v>11</v>
      </c>
      <c r="E3064" t="s">
        <v>2271</v>
      </c>
      <c r="F3064">
        <v>48</v>
      </c>
      <c r="G3064" t="s">
        <v>1226</v>
      </c>
      <c r="H3064" t="s">
        <v>9791</v>
      </c>
      <c r="J3064" t="s">
        <v>6860</v>
      </c>
    </row>
    <row r="3065" spans="1:10" x14ac:dyDescent="0.3">
      <c r="A3065" t="s">
        <v>6861</v>
      </c>
      <c r="B3065" t="s">
        <v>27284</v>
      </c>
      <c r="C3065" t="s">
        <v>20487</v>
      </c>
      <c r="D3065" t="s">
        <v>22</v>
      </c>
      <c r="E3065" t="s">
        <v>6862</v>
      </c>
      <c r="F3065">
        <v>42</v>
      </c>
      <c r="G3065" t="s">
        <v>172</v>
      </c>
      <c r="H3065" t="s">
        <v>9785</v>
      </c>
      <c r="I3065" t="s">
        <v>441</v>
      </c>
      <c r="J3065" t="s">
        <v>6863</v>
      </c>
    </row>
    <row r="3066" spans="1:10" x14ac:dyDescent="0.3">
      <c r="A3066" t="s">
        <v>6865</v>
      </c>
      <c r="B3066" t="s">
        <v>27285</v>
      </c>
      <c r="C3066" t="s">
        <v>20486</v>
      </c>
      <c r="D3066" t="s">
        <v>22</v>
      </c>
      <c r="E3066" t="s">
        <v>6866</v>
      </c>
      <c r="F3066">
        <v>62</v>
      </c>
      <c r="G3066" t="s">
        <v>531</v>
      </c>
      <c r="H3066" t="s">
        <v>46</v>
      </c>
      <c r="I3066" t="s">
        <v>4289</v>
      </c>
      <c r="J3066" t="s">
        <v>1412</v>
      </c>
    </row>
    <row r="3067" spans="1:10" x14ac:dyDescent="0.3">
      <c r="A3067" t="s">
        <v>6867</v>
      </c>
      <c r="B3067" t="s">
        <v>27286</v>
      </c>
      <c r="C3067" t="s">
        <v>20487</v>
      </c>
      <c r="D3067" t="s">
        <v>11</v>
      </c>
      <c r="E3067" t="s">
        <v>6868</v>
      </c>
      <c r="F3067">
        <v>39</v>
      </c>
      <c r="G3067" t="s">
        <v>18833</v>
      </c>
      <c r="H3067" t="s">
        <v>46</v>
      </c>
    </row>
    <row r="3068" spans="1:10" x14ac:dyDescent="0.3">
      <c r="A3068" t="s">
        <v>6869</v>
      </c>
      <c r="B3068" t="s">
        <v>27287</v>
      </c>
      <c r="C3068" t="s">
        <v>20487</v>
      </c>
      <c r="D3068" t="s">
        <v>22</v>
      </c>
      <c r="E3068" t="s">
        <v>4372</v>
      </c>
      <c r="F3068">
        <v>38</v>
      </c>
      <c r="G3068" t="s">
        <v>46</v>
      </c>
      <c r="H3068" t="s">
        <v>46</v>
      </c>
      <c r="J3068" t="s">
        <v>6870</v>
      </c>
    </row>
    <row r="3069" spans="1:10" x14ac:dyDescent="0.3">
      <c r="A3069" t="s">
        <v>6871</v>
      </c>
      <c r="B3069" t="s">
        <v>27288</v>
      </c>
      <c r="C3069" t="s">
        <v>20489</v>
      </c>
      <c r="D3069" t="s">
        <v>22</v>
      </c>
      <c r="E3069" t="s">
        <v>388</v>
      </c>
      <c r="F3069">
        <v>54</v>
      </c>
      <c r="G3069" t="s">
        <v>109</v>
      </c>
      <c r="H3069" t="s">
        <v>9788</v>
      </c>
      <c r="I3069" t="s">
        <v>17</v>
      </c>
      <c r="J3069" t="s">
        <v>12454</v>
      </c>
    </row>
    <row r="3070" spans="1:10" x14ac:dyDescent="0.3">
      <c r="A3070" t="s">
        <v>6872</v>
      </c>
      <c r="B3070" t="s">
        <v>27289</v>
      </c>
      <c r="C3070" t="s">
        <v>20486</v>
      </c>
      <c r="D3070" t="s">
        <v>22</v>
      </c>
      <c r="E3070" t="s">
        <v>136</v>
      </c>
      <c r="F3070">
        <v>70</v>
      </c>
      <c r="G3070" t="s">
        <v>46</v>
      </c>
      <c r="H3070" t="s">
        <v>46</v>
      </c>
      <c r="I3070" t="s">
        <v>228</v>
      </c>
      <c r="J3070" t="s">
        <v>6873</v>
      </c>
    </row>
    <row r="3071" spans="1:10" x14ac:dyDescent="0.3">
      <c r="A3071" t="s">
        <v>6874</v>
      </c>
      <c r="B3071" t="s">
        <v>27290</v>
      </c>
      <c r="C3071" t="s">
        <v>20486</v>
      </c>
      <c r="D3071" t="s">
        <v>22</v>
      </c>
      <c r="E3071" t="s">
        <v>6875</v>
      </c>
      <c r="F3071">
        <v>53</v>
      </c>
      <c r="G3071" t="s">
        <v>31</v>
      </c>
      <c r="H3071" t="s">
        <v>31</v>
      </c>
      <c r="J3071" t="s">
        <v>33</v>
      </c>
    </row>
    <row r="3072" spans="1:10" x14ac:dyDescent="0.3">
      <c r="A3072" t="s">
        <v>6876</v>
      </c>
      <c r="B3072" t="s">
        <v>27291</v>
      </c>
      <c r="C3072" t="s">
        <v>20487</v>
      </c>
      <c r="D3072" t="s">
        <v>22</v>
      </c>
      <c r="E3072" t="s">
        <v>5806</v>
      </c>
      <c r="F3072">
        <v>30</v>
      </c>
      <c r="G3072" t="s">
        <v>31</v>
      </c>
      <c r="H3072" t="s">
        <v>31</v>
      </c>
    </row>
    <row r="3073" spans="1:10" x14ac:dyDescent="0.3">
      <c r="A3073" t="s">
        <v>6877</v>
      </c>
      <c r="B3073" t="s">
        <v>27292</v>
      </c>
      <c r="C3073" t="s">
        <v>20486</v>
      </c>
      <c r="D3073" t="s">
        <v>11</v>
      </c>
      <c r="E3073" t="s">
        <v>6878</v>
      </c>
      <c r="F3073">
        <v>30</v>
      </c>
      <c r="G3073" t="s">
        <v>109</v>
      </c>
      <c r="H3073" t="s">
        <v>9788</v>
      </c>
      <c r="I3073" t="s">
        <v>1802</v>
      </c>
      <c r="J3073" t="s">
        <v>12455</v>
      </c>
    </row>
    <row r="3074" spans="1:10" x14ac:dyDescent="0.3">
      <c r="A3074" t="s">
        <v>6879</v>
      </c>
      <c r="B3074" t="s">
        <v>27293</v>
      </c>
      <c r="C3074" t="s">
        <v>20486</v>
      </c>
      <c r="D3074" t="s">
        <v>11</v>
      </c>
      <c r="E3074" t="s">
        <v>1290</v>
      </c>
      <c r="F3074">
        <v>50</v>
      </c>
      <c r="G3074" t="s">
        <v>109</v>
      </c>
      <c r="H3074" t="s">
        <v>9788</v>
      </c>
      <c r="I3074" t="s">
        <v>703</v>
      </c>
      <c r="J3074" t="s">
        <v>6880</v>
      </c>
    </row>
    <row r="3075" spans="1:10" x14ac:dyDescent="0.3">
      <c r="A3075" t="s">
        <v>12456</v>
      </c>
      <c r="B3075" t="s">
        <v>27294</v>
      </c>
      <c r="C3075" t="s">
        <v>20487</v>
      </c>
      <c r="D3075" t="s">
        <v>11</v>
      </c>
      <c r="E3075" t="s">
        <v>12457</v>
      </c>
      <c r="F3075">
        <v>41</v>
      </c>
      <c r="G3075" t="s">
        <v>46</v>
      </c>
      <c r="H3075" t="s">
        <v>46</v>
      </c>
      <c r="I3075" t="s">
        <v>12458</v>
      </c>
    </row>
    <row r="3076" spans="1:10" x14ac:dyDescent="0.3">
      <c r="A3076" t="s">
        <v>6881</v>
      </c>
      <c r="B3076" t="s">
        <v>27295</v>
      </c>
      <c r="C3076" t="s">
        <v>20486</v>
      </c>
      <c r="D3076" t="s">
        <v>11</v>
      </c>
      <c r="E3076" t="s">
        <v>6882</v>
      </c>
      <c r="F3076">
        <v>56</v>
      </c>
      <c r="G3076" t="s">
        <v>46</v>
      </c>
      <c r="H3076" t="s">
        <v>9789</v>
      </c>
      <c r="I3076" t="s">
        <v>6883</v>
      </c>
      <c r="J3076" t="s">
        <v>6884</v>
      </c>
    </row>
    <row r="3077" spans="1:10" x14ac:dyDescent="0.3">
      <c r="A3077" t="s">
        <v>6885</v>
      </c>
      <c r="B3077" t="s">
        <v>27296</v>
      </c>
      <c r="C3077" t="s">
        <v>20486</v>
      </c>
      <c r="D3077" t="s">
        <v>22</v>
      </c>
      <c r="E3077" t="s">
        <v>6886</v>
      </c>
      <c r="F3077">
        <v>45</v>
      </c>
      <c r="G3077" t="s">
        <v>31</v>
      </c>
      <c r="H3077" t="s">
        <v>31</v>
      </c>
      <c r="J3077" t="s">
        <v>33</v>
      </c>
    </row>
    <row r="3078" spans="1:10" x14ac:dyDescent="0.3">
      <c r="A3078" t="s">
        <v>6887</v>
      </c>
      <c r="B3078" t="s">
        <v>27297</v>
      </c>
      <c r="C3078" t="s">
        <v>20487</v>
      </c>
      <c r="D3078" t="s">
        <v>11</v>
      </c>
      <c r="E3078" t="s">
        <v>6888</v>
      </c>
      <c r="F3078">
        <v>34</v>
      </c>
      <c r="G3078" t="s">
        <v>109</v>
      </c>
      <c r="H3078" t="s">
        <v>9788</v>
      </c>
      <c r="J3078" t="s">
        <v>6889</v>
      </c>
    </row>
    <row r="3079" spans="1:10" x14ac:dyDescent="0.3">
      <c r="A3079" t="s">
        <v>6890</v>
      </c>
      <c r="B3079" t="s">
        <v>27298</v>
      </c>
      <c r="C3079" t="s">
        <v>20488</v>
      </c>
      <c r="D3079" t="s">
        <v>22</v>
      </c>
      <c r="E3079" t="s">
        <v>6891</v>
      </c>
      <c r="F3079">
        <v>39</v>
      </c>
      <c r="G3079" t="s">
        <v>109</v>
      </c>
      <c r="H3079" t="s">
        <v>9788</v>
      </c>
    </row>
    <row r="3080" spans="1:10" x14ac:dyDescent="0.3">
      <c r="A3080" t="s">
        <v>6892</v>
      </c>
      <c r="B3080" t="s">
        <v>27299</v>
      </c>
      <c r="C3080" t="s">
        <v>20486</v>
      </c>
      <c r="D3080" t="s">
        <v>11</v>
      </c>
      <c r="E3080" t="s">
        <v>1407</v>
      </c>
      <c r="F3080">
        <v>30</v>
      </c>
      <c r="G3080" t="s">
        <v>109</v>
      </c>
      <c r="H3080" t="s">
        <v>9788</v>
      </c>
      <c r="J3080" t="s">
        <v>6893</v>
      </c>
    </row>
    <row r="3081" spans="1:10" x14ac:dyDescent="0.3">
      <c r="A3081" t="s">
        <v>6894</v>
      </c>
      <c r="B3081" t="s">
        <v>27300</v>
      </c>
      <c r="C3081" t="s">
        <v>20486</v>
      </c>
      <c r="D3081" t="s">
        <v>22</v>
      </c>
      <c r="E3081" t="s">
        <v>6512</v>
      </c>
      <c r="F3081">
        <v>32</v>
      </c>
      <c r="G3081" t="s">
        <v>133</v>
      </c>
      <c r="H3081" t="s">
        <v>9789</v>
      </c>
      <c r="J3081" t="s">
        <v>6895</v>
      </c>
    </row>
    <row r="3082" spans="1:10" x14ac:dyDescent="0.3">
      <c r="A3082" t="s">
        <v>6896</v>
      </c>
      <c r="B3082" t="s">
        <v>27301</v>
      </c>
      <c r="C3082" t="s">
        <v>20488</v>
      </c>
      <c r="D3082" t="s">
        <v>22</v>
      </c>
      <c r="E3082" t="s">
        <v>12459</v>
      </c>
      <c r="F3082">
        <v>55</v>
      </c>
      <c r="G3082" t="s">
        <v>31</v>
      </c>
      <c r="H3082" t="s">
        <v>31</v>
      </c>
      <c r="I3082" t="s">
        <v>33</v>
      </c>
      <c r="J3082" t="s">
        <v>33</v>
      </c>
    </row>
    <row r="3083" spans="1:10" x14ac:dyDescent="0.3">
      <c r="A3083" t="s">
        <v>6898</v>
      </c>
      <c r="B3083" t="s">
        <v>27302</v>
      </c>
      <c r="C3083" t="s">
        <v>20486</v>
      </c>
      <c r="D3083" t="s">
        <v>11</v>
      </c>
      <c r="E3083" t="s">
        <v>4971</v>
      </c>
      <c r="F3083">
        <v>43</v>
      </c>
      <c r="G3083" t="s">
        <v>133</v>
      </c>
      <c r="H3083" t="s">
        <v>9789</v>
      </c>
      <c r="I3083" t="s">
        <v>1802</v>
      </c>
      <c r="J3083" t="s">
        <v>6899</v>
      </c>
    </row>
    <row r="3084" spans="1:10" x14ac:dyDescent="0.3">
      <c r="A3084" t="s">
        <v>6900</v>
      </c>
      <c r="B3084" t="s">
        <v>27303</v>
      </c>
      <c r="C3084" t="s">
        <v>20486</v>
      </c>
      <c r="D3084" t="s">
        <v>22</v>
      </c>
      <c r="E3084" t="s">
        <v>6901</v>
      </c>
      <c r="F3084">
        <v>57</v>
      </c>
      <c r="G3084" t="s">
        <v>31</v>
      </c>
      <c r="H3084" t="s">
        <v>31</v>
      </c>
      <c r="J3084" t="s">
        <v>33</v>
      </c>
    </row>
    <row r="3085" spans="1:10" x14ac:dyDescent="0.3">
      <c r="A3085" t="s">
        <v>6902</v>
      </c>
      <c r="B3085" t="s">
        <v>27304</v>
      </c>
      <c r="C3085" t="s">
        <v>20486</v>
      </c>
      <c r="D3085" t="s">
        <v>11</v>
      </c>
      <c r="E3085" t="s">
        <v>4825</v>
      </c>
      <c r="F3085">
        <v>31</v>
      </c>
      <c r="G3085" t="s">
        <v>109</v>
      </c>
      <c r="H3085" t="s">
        <v>9788</v>
      </c>
      <c r="J3085" t="s">
        <v>6903</v>
      </c>
    </row>
    <row r="3086" spans="1:10" x14ac:dyDescent="0.3">
      <c r="A3086" t="s">
        <v>6904</v>
      </c>
      <c r="B3086" t="s">
        <v>27305</v>
      </c>
      <c r="C3086" t="s">
        <v>20488</v>
      </c>
      <c r="D3086" t="s">
        <v>11</v>
      </c>
      <c r="E3086" t="s">
        <v>6905</v>
      </c>
      <c r="F3086">
        <v>49</v>
      </c>
      <c r="G3086" t="s">
        <v>46</v>
      </c>
      <c r="H3086" t="s">
        <v>46</v>
      </c>
      <c r="I3086" t="s">
        <v>6800</v>
      </c>
    </row>
    <row r="3087" spans="1:10" x14ac:dyDescent="0.3">
      <c r="A3087" t="s">
        <v>6906</v>
      </c>
      <c r="B3087" t="s">
        <v>27306</v>
      </c>
      <c r="C3087" t="s">
        <v>20486</v>
      </c>
      <c r="D3087" t="s">
        <v>22</v>
      </c>
      <c r="E3087" t="s">
        <v>6907</v>
      </c>
      <c r="F3087">
        <v>66</v>
      </c>
      <c r="G3087" t="s">
        <v>13</v>
      </c>
      <c r="H3087" t="s">
        <v>13</v>
      </c>
      <c r="J3087" t="s">
        <v>6908</v>
      </c>
    </row>
    <row r="3088" spans="1:10" x14ac:dyDescent="0.3">
      <c r="A3088" t="s">
        <v>6909</v>
      </c>
      <c r="B3088" t="s">
        <v>27307</v>
      </c>
      <c r="C3088" t="s">
        <v>20487</v>
      </c>
      <c r="D3088" t="s">
        <v>11</v>
      </c>
      <c r="E3088" t="s">
        <v>6910</v>
      </c>
      <c r="F3088">
        <v>32</v>
      </c>
      <c r="G3088" t="s">
        <v>109</v>
      </c>
      <c r="H3088" t="s">
        <v>9788</v>
      </c>
      <c r="J3088" t="s">
        <v>6911</v>
      </c>
    </row>
    <row r="3089" spans="1:10" x14ac:dyDescent="0.3">
      <c r="A3089" t="s">
        <v>12460</v>
      </c>
      <c r="B3089" t="s">
        <v>27308</v>
      </c>
      <c r="C3089" t="s">
        <v>20488</v>
      </c>
      <c r="D3089" t="s">
        <v>22</v>
      </c>
      <c r="E3089" t="s">
        <v>12461</v>
      </c>
      <c r="F3089">
        <v>35</v>
      </c>
      <c r="G3089" t="s">
        <v>46</v>
      </c>
      <c r="H3089" t="s">
        <v>46</v>
      </c>
      <c r="I3089" t="s">
        <v>1828</v>
      </c>
    </row>
    <row r="3090" spans="1:10" x14ac:dyDescent="0.3">
      <c r="A3090" t="s">
        <v>12462</v>
      </c>
      <c r="B3090" t="s">
        <v>27309</v>
      </c>
      <c r="C3090" t="s">
        <v>20486</v>
      </c>
      <c r="D3090" t="s">
        <v>22</v>
      </c>
      <c r="E3090" t="s">
        <v>9623</v>
      </c>
      <c r="F3090">
        <v>23</v>
      </c>
      <c r="G3090" t="s">
        <v>337</v>
      </c>
      <c r="H3090" t="s">
        <v>337</v>
      </c>
      <c r="J3090" t="s">
        <v>1431</v>
      </c>
    </row>
    <row r="3091" spans="1:10" x14ac:dyDescent="0.3">
      <c r="A3091" t="s">
        <v>6912</v>
      </c>
      <c r="B3091" t="s">
        <v>27310</v>
      </c>
      <c r="C3091" t="s">
        <v>20489</v>
      </c>
      <c r="D3091" t="s">
        <v>22</v>
      </c>
      <c r="E3091" t="s">
        <v>6913</v>
      </c>
      <c r="F3091">
        <v>47</v>
      </c>
      <c r="G3091" t="s">
        <v>243</v>
      </c>
      <c r="H3091" t="s">
        <v>243</v>
      </c>
    </row>
    <row r="3092" spans="1:10" x14ac:dyDescent="0.3">
      <c r="A3092" t="s">
        <v>6915</v>
      </c>
      <c r="B3092" t="s">
        <v>27311</v>
      </c>
      <c r="C3092" t="s">
        <v>20486</v>
      </c>
      <c r="D3092" t="s">
        <v>11</v>
      </c>
      <c r="E3092" t="s">
        <v>6916</v>
      </c>
      <c r="F3092">
        <v>47</v>
      </c>
      <c r="G3092" t="s">
        <v>46</v>
      </c>
      <c r="H3092" t="s">
        <v>46</v>
      </c>
      <c r="J3092" t="s">
        <v>2611</v>
      </c>
    </row>
    <row r="3093" spans="1:10" x14ac:dyDescent="0.3">
      <c r="A3093" t="s">
        <v>6917</v>
      </c>
      <c r="B3093" t="s">
        <v>27312</v>
      </c>
      <c r="C3093" t="s">
        <v>20486</v>
      </c>
      <c r="D3093" t="s">
        <v>22</v>
      </c>
      <c r="E3093" t="s">
        <v>6918</v>
      </c>
      <c r="F3093">
        <v>60</v>
      </c>
      <c r="G3093" t="s">
        <v>16</v>
      </c>
      <c r="H3093" t="s">
        <v>9785</v>
      </c>
      <c r="I3093" t="s">
        <v>17</v>
      </c>
      <c r="J3093" t="s">
        <v>1003</v>
      </c>
    </row>
    <row r="3094" spans="1:10" x14ac:dyDescent="0.3">
      <c r="A3094" t="s">
        <v>12463</v>
      </c>
      <c r="B3094" t="s">
        <v>27313</v>
      </c>
      <c r="C3094" t="s">
        <v>20487</v>
      </c>
      <c r="D3094" t="s">
        <v>11</v>
      </c>
      <c r="E3094" t="s">
        <v>9622</v>
      </c>
      <c r="F3094">
        <v>22</v>
      </c>
      <c r="G3094" t="s">
        <v>337</v>
      </c>
      <c r="H3094" t="s">
        <v>337</v>
      </c>
    </row>
    <row r="3095" spans="1:10" x14ac:dyDescent="0.3">
      <c r="A3095" t="s">
        <v>6919</v>
      </c>
      <c r="B3095" t="s">
        <v>27314</v>
      </c>
      <c r="C3095" t="s">
        <v>20488</v>
      </c>
      <c r="D3095" t="s">
        <v>11</v>
      </c>
      <c r="E3095" t="s">
        <v>6920</v>
      </c>
      <c r="F3095">
        <v>28</v>
      </c>
      <c r="G3095" t="s">
        <v>109</v>
      </c>
      <c r="H3095" t="s">
        <v>9788</v>
      </c>
    </row>
    <row r="3096" spans="1:10" x14ac:dyDescent="0.3">
      <c r="A3096" t="s">
        <v>6921</v>
      </c>
      <c r="B3096" t="s">
        <v>27315</v>
      </c>
      <c r="C3096" t="s">
        <v>20486</v>
      </c>
      <c r="D3096" t="s">
        <v>11</v>
      </c>
      <c r="E3096" t="s">
        <v>6922</v>
      </c>
      <c r="F3096">
        <v>31</v>
      </c>
      <c r="G3096" t="s">
        <v>46</v>
      </c>
      <c r="H3096" t="s">
        <v>46</v>
      </c>
      <c r="I3096" t="s">
        <v>3000</v>
      </c>
      <c r="J3096" t="s">
        <v>12464</v>
      </c>
    </row>
    <row r="3097" spans="1:10" x14ac:dyDescent="0.3">
      <c r="A3097" t="s">
        <v>6923</v>
      </c>
      <c r="B3097" t="s">
        <v>27316</v>
      </c>
      <c r="C3097" t="s">
        <v>20491</v>
      </c>
      <c r="D3097" t="s">
        <v>22</v>
      </c>
      <c r="E3097" t="s">
        <v>504</v>
      </c>
      <c r="F3097">
        <v>57</v>
      </c>
      <c r="G3097" t="s">
        <v>370</v>
      </c>
      <c r="H3097" t="s">
        <v>46</v>
      </c>
      <c r="I3097" t="s">
        <v>6924</v>
      </c>
    </row>
    <row r="3098" spans="1:10" x14ac:dyDescent="0.3">
      <c r="A3098" t="s">
        <v>6925</v>
      </c>
      <c r="B3098" t="s">
        <v>27317</v>
      </c>
      <c r="C3098" t="s">
        <v>20488</v>
      </c>
      <c r="D3098" t="s">
        <v>22</v>
      </c>
      <c r="E3098" t="s">
        <v>6699</v>
      </c>
      <c r="F3098">
        <v>47</v>
      </c>
      <c r="G3098" t="s">
        <v>109</v>
      </c>
      <c r="H3098" t="s">
        <v>9788</v>
      </c>
      <c r="I3098" t="s">
        <v>6926</v>
      </c>
      <c r="J3098" t="s">
        <v>6927</v>
      </c>
    </row>
    <row r="3099" spans="1:10" x14ac:dyDescent="0.3">
      <c r="A3099" t="s">
        <v>12465</v>
      </c>
      <c r="B3099" t="s">
        <v>27318</v>
      </c>
      <c r="C3099" t="s">
        <v>20487</v>
      </c>
      <c r="D3099" t="s">
        <v>11</v>
      </c>
      <c r="E3099" t="s">
        <v>9620</v>
      </c>
      <c r="F3099">
        <v>20</v>
      </c>
      <c r="G3099" t="s">
        <v>243</v>
      </c>
      <c r="H3099" t="s">
        <v>243</v>
      </c>
      <c r="I3099">
        <v>0</v>
      </c>
    </row>
    <row r="3100" spans="1:10" x14ac:dyDescent="0.3">
      <c r="A3100" t="s">
        <v>6928</v>
      </c>
      <c r="B3100" t="s">
        <v>27319</v>
      </c>
      <c r="C3100" t="s">
        <v>20486</v>
      </c>
      <c r="D3100" t="s">
        <v>22</v>
      </c>
      <c r="E3100" t="s">
        <v>4079</v>
      </c>
      <c r="F3100">
        <v>41</v>
      </c>
      <c r="G3100" t="s">
        <v>31</v>
      </c>
      <c r="H3100" t="s">
        <v>31</v>
      </c>
    </row>
    <row r="3101" spans="1:10" x14ac:dyDescent="0.3">
      <c r="A3101" t="s">
        <v>6929</v>
      </c>
      <c r="B3101" t="s">
        <v>27320</v>
      </c>
      <c r="C3101" t="s">
        <v>20490</v>
      </c>
      <c r="D3101" t="s">
        <v>22</v>
      </c>
      <c r="E3101" t="s">
        <v>6930</v>
      </c>
      <c r="F3101">
        <v>36</v>
      </c>
      <c r="G3101" t="s">
        <v>213</v>
      </c>
      <c r="H3101" t="s">
        <v>12065</v>
      </c>
      <c r="I3101" t="s">
        <v>6931</v>
      </c>
    </row>
    <row r="3102" spans="1:10" x14ac:dyDescent="0.3">
      <c r="A3102" t="s">
        <v>12466</v>
      </c>
      <c r="B3102" t="s">
        <v>27321</v>
      </c>
      <c r="C3102" t="s">
        <v>20491</v>
      </c>
      <c r="D3102" t="s">
        <v>22</v>
      </c>
      <c r="E3102" t="s">
        <v>5558</v>
      </c>
      <c r="F3102">
        <v>43</v>
      </c>
      <c r="G3102" t="s">
        <v>31</v>
      </c>
      <c r="H3102" t="s">
        <v>31</v>
      </c>
    </row>
    <row r="3103" spans="1:10" x14ac:dyDescent="0.3">
      <c r="A3103" t="s">
        <v>6932</v>
      </c>
      <c r="B3103" t="s">
        <v>27322</v>
      </c>
      <c r="C3103" t="s">
        <v>20486</v>
      </c>
      <c r="D3103" t="s">
        <v>22</v>
      </c>
      <c r="E3103" t="s">
        <v>6933</v>
      </c>
      <c r="F3103">
        <v>34</v>
      </c>
      <c r="G3103" t="s">
        <v>172</v>
      </c>
      <c r="H3103" t="s">
        <v>12099</v>
      </c>
      <c r="I3103" t="s">
        <v>421</v>
      </c>
      <c r="J3103" t="s">
        <v>6934</v>
      </c>
    </row>
    <row r="3104" spans="1:10" x14ac:dyDescent="0.3">
      <c r="A3104" t="s">
        <v>6935</v>
      </c>
      <c r="B3104" t="s">
        <v>27323</v>
      </c>
      <c r="C3104" t="s">
        <v>20486</v>
      </c>
      <c r="D3104" t="s">
        <v>22</v>
      </c>
      <c r="E3104" t="s">
        <v>5837</v>
      </c>
      <c r="F3104">
        <v>35</v>
      </c>
      <c r="G3104" t="s">
        <v>31</v>
      </c>
      <c r="H3104" t="s">
        <v>31</v>
      </c>
      <c r="I3104" t="s">
        <v>228</v>
      </c>
    </row>
    <row r="3105" spans="1:10" x14ac:dyDescent="0.3">
      <c r="A3105" t="s">
        <v>6936</v>
      </c>
      <c r="B3105" t="s">
        <v>27324</v>
      </c>
      <c r="C3105" t="s">
        <v>20489</v>
      </c>
      <c r="D3105" t="s">
        <v>22</v>
      </c>
      <c r="E3105" t="s">
        <v>2869</v>
      </c>
      <c r="F3105">
        <v>49</v>
      </c>
      <c r="G3105" t="s">
        <v>109</v>
      </c>
      <c r="H3105" t="s">
        <v>9788</v>
      </c>
      <c r="I3105" t="s">
        <v>360</v>
      </c>
      <c r="J3105" t="s">
        <v>6937</v>
      </c>
    </row>
    <row r="3106" spans="1:10" x14ac:dyDescent="0.3">
      <c r="A3106" t="s">
        <v>6938</v>
      </c>
      <c r="B3106" t="s">
        <v>27325</v>
      </c>
      <c r="C3106" t="s">
        <v>20491</v>
      </c>
      <c r="D3106" t="s">
        <v>11</v>
      </c>
      <c r="E3106" t="s">
        <v>5196</v>
      </c>
      <c r="F3106">
        <v>34</v>
      </c>
      <c r="G3106" t="s">
        <v>109</v>
      </c>
      <c r="H3106" t="s">
        <v>9788</v>
      </c>
      <c r="J3106" t="s">
        <v>6939</v>
      </c>
    </row>
    <row r="3107" spans="1:10" x14ac:dyDescent="0.3">
      <c r="A3107" t="s">
        <v>6940</v>
      </c>
      <c r="B3107" t="s">
        <v>27326</v>
      </c>
      <c r="C3107" t="s">
        <v>20491</v>
      </c>
      <c r="D3107" t="s">
        <v>11</v>
      </c>
      <c r="E3107" t="s">
        <v>6941</v>
      </c>
      <c r="F3107">
        <v>71</v>
      </c>
      <c r="G3107" t="s">
        <v>13</v>
      </c>
      <c r="H3107" t="s">
        <v>12099</v>
      </c>
      <c r="J3107" t="s">
        <v>173</v>
      </c>
    </row>
    <row r="3108" spans="1:10" x14ac:dyDescent="0.3">
      <c r="A3108" t="s">
        <v>6942</v>
      </c>
      <c r="B3108" t="s">
        <v>27327</v>
      </c>
      <c r="C3108" t="s">
        <v>20486</v>
      </c>
      <c r="D3108" t="s">
        <v>22</v>
      </c>
      <c r="E3108" t="s">
        <v>6943</v>
      </c>
      <c r="F3108">
        <v>30</v>
      </c>
      <c r="G3108" t="s">
        <v>133</v>
      </c>
      <c r="H3108" t="s">
        <v>9789</v>
      </c>
      <c r="I3108" t="s">
        <v>6944</v>
      </c>
      <c r="J3108" t="s">
        <v>6945</v>
      </c>
    </row>
    <row r="3109" spans="1:10" x14ac:dyDescent="0.3">
      <c r="A3109" t="s">
        <v>6946</v>
      </c>
      <c r="B3109" t="s">
        <v>27328</v>
      </c>
      <c r="C3109" t="s">
        <v>20488</v>
      </c>
      <c r="D3109" t="s">
        <v>22</v>
      </c>
      <c r="E3109" t="s">
        <v>6947</v>
      </c>
      <c r="F3109">
        <v>60</v>
      </c>
      <c r="G3109" t="s">
        <v>31</v>
      </c>
      <c r="H3109" t="s">
        <v>31</v>
      </c>
    </row>
    <row r="3110" spans="1:10" x14ac:dyDescent="0.3">
      <c r="A3110" t="s">
        <v>12467</v>
      </c>
      <c r="B3110" t="s">
        <v>27329</v>
      </c>
      <c r="C3110" t="s">
        <v>20486</v>
      </c>
      <c r="D3110" t="s">
        <v>22</v>
      </c>
      <c r="E3110" t="s">
        <v>9619</v>
      </c>
      <c r="F3110">
        <v>18</v>
      </c>
      <c r="H3110" t="s">
        <v>337</v>
      </c>
    </row>
    <row r="3111" spans="1:10" x14ac:dyDescent="0.3">
      <c r="A3111" t="s">
        <v>6948</v>
      </c>
      <c r="B3111" t="s">
        <v>27330</v>
      </c>
      <c r="C3111" t="s">
        <v>20486</v>
      </c>
      <c r="D3111" t="s">
        <v>22</v>
      </c>
      <c r="E3111" t="s">
        <v>6949</v>
      </c>
      <c r="F3111">
        <v>32</v>
      </c>
      <c r="G3111" t="s">
        <v>109</v>
      </c>
      <c r="H3111" t="s">
        <v>9788</v>
      </c>
      <c r="I3111" t="s">
        <v>703</v>
      </c>
      <c r="J3111" t="s">
        <v>6950</v>
      </c>
    </row>
    <row r="3112" spans="1:10" x14ac:dyDescent="0.3">
      <c r="A3112" t="s">
        <v>6951</v>
      </c>
      <c r="B3112" t="s">
        <v>27331</v>
      </c>
      <c r="C3112" t="s">
        <v>20486</v>
      </c>
      <c r="D3112" t="s">
        <v>22</v>
      </c>
      <c r="E3112" t="s">
        <v>6952</v>
      </c>
      <c r="F3112">
        <v>47</v>
      </c>
      <c r="G3112" t="s">
        <v>2418</v>
      </c>
      <c r="H3112" t="s">
        <v>9787</v>
      </c>
      <c r="I3112" t="s">
        <v>703</v>
      </c>
      <c r="J3112" t="s">
        <v>6953</v>
      </c>
    </row>
    <row r="3113" spans="1:10" x14ac:dyDescent="0.3">
      <c r="A3113" t="s">
        <v>6954</v>
      </c>
      <c r="B3113" t="s">
        <v>27332</v>
      </c>
      <c r="C3113" t="s">
        <v>20488</v>
      </c>
      <c r="D3113" t="s">
        <v>22</v>
      </c>
      <c r="E3113" t="s">
        <v>3036</v>
      </c>
      <c r="F3113">
        <v>39</v>
      </c>
      <c r="G3113" t="s">
        <v>109</v>
      </c>
      <c r="H3113" t="s">
        <v>9788</v>
      </c>
    </row>
    <row r="3114" spans="1:10" x14ac:dyDescent="0.3">
      <c r="A3114" t="s">
        <v>6955</v>
      </c>
      <c r="B3114" t="s">
        <v>27333</v>
      </c>
      <c r="C3114" t="s">
        <v>20488</v>
      </c>
      <c r="D3114" t="s">
        <v>22</v>
      </c>
      <c r="E3114" t="s">
        <v>6956</v>
      </c>
      <c r="F3114">
        <v>59</v>
      </c>
      <c r="G3114" t="s">
        <v>31</v>
      </c>
      <c r="H3114" t="s">
        <v>31</v>
      </c>
    </row>
    <row r="3115" spans="1:10" x14ac:dyDescent="0.3">
      <c r="A3115" t="s">
        <v>6957</v>
      </c>
      <c r="B3115" t="s">
        <v>27334</v>
      </c>
      <c r="C3115" t="s">
        <v>20488</v>
      </c>
      <c r="D3115" t="s">
        <v>11</v>
      </c>
      <c r="E3115" t="s">
        <v>6958</v>
      </c>
      <c r="F3115">
        <v>42</v>
      </c>
      <c r="G3115" t="s">
        <v>46</v>
      </c>
      <c r="H3115" t="s">
        <v>46</v>
      </c>
    </row>
    <row r="3116" spans="1:10" x14ac:dyDescent="0.3">
      <c r="A3116" t="s">
        <v>6959</v>
      </c>
      <c r="B3116" t="s">
        <v>27335</v>
      </c>
      <c r="C3116" t="s">
        <v>20488</v>
      </c>
      <c r="D3116" t="s">
        <v>22</v>
      </c>
      <c r="E3116" t="s">
        <v>6960</v>
      </c>
      <c r="F3116">
        <v>29</v>
      </c>
      <c r="G3116" t="s">
        <v>109</v>
      </c>
      <c r="H3116" t="s">
        <v>9788</v>
      </c>
    </row>
    <row r="3117" spans="1:10" x14ac:dyDescent="0.3">
      <c r="A3117" t="s">
        <v>6961</v>
      </c>
      <c r="B3117" t="s">
        <v>27336</v>
      </c>
      <c r="C3117" t="s">
        <v>20488</v>
      </c>
      <c r="D3117" t="s">
        <v>22</v>
      </c>
      <c r="E3117" t="s">
        <v>6962</v>
      </c>
      <c r="F3117">
        <v>38</v>
      </c>
      <c r="G3117" t="s">
        <v>46</v>
      </c>
      <c r="H3117" t="s">
        <v>46</v>
      </c>
    </row>
    <row r="3118" spans="1:10" x14ac:dyDescent="0.3">
      <c r="A3118" t="s">
        <v>12469</v>
      </c>
      <c r="B3118" t="s">
        <v>27337</v>
      </c>
      <c r="C3118" t="s">
        <v>20488</v>
      </c>
      <c r="D3118" t="s">
        <v>11</v>
      </c>
      <c r="E3118" t="s">
        <v>9618</v>
      </c>
      <c r="F3118">
        <v>17</v>
      </c>
      <c r="G3118" t="s">
        <v>337</v>
      </c>
      <c r="H3118" t="s">
        <v>337</v>
      </c>
    </row>
    <row r="3119" spans="1:10" x14ac:dyDescent="0.3">
      <c r="A3119" t="s">
        <v>6963</v>
      </c>
      <c r="B3119" t="s">
        <v>27338</v>
      </c>
      <c r="C3119" t="s">
        <v>20488</v>
      </c>
      <c r="D3119" t="s">
        <v>11</v>
      </c>
      <c r="E3119" t="s">
        <v>6964</v>
      </c>
      <c r="F3119">
        <v>62</v>
      </c>
      <c r="G3119" t="s">
        <v>16</v>
      </c>
      <c r="H3119" t="s">
        <v>9785</v>
      </c>
      <c r="I3119" t="s">
        <v>449</v>
      </c>
      <c r="J3119" t="s">
        <v>1987</v>
      </c>
    </row>
    <row r="3120" spans="1:10" x14ac:dyDescent="0.3">
      <c r="A3120" t="s">
        <v>6965</v>
      </c>
      <c r="B3120" t="s">
        <v>27339</v>
      </c>
      <c r="C3120" t="s">
        <v>20488</v>
      </c>
      <c r="D3120" t="s">
        <v>22</v>
      </c>
      <c r="E3120" t="s">
        <v>2511</v>
      </c>
      <c r="F3120">
        <v>60</v>
      </c>
      <c r="G3120" t="s">
        <v>16</v>
      </c>
      <c r="H3120" t="s">
        <v>9785</v>
      </c>
      <c r="I3120" t="s">
        <v>449</v>
      </c>
      <c r="J3120" t="s">
        <v>6966</v>
      </c>
    </row>
    <row r="3121" spans="1:10" x14ac:dyDescent="0.3">
      <c r="A3121" t="s">
        <v>6967</v>
      </c>
      <c r="B3121" t="s">
        <v>27340</v>
      </c>
      <c r="C3121" t="s">
        <v>20486</v>
      </c>
      <c r="D3121" t="s">
        <v>22</v>
      </c>
      <c r="E3121" t="s">
        <v>6968</v>
      </c>
      <c r="F3121">
        <v>63</v>
      </c>
      <c r="G3121" t="s">
        <v>16</v>
      </c>
      <c r="H3121" t="s">
        <v>9785</v>
      </c>
      <c r="J3121" t="s">
        <v>6969</v>
      </c>
    </row>
    <row r="3122" spans="1:10" x14ac:dyDescent="0.3">
      <c r="A3122" t="s">
        <v>6970</v>
      </c>
      <c r="B3122" t="s">
        <v>27341</v>
      </c>
      <c r="C3122" t="s">
        <v>20487</v>
      </c>
      <c r="D3122" t="s">
        <v>22</v>
      </c>
      <c r="E3122" t="s">
        <v>6971</v>
      </c>
      <c r="F3122">
        <v>47</v>
      </c>
      <c r="G3122" t="s">
        <v>31</v>
      </c>
      <c r="H3122" t="s">
        <v>31</v>
      </c>
    </row>
    <row r="3123" spans="1:10" x14ac:dyDescent="0.3">
      <c r="A3123" t="s">
        <v>6972</v>
      </c>
      <c r="B3123" t="s">
        <v>27342</v>
      </c>
      <c r="C3123" t="s">
        <v>20488</v>
      </c>
      <c r="D3123" t="s">
        <v>22</v>
      </c>
      <c r="E3123" t="s">
        <v>6973</v>
      </c>
      <c r="F3123">
        <v>24</v>
      </c>
      <c r="G3123" t="s">
        <v>109</v>
      </c>
      <c r="H3123" t="s">
        <v>9788</v>
      </c>
      <c r="J3123" t="s">
        <v>1125</v>
      </c>
    </row>
    <row r="3124" spans="1:10" x14ac:dyDescent="0.3">
      <c r="A3124" t="s">
        <v>6974</v>
      </c>
      <c r="B3124" t="s">
        <v>27343</v>
      </c>
      <c r="C3124" t="s">
        <v>20488</v>
      </c>
      <c r="D3124" t="s">
        <v>11</v>
      </c>
      <c r="E3124" t="s">
        <v>6975</v>
      </c>
      <c r="F3124">
        <v>55</v>
      </c>
      <c r="G3124" t="s">
        <v>109</v>
      </c>
      <c r="H3124" t="s">
        <v>9788</v>
      </c>
      <c r="I3124" t="s">
        <v>6976</v>
      </c>
      <c r="J3124" t="s">
        <v>384</v>
      </c>
    </row>
    <row r="3125" spans="1:10" x14ac:dyDescent="0.3">
      <c r="A3125" t="s">
        <v>6977</v>
      </c>
      <c r="B3125" t="s">
        <v>27344</v>
      </c>
      <c r="C3125" t="s">
        <v>20488</v>
      </c>
      <c r="D3125" t="s">
        <v>22</v>
      </c>
      <c r="E3125" t="s">
        <v>6978</v>
      </c>
      <c r="F3125">
        <v>47</v>
      </c>
      <c r="G3125" t="s">
        <v>109</v>
      </c>
      <c r="H3125" t="s">
        <v>9788</v>
      </c>
      <c r="I3125" t="s">
        <v>6979</v>
      </c>
      <c r="J3125" t="s">
        <v>6980</v>
      </c>
    </row>
    <row r="3126" spans="1:10" x14ac:dyDescent="0.3">
      <c r="A3126" t="s">
        <v>6981</v>
      </c>
      <c r="B3126" t="s">
        <v>27345</v>
      </c>
      <c r="C3126" t="s">
        <v>20488</v>
      </c>
      <c r="D3126" t="s">
        <v>22</v>
      </c>
      <c r="E3126" t="s">
        <v>6910</v>
      </c>
      <c r="F3126">
        <v>32</v>
      </c>
      <c r="G3126" t="s">
        <v>109</v>
      </c>
      <c r="H3126" t="s">
        <v>9788</v>
      </c>
    </row>
    <row r="3127" spans="1:10" x14ac:dyDescent="0.3">
      <c r="A3127" t="s">
        <v>6982</v>
      </c>
      <c r="B3127" t="s">
        <v>27346</v>
      </c>
      <c r="C3127" t="s">
        <v>20488</v>
      </c>
      <c r="D3127" t="s">
        <v>11</v>
      </c>
      <c r="E3127" t="s">
        <v>6983</v>
      </c>
      <c r="F3127">
        <v>37</v>
      </c>
      <c r="G3127" t="s">
        <v>109</v>
      </c>
      <c r="H3127" t="s">
        <v>9788</v>
      </c>
      <c r="I3127" t="s">
        <v>110</v>
      </c>
      <c r="J3127" t="s">
        <v>14335</v>
      </c>
    </row>
    <row r="3128" spans="1:10" x14ac:dyDescent="0.3">
      <c r="A3128" t="s">
        <v>6984</v>
      </c>
      <c r="B3128" t="s">
        <v>27347</v>
      </c>
      <c r="C3128" t="s">
        <v>20487</v>
      </c>
      <c r="D3128" t="s">
        <v>22</v>
      </c>
      <c r="E3128" t="s">
        <v>6985</v>
      </c>
      <c r="F3128">
        <v>60</v>
      </c>
      <c r="G3128" t="s">
        <v>441</v>
      </c>
      <c r="H3128" t="s">
        <v>9785</v>
      </c>
      <c r="J3128" t="s">
        <v>5441</v>
      </c>
    </row>
    <row r="3129" spans="1:10" x14ac:dyDescent="0.3">
      <c r="A3129" t="s">
        <v>12470</v>
      </c>
      <c r="B3129" t="s">
        <v>27348</v>
      </c>
      <c r="C3129" t="s">
        <v>20486</v>
      </c>
      <c r="D3129" t="s">
        <v>22</v>
      </c>
      <c r="E3129" t="s">
        <v>9617</v>
      </c>
      <c r="F3129">
        <v>25</v>
      </c>
      <c r="G3129" t="s">
        <v>337</v>
      </c>
      <c r="H3129" t="s">
        <v>337</v>
      </c>
      <c r="J3129" t="s">
        <v>9616</v>
      </c>
    </row>
    <row r="3130" spans="1:10" x14ac:dyDescent="0.3">
      <c r="A3130" t="s">
        <v>6986</v>
      </c>
      <c r="B3130" t="s">
        <v>27349</v>
      </c>
      <c r="C3130" t="s">
        <v>20488</v>
      </c>
      <c r="D3130" t="s">
        <v>22</v>
      </c>
      <c r="E3130" t="s">
        <v>1490</v>
      </c>
      <c r="F3130">
        <v>44</v>
      </c>
      <c r="G3130" t="s">
        <v>31</v>
      </c>
      <c r="H3130" t="s">
        <v>31</v>
      </c>
    </row>
    <row r="3131" spans="1:10" x14ac:dyDescent="0.3">
      <c r="A3131" t="s">
        <v>6988</v>
      </c>
      <c r="B3131" t="s">
        <v>27350</v>
      </c>
      <c r="C3131" t="s">
        <v>20488</v>
      </c>
      <c r="D3131" t="s">
        <v>11</v>
      </c>
      <c r="E3131" t="s">
        <v>6989</v>
      </c>
      <c r="F3131">
        <v>50</v>
      </c>
      <c r="G3131" t="s">
        <v>109</v>
      </c>
      <c r="H3131" t="s">
        <v>9788</v>
      </c>
    </row>
    <row r="3132" spans="1:10" x14ac:dyDescent="0.3">
      <c r="A3132" t="s">
        <v>6990</v>
      </c>
      <c r="B3132" t="s">
        <v>27351</v>
      </c>
      <c r="C3132" t="s">
        <v>20487</v>
      </c>
      <c r="D3132" t="s">
        <v>22</v>
      </c>
      <c r="E3132" t="s">
        <v>6991</v>
      </c>
      <c r="F3132">
        <v>50</v>
      </c>
      <c r="G3132" t="s">
        <v>16</v>
      </c>
      <c r="H3132" t="s">
        <v>9785</v>
      </c>
      <c r="J3132" t="s">
        <v>14336</v>
      </c>
    </row>
    <row r="3133" spans="1:10" x14ac:dyDescent="0.3">
      <c r="A3133" t="s">
        <v>6992</v>
      </c>
      <c r="B3133" t="s">
        <v>27352</v>
      </c>
      <c r="C3133" t="s">
        <v>20489</v>
      </c>
      <c r="D3133" t="s">
        <v>11</v>
      </c>
      <c r="E3133" t="s">
        <v>6993</v>
      </c>
      <c r="F3133">
        <v>30</v>
      </c>
      <c r="G3133" t="s">
        <v>109</v>
      </c>
      <c r="H3133" t="s">
        <v>9788</v>
      </c>
      <c r="I3133" t="s">
        <v>12471</v>
      </c>
      <c r="J3133" t="s">
        <v>6994</v>
      </c>
    </row>
    <row r="3134" spans="1:10" x14ac:dyDescent="0.3">
      <c r="A3134" t="s">
        <v>6995</v>
      </c>
      <c r="B3134" t="s">
        <v>27353</v>
      </c>
      <c r="C3134" t="s">
        <v>20486</v>
      </c>
      <c r="D3134" t="s">
        <v>22</v>
      </c>
      <c r="E3134" t="s">
        <v>6996</v>
      </c>
      <c r="F3134">
        <v>46</v>
      </c>
      <c r="G3134" t="s">
        <v>46</v>
      </c>
      <c r="H3134" t="s">
        <v>46</v>
      </c>
      <c r="I3134" t="s">
        <v>6997</v>
      </c>
    </row>
    <row r="3135" spans="1:10" x14ac:dyDescent="0.3">
      <c r="A3135" t="s">
        <v>6998</v>
      </c>
      <c r="B3135" t="s">
        <v>27354</v>
      </c>
      <c r="C3135" t="s">
        <v>20486</v>
      </c>
      <c r="D3135" t="s">
        <v>11</v>
      </c>
      <c r="E3135" t="s">
        <v>6999</v>
      </c>
      <c r="F3135">
        <v>37</v>
      </c>
      <c r="G3135" t="s">
        <v>133</v>
      </c>
      <c r="H3135" t="s">
        <v>9789</v>
      </c>
      <c r="I3135" t="s">
        <v>7000</v>
      </c>
      <c r="J3135" t="s">
        <v>7001</v>
      </c>
    </row>
    <row r="3136" spans="1:10" x14ac:dyDescent="0.3">
      <c r="A3136" t="s">
        <v>12472</v>
      </c>
      <c r="B3136" t="s">
        <v>27355</v>
      </c>
      <c r="C3136" t="s">
        <v>20486</v>
      </c>
      <c r="D3136" t="s">
        <v>22</v>
      </c>
      <c r="E3136" t="s">
        <v>9614</v>
      </c>
      <c r="F3136">
        <v>19</v>
      </c>
    </row>
    <row r="3137" spans="1:10" x14ac:dyDescent="0.3">
      <c r="A3137" t="s">
        <v>7002</v>
      </c>
      <c r="B3137" t="s">
        <v>27356</v>
      </c>
      <c r="C3137" t="s">
        <v>20486</v>
      </c>
      <c r="D3137" t="s">
        <v>22</v>
      </c>
      <c r="E3137" t="s">
        <v>7003</v>
      </c>
      <c r="F3137">
        <v>50</v>
      </c>
      <c r="G3137" t="s">
        <v>16</v>
      </c>
      <c r="H3137" t="s">
        <v>9785</v>
      </c>
      <c r="I3137" t="s">
        <v>17</v>
      </c>
      <c r="J3137" t="s">
        <v>7004</v>
      </c>
    </row>
    <row r="3138" spans="1:10" x14ac:dyDescent="0.3">
      <c r="A3138" t="s">
        <v>7005</v>
      </c>
      <c r="B3138" t="s">
        <v>27357</v>
      </c>
      <c r="C3138" t="s">
        <v>20486</v>
      </c>
      <c r="D3138" t="s">
        <v>11</v>
      </c>
      <c r="E3138" t="s">
        <v>7006</v>
      </c>
      <c r="F3138">
        <v>51</v>
      </c>
      <c r="G3138" t="s">
        <v>109</v>
      </c>
      <c r="H3138" t="s">
        <v>9788</v>
      </c>
      <c r="I3138" t="s">
        <v>2014</v>
      </c>
      <c r="J3138" t="s">
        <v>7007</v>
      </c>
    </row>
    <row r="3139" spans="1:10" x14ac:dyDescent="0.3">
      <c r="A3139" t="s">
        <v>7008</v>
      </c>
      <c r="B3139" t="s">
        <v>27358</v>
      </c>
      <c r="C3139" t="s">
        <v>20486</v>
      </c>
      <c r="D3139" t="s">
        <v>22</v>
      </c>
      <c r="E3139" t="s">
        <v>7009</v>
      </c>
      <c r="F3139">
        <v>43</v>
      </c>
      <c r="G3139" t="s">
        <v>31</v>
      </c>
      <c r="H3139" t="s">
        <v>31</v>
      </c>
      <c r="J3139" t="s">
        <v>33</v>
      </c>
    </row>
    <row r="3140" spans="1:10" x14ac:dyDescent="0.3">
      <c r="A3140" t="s">
        <v>7010</v>
      </c>
      <c r="B3140" t="s">
        <v>27359</v>
      </c>
      <c r="C3140" t="s">
        <v>20486</v>
      </c>
      <c r="D3140" t="s">
        <v>22</v>
      </c>
      <c r="E3140" t="s">
        <v>7011</v>
      </c>
      <c r="F3140">
        <v>59</v>
      </c>
      <c r="G3140" t="s">
        <v>16</v>
      </c>
      <c r="H3140" t="s">
        <v>9785</v>
      </c>
      <c r="I3140" t="s">
        <v>17</v>
      </c>
    </row>
    <row r="3141" spans="1:10" x14ac:dyDescent="0.3">
      <c r="A3141" t="s">
        <v>7012</v>
      </c>
      <c r="B3141" t="s">
        <v>27360</v>
      </c>
      <c r="C3141" t="s">
        <v>20486</v>
      </c>
      <c r="D3141" t="s">
        <v>22</v>
      </c>
      <c r="E3141" t="s">
        <v>7013</v>
      </c>
      <c r="F3141">
        <v>41</v>
      </c>
      <c r="G3141" t="s">
        <v>16</v>
      </c>
      <c r="H3141" t="s">
        <v>9785</v>
      </c>
      <c r="I3141" t="s">
        <v>17</v>
      </c>
      <c r="J3141" t="s">
        <v>7014</v>
      </c>
    </row>
    <row r="3142" spans="1:10" x14ac:dyDescent="0.3">
      <c r="A3142" t="s">
        <v>7015</v>
      </c>
      <c r="B3142" t="s">
        <v>27361</v>
      </c>
      <c r="C3142" t="s">
        <v>20486</v>
      </c>
      <c r="D3142" t="s">
        <v>22</v>
      </c>
      <c r="E3142" t="s">
        <v>7016</v>
      </c>
      <c r="F3142">
        <v>53</v>
      </c>
      <c r="G3142" t="s">
        <v>16</v>
      </c>
      <c r="H3142" t="s">
        <v>9785</v>
      </c>
      <c r="I3142" t="s">
        <v>17</v>
      </c>
    </row>
    <row r="3143" spans="1:10" x14ac:dyDescent="0.3">
      <c r="A3143" t="s">
        <v>7017</v>
      </c>
      <c r="B3143" t="s">
        <v>27362</v>
      </c>
      <c r="C3143" t="s">
        <v>20486</v>
      </c>
      <c r="D3143" t="s">
        <v>11</v>
      </c>
      <c r="E3143" t="s">
        <v>7018</v>
      </c>
      <c r="F3143">
        <v>29</v>
      </c>
      <c r="G3143" t="s">
        <v>337</v>
      </c>
      <c r="H3143" t="s">
        <v>337</v>
      </c>
    </row>
    <row r="3144" spans="1:10" x14ac:dyDescent="0.3">
      <c r="A3144" t="s">
        <v>12473</v>
      </c>
      <c r="B3144" t="s">
        <v>27363</v>
      </c>
      <c r="C3144" t="s">
        <v>20486</v>
      </c>
      <c r="D3144" t="s">
        <v>11</v>
      </c>
      <c r="E3144" t="s">
        <v>9613</v>
      </c>
      <c r="F3144">
        <v>18</v>
      </c>
      <c r="H3144" t="s">
        <v>337</v>
      </c>
    </row>
    <row r="3145" spans="1:10" x14ac:dyDescent="0.3">
      <c r="A3145" t="s">
        <v>7021</v>
      </c>
      <c r="B3145" t="s">
        <v>27364</v>
      </c>
      <c r="C3145" t="s">
        <v>20486</v>
      </c>
      <c r="D3145" t="s">
        <v>11</v>
      </c>
      <c r="E3145" t="s">
        <v>7022</v>
      </c>
      <c r="F3145">
        <v>50</v>
      </c>
      <c r="G3145" t="s">
        <v>46</v>
      </c>
      <c r="H3145" t="s">
        <v>46</v>
      </c>
    </row>
    <row r="3146" spans="1:10" x14ac:dyDescent="0.3">
      <c r="A3146" t="s">
        <v>7023</v>
      </c>
      <c r="B3146" t="s">
        <v>27365</v>
      </c>
      <c r="C3146" t="s">
        <v>20486</v>
      </c>
      <c r="D3146" t="s">
        <v>11</v>
      </c>
      <c r="E3146" t="s">
        <v>7024</v>
      </c>
      <c r="F3146">
        <v>43</v>
      </c>
      <c r="G3146" t="s">
        <v>46</v>
      </c>
      <c r="H3146" t="s">
        <v>46</v>
      </c>
      <c r="J3146" t="s">
        <v>7025</v>
      </c>
    </row>
    <row r="3147" spans="1:10" x14ac:dyDescent="0.3">
      <c r="A3147" t="s">
        <v>7026</v>
      </c>
      <c r="B3147" t="s">
        <v>27366</v>
      </c>
      <c r="C3147" t="s">
        <v>20486</v>
      </c>
      <c r="D3147" t="s">
        <v>11</v>
      </c>
      <c r="E3147" t="s">
        <v>7027</v>
      </c>
      <c r="F3147">
        <v>57</v>
      </c>
      <c r="G3147" t="s">
        <v>16</v>
      </c>
      <c r="H3147" t="s">
        <v>9785</v>
      </c>
      <c r="I3147" t="s">
        <v>17</v>
      </c>
      <c r="J3147" t="s">
        <v>67</v>
      </c>
    </row>
    <row r="3148" spans="1:10" x14ac:dyDescent="0.3">
      <c r="A3148" t="s">
        <v>7028</v>
      </c>
      <c r="B3148" t="s">
        <v>27367</v>
      </c>
      <c r="C3148" t="s">
        <v>20486</v>
      </c>
      <c r="D3148" t="s">
        <v>22</v>
      </c>
      <c r="E3148" t="s">
        <v>7029</v>
      </c>
      <c r="F3148">
        <v>42</v>
      </c>
      <c r="G3148" t="s">
        <v>31</v>
      </c>
      <c r="H3148" t="s">
        <v>31</v>
      </c>
      <c r="J3148" t="s">
        <v>33</v>
      </c>
    </row>
    <row r="3149" spans="1:10" x14ac:dyDescent="0.3">
      <c r="A3149" t="s">
        <v>7030</v>
      </c>
      <c r="B3149" t="s">
        <v>27368</v>
      </c>
      <c r="C3149" t="s">
        <v>20491</v>
      </c>
      <c r="D3149" t="s">
        <v>11</v>
      </c>
      <c r="E3149" t="s">
        <v>6496</v>
      </c>
      <c r="F3149">
        <v>39</v>
      </c>
      <c r="G3149" t="s">
        <v>1507</v>
      </c>
      <c r="H3149" t="s">
        <v>9788</v>
      </c>
      <c r="I3149" t="s">
        <v>3103</v>
      </c>
      <c r="J3149" t="s">
        <v>7031</v>
      </c>
    </row>
    <row r="3150" spans="1:10" x14ac:dyDescent="0.3">
      <c r="A3150" t="s">
        <v>7032</v>
      </c>
      <c r="B3150" t="s">
        <v>27369</v>
      </c>
      <c r="C3150" t="s">
        <v>20486</v>
      </c>
      <c r="D3150" t="s">
        <v>22</v>
      </c>
      <c r="E3150" t="s">
        <v>7033</v>
      </c>
      <c r="F3150">
        <v>66</v>
      </c>
      <c r="G3150" t="s">
        <v>243</v>
      </c>
      <c r="H3150" t="s">
        <v>243</v>
      </c>
    </row>
    <row r="3151" spans="1:10" x14ac:dyDescent="0.3">
      <c r="A3151" t="s">
        <v>7034</v>
      </c>
      <c r="B3151" t="s">
        <v>27370</v>
      </c>
      <c r="C3151" t="s">
        <v>20489</v>
      </c>
      <c r="D3151" t="s">
        <v>22</v>
      </c>
      <c r="E3151" t="s">
        <v>7035</v>
      </c>
      <c r="F3151">
        <v>18</v>
      </c>
      <c r="G3151" t="s">
        <v>337</v>
      </c>
      <c r="H3151" t="s">
        <v>337</v>
      </c>
    </row>
    <row r="3152" spans="1:10" x14ac:dyDescent="0.3">
      <c r="A3152" t="s">
        <v>7036</v>
      </c>
      <c r="B3152" t="s">
        <v>27371</v>
      </c>
      <c r="C3152" t="s">
        <v>20486</v>
      </c>
      <c r="D3152" t="s">
        <v>11</v>
      </c>
      <c r="E3152" t="s">
        <v>7037</v>
      </c>
      <c r="F3152">
        <v>33</v>
      </c>
    </row>
    <row r="3153" spans="1:10" x14ac:dyDescent="0.3">
      <c r="A3153" t="s">
        <v>7038</v>
      </c>
      <c r="B3153" t="s">
        <v>27372</v>
      </c>
      <c r="C3153" t="s">
        <v>20486</v>
      </c>
      <c r="D3153" t="s">
        <v>11</v>
      </c>
      <c r="E3153" t="s">
        <v>7039</v>
      </c>
      <c r="F3153">
        <v>65</v>
      </c>
      <c r="G3153" t="s">
        <v>7040</v>
      </c>
      <c r="H3153" t="s">
        <v>9787</v>
      </c>
      <c r="I3153" t="s">
        <v>7041</v>
      </c>
      <c r="J3153" t="s">
        <v>7042</v>
      </c>
    </row>
    <row r="3154" spans="1:10" x14ac:dyDescent="0.3">
      <c r="A3154" t="s">
        <v>7043</v>
      </c>
      <c r="B3154" t="s">
        <v>27373</v>
      </c>
      <c r="C3154" t="s">
        <v>20487</v>
      </c>
      <c r="D3154" t="s">
        <v>11</v>
      </c>
      <c r="E3154" t="s">
        <v>7044</v>
      </c>
      <c r="F3154">
        <v>52</v>
      </c>
      <c r="G3154" t="s">
        <v>201</v>
      </c>
      <c r="H3154" t="s">
        <v>46</v>
      </c>
      <c r="J3154" t="s">
        <v>802</v>
      </c>
    </row>
    <row r="3155" spans="1:10" x14ac:dyDescent="0.3">
      <c r="A3155" t="s">
        <v>7045</v>
      </c>
      <c r="B3155" t="s">
        <v>27374</v>
      </c>
      <c r="C3155" t="s">
        <v>20486</v>
      </c>
      <c r="D3155" t="s">
        <v>22</v>
      </c>
      <c r="E3155" t="s">
        <v>7046</v>
      </c>
      <c r="F3155">
        <v>40</v>
      </c>
      <c r="G3155" t="s">
        <v>172</v>
      </c>
      <c r="H3155" t="s">
        <v>12099</v>
      </c>
      <c r="I3155" t="s">
        <v>110</v>
      </c>
      <c r="J3155" t="s">
        <v>7047</v>
      </c>
    </row>
    <row r="3156" spans="1:10" x14ac:dyDescent="0.3">
      <c r="A3156" t="s">
        <v>12474</v>
      </c>
      <c r="B3156" t="s">
        <v>27375</v>
      </c>
      <c r="C3156" t="s">
        <v>20486</v>
      </c>
      <c r="D3156" t="s">
        <v>22</v>
      </c>
      <c r="E3156" t="s">
        <v>12475</v>
      </c>
      <c r="F3156">
        <v>44</v>
      </c>
      <c r="G3156" t="s">
        <v>31</v>
      </c>
      <c r="H3156" t="s">
        <v>31</v>
      </c>
      <c r="I3156" t="s">
        <v>384</v>
      </c>
      <c r="J3156" t="s">
        <v>384</v>
      </c>
    </row>
    <row r="3157" spans="1:10" x14ac:dyDescent="0.3">
      <c r="A3157" t="s">
        <v>7048</v>
      </c>
      <c r="B3157" t="s">
        <v>27376</v>
      </c>
      <c r="C3157" t="s">
        <v>20486</v>
      </c>
      <c r="D3157" t="s">
        <v>11</v>
      </c>
      <c r="E3157" t="s">
        <v>7049</v>
      </c>
      <c r="F3157">
        <v>50</v>
      </c>
      <c r="G3157" t="s">
        <v>46</v>
      </c>
      <c r="H3157" t="s">
        <v>46</v>
      </c>
      <c r="I3157" t="s">
        <v>228</v>
      </c>
      <c r="J3157" t="s">
        <v>7050</v>
      </c>
    </row>
    <row r="3158" spans="1:10" x14ac:dyDescent="0.3">
      <c r="A3158" t="s">
        <v>7051</v>
      </c>
      <c r="B3158" t="s">
        <v>27377</v>
      </c>
      <c r="C3158" t="s">
        <v>20486</v>
      </c>
      <c r="D3158" t="s">
        <v>11</v>
      </c>
      <c r="E3158" t="s">
        <v>7052</v>
      </c>
      <c r="F3158">
        <v>43</v>
      </c>
      <c r="G3158" t="s">
        <v>4481</v>
      </c>
      <c r="H3158" t="s">
        <v>12099</v>
      </c>
      <c r="J3158" t="s">
        <v>7053</v>
      </c>
    </row>
    <row r="3159" spans="1:10" x14ac:dyDescent="0.3">
      <c r="A3159" t="s">
        <v>7054</v>
      </c>
      <c r="B3159" t="s">
        <v>27378</v>
      </c>
      <c r="C3159" t="s">
        <v>20486</v>
      </c>
      <c r="D3159" t="s">
        <v>22</v>
      </c>
      <c r="E3159" t="s">
        <v>7055</v>
      </c>
      <c r="F3159">
        <v>64</v>
      </c>
      <c r="G3159" t="s">
        <v>109</v>
      </c>
      <c r="H3159" t="s">
        <v>9788</v>
      </c>
      <c r="I3159" t="s">
        <v>7056</v>
      </c>
      <c r="J3159" t="s">
        <v>7057</v>
      </c>
    </row>
    <row r="3160" spans="1:10" x14ac:dyDescent="0.3">
      <c r="A3160" t="s">
        <v>7059</v>
      </c>
      <c r="B3160" t="s">
        <v>27379</v>
      </c>
      <c r="C3160" t="s">
        <v>20486</v>
      </c>
      <c r="D3160" t="s">
        <v>22</v>
      </c>
      <c r="E3160" t="s">
        <v>7060</v>
      </c>
      <c r="F3160">
        <v>34</v>
      </c>
      <c r="G3160" t="s">
        <v>109</v>
      </c>
      <c r="H3160" t="s">
        <v>9788</v>
      </c>
      <c r="I3160" t="s">
        <v>12476</v>
      </c>
      <c r="J3160" t="s">
        <v>12477</v>
      </c>
    </row>
    <row r="3161" spans="1:10" x14ac:dyDescent="0.3">
      <c r="A3161" t="s">
        <v>7061</v>
      </c>
      <c r="B3161" t="s">
        <v>27380</v>
      </c>
      <c r="C3161" t="s">
        <v>20486</v>
      </c>
      <c r="D3161" t="s">
        <v>22</v>
      </c>
      <c r="E3161" t="s">
        <v>7062</v>
      </c>
      <c r="F3161">
        <v>59</v>
      </c>
      <c r="G3161" t="s">
        <v>46</v>
      </c>
      <c r="H3161" t="s">
        <v>46</v>
      </c>
      <c r="I3161" t="s">
        <v>228</v>
      </c>
      <c r="J3161" t="s">
        <v>7063</v>
      </c>
    </row>
    <row r="3162" spans="1:10" x14ac:dyDescent="0.3">
      <c r="A3162" t="s">
        <v>7064</v>
      </c>
      <c r="B3162" t="s">
        <v>27381</v>
      </c>
      <c r="C3162" t="s">
        <v>20487</v>
      </c>
      <c r="D3162" t="s">
        <v>22</v>
      </c>
      <c r="E3162" t="s">
        <v>7065</v>
      </c>
      <c r="F3162">
        <v>28</v>
      </c>
      <c r="G3162" t="s">
        <v>46</v>
      </c>
      <c r="H3162" t="s">
        <v>46</v>
      </c>
    </row>
    <row r="3163" spans="1:10" x14ac:dyDescent="0.3">
      <c r="A3163" t="s">
        <v>7066</v>
      </c>
      <c r="B3163" t="s">
        <v>27382</v>
      </c>
      <c r="C3163" t="s">
        <v>20491</v>
      </c>
      <c r="D3163" t="s">
        <v>11</v>
      </c>
      <c r="E3163" t="s">
        <v>6597</v>
      </c>
      <c r="F3163">
        <v>36</v>
      </c>
      <c r="G3163" t="s">
        <v>133</v>
      </c>
      <c r="H3163" t="s">
        <v>9789</v>
      </c>
      <c r="J3163" t="s">
        <v>7067</v>
      </c>
    </row>
    <row r="3164" spans="1:10" x14ac:dyDescent="0.3">
      <c r="A3164" t="s">
        <v>7068</v>
      </c>
      <c r="B3164" t="s">
        <v>27383</v>
      </c>
      <c r="C3164" t="s">
        <v>20487</v>
      </c>
      <c r="D3164" t="s">
        <v>22</v>
      </c>
      <c r="E3164" t="s">
        <v>7069</v>
      </c>
      <c r="F3164">
        <v>22</v>
      </c>
      <c r="G3164" t="s">
        <v>31</v>
      </c>
      <c r="H3164" t="s">
        <v>31</v>
      </c>
    </row>
    <row r="3165" spans="1:10" x14ac:dyDescent="0.3">
      <c r="A3165" t="s">
        <v>7070</v>
      </c>
      <c r="B3165" t="s">
        <v>27384</v>
      </c>
      <c r="C3165" t="s">
        <v>20488</v>
      </c>
      <c r="D3165" t="s">
        <v>11</v>
      </c>
      <c r="E3165" t="s">
        <v>7071</v>
      </c>
      <c r="F3165">
        <v>76</v>
      </c>
      <c r="G3165" t="s">
        <v>13</v>
      </c>
      <c r="H3165" t="s">
        <v>13</v>
      </c>
    </row>
    <row r="3166" spans="1:10" x14ac:dyDescent="0.3">
      <c r="A3166" t="s">
        <v>7072</v>
      </c>
      <c r="B3166" t="s">
        <v>27385</v>
      </c>
      <c r="C3166" t="s">
        <v>20491</v>
      </c>
      <c r="D3166" t="s">
        <v>11</v>
      </c>
      <c r="E3166" t="s">
        <v>7073</v>
      </c>
      <c r="F3166">
        <v>33</v>
      </c>
      <c r="G3166" t="s">
        <v>109</v>
      </c>
      <c r="H3166" t="s">
        <v>9788</v>
      </c>
      <c r="J3166" t="s">
        <v>225</v>
      </c>
    </row>
    <row r="3167" spans="1:10" x14ac:dyDescent="0.3">
      <c r="A3167" t="s">
        <v>7074</v>
      </c>
      <c r="B3167" t="s">
        <v>27386</v>
      </c>
      <c r="C3167" t="s">
        <v>20486</v>
      </c>
      <c r="D3167" t="s">
        <v>22</v>
      </c>
      <c r="E3167" t="s">
        <v>12478</v>
      </c>
      <c r="F3167">
        <v>34</v>
      </c>
      <c r="G3167" t="s">
        <v>337</v>
      </c>
      <c r="H3167" t="s">
        <v>337</v>
      </c>
    </row>
    <row r="3168" spans="1:10" x14ac:dyDescent="0.3">
      <c r="A3168" t="s">
        <v>12479</v>
      </c>
      <c r="B3168" t="s">
        <v>27387</v>
      </c>
      <c r="C3168" t="s">
        <v>20488</v>
      </c>
      <c r="D3168" t="s">
        <v>22</v>
      </c>
      <c r="E3168" t="s">
        <v>12480</v>
      </c>
      <c r="F3168">
        <v>21</v>
      </c>
      <c r="G3168" t="s">
        <v>337</v>
      </c>
      <c r="H3168" t="s">
        <v>337</v>
      </c>
    </row>
    <row r="3169" spans="1:10" x14ac:dyDescent="0.3">
      <c r="A3169" t="s">
        <v>7075</v>
      </c>
      <c r="B3169" t="s">
        <v>27388</v>
      </c>
      <c r="C3169" t="s">
        <v>20486</v>
      </c>
      <c r="D3169" t="s">
        <v>22</v>
      </c>
      <c r="E3169" t="s">
        <v>7076</v>
      </c>
      <c r="F3169">
        <v>44</v>
      </c>
      <c r="G3169" t="s">
        <v>31</v>
      </c>
      <c r="H3169" t="s">
        <v>31</v>
      </c>
      <c r="J3169" t="s">
        <v>33</v>
      </c>
    </row>
    <row r="3170" spans="1:10" x14ac:dyDescent="0.3">
      <c r="A3170" t="s">
        <v>7077</v>
      </c>
      <c r="B3170" t="s">
        <v>27389</v>
      </c>
      <c r="C3170" t="s">
        <v>20488</v>
      </c>
      <c r="D3170" t="s">
        <v>11</v>
      </c>
      <c r="E3170" t="s">
        <v>7078</v>
      </c>
      <c r="F3170">
        <v>49</v>
      </c>
      <c r="G3170" t="s">
        <v>109</v>
      </c>
      <c r="H3170" t="s">
        <v>9788</v>
      </c>
    </row>
    <row r="3171" spans="1:10" x14ac:dyDescent="0.3">
      <c r="A3171" t="s">
        <v>7079</v>
      </c>
      <c r="B3171" t="s">
        <v>27390</v>
      </c>
      <c r="C3171" t="s">
        <v>20486</v>
      </c>
      <c r="D3171" t="s">
        <v>22</v>
      </c>
      <c r="E3171" t="s">
        <v>7080</v>
      </c>
      <c r="F3171">
        <v>30</v>
      </c>
      <c r="G3171" t="s">
        <v>109</v>
      </c>
      <c r="H3171" t="s">
        <v>9788</v>
      </c>
      <c r="J3171" t="s">
        <v>7081</v>
      </c>
    </row>
    <row r="3172" spans="1:10" x14ac:dyDescent="0.3">
      <c r="A3172" t="s">
        <v>7082</v>
      </c>
      <c r="B3172" t="s">
        <v>27391</v>
      </c>
      <c r="C3172" t="s">
        <v>20488</v>
      </c>
      <c r="D3172" t="s">
        <v>22</v>
      </c>
      <c r="E3172" t="s">
        <v>3255</v>
      </c>
      <c r="F3172">
        <v>52</v>
      </c>
      <c r="G3172" t="s">
        <v>24</v>
      </c>
      <c r="H3172" t="s">
        <v>9789</v>
      </c>
      <c r="J3172" t="s">
        <v>7083</v>
      </c>
    </row>
    <row r="3173" spans="1:10" x14ac:dyDescent="0.3">
      <c r="A3173" t="s">
        <v>7084</v>
      </c>
      <c r="B3173" t="s">
        <v>27392</v>
      </c>
      <c r="C3173" t="s">
        <v>20486</v>
      </c>
      <c r="D3173" t="s">
        <v>11</v>
      </c>
      <c r="E3173" t="s">
        <v>7085</v>
      </c>
      <c r="F3173">
        <v>31</v>
      </c>
      <c r="G3173" t="s">
        <v>46</v>
      </c>
      <c r="H3173" t="s">
        <v>46</v>
      </c>
      <c r="I3173" t="s">
        <v>3798</v>
      </c>
      <c r="J3173" t="s">
        <v>7086</v>
      </c>
    </row>
    <row r="3174" spans="1:10" x14ac:dyDescent="0.3">
      <c r="A3174" t="s">
        <v>7087</v>
      </c>
      <c r="B3174" t="s">
        <v>27393</v>
      </c>
      <c r="C3174" t="s">
        <v>20488</v>
      </c>
      <c r="D3174" t="s">
        <v>22</v>
      </c>
      <c r="E3174" t="s">
        <v>7088</v>
      </c>
      <c r="F3174">
        <v>47</v>
      </c>
      <c r="G3174" t="s">
        <v>31</v>
      </c>
      <c r="H3174" t="s">
        <v>31</v>
      </c>
      <c r="I3174">
        <v>0</v>
      </c>
    </row>
    <row r="3175" spans="1:10" x14ac:dyDescent="0.3">
      <c r="A3175" t="s">
        <v>7089</v>
      </c>
      <c r="B3175" t="s">
        <v>27394</v>
      </c>
      <c r="C3175" t="s">
        <v>20486</v>
      </c>
      <c r="D3175" t="s">
        <v>22</v>
      </c>
      <c r="E3175" t="s">
        <v>7090</v>
      </c>
      <c r="F3175">
        <v>53</v>
      </c>
      <c r="G3175" t="s">
        <v>31</v>
      </c>
      <c r="H3175" t="s">
        <v>31</v>
      </c>
    </row>
    <row r="3176" spans="1:10" x14ac:dyDescent="0.3">
      <c r="A3176" t="s">
        <v>7091</v>
      </c>
      <c r="B3176" t="s">
        <v>27395</v>
      </c>
      <c r="C3176" t="s">
        <v>20486</v>
      </c>
      <c r="D3176" t="s">
        <v>22</v>
      </c>
      <c r="E3176" t="s">
        <v>7092</v>
      </c>
      <c r="F3176">
        <v>52</v>
      </c>
      <c r="G3176" t="s">
        <v>133</v>
      </c>
      <c r="H3176" t="s">
        <v>9789</v>
      </c>
      <c r="I3176" t="s">
        <v>2477</v>
      </c>
    </row>
    <row r="3177" spans="1:10" x14ac:dyDescent="0.3">
      <c r="A3177" t="s">
        <v>7093</v>
      </c>
      <c r="B3177" t="s">
        <v>27396</v>
      </c>
      <c r="C3177" t="s">
        <v>20486</v>
      </c>
      <c r="D3177" t="s">
        <v>22</v>
      </c>
      <c r="E3177" t="s">
        <v>4588</v>
      </c>
      <c r="F3177">
        <v>46</v>
      </c>
      <c r="G3177" t="s">
        <v>109</v>
      </c>
      <c r="H3177" t="s">
        <v>9788</v>
      </c>
    </row>
    <row r="3178" spans="1:10" x14ac:dyDescent="0.3">
      <c r="A3178" t="s">
        <v>7094</v>
      </c>
      <c r="B3178" t="s">
        <v>27397</v>
      </c>
      <c r="C3178" t="s">
        <v>20486</v>
      </c>
      <c r="D3178" t="s">
        <v>11</v>
      </c>
      <c r="E3178" t="s">
        <v>7095</v>
      </c>
      <c r="F3178">
        <v>79</v>
      </c>
      <c r="G3178" t="s">
        <v>13</v>
      </c>
      <c r="H3178" t="s">
        <v>13</v>
      </c>
      <c r="I3178" t="s">
        <v>441</v>
      </c>
    </row>
    <row r="3179" spans="1:10" x14ac:dyDescent="0.3">
      <c r="A3179" t="s">
        <v>7096</v>
      </c>
      <c r="B3179" t="s">
        <v>27398</v>
      </c>
      <c r="C3179" t="s">
        <v>20486</v>
      </c>
      <c r="D3179" t="s">
        <v>11</v>
      </c>
      <c r="E3179" t="s">
        <v>7097</v>
      </c>
      <c r="F3179">
        <v>37</v>
      </c>
      <c r="G3179" t="s">
        <v>109</v>
      </c>
      <c r="H3179" t="s">
        <v>9788</v>
      </c>
      <c r="J3179" t="s">
        <v>7098</v>
      </c>
    </row>
    <row r="3180" spans="1:10" x14ac:dyDescent="0.3">
      <c r="A3180" t="s">
        <v>7099</v>
      </c>
      <c r="B3180" t="s">
        <v>27399</v>
      </c>
      <c r="C3180" t="s">
        <v>20486</v>
      </c>
      <c r="D3180" t="s">
        <v>11</v>
      </c>
      <c r="E3180" t="s">
        <v>899</v>
      </c>
      <c r="F3180">
        <v>58</v>
      </c>
      <c r="G3180" t="s">
        <v>172</v>
      </c>
      <c r="H3180" t="s">
        <v>12099</v>
      </c>
      <c r="J3180" t="s">
        <v>7100</v>
      </c>
    </row>
    <row r="3181" spans="1:10" x14ac:dyDescent="0.3">
      <c r="A3181" t="s">
        <v>7101</v>
      </c>
      <c r="B3181" t="s">
        <v>27400</v>
      </c>
      <c r="C3181" t="s">
        <v>20488</v>
      </c>
      <c r="D3181" t="s">
        <v>11</v>
      </c>
      <c r="E3181" t="s">
        <v>7102</v>
      </c>
      <c r="F3181">
        <v>50</v>
      </c>
      <c r="G3181" t="s">
        <v>109</v>
      </c>
      <c r="H3181" t="s">
        <v>9788</v>
      </c>
    </row>
    <row r="3182" spans="1:10" x14ac:dyDescent="0.3">
      <c r="A3182" t="s">
        <v>7103</v>
      </c>
      <c r="B3182" t="s">
        <v>27401</v>
      </c>
      <c r="C3182" t="s">
        <v>20486</v>
      </c>
      <c r="D3182" t="s">
        <v>11</v>
      </c>
      <c r="E3182" t="s">
        <v>2869</v>
      </c>
      <c r="F3182">
        <v>49</v>
      </c>
      <c r="G3182" t="s">
        <v>172</v>
      </c>
      <c r="H3182" t="s">
        <v>12099</v>
      </c>
      <c r="J3182" t="s">
        <v>7104</v>
      </c>
    </row>
    <row r="3183" spans="1:10" x14ac:dyDescent="0.3">
      <c r="A3183" t="s">
        <v>7105</v>
      </c>
      <c r="B3183" t="s">
        <v>27402</v>
      </c>
      <c r="C3183" t="s">
        <v>20487</v>
      </c>
      <c r="D3183" t="s">
        <v>11</v>
      </c>
      <c r="E3183" t="s">
        <v>192</v>
      </c>
      <c r="F3183">
        <v>54</v>
      </c>
      <c r="G3183" t="s">
        <v>133</v>
      </c>
      <c r="H3183" t="s">
        <v>46</v>
      </c>
      <c r="J3183" t="s">
        <v>18834</v>
      </c>
    </row>
    <row r="3184" spans="1:10" x14ac:dyDescent="0.3">
      <c r="A3184" t="s">
        <v>7106</v>
      </c>
      <c r="B3184" t="s">
        <v>27403</v>
      </c>
      <c r="C3184" t="s">
        <v>20486</v>
      </c>
      <c r="D3184" t="s">
        <v>22</v>
      </c>
      <c r="E3184" t="s">
        <v>7107</v>
      </c>
      <c r="F3184">
        <v>59</v>
      </c>
      <c r="G3184" t="s">
        <v>31</v>
      </c>
      <c r="H3184" t="s">
        <v>31</v>
      </c>
    </row>
    <row r="3185" spans="1:10" x14ac:dyDescent="0.3">
      <c r="A3185" t="s">
        <v>7108</v>
      </c>
      <c r="B3185" t="s">
        <v>27404</v>
      </c>
      <c r="C3185" t="s">
        <v>20488</v>
      </c>
      <c r="D3185" t="s">
        <v>11</v>
      </c>
      <c r="E3185" t="s">
        <v>7109</v>
      </c>
      <c r="F3185">
        <v>70</v>
      </c>
      <c r="G3185" t="s">
        <v>13</v>
      </c>
      <c r="H3185" t="s">
        <v>13</v>
      </c>
      <c r="I3185" t="s">
        <v>7110</v>
      </c>
      <c r="J3185" t="s">
        <v>7111</v>
      </c>
    </row>
    <row r="3186" spans="1:10" x14ac:dyDescent="0.3">
      <c r="A3186" t="s">
        <v>7112</v>
      </c>
      <c r="B3186" t="s">
        <v>27405</v>
      </c>
      <c r="C3186" t="s">
        <v>20486</v>
      </c>
      <c r="D3186" t="s">
        <v>22</v>
      </c>
      <c r="E3186" t="s">
        <v>2573</v>
      </c>
      <c r="F3186">
        <v>28</v>
      </c>
    </row>
    <row r="3187" spans="1:10" x14ac:dyDescent="0.3">
      <c r="A3187" t="s">
        <v>7113</v>
      </c>
      <c r="B3187" t="s">
        <v>27406</v>
      </c>
      <c r="C3187" t="s">
        <v>20486</v>
      </c>
      <c r="D3187" t="s">
        <v>22</v>
      </c>
      <c r="E3187" t="s">
        <v>7114</v>
      </c>
      <c r="F3187">
        <v>28</v>
      </c>
      <c r="G3187" t="s">
        <v>109</v>
      </c>
      <c r="H3187" t="s">
        <v>9788</v>
      </c>
    </row>
    <row r="3188" spans="1:10" x14ac:dyDescent="0.3">
      <c r="A3188" t="s">
        <v>12481</v>
      </c>
      <c r="B3188" t="s">
        <v>27407</v>
      </c>
      <c r="C3188" t="s">
        <v>20488</v>
      </c>
      <c r="D3188" t="s">
        <v>11</v>
      </c>
      <c r="E3188" t="s">
        <v>9612</v>
      </c>
      <c r="F3188">
        <v>31</v>
      </c>
      <c r="G3188" t="s">
        <v>109</v>
      </c>
      <c r="H3188" t="s">
        <v>9788</v>
      </c>
    </row>
    <row r="3189" spans="1:10" x14ac:dyDescent="0.3">
      <c r="A3189" t="s">
        <v>7115</v>
      </c>
      <c r="B3189" t="s">
        <v>27408</v>
      </c>
      <c r="C3189" t="s">
        <v>20487</v>
      </c>
      <c r="D3189" t="s">
        <v>22</v>
      </c>
      <c r="E3189" t="s">
        <v>1010</v>
      </c>
      <c r="F3189">
        <v>49</v>
      </c>
      <c r="G3189" t="s">
        <v>109</v>
      </c>
      <c r="H3189" t="s">
        <v>9788</v>
      </c>
    </row>
    <row r="3190" spans="1:10" x14ac:dyDescent="0.3">
      <c r="A3190" t="s">
        <v>7116</v>
      </c>
      <c r="B3190" t="s">
        <v>27409</v>
      </c>
      <c r="C3190" t="s">
        <v>20486</v>
      </c>
      <c r="D3190" t="s">
        <v>22</v>
      </c>
      <c r="E3190" t="s">
        <v>7117</v>
      </c>
      <c r="F3190">
        <v>27</v>
      </c>
      <c r="G3190" t="s">
        <v>109</v>
      </c>
      <c r="H3190" t="s">
        <v>9788</v>
      </c>
      <c r="I3190" t="s">
        <v>110</v>
      </c>
      <c r="J3190" t="s">
        <v>1378</v>
      </c>
    </row>
    <row r="3191" spans="1:10" x14ac:dyDescent="0.3">
      <c r="A3191" t="s">
        <v>7118</v>
      </c>
      <c r="B3191" t="s">
        <v>27410</v>
      </c>
      <c r="C3191" t="s">
        <v>20486</v>
      </c>
      <c r="D3191" t="s">
        <v>22</v>
      </c>
      <c r="E3191" t="s">
        <v>7119</v>
      </c>
      <c r="F3191">
        <v>35</v>
      </c>
      <c r="G3191" t="s">
        <v>109</v>
      </c>
      <c r="H3191" t="s">
        <v>9788</v>
      </c>
      <c r="I3191" t="s">
        <v>85</v>
      </c>
      <c r="J3191" t="s">
        <v>7120</v>
      </c>
    </row>
    <row r="3192" spans="1:10" x14ac:dyDescent="0.3">
      <c r="A3192" t="s">
        <v>7121</v>
      </c>
      <c r="B3192" t="s">
        <v>27411</v>
      </c>
      <c r="C3192" t="s">
        <v>20488</v>
      </c>
      <c r="D3192" t="s">
        <v>11</v>
      </c>
      <c r="E3192" t="s">
        <v>7122</v>
      </c>
      <c r="F3192">
        <v>30</v>
      </c>
      <c r="G3192" t="s">
        <v>109</v>
      </c>
      <c r="H3192" t="s">
        <v>9788</v>
      </c>
    </row>
    <row r="3193" spans="1:10" x14ac:dyDescent="0.3">
      <c r="A3193" t="s">
        <v>7123</v>
      </c>
      <c r="B3193" t="s">
        <v>27412</v>
      </c>
      <c r="C3193" t="s">
        <v>20486</v>
      </c>
      <c r="D3193" t="s">
        <v>11</v>
      </c>
      <c r="E3193" t="s">
        <v>7124</v>
      </c>
      <c r="F3193">
        <v>62</v>
      </c>
      <c r="G3193" t="s">
        <v>109</v>
      </c>
      <c r="H3193" t="s">
        <v>9788</v>
      </c>
      <c r="I3193" t="s">
        <v>7125</v>
      </c>
      <c r="J3193" t="s">
        <v>7126</v>
      </c>
    </row>
    <row r="3194" spans="1:10" x14ac:dyDescent="0.3">
      <c r="A3194" t="s">
        <v>7127</v>
      </c>
      <c r="B3194" t="s">
        <v>27413</v>
      </c>
      <c r="C3194" t="s">
        <v>20486</v>
      </c>
      <c r="D3194" t="s">
        <v>22</v>
      </c>
      <c r="E3194" t="s">
        <v>6517</v>
      </c>
      <c r="F3194">
        <v>43</v>
      </c>
      <c r="G3194" t="s">
        <v>46</v>
      </c>
      <c r="H3194" t="s">
        <v>46</v>
      </c>
      <c r="I3194" t="s">
        <v>7128</v>
      </c>
      <c r="J3194" t="s">
        <v>12482</v>
      </c>
    </row>
    <row r="3195" spans="1:10" x14ac:dyDescent="0.3">
      <c r="A3195" t="s">
        <v>7129</v>
      </c>
      <c r="B3195" t="s">
        <v>27414</v>
      </c>
      <c r="C3195" t="s">
        <v>20489</v>
      </c>
      <c r="D3195" t="s">
        <v>11</v>
      </c>
      <c r="E3195" t="s">
        <v>7130</v>
      </c>
      <c r="F3195">
        <v>29</v>
      </c>
      <c r="G3195" t="s">
        <v>16</v>
      </c>
      <c r="H3195" t="s">
        <v>9785</v>
      </c>
      <c r="I3195" t="s">
        <v>17</v>
      </c>
      <c r="J3195" t="s">
        <v>627</v>
      </c>
    </row>
    <row r="3196" spans="1:10" x14ac:dyDescent="0.3">
      <c r="A3196" t="s">
        <v>7133</v>
      </c>
      <c r="B3196" t="s">
        <v>27415</v>
      </c>
      <c r="C3196" t="s">
        <v>20490</v>
      </c>
      <c r="D3196" t="s">
        <v>22</v>
      </c>
      <c r="E3196" t="s">
        <v>7134</v>
      </c>
      <c r="F3196">
        <v>37</v>
      </c>
      <c r="G3196" t="s">
        <v>16</v>
      </c>
      <c r="H3196" t="s">
        <v>9785</v>
      </c>
      <c r="I3196" t="s">
        <v>17</v>
      </c>
      <c r="J3196" t="s">
        <v>7135</v>
      </c>
    </row>
    <row r="3197" spans="1:10" x14ac:dyDescent="0.3">
      <c r="A3197" t="s">
        <v>7136</v>
      </c>
      <c r="B3197" t="s">
        <v>27416</v>
      </c>
      <c r="C3197" t="s">
        <v>20486</v>
      </c>
      <c r="D3197" t="s">
        <v>11</v>
      </c>
      <c r="E3197" t="s">
        <v>7137</v>
      </c>
      <c r="F3197">
        <v>45</v>
      </c>
      <c r="G3197" t="s">
        <v>109</v>
      </c>
      <c r="H3197" t="s">
        <v>9788</v>
      </c>
      <c r="J3197" t="s">
        <v>7120</v>
      </c>
    </row>
    <row r="3198" spans="1:10" x14ac:dyDescent="0.3">
      <c r="A3198" t="s">
        <v>7138</v>
      </c>
      <c r="B3198" t="s">
        <v>27417</v>
      </c>
      <c r="C3198" t="s">
        <v>20486</v>
      </c>
      <c r="D3198" t="s">
        <v>22</v>
      </c>
      <c r="E3198" t="s">
        <v>7139</v>
      </c>
      <c r="F3198">
        <v>42</v>
      </c>
      <c r="G3198" t="s">
        <v>31</v>
      </c>
      <c r="H3198" t="s">
        <v>31</v>
      </c>
    </row>
    <row r="3199" spans="1:10" x14ac:dyDescent="0.3">
      <c r="A3199" t="s">
        <v>7141</v>
      </c>
      <c r="B3199" t="s">
        <v>27418</v>
      </c>
      <c r="C3199" t="s">
        <v>20486</v>
      </c>
      <c r="D3199" t="s">
        <v>22</v>
      </c>
      <c r="E3199" t="s">
        <v>7142</v>
      </c>
      <c r="F3199">
        <v>41</v>
      </c>
      <c r="G3199" t="s">
        <v>109</v>
      </c>
      <c r="H3199" t="s">
        <v>9788</v>
      </c>
      <c r="I3199" t="s">
        <v>1802</v>
      </c>
      <c r="J3199" t="s">
        <v>7143</v>
      </c>
    </row>
    <row r="3200" spans="1:10" x14ac:dyDescent="0.3">
      <c r="A3200" t="s">
        <v>7144</v>
      </c>
      <c r="B3200" t="s">
        <v>27419</v>
      </c>
      <c r="C3200" t="s">
        <v>20486</v>
      </c>
      <c r="D3200" t="s">
        <v>22</v>
      </c>
      <c r="E3200" t="s">
        <v>7145</v>
      </c>
      <c r="F3200">
        <v>56</v>
      </c>
      <c r="G3200" t="s">
        <v>31</v>
      </c>
      <c r="H3200" t="s">
        <v>31</v>
      </c>
    </row>
    <row r="3201" spans="1:10" x14ac:dyDescent="0.3">
      <c r="A3201" t="s">
        <v>7146</v>
      </c>
      <c r="B3201" t="s">
        <v>27420</v>
      </c>
      <c r="C3201" t="s">
        <v>20487</v>
      </c>
      <c r="D3201" t="s">
        <v>11</v>
      </c>
      <c r="E3201" t="s">
        <v>7147</v>
      </c>
      <c r="F3201">
        <v>41</v>
      </c>
      <c r="G3201" t="s">
        <v>109</v>
      </c>
      <c r="H3201" t="s">
        <v>9788</v>
      </c>
      <c r="J3201" t="s">
        <v>6647</v>
      </c>
    </row>
    <row r="3202" spans="1:10" x14ac:dyDescent="0.3">
      <c r="A3202" t="s">
        <v>7149</v>
      </c>
      <c r="B3202" t="s">
        <v>27421</v>
      </c>
      <c r="C3202" t="s">
        <v>20486</v>
      </c>
      <c r="D3202" t="s">
        <v>22</v>
      </c>
      <c r="E3202" t="s">
        <v>7150</v>
      </c>
      <c r="F3202">
        <v>54</v>
      </c>
      <c r="G3202" t="s">
        <v>31</v>
      </c>
      <c r="H3202" t="s">
        <v>31</v>
      </c>
    </row>
    <row r="3203" spans="1:10" x14ac:dyDescent="0.3">
      <c r="A3203" t="s">
        <v>7151</v>
      </c>
      <c r="B3203" t="s">
        <v>27422</v>
      </c>
      <c r="C3203" t="s">
        <v>20490</v>
      </c>
      <c r="D3203" t="s">
        <v>22</v>
      </c>
      <c r="E3203" t="s">
        <v>7152</v>
      </c>
      <c r="F3203">
        <v>48</v>
      </c>
      <c r="G3203" t="s">
        <v>109</v>
      </c>
      <c r="H3203" t="s">
        <v>9788</v>
      </c>
      <c r="I3203" t="s">
        <v>7153</v>
      </c>
      <c r="J3203" t="s">
        <v>1367</v>
      </c>
    </row>
    <row r="3204" spans="1:10" x14ac:dyDescent="0.3">
      <c r="A3204" t="s">
        <v>7154</v>
      </c>
      <c r="B3204" t="s">
        <v>27423</v>
      </c>
      <c r="C3204" t="s">
        <v>20490</v>
      </c>
      <c r="D3204" t="s">
        <v>11</v>
      </c>
      <c r="E3204" t="s">
        <v>7155</v>
      </c>
      <c r="F3204">
        <v>44</v>
      </c>
      <c r="G3204" t="s">
        <v>109</v>
      </c>
      <c r="H3204" t="s">
        <v>9788</v>
      </c>
      <c r="I3204" t="s">
        <v>7153</v>
      </c>
      <c r="J3204" t="s">
        <v>1367</v>
      </c>
    </row>
    <row r="3205" spans="1:10" x14ac:dyDescent="0.3">
      <c r="A3205" t="s">
        <v>7156</v>
      </c>
      <c r="B3205" t="s">
        <v>27424</v>
      </c>
      <c r="C3205" t="s">
        <v>20490</v>
      </c>
      <c r="D3205" t="s">
        <v>22</v>
      </c>
      <c r="E3205" t="s">
        <v>7157</v>
      </c>
      <c r="F3205">
        <v>66</v>
      </c>
      <c r="G3205" t="s">
        <v>109</v>
      </c>
      <c r="H3205" t="s">
        <v>9788</v>
      </c>
      <c r="I3205" t="s">
        <v>1968</v>
      </c>
      <c r="J3205" t="s">
        <v>7158</v>
      </c>
    </row>
    <row r="3206" spans="1:10" x14ac:dyDescent="0.3">
      <c r="A3206" t="s">
        <v>7159</v>
      </c>
      <c r="B3206" t="s">
        <v>27425</v>
      </c>
      <c r="C3206" t="s">
        <v>20486</v>
      </c>
      <c r="D3206" t="s">
        <v>22</v>
      </c>
      <c r="E3206" t="s">
        <v>7160</v>
      </c>
      <c r="F3206">
        <v>27</v>
      </c>
      <c r="G3206" t="s">
        <v>31</v>
      </c>
      <c r="H3206" t="s">
        <v>31</v>
      </c>
    </row>
    <row r="3207" spans="1:10" x14ac:dyDescent="0.3">
      <c r="A3207" t="s">
        <v>7161</v>
      </c>
      <c r="B3207" t="s">
        <v>27426</v>
      </c>
      <c r="C3207" t="s">
        <v>20486</v>
      </c>
      <c r="D3207" t="s">
        <v>22</v>
      </c>
      <c r="E3207" t="s">
        <v>3892</v>
      </c>
      <c r="F3207">
        <v>46</v>
      </c>
      <c r="G3207" t="s">
        <v>46</v>
      </c>
      <c r="H3207" t="s">
        <v>46</v>
      </c>
      <c r="I3207" t="s">
        <v>7162</v>
      </c>
    </row>
    <row r="3208" spans="1:10" x14ac:dyDescent="0.3">
      <c r="A3208" t="s">
        <v>7163</v>
      </c>
      <c r="B3208" t="s">
        <v>27427</v>
      </c>
      <c r="C3208" t="s">
        <v>20486</v>
      </c>
      <c r="D3208" t="s">
        <v>22</v>
      </c>
      <c r="E3208" t="s">
        <v>5603</v>
      </c>
      <c r="F3208">
        <v>47</v>
      </c>
      <c r="G3208" t="s">
        <v>46</v>
      </c>
      <c r="H3208" t="s">
        <v>46</v>
      </c>
      <c r="I3208" t="s">
        <v>1197</v>
      </c>
    </row>
    <row r="3209" spans="1:10" x14ac:dyDescent="0.3">
      <c r="A3209" t="s">
        <v>7164</v>
      </c>
      <c r="B3209" t="s">
        <v>27428</v>
      </c>
      <c r="C3209" t="s">
        <v>20486</v>
      </c>
      <c r="D3209" t="s">
        <v>22</v>
      </c>
      <c r="E3209" t="s">
        <v>7165</v>
      </c>
      <c r="F3209">
        <v>34</v>
      </c>
      <c r="G3209" t="s">
        <v>16</v>
      </c>
      <c r="H3209" t="s">
        <v>9785</v>
      </c>
      <c r="I3209" t="s">
        <v>17</v>
      </c>
      <c r="J3209" t="s">
        <v>7166</v>
      </c>
    </row>
    <row r="3210" spans="1:10" x14ac:dyDescent="0.3">
      <c r="A3210" t="s">
        <v>7168</v>
      </c>
      <c r="B3210" t="s">
        <v>27429</v>
      </c>
      <c r="C3210" t="s">
        <v>20486</v>
      </c>
      <c r="D3210" t="s">
        <v>22</v>
      </c>
      <c r="E3210" t="s">
        <v>7169</v>
      </c>
      <c r="F3210">
        <v>46</v>
      </c>
      <c r="G3210" t="s">
        <v>31</v>
      </c>
      <c r="H3210" t="s">
        <v>31</v>
      </c>
    </row>
    <row r="3211" spans="1:10" x14ac:dyDescent="0.3">
      <c r="A3211" t="s">
        <v>7170</v>
      </c>
      <c r="B3211" t="s">
        <v>27430</v>
      </c>
      <c r="C3211" t="s">
        <v>20486</v>
      </c>
      <c r="D3211" t="s">
        <v>22</v>
      </c>
      <c r="E3211" t="s">
        <v>7171</v>
      </c>
      <c r="F3211">
        <v>27</v>
      </c>
      <c r="G3211" t="s">
        <v>337</v>
      </c>
      <c r="H3211" t="s">
        <v>337</v>
      </c>
      <c r="I3211" t="s">
        <v>17</v>
      </c>
      <c r="J3211" t="s">
        <v>7172</v>
      </c>
    </row>
    <row r="3212" spans="1:10" x14ac:dyDescent="0.3">
      <c r="A3212" t="s">
        <v>7173</v>
      </c>
      <c r="B3212" t="s">
        <v>27431</v>
      </c>
      <c r="C3212" t="s">
        <v>20486</v>
      </c>
      <c r="D3212" t="s">
        <v>11</v>
      </c>
      <c r="E3212" t="s">
        <v>7174</v>
      </c>
      <c r="F3212">
        <v>48</v>
      </c>
      <c r="G3212" t="s">
        <v>109</v>
      </c>
      <c r="H3212" t="s">
        <v>9788</v>
      </c>
      <c r="I3212" t="s">
        <v>5110</v>
      </c>
      <c r="J3212" t="s">
        <v>4999</v>
      </c>
    </row>
    <row r="3213" spans="1:10" x14ac:dyDescent="0.3">
      <c r="A3213" t="s">
        <v>7175</v>
      </c>
      <c r="B3213" t="s">
        <v>27432</v>
      </c>
      <c r="C3213" t="s">
        <v>20486</v>
      </c>
      <c r="D3213" t="s">
        <v>22</v>
      </c>
      <c r="E3213" t="s">
        <v>7176</v>
      </c>
      <c r="F3213">
        <v>54</v>
      </c>
      <c r="G3213" t="s">
        <v>31</v>
      </c>
      <c r="H3213" t="s">
        <v>31</v>
      </c>
    </row>
    <row r="3214" spans="1:10" x14ac:dyDescent="0.3">
      <c r="A3214" t="s">
        <v>7177</v>
      </c>
      <c r="B3214" t="s">
        <v>27433</v>
      </c>
      <c r="C3214" t="s">
        <v>20490</v>
      </c>
      <c r="D3214" t="s">
        <v>11</v>
      </c>
      <c r="E3214" t="s">
        <v>7178</v>
      </c>
      <c r="F3214">
        <v>49</v>
      </c>
      <c r="G3214" t="s">
        <v>109</v>
      </c>
      <c r="H3214" t="s">
        <v>9788</v>
      </c>
      <c r="I3214" t="s">
        <v>1968</v>
      </c>
      <c r="J3214" t="s">
        <v>7158</v>
      </c>
    </row>
    <row r="3215" spans="1:10" x14ac:dyDescent="0.3">
      <c r="A3215" t="s">
        <v>7179</v>
      </c>
      <c r="B3215" t="s">
        <v>27434</v>
      </c>
      <c r="C3215" t="s">
        <v>20491</v>
      </c>
      <c r="D3215" t="s">
        <v>11</v>
      </c>
      <c r="E3215" t="s">
        <v>7180</v>
      </c>
      <c r="F3215">
        <v>43</v>
      </c>
      <c r="G3215" t="s">
        <v>1439</v>
      </c>
      <c r="H3215" t="s">
        <v>46</v>
      </c>
      <c r="I3215" t="s">
        <v>7181</v>
      </c>
    </row>
    <row r="3216" spans="1:10" x14ac:dyDescent="0.3">
      <c r="A3216" t="s">
        <v>7182</v>
      </c>
      <c r="B3216" t="s">
        <v>27435</v>
      </c>
      <c r="C3216" t="s">
        <v>20487</v>
      </c>
      <c r="D3216" t="s">
        <v>11</v>
      </c>
      <c r="E3216" t="s">
        <v>7183</v>
      </c>
      <c r="F3216">
        <v>31</v>
      </c>
      <c r="G3216" t="s">
        <v>109</v>
      </c>
      <c r="H3216" t="s">
        <v>9788</v>
      </c>
      <c r="J3216" t="s">
        <v>7184</v>
      </c>
    </row>
    <row r="3217" spans="1:10" x14ac:dyDescent="0.3">
      <c r="A3217" t="s">
        <v>7185</v>
      </c>
      <c r="B3217" t="s">
        <v>27436</v>
      </c>
      <c r="C3217" t="s">
        <v>20486</v>
      </c>
      <c r="D3217" t="s">
        <v>22</v>
      </c>
      <c r="E3217" t="s">
        <v>7186</v>
      </c>
      <c r="F3217">
        <v>45</v>
      </c>
      <c r="G3217" t="s">
        <v>31</v>
      </c>
      <c r="H3217" t="s">
        <v>31</v>
      </c>
    </row>
    <row r="3218" spans="1:10" x14ac:dyDescent="0.3">
      <c r="A3218" t="s">
        <v>7187</v>
      </c>
      <c r="B3218" t="s">
        <v>27437</v>
      </c>
      <c r="C3218" t="s">
        <v>20489</v>
      </c>
      <c r="D3218" t="s">
        <v>22</v>
      </c>
      <c r="E3218" t="s">
        <v>7188</v>
      </c>
      <c r="F3218">
        <v>55</v>
      </c>
      <c r="G3218" t="s">
        <v>109</v>
      </c>
      <c r="H3218" t="s">
        <v>9788</v>
      </c>
      <c r="I3218" t="s">
        <v>3378</v>
      </c>
      <c r="J3218" t="s">
        <v>7189</v>
      </c>
    </row>
    <row r="3219" spans="1:10" x14ac:dyDescent="0.3">
      <c r="A3219" t="s">
        <v>7190</v>
      </c>
      <c r="B3219" t="s">
        <v>27438</v>
      </c>
      <c r="C3219" t="s">
        <v>20489</v>
      </c>
      <c r="D3219" t="s">
        <v>11</v>
      </c>
      <c r="E3219" t="s">
        <v>7191</v>
      </c>
      <c r="F3219">
        <v>48</v>
      </c>
      <c r="G3219" t="s">
        <v>109</v>
      </c>
      <c r="H3219" t="s">
        <v>9788</v>
      </c>
      <c r="I3219" t="s">
        <v>110</v>
      </c>
      <c r="J3219" t="s">
        <v>6292</v>
      </c>
    </row>
    <row r="3220" spans="1:10" x14ac:dyDescent="0.3">
      <c r="A3220" t="s">
        <v>7192</v>
      </c>
      <c r="B3220" t="s">
        <v>27439</v>
      </c>
      <c r="C3220" t="s">
        <v>20486</v>
      </c>
      <c r="D3220" t="s">
        <v>11</v>
      </c>
      <c r="E3220" t="s">
        <v>7193</v>
      </c>
      <c r="F3220">
        <v>47</v>
      </c>
      <c r="G3220" t="s">
        <v>109</v>
      </c>
      <c r="H3220" t="s">
        <v>9788</v>
      </c>
      <c r="J3220" t="s">
        <v>7194</v>
      </c>
    </row>
    <row r="3221" spans="1:10" x14ac:dyDescent="0.3">
      <c r="A3221" t="s">
        <v>7195</v>
      </c>
      <c r="B3221" t="s">
        <v>27440</v>
      </c>
      <c r="C3221" t="s">
        <v>20488</v>
      </c>
      <c r="D3221" t="s">
        <v>11</v>
      </c>
      <c r="E3221" t="s">
        <v>7196</v>
      </c>
      <c r="F3221">
        <v>60</v>
      </c>
      <c r="G3221" t="s">
        <v>46</v>
      </c>
      <c r="H3221" t="s">
        <v>46</v>
      </c>
      <c r="I3221" t="s">
        <v>1088</v>
      </c>
      <c r="J3221" t="s">
        <v>1088</v>
      </c>
    </row>
    <row r="3222" spans="1:10" x14ac:dyDescent="0.3">
      <c r="A3222" t="s">
        <v>7197</v>
      </c>
      <c r="B3222" t="s">
        <v>27441</v>
      </c>
      <c r="C3222" t="s">
        <v>20487</v>
      </c>
      <c r="D3222" t="s">
        <v>11</v>
      </c>
      <c r="E3222" t="s">
        <v>4944</v>
      </c>
      <c r="F3222">
        <v>50</v>
      </c>
      <c r="G3222" t="s">
        <v>540</v>
      </c>
      <c r="H3222" t="s">
        <v>12074</v>
      </c>
      <c r="I3222" t="s">
        <v>3378</v>
      </c>
    </row>
    <row r="3223" spans="1:10" x14ac:dyDescent="0.3">
      <c r="A3223" t="s">
        <v>7198</v>
      </c>
      <c r="B3223" t="s">
        <v>27442</v>
      </c>
      <c r="C3223" t="s">
        <v>20486</v>
      </c>
      <c r="D3223" t="s">
        <v>11</v>
      </c>
      <c r="E3223" t="s">
        <v>7199</v>
      </c>
      <c r="F3223">
        <v>33</v>
      </c>
      <c r="G3223" t="s">
        <v>109</v>
      </c>
      <c r="H3223" t="s">
        <v>9788</v>
      </c>
      <c r="I3223" t="s">
        <v>7200</v>
      </c>
      <c r="J3223" t="s">
        <v>7201</v>
      </c>
    </row>
    <row r="3224" spans="1:10" x14ac:dyDescent="0.3">
      <c r="A3224" t="s">
        <v>7202</v>
      </c>
      <c r="B3224" t="s">
        <v>27443</v>
      </c>
      <c r="C3224" t="s">
        <v>20488</v>
      </c>
      <c r="D3224" t="s">
        <v>22</v>
      </c>
      <c r="E3224" t="s">
        <v>7203</v>
      </c>
      <c r="F3224">
        <v>41</v>
      </c>
      <c r="G3224" t="s">
        <v>31</v>
      </c>
      <c r="H3224" t="s">
        <v>31</v>
      </c>
    </row>
    <row r="3225" spans="1:10" x14ac:dyDescent="0.3">
      <c r="A3225" t="s">
        <v>7204</v>
      </c>
      <c r="B3225" t="s">
        <v>27444</v>
      </c>
      <c r="C3225" t="s">
        <v>20486</v>
      </c>
      <c r="D3225" t="s">
        <v>11</v>
      </c>
      <c r="E3225" t="s">
        <v>7205</v>
      </c>
      <c r="F3225">
        <v>40</v>
      </c>
      <c r="G3225" t="s">
        <v>109</v>
      </c>
      <c r="H3225" t="s">
        <v>9788</v>
      </c>
      <c r="J3225" t="s">
        <v>7206</v>
      </c>
    </row>
    <row r="3226" spans="1:10" x14ac:dyDescent="0.3">
      <c r="A3226" t="s">
        <v>7207</v>
      </c>
      <c r="B3226" t="s">
        <v>27445</v>
      </c>
      <c r="C3226" t="s">
        <v>20487</v>
      </c>
      <c r="D3226" t="s">
        <v>22</v>
      </c>
      <c r="E3226" t="s">
        <v>806</v>
      </c>
      <c r="F3226">
        <v>57</v>
      </c>
      <c r="G3226" t="s">
        <v>172</v>
      </c>
      <c r="H3226" t="s">
        <v>9785</v>
      </c>
      <c r="I3226" t="s">
        <v>441</v>
      </c>
      <c r="J3226" t="s">
        <v>4066</v>
      </c>
    </row>
    <row r="3227" spans="1:10" x14ac:dyDescent="0.3">
      <c r="A3227" t="s">
        <v>7208</v>
      </c>
      <c r="B3227" t="s">
        <v>27446</v>
      </c>
      <c r="C3227" t="s">
        <v>20486</v>
      </c>
      <c r="D3227" t="s">
        <v>22</v>
      </c>
      <c r="E3227" t="s">
        <v>7209</v>
      </c>
      <c r="F3227">
        <v>33</v>
      </c>
      <c r="G3227" t="s">
        <v>46</v>
      </c>
      <c r="H3227" t="s">
        <v>46</v>
      </c>
      <c r="I3227" t="s">
        <v>7210</v>
      </c>
      <c r="J3227" t="s">
        <v>7211</v>
      </c>
    </row>
    <row r="3228" spans="1:10" x14ac:dyDescent="0.3">
      <c r="A3228" t="s">
        <v>7212</v>
      </c>
      <c r="B3228" t="s">
        <v>27447</v>
      </c>
      <c r="C3228" t="s">
        <v>20490</v>
      </c>
      <c r="D3228" t="s">
        <v>11</v>
      </c>
      <c r="E3228" t="s">
        <v>5430</v>
      </c>
      <c r="F3228">
        <v>42</v>
      </c>
      <c r="G3228" t="s">
        <v>109</v>
      </c>
      <c r="H3228" t="s">
        <v>9788</v>
      </c>
      <c r="I3228" t="s">
        <v>1968</v>
      </c>
      <c r="J3228" t="s">
        <v>7213</v>
      </c>
    </row>
    <row r="3229" spans="1:10" x14ac:dyDescent="0.3">
      <c r="A3229" t="s">
        <v>7214</v>
      </c>
      <c r="B3229" t="s">
        <v>27448</v>
      </c>
      <c r="C3229" t="s">
        <v>20487</v>
      </c>
      <c r="D3229" t="s">
        <v>22</v>
      </c>
      <c r="E3229" t="s">
        <v>7215</v>
      </c>
      <c r="F3229">
        <v>60</v>
      </c>
      <c r="G3229" t="s">
        <v>172</v>
      </c>
      <c r="H3229" t="s">
        <v>12099</v>
      </c>
      <c r="J3229" t="s">
        <v>7216</v>
      </c>
    </row>
    <row r="3230" spans="1:10" x14ac:dyDescent="0.3">
      <c r="A3230" t="s">
        <v>7217</v>
      </c>
      <c r="B3230" t="s">
        <v>27449</v>
      </c>
      <c r="C3230" t="s">
        <v>20486</v>
      </c>
      <c r="D3230" t="s">
        <v>22</v>
      </c>
      <c r="E3230" t="s">
        <v>7218</v>
      </c>
      <c r="F3230">
        <v>44</v>
      </c>
      <c r="G3230" t="s">
        <v>31</v>
      </c>
      <c r="H3230" t="s">
        <v>31</v>
      </c>
    </row>
    <row r="3231" spans="1:10" x14ac:dyDescent="0.3">
      <c r="A3231" t="s">
        <v>7219</v>
      </c>
      <c r="B3231" t="s">
        <v>27450</v>
      </c>
      <c r="C3231" t="s">
        <v>20486</v>
      </c>
      <c r="D3231" t="s">
        <v>22</v>
      </c>
      <c r="E3231" t="s">
        <v>7220</v>
      </c>
      <c r="F3231">
        <v>39</v>
      </c>
      <c r="G3231" t="s">
        <v>16</v>
      </c>
      <c r="H3231" t="s">
        <v>9785</v>
      </c>
      <c r="I3231" t="s">
        <v>17</v>
      </c>
      <c r="J3231" t="s">
        <v>7221</v>
      </c>
    </row>
    <row r="3232" spans="1:10" x14ac:dyDescent="0.3">
      <c r="A3232" t="s">
        <v>7222</v>
      </c>
      <c r="B3232" t="s">
        <v>27451</v>
      </c>
      <c r="C3232" t="s">
        <v>20488</v>
      </c>
      <c r="D3232" t="s">
        <v>22</v>
      </c>
      <c r="E3232" t="s">
        <v>7223</v>
      </c>
      <c r="F3232">
        <v>52</v>
      </c>
      <c r="G3232" t="s">
        <v>46</v>
      </c>
      <c r="H3232" t="s">
        <v>46</v>
      </c>
      <c r="I3232" t="s">
        <v>7224</v>
      </c>
      <c r="J3232" t="s">
        <v>7225</v>
      </c>
    </row>
    <row r="3233" spans="1:10" x14ac:dyDescent="0.3">
      <c r="A3233" t="s">
        <v>12483</v>
      </c>
      <c r="B3233" t="s">
        <v>27452</v>
      </c>
      <c r="C3233" t="s">
        <v>20488</v>
      </c>
      <c r="D3233" t="s">
        <v>11</v>
      </c>
      <c r="E3233" t="s">
        <v>12484</v>
      </c>
      <c r="F3233">
        <v>33</v>
      </c>
      <c r="G3233" t="s">
        <v>46</v>
      </c>
      <c r="H3233" t="s">
        <v>46</v>
      </c>
      <c r="I3233" t="s">
        <v>220</v>
      </c>
      <c r="J3233" t="s">
        <v>384</v>
      </c>
    </row>
    <row r="3234" spans="1:10" x14ac:dyDescent="0.3">
      <c r="A3234" t="s">
        <v>7226</v>
      </c>
      <c r="B3234" t="s">
        <v>27453</v>
      </c>
      <c r="C3234" t="s">
        <v>20491</v>
      </c>
      <c r="D3234" t="s">
        <v>11</v>
      </c>
      <c r="E3234" t="s">
        <v>7227</v>
      </c>
      <c r="F3234">
        <v>20</v>
      </c>
      <c r="G3234" t="s">
        <v>109</v>
      </c>
      <c r="H3234" t="s">
        <v>9788</v>
      </c>
    </row>
    <row r="3235" spans="1:10" x14ac:dyDescent="0.3">
      <c r="A3235" t="s">
        <v>7228</v>
      </c>
      <c r="B3235" t="s">
        <v>27454</v>
      </c>
      <c r="C3235" t="s">
        <v>20486</v>
      </c>
      <c r="D3235" t="s">
        <v>22</v>
      </c>
      <c r="E3235" t="s">
        <v>7229</v>
      </c>
      <c r="F3235">
        <v>37</v>
      </c>
      <c r="G3235" t="s">
        <v>31</v>
      </c>
      <c r="H3235" t="s">
        <v>31</v>
      </c>
      <c r="I3235" t="s">
        <v>384</v>
      </c>
    </row>
    <row r="3236" spans="1:10" x14ac:dyDescent="0.3">
      <c r="A3236" t="s">
        <v>7230</v>
      </c>
      <c r="B3236" t="s">
        <v>27455</v>
      </c>
      <c r="C3236" t="s">
        <v>20486</v>
      </c>
      <c r="D3236" t="s">
        <v>11</v>
      </c>
      <c r="E3236" t="s">
        <v>7231</v>
      </c>
      <c r="F3236">
        <v>36</v>
      </c>
      <c r="G3236" t="s">
        <v>109</v>
      </c>
      <c r="H3236" t="s">
        <v>9788</v>
      </c>
    </row>
    <row r="3237" spans="1:10" x14ac:dyDescent="0.3">
      <c r="A3237" t="s">
        <v>7232</v>
      </c>
      <c r="B3237" t="s">
        <v>27456</v>
      </c>
      <c r="C3237" t="s">
        <v>20486</v>
      </c>
      <c r="D3237" t="s">
        <v>22</v>
      </c>
      <c r="E3237" t="s">
        <v>4927</v>
      </c>
      <c r="F3237">
        <v>51</v>
      </c>
      <c r="G3237" t="s">
        <v>31</v>
      </c>
      <c r="H3237" t="s">
        <v>31</v>
      </c>
    </row>
    <row r="3238" spans="1:10" x14ac:dyDescent="0.3">
      <c r="A3238" t="s">
        <v>7233</v>
      </c>
      <c r="B3238" t="s">
        <v>27457</v>
      </c>
      <c r="C3238" t="s">
        <v>20486</v>
      </c>
      <c r="D3238" t="s">
        <v>22</v>
      </c>
      <c r="E3238" t="s">
        <v>7234</v>
      </c>
      <c r="F3238">
        <v>63</v>
      </c>
      <c r="G3238" t="s">
        <v>46</v>
      </c>
      <c r="H3238" t="s">
        <v>46</v>
      </c>
      <c r="I3238" t="s">
        <v>3000</v>
      </c>
      <c r="J3238" t="s">
        <v>7235</v>
      </c>
    </row>
    <row r="3239" spans="1:10" x14ac:dyDescent="0.3">
      <c r="A3239" t="s">
        <v>7236</v>
      </c>
      <c r="B3239" t="s">
        <v>27458</v>
      </c>
      <c r="C3239" t="s">
        <v>20491</v>
      </c>
      <c r="D3239" t="s">
        <v>11</v>
      </c>
      <c r="E3239" t="s">
        <v>7237</v>
      </c>
      <c r="F3239">
        <v>36</v>
      </c>
      <c r="G3239" t="s">
        <v>109</v>
      </c>
      <c r="H3239" t="s">
        <v>9788</v>
      </c>
      <c r="I3239" t="s">
        <v>1377</v>
      </c>
    </row>
    <row r="3240" spans="1:10" x14ac:dyDescent="0.3">
      <c r="A3240" t="s">
        <v>7240</v>
      </c>
      <c r="B3240" t="s">
        <v>27459</v>
      </c>
      <c r="C3240" t="s">
        <v>20486</v>
      </c>
      <c r="D3240" t="s">
        <v>22</v>
      </c>
      <c r="E3240" t="s">
        <v>1312</v>
      </c>
      <c r="F3240">
        <v>58</v>
      </c>
      <c r="G3240" t="s">
        <v>46</v>
      </c>
      <c r="H3240" t="s">
        <v>46</v>
      </c>
      <c r="J3240" t="s">
        <v>7241</v>
      </c>
    </row>
    <row r="3241" spans="1:10" x14ac:dyDescent="0.3">
      <c r="A3241" t="s">
        <v>7242</v>
      </c>
      <c r="B3241" t="s">
        <v>27460</v>
      </c>
      <c r="C3241" t="s">
        <v>20486</v>
      </c>
      <c r="D3241" t="s">
        <v>11</v>
      </c>
      <c r="E3241" t="s">
        <v>7243</v>
      </c>
      <c r="F3241">
        <v>39</v>
      </c>
      <c r="G3241" t="s">
        <v>109</v>
      </c>
      <c r="H3241" t="s">
        <v>9788</v>
      </c>
      <c r="I3241" t="s">
        <v>971</v>
      </c>
      <c r="J3241" t="s">
        <v>932</v>
      </c>
    </row>
    <row r="3242" spans="1:10" x14ac:dyDescent="0.3">
      <c r="A3242" t="s">
        <v>7244</v>
      </c>
      <c r="B3242" t="s">
        <v>27461</v>
      </c>
      <c r="C3242" t="s">
        <v>20489</v>
      </c>
      <c r="D3242" t="s">
        <v>22</v>
      </c>
      <c r="E3242" t="s">
        <v>7245</v>
      </c>
      <c r="F3242">
        <v>21</v>
      </c>
      <c r="G3242" t="s">
        <v>337</v>
      </c>
      <c r="H3242" t="s">
        <v>337</v>
      </c>
    </row>
    <row r="3243" spans="1:10" x14ac:dyDescent="0.3">
      <c r="A3243" t="s">
        <v>7246</v>
      </c>
      <c r="B3243" t="s">
        <v>27462</v>
      </c>
      <c r="C3243" t="s">
        <v>20489</v>
      </c>
      <c r="D3243" t="s">
        <v>11</v>
      </c>
      <c r="E3243" t="s">
        <v>7247</v>
      </c>
      <c r="F3243">
        <v>56</v>
      </c>
      <c r="G3243" t="s">
        <v>46</v>
      </c>
      <c r="H3243" t="s">
        <v>46</v>
      </c>
      <c r="I3243" t="s">
        <v>1388</v>
      </c>
    </row>
    <row r="3244" spans="1:10" x14ac:dyDescent="0.3">
      <c r="A3244" t="s">
        <v>7248</v>
      </c>
      <c r="B3244" t="s">
        <v>27463</v>
      </c>
      <c r="C3244" t="s">
        <v>20490</v>
      </c>
      <c r="D3244" t="s">
        <v>22</v>
      </c>
      <c r="E3244" t="s">
        <v>7249</v>
      </c>
      <c r="F3244">
        <v>49</v>
      </c>
      <c r="G3244" t="s">
        <v>109</v>
      </c>
      <c r="H3244" t="s">
        <v>9788</v>
      </c>
      <c r="I3244" t="s">
        <v>1968</v>
      </c>
      <c r="J3244" t="s">
        <v>7158</v>
      </c>
    </row>
    <row r="3245" spans="1:10" x14ac:dyDescent="0.3">
      <c r="A3245" t="s">
        <v>12485</v>
      </c>
      <c r="B3245" t="s">
        <v>27464</v>
      </c>
      <c r="C3245" t="s">
        <v>20488</v>
      </c>
      <c r="D3245" t="s">
        <v>11</v>
      </c>
      <c r="E3245" t="s">
        <v>7251</v>
      </c>
      <c r="F3245">
        <v>67</v>
      </c>
      <c r="G3245" t="s">
        <v>46</v>
      </c>
      <c r="H3245" t="s">
        <v>46</v>
      </c>
    </row>
    <row r="3246" spans="1:10" x14ac:dyDescent="0.3">
      <c r="A3246" t="s">
        <v>7252</v>
      </c>
      <c r="B3246" t="s">
        <v>27465</v>
      </c>
      <c r="C3246" t="s">
        <v>20486</v>
      </c>
      <c r="D3246" t="s">
        <v>22</v>
      </c>
      <c r="E3246" t="s">
        <v>7253</v>
      </c>
      <c r="F3246">
        <v>27</v>
      </c>
      <c r="G3246" t="s">
        <v>1200</v>
      </c>
      <c r="H3246" t="s">
        <v>9788</v>
      </c>
    </row>
    <row r="3247" spans="1:10" x14ac:dyDescent="0.3">
      <c r="A3247" t="s">
        <v>7254</v>
      </c>
      <c r="B3247" t="s">
        <v>27466</v>
      </c>
      <c r="C3247" t="s">
        <v>20487</v>
      </c>
      <c r="D3247" t="s">
        <v>11</v>
      </c>
      <c r="E3247" t="s">
        <v>1338</v>
      </c>
      <c r="F3247">
        <v>53</v>
      </c>
      <c r="G3247" t="s">
        <v>540</v>
      </c>
      <c r="H3247" t="s">
        <v>12074</v>
      </c>
      <c r="I3247" t="s">
        <v>7255</v>
      </c>
    </row>
    <row r="3248" spans="1:10" x14ac:dyDescent="0.3">
      <c r="A3248" t="s">
        <v>7256</v>
      </c>
      <c r="B3248" t="s">
        <v>27467</v>
      </c>
      <c r="C3248" t="s">
        <v>20486</v>
      </c>
      <c r="D3248" t="s">
        <v>11</v>
      </c>
      <c r="E3248" t="s">
        <v>1333</v>
      </c>
      <c r="F3248">
        <v>45</v>
      </c>
    </row>
    <row r="3249" spans="1:10" x14ac:dyDescent="0.3">
      <c r="A3249" t="s">
        <v>7257</v>
      </c>
      <c r="B3249" t="s">
        <v>27468</v>
      </c>
      <c r="C3249" t="s">
        <v>20486</v>
      </c>
      <c r="D3249" t="s">
        <v>11</v>
      </c>
      <c r="E3249" t="s">
        <v>7258</v>
      </c>
      <c r="F3249">
        <v>28</v>
      </c>
      <c r="G3249" t="s">
        <v>46</v>
      </c>
      <c r="H3249" t="s">
        <v>46</v>
      </c>
      <c r="I3249" t="s">
        <v>7259</v>
      </c>
    </row>
    <row r="3250" spans="1:10" x14ac:dyDescent="0.3">
      <c r="A3250" t="s">
        <v>7260</v>
      </c>
      <c r="B3250" t="s">
        <v>27469</v>
      </c>
      <c r="C3250" t="s">
        <v>20487</v>
      </c>
      <c r="D3250" t="s">
        <v>22</v>
      </c>
      <c r="E3250" t="s">
        <v>4717</v>
      </c>
      <c r="F3250">
        <v>51</v>
      </c>
      <c r="G3250" t="s">
        <v>31</v>
      </c>
      <c r="H3250" t="s">
        <v>31</v>
      </c>
    </row>
    <row r="3251" spans="1:10" x14ac:dyDescent="0.3">
      <c r="A3251" t="s">
        <v>7261</v>
      </c>
      <c r="B3251" t="s">
        <v>27470</v>
      </c>
      <c r="C3251" t="s">
        <v>20486</v>
      </c>
      <c r="D3251" t="s">
        <v>11</v>
      </c>
      <c r="E3251" t="s">
        <v>7262</v>
      </c>
      <c r="F3251">
        <v>68</v>
      </c>
      <c r="G3251" t="s">
        <v>13</v>
      </c>
      <c r="H3251" t="s">
        <v>13</v>
      </c>
    </row>
    <row r="3252" spans="1:10" x14ac:dyDescent="0.3">
      <c r="A3252" t="s">
        <v>7263</v>
      </c>
      <c r="B3252" t="s">
        <v>27471</v>
      </c>
      <c r="C3252" t="s">
        <v>20486</v>
      </c>
      <c r="D3252" t="s">
        <v>22</v>
      </c>
      <c r="E3252" t="s">
        <v>7264</v>
      </c>
      <c r="F3252">
        <v>40</v>
      </c>
      <c r="G3252" t="s">
        <v>1200</v>
      </c>
      <c r="H3252" t="s">
        <v>9788</v>
      </c>
      <c r="I3252" t="s">
        <v>7265</v>
      </c>
      <c r="J3252" t="s">
        <v>7265</v>
      </c>
    </row>
    <row r="3253" spans="1:10" x14ac:dyDescent="0.3">
      <c r="A3253" t="s">
        <v>7266</v>
      </c>
      <c r="B3253" t="s">
        <v>27472</v>
      </c>
      <c r="C3253" t="s">
        <v>20486</v>
      </c>
      <c r="D3253" t="s">
        <v>22</v>
      </c>
      <c r="E3253" t="s">
        <v>7267</v>
      </c>
      <c r="F3253">
        <v>53</v>
      </c>
    </row>
    <row r="3254" spans="1:10" x14ac:dyDescent="0.3">
      <c r="A3254" t="s">
        <v>7268</v>
      </c>
      <c r="B3254" t="s">
        <v>27473</v>
      </c>
      <c r="C3254" t="s">
        <v>20486</v>
      </c>
      <c r="D3254" t="s">
        <v>11</v>
      </c>
      <c r="E3254" t="s">
        <v>7269</v>
      </c>
      <c r="F3254">
        <v>30</v>
      </c>
      <c r="G3254" t="s">
        <v>109</v>
      </c>
      <c r="H3254" t="s">
        <v>9788</v>
      </c>
      <c r="I3254" t="s">
        <v>971</v>
      </c>
      <c r="J3254" t="s">
        <v>225</v>
      </c>
    </row>
    <row r="3255" spans="1:10" x14ac:dyDescent="0.3">
      <c r="A3255" t="s">
        <v>7270</v>
      </c>
      <c r="B3255" t="s">
        <v>27474</v>
      </c>
      <c r="C3255" t="s">
        <v>20488</v>
      </c>
      <c r="D3255" t="s">
        <v>11</v>
      </c>
      <c r="E3255" t="s">
        <v>7271</v>
      </c>
      <c r="F3255">
        <v>41</v>
      </c>
      <c r="G3255" t="s">
        <v>2418</v>
      </c>
      <c r="H3255" t="s">
        <v>9787</v>
      </c>
      <c r="I3255" t="s">
        <v>2808</v>
      </c>
      <c r="J3255" t="s">
        <v>2808</v>
      </c>
    </row>
    <row r="3256" spans="1:10" x14ac:dyDescent="0.3">
      <c r="A3256" t="s">
        <v>12486</v>
      </c>
      <c r="B3256" t="s">
        <v>27475</v>
      </c>
      <c r="C3256" t="s">
        <v>20491</v>
      </c>
      <c r="D3256" t="s">
        <v>22</v>
      </c>
      <c r="E3256" t="s">
        <v>9611</v>
      </c>
      <c r="F3256">
        <v>16</v>
      </c>
      <c r="G3256" t="s">
        <v>337</v>
      </c>
      <c r="H3256" t="s">
        <v>337</v>
      </c>
    </row>
    <row r="3257" spans="1:10" x14ac:dyDescent="0.3">
      <c r="A3257" t="s">
        <v>7272</v>
      </c>
      <c r="B3257" t="s">
        <v>27476</v>
      </c>
      <c r="C3257" t="s">
        <v>20486</v>
      </c>
      <c r="D3257" t="s">
        <v>22</v>
      </c>
      <c r="E3257" t="s">
        <v>7273</v>
      </c>
      <c r="F3257">
        <v>36</v>
      </c>
      <c r="G3257" t="s">
        <v>31</v>
      </c>
      <c r="H3257" t="s">
        <v>31</v>
      </c>
      <c r="I3257" t="s">
        <v>384</v>
      </c>
      <c r="J3257" t="s">
        <v>384</v>
      </c>
    </row>
    <row r="3258" spans="1:10" x14ac:dyDescent="0.3">
      <c r="A3258" t="s">
        <v>7274</v>
      </c>
      <c r="B3258" t="s">
        <v>27477</v>
      </c>
      <c r="C3258" t="s">
        <v>20487</v>
      </c>
      <c r="D3258" t="s">
        <v>22</v>
      </c>
      <c r="E3258" t="s">
        <v>7275</v>
      </c>
      <c r="F3258">
        <v>37</v>
      </c>
      <c r="G3258" t="s">
        <v>16</v>
      </c>
      <c r="H3258" t="s">
        <v>9785</v>
      </c>
      <c r="I3258" t="s">
        <v>17</v>
      </c>
      <c r="J3258" t="s">
        <v>7276</v>
      </c>
    </row>
    <row r="3259" spans="1:10" x14ac:dyDescent="0.3">
      <c r="A3259" t="s">
        <v>7277</v>
      </c>
      <c r="B3259" t="s">
        <v>27478</v>
      </c>
      <c r="C3259" t="s">
        <v>20490</v>
      </c>
      <c r="D3259" t="s">
        <v>11</v>
      </c>
      <c r="E3259" t="s">
        <v>7278</v>
      </c>
      <c r="F3259">
        <v>83</v>
      </c>
      <c r="G3259" t="s">
        <v>13</v>
      </c>
      <c r="H3259" t="s">
        <v>13</v>
      </c>
    </row>
    <row r="3260" spans="1:10" x14ac:dyDescent="0.3">
      <c r="A3260" t="s">
        <v>7279</v>
      </c>
      <c r="B3260" t="s">
        <v>27479</v>
      </c>
      <c r="C3260" t="s">
        <v>20486</v>
      </c>
      <c r="D3260" t="s">
        <v>22</v>
      </c>
      <c r="E3260" t="s">
        <v>246</v>
      </c>
      <c r="F3260">
        <v>60</v>
      </c>
      <c r="G3260" t="s">
        <v>31</v>
      </c>
      <c r="H3260" t="s">
        <v>31</v>
      </c>
    </row>
    <row r="3261" spans="1:10" x14ac:dyDescent="0.3">
      <c r="A3261" t="s">
        <v>7280</v>
      </c>
      <c r="B3261" t="s">
        <v>27480</v>
      </c>
      <c r="C3261" t="s">
        <v>20486</v>
      </c>
      <c r="D3261" t="s">
        <v>22</v>
      </c>
      <c r="E3261" t="s">
        <v>7281</v>
      </c>
      <c r="F3261">
        <v>74</v>
      </c>
      <c r="G3261" t="s">
        <v>13</v>
      </c>
      <c r="H3261" t="s">
        <v>13</v>
      </c>
    </row>
    <row r="3262" spans="1:10" x14ac:dyDescent="0.3">
      <c r="A3262" t="s">
        <v>7282</v>
      </c>
      <c r="B3262" t="s">
        <v>27481</v>
      </c>
      <c r="C3262" t="s">
        <v>20486</v>
      </c>
      <c r="D3262" t="s">
        <v>11</v>
      </c>
      <c r="E3262" t="s">
        <v>7283</v>
      </c>
      <c r="F3262">
        <v>43</v>
      </c>
      <c r="G3262" t="s">
        <v>46</v>
      </c>
      <c r="H3262" t="s">
        <v>46</v>
      </c>
      <c r="I3262" t="s">
        <v>7284</v>
      </c>
    </row>
    <row r="3263" spans="1:10" x14ac:dyDescent="0.3">
      <c r="A3263" t="s">
        <v>7285</v>
      </c>
      <c r="B3263" t="s">
        <v>27482</v>
      </c>
      <c r="C3263" t="s">
        <v>20488</v>
      </c>
      <c r="D3263" t="s">
        <v>22</v>
      </c>
      <c r="E3263" t="s">
        <v>6219</v>
      </c>
      <c r="F3263">
        <v>31</v>
      </c>
      <c r="G3263" t="s">
        <v>109</v>
      </c>
      <c r="H3263" t="s">
        <v>9788</v>
      </c>
    </row>
    <row r="3264" spans="1:10" x14ac:dyDescent="0.3">
      <c r="A3264" t="s">
        <v>7286</v>
      </c>
      <c r="B3264" t="s">
        <v>27483</v>
      </c>
      <c r="C3264" t="s">
        <v>20486</v>
      </c>
      <c r="D3264" t="s">
        <v>11</v>
      </c>
      <c r="E3264" t="s">
        <v>7090</v>
      </c>
      <c r="F3264">
        <v>53</v>
      </c>
      <c r="G3264" t="s">
        <v>109</v>
      </c>
      <c r="H3264" t="s">
        <v>9788</v>
      </c>
      <c r="I3264" t="s">
        <v>2014</v>
      </c>
      <c r="J3264" t="s">
        <v>7287</v>
      </c>
    </row>
    <row r="3265" spans="1:10" x14ac:dyDescent="0.3">
      <c r="A3265" t="s">
        <v>12487</v>
      </c>
      <c r="B3265" t="s">
        <v>27484</v>
      </c>
      <c r="C3265" t="s">
        <v>20488</v>
      </c>
      <c r="D3265" t="s">
        <v>22</v>
      </c>
      <c r="E3265" t="s">
        <v>7288</v>
      </c>
      <c r="F3265">
        <v>52</v>
      </c>
      <c r="G3265" t="s">
        <v>109</v>
      </c>
      <c r="H3265" t="s">
        <v>9788</v>
      </c>
    </row>
    <row r="3266" spans="1:10" x14ac:dyDescent="0.3">
      <c r="A3266" t="s">
        <v>7289</v>
      </c>
      <c r="B3266" t="s">
        <v>27485</v>
      </c>
      <c r="C3266" t="s">
        <v>20490</v>
      </c>
      <c r="D3266" t="s">
        <v>22</v>
      </c>
      <c r="E3266" t="s">
        <v>7290</v>
      </c>
      <c r="F3266">
        <v>41</v>
      </c>
      <c r="G3266" t="s">
        <v>31</v>
      </c>
      <c r="H3266" t="s">
        <v>31</v>
      </c>
    </row>
    <row r="3267" spans="1:10" x14ac:dyDescent="0.3">
      <c r="A3267" t="s">
        <v>7291</v>
      </c>
      <c r="B3267" t="s">
        <v>27486</v>
      </c>
      <c r="C3267" t="s">
        <v>20487</v>
      </c>
      <c r="D3267" t="s">
        <v>22</v>
      </c>
      <c r="E3267" t="s">
        <v>7292</v>
      </c>
      <c r="F3267">
        <v>34</v>
      </c>
      <c r="G3267" t="s">
        <v>31</v>
      </c>
      <c r="H3267" t="s">
        <v>31</v>
      </c>
    </row>
    <row r="3268" spans="1:10" x14ac:dyDescent="0.3">
      <c r="A3268" t="s">
        <v>7293</v>
      </c>
      <c r="B3268" t="s">
        <v>27487</v>
      </c>
      <c r="C3268" t="s">
        <v>20490</v>
      </c>
      <c r="D3268" t="s">
        <v>11</v>
      </c>
      <c r="E3268" t="s">
        <v>7294</v>
      </c>
      <c r="F3268">
        <v>28</v>
      </c>
      <c r="G3268" t="s">
        <v>370</v>
      </c>
      <c r="H3268" t="s">
        <v>46</v>
      </c>
      <c r="I3268" t="s">
        <v>6987</v>
      </c>
    </row>
    <row r="3269" spans="1:10" x14ac:dyDescent="0.3">
      <c r="A3269" t="s">
        <v>7295</v>
      </c>
      <c r="B3269" t="s">
        <v>27488</v>
      </c>
      <c r="C3269" t="s">
        <v>20487</v>
      </c>
      <c r="D3269" t="s">
        <v>22</v>
      </c>
      <c r="E3269" t="s">
        <v>7296</v>
      </c>
      <c r="F3269">
        <v>47</v>
      </c>
      <c r="G3269" t="s">
        <v>243</v>
      </c>
      <c r="H3269" t="s">
        <v>243</v>
      </c>
    </row>
    <row r="3270" spans="1:10" x14ac:dyDescent="0.3">
      <c r="A3270" t="s">
        <v>7297</v>
      </c>
      <c r="B3270" t="s">
        <v>27489</v>
      </c>
      <c r="C3270" t="s">
        <v>20488</v>
      </c>
      <c r="D3270" t="s">
        <v>11</v>
      </c>
      <c r="E3270" t="s">
        <v>7298</v>
      </c>
      <c r="F3270">
        <v>65</v>
      </c>
      <c r="G3270" t="s">
        <v>46</v>
      </c>
      <c r="H3270" t="s">
        <v>46</v>
      </c>
      <c r="I3270" t="s">
        <v>7299</v>
      </c>
      <c r="J3270" t="s">
        <v>7300</v>
      </c>
    </row>
    <row r="3271" spans="1:10" x14ac:dyDescent="0.3">
      <c r="A3271" t="s">
        <v>7301</v>
      </c>
      <c r="B3271" t="s">
        <v>27490</v>
      </c>
      <c r="C3271" t="s">
        <v>20490</v>
      </c>
      <c r="D3271" t="s">
        <v>11</v>
      </c>
      <c r="E3271" t="s">
        <v>3332</v>
      </c>
      <c r="F3271">
        <v>51</v>
      </c>
      <c r="G3271" t="s">
        <v>109</v>
      </c>
      <c r="H3271" t="s">
        <v>9788</v>
      </c>
      <c r="I3271" t="s">
        <v>1968</v>
      </c>
      <c r="J3271" t="s">
        <v>7302</v>
      </c>
    </row>
    <row r="3272" spans="1:10" x14ac:dyDescent="0.3">
      <c r="A3272" t="s">
        <v>7303</v>
      </c>
      <c r="B3272" t="s">
        <v>27491</v>
      </c>
      <c r="C3272" t="s">
        <v>20487</v>
      </c>
      <c r="D3272" t="s">
        <v>22</v>
      </c>
      <c r="E3272" t="s">
        <v>1982</v>
      </c>
      <c r="F3272">
        <v>70</v>
      </c>
      <c r="G3272" t="s">
        <v>31</v>
      </c>
      <c r="H3272" t="s">
        <v>31</v>
      </c>
    </row>
    <row r="3273" spans="1:10" x14ac:dyDescent="0.3">
      <c r="A3273" t="s">
        <v>7304</v>
      </c>
      <c r="B3273" t="s">
        <v>27492</v>
      </c>
      <c r="C3273" t="s">
        <v>20491</v>
      </c>
      <c r="D3273" t="s">
        <v>11</v>
      </c>
      <c r="E3273" t="s">
        <v>7305</v>
      </c>
      <c r="F3273">
        <v>52</v>
      </c>
      <c r="G3273" t="s">
        <v>109</v>
      </c>
      <c r="H3273" t="s">
        <v>9788</v>
      </c>
      <c r="I3273" t="s">
        <v>1145</v>
      </c>
      <c r="J3273" t="s">
        <v>7306</v>
      </c>
    </row>
    <row r="3274" spans="1:10" x14ac:dyDescent="0.3">
      <c r="A3274" t="s">
        <v>7307</v>
      </c>
      <c r="B3274" t="s">
        <v>27493</v>
      </c>
      <c r="C3274" t="s">
        <v>20486</v>
      </c>
      <c r="D3274" t="s">
        <v>11</v>
      </c>
      <c r="E3274" t="s">
        <v>7308</v>
      </c>
      <c r="F3274">
        <v>49</v>
      </c>
      <c r="G3274" t="s">
        <v>46</v>
      </c>
      <c r="H3274" t="s">
        <v>46</v>
      </c>
      <c r="I3274" t="s">
        <v>7309</v>
      </c>
    </row>
    <row r="3275" spans="1:10" x14ac:dyDescent="0.3">
      <c r="A3275" t="s">
        <v>7310</v>
      </c>
      <c r="B3275" t="s">
        <v>27494</v>
      </c>
      <c r="C3275" t="s">
        <v>20486</v>
      </c>
      <c r="D3275" t="s">
        <v>22</v>
      </c>
      <c r="E3275" t="s">
        <v>7311</v>
      </c>
      <c r="F3275">
        <v>35</v>
      </c>
      <c r="G3275" t="s">
        <v>109</v>
      </c>
      <c r="H3275" t="s">
        <v>9788</v>
      </c>
      <c r="I3275" t="s">
        <v>3184</v>
      </c>
      <c r="J3275" t="s">
        <v>7312</v>
      </c>
    </row>
    <row r="3276" spans="1:10" x14ac:dyDescent="0.3">
      <c r="A3276" t="s">
        <v>7313</v>
      </c>
      <c r="B3276" t="s">
        <v>27495</v>
      </c>
      <c r="C3276" t="s">
        <v>20486</v>
      </c>
      <c r="D3276" t="s">
        <v>22</v>
      </c>
      <c r="E3276" t="s">
        <v>7314</v>
      </c>
      <c r="F3276">
        <v>37</v>
      </c>
      <c r="G3276" t="s">
        <v>109</v>
      </c>
      <c r="H3276" t="s">
        <v>9788</v>
      </c>
      <c r="I3276" t="s">
        <v>7315</v>
      </c>
      <c r="J3276" t="s">
        <v>7316</v>
      </c>
    </row>
    <row r="3277" spans="1:10" x14ac:dyDescent="0.3">
      <c r="A3277" t="s">
        <v>7317</v>
      </c>
      <c r="B3277" t="s">
        <v>27496</v>
      </c>
      <c r="C3277" t="s">
        <v>20488</v>
      </c>
      <c r="D3277" t="s">
        <v>22</v>
      </c>
      <c r="E3277" t="s">
        <v>7318</v>
      </c>
      <c r="F3277">
        <v>38</v>
      </c>
      <c r="G3277" t="s">
        <v>88</v>
      </c>
      <c r="H3277" t="s">
        <v>12065</v>
      </c>
      <c r="I3277" t="s">
        <v>7319</v>
      </c>
      <c r="J3277" t="s">
        <v>7319</v>
      </c>
    </row>
    <row r="3278" spans="1:10" x14ac:dyDescent="0.3">
      <c r="A3278" t="s">
        <v>7320</v>
      </c>
      <c r="B3278" t="s">
        <v>27497</v>
      </c>
      <c r="C3278" t="s">
        <v>20486</v>
      </c>
      <c r="D3278" t="s">
        <v>11</v>
      </c>
      <c r="E3278" t="s">
        <v>7321</v>
      </c>
      <c r="F3278">
        <v>47</v>
      </c>
      <c r="G3278" t="s">
        <v>109</v>
      </c>
      <c r="H3278" t="s">
        <v>9788</v>
      </c>
      <c r="J3278" t="s">
        <v>7322</v>
      </c>
    </row>
    <row r="3279" spans="1:10" x14ac:dyDescent="0.3">
      <c r="A3279" t="s">
        <v>7323</v>
      </c>
      <c r="B3279" t="s">
        <v>27498</v>
      </c>
      <c r="C3279" t="s">
        <v>20486</v>
      </c>
      <c r="D3279" t="s">
        <v>11</v>
      </c>
      <c r="E3279" t="s">
        <v>7324</v>
      </c>
      <c r="F3279">
        <v>45</v>
      </c>
      <c r="G3279" t="s">
        <v>31</v>
      </c>
      <c r="H3279" t="s">
        <v>31</v>
      </c>
      <c r="I3279" t="s">
        <v>1047</v>
      </c>
      <c r="J3279" t="s">
        <v>7239</v>
      </c>
    </row>
    <row r="3280" spans="1:10" x14ac:dyDescent="0.3">
      <c r="A3280" t="s">
        <v>7325</v>
      </c>
      <c r="B3280" t="s">
        <v>27499</v>
      </c>
      <c r="C3280" t="s">
        <v>20486</v>
      </c>
      <c r="D3280" t="s">
        <v>11</v>
      </c>
      <c r="E3280" t="s">
        <v>7326</v>
      </c>
      <c r="F3280">
        <v>56</v>
      </c>
    </row>
    <row r="3281" spans="1:10" x14ac:dyDescent="0.3">
      <c r="A3281" t="s">
        <v>7327</v>
      </c>
      <c r="B3281" t="s">
        <v>27500</v>
      </c>
      <c r="C3281" t="s">
        <v>20486</v>
      </c>
      <c r="D3281" t="s">
        <v>11</v>
      </c>
      <c r="E3281" t="s">
        <v>7328</v>
      </c>
      <c r="F3281">
        <v>36</v>
      </c>
      <c r="G3281" t="s">
        <v>109</v>
      </c>
      <c r="H3281" t="s">
        <v>9788</v>
      </c>
      <c r="I3281" t="s">
        <v>7329</v>
      </c>
      <c r="J3281" t="s">
        <v>7239</v>
      </c>
    </row>
    <row r="3282" spans="1:10" x14ac:dyDescent="0.3">
      <c r="A3282" t="s">
        <v>7330</v>
      </c>
      <c r="B3282" t="s">
        <v>27501</v>
      </c>
      <c r="C3282" t="s">
        <v>20490</v>
      </c>
      <c r="D3282" t="s">
        <v>11</v>
      </c>
      <c r="E3282" t="s">
        <v>7331</v>
      </c>
      <c r="F3282">
        <v>34</v>
      </c>
      <c r="G3282" t="s">
        <v>109</v>
      </c>
      <c r="H3282" t="s">
        <v>9788</v>
      </c>
      <c r="J3282" t="s">
        <v>3759</v>
      </c>
    </row>
    <row r="3283" spans="1:10" x14ac:dyDescent="0.3">
      <c r="A3283" t="s">
        <v>7332</v>
      </c>
      <c r="B3283" t="s">
        <v>27502</v>
      </c>
      <c r="C3283" t="s">
        <v>20490</v>
      </c>
      <c r="D3283" t="s">
        <v>22</v>
      </c>
      <c r="E3283" t="s">
        <v>6498</v>
      </c>
      <c r="F3283">
        <v>32</v>
      </c>
      <c r="G3283" t="s">
        <v>31</v>
      </c>
      <c r="H3283" t="s">
        <v>31</v>
      </c>
    </row>
    <row r="3284" spans="1:10" x14ac:dyDescent="0.3">
      <c r="A3284" t="s">
        <v>7333</v>
      </c>
      <c r="B3284" t="s">
        <v>27503</v>
      </c>
      <c r="C3284" t="s">
        <v>20488</v>
      </c>
      <c r="D3284" t="s">
        <v>22</v>
      </c>
      <c r="E3284" t="s">
        <v>2296</v>
      </c>
      <c r="F3284">
        <v>67</v>
      </c>
      <c r="G3284" t="s">
        <v>13</v>
      </c>
      <c r="H3284" t="s">
        <v>13</v>
      </c>
      <c r="I3284" t="s">
        <v>441</v>
      </c>
      <c r="J3284" t="s">
        <v>12488</v>
      </c>
    </row>
    <row r="3285" spans="1:10" x14ac:dyDescent="0.3">
      <c r="A3285" t="s">
        <v>7334</v>
      </c>
      <c r="B3285" t="s">
        <v>27504</v>
      </c>
      <c r="C3285" t="s">
        <v>20486</v>
      </c>
      <c r="D3285" t="s">
        <v>22</v>
      </c>
      <c r="E3285" t="s">
        <v>7335</v>
      </c>
      <c r="F3285">
        <v>61</v>
      </c>
      <c r="G3285" t="s">
        <v>172</v>
      </c>
      <c r="H3285" t="s">
        <v>12099</v>
      </c>
      <c r="J3285" t="s">
        <v>7336</v>
      </c>
    </row>
    <row r="3286" spans="1:10" x14ac:dyDescent="0.3">
      <c r="A3286" t="s">
        <v>7337</v>
      </c>
      <c r="B3286" t="s">
        <v>27505</v>
      </c>
      <c r="C3286" t="s">
        <v>20486</v>
      </c>
      <c r="D3286" t="s">
        <v>22</v>
      </c>
      <c r="E3286" t="s">
        <v>7338</v>
      </c>
      <c r="F3286">
        <v>51</v>
      </c>
      <c r="G3286" t="s">
        <v>109</v>
      </c>
      <c r="H3286" t="s">
        <v>9788</v>
      </c>
      <c r="I3286" t="s">
        <v>7339</v>
      </c>
      <c r="J3286" t="s">
        <v>7340</v>
      </c>
    </row>
    <row r="3287" spans="1:10" x14ac:dyDescent="0.3">
      <c r="A3287" t="s">
        <v>7341</v>
      </c>
      <c r="B3287" t="s">
        <v>27506</v>
      </c>
      <c r="C3287" t="s">
        <v>20486</v>
      </c>
      <c r="D3287" t="s">
        <v>22</v>
      </c>
      <c r="E3287" t="s">
        <v>7342</v>
      </c>
      <c r="F3287">
        <v>56</v>
      </c>
      <c r="G3287" t="s">
        <v>155</v>
      </c>
      <c r="H3287" t="s">
        <v>9791</v>
      </c>
    </row>
    <row r="3288" spans="1:10" x14ac:dyDescent="0.3">
      <c r="A3288" t="s">
        <v>7343</v>
      </c>
      <c r="B3288" t="s">
        <v>27507</v>
      </c>
      <c r="C3288" t="s">
        <v>20486</v>
      </c>
      <c r="D3288" t="s">
        <v>11</v>
      </c>
      <c r="E3288" t="s">
        <v>7344</v>
      </c>
      <c r="F3288">
        <v>46</v>
      </c>
      <c r="G3288" t="s">
        <v>109</v>
      </c>
      <c r="H3288" t="s">
        <v>9788</v>
      </c>
      <c r="I3288" t="s">
        <v>3978</v>
      </c>
    </row>
    <row r="3289" spans="1:10" x14ac:dyDescent="0.3">
      <c r="A3289" t="s">
        <v>7345</v>
      </c>
      <c r="B3289" t="s">
        <v>27508</v>
      </c>
      <c r="C3289" t="s">
        <v>20486</v>
      </c>
      <c r="D3289" t="s">
        <v>22</v>
      </c>
      <c r="E3289" t="s">
        <v>7346</v>
      </c>
      <c r="F3289">
        <v>36</v>
      </c>
      <c r="G3289" t="s">
        <v>31</v>
      </c>
      <c r="H3289" t="s">
        <v>31</v>
      </c>
    </row>
    <row r="3290" spans="1:10" x14ac:dyDescent="0.3">
      <c r="A3290" t="s">
        <v>7347</v>
      </c>
      <c r="B3290" t="s">
        <v>27509</v>
      </c>
      <c r="C3290" t="s">
        <v>20488</v>
      </c>
      <c r="D3290" t="s">
        <v>22</v>
      </c>
      <c r="E3290" t="s">
        <v>7348</v>
      </c>
      <c r="F3290">
        <v>74</v>
      </c>
      <c r="G3290" t="s">
        <v>46</v>
      </c>
      <c r="H3290" t="s">
        <v>46</v>
      </c>
      <c r="I3290" t="s">
        <v>7349</v>
      </c>
    </row>
    <row r="3291" spans="1:10" x14ac:dyDescent="0.3">
      <c r="A3291" t="s">
        <v>7350</v>
      </c>
      <c r="B3291" t="s">
        <v>27510</v>
      </c>
      <c r="C3291" t="s">
        <v>20491</v>
      </c>
      <c r="D3291" t="s">
        <v>22</v>
      </c>
      <c r="E3291" t="s">
        <v>3246</v>
      </c>
      <c r="F3291">
        <v>37</v>
      </c>
      <c r="G3291" t="s">
        <v>177</v>
      </c>
      <c r="H3291" t="s">
        <v>12065</v>
      </c>
      <c r="I3291" t="s">
        <v>1853</v>
      </c>
      <c r="J3291" t="s">
        <v>7351</v>
      </c>
    </row>
    <row r="3292" spans="1:10" x14ac:dyDescent="0.3">
      <c r="A3292" t="s">
        <v>7352</v>
      </c>
      <c r="B3292" t="s">
        <v>27511</v>
      </c>
      <c r="C3292" t="s">
        <v>20491</v>
      </c>
      <c r="D3292" t="s">
        <v>11</v>
      </c>
      <c r="E3292" t="s">
        <v>7353</v>
      </c>
      <c r="F3292">
        <v>41</v>
      </c>
      <c r="G3292" t="s">
        <v>172</v>
      </c>
      <c r="H3292" t="s">
        <v>12099</v>
      </c>
    </row>
    <row r="3293" spans="1:10" x14ac:dyDescent="0.3">
      <c r="A3293" t="s">
        <v>7354</v>
      </c>
      <c r="B3293" t="s">
        <v>27512</v>
      </c>
      <c r="C3293" t="s">
        <v>20487</v>
      </c>
      <c r="D3293" t="s">
        <v>22</v>
      </c>
      <c r="E3293" t="s">
        <v>5699</v>
      </c>
      <c r="F3293">
        <v>34</v>
      </c>
      <c r="G3293" t="s">
        <v>46</v>
      </c>
      <c r="H3293" t="s">
        <v>46</v>
      </c>
      <c r="J3293" t="s">
        <v>7355</v>
      </c>
    </row>
    <row r="3294" spans="1:10" x14ac:dyDescent="0.3">
      <c r="A3294" t="s">
        <v>7356</v>
      </c>
      <c r="B3294" t="s">
        <v>27513</v>
      </c>
      <c r="C3294" t="s">
        <v>20487</v>
      </c>
      <c r="D3294" t="s">
        <v>22</v>
      </c>
      <c r="E3294" t="s">
        <v>7357</v>
      </c>
      <c r="F3294">
        <v>66</v>
      </c>
      <c r="G3294" t="s">
        <v>13</v>
      </c>
      <c r="H3294" t="s">
        <v>13</v>
      </c>
    </row>
    <row r="3295" spans="1:10" x14ac:dyDescent="0.3">
      <c r="A3295" t="s">
        <v>7358</v>
      </c>
      <c r="B3295" t="s">
        <v>27514</v>
      </c>
      <c r="C3295" t="s">
        <v>20487</v>
      </c>
      <c r="D3295" t="s">
        <v>22</v>
      </c>
      <c r="E3295" t="s">
        <v>7359</v>
      </c>
      <c r="F3295">
        <v>52</v>
      </c>
      <c r="G3295" t="s">
        <v>172</v>
      </c>
      <c r="H3295" t="s">
        <v>12099</v>
      </c>
      <c r="I3295" t="s">
        <v>7360</v>
      </c>
      <c r="J3295" t="s">
        <v>7361</v>
      </c>
    </row>
    <row r="3296" spans="1:10" x14ac:dyDescent="0.3">
      <c r="A3296" t="s">
        <v>7362</v>
      </c>
      <c r="B3296" t="s">
        <v>27515</v>
      </c>
      <c r="C3296" t="s">
        <v>20487</v>
      </c>
      <c r="D3296" t="s">
        <v>22</v>
      </c>
      <c r="E3296" t="s">
        <v>7363</v>
      </c>
      <c r="F3296">
        <v>20</v>
      </c>
      <c r="G3296" t="s">
        <v>337</v>
      </c>
      <c r="H3296" t="s">
        <v>337</v>
      </c>
    </row>
    <row r="3297" spans="1:10" x14ac:dyDescent="0.3">
      <c r="A3297" t="s">
        <v>7364</v>
      </c>
      <c r="B3297" t="s">
        <v>27516</v>
      </c>
      <c r="C3297" t="s">
        <v>20488</v>
      </c>
      <c r="D3297" t="s">
        <v>22</v>
      </c>
      <c r="E3297" t="s">
        <v>7365</v>
      </c>
      <c r="F3297">
        <v>56</v>
      </c>
      <c r="G3297" t="s">
        <v>46</v>
      </c>
      <c r="H3297" t="s">
        <v>46</v>
      </c>
      <c r="I3297" t="s">
        <v>1388</v>
      </c>
      <c r="J3297" t="s">
        <v>12489</v>
      </c>
    </row>
    <row r="3298" spans="1:10" x14ac:dyDescent="0.3">
      <c r="A3298" t="s">
        <v>7366</v>
      </c>
      <c r="B3298" t="s">
        <v>27517</v>
      </c>
      <c r="C3298" t="s">
        <v>20486</v>
      </c>
      <c r="D3298" t="s">
        <v>22</v>
      </c>
      <c r="E3298" t="s">
        <v>7367</v>
      </c>
      <c r="F3298">
        <v>49</v>
      </c>
      <c r="G3298" t="s">
        <v>46</v>
      </c>
      <c r="H3298" t="s">
        <v>46</v>
      </c>
      <c r="I3298" t="s">
        <v>3000</v>
      </c>
      <c r="J3298" t="s">
        <v>7368</v>
      </c>
    </row>
    <row r="3299" spans="1:10" x14ac:dyDescent="0.3">
      <c r="A3299" t="s">
        <v>7369</v>
      </c>
      <c r="B3299" t="s">
        <v>27518</v>
      </c>
      <c r="C3299" t="s">
        <v>20486</v>
      </c>
      <c r="D3299" t="s">
        <v>11</v>
      </c>
      <c r="E3299" t="s">
        <v>7370</v>
      </c>
      <c r="F3299">
        <v>46</v>
      </c>
      <c r="G3299" t="s">
        <v>370</v>
      </c>
      <c r="H3299" t="s">
        <v>46</v>
      </c>
      <c r="I3299" t="s">
        <v>3091</v>
      </c>
      <c r="J3299" t="s">
        <v>1388</v>
      </c>
    </row>
    <row r="3300" spans="1:10" x14ac:dyDescent="0.3">
      <c r="A3300" t="s">
        <v>7372</v>
      </c>
      <c r="B3300" t="s">
        <v>27519</v>
      </c>
      <c r="C3300" t="s">
        <v>20486</v>
      </c>
      <c r="D3300" t="s">
        <v>22</v>
      </c>
      <c r="E3300" t="s">
        <v>7373</v>
      </c>
      <c r="F3300">
        <v>47</v>
      </c>
      <c r="G3300" t="s">
        <v>31</v>
      </c>
      <c r="H3300" t="s">
        <v>31</v>
      </c>
    </row>
    <row r="3301" spans="1:10" x14ac:dyDescent="0.3">
      <c r="A3301" t="s">
        <v>7374</v>
      </c>
      <c r="B3301" t="s">
        <v>27520</v>
      </c>
      <c r="C3301" t="s">
        <v>20486</v>
      </c>
      <c r="D3301" t="s">
        <v>11</v>
      </c>
      <c r="E3301" t="s">
        <v>4184</v>
      </c>
      <c r="F3301">
        <v>34</v>
      </c>
      <c r="G3301" t="s">
        <v>46</v>
      </c>
      <c r="H3301" t="s">
        <v>46</v>
      </c>
      <c r="I3301" t="s">
        <v>7375</v>
      </c>
      <c r="J3301" t="s">
        <v>7376</v>
      </c>
    </row>
    <row r="3302" spans="1:10" x14ac:dyDescent="0.3">
      <c r="A3302" t="s">
        <v>7377</v>
      </c>
      <c r="B3302" t="s">
        <v>27521</v>
      </c>
      <c r="C3302" t="s">
        <v>20486</v>
      </c>
      <c r="D3302" t="s">
        <v>11</v>
      </c>
      <c r="E3302" t="s">
        <v>1180</v>
      </c>
      <c r="F3302">
        <v>47</v>
      </c>
      <c r="G3302" t="s">
        <v>46</v>
      </c>
      <c r="H3302" t="s">
        <v>46</v>
      </c>
      <c r="I3302" t="s">
        <v>886</v>
      </c>
    </row>
    <row r="3303" spans="1:10" x14ac:dyDescent="0.3">
      <c r="A3303" t="s">
        <v>7378</v>
      </c>
      <c r="B3303" t="s">
        <v>27522</v>
      </c>
      <c r="C3303" t="s">
        <v>20486</v>
      </c>
      <c r="D3303" t="s">
        <v>22</v>
      </c>
      <c r="E3303" t="s">
        <v>7379</v>
      </c>
      <c r="F3303">
        <v>34</v>
      </c>
      <c r="G3303" t="s">
        <v>243</v>
      </c>
      <c r="H3303" t="s">
        <v>243</v>
      </c>
    </row>
    <row r="3304" spans="1:10" x14ac:dyDescent="0.3">
      <c r="A3304" t="s">
        <v>7380</v>
      </c>
      <c r="B3304" t="s">
        <v>27523</v>
      </c>
      <c r="C3304" t="s">
        <v>20486</v>
      </c>
      <c r="D3304" t="s">
        <v>22</v>
      </c>
      <c r="E3304" t="s">
        <v>7381</v>
      </c>
      <c r="F3304">
        <v>67</v>
      </c>
      <c r="G3304" t="s">
        <v>13</v>
      </c>
      <c r="H3304" t="s">
        <v>13</v>
      </c>
    </row>
    <row r="3305" spans="1:10" x14ac:dyDescent="0.3">
      <c r="A3305" t="s">
        <v>7382</v>
      </c>
      <c r="B3305" t="s">
        <v>27524</v>
      </c>
      <c r="C3305" t="s">
        <v>20486</v>
      </c>
      <c r="D3305" t="s">
        <v>11</v>
      </c>
      <c r="E3305" t="s">
        <v>7383</v>
      </c>
      <c r="F3305">
        <v>42</v>
      </c>
      <c r="G3305" t="s">
        <v>109</v>
      </c>
      <c r="H3305" t="s">
        <v>9788</v>
      </c>
    </row>
    <row r="3306" spans="1:10" x14ac:dyDescent="0.3">
      <c r="A3306" t="s">
        <v>7384</v>
      </c>
      <c r="B3306" t="s">
        <v>27525</v>
      </c>
      <c r="C3306" t="s">
        <v>20486</v>
      </c>
      <c r="D3306" t="s">
        <v>11</v>
      </c>
      <c r="E3306" t="s">
        <v>7385</v>
      </c>
      <c r="F3306">
        <v>55</v>
      </c>
      <c r="G3306" t="s">
        <v>46</v>
      </c>
      <c r="H3306" t="s">
        <v>46</v>
      </c>
      <c r="I3306" t="s">
        <v>228</v>
      </c>
      <c r="J3306" t="s">
        <v>7386</v>
      </c>
    </row>
    <row r="3307" spans="1:10" x14ac:dyDescent="0.3">
      <c r="A3307" t="s">
        <v>7387</v>
      </c>
      <c r="B3307" t="s">
        <v>27526</v>
      </c>
      <c r="C3307" t="s">
        <v>20488</v>
      </c>
      <c r="D3307" t="s">
        <v>11</v>
      </c>
      <c r="E3307" t="s">
        <v>7388</v>
      </c>
      <c r="F3307">
        <v>37</v>
      </c>
      <c r="G3307" t="s">
        <v>109</v>
      </c>
      <c r="H3307" t="s">
        <v>9788</v>
      </c>
      <c r="I3307" t="s">
        <v>2466</v>
      </c>
      <c r="J3307" t="s">
        <v>7389</v>
      </c>
    </row>
    <row r="3308" spans="1:10" x14ac:dyDescent="0.3">
      <c r="A3308" t="s">
        <v>7390</v>
      </c>
      <c r="B3308" t="s">
        <v>27527</v>
      </c>
      <c r="C3308" t="s">
        <v>20486</v>
      </c>
      <c r="D3308" t="s">
        <v>22</v>
      </c>
      <c r="E3308" t="s">
        <v>7391</v>
      </c>
      <c r="F3308">
        <v>41</v>
      </c>
      <c r="G3308" t="s">
        <v>1200</v>
      </c>
      <c r="H3308" t="s">
        <v>9788</v>
      </c>
      <c r="I3308" t="s">
        <v>7392</v>
      </c>
      <c r="J3308" t="s">
        <v>7392</v>
      </c>
    </row>
    <row r="3309" spans="1:10" x14ac:dyDescent="0.3">
      <c r="A3309" t="s">
        <v>7393</v>
      </c>
      <c r="B3309" t="s">
        <v>27528</v>
      </c>
      <c r="C3309" t="s">
        <v>20486</v>
      </c>
      <c r="D3309" t="s">
        <v>22</v>
      </c>
      <c r="E3309" t="s">
        <v>7394</v>
      </c>
      <c r="F3309">
        <v>48</v>
      </c>
      <c r="G3309" t="s">
        <v>31</v>
      </c>
      <c r="H3309" t="s">
        <v>31</v>
      </c>
    </row>
    <row r="3310" spans="1:10" x14ac:dyDescent="0.3">
      <c r="A3310" t="s">
        <v>7395</v>
      </c>
      <c r="B3310" t="s">
        <v>27529</v>
      </c>
      <c r="C3310" t="s">
        <v>20486</v>
      </c>
      <c r="D3310" t="s">
        <v>22</v>
      </c>
      <c r="E3310" t="s">
        <v>7396</v>
      </c>
      <c r="F3310">
        <v>35</v>
      </c>
      <c r="G3310" t="s">
        <v>31</v>
      </c>
      <c r="H3310" t="s">
        <v>31</v>
      </c>
    </row>
    <row r="3311" spans="1:10" x14ac:dyDescent="0.3">
      <c r="A3311" t="s">
        <v>7397</v>
      </c>
      <c r="B3311" t="s">
        <v>27530</v>
      </c>
      <c r="C3311" t="s">
        <v>20488</v>
      </c>
      <c r="D3311" t="s">
        <v>11</v>
      </c>
      <c r="E3311" t="s">
        <v>7398</v>
      </c>
      <c r="F3311">
        <v>53</v>
      </c>
      <c r="G3311" t="s">
        <v>46</v>
      </c>
      <c r="H3311" t="s">
        <v>46</v>
      </c>
      <c r="I3311" t="s">
        <v>7399</v>
      </c>
    </row>
    <row r="3312" spans="1:10" x14ac:dyDescent="0.3">
      <c r="A3312" t="s">
        <v>7400</v>
      </c>
      <c r="B3312" t="s">
        <v>27531</v>
      </c>
      <c r="C3312" t="s">
        <v>20486</v>
      </c>
      <c r="D3312" t="s">
        <v>11</v>
      </c>
      <c r="E3312" t="s">
        <v>3879</v>
      </c>
      <c r="F3312">
        <v>52</v>
      </c>
      <c r="G3312" t="s">
        <v>109</v>
      </c>
      <c r="H3312" t="s">
        <v>9788</v>
      </c>
      <c r="J3312" t="s">
        <v>7401</v>
      </c>
    </row>
    <row r="3313" spans="1:10" x14ac:dyDescent="0.3">
      <c r="A3313" t="s">
        <v>7402</v>
      </c>
      <c r="B3313" t="s">
        <v>27532</v>
      </c>
      <c r="C3313" t="s">
        <v>20486</v>
      </c>
      <c r="D3313" t="s">
        <v>11</v>
      </c>
      <c r="E3313" t="s">
        <v>7403</v>
      </c>
      <c r="F3313">
        <v>55</v>
      </c>
      <c r="G3313" t="s">
        <v>169</v>
      </c>
      <c r="H3313" t="s">
        <v>9789</v>
      </c>
      <c r="I3313" t="s">
        <v>4937</v>
      </c>
    </row>
    <row r="3314" spans="1:10" x14ac:dyDescent="0.3">
      <c r="A3314" t="s">
        <v>7404</v>
      </c>
      <c r="B3314" t="s">
        <v>27533</v>
      </c>
      <c r="C3314" t="s">
        <v>20486</v>
      </c>
      <c r="D3314" t="s">
        <v>11</v>
      </c>
      <c r="E3314" t="s">
        <v>2123</v>
      </c>
      <c r="F3314">
        <v>41</v>
      </c>
      <c r="G3314" t="s">
        <v>109</v>
      </c>
      <c r="H3314" t="s">
        <v>9788</v>
      </c>
    </row>
    <row r="3315" spans="1:10" x14ac:dyDescent="0.3">
      <c r="A3315" t="s">
        <v>7405</v>
      </c>
      <c r="B3315" t="s">
        <v>27534</v>
      </c>
      <c r="C3315" t="s">
        <v>20486</v>
      </c>
      <c r="D3315" t="s">
        <v>11</v>
      </c>
      <c r="E3315" t="s">
        <v>7406</v>
      </c>
      <c r="F3315">
        <v>39</v>
      </c>
      <c r="G3315" t="s">
        <v>46</v>
      </c>
      <c r="H3315" t="s">
        <v>46</v>
      </c>
      <c r="I3315" t="s">
        <v>5211</v>
      </c>
      <c r="J3315" t="s">
        <v>7407</v>
      </c>
    </row>
    <row r="3316" spans="1:10" x14ac:dyDescent="0.3">
      <c r="A3316" t="s">
        <v>7408</v>
      </c>
      <c r="B3316" t="s">
        <v>27535</v>
      </c>
      <c r="C3316" t="s">
        <v>20488</v>
      </c>
      <c r="D3316" t="s">
        <v>11</v>
      </c>
      <c r="E3316" t="s">
        <v>2517</v>
      </c>
      <c r="F3316">
        <v>50</v>
      </c>
      <c r="G3316" t="s">
        <v>109</v>
      </c>
      <c r="H3316" t="s">
        <v>9788</v>
      </c>
      <c r="J3316" t="s">
        <v>7409</v>
      </c>
    </row>
    <row r="3317" spans="1:10" x14ac:dyDescent="0.3">
      <c r="A3317" t="s">
        <v>12490</v>
      </c>
      <c r="B3317" t="s">
        <v>27536</v>
      </c>
      <c r="C3317" t="s">
        <v>20491</v>
      </c>
      <c r="D3317" t="s">
        <v>22</v>
      </c>
      <c r="E3317" t="s">
        <v>7783</v>
      </c>
      <c r="F3317">
        <v>40</v>
      </c>
      <c r="G3317" t="s">
        <v>46</v>
      </c>
      <c r="H3317" t="s">
        <v>46</v>
      </c>
    </row>
    <row r="3318" spans="1:10" x14ac:dyDescent="0.3">
      <c r="A3318" t="s">
        <v>7410</v>
      </c>
      <c r="B3318" t="s">
        <v>27537</v>
      </c>
      <c r="C3318" t="s">
        <v>20486</v>
      </c>
      <c r="D3318" t="s">
        <v>11</v>
      </c>
      <c r="E3318" t="s">
        <v>1770</v>
      </c>
      <c r="F3318">
        <v>43</v>
      </c>
      <c r="G3318" t="s">
        <v>46</v>
      </c>
      <c r="H3318" t="s">
        <v>46</v>
      </c>
      <c r="I3318" t="s">
        <v>228</v>
      </c>
      <c r="J3318" t="s">
        <v>7411</v>
      </c>
    </row>
    <row r="3319" spans="1:10" x14ac:dyDescent="0.3">
      <c r="A3319" t="s">
        <v>7412</v>
      </c>
      <c r="B3319" t="s">
        <v>27538</v>
      </c>
      <c r="C3319" t="s">
        <v>20489</v>
      </c>
      <c r="D3319" t="s">
        <v>11</v>
      </c>
      <c r="E3319" t="s">
        <v>6538</v>
      </c>
      <c r="F3319">
        <v>38</v>
      </c>
      <c r="G3319" t="s">
        <v>109</v>
      </c>
      <c r="H3319" t="s">
        <v>9788</v>
      </c>
      <c r="I3319" t="s">
        <v>1802</v>
      </c>
      <c r="J3319" t="s">
        <v>7413</v>
      </c>
    </row>
    <row r="3320" spans="1:10" x14ac:dyDescent="0.3">
      <c r="A3320" t="s">
        <v>7414</v>
      </c>
      <c r="B3320" t="s">
        <v>27539</v>
      </c>
      <c r="C3320" t="s">
        <v>20486</v>
      </c>
      <c r="D3320" t="s">
        <v>22</v>
      </c>
      <c r="E3320" t="s">
        <v>3090</v>
      </c>
      <c r="F3320">
        <v>38</v>
      </c>
      <c r="G3320" t="s">
        <v>370</v>
      </c>
      <c r="H3320" t="s">
        <v>46</v>
      </c>
      <c r="I3320" t="s">
        <v>1388</v>
      </c>
    </row>
    <row r="3321" spans="1:10" x14ac:dyDescent="0.3">
      <c r="A3321" t="s">
        <v>7415</v>
      </c>
      <c r="B3321" t="s">
        <v>27540</v>
      </c>
      <c r="C3321" t="s">
        <v>20489</v>
      </c>
      <c r="D3321" t="s">
        <v>11</v>
      </c>
      <c r="E3321" t="s">
        <v>7416</v>
      </c>
      <c r="F3321">
        <v>38</v>
      </c>
      <c r="G3321" t="s">
        <v>46</v>
      </c>
      <c r="H3321" t="s">
        <v>46</v>
      </c>
      <c r="I3321" t="s">
        <v>7417</v>
      </c>
      <c r="J3321" t="s">
        <v>3835</v>
      </c>
    </row>
    <row r="3322" spans="1:10" x14ac:dyDescent="0.3">
      <c r="A3322" t="s">
        <v>7418</v>
      </c>
      <c r="B3322" t="s">
        <v>27541</v>
      </c>
      <c r="C3322" t="s">
        <v>20486</v>
      </c>
      <c r="D3322" t="s">
        <v>11</v>
      </c>
      <c r="E3322" t="s">
        <v>5322</v>
      </c>
      <c r="F3322">
        <v>55</v>
      </c>
      <c r="G3322" t="s">
        <v>16</v>
      </c>
      <c r="H3322" t="s">
        <v>9785</v>
      </c>
      <c r="I3322" t="s">
        <v>17</v>
      </c>
    </row>
    <row r="3323" spans="1:10" x14ac:dyDescent="0.3">
      <c r="A3323" t="s">
        <v>7420</v>
      </c>
      <c r="B3323" t="s">
        <v>27542</v>
      </c>
      <c r="C3323" t="s">
        <v>20488</v>
      </c>
      <c r="D3323" t="s">
        <v>22</v>
      </c>
      <c r="E3323" t="s">
        <v>7421</v>
      </c>
      <c r="F3323">
        <v>54</v>
      </c>
      <c r="G3323" t="s">
        <v>31</v>
      </c>
      <c r="H3323" t="s">
        <v>31</v>
      </c>
    </row>
    <row r="3324" spans="1:10" x14ac:dyDescent="0.3">
      <c r="A3324" t="s">
        <v>7422</v>
      </c>
      <c r="B3324" t="s">
        <v>27543</v>
      </c>
      <c r="C3324" t="s">
        <v>20486</v>
      </c>
      <c r="D3324" t="s">
        <v>22</v>
      </c>
      <c r="E3324" t="s">
        <v>3422</v>
      </c>
      <c r="F3324">
        <v>35</v>
      </c>
      <c r="G3324" t="s">
        <v>31</v>
      </c>
      <c r="H3324" t="s">
        <v>31</v>
      </c>
    </row>
    <row r="3325" spans="1:10" x14ac:dyDescent="0.3">
      <c r="A3325" t="s">
        <v>7424</v>
      </c>
      <c r="B3325" t="s">
        <v>27544</v>
      </c>
      <c r="C3325" t="s">
        <v>20486</v>
      </c>
      <c r="D3325" t="s">
        <v>11</v>
      </c>
      <c r="E3325" t="s">
        <v>2010</v>
      </c>
      <c r="F3325">
        <v>29</v>
      </c>
      <c r="G3325" t="s">
        <v>109</v>
      </c>
      <c r="H3325" t="s">
        <v>9788</v>
      </c>
      <c r="I3325" t="s">
        <v>7425</v>
      </c>
    </row>
    <row r="3326" spans="1:10" x14ac:dyDescent="0.3">
      <c r="A3326" t="s">
        <v>7426</v>
      </c>
      <c r="B3326" t="s">
        <v>27545</v>
      </c>
      <c r="C3326" t="s">
        <v>20487</v>
      </c>
      <c r="D3326" t="s">
        <v>11</v>
      </c>
      <c r="E3326" t="s">
        <v>7427</v>
      </c>
      <c r="F3326">
        <v>40</v>
      </c>
      <c r="G3326" t="s">
        <v>109</v>
      </c>
      <c r="H3326" t="s">
        <v>9788</v>
      </c>
      <c r="I3326" t="s">
        <v>1145</v>
      </c>
      <c r="J3326" t="s">
        <v>2639</v>
      </c>
    </row>
    <row r="3327" spans="1:10" x14ac:dyDescent="0.3">
      <c r="A3327" t="s">
        <v>7428</v>
      </c>
      <c r="B3327" t="s">
        <v>27546</v>
      </c>
      <c r="C3327" t="s">
        <v>20489</v>
      </c>
      <c r="D3327" t="s">
        <v>22</v>
      </c>
      <c r="E3327" t="s">
        <v>7429</v>
      </c>
      <c r="F3327">
        <v>18</v>
      </c>
      <c r="G3327" t="s">
        <v>337</v>
      </c>
      <c r="H3327" t="s">
        <v>337</v>
      </c>
    </row>
    <row r="3328" spans="1:10" x14ac:dyDescent="0.3">
      <c r="A3328" t="s">
        <v>7430</v>
      </c>
      <c r="B3328" t="s">
        <v>27547</v>
      </c>
      <c r="C3328" t="s">
        <v>20489</v>
      </c>
      <c r="D3328" t="s">
        <v>11</v>
      </c>
      <c r="E3328" t="s">
        <v>7431</v>
      </c>
      <c r="F3328">
        <v>18</v>
      </c>
      <c r="G3328" t="s">
        <v>337</v>
      </c>
      <c r="H3328" t="s">
        <v>337</v>
      </c>
    </row>
    <row r="3329" spans="1:10" x14ac:dyDescent="0.3">
      <c r="A3329" t="s">
        <v>7433</v>
      </c>
      <c r="B3329" t="s">
        <v>27548</v>
      </c>
      <c r="C3329" t="s">
        <v>20487</v>
      </c>
      <c r="D3329" t="s">
        <v>11</v>
      </c>
      <c r="E3329" t="s">
        <v>7434</v>
      </c>
      <c r="F3329">
        <v>66</v>
      </c>
      <c r="G3329" t="s">
        <v>172</v>
      </c>
      <c r="H3329" t="s">
        <v>12099</v>
      </c>
    </row>
    <row r="3330" spans="1:10" x14ac:dyDescent="0.3">
      <c r="A3330" t="s">
        <v>7435</v>
      </c>
      <c r="B3330" t="s">
        <v>27549</v>
      </c>
      <c r="C3330" t="s">
        <v>20486</v>
      </c>
      <c r="D3330" t="s">
        <v>11</v>
      </c>
      <c r="E3330" t="s">
        <v>7436</v>
      </c>
      <c r="F3330">
        <v>31</v>
      </c>
      <c r="G3330" t="s">
        <v>109</v>
      </c>
      <c r="H3330" t="s">
        <v>9788</v>
      </c>
      <c r="I3330" t="s">
        <v>7437</v>
      </c>
      <c r="J3330" t="s">
        <v>7438</v>
      </c>
    </row>
    <row r="3331" spans="1:10" x14ac:dyDescent="0.3">
      <c r="A3331" t="s">
        <v>7439</v>
      </c>
      <c r="B3331" t="s">
        <v>27550</v>
      </c>
      <c r="C3331" t="s">
        <v>20486</v>
      </c>
      <c r="D3331" t="s">
        <v>11</v>
      </c>
      <c r="E3331" t="s">
        <v>7440</v>
      </c>
      <c r="F3331">
        <v>56</v>
      </c>
      <c r="G3331" t="s">
        <v>46</v>
      </c>
      <c r="H3331" t="s">
        <v>46</v>
      </c>
      <c r="J3331" t="s">
        <v>8011</v>
      </c>
    </row>
    <row r="3332" spans="1:10" x14ac:dyDescent="0.3">
      <c r="A3332" t="s">
        <v>7441</v>
      </c>
      <c r="B3332" t="s">
        <v>27551</v>
      </c>
      <c r="C3332" t="s">
        <v>20487</v>
      </c>
      <c r="D3332" t="s">
        <v>11</v>
      </c>
      <c r="E3332" t="s">
        <v>7442</v>
      </c>
      <c r="F3332">
        <v>34</v>
      </c>
    </row>
    <row r="3333" spans="1:10" x14ac:dyDescent="0.3">
      <c r="A3333" t="s">
        <v>7443</v>
      </c>
      <c r="B3333" t="s">
        <v>27552</v>
      </c>
      <c r="C3333" t="s">
        <v>20487</v>
      </c>
      <c r="D3333" t="s">
        <v>22</v>
      </c>
      <c r="E3333" t="s">
        <v>7444</v>
      </c>
      <c r="F3333">
        <v>36</v>
      </c>
    </row>
    <row r="3334" spans="1:10" x14ac:dyDescent="0.3">
      <c r="A3334" t="s">
        <v>7445</v>
      </c>
      <c r="B3334" t="s">
        <v>27553</v>
      </c>
      <c r="C3334" t="s">
        <v>20486</v>
      </c>
      <c r="D3334" t="s">
        <v>11</v>
      </c>
      <c r="E3334" t="s">
        <v>7218</v>
      </c>
      <c r="F3334">
        <v>44</v>
      </c>
      <c r="G3334" t="s">
        <v>109</v>
      </c>
      <c r="H3334" t="s">
        <v>9789</v>
      </c>
      <c r="I3334" t="s">
        <v>3231</v>
      </c>
    </row>
    <row r="3335" spans="1:10" x14ac:dyDescent="0.3">
      <c r="A3335" t="s">
        <v>7446</v>
      </c>
      <c r="B3335" t="s">
        <v>27554</v>
      </c>
      <c r="C3335" t="s">
        <v>20491</v>
      </c>
      <c r="D3335" t="s">
        <v>11</v>
      </c>
      <c r="E3335" t="s">
        <v>7447</v>
      </c>
      <c r="F3335">
        <v>45</v>
      </c>
      <c r="G3335" t="s">
        <v>1130</v>
      </c>
      <c r="H3335" t="s">
        <v>9789</v>
      </c>
      <c r="I3335" t="s">
        <v>3105</v>
      </c>
    </row>
    <row r="3336" spans="1:10" x14ac:dyDescent="0.3">
      <c r="A3336" t="s">
        <v>7448</v>
      </c>
      <c r="B3336" t="s">
        <v>27555</v>
      </c>
      <c r="C3336" t="s">
        <v>20491</v>
      </c>
      <c r="D3336" t="s">
        <v>22</v>
      </c>
      <c r="E3336" t="s">
        <v>5884</v>
      </c>
      <c r="F3336">
        <v>40</v>
      </c>
      <c r="G3336" t="s">
        <v>31</v>
      </c>
      <c r="H3336" t="s">
        <v>31</v>
      </c>
    </row>
    <row r="3337" spans="1:10" x14ac:dyDescent="0.3">
      <c r="A3337" t="s">
        <v>7449</v>
      </c>
      <c r="B3337" t="s">
        <v>27556</v>
      </c>
      <c r="C3337" t="s">
        <v>20491</v>
      </c>
      <c r="D3337" t="s">
        <v>22</v>
      </c>
      <c r="E3337" t="s">
        <v>7450</v>
      </c>
      <c r="F3337">
        <v>21</v>
      </c>
      <c r="G3337" t="s">
        <v>31</v>
      </c>
      <c r="H3337" t="s">
        <v>31</v>
      </c>
    </row>
    <row r="3338" spans="1:10" x14ac:dyDescent="0.3">
      <c r="A3338" t="s">
        <v>7451</v>
      </c>
      <c r="B3338" t="s">
        <v>27557</v>
      </c>
      <c r="C3338" t="s">
        <v>20486</v>
      </c>
      <c r="D3338" t="s">
        <v>11</v>
      </c>
      <c r="E3338" t="s">
        <v>7452</v>
      </c>
      <c r="F3338">
        <v>58</v>
      </c>
      <c r="G3338" t="s">
        <v>46</v>
      </c>
      <c r="H3338" t="s">
        <v>46</v>
      </c>
    </row>
    <row r="3339" spans="1:10" x14ac:dyDescent="0.3">
      <c r="A3339" t="s">
        <v>7453</v>
      </c>
      <c r="B3339" t="s">
        <v>27558</v>
      </c>
      <c r="C3339" t="s">
        <v>20486</v>
      </c>
      <c r="D3339" t="s">
        <v>22</v>
      </c>
      <c r="E3339" t="s">
        <v>7454</v>
      </c>
      <c r="F3339">
        <v>54</v>
      </c>
      <c r="G3339" t="s">
        <v>31</v>
      </c>
      <c r="H3339" t="s">
        <v>31</v>
      </c>
    </row>
    <row r="3340" spans="1:10" x14ac:dyDescent="0.3">
      <c r="A3340" t="s">
        <v>7455</v>
      </c>
      <c r="B3340" t="s">
        <v>27559</v>
      </c>
      <c r="C3340" t="s">
        <v>20486</v>
      </c>
      <c r="D3340" t="s">
        <v>11</v>
      </c>
      <c r="E3340" t="s">
        <v>6875</v>
      </c>
      <c r="F3340">
        <v>53</v>
      </c>
      <c r="G3340" t="s">
        <v>109</v>
      </c>
      <c r="H3340" t="s">
        <v>9788</v>
      </c>
    </row>
    <row r="3341" spans="1:10" x14ac:dyDescent="0.3">
      <c r="A3341" t="s">
        <v>7456</v>
      </c>
      <c r="B3341" t="s">
        <v>27560</v>
      </c>
      <c r="C3341" t="s">
        <v>20488</v>
      </c>
      <c r="D3341" t="s">
        <v>22</v>
      </c>
      <c r="E3341" t="s">
        <v>7457</v>
      </c>
      <c r="F3341">
        <v>57</v>
      </c>
      <c r="G3341" t="s">
        <v>16</v>
      </c>
      <c r="H3341" t="s">
        <v>9785</v>
      </c>
      <c r="I3341" t="s">
        <v>17</v>
      </c>
      <c r="J3341" t="s">
        <v>7458</v>
      </c>
    </row>
    <row r="3342" spans="1:10" x14ac:dyDescent="0.3">
      <c r="A3342" t="s">
        <v>7459</v>
      </c>
      <c r="B3342" t="s">
        <v>27561</v>
      </c>
      <c r="C3342" t="s">
        <v>20486</v>
      </c>
      <c r="D3342" t="s">
        <v>11</v>
      </c>
      <c r="E3342" t="s">
        <v>7460</v>
      </c>
      <c r="F3342">
        <v>51</v>
      </c>
      <c r="G3342" t="s">
        <v>133</v>
      </c>
      <c r="H3342" t="s">
        <v>9789</v>
      </c>
      <c r="J3342" t="s">
        <v>7461</v>
      </c>
    </row>
    <row r="3343" spans="1:10" x14ac:dyDescent="0.3">
      <c r="A3343" t="s">
        <v>7462</v>
      </c>
      <c r="B3343" t="s">
        <v>27562</v>
      </c>
      <c r="C3343" t="s">
        <v>20488</v>
      </c>
      <c r="D3343" t="s">
        <v>22</v>
      </c>
      <c r="E3343" t="s">
        <v>7463</v>
      </c>
      <c r="F3343">
        <v>40</v>
      </c>
      <c r="G3343" t="s">
        <v>31</v>
      </c>
      <c r="H3343" t="s">
        <v>31</v>
      </c>
      <c r="I3343" t="s">
        <v>33</v>
      </c>
    </row>
    <row r="3344" spans="1:10" x14ac:dyDescent="0.3">
      <c r="A3344" t="s">
        <v>7464</v>
      </c>
      <c r="B3344" t="s">
        <v>27563</v>
      </c>
      <c r="C3344" t="s">
        <v>20486</v>
      </c>
      <c r="D3344" t="s">
        <v>11</v>
      </c>
      <c r="E3344" t="s">
        <v>7465</v>
      </c>
      <c r="F3344">
        <v>37</v>
      </c>
    </row>
    <row r="3345" spans="1:10" x14ac:dyDescent="0.3">
      <c r="A3345" t="s">
        <v>7466</v>
      </c>
      <c r="B3345" t="s">
        <v>27564</v>
      </c>
      <c r="C3345" t="s">
        <v>20487</v>
      </c>
      <c r="D3345" t="s">
        <v>22</v>
      </c>
      <c r="E3345" t="s">
        <v>7467</v>
      </c>
      <c r="F3345">
        <v>40</v>
      </c>
      <c r="G3345" t="s">
        <v>31</v>
      </c>
      <c r="H3345" t="s">
        <v>31</v>
      </c>
    </row>
    <row r="3346" spans="1:10" x14ac:dyDescent="0.3">
      <c r="A3346" t="s">
        <v>7468</v>
      </c>
      <c r="B3346" t="s">
        <v>27565</v>
      </c>
      <c r="C3346" t="s">
        <v>20488</v>
      </c>
      <c r="D3346" t="s">
        <v>22</v>
      </c>
      <c r="E3346" t="s">
        <v>7469</v>
      </c>
      <c r="F3346">
        <v>55</v>
      </c>
      <c r="G3346" t="s">
        <v>31</v>
      </c>
      <c r="H3346" t="s">
        <v>31</v>
      </c>
      <c r="I3346">
        <v>0</v>
      </c>
      <c r="J3346">
        <v>0</v>
      </c>
    </row>
    <row r="3347" spans="1:10" x14ac:dyDescent="0.3">
      <c r="A3347" t="s">
        <v>7470</v>
      </c>
      <c r="B3347" t="s">
        <v>27566</v>
      </c>
      <c r="C3347" t="s">
        <v>20486</v>
      </c>
      <c r="D3347" t="s">
        <v>11</v>
      </c>
      <c r="E3347" t="s">
        <v>1136</v>
      </c>
      <c r="F3347">
        <v>45</v>
      </c>
      <c r="G3347" t="s">
        <v>172</v>
      </c>
      <c r="H3347" t="s">
        <v>12099</v>
      </c>
      <c r="I3347" t="s">
        <v>2990</v>
      </c>
      <c r="J3347" t="s">
        <v>2990</v>
      </c>
    </row>
    <row r="3348" spans="1:10" x14ac:dyDescent="0.3">
      <c r="A3348" t="s">
        <v>7472</v>
      </c>
      <c r="B3348" t="s">
        <v>27567</v>
      </c>
      <c r="C3348" t="s">
        <v>20486</v>
      </c>
      <c r="D3348" t="s">
        <v>22</v>
      </c>
      <c r="E3348" t="s">
        <v>168</v>
      </c>
      <c r="F3348">
        <v>52</v>
      </c>
      <c r="G3348" t="s">
        <v>109</v>
      </c>
      <c r="H3348" t="s">
        <v>9788</v>
      </c>
      <c r="I3348" t="s">
        <v>360</v>
      </c>
      <c r="J3348" t="s">
        <v>7473</v>
      </c>
    </row>
    <row r="3349" spans="1:10" x14ac:dyDescent="0.3">
      <c r="A3349" t="s">
        <v>7474</v>
      </c>
      <c r="B3349" t="s">
        <v>27568</v>
      </c>
      <c r="C3349" t="s">
        <v>20488</v>
      </c>
      <c r="D3349" t="s">
        <v>22</v>
      </c>
      <c r="E3349" t="s">
        <v>7475</v>
      </c>
      <c r="F3349">
        <v>28</v>
      </c>
      <c r="G3349" t="s">
        <v>155</v>
      </c>
      <c r="H3349" t="s">
        <v>9791</v>
      </c>
      <c r="I3349" t="s">
        <v>156</v>
      </c>
      <c r="J3349" t="s">
        <v>384</v>
      </c>
    </row>
    <row r="3350" spans="1:10" x14ac:dyDescent="0.3">
      <c r="A3350" t="s">
        <v>7476</v>
      </c>
      <c r="B3350" t="s">
        <v>27569</v>
      </c>
      <c r="C3350" t="s">
        <v>20486</v>
      </c>
      <c r="D3350" t="s">
        <v>11</v>
      </c>
      <c r="E3350" t="s">
        <v>7477</v>
      </c>
      <c r="F3350">
        <v>39</v>
      </c>
      <c r="G3350" t="s">
        <v>109</v>
      </c>
      <c r="H3350" t="s">
        <v>9788</v>
      </c>
      <c r="I3350" t="s">
        <v>1678</v>
      </c>
      <c r="J3350" t="s">
        <v>7478</v>
      </c>
    </row>
    <row r="3351" spans="1:10" x14ac:dyDescent="0.3">
      <c r="A3351" t="s">
        <v>7479</v>
      </c>
      <c r="B3351" t="s">
        <v>27570</v>
      </c>
      <c r="C3351" t="s">
        <v>20488</v>
      </c>
      <c r="D3351" t="s">
        <v>22</v>
      </c>
      <c r="E3351" t="s">
        <v>7480</v>
      </c>
      <c r="F3351">
        <v>31</v>
      </c>
      <c r="G3351" t="s">
        <v>88</v>
      </c>
      <c r="H3351" t="s">
        <v>12065</v>
      </c>
      <c r="I3351" t="s">
        <v>110</v>
      </c>
      <c r="J3351" t="s">
        <v>7481</v>
      </c>
    </row>
    <row r="3352" spans="1:10" x14ac:dyDescent="0.3">
      <c r="A3352" t="s">
        <v>7482</v>
      </c>
      <c r="B3352" t="s">
        <v>27571</v>
      </c>
      <c r="C3352" t="s">
        <v>20490</v>
      </c>
      <c r="D3352" t="s">
        <v>22</v>
      </c>
      <c r="E3352" t="s">
        <v>7483</v>
      </c>
      <c r="F3352">
        <v>32</v>
      </c>
      <c r="G3352" t="s">
        <v>370</v>
      </c>
      <c r="H3352" t="s">
        <v>46</v>
      </c>
    </row>
    <row r="3353" spans="1:10" x14ac:dyDescent="0.3">
      <c r="A3353" t="s">
        <v>7484</v>
      </c>
      <c r="B3353" t="s">
        <v>27572</v>
      </c>
      <c r="C3353" t="s">
        <v>20490</v>
      </c>
      <c r="D3353" t="s">
        <v>22</v>
      </c>
      <c r="E3353" t="s">
        <v>7485</v>
      </c>
      <c r="F3353">
        <v>66</v>
      </c>
      <c r="G3353" t="s">
        <v>31</v>
      </c>
      <c r="H3353" t="s">
        <v>31</v>
      </c>
    </row>
    <row r="3354" spans="1:10" x14ac:dyDescent="0.3">
      <c r="A3354" t="s">
        <v>7486</v>
      </c>
      <c r="B3354" t="s">
        <v>27573</v>
      </c>
      <c r="C3354" t="s">
        <v>20486</v>
      </c>
      <c r="D3354" t="s">
        <v>11</v>
      </c>
      <c r="E3354" t="s">
        <v>7487</v>
      </c>
      <c r="F3354">
        <v>27</v>
      </c>
      <c r="G3354" t="s">
        <v>109</v>
      </c>
      <c r="H3354" t="s">
        <v>9788</v>
      </c>
      <c r="I3354" t="s">
        <v>228</v>
      </c>
      <c r="J3354" t="s">
        <v>7239</v>
      </c>
    </row>
    <row r="3355" spans="1:10" x14ac:dyDescent="0.3">
      <c r="A3355" t="s">
        <v>7488</v>
      </c>
      <c r="B3355" t="s">
        <v>27574</v>
      </c>
      <c r="C3355" t="s">
        <v>20486</v>
      </c>
      <c r="D3355" t="s">
        <v>22</v>
      </c>
      <c r="E3355" t="s">
        <v>6612</v>
      </c>
      <c r="F3355">
        <v>32</v>
      </c>
      <c r="G3355" t="s">
        <v>109</v>
      </c>
      <c r="H3355" t="s">
        <v>9788</v>
      </c>
      <c r="I3355" t="s">
        <v>228</v>
      </c>
      <c r="J3355" t="s">
        <v>7239</v>
      </c>
    </row>
    <row r="3356" spans="1:10" x14ac:dyDescent="0.3">
      <c r="A3356" t="s">
        <v>7489</v>
      </c>
      <c r="B3356" t="s">
        <v>27575</v>
      </c>
      <c r="C3356" t="s">
        <v>20490</v>
      </c>
      <c r="D3356" t="s">
        <v>22</v>
      </c>
      <c r="E3356" t="s">
        <v>7490</v>
      </c>
      <c r="F3356">
        <v>66</v>
      </c>
      <c r="G3356" t="s">
        <v>16</v>
      </c>
      <c r="H3356" t="s">
        <v>9785</v>
      </c>
    </row>
    <row r="3357" spans="1:10" x14ac:dyDescent="0.3">
      <c r="A3357" t="s">
        <v>7491</v>
      </c>
      <c r="B3357" t="s">
        <v>27576</v>
      </c>
      <c r="C3357" t="s">
        <v>20486</v>
      </c>
      <c r="D3357" t="s">
        <v>22</v>
      </c>
      <c r="E3357" t="s">
        <v>7492</v>
      </c>
      <c r="F3357">
        <v>41</v>
      </c>
      <c r="G3357" t="s">
        <v>31</v>
      </c>
      <c r="H3357" t="s">
        <v>31</v>
      </c>
    </row>
    <row r="3358" spans="1:10" x14ac:dyDescent="0.3">
      <c r="A3358" t="s">
        <v>7493</v>
      </c>
      <c r="B3358" t="s">
        <v>27577</v>
      </c>
      <c r="C3358" t="s">
        <v>20486</v>
      </c>
      <c r="D3358" t="s">
        <v>22</v>
      </c>
      <c r="E3358" t="s">
        <v>7494</v>
      </c>
      <c r="F3358">
        <v>59</v>
      </c>
      <c r="G3358" t="s">
        <v>31</v>
      </c>
      <c r="H3358" t="s">
        <v>31</v>
      </c>
    </row>
    <row r="3359" spans="1:10" x14ac:dyDescent="0.3">
      <c r="A3359" t="s">
        <v>7495</v>
      </c>
      <c r="B3359" t="s">
        <v>27578</v>
      </c>
      <c r="C3359" t="s">
        <v>20488</v>
      </c>
      <c r="D3359" t="s">
        <v>22</v>
      </c>
      <c r="E3359" t="s">
        <v>7496</v>
      </c>
      <c r="F3359">
        <v>42</v>
      </c>
      <c r="G3359" t="s">
        <v>16</v>
      </c>
      <c r="H3359" t="s">
        <v>9785</v>
      </c>
      <c r="I3359" t="s">
        <v>449</v>
      </c>
      <c r="J3359" t="s">
        <v>654</v>
      </c>
    </row>
    <row r="3360" spans="1:10" x14ac:dyDescent="0.3">
      <c r="A3360" t="s">
        <v>12491</v>
      </c>
      <c r="B3360" t="s">
        <v>27579</v>
      </c>
      <c r="C3360" t="s">
        <v>20491</v>
      </c>
      <c r="D3360" t="s">
        <v>22</v>
      </c>
      <c r="E3360" t="s">
        <v>9610</v>
      </c>
      <c r="F3360">
        <v>19</v>
      </c>
      <c r="G3360" t="s">
        <v>243</v>
      </c>
      <c r="H3360" t="s">
        <v>243</v>
      </c>
    </row>
    <row r="3361" spans="1:10" x14ac:dyDescent="0.3">
      <c r="A3361" t="s">
        <v>7497</v>
      </c>
      <c r="B3361" t="s">
        <v>27580</v>
      </c>
      <c r="C3361" t="s">
        <v>20486</v>
      </c>
      <c r="D3361" t="s">
        <v>11</v>
      </c>
      <c r="E3361" t="s">
        <v>6463</v>
      </c>
      <c r="F3361">
        <v>36</v>
      </c>
      <c r="G3361" t="s">
        <v>1992</v>
      </c>
      <c r="H3361" t="s">
        <v>9791</v>
      </c>
    </row>
    <row r="3362" spans="1:10" x14ac:dyDescent="0.3">
      <c r="A3362" t="s">
        <v>7498</v>
      </c>
      <c r="B3362" t="s">
        <v>27581</v>
      </c>
      <c r="C3362" t="s">
        <v>20488</v>
      </c>
      <c r="D3362" t="s">
        <v>11</v>
      </c>
      <c r="E3362" t="s">
        <v>7499</v>
      </c>
      <c r="F3362">
        <v>67</v>
      </c>
      <c r="G3362" t="s">
        <v>46</v>
      </c>
      <c r="H3362" t="s">
        <v>46</v>
      </c>
      <c r="I3362" t="s">
        <v>7500</v>
      </c>
      <c r="J3362" t="s">
        <v>7500</v>
      </c>
    </row>
    <row r="3363" spans="1:10" x14ac:dyDescent="0.3">
      <c r="A3363" t="s">
        <v>7501</v>
      </c>
      <c r="B3363" t="s">
        <v>27582</v>
      </c>
      <c r="C3363" t="s">
        <v>20486</v>
      </c>
      <c r="D3363" t="s">
        <v>22</v>
      </c>
      <c r="E3363" t="s">
        <v>7502</v>
      </c>
      <c r="F3363">
        <v>31</v>
      </c>
      <c r="G3363" t="s">
        <v>46</v>
      </c>
      <c r="H3363" t="s">
        <v>46</v>
      </c>
      <c r="I3363" t="s">
        <v>7503</v>
      </c>
    </row>
    <row r="3364" spans="1:10" x14ac:dyDescent="0.3">
      <c r="A3364" t="s">
        <v>7504</v>
      </c>
      <c r="B3364" t="s">
        <v>27583</v>
      </c>
      <c r="C3364" t="s">
        <v>20486</v>
      </c>
      <c r="D3364" t="s">
        <v>22</v>
      </c>
      <c r="E3364" t="s">
        <v>7505</v>
      </c>
      <c r="F3364">
        <v>27</v>
      </c>
      <c r="G3364" t="s">
        <v>109</v>
      </c>
      <c r="H3364" t="s">
        <v>9788</v>
      </c>
      <c r="I3364" t="s">
        <v>7506</v>
      </c>
      <c r="J3364" t="s">
        <v>67</v>
      </c>
    </row>
    <row r="3365" spans="1:10" x14ac:dyDescent="0.3">
      <c r="A3365" t="s">
        <v>7507</v>
      </c>
      <c r="B3365" t="s">
        <v>27584</v>
      </c>
      <c r="C3365" t="s">
        <v>20487</v>
      </c>
      <c r="D3365" t="s">
        <v>11</v>
      </c>
      <c r="E3365" t="s">
        <v>1689</v>
      </c>
      <c r="F3365">
        <v>48</v>
      </c>
      <c r="G3365" t="s">
        <v>109</v>
      </c>
      <c r="H3365" t="s">
        <v>9788</v>
      </c>
      <c r="I3365" t="s">
        <v>1145</v>
      </c>
      <c r="J3365" t="s">
        <v>6647</v>
      </c>
    </row>
    <row r="3366" spans="1:10" x14ac:dyDescent="0.3">
      <c r="A3366" t="s">
        <v>7508</v>
      </c>
      <c r="B3366" t="s">
        <v>27585</v>
      </c>
      <c r="C3366" t="s">
        <v>20486</v>
      </c>
      <c r="D3366" t="s">
        <v>11</v>
      </c>
      <c r="E3366" t="s">
        <v>7509</v>
      </c>
      <c r="F3366">
        <v>50</v>
      </c>
      <c r="G3366" t="s">
        <v>16</v>
      </c>
      <c r="H3366" t="s">
        <v>9785</v>
      </c>
      <c r="I3366" t="s">
        <v>17</v>
      </c>
      <c r="J3366" t="s">
        <v>7510</v>
      </c>
    </row>
    <row r="3367" spans="1:10" x14ac:dyDescent="0.3">
      <c r="A3367" t="s">
        <v>7511</v>
      </c>
      <c r="B3367" t="s">
        <v>27586</v>
      </c>
      <c r="C3367" t="s">
        <v>20487</v>
      </c>
      <c r="D3367" t="s">
        <v>11</v>
      </c>
      <c r="E3367" t="s">
        <v>7512</v>
      </c>
      <c r="F3367">
        <v>32</v>
      </c>
      <c r="G3367" t="s">
        <v>109</v>
      </c>
      <c r="H3367" t="s">
        <v>9788</v>
      </c>
      <c r="J3367" t="s">
        <v>7513</v>
      </c>
    </row>
    <row r="3368" spans="1:10" x14ac:dyDescent="0.3">
      <c r="A3368" t="s">
        <v>7514</v>
      </c>
      <c r="B3368" t="s">
        <v>27587</v>
      </c>
      <c r="C3368" t="s">
        <v>20488</v>
      </c>
      <c r="D3368" t="s">
        <v>22</v>
      </c>
      <c r="E3368" t="s">
        <v>7515</v>
      </c>
      <c r="F3368">
        <v>32</v>
      </c>
      <c r="G3368" t="s">
        <v>16</v>
      </c>
      <c r="H3368" t="s">
        <v>9785</v>
      </c>
      <c r="I3368" t="s">
        <v>449</v>
      </c>
      <c r="J3368" t="s">
        <v>7516</v>
      </c>
    </row>
    <row r="3369" spans="1:10" x14ac:dyDescent="0.3">
      <c r="A3369" t="s">
        <v>7517</v>
      </c>
      <c r="B3369" t="s">
        <v>27588</v>
      </c>
      <c r="C3369" t="s">
        <v>20486</v>
      </c>
      <c r="D3369" t="s">
        <v>11</v>
      </c>
      <c r="E3369" t="s">
        <v>7518</v>
      </c>
      <c r="F3369">
        <v>36</v>
      </c>
    </row>
    <row r="3370" spans="1:10" x14ac:dyDescent="0.3">
      <c r="A3370" t="s">
        <v>7519</v>
      </c>
      <c r="B3370" t="s">
        <v>27589</v>
      </c>
      <c r="C3370" t="s">
        <v>20486</v>
      </c>
      <c r="D3370" t="s">
        <v>22</v>
      </c>
      <c r="E3370" t="s">
        <v>7520</v>
      </c>
      <c r="F3370">
        <v>43</v>
      </c>
      <c r="G3370" t="s">
        <v>31</v>
      </c>
      <c r="H3370" t="s">
        <v>31</v>
      </c>
    </row>
    <row r="3371" spans="1:10" x14ac:dyDescent="0.3">
      <c r="A3371" t="s">
        <v>7521</v>
      </c>
      <c r="B3371" t="s">
        <v>27590</v>
      </c>
      <c r="C3371" t="s">
        <v>20489</v>
      </c>
      <c r="D3371" t="s">
        <v>11</v>
      </c>
      <c r="E3371" t="s">
        <v>7522</v>
      </c>
      <c r="F3371">
        <v>49</v>
      </c>
      <c r="G3371" t="s">
        <v>109</v>
      </c>
      <c r="H3371" t="s">
        <v>9788</v>
      </c>
      <c r="I3371" t="s">
        <v>12162</v>
      </c>
      <c r="J3371" t="s">
        <v>5395</v>
      </c>
    </row>
    <row r="3372" spans="1:10" x14ac:dyDescent="0.3">
      <c r="A3372" t="s">
        <v>7523</v>
      </c>
      <c r="B3372" t="s">
        <v>27591</v>
      </c>
      <c r="C3372" t="s">
        <v>20489</v>
      </c>
      <c r="D3372" t="s">
        <v>22</v>
      </c>
      <c r="E3372" t="s">
        <v>7524</v>
      </c>
      <c r="F3372">
        <v>60</v>
      </c>
      <c r="G3372" t="s">
        <v>109</v>
      </c>
      <c r="H3372" t="s">
        <v>9788</v>
      </c>
      <c r="I3372" t="s">
        <v>4867</v>
      </c>
    </row>
    <row r="3373" spans="1:10" x14ac:dyDescent="0.3">
      <c r="A3373" t="s">
        <v>7525</v>
      </c>
      <c r="B3373" t="s">
        <v>27592</v>
      </c>
      <c r="C3373" t="s">
        <v>20486</v>
      </c>
      <c r="D3373" t="s">
        <v>22</v>
      </c>
      <c r="E3373" t="s">
        <v>7526</v>
      </c>
      <c r="F3373">
        <v>38</v>
      </c>
      <c r="G3373" t="s">
        <v>109</v>
      </c>
      <c r="H3373" t="s">
        <v>9788</v>
      </c>
      <c r="I3373" t="s">
        <v>3103</v>
      </c>
      <c r="J3373" t="s">
        <v>7527</v>
      </c>
    </row>
    <row r="3374" spans="1:10" x14ac:dyDescent="0.3">
      <c r="A3374" t="s">
        <v>12492</v>
      </c>
      <c r="B3374" t="s">
        <v>27593</v>
      </c>
      <c r="C3374" t="s">
        <v>20489</v>
      </c>
      <c r="D3374" t="s">
        <v>11</v>
      </c>
      <c r="E3374" t="s">
        <v>12493</v>
      </c>
      <c r="F3374">
        <v>50</v>
      </c>
      <c r="G3374" t="s">
        <v>370</v>
      </c>
      <c r="H3374" t="s">
        <v>46</v>
      </c>
      <c r="I3374" t="s">
        <v>12494</v>
      </c>
    </row>
    <row r="3375" spans="1:10" x14ac:dyDescent="0.3">
      <c r="A3375" t="s">
        <v>7528</v>
      </c>
      <c r="B3375" t="s">
        <v>27594</v>
      </c>
      <c r="C3375" t="s">
        <v>20487</v>
      </c>
      <c r="D3375" t="s">
        <v>22</v>
      </c>
      <c r="E3375" t="s">
        <v>6246</v>
      </c>
      <c r="F3375">
        <v>35</v>
      </c>
      <c r="G3375" t="s">
        <v>109</v>
      </c>
      <c r="H3375" t="s">
        <v>9788</v>
      </c>
      <c r="J3375" t="s">
        <v>7529</v>
      </c>
    </row>
    <row r="3376" spans="1:10" x14ac:dyDescent="0.3">
      <c r="A3376" t="s">
        <v>7530</v>
      </c>
      <c r="B3376" t="s">
        <v>27595</v>
      </c>
      <c r="C3376" t="s">
        <v>20487</v>
      </c>
      <c r="D3376" t="s">
        <v>11</v>
      </c>
      <c r="E3376" t="s">
        <v>7531</v>
      </c>
      <c r="F3376">
        <v>44</v>
      </c>
      <c r="G3376" t="s">
        <v>172</v>
      </c>
      <c r="H3376" t="s">
        <v>12099</v>
      </c>
    </row>
    <row r="3377" spans="1:10" x14ac:dyDescent="0.3">
      <c r="A3377" t="s">
        <v>7532</v>
      </c>
      <c r="B3377" t="s">
        <v>27596</v>
      </c>
      <c r="C3377" t="s">
        <v>20486</v>
      </c>
      <c r="D3377" t="s">
        <v>22</v>
      </c>
      <c r="E3377" t="s">
        <v>3062</v>
      </c>
      <c r="F3377">
        <v>47</v>
      </c>
      <c r="G3377" t="s">
        <v>109</v>
      </c>
      <c r="H3377" t="s">
        <v>9788</v>
      </c>
      <c r="J3377" t="s">
        <v>901</v>
      </c>
    </row>
    <row r="3378" spans="1:10" x14ac:dyDescent="0.3">
      <c r="A3378" t="s">
        <v>12495</v>
      </c>
      <c r="B3378" t="s">
        <v>27597</v>
      </c>
      <c r="C3378" t="s">
        <v>20487</v>
      </c>
      <c r="D3378" t="s">
        <v>11</v>
      </c>
      <c r="E3378" t="s">
        <v>12496</v>
      </c>
      <c r="F3378">
        <v>46</v>
      </c>
      <c r="G3378" t="s">
        <v>46</v>
      </c>
      <c r="H3378" t="s">
        <v>46</v>
      </c>
      <c r="I3378" t="s">
        <v>12497</v>
      </c>
      <c r="J3378" t="s">
        <v>12498</v>
      </c>
    </row>
    <row r="3379" spans="1:10" x14ac:dyDescent="0.3">
      <c r="A3379" t="s">
        <v>7533</v>
      </c>
      <c r="B3379" t="s">
        <v>27598</v>
      </c>
      <c r="C3379" t="s">
        <v>20486</v>
      </c>
      <c r="D3379" t="s">
        <v>11</v>
      </c>
      <c r="E3379" t="s">
        <v>7534</v>
      </c>
      <c r="F3379">
        <v>61</v>
      </c>
      <c r="G3379" t="s">
        <v>133</v>
      </c>
      <c r="H3379" t="s">
        <v>9789</v>
      </c>
    </row>
    <row r="3380" spans="1:10" x14ac:dyDescent="0.3">
      <c r="A3380" t="s">
        <v>7535</v>
      </c>
      <c r="B3380" t="s">
        <v>27599</v>
      </c>
      <c r="C3380" t="s">
        <v>20488</v>
      </c>
      <c r="D3380" t="s">
        <v>11</v>
      </c>
      <c r="E3380" t="s">
        <v>7536</v>
      </c>
      <c r="F3380">
        <v>18</v>
      </c>
      <c r="G3380" t="s">
        <v>337</v>
      </c>
      <c r="H3380" t="s">
        <v>337</v>
      </c>
      <c r="I3380" t="s">
        <v>7020</v>
      </c>
      <c r="J3380" t="s">
        <v>7537</v>
      </c>
    </row>
    <row r="3381" spans="1:10" x14ac:dyDescent="0.3">
      <c r="A3381" t="s">
        <v>7538</v>
      </c>
      <c r="B3381" t="s">
        <v>27600</v>
      </c>
      <c r="C3381" t="s">
        <v>20486</v>
      </c>
      <c r="D3381" t="s">
        <v>11</v>
      </c>
      <c r="E3381" t="s">
        <v>7539</v>
      </c>
      <c r="F3381">
        <v>52</v>
      </c>
      <c r="G3381" t="s">
        <v>109</v>
      </c>
      <c r="H3381" t="s">
        <v>9788</v>
      </c>
      <c r="I3381" t="s">
        <v>224</v>
      </c>
      <c r="J3381" t="s">
        <v>7540</v>
      </c>
    </row>
    <row r="3382" spans="1:10" x14ac:dyDescent="0.3">
      <c r="A3382" t="s">
        <v>7541</v>
      </c>
      <c r="B3382" t="s">
        <v>27601</v>
      </c>
      <c r="C3382" t="s">
        <v>20486</v>
      </c>
      <c r="D3382" t="s">
        <v>11</v>
      </c>
      <c r="E3382" t="s">
        <v>7542</v>
      </c>
      <c r="F3382">
        <v>42</v>
      </c>
      <c r="G3382" t="s">
        <v>109</v>
      </c>
      <c r="H3382" t="s">
        <v>9788</v>
      </c>
      <c r="I3382" t="s">
        <v>224</v>
      </c>
      <c r="J3382" t="s">
        <v>7543</v>
      </c>
    </row>
    <row r="3383" spans="1:10" x14ac:dyDescent="0.3">
      <c r="A3383" t="s">
        <v>7544</v>
      </c>
      <c r="B3383" t="s">
        <v>27602</v>
      </c>
      <c r="C3383" t="s">
        <v>20486</v>
      </c>
      <c r="D3383" t="s">
        <v>22</v>
      </c>
      <c r="E3383" t="s">
        <v>7545</v>
      </c>
      <c r="F3383">
        <v>40</v>
      </c>
      <c r="G3383" t="s">
        <v>109</v>
      </c>
      <c r="H3383" t="s">
        <v>9788</v>
      </c>
      <c r="I3383" t="s">
        <v>1678</v>
      </c>
      <c r="J3383" t="s">
        <v>1426</v>
      </c>
    </row>
    <row r="3384" spans="1:10" x14ac:dyDescent="0.3">
      <c r="A3384" t="s">
        <v>7546</v>
      </c>
      <c r="B3384" t="s">
        <v>27603</v>
      </c>
      <c r="C3384" t="s">
        <v>20486</v>
      </c>
      <c r="D3384" t="s">
        <v>11</v>
      </c>
      <c r="E3384" t="s">
        <v>7547</v>
      </c>
      <c r="F3384">
        <v>36</v>
      </c>
      <c r="G3384" t="s">
        <v>109</v>
      </c>
      <c r="H3384" t="s">
        <v>9788</v>
      </c>
      <c r="J3384" t="s">
        <v>7548</v>
      </c>
    </row>
    <row r="3385" spans="1:10" x14ac:dyDescent="0.3">
      <c r="A3385" t="s">
        <v>7549</v>
      </c>
      <c r="B3385" t="s">
        <v>27604</v>
      </c>
      <c r="C3385" t="s">
        <v>20486</v>
      </c>
      <c r="D3385" t="s">
        <v>22</v>
      </c>
      <c r="E3385" t="s">
        <v>4656</v>
      </c>
      <c r="F3385">
        <v>44</v>
      </c>
      <c r="G3385" t="s">
        <v>31</v>
      </c>
      <c r="H3385" t="s">
        <v>31</v>
      </c>
      <c r="I3385" t="s">
        <v>14337</v>
      </c>
    </row>
    <row r="3386" spans="1:10" x14ac:dyDescent="0.3">
      <c r="A3386" t="s">
        <v>7550</v>
      </c>
      <c r="B3386" t="s">
        <v>27605</v>
      </c>
      <c r="C3386" t="s">
        <v>20486</v>
      </c>
      <c r="D3386" t="s">
        <v>22</v>
      </c>
      <c r="E3386" t="s">
        <v>7346</v>
      </c>
      <c r="F3386">
        <v>36</v>
      </c>
      <c r="G3386" t="s">
        <v>1200</v>
      </c>
      <c r="H3386" t="s">
        <v>9788</v>
      </c>
      <c r="I3386" t="s">
        <v>17</v>
      </c>
      <c r="J3386" t="s">
        <v>5229</v>
      </c>
    </row>
    <row r="3387" spans="1:10" x14ac:dyDescent="0.3">
      <c r="A3387" t="s">
        <v>7551</v>
      </c>
      <c r="B3387" t="s">
        <v>27606</v>
      </c>
      <c r="C3387" t="s">
        <v>20488</v>
      </c>
      <c r="D3387" t="s">
        <v>22</v>
      </c>
      <c r="E3387" t="s">
        <v>2243</v>
      </c>
      <c r="F3387">
        <v>68</v>
      </c>
      <c r="G3387" t="s">
        <v>31</v>
      </c>
      <c r="H3387" t="s">
        <v>31</v>
      </c>
      <c r="I3387" t="s">
        <v>384</v>
      </c>
    </row>
    <row r="3388" spans="1:10" x14ac:dyDescent="0.3">
      <c r="A3388" t="s">
        <v>7552</v>
      </c>
      <c r="B3388" t="s">
        <v>27607</v>
      </c>
      <c r="C3388" t="s">
        <v>20488</v>
      </c>
      <c r="D3388" t="s">
        <v>11</v>
      </c>
      <c r="E3388" t="s">
        <v>7553</v>
      </c>
      <c r="F3388">
        <v>31</v>
      </c>
      <c r="G3388" t="s">
        <v>133</v>
      </c>
      <c r="H3388" t="s">
        <v>9789</v>
      </c>
      <c r="I3388" t="s">
        <v>7554</v>
      </c>
      <c r="J3388" t="s">
        <v>7555</v>
      </c>
    </row>
    <row r="3389" spans="1:10" x14ac:dyDescent="0.3">
      <c r="A3389" t="s">
        <v>7556</v>
      </c>
      <c r="B3389" t="s">
        <v>27608</v>
      </c>
      <c r="C3389" t="s">
        <v>20486</v>
      </c>
      <c r="D3389" t="s">
        <v>11</v>
      </c>
      <c r="E3389" t="s">
        <v>7557</v>
      </c>
      <c r="F3389">
        <v>60</v>
      </c>
    </row>
    <row r="3390" spans="1:10" x14ac:dyDescent="0.3">
      <c r="A3390" t="s">
        <v>7558</v>
      </c>
      <c r="B3390" t="s">
        <v>27609</v>
      </c>
      <c r="C3390" t="s">
        <v>20491</v>
      </c>
      <c r="D3390" t="s">
        <v>11</v>
      </c>
      <c r="E3390" t="s">
        <v>7559</v>
      </c>
      <c r="F3390">
        <v>68</v>
      </c>
      <c r="G3390" t="s">
        <v>13</v>
      </c>
      <c r="H3390" t="s">
        <v>13</v>
      </c>
    </row>
    <row r="3391" spans="1:10" x14ac:dyDescent="0.3">
      <c r="A3391" t="s">
        <v>7560</v>
      </c>
      <c r="B3391" t="s">
        <v>27610</v>
      </c>
      <c r="C3391" t="s">
        <v>20486</v>
      </c>
      <c r="D3391" t="s">
        <v>11</v>
      </c>
      <c r="E3391" t="s">
        <v>7561</v>
      </c>
      <c r="F3391">
        <v>48</v>
      </c>
      <c r="G3391" t="s">
        <v>109</v>
      </c>
      <c r="H3391" t="s">
        <v>9788</v>
      </c>
      <c r="I3391" t="s">
        <v>17</v>
      </c>
      <c r="J3391" t="s">
        <v>67</v>
      </c>
    </row>
    <row r="3392" spans="1:10" x14ac:dyDescent="0.3">
      <c r="A3392" t="s">
        <v>7562</v>
      </c>
      <c r="B3392" t="s">
        <v>27611</v>
      </c>
      <c r="C3392" t="s">
        <v>20486</v>
      </c>
      <c r="D3392" t="s">
        <v>11</v>
      </c>
      <c r="E3392" t="s">
        <v>6999</v>
      </c>
      <c r="F3392">
        <v>37</v>
      </c>
      <c r="G3392" t="s">
        <v>46</v>
      </c>
      <c r="H3392" t="s">
        <v>46</v>
      </c>
      <c r="J3392" t="s">
        <v>7563</v>
      </c>
    </row>
    <row r="3393" spans="1:10" x14ac:dyDescent="0.3">
      <c r="A3393" t="s">
        <v>7564</v>
      </c>
      <c r="B3393" t="s">
        <v>27612</v>
      </c>
      <c r="C3393" t="s">
        <v>20489</v>
      </c>
      <c r="D3393" t="s">
        <v>11</v>
      </c>
      <c r="E3393" t="s">
        <v>7565</v>
      </c>
      <c r="F3393">
        <v>33</v>
      </c>
      <c r="G3393" t="s">
        <v>16</v>
      </c>
      <c r="H3393" t="s">
        <v>9785</v>
      </c>
      <c r="I3393" t="s">
        <v>17</v>
      </c>
      <c r="J3393" t="s">
        <v>1700</v>
      </c>
    </row>
    <row r="3394" spans="1:10" x14ac:dyDescent="0.3">
      <c r="A3394" t="s">
        <v>7566</v>
      </c>
      <c r="B3394" t="s">
        <v>27613</v>
      </c>
      <c r="C3394" t="s">
        <v>20486</v>
      </c>
      <c r="D3394" t="s">
        <v>22</v>
      </c>
      <c r="E3394" t="s">
        <v>7567</v>
      </c>
      <c r="F3394">
        <v>46</v>
      </c>
      <c r="G3394" t="s">
        <v>16</v>
      </c>
      <c r="H3394" t="s">
        <v>9785</v>
      </c>
      <c r="I3394" t="s">
        <v>17</v>
      </c>
      <c r="J3394" t="s">
        <v>7568</v>
      </c>
    </row>
    <row r="3395" spans="1:10" x14ac:dyDescent="0.3">
      <c r="A3395" t="s">
        <v>7569</v>
      </c>
      <c r="B3395" t="s">
        <v>27614</v>
      </c>
      <c r="C3395" t="s">
        <v>20487</v>
      </c>
      <c r="D3395" t="s">
        <v>22</v>
      </c>
      <c r="E3395" t="s">
        <v>7570</v>
      </c>
      <c r="F3395">
        <v>53</v>
      </c>
      <c r="G3395" t="s">
        <v>172</v>
      </c>
      <c r="H3395" t="s">
        <v>12099</v>
      </c>
      <c r="J3395" t="s">
        <v>7571</v>
      </c>
    </row>
    <row r="3396" spans="1:10" x14ac:dyDescent="0.3">
      <c r="A3396" t="s">
        <v>7572</v>
      </c>
      <c r="B3396" t="s">
        <v>27615</v>
      </c>
      <c r="C3396" t="s">
        <v>20486</v>
      </c>
      <c r="D3396" t="s">
        <v>22</v>
      </c>
      <c r="E3396" t="s">
        <v>7573</v>
      </c>
      <c r="F3396">
        <v>44</v>
      </c>
      <c r="G3396" t="s">
        <v>31</v>
      </c>
      <c r="H3396" t="s">
        <v>31</v>
      </c>
    </row>
    <row r="3397" spans="1:10" x14ac:dyDescent="0.3">
      <c r="A3397" t="s">
        <v>7574</v>
      </c>
      <c r="B3397" t="s">
        <v>27616</v>
      </c>
      <c r="C3397" t="s">
        <v>20489</v>
      </c>
      <c r="D3397" t="s">
        <v>22</v>
      </c>
      <c r="E3397" t="s">
        <v>7575</v>
      </c>
      <c r="F3397">
        <v>46</v>
      </c>
      <c r="G3397" t="s">
        <v>31</v>
      </c>
      <c r="H3397" t="s">
        <v>31</v>
      </c>
    </row>
    <row r="3398" spans="1:10" x14ac:dyDescent="0.3">
      <c r="A3398" t="s">
        <v>7576</v>
      </c>
      <c r="B3398" t="s">
        <v>27617</v>
      </c>
      <c r="C3398" t="s">
        <v>20488</v>
      </c>
      <c r="D3398" t="s">
        <v>11</v>
      </c>
      <c r="E3398" t="s">
        <v>7577</v>
      </c>
      <c r="F3398">
        <v>44</v>
      </c>
      <c r="G3398" t="s">
        <v>109</v>
      </c>
      <c r="H3398" t="s">
        <v>9788</v>
      </c>
      <c r="I3398" t="s">
        <v>7578</v>
      </c>
      <c r="J3398" t="s">
        <v>7578</v>
      </c>
    </row>
    <row r="3399" spans="1:10" x14ac:dyDescent="0.3">
      <c r="A3399" t="s">
        <v>7579</v>
      </c>
      <c r="B3399" t="s">
        <v>27618</v>
      </c>
      <c r="C3399" t="s">
        <v>20486</v>
      </c>
      <c r="D3399" t="s">
        <v>22</v>
      </c>
      <c r="E3399" t="s">
        <v>7580</v>
      </c>
      <c r="F3399">
        <v>34</v>
      </c>
      <c r="G3399" t="s">
        <v>109</v>
      </c>
      <c r="H3399" t="s">
        <v>9788</v>
      </c>
      <c r="I3399" t="s">
        <v>7581</v>
      </c>
      <c r="J3399" t="s">
        <v>7582</v>
      </c>
    </row>
    <row r="3400" spans="1:10" x14ac:dyDescent="0.3">
      <c r="A3400" t="s">
        <v>7583</v>
      </c>
      <c r="B3400" t="s">
        <v>27619</v>
      </c>
      <c r="C3400" t="s">
        <v>20491</v>
      </c>
      <c r="D3400" t="s">
        <v>22</v>
      </c>
      <c r="E3400" t="s">
        <v>7584</v>
      </c>
      <c r="F3400">
        <v>34</v>
      </c>
      <c r="G3400" t="s">
        <v>109</v>
      </c>
      <c r="H3400" t="s">
        <v>9788</v>
      </c>
      <c r="J3400" t="s">
        <v>7585</v>
      </c>
    </row>
    <row r="3401" spans="1:10" x14ac:dyDescent="0.3">
      <c r="A3401" t="s">
        <v>7586</v>
      </c>
      <c r="B3401" t="s">
        <v>27620</v>
      </c>
      <c r="C3401" t="s">
        <v>20488</v>
      </c>
      <c r="D3401" t="s">
        <v>11</v>
      </c>
      <c r="E3401" t="s">
        <v>7587</v>
      </c>
      <c r="F3401">
        <v>28</v>
      </c>
      <c r="G3401" t="s">
        <v>109</v>
      </c>
      <c r="H3401" t="s">
        <v>9788</v>
      </c>
      <c r="I3401" t="s">
        <v>350</v>
      </c>
      <c r="J3401" t="s">
        <v>350</v>
      </c>
    </row>
    <row r="3402" spans="1:10" x14ac:dyDescent="0.3">
      <c r="A3402" t="s">
        <v>7588</v>
      </c>
      <c r="B3402" t="s">
        <v>27621</v>
      </c>
      <c r="C3402" t="s">
        <v>20486</v>
      </c>
      <c r="D3402" t="s">
        <v>11</v>
      </c>
      <c r="E3402" t="s">
        <v>2730</v>
      </c>
      <c r="F3402">
        <v>50</v>
      </c>
    </row>
    <row r="3403" spans="1:10" x14ac:dyDescent="0.3">
      <c r="A3403" t="s">
        <v>7590</v>
      </c>
      <c r="B3403" t="s">
        <v>27622</v>
      </c>
      <c r="C3403" t="s">
        <v>20486</v>
      </c>
      <c r="D3403" t="s">
        <v>11</v>
      </c>
      <c r="E3403" t="s">
        <v>7591</v>
      </c>
      <c r="F3403">
        <v>41</v>
      </c>
      <c r="G3403" t="s">
        <v>133</v>
      </c>
      <c r="H3403" t="s">
        <v>9789</v>
      </c>
      <c r="I3403" t="s">
        <v>883</v>
      </c>
    </row>
    <row r="3404" spans="1:10" x14ac:dyDescent="0.3">
      <c r="A3404" t="s">
        <v>7592</v>
      </c>
      <c r="B3404" t="s">
        <v>27623</v>
      </c>
      <c r="C3404" t="s">
        <v>20486</v>
      </c>
      <c r="D3404" t="s">
        <v>22</v>
      </c>
      <c r="E3404" t="s">
        <v>2054</v>
      </c>
      <c r="F3404">
        <v>40</v>
      </c>
    </row>
    <row r="3405" spans="1:10" x14ac:dyDescent="0.3">
      <c r="A3405" t="s">
        <v>7593</v>
      </c>
      <c r="B3405" t="s">
        <v>27624</v>
      </c>
      <c r="C3405" t="s">
        <v>20489</v>
      </c>
      <c r="D3405" t="s">
        <v>11</v>
      </c>
      <c r="E3405" t="s">
        <v>3695</v>
      </c>
      <c r="F3405">
        <v>34</v>
      </c>
      <c r="G3405" t="s">
        <v>109</v>
      </c>
      <c r="H3405" t="s">
        <v>9788</v>
      </c>
      <c r="I3405" t="s">
        <v>110</v>
      </c>
      <c r="J3405" t="s">
        <v>7594</v>
      </c>
    </row>
    <row r="3406" spans="1:10" x14ac:dyDescent="0.3">
      <c r="A3406" t="s">
        <v>7595</v>
      </c>
      <c r="B3406" t="s">
        <v>27625</v>
      </c>
      <c r="C3406" t="s">
        <v>20487</v>
      </c>
      <c r="D3406" t="s">
        <v>11</v>
      </c>
      <c r="E3406" t="s">
        <v>1753</v>
      </c>
      <c r="F3406">
        <v>51</v>
      </c>
      <c r="G3406" t="s">
        <v>109</v>
      </c>
      <c r="H3406" t="s">
        <v>9788</v>
      </c>
      <c r="J3406" t="s">
        <v>7596</v>
      </c>
    </row>
    <row r="3407" spans="1:10" x14ac:dyDescent="0.3">
      <c r="A3407" t="s">
        <v>7597</v>
      </c>
      <c r="B3407" t="s">
        <v>27626</v>
      </c>
      <c r="C3407" t="s">
        <v>20486</v>
      </c>
      <c r="D3407" t="s">
        <v>22</v>
      </c>
      <c r="E3407" t="s">
        <v>2514</v>
      </c>
      <c r="F3407">
        <v>47</v>
      </c>
      <c r="G3407" t="s">
        <v>7598</v>
      </c>
      <c r="H3407" t="s">
        <v>9787</v>
      </c>
      <c r="I3407" t="s">
        <v>7599</v>
      </c>
    </row>
    <row r="3408" spans="1:10" x14ac:dyDescent="0.3">
      <c r="A3408" t="s">
        <v>7600</v>
      </c>
      <c r="B3408" t="s">
        <v>27627</v>
      </c>
      <c r="C3408" t="s">
        <v>20486</v>
      </c>
      <c r="D3408" t="s">
        <v>22</v>
      </c>
      <c r="E3408" t="s">
        <v>7601</v>
      </c>
      <c r="F3408">
        <v>67</v>
      </c>
      <c r="G3408" t="s">
        <v>13</v>
      </c>
      <c r="H3408" t="s">
        <v>13</v>
      </c>
    </row>
    <row r="3409" spans="1:10" x14ac:dyDescent="0.3">
      <c r="A3409" t="s">
        <v>7602</v>
      </c>
      <c r="B3409" t="s">
        <v>27628</v>
      </c>
      <c r="C3409" t="s">
        <v>20488</v>
      </c>
      <c r="D3409" t="s">
        <v>11</v>
      </c>
      <c r="E3409" t="s">
        <v>7178</v>
      </c>
      <c r="F3409">
        <v>49</v>
      </c>
      <c r="G3409" t="s">
        <v>109</v>
      </c>
      <c r="H3409" t="s">
        <v>9788</v>
      </c>
      <c r="I3409" t="s">
        <v>7603</v>
      </c>
      <c r="J3409" t="s">
        <v>7604</v>
      </c>
    </row>
    <row r="3410" spans="1:10" x14ac:dyDescent="0.3">
      <c r="A3410" t="s">
        <v>7605</v>
      </c>
      <c r="B3410" t="s">
        <v>27629</v>
      </c>
      <c r="C3410" t="s">
        <v>20486</v>
      </c>
      <c r="D3410" t="s">
        <v>22</v>
      </c>
      <c r="E3410" t="s">
        <v>7308</v>
      </c>
      <c r="F3410">
        <v>49</v>
      </c>
      <c r="G3410" t="s">
        <v>172</v>
      </c>
      <c r="H3410" t="s">
        <v>12099</v>
      </c>
    </row>
    <row r="3411" spans="1:10" x14ac:dyDescent="0.3">
      <c r="A3411" t="s">
        <v>7606</v>
      </c>
      <c r="B3411" t="s">
        <v>27630</v>
      </c>
      <c r="C3411" t="s">
        <v>20486</v>
      </c>
      <c r="D3411" t="s">
        <v>22</v>
      </c>
      <c r="E3411" t="s">
        <v>7607</v>
      </c>
      <c r="F3411">
        <v>29</v>
      </c>
      <c r="G3411" t="s">
        <v>109</v>
      </c>
      <c r="H3411" t="s">
        <v>9788</v>
      </c>
      <c r="I3411" t="s">
        <v>7608</v>
      </c>
      <c r="J3411" t="s">
        <v>7609</v>
      </c>
    </row>
    <row r="3412" spans="1:10" x14ac:dyDescent="0.3">
      <c r="A3412" t="s">
        <v>12499</v>
      </c>
      <c r="B3412" t="s">
        <v>27631</v>
      </c>
      <c r="C3412" t="s">
        <v>20486</v>
      </c>
      <c r="D3412" t="s">
        <v>22</v>
      </c>
      <c r="E3412" t="s">
        <v>9609</v>
      </c>
      <c r="F3412">
        <v>21</v>
      </c>
    </row>
    <row r="3413" spans="1:10" x14ac:dyDescent="0.3">
      <c r="A3413" t="s">
        <v>7610</v>
      </c>
      <c r="B3413" t="s">
        <v>27632</v>
      </c>
      <c r="C3413" t="s">
        <v>20487</v>
      </c>
      <c r="D3413" t="s">
        <v>11</v>
      </c>
      <c r="E3413" t="s">
        <v>7611</v>
      </c>
      <c r="F3413">
        <v>34</v>
      </c>
      <c r="G3413" t="s">
        <v>16</v>
      </c>
      <c r="H3413" t="s">
        <v>9785</v>
      </c>
      <c r="J3413" t="s">
        <v>7612</v>
      </c>
    </row>
    <row r="3414" spans="1:10" x14ac:dyDescent="0.3">
      <c r="A3414" t="s">
        <v>7613</v>
      </c>
      <c r="B3414" t="s">
        <v>27633</v>
      </c>
      <c r="C3414" t="s">
        <v>20491</v>
      </c>
      <c r="D3414" t="s">
        <v>22</v>
      </c>
      <c r="E3414" t="s">
        <v>6809</v>
      </c>
      <c r="F3414">
        <v>45</v>
      </c>
      <c r="G3414" t="s">
        <v>46</v>
      </c>
      <c r="H3414" t="s">
        <v>46</v>
      </c>
      <c r="I3414" t="s">
        <v>7614</v>
      </c>
    </row>
    <row r="3415" spans="1:10" x14ac:dyDescent="0.3">
      <c r="A3415" t="s">
        <v>7615</v>
      </c>
      <c r="B3415" t="s">
        <v>27634</v>
      </c>
      <c r="C3415" t="s">
        <v>20486</v>
      </c>
      <c r="D3415" t="s">
        <v>22</v>
      </c>
      <c r="E3415" t="s">
        <v>7616</v>
      </c>
      <c r="F3415">
        <v>56</v>
      </c>
      <c r="G3415" t="s">
        <v>31</v>
      </c>
      <c r="H3415" t="s">
        <v>31</v>
      </c>
    </row>
    <row r="3416" spans="1:10" x14ac:dyDescent="0.3">
      <c r="A3416" t="s">
        <v>7617</v>
      </c>
      <c r="B3416" t="s">
        <v>27635</v>
      </c>
      <c r="C3416" t="s">
        <v>20491</v>
      </c>
      <c r="D3416" t="s">
        <v>11</v>
      </c>
      <c r="E3416" t="s">
        <v>7618</v>
      </c>
      <c r="F3416">
        <v>55</v>
      </c>
      <c r="G3416" t="s">
        <v>16</v>
      </c>
      <c r="H3416" t="s">
        <v>9785</v>
      </c>
      <c r="I3416" t="s">
        <v>231</v>
      </c>
      <c r="J3416" t="s">
        <v>7619</v>
      </c>
    </row>
    <row r="3417" spans="1:10" x14ac:dyDescent="0.3">
      <c r="A3417" t="s">
        <v>7620</v>
      </c>
      <c r="B3417" t="s">
        <v>27636</v>
      </c>
      <c r="C3417" t="s">
        <v>20486</v>
      </c>
      <c r="D3417" t="s">
        <v>22</v>
      </c>
      <c r="E3417" t="s">
        <v>7621</v>
      </c>
      <c r="F3417">
        <v>42</v>
      </c>
      <c r="G3417" t="s">
        <v>109</v>
      </c>
      <c r="H3417" t="s">
        <v>9788</v>
      </c>
      <c r="I3417" t="s">
        <v>7315</v>
      </c>
      <c r="J3417" t="s">
        <v>7316</v>
      </c>
    </row>
    <row r="3418" spans="1:10" x14ac:dyDescent="0.3">
      <c r="A3418" t="s">
        <v>7622</v>
      </c>
      <c r="B3418" t="s">
        <v>27637</v>
      </c>
      <c r="C3418" t="s">
        <v>20486</v>
      </c>
      <c r="D3418" t="s">
        <v>11</v>
      </c>
      <c r="E3418" t="s">
        <v>425</v>
      </c>
      <c r="F3418">
        <v>67</v>
      </c>
      <c r="G3418" t="s">
        <v>13</v>
      </c>
      <c r="H3418" t="s">
        <v>13</v>
      </c>
    </row>
    <row r="3419" spans="1:10" x14ac:dyDescent="0.3">
      <c r="A3419" t="s">
        <v>7623</v>
      </c>
      <c r="B3419" t="s">
        <v>27638</v>
      </c>
      <c r="C3419" t="s">
        <v>20490</v>
      </c>
      <c r="D3419" t="s">
        <v>11</v>
      </c>
      <c r="E3419" t="s">
        <v>7624</v>
      </c>
      <c r="F3419">
        <v>46</v>
      </c>
      <c r="G3419" t="s">
        <v>109</v>
      </c>
      <c r="H3419" t="s">
        <v>9788</v>
      </c>
      <c r="I3419" t="s">
        <v>1534</v>
      </c>
      <c r="J3419" t="s">
        <v>7625</v>
      </c>
    </row>
    <row r="3420" spans="1:10" x14ac:dyDescent="0.3">
      <c r="A3420" t="s">
        <v>7626</v>
      </c>
      <c r="B3420" t="s">
        <v>27639</v>
      </c>
      <c r="C3420" t="s">
        <v>20486</v>
      </c>
      <c r="D3420" t="s">
        <v>11</v>
      </c>
      <c r="E3420" t="s">
        <v>7627</v>
      </c>
      <c r="F3420">
        <v>48</v>
      </c>
      <c r="G3420" t="s">
        <v>109</v>
      </c>
      <c r="H3420" t="s">
        <v>9788</v>
      </c>
      <c r="I3420" t="s">
        <v>224</v>
      </c>
      <c r="J3420" t="s">
        <v>7628</v>
      </c>
    </row>
    <row r="3421" spans="1:10" x14ac:dyDescent="0.3">
      <c r="A3421" t="s">
        <v>7629</v>
      </c>
      <c r="B3421" t="s">
        <v>27640</v>
      </c>
      <c r="C3421" t="s">
        <v>20490</v>
      </c>
      <c r="D3421" t="s">
        <v>22</v>
      </c>
      <c r="E3421" t="s">
        <v>7630</v>
      </c>
      <c r="F3421">
        <v>42</v>
      </c>
      <c r="G3421" t="s">
        <v>370</v>
      </c>
      <c r="H3421" t="s">
        <v>46</v>
      </c>
      <c r="I3421" t="s">
        <v>7631</v>
      </c>
    </row>
    <row r="3422" spans="1:10" x14ac:dyDescent="0.3">
      <c r="A3422" t="s">
        <v>7632</v>
      </c>
      <c r="B3422" t="s">
        <v>27641</v>
      </c>
      <c r="C3422" t="s">
        <v>20486</v>
      </c>
      <c r="D3422" t="s">
        <v>22</v>
      </c>
      <c r="E3422" t="s">
        <v>7633</v>
      </c>
      <c r="F3422">
        <v>32</v>
      </c>
      <c r="G3422" t="s">
        <v>16</v>
      </c>
      <c r="H3422" t="s">
        <v>9785</v>
      </c>
      <c r="I3422" t="s">
        <v>17</v>
      </c>
      <c r="J3422" t="s">
        <v>7634</v>
      </c>
    </row>
    <row r="3423" spans="1:10" x14ac:dyDescent="0.3">
      <c r="A3423" t="s">
        <v>7635</v>
      </c>
      <c r="B3423" t="s">
        <v>27642</v>
      </c>
      <c r="C3423" t="s">
        <v>20486</v>
      </c>
      <c r="D3423" t="s">
        <v>11</v>
      </c>
      <c r="E3423" t="s">
        <v>359</v>
      </c>
      <c r="F3423">
        <v>31</v>
      </c>
      <c r="G3423" t="s">
        <v>109</v>
      </c>
      <c r="H3423" t="s">
        <v>9788</v>
      </c>
      <c r="I3423" t="s">
        <v>228</v>
      </c>
      <c r="J3423" t="s">
        <v>7636</v>
      </c>
    </row>
    <row r="3424" spans="1:10" x14ac:dyDescent="0.3">
      <c r="A3424" t="s">
        <v>7637</v>
      </c>
      <c r="B3424" t="s">
        <v>27643</v>
      </c>
      <c r="C3424" t="s">
        <v>20491</v>
      </c>
      <c r="D3424" t="s">
        <v>11</v>
      </c>
      <c r="E3424" t="s">
        <v>7638</v>
      </c>
      <c r="F3424">
        <v>55</v>
      </c>
      <c r="G3424" t="s">
        <v>1525</v>
      </c>
      <c r="H3424" t="s">
        <v>9789</v>
      </c>
      <c r="I3424" t="s">
        <v>7639</v>
      </c>
    </row>
    <row r="3425" spans="1:10" x14ac:dyDescent="0.3">
      <c r="A3425" t="s">
        <v>7640</v>
      </c>
      <c r="B3425" t="s">
        <v>27644</v>
      </c>
      <c r="C3425" t="s">
        <v>20486</v>
      </c>
      <c r="D3425" t="s">
        <v>11</v>
      </c>
      <c r="E3425" t="s">
        <v>4528</v>
      </c>
      <c r="F3425">
        <v>68</v>
      </c>
      <c r="G3425" t="s">
        <v>46</v>
      </c>
      <c r="H3425" t="s">
        <v>46</v>
      </c>
    </row>
    <row r="3426" spans="1:10" x14ac:dyDescent="0.3">
      <c r="A3426" t="s">
        <v>7641</v>
      </c>
      <c r="B3426" t="s">
        <v>27645</v>
      </c>
      <c r="C3426" t="s">
        <v>20486</v>
      </c>
      <c r="D3426" t="s">
        <v>22</v>
      </c>
      <c r="E3426" t="s">
        <v>7642</v>
      </c>
      <c r="F3426">
        <v>83</v>
      </c>
      <c r="G3426" t="s">
        <v>13</v>
      </c>
      <c r="H3426" t="s">
        <v>13</v>
      </c>
    </row>
    <row r="3427" spans="1:10" x14ac:dyDescent="0.3">
      <c r="A3427" t="s">
        <v>7643</v>
      </c>
      <c r="B3427" t="s">
        <v>27646</v>
      </c>
      <c r="C3427" t="s">
        <v>20486</v>
      </c>
      <c r="D3427" t="s">
        <v>11</v>
      </c>
      <c r="E3427" t="s">
        <v>7644</v>
      </c>
      <c r="F3427">
        <v>77</v>
      </c>
      <c r="G3427" t="s">
        <v>13</v>
      </c>
      <c r="H3427" t="s">
        <v>13</v>
      </c>
    </row>
    <row r="3428" spans="1:10" x14ac:dyDescent="0.3">
      <c r="A3428" t="s">
        <v>7645</v>
      </c>
      <c r="B3428" t="s">
        <v>27647</v>
      </c>
      <c r="C3428" t="s">
        <v>20486</v>
      </c>
      <c r="D3428" t="s">
        <v>22</v>
      </c>
      <c r="E3428" t="s">
        <v>5251</v>
      </c>
      <c r="F3428">
        <v>56</v>
      </c>
      <c r="G3428" t="s">
        <v>31</v>
      </c>
      <c r="H3428" t="s">
        <v>31</v>
      </c>
    </row>
    <row r="3429" spans="1:10" x14ac:dyDescent="0.3">
      <c r="A3429" t="s">
        <v>7646</v>
      </c>
      <c r="B3429" t="s">
        <v>27648</v>
      </c>
      <c r="C3429" t="s">
        <v>20486</v>
      </c>
      <c r="D3429" t="s">
        <v>22</v>
      </c>
      <c r="E3429" t="s">
        <v>7647</v>
      </c>
      <c r="F3429">
        <v>63</v>
      </c>
      <c r="G3429" t="s">
        <v>172</v>
      </c>
      <c r="H3429" t="s">
        <v>12099</v>
      </c>
      <c r="I3429" t="s">
        <v>110</v>
      </c>
      <c r="J3429" t="s">
        <v>7648</v>
      </c>
    </row>
    <row r="3430" spans="1:10" x14ac:dyDescent="0.3">
      <c r="A3430" t="s">
        <v>7649</v>
      </c>
      <c r="B3430" t="s">
        <v>27649</v>
      </c>
      <c r="C3430" t="s">
        <v>20486</v>
      </c>
      <c r="D3430" t="s">
        <v>22</v>
      </c>
      <c r="E3430" t="s">
        <v>6776</v>
      </c>
      <c r="F3430">
        <v>46</v>
      </c>
      <c r="G3430" t="s">
        <v>31</v>
      </c>
      <c r="H3430" t="s">
        <v>31</v>
      </c>
    </row>
    <row r="3431" spans="1:10" x14ac:dyDescent="0.3">
      <c r="A3431" t="s">
        <v>7650</v>
      </c>
      <c r="B3431" t="s">
        <v>27650</v>
      </c>
      <c r="C3431" t="s">
        <v>20488</v>
      </c>
      <c r="D3431" t="s">
        <v>22</v>
      </c>
      <c r="E3431" t="s">
        <v>7651</v>
      </c>
      <c r="F3431">
        <v>37</v>
      </c>
      <c r="G3431" t="s">
        <v>31</v>
      </c>
      <c r="H3431" t="s">
        <v>31</v>
      </c>
    </row>
    <row r="3432" spans="1:10" x14ac:dyDescent="0.3">
      <c r="A3432" t="s">
        <v>7652</v>
      </c>
      <c r="B3432" t="s">
        <v>27651</v>
      </c>
      <c r="C3432" t="s">
        <v>20487</v>
      </c>
      <c r="D3432" t="s">
        <v>22</v>
      </c>
      <c r="E3432" t="s">
        <v>7653</v>
      </c>
      <c r="F3432">
        <v>47</v>
      </c>
      <c r="G3432" t="s">
        <v>31</v>
      </c>
      <c r="H3432" t="s">
        <v>31</v>
      </c>
    </row>
    <row r="3433" spans="1:10" x14ac:dyDescent="0.3">
      <c r="A3433" t="s">
        <v>7654</v>
      </c>
      <c r="B3433" t="s">
        <v>27652</v>
      </c>
      <c r="C3433" t="s">
        <v>20487</v>
      </c>
      <c r="D3433" t="s">
        <v>11</v>
      </c>
      <c r="E3433" t="s">
        <v>7655</v>
      </c>
      <c r="F3433">
        <v>62</v>
      </c>
      <c r="G3433" t="s">
        <v>46</v>
      </c>
      <c r="H3433" t="s">
        <v>46</v>
      </c>
    </row>
    <row r="3434" spans="1:10" x14ac:dyDescent="0.3">
      <c r="A3434" t="s">
        <v>7656</v>
      </c>
      <c r="B3434" t="s">
        <v>27653</v>
      </c>
      <c r="C3434" t="s">
        <v>20486</v>
      </c>
      <c r="D3434" t="s">
        <v>11</v>
      </c>
      <c r="E3434" t="s">
        <v>7658</v>
      </c>
      <c r="F3434">
        <v>31</v>
      </c>
      <c r="G3434" t="s">
        <v>337</v>
      </c>
      <c r="H3434" t="s">
        <v>9788</v>
      </c>
      <c r="I3434" t="s">
        <v>12500</v>
      </c>
      <c r="J3434" t="s">
        <v>12501</v>
      </c>
    </row>
    <row r="3435" spans="1:10" x14ac:dyDescent="0.3">
      <c r="A3435" t="s">
        <v>7659</v>
      </c>
      <c r="B3435" t="s">
        <v>27654</v>
      </c>
      <c r="C3435" t="s">
        <v>20491</v>
      </c>
      <c r="D3435" t="s">
        <v>11</v>
      </c>
      <c r="E3435" t="s">
        <v>7660</v>
      </c>
      <c r="F3435">
        <v>28</v>
      </c>
      <c r="G3435" t="s">
        <v>370</v>
      </c>
      <c r="H3435" t="s">
        <v>46</v>
      </c>
      <c r="I3435" t="s">
        <v>3929</v>
      </c>
    </row>
    <row r="3436" spans="1:10" x14ac:dyDescent="0.3">
      <c r="A3436" t="s">
        <v>7661</v>
      </c>
      <c r="B3436" t="s">
        <v>27655</v>
      </c>
      <c r="C3436" t="s">
        <v>20486</v>
      </c>
      <c r="D3436" t="s">
        <v>11</v>
      </c>
      <c r="E3436" t="s">
        <v>7662</v>
      </c>
      <c r="F3436">
        <v>32</v>
      </c>
      <c r="G3436" t="s">
        <v>109</v>
      </c>
      <c r="H3436" t="s">
        <v>9788</v>
      </c>
    </row>
    <row r="3437" spans="1:10" x14ac:dyDescent="0.3">
      <c r="A3437" t="s">
        <v>12502</v>
      </c>
      <c r="B3437" t="s">
        <v>27656</v>
      </c>
      <c r="C3437" t="s">
        <v>20487</v>
      </c>
      <c r="D3437" t="s">
        <v>22</v>
      </c>
      <c r="E3437" t="s">
        <v>2982</v>
      </c>
      <c r="F3437">
        <v>42</v>
      </c>
      <c r="G3437" t="s">
        <v>46</v>
      </c>
      <c r="H3437" t="s">
        <v>46</v>
      </c>
      <c r="I3437" t="s">
        <v>12497</v>
      </c>
      <c r="J3437" t="s">
        <v>12498</v>
      </c>
    </row>
    <row r="3438" spans="1:10" x14ac:dyDescent="0.3">
      <c r="A3438" t="s">
        <v>7663</v>
      </c>
      <c r="B3438" t="s">
        <v>27657</v>
      </c>
      <c r="C3438" t="s">
        <v>20486</v>
      </c>
      <c r="D3438" t="s">
        <v>22</v>
      </c>
      <c r="E3438" t="s">
        <v>7664</v>
      </c>
      <c r="F3438">
        <v>31</v>
      </c>
      <c r="G3438" t="s">
        <v>31</v>
      </c>
      <c r="H3438" t="s">
        <v>46</v>
      </c>
    </row>
    <row r="3439" spans="1:10" x14ac:dyDescent="0.3">
      <c r="A3439" t="s">
        <v>7665</v>
      </c>
      <c r="B3439" t="s">
        <v>27658</v>
      </c>
      <c r="C3439" t="s">
        <v>20487</v>
      </c>
      <c r="D3439" t="s">
        <v>11</v>
      </c>
      <c r="E3439" t="s">
        <v>688</v>
      </c>
      <c r="F3439">
        <v>55</v>
      </c>
      <c r="G3439" t="s">
        <v>46</v>
      </c>
      <c r="H3439" t="s">
        <v>46</v>
      </c>
      <c r="J3439" t="s">
        <v>7666</v>
      </c>
    </row>
    <row r="3440" spans="1:10" x14ac:dyDescent="0.3">
      <c r="A3440" t="s">
        <v>7667</v>
      </c>
      <c r="B3440" t="s">
        <v>27659</v>
      </c>
      <c r="C3440" t="s">
        <v>20486</v>
      </c>
      <c r="D3440" t="s">
        <v>11</v>
      </c>
      <c r="E3440" t="s">
        <v>3695</v>
      </c>
      <c r="F3440">
        <v>34</v>
      </c>
      <c r="G3440" t="s">
        <v>109</v>
      </c>
      <c r="H3440" t="s">
        <v>9788</v>
      </c>
      <c r="I3440" t="s">
        <v>4468</v>
      </c>
      <c r="J3440" t="s">
        <v>7668</v>
      </c>
    </row>
    <row r="3441" spans="1:10" x14ac:dyDescent="0.3">
      <c r="A3441" t="s">
        <v>12503</v>
      </c>
      <c r="B3441" t="s">
        <v>27660</v>
      </c>
      <c r="C3441" t="s">
        <v>20486</v>
      </c>
      <c r="D3441" t="s">
        <v>22</v>
      </c>
      <c r="E3441" t="s">
        <v>9607</v>
      </c>
      <c r="F3441">
        <v>28</v>
      </c>
      <c r="G3441" t="s">
        <v>337</v>
      </c>
      <c r="H3441" t="s">
        <v>337</v>
      </c>
    </row>
    <row r="3442" spans="1:10" x14ac:dyDescent="0.3">
      <c r="A3442" t="s">
        <v>7669</v>
      </c>
      <c r="B3442" t="s">
        <v>27661</v>
      </c>
      <c r="C3442" t="s">
        <v>20486</v>
      </c>
      <c r="D3442" t="s">
        <v>11</v>
      </c>
      <c r="E3442" t="s">
        <v>7670</v>
      </c>
      <c r="F3442">
        <v>39</v>
      </c>
      <c r="G3442" t="s">
        <v>172</v>
      </c>
      <c r="H3442" t="s">
        <v>12099</v>
      </c>
      <c r="J3442" t="s">
        <v>7671</v>
      </c>
    </row>
    <row r="3443" spans="1:10" x14ac:dyDescent="0.3">
      <c r="A3443" t="s">
        <v>7672</v>
      </c>
      <c r="B3443" t="s">
        <v>27662</v>
      </c>
      <c r="C3443" t="s">
        <v>20486</v>
      </c>
      <c r="D3443" t="s">
        <v>22</v>
      </c>
      <c r="E3443" t="s">
        <v>5869</v>
      </c>
      <c r="F3443">
        <v>31</v>
      </c>
    </row>
    <row r="3444" spans="1:10" x14ac:dyDescent="0.3">
      <c r="A3444" t="s">
        <v>7673</v>
      </c>
      <c r="B3444" t="s">
        <v>27663</v>
      </c>
      <c r="C3444" t="s">
        <v>20491</v>
      </c>
      <c r="D3444" t="s">
        <v>22</v>
      </c>
      <c r="E3444" t="s">
        <v>7674</v>
      </c>
      <c r="F3444">
        <v>44</v>
      </c>
      <c r="G3444" t="s">
        <v>46</v>
      </c>
      <c r="H3444" t="s">
        <v>46</v>
      </c>
      <c r="I3444" t="s">
        <v>4695</v>
      </c>
    </row>
    <row r="3445" spans="1:10" x14ac:dyDescent="0.3">
      <c r="A3445" t="s">
        <v>7675</v>
      </c>
      <c r="B3445" t="s">
        <v>27664</v>
      </c>
      <c r="C3445" t="s">
        <v>20486</v>
      </c>
      <c r="D3445" t="s">
        <v>11</v>
      </c>
      <c r="E3445" t="s">
        <v>7676</v>
      </c>
      <c r="F3445">
        <v>60</v>
      </c>
      <c r="G3445" t="s">
        <v>169</v>
      </c>
      <c r="H3445" t="s">
        <v>9789</v>
      </c>
    </row>
    <row r="3446" spans="1:10" x14ac:dyDescent="0.3">
      <c r="A3446" t="s">
        <v>7677</v>
      </c>
      <c r="B3446" t="s">
        <v>27665</v>
      </c>
      <c r="C3446" t="s">
        <v>20486</v>
      </c>
      <c r="D3446" t="s">
        <v>22</v>
      </c>
      <c r="E3446" t="s">
        <v>1606</v>
      </c>
      <c r="F3446">
        <v>58</v>
      </c>
      <c r="G3446" t="s">
        <v>109</v>
      </c>
      <c r="H3446" t="s">
        <v>9788</v>
      </c>
    </row>
    <row r="3447" spans="1:10" x14ac:dyDescent="0.3">
      <c r="A3447" t="s">
        <v>7678</v>
      </c>
      <c r="B3447" t="s">
        <v>27666</v>
      </c>
      <c r="C3447" t="s">
        <v>20486</v>
      </c>
      <c r="D3447" t="s">
        <v>22</v>
      </c>
      <c r="E3447" t="s">
        <v>7679</v>
      </c>
      <c r="F3447">
        <v>24</v>
      </c>
      <c r="G3447" t="s">
        <v>109</v>
      </c>
      <c r="H3447" t="s">
        <v>9788</v>
      </c>
      <c r="I3447" t="s">
        <v>3000</v>
      </c>
      <c r="J3447" t="s">
        <v>12504</v>
      </c>
    </row>
    <row r="3448" spans="1:10" x14ac:dyDescent="0.3">
      <c r="A3448" t="s">
        <v>7680</v>
      </c>
      <c r="B3448" t="s">
        <v>27667</v>
      </c>
      <c r="C3448" t="s">
        <v>20486</v>
      </c>
      <c r="D3448" t="s">
        <v>11</v>
      </c>
      <c r="E3448" t="s">
        <v>7681</v>
      </c>
      <c r="F3448">
        <v>26</v>
      </c>
      <c r="G3448" t="s">
        <v>109</v>
      </c>
      <c r="H3448" t="s">
        <v>9788</v>
      </c>
      <c r="I3448" t="s">
        <v>12505</v>
      </c>
      <c r="J3448" t="s">
        <v>12506</v>
      </c>
    </row>
    <row r="3449" spans="1:10" x14ac:dyDescent="0.3">
      <c r="A3449" t="s">
        <v>7682</v>
      </c>
      <c r="B3449" t="s">
        <v>27668</v>
      </c>
      <c r="C3449" t="s">
        <v>20486</v>
      </c>
      <c r="D3449" t="s">
        <v>11</v>
      </c>
      <c r="E3449" t="s">
        <v>7683</v>
      </c>
      <c r="F3449">
        <v>33</v>
      </c>
    </row>
    <row r="3450" spans="1:10" x14ac:dyDescent="0.3">
      <c r="A3450" t="s">
        <v>7684</v>
      </c>
      <c r="B3450" t="s">
        <v>27669</v>
      </c>
      <c r="C3450" t="s">
        <v>20486</v>
      </c>
      <c r="D3450" t="s">
        <v>22</v>
      </c>
      <c r="E3450" t="s">
        <v>7685</v>
      </c>
      <c r="F3450">
        <v>47</v>
      </c>
      <c r="G3450" t="s">
        <v>370</v>
      </c>
      <c r="H3450" t="s">
        <v>46</v>
      </c>
      <c r="I3450" t="s">
        <v>4461</v>
      </c>
    </row>
    <row r="3451" spans="1:10" x14ac:dyDescent="0.3">
      <c r="A3451" t="s">
        <v>7686</v>
      </c>
      <c r="B3451" t="s">
        <v>27670</v>
      </c>
      <c r="C3451" t="s">
        <v>20490</v>
      </c>
      <c r="D3451" t="s">
        <v>22</v>
      </c>
      <c r="E3451" t="s">
        <v>7687</v>
      </c>
      <c r="F3451">
        <v>33</v>
      </c>
      <c r="G3451" t="s">
        <v>109</v>
      </c>
      <c r="H3451" t="s">
        <v>9788</v>
      </c>
      <c r="J3451" t="s">
        <v>7688</v>
      </c>
    </row>
    <row r="3452" spans="1:10" x14ac:dyDescent="0.3">
      <c r="A3452" t="s">
        <v>7689</v>
      </c>
      <c r="B3452" t="s">
        <v>27671</v>
      </c>
      <c r="C3452" t="s">
        <v>20487</v>
      </c>
      <c r="D3452" t="s">
        <v>22</v>
      </c>
      <c r="E3452" t="s">
        <v>7690</v>
      </c>
      <c r="F3452">
        <v>54</v>
      </c>
      <c r="G3452" t="s">
        <v>46</v>
      </c>
      <c r="H3452" t="s">
        <v>46</v>
      </c>
    </row>
    <row r="3453" spans="1:10" x14ac:dyDescent="0.3">
      <c r="A3453" t="s">
        <v>7691</v>
      </c>
      <c r="B3453" t="s">
        <v>27672</v>
      </c>
      <c r="C3453" t="s">
        <v>20486</v>
      </c>
      <c r="D3453" t="s">
        <v>11</v>
      </c>
      <c r="E3453" t="s">
        <v>7692</v>
      </c>
      <c r="F3453">
        <v>32</v>
      </c>
      <c r="G3453" t="s">
        <v>46</v>
      </c>
      <c r="H3453" t="s">
        <v>46</v>
      </c>
    </row>
    <row r="3454" spans="1:10" x14ac:dyDescent="0.3">
      <c r="A3454" t="s">
        <v>7693</v>
      </c>
      <c r="B3454" t="s">
        <v>27673</v>
      </c>
      <c r="C3454" t="s">
        <v>20490</v>
      </c>
      <c r="D3454" t="s">
        <v>22</v>
      </c>
      <c r="E3454" t="s">
        <v>7694</v>
      </c>
      <c r="F3454">
        <v>49</v>
      </c>
      <c r="G3454" t="s">
        <v>31</v>
      </c>
      <c r="H3454" t="s">
        <v>31</v>
      </c>
    </row>
    <row r="3455" spans="1:10" x14ac:dyDescent="0.3">
      <c r="A3455" t="s">
        <v>7695</v>
      </c>
      <c r="B3455" t="s">
        <v>27674</v>
      </c>
      <c r="C3455" t="s">
        <v>20486</v>
      </c>
      <c r="D3455" t="s">
        <v>22</v>
      </c>
      <c r="E3455" t="s">
        <v>7696</v>
      </c>
      <c r="F3455">
        <v>38</v>
      </c>
    </row>
    <row r="3456" spans="1:10" x14ac:dyDescent="0.3">
      <c r="A3456" t="s">
        <v>7697</v>
      </c>
      <c r="B3456" t="s">
        <v>27675</v>
      </c>
      <c r="C3456" t="s">
        <v>20486</v>
      </c>
      <c r="D3456" t="s">
        <v>22</v>
      </c>
      <c r="E3456" t="s">
        <v>7698</v>
      </c>
      <c r="F3456">
        <v>46</v>
      </c>
      <c r="G3456" t="s">
        <v>46</v>
      </c>
      <c r="H3456" t="s">
        <v>46</v>
      </c>
      <c r="I3456" t="s">
        <v>228</v>
      </c>
      <c r="J3456" t="s">
        <v>7699</v>
      </c>
    </row>
    <row r="3457" spans="1:10" x14ac:dyDescent="0.3">
      <c r="A3457" t="s">
        <v>7700</v>
      </c>
      <c r="B3457" t="s">
        <v>27676</v>
      </c>
      <c r="C3457" t="s">
        <v>20486</v>
      </c>
      <c r="D3457" t="s">
        <v>11</v>
      </c>
      <c r="E3457" t="s">
        <v>7701</v>
      </c>
      <c r="F3457">
        <v>62</v>
      </c>
      <c r="G3457" t="s">
        <v>16</v>
      </c>
      <c r="H3457" t="s">
        <v>9785</v>
      </c>
      <c r="I3457" t="s">
        <v>17</v>
      </c>
    </row>
    <row r="3458" spans="1:10" x14ac:dyDescent="0.3">
      <c r="A3458" t="s">
        <v>7702</v>
      </c>
      <c r="B3458" t="s">
        <v>27677</v>
      </c>
      <c r="C3458" t="s">
        <v>20486</v>
      </c>
      <c r="D3458" t="s">
        <v>11</v>
      </c>
      <c r="E3458" t="s">
        <v>7703</v>
      </c>
      <c r="F3458">
        <v>70</v>
      </c>
    </row>
    <row r="3459" spans="1:10" x14ac:dyDescent="0.3">
      <c r="A3459" t="s">
        <v>12507</v>
      </c>
      <c r="B3459" t="s">
        <v>27678</v>
      </c>
      <c r="C3459" t="s">
        <v>20486</v>
      </c>
      <c r="D3459" t="s">
        <v>11</v>
      </c>
      <c r="E3459" t="s">
        <v>9606</v>
      </c>
      <c r="F3459">
        <v>18</v>
      </c>
      <c r="G3459" t="s">
        <v>337</v>
      </c>
      <c r="H3459" t="s">
        <v>337</v>
      </c>
    </row>
    <row r="3460" spans="1:10" x14ac:dyDescent="0.3">
      <c r="A3460" t="s">
        <v>7704</v>
      </c>
      <c r="B3460" t="s">
        <v>27679</v>
      </c>
      <c r="C3460" t="s">
        <v>20486</v>
      </c>
      <c r="D3460" t="s">
        <v>11</v>
      </c>
      <c r="E3460" t="s">
        <v>2922</v>
      </c>
      <c r="F3460">
        <v>43</v>
      </c>
    </row>
    <row r="3461" spans="1:10" x14ac:dyDescent="0.3">
      <c r="A3461" t="s">
        <v>7705</v>
      </c>
      <c r="B3461" t="s">
        <v>27680</v>
      </c>
      <c r="C3461" t="s">
        <v>20486</v>
      </c>
      <c r="D3461" t="s">
        <v>22</v>
      </c>
      <c r="E3461" t="s">
        <v>7706</v>
      </c>
      <c r="F3461">
        <v>41</v>
      </c>
      <c r="G3461" t="s">
        <v>46</v>
      </c>
      <c r="H3461" t="s">
        <v>46</v>
      </c>
      <c r="I3461" t="s">
        <v>1190</v>
      </c>
    </row>
    <row r="3462" spans="1:10" x14ac:dyDescent="0.3">
      <c r="A3462" t="s">
        <v>7707</v>
      </c>
      <c r="B3462" t="s">
        <v>27681</v>
      </c>
      <c r="C3462" t="s">
        <v>20486</v>
      </c>
      <c r="D3462" t="s">
        <v>22</v>
      </c>
      <c r="E3462" t="s">
        <v>1134</v>
      </c>
      <c r="F3462">
        <v>57</v>
      </c>
      <c r="G3462" t="s">
        <v>155</v>
      </c>
      <c r="H3462" t="s">
        <v>9791</v>
      </c>
    </row>
    <row r="3463" spans="1:10" x14ac:dyDescent="0.3">
      <c r="A3463" t="s">
        <v>7708</v>
      </c>
      <c r="B3463" t="s">
        <v>27682</v>
      </c>
      <c r="C3463" t="s">
        <v>20486</v>
      </c>
      <c r="D3463" t="s">
        <v>22</v>
      </c>
      <c r="E3463" t="s">
        <v>7709</v>
      </c>
      <c r="F3463">
        <v>28</v>
      </c>
      <c r="G3463" t="s">
        <v>46</v>
      </c>
      <c r="H3463" t="s">
        <v>46</v>
      </c>
      <c r="I3463" t="s">
        <v>228</v>
      </c>
      <c r="J3463" t="s">
        <v>7710</v>
      </c>
    </row>
    <row r="3464" spans="1:10" x14ac:dyDescent="0.3">
      <c r="A3464" t="s">
        <v>7711</v>
      </c>
      <c r="B3464" t="s">
        <v>27683</v>
      </c>
      <c r="C3464" t="s">
        <v>20486</v>
      </c>
      <c r="D3464" t="s">
        <v>22</v>
      </c>
      <c r="E3464" t="s">
        <v>7712</v>
      </c>
      <c r="F3464">
        <v>72</v>
      </c>
      <c r="G3464" t="s">
        <v>31</v>
      </c>
      <c r="H3464" t="s">
        <v>31</v>
      </c>
    </row>
    <row r="3465" spans="1:10" x14ac:dyDescent="0.3">
      <c r="A3465" t="s">
        <v>7713</v>
      </c>
      <c r="B3465" t="s">
        <v>27684</v>
      </c>
      <c r="C3465" t="s">
        <v>20486</v>
      </c>
      <c r="D3465" t="s">
        <v>22</v>
      </c>
      <c r="E3465" t="s">
        <v>6569</v>
      </c>
      <c r="F3465">
        <v>32</v>
      </c>
      <c r="G3465" t="s">
        <v>31</v>
      </c>
      <c r="H3465" t="s">
        <v>31</v>
      </c>
    </row>
    <row r="3466" spans="1:10" x14ac:dyDescent="0.3">
      <c r="A3466" t="s">
        <v>7714</v>
      </c>
      <c r="B3466" t="s">
        <v>27685</v>
      </c>
      <c r="C3466" t="s">
        <v>20486</v>
      </c>
      <c r="D3466" t="s">
        <v>22</v>
      </c>
      <c r="E3466" t="s">
        <v>7715</v>
      </c>
      <c r="F3466">
        <v>43</v>
      </c>
      <c r="G3466" t="s">
        <v>31</v>
      </c>
      <c r="H3466" t="s">
        <v>31</v>
      </c>
    </row>
    <row r="3467" spans="1:10" x14ac:dyDescent="0.3">
      <c r="A3467" t="s">
        <v>7716</v>
      </c>
      <c r="B3467" t="s">
        <v>27686</v>
      </c>
      <c r="C3467" t="s">
        <v>20486</v>
      </c>
      <c r="D3467" t="s">
        <v>22</v>
      </c>
      <c r="E3467" t="s">
        <v>7717</v>
      </c>
      <c r="F3467">
        <v>49</v>
      </c>
      <c r="G3467" t="s">
        <v>46</v>
      </c>
      <c r="H3467" t="s">
        <v>9788</v>
      </c>
      <c r="I3467" t="s">
        <v>139</v>
      </c>
      <c r="J3467" t="s">
        <v>7718</v>
      </c>
    </row>
    <row r="3468" spans="1:10" x14ac:dyDescent="0.3">
      <c r="A3468" t="s">
        <v>7719</v>
      </c>
      <c r="B3468" t="s">
        <v>27687</v>
      </c>
      <c r="C3468" t="s">
        <v>20486</v>
      </c>
      <c r="D3468" t="s">
        <v>22</v>
      </c>
      <c r="E3468" t="s">
        <v>7720</v>
      </c>
      <c r="F3468">
        <v>41</v>
      </c>
      <c r="G3468" t="s">
        <v>109</v>
      </c>
      <c r="H3468" t="s">
        <v>9788</v>
      </c>
      <c r="I3468" t="s">
        <v>7581</v>
      </c>
      <c r="J3468" t="s">
        <v>7316</v>
      </c>
    </row>
    <row r="3469" spans="1:10" x14ac:dyDescent="0.3">
      <c r="A3469" t="s">
        <v>7721</v>
      </c>
      <c r="B3469" t="s">
        <v>27688</v>
      </c>
      <c r="C3469" t="s">
        <v>20486</v>
      </c>
      <c r="D3469" t="s">
        <v>22</v>
      </c>
      <c r="E3469" t="s">
        <v>7722</v>
      </c>
      <c r="F3469">
        <v>49</v>
      </c>
    </row>
    <row r="3470" spans="1:10" x14ac:dyDescent="0.3">
      <c r="A3470" t="s">
        <v>7723</v>
      </c>
      <c r="B3470" t="s">
        <v>27689</v>
      </c>
      <c r="C3470" t="s">
        <v>20486</v>
      </c>
      <c r="D3470" t="s">
        <v>22</v>
      </c>
      <c r="E3470" t="s">
        <v>7724</v>
      </c>
      <c r="F3470">
        <v>46</v>
      </c>
      <c r="G3470" t="s">
        <v>31</v>
      </c>
      <c r="H3470" t="s">
        <v>31</v>
      </c>
    </row>
    <row r="3471" spans="1:10" x14ac:dyDescent="0.3">
      <c r="A3471" t="s">
        <v>7725</v>
      </c>
      <c r="B3471" t="s">
        <v>27690</v>
      </c>
      <c r="C3471" t="s">
        <v>20486</v>
      </c>
      <c r="D3471" t="s">
        <v>11</v>
      </c>
      <c r="E3471" t="s">
        <v>7726</v>
      </c>
      <c r="F3471">
        <v>55</v>
      </c>
      <c r="G3471" t="s">
        <v>46</v>
      </c>
      <c r="H3471" t="s">
        <v>46</v>
      </c>
      <c r="I3471" t="s">
        <v>228</v>
      </c>
    </row>
    <row r="3472" spans="1:10" x14ac:dyDescent="0.3">
      <c r="A3472" t="s">
        <v>7727</v>
      </c>
      <c r="B3472" t="s">
        <v>27691</v>
      </c>
      <c r="C3472" t="s">
        <v>20486</v>
      </c>
      <c r="D3472" t="s">
        <v>22</v>
      </c>
      <c r="E3472" t="s">
        <v>7728</v>
      </c>
      <c r="F3472">
        <v>52</v>
      </c>
      <c r="G3472" t="s">
        <v>31</v>
      </c>
      <c r="H3472" t="s">
        <v>31</v>
      </c>
    </row>
    <row r="3473" spans="1:10" x14ac:dyDescent="0.3">
      <c r="A3473" t="s">
        <v>7729</v>
      </c>
      <c r="B3473" t="s">
        <v>27692</v>
      </c>
      <c r="C3473" t="s">
        <v>20488</v>
      </c>
      <c r="D3473" t="s">
        <v>22</v>
      </c>
      <c r="E3473" t="s">
        <v>7730</v>
      </c>
      <c r="F3473">
        <v>49</v>
      </c>
      <c r="G3473" t="s">
        <v>31</v>
      </c>
      <c r="H3473" t="s">
        <v>31</v>
      </c>
    </row>
    <row r="3474" spans="1:10" x14ac:dyDescent="0.3">
      <c r="A3474" t="s">
        <v>7731</v>
      </c>
      <c r="B3474" t="s">
        <v>27693</v>
      </c>
      <c r="C3474" t="s">
        <v>20486</v>
      </c>
      <c r="D3474" t="s">
        <v>11</v>
      </c>
      <c r="E3474" t="s">
        <v>7732</v>
      </c>
      <c r="F3474">
        <v>64</v>
      </c>
    </row>
    <row r="3475" spans="1:10" x14ac:dyDescent="0.3">
      <c r="A3475" t="s">
        <v>7733</v>
      </c>
      <c r="B3475" t="s">
        <v>27694</v>
      </c>
      <c r="C3475" t="s">
        <v>20486</v>
      </c>
      <c r="D3475" t="s">
        <v>22</v>
      </c>
      <c r="E3475" t="s">
        <v>7734</v>
      </c>
      <c r="F3475">
        <v>45</v>
      </c>
      <c r="G3475" t="s">
        <v>172</v>
      </c>
      <c r="H3475" t="s">
        <v>12099</v>
      </c>
      <c r="I3475" t="s">
        <v>17</v>
      </c>
      <c r="J3475" t="s">
        <v>7735</v>
      </c>
    </row>
    <row r="3476" spans="1:10" x14ac:dyDescent="0.3">
      <c r="A3476" t="s">
        <v>7736</v>
      </c>
      <c r="B3476" t="s">
        <v>27695</v>
      </c>
      <c r="C3476" t="s">
        <v>20486</v>
      </c>
      <c r="D3476" t="s">
        <v>22</v>
      </c>
      <c r="E3476" t="s">
        <v>7737</v>
      </c>
      <c r="F3476">
        <v>42</v>
      </c>
      <c r="G3476" t="s">
        <v>109</v>
      </c>
      <c r="H3476" t="s">
        <v>9788</v>
      </c>
    </row>
    <row r="3477" spans="1:10" x14ac:dyDescent="0.3">
      <c r="A3477" t="s">
        <v>7738</v>
      </c>
      <c r="B3477" t="s">
        <v>27696</v>
      </c>
      <c r="C3477" t="s">
        <v>20486</v>
      </c>
      <c r="D3477" t="s">
        <v>11</v>
      </c>
      <c r="E3477" t="s">
        <v>7739</v>
      </c>
      <c r="F3477">
        <v>48</v>
      </c>
      <c r="G3477" t="s">
        <v>109</v>
      </c>
      <c r="H3477" t="s">
        <v>9788</v>
      </c>
      <c r="I3477" t="s">
        <v>1678</v>
      </c>
      <c r="J3477" t="s">
        <v>1426</v>
      </c>
    </row>
    <row r="3478" spans="1:10" x14ac:dyDescent="0.3">
      <c r="A3478" t="s">
        <v>7740</v>
      </c>
      <c r="B3478" t="s">
        <v>27697</v>
      </c>
      <c r="C3478" t="s">
        <v>20486</v>
      </c>
      <c r="D3478" t="s">
        <v>22</v>
      </c>
      <c r="E3478" t="s">
        <v>7741</v>
      </c>
      <c r="F3478">
        <v>38</v>
      </c>
      <c r="G3478" t="s">
        <v>31</v>
      </c>
      <c r="H3478" t="s">
        <v>31</v>
      </c>
    </row>
    <row r="3479" spans="1:10" x14ac:dyDescent="0.3">
      <c r="A3479" t="s">
        <v>7742</v>
      </c>
      <c r="B3479" t="s">
        <v>27698</v>
      </c>
      <c r="C3479" t="s">
        <v>20487</v>
      </c>
      <c r="D3479" t="s">
        <v>11</v>
      </c>
      <c r="E3479" t="s">
        <v>7743</v>
      </c>
      <c r="F3479">
        <v>68</v>
      </c>
      <c r="G3479" t="s">
        <v>172</v>
      </c>
      <c r="H3479" t="s">
        <v>12099</v>
      </c>
      <c r="J3479" t="s">
        <v>7744</v>
      </c>
    </row>
    <row r="3480" spans="1:10" x14ac:dyDescent="0.3">
      <c r="A3480" t="s">
        <v>7745</v>
      </c>
      <c r="B3480" t="s">
        <v>27699</v>
      </c>
      <c r="C3480" t="s">
        <v>20486</v>
      </c>
      <c r="D3480" t="s">
        <v>11</v>
      </c>
      <c r="E3480" t="s">
        <v>7746</v>
      </c>
      <c r="F3480">
        <v>83</v>
      </c>
      <c r="G3480" t="s">
        <v>13</v>
      </c>
      <c r="H3480" t="s">
        <v>13</v>
      </c>
      <c r="I3480" t="s">
        <v>7747</v>
      </c>
      <c r="J3480" t="s">
        <v>7748</v>
      </c>
    </row>
    <row r="3481" spans="1:10" x14ac:dyDescent="0.3">
      <c r="A3481" t="s">
        <v>7750</v>
      </c>
      <c r="B3481" t="s">
        <v>27700</v>
      </c>
      <c r="C3481" t="s">
        <v>20486</v>
      </c>
      <c r="D3481" t="s">
        <v>11</v>
      </c>
      <c r="E3481" t="s">
        <v>7751</v>
      </c>
      <c r="F3481">
        <v>38</v>
      </c>
      <c r="G3481" t="s">
        <v>1130</v>
      </c>
      <c r="H3481" t="s">
        <v>9789</v>
      </c>
      <c r="I3481" t="s">
        <v>1526</v>
      </c>
    </row>
    <row r="3482" spans="1:10" x14ac:dyDescent="0.3">
      <c r="A3482" t="s">
        <v>7752</v>
      </c>
      <c r="B3482" t="s">
        <v>27701</v>
      </c>
      <c r="C3482" t="s">
        <v>20487</v>
      </c>
      <c r="D3482" t="s">
        <v>22</v>
      </c>
      <c r="E3482" t="s">
        <v>4475</v>
      </c>
      <c r="F3482">
        <v>49</v>
      </c>
    </row>
    <row r="3483" spans="1:10" x14ac:dyDescent="0.3">
      <c r="A3483" t="s">
        <v>7753</v>
      </c>
      <c r="B3483" t="s">
        <v>27702</v>
      </c>
      <c r="C3483" t="s">
        <v>20490</v>
      </c>
      <c r="D3483" t="s">
        <v>22</v>
      </c>
      <c r="E3483" t="s">
        <v>1613</v>
      </c>
      <c r="F3483">
        <v>42</v>
      </c>
      <c r="G3483" t="s">
        <v>31</v>
      </c>
      <c r="H3483" t="s">
        <v>31</v>
      </c>
    </row>
    <row r="3484" spans="1:10" x14ac:dyDescent="0.3">
      <c r="A3484" t="s">
        <v>7754</v>
      </c>
      <c r="B3484" t="s">
        <v>27703</v>
      </c>
      <c r="C3484" t="s">
        <v>20488</v>
      </c>
      <c r="D3484" t="s">
        <v>22</v>
      </c>
      <c r="E3484" t="s">
        <v>4756</v>
      </c>
      <c r="F3484">
        <v>60</v>
      </c>
      <c r="G3484" t="s">
        <v>16</v>
      </c>
      <c r="H3484" t="s">
        <v>9785</v>
      </c>
      <c r="I3484" t="s">
        <v>449</v>
      </c>
      <c r="J3484" t="s">
        <v>7755</v>
      </c>
    </row>
    <row r="3485" spans="1:10" x14ac:dyDescent="0.3">
      <c r="A3485" t="s">
        <v>12508</v>
      </c>
      <c r="B3485" t="s">
        <v>27704</v>
      </c>
      <c r="C3485" t="s">
        <v>20486</v>
      </c>
      <c r="D3485" t="s">
        <v>11</v>
      </c>
      <c r="E3485" t="s">
        <v>12509</v>
      </c>
      <c r="F3485">
        <v>24</v>
      </c>
      <c r="G3485" t="s">
        <v>243</v>
      </c>
      <c r="H3485" t="s">
        <v>243</v>
      </c>
    </row>
    <row r="3486" spans="1:10" x14ac:dyDescent="0.3">
      <c r="A3486" t="s">
        <v>7756</v>
      </c>
      <c r="B3486" t="s">
        <v>27705</v>
      </c>
      <c r="C3486" t="s">
        <v>20486</v>
      </c>
      <c r="D3486" t="s">
        <v>11</v>
      </c>
      <c r="E3486" t="s">
        <v>7757</v>
      </c>
      <c r="F3486">
        <v>48</v>
      </c>
      <c r="G3486" t="s">
        <v>243</v>
      </c>
      <c r="H3486" t="s">
        <v>243</v>
      </c>
    </row>
    <row r="3487" spans="1:10" x14ac:dyDescent="0.3">
      <c r="A3487" t="s">
        <v>7758</v>
      </c>
      <c r="B3487" t="s">
        <v>27706</v>
      </c>
      <c r="C3487" t="s">
        <v>20490</v>
      </c>
      <c r="D3487" t="s">
        <v>11</v>
      </c>
      <c r="E3487" t="s">
        <v>3289</v>
      </c>
      <c r="F3487">
        <v>46</v>
      </c>
      <c r="G3487" t="s">
        <v>109</v>
      </c>
      <c r="H3487" t="s">
        <v>9788</v>
      </c>
    </row>
    <row r="3488" spans="1:10" x14ac:dyDescent="0.3">
      <c r="A3488" t="s">
        <v>12510</v>
      </c>
      <c r="B3488" t="s">
        <v>27707</v>
      </c>
      <c r="C3488" t="s">
        <v>20491</v>
      </c>
      <c r="D3488" t="s">
        <v>22</v>
      </c>
      <c r="E3488" t="s">
        <v>12511</v>
      </c>
      <c r="F3488">
        <v>36</v>
      </c>
      <c r="G3488" t="s">
        <v>46</v>
      </c>
      <c r="H3488" t="s">
        <v>46</v>
      </c>
      <c r="I3488" t="s">
        <v>12512</v>
      </c>
      <c r="J3488" t="s">
        <v>12512</v>
      </c>
    </row>
    <row r="3489" spans="1:10" x14ac:dyDescent="0.3">
      <c r="A3489" t="s">
        <v>7760</v>
      </c>
      <c r="B3489" t="s">
        <v>27708</v>
      </c>
      <c r="C3489" t="s">
        <v>20486</v>
      </c>
      <c r="D3489" t="s">
        <v>22</v>
      </c>
      <c r="E3489" t="s">
        <v>7761</v>
      </c>
      <c r="F3489">
        <v>56</v>
      </c>
      <c r="G3489" t="s">
        <v>172</v>
      </c>
      <c r="H3489" t="s">
        <v>12099</v>
      </c>
    </row>
    <row r="3490" spans="1:10" x14ac:dyDescent="0.3">
      <c r="A3490" t="s">
        <v>7762</v>
      </c>
      <c r="B3490" t="s">
        <v>27709</v>
      </c>
      <c r="C3490" t="s">
        <v>20490</v>
      </c>
      <c r="D3490" t="s">
        <v>22</v>
      </c>
      <c r="E3490" t="s">
        <v>7763</v>
      </c>
      <c r="F3490">
        <v>46</v>
      </c>
      <c r="G3490" t="s">
        <v>31</v>
      </c>
      <c r="H3490" t="s">
        <v>31</v>
      </c>
    </row>
    <row r="3491" spans="1:10" x14ac:dyDescent="0.3">
      <c r="A3491" t="s">
        <v>7764</v>
      </c>
      <c r="B3491" t="s">
        <v>27710</v>
      </c>
      <c r="C3491" t="s">
        <v>20488</v>
      </c>
      <c r="D3491" t="s">
        <v>11</v>
      </c>
      <c r="E3491" t="s">
        <v>7765</v>
      </c>
      <c r="F3491">
        <v>39</v>
      </c>
      <c r="G3491" t="s">
        <v>109</v>
      </c>
      <c r="H3491" t="s">
        <v>9788</v>
      </c>
      <c r="I3491" t="s">
        <v>971</v>
      </c>
      <c r="J3491" t="s">
        <v>225</v>
      </c>
    </row>
    <row r="3492" spans="1:10" x14ac:dyDescent="0.3">
      <c r="A3492" t="s">
        <v>7766</v>
      </c>
      <c r="B3492" t="s">
        <v>27711</v>
      </c>
      <c r="C3492" t="s">
        <v>20487</v>
      </c>
      <c r="D3492" t="s">
        <v>22</v>
      </c>
      <c r="E3492" t="s">
        <v>7767</v>
      </c>
      <c r="F3492">
        <v>45</v>
      </c>
      <c r="G3492" t="s">
        <v>31</v>
      </c>
      <c r="H3492" t="s">
        <v>31</v>
      </c>
    </row>
    <row r="3493" spans="1:10" x14ac:dyDescent="0.3">
      <c r="A3493" t="s">
        <v>7768</v>
      </c>
      <c r="B3493" t="s">
        <v>27712</v>
      </c>
      <c r="C3493" t="s">
        <v>20487</v>
      </c>
      <c r="D3493" t="s">
        <v>22</v>
      </c>
      <c r="E3493" t="s">
        <v>7769</v>
      </c>
      <c r="F3493">
        <v>39</v>
      </c>
      <c r="G3493" t="s">
        <v>46</v>
      </c>
      <c r="H3493" t="s">
        <v>46</v>
      </c>
      <c r="I3493" t="s">
        <v>228</v>
      </c>
    </row>
    <row r="3494" spans="1:10" x14ac:dyDescent="0.3">
      <c r="A3494" t="s">
        <v>7770</v>
      </c>
      <c r="B3494" t="s">
        <v>27713</v>
      </c>
      <c r="C3494" t="s">
        <v>20486</v>
      </c>
      <c r="D3494" t="s">
        <v>11</v>
      </c>
      <c r="E3494" t="s">
        <v>7771</v>
      </c>
      <c r="F3494">
        <v>65</v>
      </c>
      <c r="G3494" t="s">
        <v>46</v>
      </c>
      <c r="H3494" t="s">
        <v>46</v>
      </c>
      <c r="I3494" t="s">
        <v>224</v>
      </c>
      <c r="J3494" t="s">
        <v>7772</v>
      </c>
    </row>
    <row r="3495" spans="1:10" x14ac:dyDescent="0.3">
      <c r="A3495" t="s">
        <v>7773</v>
      </c>
      <c r="B3495" t="s">
        <v>27714</v>
      </c>
      <c r="C3495" t="s">
        <v>20486</v>
      </c>
      <c r="D3495" t="s">
        <v>11</v>
      </c>
      <c r="E3495" t="s">
        <v>7774</v>
      </c>
      <c r="F3495">
        <v>41</v>
      </c>
      <c r="G3495" t="s">
        <v>109</v>
      </c>
      <c r="H3495" t="s">
        <v>9788</v>
      </c>
      <c r="I3495" t="s">
        <v>228</v>
      </c>
      <c r="J3495" t="s">
        <v>7239</v>
      </c>
    </row>
    <row r="3496" spans="1:10" x14ac:dyDescent="0.3">
      <c r="A3496" t="s">
        <v>7775</v>
      </c>
      <c r="B3496" t="s">
        <v>27715</v>
      </c>
      <c r="C3496" t="s">
        <v>20486</v>
      </c>
      <c r="D3496" t="s">
        <v>11</v>
      </c>
      <c r="E3496" t="s">
        <v>7776</v>
      </c>
      <c r="F3496">
        <v>27</v>
      </c>
      <c r="G3496" t="s">
        <v>109</v>
      </c>
      <c r="H3496" t="s">
        <v>9788</v>
      </c>
      <c r="I3496" t="s">
        <v>7777</v>
      </c>
      <c r="J3496" t="s">
        <v>7778</v>
      </c>
    </row>
    <row r="3497" spans="1:10" x14ac:dyDescent="0.3">
      <c r="A3497" t="s">
        <v>7779</v>
      </c>
      <c r="B3497" t="s">
        <v>27716</v>
      </c>
      <c r="C3497" t="s">
        <v>20486</v>
      </c>
      <c r="D3497" t="s">
        <v>22</v>
      </c>
      <c r="E3497" t="s">
        <v>7780</v>
      </c>
      <c r="F3497">
        <v>35</v>
      </c>
      <c r="G3497" t="s">
        <v>31</v>
      </c>
      <c r="H3497" t="s">
        <v>31</v>
      </c>
      <c r="I3497" t="s">
        <v>201</v>
      </c>
      <c r="J3497" t="s">
        <v>18835</v>
      </c>
    </row>
    <row r="3498" spans="1:10" x14ac:dyDescent="0.3">
      <c r="A3498" t="s">
        <v>7781</v>
      </c>
      <c r="B3498" t="s">
        <v>27717</v>
      </c>
      <c r="C3498" t="s">
        <v>20486</v>
      </c>
      <c r="D3498" t="s">
        <v>22</v>
      </c>
      <c r="E3498" t="s">
        <v>7782</v>
      </c>
      <c r="F3498">
        <v>75</v>
      </c>
      <c r="G3498" t="s">
        <v>31</v>
      </c>
      <c r="H3498" t="s">
        <v>31</v>
      </c>
    </row>
    <row r="3499" spans="1:10" x14ac:dyDescent="0.3">
      <c r="A3499" t="s">
        <v>7784</v>
      </c>
      <c r="B3499" t="s">
        <v>27718</v>
      </c>
      <c r="C3499" t="s">
        <v>20489</v>
      </c>
      <c r="D3499" t="s">
        <v>22</v>
      </c>
      <c r="E3499" t="s">
        <v>5294</v>
      </c>
      <c r="F3499">
        <v>48</v>
      </c>
      <c r="G3499" t="s">
        <v>370</v>
      </c>
      <c r="H3499" t="s">
        <v>46</v>
      </c>
      <c r="I3499" t="s">
        <v>7785</v>
      </c>
      <c r="J3499" t="s">
        <v>7785</v>
      </c>
    </row>
    <row r="3500" spans="1:10" x14ac:dyDescent="0.3">
      <c r="A3500" t="s">
        <v>7786</v>
      </c>
      <c r="B3500" t="s">
        <v>27719</v>
      </c>
      <c r="C3500" t="s">
        <v>20488</v>
      </c>
      <c r="D3500" t="s">
        <v>22</v>
      </c>
      <c r="E3500" t="s">
        <v>5357</v>
      </c>
      <c r="F3500">
        <v>55</v>
      </c>
      <c r="G3500" t="s">
        <v>31</v>
      </c>
      <c r="H3500" t="s">
        <v>31</v>
      </c>
    </row>
    <row r="3501" spans="1:10" x14ac:dyDescent="0.3">
      <c r="A3501" t="s">
        <v>7787</v>
      </c>
      <c r="B3501" t="s">
        <v>27720</v>
      </c>
      <c r="C3501" t="s">
        <v>20486</v>
      </c>
      <c r="D3501" t="s">
        <v>22</v>
      </c>
      <c r="E3501" t="s">
        <v>7788</v>
      </c>
      <c r="F3501">
        <v>52</v>
      </c>
      <c r="G3501" t="s">
        <v>16</v>
      </c>
      <c r="H3501" t="s">
        <v>9785</v>
      </c>
      <c r="I3501" t="s">
        <v>17</v>
      </c>
    </row>
    <row r="3502" spans="1:10" x14ac:dyDescent="0.3">
      <c r="A3502" t="s">
        <v>12513</v>
      </c>
      <c r="B3502" t="s">
        <v>27721</v>
      </c>
      <c r="C3502" t="s">
        <v>20486</v>
      </c>
      <c r="D3502" t="s">
        <v>11</v>
      </c>
      <c r="E3502" t="s">
        <v>9587</v>
      </c>
      <c r="F3502">
        <v>18</v>
      </c>
      <c r="H3502" t="s">
        <v>337</v>
      </c>
    </row>
    <row r="3503" spans="1:10" x14ac:dyDescent="0.3">
      <c r="A3503" t="s">
        <v>7789</v>
      </c>
      <c r="B3503" t="s">
        <v>27722</v>
      </c>
      <c r="C3503" t="s">
        <v>20486</v>
      </c>
      <c r="D3503" t="s">
        <v>22</v>
      </c>
      <c r="E3503" t="s">
        <v>6107</v>
      </c>
      <c r="F3503">
        <v>71</v>
      </c>
      <c r="G3503" t="s">
        <v>46</v>
      </c>
      <c r="H3503" t="s">
        <v>46</v>
      </c>
    </row>
    <row r="3504" spans="1:10" x14ac:dyDescent="0.3">
      <c r="A3504" t="s">
        <v>12514</v>
      </c>
      <c r="B3504" t="s">
        <v>27723</v>
      </c>
      <c r="C3504" t="s">
        <v>20486</v>
      </c>
      <c r="D3504" t="s">
        <v>22</v>
      </c>
      <c r="E3504" t="s">
        <v>9604</v>
      </c>
      <c r="F3504">
        <v>19</v>
      </c>
      <c r="G3504" t="s">
        <v>337</v>
      </c>
      <c r="H3504" t="s">
        <v>337</v>
      </c>
    </row>
    <row r="3505" spans="1:10" x14ac:dyDescent="0.3">
      <c r="A3505" t="s">
        <v>7791</v>
      </c>
      <c r="B3505" t="s">
        <v>27724</v>
      </c>
      <c r="C3505" t="s">
        <v>20487</v>
      </c>
      <c r="D3505" t="s">
        <v>22</v>
      </c>
      <c r="E3505" t="s">
        <v>7792</v>
      </c>
      <c r="F3505">
        <v>37</v>
      </c>
      <c r="G3505" t="s">
        <v>1820</v>
      </c>
      <c r="H3505" t="s">
        <v>46</v>
      </c>
    </row>
    <row r="3506" spans="1:10" x14ac:dyDescent="0.3">
      <c r="A3506" t="s">
        <v>7793</v>
      </c>
      <c r="B3506" t="s">
        <v>27725</v>
      </c>
      <c r="C3506" t="s">
        <v>20488</v>
      </c>
      <c r="D3506" t="s">
        <v>22</v>
      </c>
      <c r="E3506" t="s">
        <v>7794</v>
      </c>
      <c r="F3506">
        <v>55</v>
      </c>
      <c r="G3506" t="s">
        <v>16</v>
      </c>
      <c r="H3506" t="s">
        <v>9785</v>
      </c>
      <c r="I3506" t="s">
        <v>449</v>
      </c>
      <c r="J3506" t="s">
        <v>574</v>
      </c>
    </row>
    <row r="3507" spans="1:10" x14ac:dyDescent="0.3">
      <c r="A3507" t="s">
        <v>12515</v>
      </c>
      <c r="B3507" t="s">
        <v>27726</v>
      </c>
      <c r="C3507" t="s">
        <v>20486</v>
      </c>
      <c r="D3507" t="s">
        <v>11</v>
      </c>
      <c r="E3507" t="s">
        <v>9603</v>
      </c>
      <c r="F3507">
        <v>22</v>
      </c>
      <c r="G3507" t="s">
        <v>243</v>
      </c>
      <c r="H3507" t="s">
        <v>243</v>
      </c>
    </row>
    <row r="3508" spans="1:10" x14ac:dyDescent="0.3">
      <c r="A3508" t="s">
        <v>7795</v>
      </c>
      <c r="B3508" t="s">
        <v>27727</v>
      </c>
      <c r="C3508" t="s">
        <v>20486</v>
      </c>
      <c r="D3508" t="s">
        <v>22</v>
      </c>
      <c r="E3508" t="s">
        <v>7796</v>
      </c>
      <c r="F3508">
        <v>46</v>
      </c>
      <c r="G3508" t="s">
        <v>31</v>
      </c>
      <c r="H3508" t="s">
        <v>31</v>
      </c>
      <c r="I3508" t="s">
        <v>201</v>
      </c>
      <c r="J3508" t="s">
        <v>18836</v>
      </c>
    </row>
    <row r="3509" spans="1:10" x14ac:dyDescent="0.3">
      <c r="A3509" t="s">
        <v>7797</v>
      </c>
      <c r="B3509" t="s">
        <v>27728</v>
      </c>
      <c r="C3509" t="s">
        <v>20486</v>
      </c>
      <c r="D3509" t="s">
        <v>22</v>
      </c>
      <c r="E3509" t="s">
        <v>7798</v>
      </c>
      <c r="F3509">
        <v>32</v>
      </c>
      <c r="G3509" t="s">
        <v>109</v>
      </c>
      <c r="H3509" t="s">
        <v>9788</v>
      </c>
      <c r="I3509" t="s">
        <v>224</v>
      </c>
      <c r="J3509" t="s">
        <v>7799</v>
      </c>
    </row>
    <row r="3510" spans="1:10" x14ac:dyDescent="0.3">
      <c r="A3510" t="s">
        <v>7800</v>
      </c>
      <c r="B3510" t="s">
        <v>27729</v>
      </c>
      <c r="C3510" t="s">
        <v>20486</v>
      </c>
      <c r="D3510" t="s">
        <v>11</v>
      </c>
      <c r="E3510" t="s">
        <v>7801</v>
      </c>
      <c r="F3510">
        <v>33</v>
      </c>
      <c r="G3510" t="s">
        <v>172</v>
      </c>
      <c r="H3510" t="s">
        <v>12099</v>
      </c>
      <c r="J3510" t="s">
        <v>7802</v>
      </c>
    </row>
    <row r="3511" spans="1:10" x14ac:dyDescent="0.3">
      <c r="A3511" t="s">
        <v>7803</v>
      </c>
      <c r="B3511" t="s">
        <v>27730</v>
      </c>
      <c r="C3511" t="s">
        <v>20490</v>
      </c>
      <c r="D3511" t="s">
        <v>22</v>
      </c>
      <c r="E3511" t="s">
        <v>7804</v>
      </c>
      <c r="F3511">
        <v>29</v>
      </c>
      <c r="G3511" t="s">
        <v>88</v>
      </c>
      <c r="H3511" t="s">
        <v>12065</v>
      </c>
    </row>
    <row r="3512" spans="1:10" x14ac:dyDescent="0.3">
      <c r="A3512" t="s">
        <v>7805</v>
      </c>
      <c r="B3512" t="s">
        <v>27731</v>
      </c>
      <c r="C3512" t="s">
        <v>20486</v>
      </c>
      <c r="D3512" t="s">
        <v>22</v>
      </c>
      <c r="E3512" t="s">
        <v>7806</v>
      </c>
      <c r="F3512">
        <v>49</v>
      </c>
      <c r="G3512" t="s">
        <v>31</v>
      </c>
      <c r="H3512" t="s">
        <v>31</v>
      </c>
    </row>
    <row r="3513" spans="1:10" x14ac:dyDescent="0.3">
      <c r="A3513" t="s">
        <v>7807</v>
      </c>
      <c r="B3513" t="s">
        <v>27732</v>
      </c>
      <c r="C3513" t="s">
        <v>20487</v>
      </c>
      <c r="D3513" t="s">
        <v>22</v>
      </c>
      <c r="E3513" t="s">
        <v>7124</v>
      </c>
      <c r="F3513">
        <v>62</v>
      </c>
      <c r="G3513" t="s">
        <v>46</v>
      </c>
      <c r="H3513" t="s">
        <v>46</v>
      </c>
    </row>
    <row r="3514" spans="1:10" x14ac:dyDescent="0.3">
      <c r="A3514" t="s">
        <v>7808</v>
      </c>
      <c r="B3514" t="s">
        <v>27733</v>
      </c>
      <c r="C3514" t="s">
        <v>20486</v>
      </c>
      <c r="D3514" t="s">
        <v>11</v>
      </c>
      <c r="E3514" t="s">
        <v>7809</v>
      </c>
      <c r="F3514">
        <v>51</v>
      </c>
      <c r="G3514" t="s">
        <v>172</v>
      </c>
      <c r="H3514" t="s">
        <v>12099</v>
      </c>
      <c r="J3514" t="s">
        <v>7810</v>
      </c>
    </row>
    <row r="3515" spans="1:10" x14ac:dyDescent="0.3">
      <c r="A3515" t="s">
        <v>7811</v>
      </c>
      <c r="B3515" t="s">
        <v>27734</v>
      </c>
      <c r="C3515" t="s">
        <v>20487</v>
      </c>
      <c r="D3515" t="s">
        <v>11</v>
      </c>
      <c r="E3515" t="s">
        <v>7812</v>
      </c>
      <c r="F3515">
        <v>38</v>
      </c>
      <c r="G3515" t="s">
        <v>2418</v>
      </c>
      <c r="H3515" t="s">
        <v>9787</v>
      </c>
      <c r="J3515" t="s">
        <v>7813</v>
      </c>
    </row>
    <row r="3516" spans="1:10" x14ac:dyDescent="0.3">
      <c r="A3516" t="s">
        <v>7814</v>
      </c>
      <c r="B3516" t="s">
        <v>27735</v>
      </c>
      <c r="C3516" t="s">
        <v>20486</v>
      </c>
      <c r="D3516" t="s">
        <v>22</v>
      </c>
      <c r="E3516" t="s">
        <v>7815</v>
      </c>
      <c r="F3516">
        <v>40</v>
      </c>
      <c r="G3516" t="s">
        <v>31</v>
      </c>
      <c r="H3516" t="s">
        <v>31</v>
      </c>
    </row>
    <row r="3517" spans="1:10" x14ac:dyDescent="0.3">
      <c r="A3517" t="s">
        <v>12516</v>
      </c>
      <c r="B3517" t="s">
        <v>27736</v>
      </c>
      <c r="C3517" t="s">
        <v>20488</v>
      </c>
      <c r="D3517" t="s">
        <v>11</v>
      </c>
      <c r="E3517" t="s">
        <v>9602</v>
      </c>
      <c r="F3517">
        <v>22</v>
      </c>
      <c r="G3517" t="s">
        <v>337</v>
      </c>
      <c r="H3517" t="s">
        <v>337</v>
      </c>
    </row>
    <row r="3518" spans="1:10" x14ac:dyDescent="0.3">
      <c r="A3518" t="s">
        <v>7816</v>
      </c>
      <c r="B3518" t="s">
        <v>27737</v>
      </c>
      <c r="C3518" t="s">
        <v>20486</v>
      </c>
      <c r="D3518" t="s">
        <v>22</v>
      </c>
      <c r="E3518" t="s">
        <v>7817</v>
      </c>
      <c r="F3518">
        <v>34</v>
      </c>
      <c r="G3518" t="s">
        <v>177</v>
      </c>
      <c r="H3518" t="s">
        <v>12065</v>
      </c>
      <c r="I3518" t="s">
        <v>110</v>
      </c>
      <c r="J3518" t="s">
        <v>7818</v>
      </c>
    </row>
    <row r="3519" spans="1:10" x14ac:dyDescent="0.3">
      <c r="A3519" t="s">
        <v>12517</v>
      </c>
      <c r="B3519" t="s">
        <v>27738</v>
      </c>
      <c r="C3519" t="s">
        <v>20486</v>
      </c>
      <c r="D3519" t="s">
        <v>22</v>
      </c>
      <c r="E3519" t="s">
        <v>7819</v>
      </c>
      <c r="F3519">
        <v>34</v>
      </c>
      <c r="G3519" t="s">
        <v>109</v>
      </c>
      <c r="H3519" t="s">
        <v>9788</v>
      </c>
      <c r="I3519" t="s">
        <v>4629</v>
      </c>
      <c r="J3519" t="s">
        <v>225</v>
      </c>
    </row>
    <row r="3520" spans="1:10" x14ac:dyDescent="0.3">
      <c r="A3520" t="s">
        <v>7820</v>
      </c>
      <c r="B3520" t="s">
        <v>27739</v>
      </c>
      <c r="C3520" t="s">
        <v>20486</v>
      </c>
      <c r="D3520" t="s">
        <v>22</v>
      </c>
      <c r="E3520" t="s">
        <v>7821</v>
      </c>
      <c r="F3520">
        <v>35</v>
      </c>
      <c r="G3520" t="s">
        <v>109</v>
      </c>
      <c r="H3520" t="s">
        <v>9788</v>
      </c>
      <c r="I3520" t="s">
        <v>12518</v>
      </c>
      <c r="J3520" t="s">
        <v>1426</v>
      </c>
    </row>
    <row r="3521" spans="1:10" x14ac:dyDescent="0.3">
      <c r="A3521" t="s">
        <v>7822</v>
      </c>
      <c r="B3521" t="s">
        <v>27740</v>
      </c>
      <c r="C3521" t="s">
        <v>20486</v>
      </c>
      <c r="D3521" t="s">
        <v>22</v>
      </c>
      <c r="E3521" t="s">
        <v>7823</v>
      </c>
      <c r="F3521">
        <v>62</v>
      </c>
      <c r="G3521" t="s">
        <v>172</v>
      </c>
      <c r="H3521" t="s">
        <v>12099</v>
      </c>
      <c r="J3521" t="s">
        <v>7824</v>
      </c>
    </row>
    <row r="3522" spans="1:10" x14ac:dyDescent="0.3">
      <c r="A3522" t="s">
        <v>7825</v>
      </c>
      <c r="B3522" t="s">
        <v>27741</v>
      </c>
      <c r="C3522" t="s">
        <v>20490</v>
      </c>
      <c r="D3522" t="s">
        <v>22</v>
      </c>
      <c r="E3522" t="s">
        <v>7826</v>
      </c>
      <c r="F3522">
        <v>45</v>
      </c>
      <c r="G3522" t="s">
        <v>46</v>
      </c>
      <c r="H3522" t="s">
        <v>46</v>
      </c>
      <c r="I3522" t="s">
        <v>7827</v>
      </c>
    </row>
    <row r="3523" spans="1:10" x14ac:dyDescent="0.3">
      <c r="A3523" t="s">
        <v>7828</v>
      </c>
      <c r="B3523" t="s">
        <v>27742</v>
      </c>
      <c r="C3523" t="s">
        <v>20490</v>
      </c>
      <c r="D3523" t="s">
        <v>22</v>
      </c>
      <c r="E3523" t="s">
        <v>5691</v>
      </c>
      <c r="F3523">
        <v>33</v>
      </c>
      <c r="G3523" t="s">
        <v>109</v>
      </c>
      <c r="H3523" t="s">
        <v>9788</v>
      </c>
      <c r="I3523" t="s">
        <v>7829</v>
      </c>
      <c r="J3523" t="s">
        <v>7830</v>
      </c>
    </row>
    <row r="3524" spans="1:10" x14ac:dyDescent="0.3">
      <c r="A3524" t="s">
        <v>7831</v>
      </c>
      <c r="B3524" t="s">
        <v>27743</v>
      </c>
      <c r="C3524" t="s">
        <v>20489</v>
      </c>
      <c r="D3524" t="s">
        <v>22</v>
      </c>
      <c r="E3524" t="s">
        <v>7832</v>
      </c>
      <c r="F3524">
        <v>32</v>
      </c>
      <c r="G3524" t="s">
        <v>31</v>
      </c>
      <c r="H3524" t="s">
        <v>31</v>
      </c>
    </row>
    <row r="3525" spans="1:10" x14ac:dyDescent="0.3">
      <c r="A3525" t="s">
        <v>7833</v>
      </c>
      <c r="B3525" t="s">
        <v>27744</v>
      </c>
      <c r="C3525" t="s">
        <v>20486</v>
      </c>
      <c r="D3525" t="s">
        <v>22</v>
      </c>
      <c r="E3525" t="s">
        <v>7834</v>
      </c>
      <c r="F3525">
        <v>26</v>
      </c>
      <c r="G3525" t="s">
        <v>109</v>
      </c>
      <c r="H3525" t="s">
        <v>9788</v>
      </c>
      <c r="I3525" t="s">
        <v>7835</v>
      </c>
      <c r="J3525" t="s">
        <v>7836</v>
      </c>
    </row>
    <row r="3526" spans="1:10" x14ac:dyDescent="0.3">
      <c r="A3526" t="s">
        <v>7837</v>
      </c>
      <c r="B3526" t="s">
        <v>27745</v>
      </c>
      <c r="C3526" t="s">
        <v>20486</v>
      </c>
      <c r="D3526" t="s">
        <v>22</v>
      </c>
      <c r="E3526" t="s">
        <v>7838</v>
      </c>
      <c r="F3526">
        <v>30</v>
      </c>
      <c r="G3526" t="s">
        <v>109</v>
      </c>
      <c r="H3526" t="s">
        <v>9788</v>
      </c>
      <c r="J3526" t="s">
        <v>7839</v>
      </c>
    </row>
    <row r="3527" spans="1:10" x14ac:dyDescent="0.3">
      <c r="A3527" t="s">
        <v>7840</v>
      </c>
      <c r="B3527" t="s">
        <v>27746</v>
      </c>
      <c r="C3527" t="s">
        <v>20486</v>
      </c>
      <c r="D3527" t="s">
        <v>22</v>
      </c>
      <c r="E3527" t="s">
        <v>4408</v>
      </c>
      <c r="F3527">
        <v>38</v>
      </c>
      <c r="G3527" t="s">
        <v>31</v>
      </c>
      <c r="H3527" t="s">
        <v>31</v>
      </c>
      <c r="I3527" t="s">
        <v>33</v>
      </c>
    </row>
    <row r="3528" spans="1:10" x14ac:dyDescent="0.3">
      <c r="A3528" t="s">
        <v>7841</v>
      </c>
      <c r="B3528" t="s">
        <v>27747</v>
      </c>
      <c r="C3528" t="s">
        <v>20486</v>
      </c>
      <c r="D3528" t="s">
        <v>22</v>
      </c>
      <c r="E3528" t="s">
        <v>7842</v>
      </c>
      <c r="F3528">
        <v>54</v>
      </c>
      <c r="G3528" t="s">
        <v>172</v>
      </c>
      <c r="H3528" t="s">
        <v>12099</v>
      </c>
      <c r="J3528" t="s">
        <v>12519</v>
      </c>
    </row>
    <row r="3529" spans="1:10" x14ac:dyDescent="0.3">
      <c r="A3529" t="s">
        <v>7843</v>
      </c>
      <c r="B3529" t="s">
        <v>27748</v>
      </c>
      <c r="C3529" t="s">
        <v>20486</v>
      </c>
      <c r="D3529" t="s">
        <v>11</v>
      </c>
      <c r="E3529" t="s">
        <v>7844</v>
      </c>
      <c r="F3529">
        <v>58</v>
      </c>
      <c r="G3529" t="s">
        <v>13</v>
      </c>
      <c r="H3529" t="s">
        <v>13</v>
      </c>
    </row>
    <row r="3530" spans="1:10" x14ac:dyDescent="0.3">
      <c r="A3530" t="s">
        <v>7845</v>
      </c>
      <c r="B3530" t="s">
        <v>27749</v>
      </c>
      <c r="C3530" t="s">
        <v>20486</v>
      </c>
      <c r="D3530" t="s">
        <v>11</v>
      </c>
      <c r="E3530" t="s">
        <v>7846</v>
      </c>
      <c r="F3530">
        <v>65</v>
      </c>
      <c r="G3530" t="s">
        <v>46</v>
      </c>
      <c r="H3530" t="s">
        <v>46</v>
      </c>
      <c r="I3530" t="s">
        <v>228</v>
      </c>
      <c r="J3530" t="s">
        <v>12520</v>
      </c>
    </row>
    <row r="3531" spans="1:10" x14ac:dyDescent="0.3">
      <c r="A3531" t="s">
        <v>7847</v>
      </c>
      <c r="B3531" t="s">
        <v>27750</v>
      </c>
      <c r="C3531" t="s">
        <v>20486</v>
      </c>
      <c r="D3531" t="s">
        <v>11</v>
      </c>
      <c r="E3531" t="s">
        <v>7848</v>
      </c>
      <c r="F3531">
        <v>31</v>
      </c>
      <c r="G3531" t="s">
        <v>243</v>
      </c>
      <c r="H3531" t="s">
        <v>243</v>
      </c>
    </row>
    <row r="3532" spans="1:10" x14ac:dyDescent="0.3">
      <c r="A3532" t="s">
        <v>7849</v>
      </c>
      <c r="B3532" t="s">
        <v>27751</v>
      </c>
      <c r="C3532" t="s">
        <v>20489</v>
      </c>
      <c r="D3532" t="s">
        <v>11</v>
      </c>
      <c r="E3532" t="s">
        <v>7850</v>
      </c>
      <c r="F3532">
        <v>72</v>
      </c>
      <c r="G3532" t="s">
        <v>13</v>
      </c>
      <c r="H3532" t="s">
        <v>13</v>
      </c>
      <c r="I3532" t="s">
        <v>4967</v>
      </c>
    </row>
    <row r="3533" spans="1:10" x14ac:dyDescent="0.3">
      <c r="A3533" t="s">
        <v>7851</v>
      </c>
      <c r="B3533" t="s">
        <v>27752</v>
      </c>
      <c r="C3533" t="s">
        <v>20486</v>
      </c>
      <c r="D3533" t="s">
        <v>22</v>
      </c>
      <c r="E3533" t="s">
        <v>7852</v>
      </c>
      <c r="F3533">
        <v>46</v>
      </c>
      <c r="G3533" t="s">
        <v>46</v>
      </c>
      <c r="H3533" t="s">
        <v>46</v>
      </c>
      <c r="I3533" t="s">
        <v>228</v>
      </c>
      <c r="J3533" t="s">
        <v>12521</v>
      </c>
    </row>
    <row r="3534" spans="1:10" x14ac:dyDescent="0.3">
      <c r="A3534" t="s">
        <v>7853</v>
      </c>
      <c r="B3534" t="s">
        <v>27753</v>
      </c>
      <c r="C3534" t="s">
        <v>20486</v>
      </c>
      <c r="D3534" t="s">
        <v>11</v>
      </c>
      <c r="E3534" t="s">
        <v>7854</v>
      </c>
      <c r="F3534">
        <v>43</v>
      </c>
      <c r="G3534" t="s">
        <v>109</v>
      </c>
      <c r="H3534" t="s">
        <v>9788</v>
      </c>
      <c r="I3534" t="s">
        <v>7148</v>
      </c>
      <c r="J3534" t="s">
        <v>7855</v>
      </c>
    </row>
    <row r="3535" spans="1:10" x14ac:dyDescent="0.3">
      <c r="A3535" t="s">
        <v>12522</v>
      </c>
      <c r="B3535" t="s">
        <v>27754</v>
      </c>
      <c r="C3535" t="s">
        <v>20489</v>
      </c>
      <c r="D3535" t="s">
        <v>22</v>
      </c>
      <c r="E3535" t="s">
        <v>9754</v>
      </c>
      <c r="F3535">
        <v>18</v>
      </c>
      <c r="G3535" t="s">
        <v>337</v>
      </c>
      <c r="H3535" t="s">
        <v>337</v>
      </c>
    </row>
    <row r="3536" spans="1:10" x14ac:dyDescent="0.3">
      <c r="A3536" t="s">
        <v>7856</v>
      </c>
      <c r="B3536" t="s">
        <v>27755</v>
      </c>
      <c r="C3536" t="s">
        <v>20487</v>
      </c>
      <c r="D3536" t="s">
        <v>11</v>
      </c>
      <c r="E3536" t="s">
        <v>7857</v>
      </c>
      <c r="F3536">
        <v>28</v>
      </c>
      <c r="G3536" t="s">
        <v>133</v>
      </c>
      <c r="H3536" t="s">
        <v>9789</v>
      </c>
    </row>
    <row r="3537" spans="1:10" x14ac:dyDescent="0.3">
      <c r="A3537" t="s">
        <v>7858</v>
      </c>
      <c r="B3537" t="s">
        <v>27756</v>
      </c>
      <c r="C3537" t="s">
        <v>20486</v>
      </c>
      <c r="D3537" t="s">
        <v>11</v>
      </c>
      <c r="E3537" t="s">
        <v>7859</v>
      </c>
      <c r="F3537">
        <v>61</v>
      </c>
      <c r="G3537" t="s">
        <v>16</v>
      </c>
      <c r="H3537" t="s">
        <v>9785</v>
      </c>
      <c r="I3537" t="s">
        <v>17</v>
      </c>
      <c r="J3537" t="s">
        <v>7860</v>
      </c>
    </row>
    <row r="3538" spans="1:10" x14ac:dyDescent="0.3">
      <c r="A3538" t="s">
        <v>7861</v>
      </c>
      <c r="B3538" t="s">
        <v>27757</v>
      </c>
      <c r="C3538" t="s">
        <v>20486</v>
      </c>
      <c r="D3538" t="s">
        <v>11</v>
      </c>
      <c r="E3538" t="s">
        <v>7862</v>
      </c>
      <c r="F3538">
        <v>54</v>
      </c>
      <c r="G3538" t="s">
        <v>46</v>
      </c>
      <c r="H3538" t="s">
        <v>46</v>
      </c>
      <c r="I3538" t="s">
        <v>228</v>
      </c>
    </row>
    <row r="3539" spans="1:10" x14ac:dyDescent="0.3">
      <c r="A3539" t="s">
        <v>7863</v>
      </c>
      <c r="B3539" t="s">
        <v>27758</v>
      </c>
      <c r="C3539" t="s">
        <v>20486</v>
      </c>
      <c r="D3539" t="s">
        <v>11</v>
      </c>
      <c r="E3539" t="s">
        <v>6111</v>
      </c>
      <c r="F3539">
        <v>37</v>
      </c>
      <c r="G3539" t="s">
        <v>133</v>
      </c>
      <c r="H3539" t="s">
        <v>9789</v>
      </c>
      <c r="I3539" t="s">
        <v>7864</v>
      </c>
    </row>
    <row r="3540" spans="1:10" x14ac:dyDescent="0.3">
      <c r="A3540" t="s">
        <v>7865</v>
      </c>
      <c r="B3540" t="s">
        <v>27759</v>
      </c>
      <c r="C3540" t="s">
        <v>20490</v>
      </c>
      <c r="D3540" t="s">
        <v>22</v>
      </c>
      <c r="E3540" t="s">
        <v>7866</v>
      </c>
      <c r="F3540">
        <v>37</v>
      </c>
      <c r="G3540" t="s">
        <v>370</v>
      </c>
      <c r="H3540" t="s">
        <v>46</v>
      </c>
      <c r="I3540" t="s">
        <v>7867</v>
      </c>
    </row>
    <row r="3541" spans="1:10" x14ac:dyDescent="0.3">
      <c r="A3541" t="s">
        <v>7868</v>
      </c>
      <c r="B3541" t="s">
        <v>27760</v>
      </c>
      <c r="C3541" t="s">
        <v>20486</v>
      </c>
      <c r="D3541" t="s">
        <v>22</v>
      </c>
      <c r="E3541" t="s">
        <v>7869</v>
      </c>
      <c r="F3541">
        <v>65</v>
      </c>
      <c r="G3541" t="s">
        <v>133</v>
      </c>
      <c r="H3541" t="s">
        <v>9789</v>
      </c>
    </row>
    <row r="3542" spans="1:10" x14ac:dyDescent="0.3">
      <c r="A3542" t="s">
        <v>7870</v>
      </c>
      <c r="B3542" t="s">
        <v>27761</v>
      </c>
      <c r="C3542" t="s">
        <v>20487</v>
      </c>
      <c r="D3542" t="s">
        <v>11</v>
      </c>
      <c r="E3542" t="s">
        <v>7871</v>
      </c>
      <c r="F3542">
        <v>35</v>
      </c>
    </row>
    <row r="3543" spans="1:10" x14ac:dyDescent="0.3">
      <c r="A3543" t="s">
        <v>7872</v>
      </c>
      <c r="B3543" t="s">
        <v>27762</v>
      </c>
      <c r="C3543" t="s">
        <v>20487</v>
      </c>
      <c r="D3543" t="s">
        <v>11</v>
      </c>
      <c r="E3543" t="s">
        <v>7873</v>
      </c>
      <c r="F3543">
        <v>44</v>
      </c>
      <c r="G3543" t="s">
        <v>109</v>
      </c>
      <c r="H3543" t="s">
        <v>9788</v>
      </c>
    </row>
    <row r="3544" spans="1:10" x14ac:dyDescent="0.3">
      <c r="A3544" t="s">
        <v>7874</v>
      </c>
      <c r="B3544" t="s">
        <v>27763</v>
      </c>
      <c r="C3544" t="s">
        <v>20488</v>
      </c>
      <c r="D3544" t="s">
        <v>22</v>
      </c>
      <c r="E3544" t="s">
        <v>2690</v>
      </c>
      <c r="F3544">
        <v>39</v>
      </c>
      <c r="G3544" t="s">
        <v>16</v>
      </c>
      <c r="H3544" t="s">
        <v>9785</v>
      </c>
      <c r="I3544" t="s">
        <v>449</v>
      </c>
    </row>
    <row r="3545" spans="1:10" x14ac:dyDescent="0.3">
      <c r="A3545" t="s">
        <v>12523</v>
      </c>
      <c r="B3545" t="s">
        <v>27764</v>
      </c>
      <c r="C3545" t="s">
        <v>20486</v>
      </c>
      <c r="D3545" t="s">
        <v>11</v>
      </c>
      <c r="E3545" t="s">
        <v>9601</v>
      </c>
      <c r="F3545">
        <v>25</v>
      </c>
      <c r="G3545" t="s">
        <v>243</v>
      </c>
      <c r="H3545" t="s">
        <v>243</v>
      </c>
    </row>
    <row r="3546" spans="1:10" x14ac:dyDescent="0.3">
      <c r="A3546" t="s">
        <v>7875</v>
      </c>
      <c r="B3546" t="s">
        <v>27765</v>
      </c>
      <c r="C3546" t="s">
        <v>20486</v>
      </c>
      <c r="D3546" t="s">
        <v>11</v>
      </c>
      <c r="E3546" t="s">
        <v>7876</v>
      </c>
      <c r="F3546">
        <v>26</v>
      </c>
      <c r="G3546" t="s">
        <v>4685</v>
      </c>
      <c r="H3546" t="s">
        <v>12099</v>
      </c>
      <c r="I3546" t="s">
        <v>1057</v>
      </c>
    </row>
    <row r="3547" spans="1:10" x14ac:dyDescent="0.3">
      <c r="A3547" t="s">
        <v>7877</v>
      </c>
      <c r="B3547" t="s">
        <v>27766</v>
      </c>
      <c r="C3547" t="s">
        <v>20486</v>
      </c>
      <c r="D3547" t="s">
        <v>11</v>
      </c>
      <c r="E3547" t="s">
        <v>6134</v>
      </c>
      <c r="F3547">
        <v>53</v>
      </c>
      <c r="G3547" t="s">
        <v>109</v>
      </c>
      <c r="H3547" t="s">
        <v>9788</v>
      </c>
      <c r="I3547" t="s">
        <v>4067</v>
      </c>
      <c r="J3547" t="s">
        <v>4067</v>
      </c>
    </row>
    <row r="3548" spans="1:10" x14ac:dyDescent="0.3">
      <c r="A3548" t="s">
        <v>7878</v>
      </c>
      <c r="B3548" t="s">
        <v>27767</v>
      </c>
      <c r="C3548" t="s">
        <v>20486</v>
      </c>
      <c r="D3548" t="s">
        <v>22</v>
      </c>
      <c r="E3548" t="s">
        <v>3153</v>
      </c>
      <c r="F3548">
        <v>39</v>
      </c>
      <c r="G3548" t="s">
        <v>46</v>
      </c>
      <c r="H3548" t="s">
        <v>46</v>
      </c>
      <c r="I3548" t="s">
        <v>12524</v>
      </c>
    </row>
    <row r="3549" spans="1:10" x14ac:dyDescent="0.3">
      <c r="A3549" t="s">
        <v>7879</v>
      </c>
      <c r="B3549" t="s">
        <v>27768</v>
      </c>
      <c r="C3549" t="s">
        <v>20486</v>
      </c>
      <c r="D3549" t="s">
        <v>11</v>
      </c>
      <c r="E3549" t="s">
        <v>6572</v>
      </c>
      <c r="F3549">
        <v>42</v>
      </c>
      <c r="G3549" t="s">
        <v>109</v>
      </c>
      <c r="H3549" t="s">
        <v>9788</v>
      </c>
      <c r="J3549" t="s">
        <v>14239</v>
      </c>
    </row>
    <row r="3550" spans="1:10" x14ac:dyDescent="0.3">
      <c r="A3550" t="s">
        <v>7880</v>
      </c>
      <c r="B3550" t="s">
        <v>27769</v>
      </c>
      <c r="C3550" t="s">
        <v>20486</v>
      </c>
      <c r="D3550" t="s">
        <v>22</v>
      </c>
      <c r="E3550" t="s">
        <v>5199</v>
      </c>
      <c r="F3550">
        <v>37</v>
      </c>
      <c r="G3550" t="s">
        <v>31</v>
      </c>
      <c r="H3550" t="s">
        <v>31</v>
      </c>
    </row>
    <row r="3551" spans="1:10" x14ac:dyDescent="0.3">
      <c r="A3551" t="s">
        <v>7881</v>
      </c>
      <c r="B3551" t="s">
        <v>27770</v>
      </c>
      <c r="C3551" t="s">
        <v>20486</v>
      </c>
      <c r="D3551" t="s">
        <v>22</v>
      </c>
      <c r="E3551" t="s">
        <v>69</v>
      </c>
      <c r="F3551">
        <v>63</v>
      </c>
      <c r="G3551" t="s">
        <v>31</v>
      </c>
      <c r="H3551" t="s">
        <v>31</v>
      </c>
    </row>
    <row r="3552" spans="1:10" x14ac:dyDescent="0.3">
      <c r="A3552" t="s">
        <v>7882</v>
      </c>
      <c r="B3552" t="s">
        <v>27771</v>
      </c>
      <c r="C3552" t="s">
        <v>20491</v>
      </c>
      <c r="D3552" t="s">
        <v>22</v>
      </c>
      <c r="E3552" t="s">
        <v>7883</v>
      </c>
      <c r="F3552">
        <v>51</v>
      </c>
      <c r="G3552" t="s">
        <v>133</v>
      </c>
      <c r="H3552" t="s">
        <v>9789</v>
      </c>
    </row>
    <row r="3553" spans="1:10" x14ac:dyDescent="0.3">
      <c r="A3553" t="s">
        <v>7884</v>
      </c>
      <c r="B3553" t="s">
        <v>27772</v>
      </c>
      <c r="C3553" t="s">
        <v>20488</v>
      </c>
      <c r="D3553" t="s">
        <v>22</v>
      </c>
      <c r="E3553" t="s">
        <v>7885</v>
      </c>
      <c r="F3553">
        <v>49</v>
      </c>
      <c r="G3553" t="s">
        <v>155</v>
      </c>
      <c r="H3553" t="s">
        <v>9791</v>
      </c>
      <c r="I3553" t="s">
        <v>7886</v>
      </c>
      <c r="J3553" t="s">
        <v>2036</v>
      </c>
    </row>
    <row r="3554" spans="1:10" x14ac:dyDescent="0.3">
      <c r="A3554" t="s">
        <v>7887</v>
      </c>
      <c r="B3554" t="s">
        <v>27773</v>
      </c>
      <c r="C3554" t="s">
        <v>20488</v>
      </c>
      <c r="D3554" t="s">
        <v>22</v>
      </c>
      <c r="E3554" t="s">
        <v>3252</v>
      </c>
      <c r="F3554">
        <v>43</v>
      </c>
      <c r="G3554" t="s">
        <v>31</v>
      </c>
      <c r="H3554" t="s">
        <v>31</v>
      </c>
    </row>
    <row r="3555" spans="1:10" x14ac:dyDescent="0.3">
      <c r="A3555" t="s">
        <v>7888</v>
      </c>
      <c r="B3555" t="s">
        <v>27774</v>
      </c>
      <c r="C3555" t="s">
        <v>20490</v>
      </c>
      <c r="D3555" t="s">
        <v>22</v>
      </c>
      <c r="E3555" t="s">
        <v>7889</v>
      </c>
      <c r="F3555">
        <v>23</v>
      </c>
      <c r="G3555" t="s">
        <v>337</v>
      </c>
      <c r="H3555" t="s">
        <v>337</v>
      </c>
    </row>
    <row r="3556" spans="1:10" x14ac:dyDescent="0.3">
      <c r="A3556" t="s">
        <v>7890</v>
      </c>
      <c r="B3556" t="s">
        <v>27775</v>
      </c>
      <c r="C3556" t="s">
        <v>20486</v>
      </c>
      <c r="D3556" t="s">
        <v>11</v>
      </c>
      <c r="E3556" t="s">
        <v>7891</v>
      </c>
      <c r="F3556">
        <v>33</v>
      </c>
      <c r="G3556" t="s">
        <v>46</v>
      </c>
      <c r="H3556" t="s">
        <v>46</v>
      </c>
    </row>
    <row r="3557" spans="1:10" x14ac:dyDescent="0.3">
      <c r="A3557" t="s">
        <v>7892</v>
      </c>
      <c r="B3557" t="s">
        <v>27776</v>
      </c>
      <c r="C3557" t="s">
        <v>20486</v>
      </c>
      <c r="D3557" t="s">
        <v>22</v>
      </c>
      <c r="E3557" t="s">
        <v>7893</v>
      </c>
      <c r="F3557">
        <v>48</v>
      </c>
      <c r="G3557" t="s">
        <v>172</v>
      </c>
      <c r="H3557" t="s">
        <v>12099</v>
      </c>
      <c r="I3557" t="s">
        <v>17</v>
      </c>
      <c r="J3557" t="s">
        <v>7894</v>
      </c>
    </row>
    <row r="3558" spans="1:10" x14ac:dyDescent="0.3">
      <c r="A3558" t="s">
        <v>12525</v>
      </c>
      <c r="B3558" t="s">
        <v>27777</v>
      </c>
      <c r="C3558" t="s">
        <v>20486</v>
      </c>
      <c r="D3558" t="s">
        <v>11</v>
      </c>
      <c r="E3558" t="s">
        <v>9600</v>
      </c>
      <c r="F3558">
        <v>18</v>
      </c>
      <c r="G3558" t="s">
        <v>243</v>
      </c>
      <c r="H3558" t="s">
        <v>243</v>
      </c>
    </row>
    <row r="3559" spans="1:10" x14ac:dyDescent="0.3">
      <c r="A3559" t="s">
        <v>12526</v>
      </c>
      <c r="B3559" t="s">
        <v>27778</v>
      </c>
      <c r="C3559" t="s">
        <v>20486</v>
      </c>
      <c r="D3559" t="s">
        <v>11</v>
      </c>
      <c r="E3559" t="s">
        <v>8487</v>
      </c>
      <c r="F3559">
        <v>24</v>
      </c>
      <c r="G3559" t="s">
        <v>243</v>
      </c>
      <c r="H3559" t="s">
        <v>243</v>
      </c>
    </row>
    <row r="3560" spans="1:10" x14ac:dyDescent="0.3">
      <c r="A3560" t="s">
        <v>7895</v>
      </c>
      <c r="B3560" t="s">
        <v>27779</v>
      </c>
      <c r="C3560" t="s">
        <v>20486</v>
      </c>
      <c r="D3560" t="s">
        <v>22</v>
      </c>
      <c r="E3560" t="s">
        <v>6864</v>
      </c>
      <c r="F3560">
        <v>44</v>
      </c>
      <c r="G3560" t="s">
        <v>31</v>
      </c>
      <c r="H3560" t="s">
        <v>31</v>
      </c>
    </row>
    <row r="3561" spans="1:10" x14ac:dyDescent="0.3">
      <c r="A3561" t="s">
        <v>7896</v>
      </c>
      <c r="B3561" t="s">
        <v>27780</v>
      </c>
      <c r="C3561" t="s">
        <v>20486</v>
      </c>
      <c r="D3561" t="s">
        <v>22</v>
      </c>
      <c r="E3561" t="s">
        <v>7897</v>
      </c>
      <c r="F3561">
        <v>41</v>
      </c>
      <c r="G3561" t="s">
        <v>109</v>
      </c>
      <c r="H3561" t="s">
        <v>9788</v>
      </c>
      <c r="I3561" t="s">
        <v>7898</v>
      </c>
      <c r="J3561" t="s">
        <v>7899</v>
      </c>
    </row>
    <row r="3562" spans="1:10" x14ac:dyDescent="0.3">
      <c r="A3562" t="s">
        <v>7900</v>
      </c>
      <c r="B3562" t="s">
        <v>27781</v>
      </c>
      <c r="C3562" t="s">
        <v>20490</v>
      </c>
      <c r="D3562" t="s">
        <v>22</v>
      </c>
      <c r="E3562" t="s">
        <v>7901</v>
      </c>
      <c r="F3562">
        <v>24</v>
      </c>
      <c r="G3562" t="s">
        <v>337</v>
      </c>
      <c r="H3562" t="s">
        <v>337</v>
      </c>
    </row>
    <row r="3563" spans="1:10" x14ac:dyDescent="0.3">
      <c r="A3563" t="s">
        <v>7902</v>
      </c>
      <c r="B3563" t="s">
        <v>27782</v>
      </c>
      <c r="C3563" t="s">
        <v>20491</v>
      </c>
      <c r="D3563" t="s">
        <v>11</v>
      </c>
      <c r="E3563" t="s">
        <v>7903</v>
      </c>
      <c r="F3563">
        <v>33</v>
      </c>
      <c r="G3563" t="s">
        <v>955</v>
      </c>
      <c r="H3563" t="s">
        <v>9788</v>
      </c>
      <c r="I3563" t="s">
        <v>4341</v>
      </c>
    </row>
    <row r="3564" spans="1:10" x14ac:dyDescent="0.3">
      <c r="A3564" t="s">
        <v>7904</v>
      </c>
      <c r="B3564" t="s">
        <v>27783</v>
      </c>
      <c r="C3564" t="s">
        <v>20486</v>
      </c>
      <c r="D3564" t="s">
        <v>22</v>
      </c>
      <c r="E3564" t="s">
        <v>7577</v>
      </c>
      <c r="F3564">
        <v>44</v>
      </c>
      <c r="G3564" t="s">
        <v>46</v>
      </c>
      <c r="H3564" t="s">
        <v>46</v>
      </c>
      <c r="I3564" t="s">
        <v>228</v>
      </c>
    </row>
    <row r="3565" spans="1:10" x14ac:dyDescent="0.3">
      <c r="A3565" t="s">
        <v>7905</v>
      </c>
      <c r="B3565" t="s">
        <v>27784</v>
      </c>
      <c r="C3565" t="s">
        <v>20486</v>
      </c>
      <c r="D3565" t="s">
        <v>22</v>
      </c>
      <c r="E3565" t="s">
        <v>7906</v>
      </c>
      <c r="F3565">
        <v>68</v>
      </c>
      <c r="G3565" t="s">
        <v>13</v>
      </c>
      <c r="H3565" t="s">
        <v>13</v>
      </c>
    </row>
    <row r="3566" spans="1:10" x14ac:dyDescent="0.3">
      <c r="A3566" t="s">
        <v>7907</v>
      </c>
      <c r="B3566" t="s">
        <v>27785</v>
      </c>
      <c r="C3566" t="s">
        <v>20486</v>
      </c>
      <c r="D3566" t="s">
        <v>22</v>
      </c>
      <c r="E3566" t="s">
        <v>7908</v>
      </c>
      <c r="F3566">
        <v>32</v>
      </c>
      <c r="G3566" t="s">
        <v>109</v>
      </c>
      <c r="H3566" t="s">
        <v>9788</v>
      </c>
      <c r="I3566" t="s">
        <v>228</v>
      </c>
      <c r="J3566" t="s">
        <v>7239</v>
      </c>
    </row>
    <row r="3567" spans="1:10" x14ac:dyDescent="0.3">
      <c r="A3567" t="s">
        <v>7909</v>
      </c>
      <c r="B3567" t="s">
        <v>27786</v>
      </c>
      <c r="C3567" t="s">
        <v>20487</v>
      </c>
      <c r="D3567" t="s">
        <v>11</v>
      </c>
      <c r="E3567" t="s">
        <v>2311</v>
      </c>
      <c r="F3567">
        <v>63</v>
      </c>
      <c r="G3567" t="s">
        <v>46</v>
      </c>
      <c r="H3567" t="s">
        <v>46</v>
      </c>
    </row>
    <row r="3568" spans="1:10" x14ac:dyDescent="0.3">
      <c r="A3568" t="s">
        <v>7910</v>
      </c>
      <c r="B3568" t="s">
        <v>27787</v>
      </c>
      <c r="C3568" t="s">
        <v>20488</v>
      </c>
      <c r="D3568" t="s">
        <v>22</v>
      </c>
      <c r="E3568" t="s">
        <v>7911</v>
      </c>
      <c r="F3568">
        <v>49</v>
      </c>
      <c r="G3568" t="s">
        <v>16</v>
      </c>
      <c r="H3568" t="s">
        <v>9785</v>
      </c>
      <c r="I3568" t="s">
        <v>449</v>
      </c>
      <c r="J3568" t="s">
        <v>610</v>
      </c>
    </row>
    <row r="3569" spans="1:10" x14ac:dyDescent="0.3">
      <c r="A3569" t="s">
        <v>7912</v>
      </c>
      <c r="B3569" t="s">
        <v>27788</v>
      </c>
      <c r="C3569" t="s">
        <v>20487</v>
      </c>
      <c r="D3569" t="s">
        <v>22</v>
      </c>
      <c r="E3569" t="s">
        <v>7913</v>
      </c>
      <c r="F3569">
        <v>29</v>
      </c>
      <c r="G3569" t="s">
        <v>109</v>
      </c>
      <c r="H3569" t="s">
        <v>9788</v>
      </c>
    </row>
    <row r="3570" spans="1:10" x14ac:dyDescent="0.3">
      <c r="A3570" t="s">
        <v>7914</v>
      </c>
      <c r="B3570" t="s">
        <v>27789</v>
      </c>
      <c r="C3570" t="s">
        <v>20487</v>
      </c>
      <c r="D3570" t="s">
        <v>11</v>
      </c>
      <c r="E3570" t="s">
        <v>4969</v>
      </c>
      <c r="F3570">
        <v>68</v>
      </c>
      <c r="G3570" t="s">
        <v>46</v>
      </c>
      <c r="H3570" t="s">
        <v>46</v>
      </c>
    </row>
    <row r="3571" spans="1:10" x14ac:dyDescent="0.3">
      <c r="A3571" t="s">
        <v>7915</v>
      </c>
      <c r="B3571" t="s">
        <v>27790</v>
      </c>
      <c r="C3571" t="s">
        <v>20487</v>
      </c>
      <c r="D3571" t="s">
        <v>22</v>
      </c>
      <c r="E3571" t="s">
        <v>3181</v>
      </c>
      <c r="F3571">
        <v>55</v>
      </c>
    </row>
    <row r="3572" spans="1:10" x14ac:dyDescent="0.3">
      <c r="A3572" t="s">
        <v>7916</v>
      </c>
      <c r="B3572" t="s">
        <v>27791</v>
      </c>
      <c r="C3572" t="s">
        <v>20487</v>
      </c>
      <c r="D3572" t="s">
        <v>22</v>
      </c>
      <c r="E3572" t="s">
        <v>7917</v>
      </c>
      <c r="F3572">
        <v>42</v>
      </c>
      <c r="G3572" t="s">
        <v>16</v>
      </c>
      <c r="H3572" t="s">
        <v>9785</v>
      </c>
    </row>
    <row r="3573" spans="1:10" x14ac:dyDescent="0.3">
      <c r="A3573" t="s">
        <v>7918</v>
      </c>
      <c r="B3573" t="s">
        <v>27792</v>
      </c>
      <c r="C3573" t="s">
        <v>20486</v>
      </c>
      <c r="D3573" t="s">
        <v>22</v>
      </c>
      <c r="E3573" t="s">
        <v>7919</v>
      </c>
      <c r="F3573">
        <v>43</v>
      </c>
      <c r="G3573" t="s">
        <v>16</v>
      </c>
      <c r="H3573" t="s">
        <v>9785</v>
      </c>
      <c r="I3573" t="s">
        <v>17</v>
      </c>
      <c r="J3573" t="s">
        <v>7920</v>
      </c>
    </row>
    <row r="3574" spans="1:10" x14ac:dyDescent="0.3">
      <c r="A3574" t="s">
        <v>7921</v>
      </c>
      <c r="B3574" t="s">
        <v>27793</v>
      </c>
      <c r="C3574" t="s">
        <v>20488</v>
      </c>
      <c r="D3574" t="s">
        <v>11</v>
      </c>
      <c r="E3574" t="s">
        <v>7922</v>
      </c>
      <c r="F3574">
        <v>47</v>
      </c>
      <c r="G3574" t="s">
        <v>109</v>
      </c>
      <c r="H3574" t="s">
        <v>9788</v>
      </c>
      <c r="J3574" t="s">
        <v>7923</v>
      </c>
    </row>
    <row r="3575" spans="1:10" x14ac:dyDescent="0.3">
      <c r="A3575" t="s">
        <v>7924</v>
      </c>
      <c r="B3575" t="s">
        <v>27794</v>
      </c>
      <c r="C3575" t="s">
        <v>20487</v>
      </c>
      <c r="D3575" t="s">
        <v>22</v>
      </c>
      <c r="E3575" t="s">
        <v>7925</v>
      </c>
      <c r="F3575">
        <v>41</v>
      </c>
      <c r="G3575" t="s">
        <v>16</v>
      </c>
      <c r="H3575" t="s">
        <v>9785</v>
      </c>
      <c r="I3575" t="s">
        <v>17</v>
      </c>
      <c r="J3575" t="s">
        <v>7926</v>
      </c>
    </row>
    <row r="3576" spans="1:10" x14ac:dyDescent="0.3">
      <c r="A3576" t="s">
        <v>7927</v>
      </c>
      <c r="B3576" t="s">
        <v>27795</v>
      </c>
      <c r="C3576" t="s">
        <v>20488</v>
      </c>
      <c r="D3576" t="s">
        <v>11</v>
      </c>
      <c r="E3576" t="s">
        <v>7928</v>
      </c>
      <c r="F3576">
        <v>39</v>
      </c>
      <c r="G3576" t="s">
        <v>109</v>
      </c>
      <c r="H3576" t="s">
        <v>9788</v>
      </c>
      <c r="I3576" t="s">
        <v>1011</v>
      </c>
      <c r="J3576" t="s">
        <v>7929</v>
      </c>
    </row>
    <row r="3577" spans="1:10" x14ac:dyDescent="0.3">
      <c r="A3577" t="s">
        <v>7930</v>
      </c>
      <c r="B3577" t="s">
        <v>27796</v>
      </c>
      <c r="C3577" t="s">
        <v>20488</v>
      </c>
      <c r="D3577" t="s">
        <v>22</v>
      </c>
      <c r="E3577" t="s">
        <v>7931</v>
      </c>
      <c r="F3577">
        <v>41</v>
      </c>
      <c r="G3577" t="s">
        <v>16</v>
      </c>
      <c r="H3577" t="s">
        <v>9785</v>
      </c>
      <c r="I3577" t="s">
        <v>449</v>
      </c>
    </row>
    <row r="3578" spans="1:10" x14ac:dyDescent="0.3">
      <c r="A3578" t="s">
        <v>7932</v>
      </c>
      <c r="B3578" t="s">
        <v>27797</v>
      </c>
      <c r="C3578" t="s">
        <v>20486</v>
      </c>
      <c r="D3578" t="s">
        <v>11</v>
      </c>
      <c r="E3578" t="s">
        <v>7933</v>
      </c>
      <c r="F3578">
        <v>29</v>
      </c>
      <c r="G3578" t="s">
        <v>46</v>
      </c>
      <c r="H3578" t="s">
        <v>46</v>
      </c>
    </row>
    <row r="3579" spans="1:10" x14ac:dyDescent="0.3">
      <c r="A3579" t="s">
        <v>7934</v>
      </c>
      <c r="B3579" t="s">
        <v>27798</v>
      </c>
      <c r="C3579" t="s">
        <v>20487</v>
      </c>
      <c r="D3579" t="s">
        <v>22</v>
      </c>
      <c r="E3579" t="s">
        <v>7935</v>
      </c>
      <c r="F3579">
        <v>43</v>
      </c>
      <c r="G3579" t="s">
        <v>31</v>
      </c>
      <c r="H3579" t="s">
        <v>31</v>
      </c>
    </row>
    <row r="3580" spans="1:10" x14ac:dyDescent="0.3">
      <c r="A3580" t="s">
        <v>7936</v>
      </c>
      <c r="B3580" t="s">
        <v>27799</v>
      </c>
      <c r="C3580" t="s">
        <v>20487</v>
      </c>
      <c r="D3580" t="s">
        <v>22</v>
      </c>
      <c r="E3580" t="s">
        <v>7937</v>
      </c>
      <c r="F3580">
        <v>55</v>
      </c>
      <c r="G3580" t="s">
        <v>46</v>
      </c>
      <c r="H3580" t="s">
        <v>46</v>
      </c>
    </row>
    <row r="3581" spans="1:10" x14ac:dyDescent="0.3">
      <c r="A3581" t="s">
        <v>7938</v>
      </c>
      <c r="B3581" t="s">
        <v>27800</v>
      </c>
      <c r="C3581" t="s">
        <v>20486</v>
      </c>
      <c r="D3581" t="s">
        <v>11</v>
      </c>
      <c r="E3581" t="s">
        <v>7939</v>
      </c>
      <c r="F3581">
        <v>44</v>
      </c>
      <c r="G3581" t="s">
        <v>133</v>
      </c>
      <c r="H3581" t="s">
        <v>9789</v>
      </c>
    </row>
    <row r="3582" spans="1:10" x14ac:dyDescent="0.3">
      <c r="A3582" t="s">
        <v>7940</v>
      </c>
      <c r="B3582" t="s">
        <v>27801</v>
      </c>
      <c r="C3582" t="s">
        <v>20486</v>
      </c>
      <c r="D3582" t="s">
        <v>22</v>
      </c>
      <c r="E3582" t="s">
        <v>7941</v>
      </c>
      <c r="F3582">
        <v>36</v>
      </c>
      <c r="G3582" t="s">
        <v>109</v>
      </c>
      <c r="H3582" t="s">
        <v>9788</v>
      </c>
    </row>
    <row r="3583" spans="1:10" x14ac:dyDescent="0.3">
      <c r="A3583" t="s">
        <v>7942</v>
      </c>
      <c r="B3583" t="s">
        <v>27802</v>
      </c>
      <c r="C3583" t="s">
        <v>20486</v>
      </c>
      <c r="D3583" t="s">
        <v>22</v>
      </c>
      <c r="E3583" t="s">
        <v>7943</v>
      </c>
      <c r="F3583">
        <v>44</v>
      </c>
      <c r="G3583" t="s">
        <v>109</v>
      </c>
      <c r="H3583" t="s">
        <v>9788</v>
      </c>
    </row>
    <row r="3584" spans="1:10" x14ac:dyDescent="0.3">
      <c r="A3584" t="s">
        <v>7944</v>
      </c>
      <c r="B3584" t="s">
        <v>27803</v>
      </c>
      <c r="C3584" t="s">
        <v>20488</v>
      </c>
      <c r="D3584" t="s">
        <v>22</v>
      </c>
      <c r="E3584" t="s">
        <v>7945</v>
      </c>
      <c r="F3584">
        <v>43</v>
      </c>
      <c r="G3584" t="s">
        <v>31</v>
      </c>
      <c r="H3584" t="s">
        <v>31</v>
      </c>
    </row>
    <row r="3585" spans="1:10" x14ac:dyDescent="0.3">
      <c r="A3585" t="s">
        <v>7946</v>
      </c>
      <c r="B3585" t="s">
        <v>27804</v>
      </c>
      <c r="C3585" t="s">
        <v>20487</v>
      </c>
      <c r="D3585" t="s">
        <v>11</v>
      </c>
      <c r="E3585" t="s">
        <v>7947</v>
      </c>
      <c r="F3585">
        <v>35</v>
      </c>
      <c r="G3585" t="s">
        <v>109</v>
      </c>
      <c r="H3585" t="s">
        <v>9788</v>
      </c>
    </row>
    <row r="3586" spans="1:10" x14ac:dyDescent="0.3">
      <c r="A3586" t="s">
        <v>7948</v>
      </c>
      <c r="B3586" t="s">
        <v>27805</v>
      </c>
      <c r="C3586" t="s">
        <v>20486</v>
      </c>
      <c r="D3586" t="s">
        <v>11</v>
      </c>
      <c r="E3586" t="s">
        <v>3630</v>
      </c>
      <c r="F3586">
        <v>39</v>
      </c>
      <c r="G3586" t="s">
        <v>1200</v>
      </c>
      <c r="H3586" t="s">
        <v>9788</v>
      </c>
      <c r="J3586" t="s">
        <v>7949</v>
      </c>
    </row>
    <row r="3587" spans="1:10" x14ac:dyDescent="0.3">
      <c r="A3587" t="s">
        <v>7950</v>
      </c>
      <c r="B3587" t="s">
        <v>27806</v>
      </c>
      <c r="C3587" t="s">
        <v>20488</v>
      </c>
      <c r="D3587" t="s">
        <v>22</v>
      </c>
      <c r="E3587" t="s">
        <v>7951</v>
      </c>
      <c r="F3587">
        <v>64</v>
      </c>
      <c r="G3587" t="s">
        <v>31</v>
      </c>
      <c r="H3587" t="s">
        <v>31</v>
      </c>
    </row>
    <row r="3588" spans="1:10" x14ac:dyDescent="0.3">
      <c r="A3588" t="s">
        <v>7952</v>
      </c>
      <c r="B3588" t="s">
        <v>27807</v>
      </c>
      <c r="C3588" t="s">
        <v>20486</v>
      </c>
      <c r="D3588" t="s">
        <v>22</v>
      </c>
      <c r="E3588" t="s">
        <v>7953</v>
      </c>
      <c r="F3588">
        <v>35</v>
      </c>
      <c r="G3588" t="s">
        <v>31</v>
      </c>
      <c r="H3588" t="s">
        <v>31</v>
      </c>
    </row>
    <row r="3589" spans="1:10" x14ac:dyDescent="0.3">
      <c r="A3589" t="s">
        <v>7954</v>
      </c>
      <c r="B3589" t="s">
        <v>27808</v>
      </c>
      <c r="C3589" t="s">
        <v>20491</v>
      </c>
      <c r="D3589" t="s">
        <v>22</v>
      </c>
      <c r="E3589" t="s">
        <v>7955</v>
      </c>
      <c r="F3589">
        <v>40</v>
      </c>
      <c r="G3589" t="s">
        <v>31</v>
      </c>
      <c r="H3589" t="s">
        <v>31</v>
      </c>
    </row>
    <row r="3590" spans="1:10" x14ac:dyDescent="0.3">
      <c r="A3590" t="s">
        <v>7956</v>
      </c>
      <c r="B3590" t="s">
        <v>27809</v>
      </c>
      <c r="C3590" t="s">
        <v>20490</v>
      </c>
      <c r="D3590" t="s">
        <v>22</v>
      </c>
      <c r="E3590" t="s">
        <v>4596</v>
      </c>
      <c r="F3590">
        <v>38</v>
      </c>
      <c r="G3590" t="s">
        <v>109</v>
      </c>
      <c r="H3590" t="s">
        <v>9788</v>
      </c>
      <c r="I3590" t="s">
        <v>7957</v>
      </c>
      <c r="J3590" t="s">
        <v>7958</v>
      </c>
    </row>
    <row r="3591" spans="1:10" x14ac:dyDescent="0.3">
      <c r="A3591" t="s">
        <v>7959</v>
      </c>
      <c r="B3591" t="s">
        <v>27810</v>
      </c>
      <c r="C3591" t="s">
        <v>20489</v>
      </c>
      <c r="D3591" t="s">
        <v>22</v>
      </c>
      <c r="E3591" t="s">
        <v>3168</v>
      </c>
      <c r="F3591">
        <v>40</v>
      </c>
      <c r="G3591" t="s">
        <v>370</v>
      </c>
      <c r="H3591" t="s">
        <v>46</v>
      </c>
      <c r="I3591" t="s">
        <v>4540</v>
      </c>
      <c r="J3591" t="s">
        <v>14338</v>
      </c>
    </row>
    <row r="3592" spans="1:10" x14ac:dyDescent="0.3">
      <c r="A3592" t="s">
        <v>7960</v>
      </c>
      <c r="B3592" t="s">
        <v>27811</v>
      </c>
      <c r="C3592" t="s">
        <v>20486</v>
      </c>
      <c r="D3592" t="s">
        <v>11</v>
      </c>
      <c r="E3592" t="s">
        <v>7961</v>
      </c>
      <c r="F3592">
        <v>25</v>
      </c>
      <c r="G3592" t="s">
        <v>109</v>
      </c>
      <c r="H3592" t="s">
        <v>9788</v>
      </c>
    </row>
    <row r="3593" spans="1:10" x14ac:dyDescent="0.3">
      <c r="A3593" t="s">
        <v>7962</v>
      </c>
      <c r="B3593" t="s">
        <v>27812</v>
      </c>
      <c r="C3593" t="s">
        <v>20487</v>
      </c>
      <c r="D3593" t="s">
        <v>11</v>
      </c>
      <c r="E3593" t="s">
        <v>6724</v>
      </c>
      <c r="F3593">
        <v>44</v>
      </c>
      <c r="G3593" t="s">
        <v>172</v>
      </c>
      <c r="H3593" t="s">
        <v>12099</v>
      </c>
      <c r="J3593" t="s">
        <v>7963</v>
      </c>
    </row>
    <row r="3594" spans="1:10" x14ac:dyDescent="0.3">
      <c r="A3594" t="s">
        <v>7964</v>
      </c>
      <c r="B3594" t="s">
        <v>27813</v>
      </c>
      <c r="C3594" t="s">
        <v>20489</v>
      </c>
      <c r="D3594" t="s">
        <v>22</v>
      </c>
      <c r="E3594" t="s">
        <v>6132</v>
      </c>
      <c r="F3594">
        <v>54</v>
      </c>
      <c r="G3594" t="s">
        <v>243</v>
      </c>
      <c r="H3594" t="s">
        <v>243</v>
      </c>
    </row>
    <row r="3595" spans="1:10" x14ac:dyDescent="0.3">
      <c r="A3595" t="s">
        <v>7965</v>
      </c>
      <c r="B3595" t="s">
        <v>27814</v>
      </c>
      <c r="C3595" t="s">
        <v>20486</v>
      </c>
      <c r="D3595" t="s">
        <v>11</v>
      </c>
      <c r="E3595" t="s">
        <v>7966</v>
      </c>
      <c r="F3595">
        <v>34</v>
      </c>
      <c r="G3595" t="s">
        <v>16</v>
      </c>
      <c r="H3595" t="s">
        <v>9785</v>
      </c>
      <c r="I3595" t="s">
        <v>17</v>
      </c>
      <c r="J3595" t="s">
        <v>7967</v>
      </c>
    </row>
    <row r="3596" spans="1:10" x14ac:dyDescent="0.3">
      <c r="A3596" t="s">
        <v>7968</v>
      </c>
      <c r="B3596" t="s">
        <v>27815</v>
      </c>
      <c r="C3596" t="s">
        <v>20486</v>
      </c>
      <c r="D3596" t="s">
        <v>11</v>
      </c>
      <c r="E3596" t="s">
        <v>7969</v>
      </c>
      <c r="F3596">
        <v>36</v>
      </c>
      <c r="G3596" t="s">
        <v>46</v>
      </c>
      <c r="H3596" t="s">
        <v>46</v>
      </c>
      <c r="I3596" t="s">
        <v>228</v>
      </c>
    </row>
    <row r="3597" spans="1:10" x14ac:dyDescent="0.3">
      <c r="A3597" t="s">
        <v>7970</v>
      </c>
      <c r="B3597" t="s">
        <v>27816</v>
      </c>
      <c r="C3597" t="s">
        <v>20486</v>
      </c>
      <c r="D3597" t="s">
        <v>22</v>
      </c>
      <c r="E3597" t="s">
        <v>7790</v>
      </c>
      <c r="F3597">
        <v>35</v>
      </c>
      <c r="G3597" t="s">
        <v>16</v>
      </c>
      <c r="H3597" t="s">
        <v>9785</v>
      </c>
      <c r="I3597" t="s">
        <v>17</v>
      </c>
      <c r="J3597" t="s">
        <v>7971</v>
      </c>
    </row>
    <row r="3598" spans="1:10" x14ac:dyDescent="0.3">
      <c r="A3598" t="s">
        <v>7972</v>
      </c>
      <c r="B3598" t="s">
        <v>27817</v>
      </c>
      <c r="C3598" t="s">
        <v>20486</v>
      </c>
      <c r="D3598" t="s">
        <v>22</v>
      </c>
      <c r="E3598" t="s">
        <v>7973</v>
      </c>
      <c r="F3598">
        <v>39</v>
      </c>
      <c r="G3598" t="s">
        <v>16</v>
      </c>
      <c r="H3598" t="s">
        <v>9785</v>
      </c>
      <c r="I3598" t="s">
        <v>17</v>
      </c>
      <c r="J3598" t="s">
        <v>12527</v>
      </c>
    </row>
    <row r="3599" spans="1:10" x14ac:dyDescent="0.3">
      <c r="A3599" t="s">
        <v>7974</v>
      </c>
      <c r="B3599" t="s">
        <v>27818</v>
      </c>
      <c r="C3599" t="s">
        <v>20486</v>
      </c>
      <c r="D3599" t="s">
        <v>22</v>
      </c>
      <c r="E3599" t="s">
        <v>7975</v>
      </c>
      <c r="F3599">
        <v>52</v>
      </c>
      <c r="G3599" t="s">
        <v>31</v>
      </c>
      <c r="H3599" t="s">
        <v>31</v>
      </c>
      <c r="I3599" t="s">
        <v>7976</v>
      </c>
      <c r="J3599" t="s">
        <v>7977</v>
      </c>
    </row>
    <row r="3600" spans="1:10" x14ac:dyDescent="0.3">
      <c r="A3600" t="s">
        <v>7978</v>
      </c>
      <c r="B3600" t="s">
        <v>27819</v>
      </c>
      <c r="C3600" t="s">
        <v>20486</v>
      </c>
      <c r="D3600" t="s">
        <v>22</v>
      </c>
      <c r="E3600" t="s">
        <v>4325</v>
      </c>
      <c r="F3600">
        <v>35</v>
      </c>
      <c r="G3600" t="s">
        <v>109</v>
      </c>
      <c r="H3600" t="s">
        <v>9788</v>
      </c>
      <c r="I3600" t="s">
        <v>1802</v>
      </c>
      <c r="J3600" t="s">
        <v>7979</v>
      </c>
    </row>
    <row r="3601" spans="1:10" x14ac:dyDescent="0.3">
      <c r="A3601" t="s">
        <v>7980</v>
      </c>
      <c r="B3601" t="s">
        <v>27820</v>
      </c>
      <c r="C3601" t="s">
        <v>20486</v>
      </c>
      <c r="D3601" t="s">
        <v>22</v>
      </c>
      <c r="E3601" t="s">
        <v>5307</v>
      </c>
      <c r="F3601">
        <v>28</v>
      </c>
    </row>
    <row r="3602" spans="1:10" x14ac:dyDescent="0.3">
      <c r="A3602" t="s">
        <v>7981</v>
      </c>
      <c r="B3602" t="s">
        <v>27821</v>
      </c>
      <c r="C3602" t="s">
        <v>20491</v>
      </c>
      <c r="D3602" t="s">
        <v>22</v>
      </c>
      <c r="E3602" t="s">
        <v>2132</v>
      </c>
      <c r="F3602">
        <v>29</v>
      </c>
      <c r="G3602" t="s">
        <v>109</v>
      </c>
      <c r="H3602" t="s">
        <v>9788</v>
      </c>
      <c r="I3602" t="s">
        <v>7982</v>
      </c>
    </row>
    <row r="3603" spans="1:10" x14ac:dyDescent="0.3">
      <c r="A3603" t="s">
        <v>7983</v>
      </c>
      <c r="B3603" t="s">
        <v>27822</v>
      </c>
      <c r="C3603" t="s">
        <v>20486</v>
      </c>
      <c r="D3603" t="s">
        <v>11</v>
      </c>
      <c r="E3603" t="s">
        <v>7984</v>
      </c>
      <c r="F3603">
        <v>41</v>
      </c>
      <c r="G3603" t="s">
        <v>109</v>
      </c>
      <c r="H3603" t="s">
        <v>9788</v>
      </c>
      <c r="I3603" t="s">
        <v>3103</v>
      </c>
    </row>
    <row r="3604" spans="1:10" x14ac:dyDescent="0.3">
      <c r="A3604" t="s">
        <v>7985</v>
      </c>
      <c r="B3604" t="s">
        <v>27823</v>
      </c>
      <c r="C3604" t="s">
        <v>20488</v>
      </c>
      <c r="D3604" t="s">
        <v>11</v>
      </c>
      <c r="E3604" t="s">
        <v>7986</v>
      </c>
      <c r="F3604">
        <v>26</v>
      </c>
      <c r="G3604" t="s">
        <v>109</v>
      </c>
      <c r="H3604" t="s">
        <v>9788</v>
      </c>
      <c r="I3604" t="s">
        <v>7987</v>
      </c>
      <c r="J3604" t="s">
        <v>225</v>
      </c>
    </row>
    <row r="3605" spans="1:10" x14ac:dyDescent="0.3">
      <c r="A3605" t="s">
        <v>7988</v>
      </c>
      <c r="B3605" t="s">
        <v>27824</v>
      </c>
      <c r="C3605" t="s">
        <v>20491</v>
      </c>
      <c r="D3605" t="s">
        <v>22</v>
      </c>
      <c r="E3605" t="s">
        <v>6478</v>
      </c>
      <c r="F3605">
        <v>35</v>
      </c>
      <c r="G3605" t="s">
        <v>109</v>
      </c>
      <c r="H3605" t="s">
        <v>9788</v>
      </c>
      <c r="I3605" t="s">
        <v>4937</v>
      </c>
      <c r="J3605" t="s">
        <v>7989</v>
      </c>
    </row>
    <row r="3606" spans="1:10" x14ac:dyDescent="0.3">
      <c r="A3606" t="s">
        <v>7990</v>
      </c>
      <c r="B3606" t="s">
        <v>27825</v>
      </c>
      <c r="C3606" t="s">
        <v>20486</v>
      </c>
      <c r="D3606" t="s">
        <v>11</v>
      </c>
      <c r="E3606" t="s">
        <v>7991</v>
      </c>
      <c r="F3606">
        <v>38</v>
      </c>
      <c r="G3606" t="s">
        <v>109</v>
      </c>
      <c r="H3606" t="s">
        <v>9788</v>
      </c>
      <c r="I3606" t="s">
        <v>139</v>
      </c>
      <c r="J3606" t="s">
        <v>7992</v>
      </c>
    </row>
    <row r="3607" spans="1:10" x14ac:dyDescent="0.3">
      <c r="A3607" t="s">
        <v>7993</v>
      </c>
      <c r="B3607" t="s">
        <v>27826</v>
      </c>
      <c r="C3607" t="s">
        <v>20491</v>
      </c>
      <c r="D3607" t="s">
        <v>22</v>
      </c>
      <c r="E3607" t="s">
        <v>7994</v>
      </c>
      <c r="F3607">
        <v>40</v>
      </c>
      <c r="G3607" t="s">
        <v>46</v>
      </c>
      <c r="H3607" t="s">
        <v>46</v>
      </c>
      <c r="I3607" t="s">
        <v>2552</v>
      </c>
      <c r="J3607" t="s">
        <v>7995</v>
      </c>
    </row>
    <row r="3608" spans="1:10" x14ac:dyDescent="0.3">
      <c r="A3608" t="s">
        <v>7996</v>
      </c>
      <c r="B3608" t="s">
        <v>27827</v>
      </c>
      <c r="C3608" t="s">
        <v>20486</v>
      </c>
      <c r="D3608" t="s">
        <v>22</v>
      </c>
      <c r="E3608" t="s">
        <v>168</v>
      </c>
      <c r="F3608">
        <v>52</v>
      </c>
      <c r="G3608" t="s">
        <v>2055</v>
      </c>
      <c r="H3608" t="s">
        <v>9789</v>
      </c>
    </row>
    <row r="3609" spans="1:10" x14ac:dyDescent="0.3">
      <c r="A3609" t="s">
        <v>7997</v>
      </c>
      <c r="B3609" t="s">
        <v>27828</v>
      </c>
      <c r="C3609" t="s">
        <v>20491</v>
      </c>
      <c r="D3609" t="s">
        <v>22</v>
      </c>
      <c r="E3609" t="s">
        <v>7998</v>
      </c>
      <c r="F3609">
        <v>46</v>
      </c>
      <c r="G3609" t="s">
        <v>16</v>
      </c>
      <c r="H3609" t="s">
        <v>9785</v>
      </c>
      <c r="I3609" t="s">
        <v>231</v>
      </c>
    </row>
    <row r="3610" spans="1:10" x14ac:dyDescent="0.3">
      <c r="A3610" t="s">
        <v>12528</v>
      </c>
      <c r="B3610" t="s">
        <v>27829</v>
      </c>
      <c r="C3610" t="s">
        <v>20488</v>
      </c>
      <c r="D3610" t="s">
        <v>22</v>
      </c>
      <c r="E3610" t="s">
        <v>9598</v>
      </c>
      <c r="F3610">
        <v>17</v>
      </c>
      <c r="G3610" t="s">
        <v>337</v>
      </c>
      <c r="H3610" t="s">
        <v>337</v>
      </c>
    </row>
    <row r="3611" spans="1:10" x14ac:dyDescent="0.3">
      <c r="A3611" t="s">
        <v>8000</v>
      </c>
      <c r="B3611" t="s">
        <v>27830</v>
      </c>
      <c r="C3611" t="s">
        <v>20490</v>
      </c>
      <c r="D3611" t="s">
        <v>11</v>
      </c>
      <c r="E3611" t="s">
        <v>8001</v>
      </c>
      <c r="F3611">
        <v>60</v>
      </c>
      <c r="G3611" t="s">
        <v>109</v>
      </c>
      <c r="H3611" t="s">
        <v>9788</v>
      </c>
      <c r="I3611" t="s">
        <v>8002</v>
      </c>
    </row>
    <row r="3612" spans="1:10" x14ac:dyDescent="0.3">
      <c r="A3612" t="s">
        <v>8003</v>
      </c>
      <c r="B3612" t="s">
        <v>27831</v>
      </c>
      <c r="C3612" t="s">
        <v>20486</v>
      </c>
      <c r="D3612" t="s">
        <v>22</v>
      </c>
      <c r="E3612" t="s">
        <v>837</v>
      </c>
      <c r="F3612">
        <v>56</v>
      </c>
      <c r="G3612" t="s">
        <v>172</v>
      </c>
      <c r="H3612" t="s">
        <v>12099</v>
      </c>
      <c r="I3612" t="s">
        <v>17</v>
      </c>
    </row>
    <row r="3613" spans="1:10" x14ac:dyDescent="0.3">
      <c r="A3613" t="s">
        <v>8004</v>
      </c>
      <c r="B3613" t="s">
        <v>27832</v>
      </c>
      <c r="C3613" t="s">
        <v>20486</v>
      </c>
      <c r="D3613" t="s">
        <v>22</v>
      </c>
      <c r="E3613" t="s">
        <v>6458</v>
      </c>
      <c r="F3613">
        <v>49</v>
      </c>
      <c r="G3613" t="s">
        <v>31</v>
      </c>
      <c r="H3613" t="s">
        <v>31</v>
      </c>
    </row>
    <row r="3614" spans="1:10" x14ac:dyDescent="0.3">
      <c r="A3614" t="s">
        <v>12529</v>
      </c>
      <c r="B3614" t="s">
        <v>27833</v>
      </c>
      <c r="C3614" t="s">
        <v>20491</v>
      </c>
      <c r="D3614" t="s">
        <v>22</v>
      </c>
      <c r="E3614" t="s">
        <v>9597</v>
      </c>
      <c r="F3614">
        <v>13</v>
      </c>
      <c r="H3614" t="s">
        <v>337</v>
      </c>
    </row>
    <row r="3615" spans="1:10" x14ac:dyDescent="0.3">
      <c r="A3615" t="s">
        <v>8005</v>
      </c>
      <c r="B3615" t="s">
        <v>27834</v>
      </c>
      <c r="C3615" t="s">
        <v>20488</v>
      </c>
      <c r="D3615" t="s">
        <v>22</v>
      </c>
      <c r="E3615" t="s">
        <v>8006</v>
      </c>
      <c r="F3615">
        <v>34</v>
      </c>
      <c r="G3615" t="s">
        <v>109</v>
      </c>
      <c r="H3615" t="s">
        <v>9788</v>
      </c>
      <c r="I3615" t="s">
        <v>2808</v>
      </c>
      <c r="J3615" t="s">
        <v>8007</v>
      </c>
    </row>
    <row r="3616" spans="1:10" x14ac:dyDescent="0.3">
      <c r="A3616" t="s">
        <v>8008</v>
      </c>
      <c r="B3616" t="s">
        <v>27835</v>
      </c>
      <c r="C3616" t="s">
        <v>20486</v>
      </c>
      <c r="D3616" t="s">
        <v>11</v>
      </c>
      <c r="E3616" t="s">
        <v>8009</v>
      </c>
      <c r="F3616">
        <v>27</v>
      </c>
      <c r="G3616" t="s">
        <v>109</v>
      </c>
      <c r="H3616" t="s">
        <v>9788</v>
      </c>
      <c r="I3616" t="s">
        <v>8010</v>
      </c>
      <c r="J3616" t="s">
        <v>8011</v>
      </c>
    </row>
    <row r="3617" spans="1:10" x14ac:dyDescent="0.3">
      <c r="A3617" t="s">
        <v>8012</v>
      </c>
      <c r="B3617" t="s">
        <v>27836</v>
      </c>
      <c r="C3617" t="s">
        <v>20486</v>
      </c>
      <c r="D3617" t="s">
        <v>22</v>
      </c>
      <c r="E3617" t="s">
        <v>8013</v>
      </c>
      <c r="F3617">
        <v>36</v>
      </c>
      <c r="G3617" t="s">
        <v>109</v>
      </c>
      <c r="H3617" t="s">
        <v>9788</v>
      </c>
      <c r="I3617" t="s">
        <v>110</v>
      </c>
      <c r="J3617" t="s">
        <v>8014</v>
      </c>
    </row>
    <row r="3618" spans="1:10" x14ac:dyDescent="0.3">
      <c r="A3618" t="s">
        <v>8015</v>
      </c>
      <c r="B3618" t="s">
        <v>27837</v>
      </c>
      <c r="C3618" t="s">
        <v>20486</v>
      </c>
      <c r="D3618" t="s">
        <v>22</v>
      </c>
      <c r="E3618" t="s">
        <v>8016</v>
      </c>
      <c r="F3618">
        <v>53</v>
      </c>
      <c r="G3618" t="s">
        <v>31</v>
      </c>
      <c r="H3618" t="s">
        <v>31</v>
      </c>
    </row>
    <row r="3619" spans="1:10" x14ac:dyDescent="0.3">
      <c r="A3619" t="s">
        <v>8017</v>
      </c>
      <c r="B3619" t="s">
        <v>27838</v>
      </c>
      <c r="C3619" t="s">
        <v>20486</v>
      </c>
      <c r="D3619" t="s">
        <v>11</v>
      </c>
      <c r="E3619" t="s">
        <v>8018</v>
      </c>
      <c r="F3619">
        <v>55</v>
      </c>
      <c r="G3619" t="s">
        <v>46</v>
      </c>
      <c r="H3619" t="s">
        <v>46</v>
      </c>
    </row>
    <row r="3620" spans="1:10" x14ac:dyDescent="0.3">
      <c r="A3620" t="s">
        <v>8019</v>
      </c>
      <c r="B3620" t="s">
        <v>27839</v>
      </c>
      <c r="C3620" t="s">
        <v>20486</v>
      </c>
      <c r="D3620" t="s">
        <v>11</v>
      </c>
      <c r="E3620" t="s">
        <v>8020</v>
      </c>
      <c r="F3620">
        <v>29</v>
      </c>
      <c r="G3620" t="s">
        <v>109</v>
      </c>
      <c r="H3620" t="s">
        <v>9788</v>
      </c>
      <c r="I3620" t="s">
        <v>8021</v>
      </c>
    </row>
    <row r="3621" spans="1:10" x14ac:dyDescent="0.3">
      <c r="A3621" t="s">
        <v>8022</v>
      </c>
      <c r="B3621" t="s">
        <v>27840</v>
      </c>
      <c r="C3621" t="s">
        <v>20486</v>
      </c>
      <c r="D3621" t="s">
        <v>22</v>
      </c>
      <c r="E3621" t="s">
        <v>8023</v>
      </c>
      <c r="F3621">
        <v>83</v>
      </c>
    </row>
    <row r="3622" spans="1:10" x14ac:dyDescent="0.3">
      <c r="A3622" t="s">
        <v>8024</v>
      </c>
      <c r="B3622" t="s">
        <v>27841</v>
      </c>
      <c r="C3622" t="s">
        <v>20486</v>
      </c>
      <c r="D3622" t="s">
        <v>22</v>
      </c>
      <c r="E3622" t="s">
        <v>8025</v>
      </c>
      <c r="F3622">
        <v>34</v>
      </c>
      <c r="G3622" t="s">
        <v>31</v>
      </c>
      <c r="H3622" t="s">
        <v>31</v>
      </c>
    </row>
    <row r="3623" spans="1:10" x14ac:dyDescent="0.3">
      <c r="A3623" t="s">
        <v>8026</v>
      </c>
      <c r="B3623" t="s">
        <v>27842</v>
      </c>
      <c r="C3623" t="s">
        <v>20486</v>
      </c>
      <c r="D3623" t="s">
        <v>22</v>
      </c>
      <c r="E3623" t="s">
        <v>8027</v>
      </c>
      <c r="F3623">
        <v>42</v>
      </c>
      <c r="G3623" t="s">
        <v>31</v>
      </c>
      <c r="H3623" t="s">
        <v>31</v>
      </c>
    </row>
    <row r="3624" spans="1:10" x14ac:dyDescent="0.3">
      <c r="A3624" t="s">
        <v>8028</v>
      </c>
      <c r="B3624" t="s">
        <v>27843</v>
      </c>
      <c r="C3624" t="s">
        <v>20488</v>
      </c>
      <c r="D3624" t="s">
        <v>11</v>
      </c>
      <c r="E3624" t="s">
        <v>8029</v>
      </c>
      <c r="F3624">
        <v>25</v>
      </c>
      <c r="G3624" t="s">
        <v>109</v>
      </c>
      <c r="H3624" t="s">
        <v>9788</v>
      </c>
      <c r="I3624" t="s">
        <v>8030</v>
      </c>
      <c r="J3624" t="s">
        <v>5796</v>
      </c>
    </row>
    <row r="3625" spans="1:10" x14ac:dyDescent="0.3">
      <c r="A3625" t="s">
        <v>8031</v>
      </c>
      <c r="B3625" t="s">
        <v>27844</v>
      </c>
      <c r="C3625" t="s">
        <v>20486</v>
      </c>
      <c r="D3625" t="s">
        <v>11</v>
      </c>
      <c r="E3625" t="s">
        <v>2820</v>
      </c>
      <c r="F3625">
        <v>43</v>
      </c>
      <c r="G3625" t="s">
        <v>133</v>
      </c>
      <c r="H3625" t="s">
        <v>9789</v>
      </c>
    </row>
    <row r="3626" spans="1:10" x14ac:dyDescent="0.3">
      <c r="A3626" t="s">
        <v>8032</v>
      </c>
      <c r="B3626" t="s">
        <v>27845</v>
      </c>
      <c r="C3626" t="s">
        <v>20488</v>
      </c>
      <c r="D3626" t="s">
        <v>22</v>
      </c>
      <c r="E3626" t="s">
        <v>8033</v>
      </c>
      <c r="F3626">
        <v>39</v>
      </c>
      <c r="G3626" t="s">
        <v>31</v>
      </c>
      <c r="H3626" t="s">
        <v>31</v>
      </c>
    </row>
    <row r="3627" spans="1:10" x14ac:dyDescent="0.3">
      <c r="A3627" t="s">
        <v>8034</v>
      </c>
      <c r="B3627" t="s">
        <v>27846</v>
      </c>
      <c r="C3627" t="s">
        <v>20491</v>
      </c>
      <c r="D3627" t="s">
        <v>11</v>
      </c>
      <c r="E3627" t="s">
        <v>3388</v>
      </c>
      <c r="F3627">
        <v>53</v>
      </c>
      <c r="G3627" t="s">
        <v>46</v>
      </c>
      <c r="H3627" t="s">
        <v>46</v>
      </c>
      <c r="I3627" t="s">
        <v>8035</v>
      </c>
    </row>
    <row r="3628" spans="1:10" x14ac:dyDescent="0.3">
      <c r="A3628" t="s">
        <v>8036</v>
      </c>
      <c r="B3628" t="s">
        <v>27847</v>
      </c>
      <c r="C3628" t="s">
        <v>20488</v>
      </c>
      <c r="D3628" t="s">
        <v>22</v>
      </c>
      <c r="E3628" t="s">
        <v>8037</v>
      </c>
      <c r="F3628">
        <v>77</v>
      </c>
      <c r="G3628" t="s">
        <v>31</v>
      </c>
      <c r="H3628" t="s">
        <v>31</v>
      </c>
    </row>
    <row r="3629" spans="1:10" x14ac:dyDescent="0.3">
      <c r="A3629" t="s">
        <v>12530</v>
      </c>
      <c r="B3629" t="s">
        <v>27848</v>
      </c>
      <c r="C3629" t="s">
        <v>20488</v>
      </c>
      <c r="D3629" t="s">
        <v>11</v>
      </c>
      <c r="E3629" t="s">
        <v>12531</v>
      </c>
      <c r="F3629">
        <v>36</v>
      </c>
      <c r="G3629" t="s">
        <v>46</v>
      </c>
      <c r="H3629" t="s">
        <v>46</v>
      </c>
    </row>
    <row r="3630" spans="1:10" x14ac:dyDescent="0.3">
      <c r="A3630" t="s">
        <v>12532</v>
      </c>
      <c r="B3630" t="s">
        <v>27849</v>
      </c>
      <c r="C3630" t="s">
        <v>20491</v>
      </c>
      <c r="D3630" t="s">
        <v>22</v>
      </c>
      <c r="E3630" t="s">
        <v>5133</v>
      </c>
      <c r="F3630">
        <v>38</v>
      </c>
      <c r="G3630" t="s">
        <v>109</v>
      </c>
      <c r="H3630" t="s">
        <v>9788</v>
      </c>
    </row>
    <row r="3631" spans="1:10" x14ac:dyDescent="0.3">
      <c r="A3631" t="s">
        <v>12533</v>
      </c>
      <c r="B3631" t="s">
        <v>27850</v>
      </c>
      <c r="C3631" t="s">
        <v>20488</v>
      </c>
      <c r="D3631" t="s">
        <v>22</v>
      </c>
      <c r="E3631" t="s">
        <v>9596</v>
      </c>
      <c r="F3631">
        <v>19</v>
      </c>
      <c r="G3631" t="s">
        <v>337</v>
      </c>
      <c r="H3631" t="s">
        <v>337</v>
      </c>
      <c r="J3631" t="s">
        <v>617</v>
      </c>
    </row>
    <row r="3632" spans="1:10" x14ac:dyDescent="0.3">
      <c r="A3632" t="s">
        <v>8038</v>
      </c>
      <c r="B3632" t="s">
        <v>27851</v>
      </c>
      <c r="C3632" t="s">
        <v>20487</v>
      </c>
      <c r="D3632" t="s">
        <v>22</v>
      </c>
      <c r="E3632" t="s">
        <v>8039</v>
      </c>
      <c r="F3632">
        <v>48</v>
      </c>
    </row>
    <row r="3633" spans="1:10" x14ac:dyDescent="0.3">
      <c r="A3633" t="s">
        <v>8040</v>
      </c>
      <c r="B3633" t="s">
        <v>27852</v>
      </c>
      <c r="C3633" t="s">
        <v>20489</v>
      </c>
      <c r="D3633" t="s">
        <v>22</v>
      </c>
      <c r="E3633" t="s">
        <v>8041</v>
      </c>
      <c r="F3633">
        <v>46</v>
      </c>
      <c r="G3633" t="s">
        <v>31</v>
      </c>
      <c r="H3633" t="s">
        <v>31</v>
      </c>
    </row>
    <row r="3634" spans="1:10" x14ac:dyDescent="0.3">
      <c r="A3634" t="s">
        <v>8042</v>
      </c>
      <c r="B3634" t="s">
        <v>27853</v>
      </c>
      <c r="C3634" t="s">
        <v>20486</v>
      </c>
      <c r="D3634" t="s">
        <v>22</v>
      </c>
      <c r="E3634" t="s">
        <v>846</v>
      </c>
      <c r="F3634">
        <v>55</v>
      </c>
      <c r="G3634" t="s">
        <v>31</v>
      </c>
      <c r="H3634" t="s">
        <v>31</v>
      </c>
    </row>
    <row r="3635" spans="1:10" x14ac:dyDescent="0.3">
      <c r="A3635" t="s">
        <v>8043</v>
      </c>
      <c r="B3635" t="s">
        <v>27854</v>
      </c>
      <c r="C3635" t="s">
        <v>20486</v>
      </c>
      <c r="D3635" t="s">
        <v>11</v>
      </c>
      <c r="E3635" t="s">
        <v>723</v>
      </c>
      <c r="F3635">
        <v>52</v>
      </c>
      <c r="G3635" t="s">
        <v>109</v>
      </c>
      <c r="H3635" t="s">
        <v>9788</v>
      </c>
    </row>
    <row r="3636" spans="1:10" x14ac:dyDescent="0.3">
      <c r="A3636" t="s">
        <v>8044</v>
      </c>
      <c r="B3636" t="s">
        <v>27855</v>
      </c>
      <c r="C3636" t="s">
        <v>20490</v>
      </c>
      <c r="D3636" t="s">
        <v>11</v>
      </c>
      <c r="E3636" t="s">
        <v>6591</v>
      </c>
      <c r="F3636">
        <v>35</v>
      </c>
      <c r="G3636" t="s">
        <v>133</v>
      </c>
      <c r="H3636" t="s">
        <v>9789</v>
      </c>
    </row>
    <row r="3637" spans="1:10" x14ac:dyDescent="0.3">
      <c r="A3637" t="s">
        <v>8045</v>
      </c>
      <c r="B3637" t="s">
        <v>27856</v>
      </c>
      <c r="C3637" t="s">
        <v>20487</v>
      </c>
      <c r="D3637" t="s">
        <v>22</v>
      </c>
      <c r="E3637" t="s">
        <v>8046</v>
      </c>
      <c r="F3637">
        <v>27</v>
      </c>
    </row>
    <row r="3638" spans="1:10" x14ac:dyDescent="0.3">
      <c r="A3638" t="s">
        <v>8047</v>
      </c>
      <c r="B3638" t="s">
        <v>27857</v>
      </c>
      <c r="C3638" t="s">
        <v>20486</v>
      </c>
      <c r="D3638" t="s">
        <v>22</v>
      </c>
      <c r="E3638" t="s">
        <v>8048</v>
      </c>
      <c r="F3638">
        <v>67</v>
      </c>
      <c r="G3638" t="s">
        <v>46</v>
      </c>
      <c r="H3638" t="s">
        <v>46</v>
      </c>
      <c r="I3638" t="s">
        <v>228</v>
      </c>
    </row>
    <row r="3639" spans="1:10" x14ac:dyDescent="0.3">
      <c r="A3639" t="s">
        <v>8049</v>
      </c>
      <c r="B3639" t="s">
        <v>27858</v>
      </c>
      <c r="C3639" t="s">
        <v>20486</v>
      </c>
      <c r="D3639" t="s">
        <v>22</v>
      </c>
      <c r="E3639" t="s">
        <v>8050</v>
      </c>
      <c r="F3639">
        <v>53</v>
      </c>
      <c r="G3639" t="s">
        <v>31</v>
      </c>
      <c r="H3639" t="s">
        <v>31</v>
      </c>
    </row>
    <row r="3640" spans="1:10" x14ac:dyDescent="0.3">
      <c r="A3640" t="s">
        <v>8051</v>
      </c>
      <c r="B3640" t="s">
        <v>27859</v>
      </c>
      <c r="C3640" t="s">
        <v>20488</v>
      </c>
      <c r="D3640" t="s">
        <v>11</v>
      </c>
      <c r="E3640" t="s">
        <v>8052</v>
      </c>
      <c r="F3640">
        <v>42</v>
      </c>
      <c r="G3640" t="s">
        <v>31</v>
      </c>
      <c r="H3640" t="s">
        <v>31</v>
      </c>
    </row>
    <row r="3641" spans="1:10" x14ac:dyDescent="0.3">
      <c r="A3641" t="s">
        <v>8053</v>
      </c>
      <c r="B3641" t="s">
        <v>27860</v>
      </c>
      <c r="C3641" t="s">
        <v>20486</v>
      </c>
      <c r="D3641" t="s">
        <v>11</v>
      </c>
      <c r="E3641" t="s">
        <v>8054</v>
      </c>
      <c r="F3641">
        <v>40</v>
      </c>
      <c r="G3641" t="s">
        <v>46</v>
      </c>
      <c r="H3641" t="s">
        <v>46</v>
      </c>
      <c r="I3641" t="s">
        <v>228</v>
      </c>
    </row>
    <row r="3642" spans="1:10" x14ac:dyDescent="0.3">
      <c r="A3642" t="s">
        <v>8055</v>
      </c>
      <c r="B3642" t="s">
        <v>27861</v>
      </c>
      <c r="C3642" t="s">
        <v>20491</v>
      </c>
      <c r="D3642" t="s">
        <v>22</v>
      </c>
      <c r="E3642" t="s">
        <v>1710</v>
      </c>
      <c r="F3642">
        <v>48</v>
      </c>
      <c r="G3642" t="s">
        <v>370</v>
      </c>
      <c r="H3642" t="s">
        <v>46</v>
      </c>
      <c r="I3642" t="s">
        <v>1197</v>
      </c>
    </row>
    <row r="3643" spans="1:10" x14ac:dyDescent="0.3">
      <c r="A3643" t="s">
        <v>8056</v>
      </c>
      <c r="B3643" t="s">
        <v>27862</v>
      </c>
      <c r="C3643" t="s">
        <v>20486</v>
      </c>
      <c r="D3643" t="s">
        <v>11</v>
      </c>
      <c r="E3643" t="s">
        <v>8057</v>
      </c>
      <c r="F3643">
        <v>39</v>
      </c>
      <c r="G3643" t="s">
        <v>109</v>
      </c>
      <c r="H3643" t="s">
        <v>9788</v>
      </c>
      <c r="I3643" t="s">
        <v>228</v>
      </c>
      <c r="J3643" t="s">
        <v>8058</v>
      </c>
    </row>
    <row r="3644" spans="1:10" x14ac:dyDescent="0.3">
      <c r="A3644" t="s">
        <v>8059</v>
      </c>
      <c r="B3644" t="s">
        <v>27863</v>
      </c>
      <c r="C3644" t="s">
        <v>20486</v>
      </c>
      <c r="D3644" t="s">
        <v>11</v>
      </c>
      <c r="E3644" t="s">
        <v>3639</v>
      </c>
      <c r="F3644">
        <v>47</v>
      </c>
      <c r="G3644" t="s">
        <v>109</v>
      </c>
      <c r="H3644" t="s">
        <v>9788</v>
      </c>
      <c r="I3644" t="s">
        <v>228</v>
      </c>
      <c r="J3644" t="s">
        <v>8060</v>
      </c>
    </row>
    <row r="3645" spans="1:10" x14ac:dyDescent="0.3">
      <c r="A3645" t="s">
        <v>8061</v>
      </c>
      <c r="B3645" t="s">
        <v>27864</v>
      </c>
      <c r="C3645" t="s">
        <v>20486</v>
      </c>
      <c r="D3645" t="s">
        <v>11</v>
      </c>
      <c r="E3645" t="s">
        <v>8062</v>
      </c>
      <c r="F3645">
        <v>37</v>
      </c>
      <c r="G3645" t="s">
        <v>109</v>
      </c>
      <c r="H3645" t="s">
        <v>9788</v>
      </c>
      <c r="I3645" t="s">
        <v>8063</v>
      </c>
      <c r="J3645" t="s">
        <v>3250</v>
      </c>
    </row>
    <row r="3646" spans="1:10" x14ac:dyDescent="0.3">
      <c r="A3646" t="s">
        <v>8064</v>
      </c>
      <c r="B3646" t="s">
        <v>27865</v>
      </c>
      <c r="C3646" t="s">
        <v>20486</v>
      </c>
      <c r="D3646" t="s">
        <v>11</v>
      </c>
      <c r="E3646" t="s">
        <v>336</v>
      </c>
      <c r="F3646">
        <v>27</v>
      </c>
      <c r="G3646" t="s">
        <v>827</v>
      </c>
      <c r="H3646" t="s">
        <v>12099</v>
      </c>
      <c r="I3646" t="s">
        <v>1057</v>
      </c>
      <c r="J3646" t="s">
        <v>1231</v>
      </c>
    </row>
    <row r="3647" spans="1:10" x14ac:dyDescent="0.3">
      <c r="A3647" t="s">
        <v>8065</v>
      </c>
      <c r="B3647" t="s">
        <v>27866</v>
      </c>
      <c r="C3647" t="s">
        <v>20491</v>
      </c>
      <c r="D3647" t="s">
        <v>22</v>
      </c>
      <c r="E3647" t="s">
        <v>8066</v>
      </c>
      <c r="F3647">
        <v>62</v>
      </c>
      <c r="G3647" t="s">
        <v>370</v>
      </c>
      <c r="H3647" t="s">
        <v>46</v>
      </c>
    </row>
    <row r="3648" spans="1:10" x14ac:dyDescent="0.3">
      <c r="A3648" t="s">
        <v>12534</v>
      </c>
      <c r="B3648" t="s">
        <v>27867</v>
      </c>
      <c r="C3648" t="s">
        <v>20490</v>
      </c>
      <c r="D3648" t="s">
        <v>22</v>
      </c>
      <c r="E3648" t="s">
        <v>9595</v>
      </c>
      <c r="F3648">
        <v>23</v>
      </c>
      <c r="G3648" t="s">
        <v>109</v>
      </c>
      <c r="H3648" t="s">
        <v>243</v>
      </c>
      <c r="I3648" t="s">
        <v>7020</v>
      </c>
    </row>
    <row r="3649" spans="1:10" x14ac:dyDescent="0.3">
      <c r="A3649" t="s">
        <v>8067</v>
      </c>
      <c r="B3649" t="s">
        <v>27868</v>
      </c>
      <c r="C3649" t="s">
        <v>20486</v>
      </c>
      <c r="D3649" t="s">
        <v>22</v>
      </c>
      <c r="E3649" t="s">
        <v>8068</v>
      </c>
      <c r="F3649">
        <v>57</v>
      </c>
      <c r="G3649" t="s">
        <v>31</v>
      </c>
      <c r="H3649" t="s">
        <v>31</v>
      </c>
    </row>
    <row r="3650" spans="1:10" x14ac:dyDescent="0.3">
      <c r="A3650" t="s">
        <v>8069</v>
      </c>
      <c r="B3650" t="s">
        <v>27869</v>
      </c>
      <c r="C3650" t="s">
        <v>20486</v>
      </c>
      <c r="D3650" t="s">
        <v>22</v>
      </c>
      <c r="E3650" t="s">
        <v>8070</v>
      </c>
      <c r="F3650">
        <v>49</v>
      </c>
      <c r="G3650" t="s">
        <v>31</v>
      </c>
      <c r="H3650" t="s">
        <v>31</v>
      </c>
    </row>
    <row r="3651" spans="1:10" x14ac:dyDescent="0.3">
      <c r="A3651" t="s">
        <v>8071</v>
      </c>
      <c r="B3651" t="s">
        <v>27870</v>
      </c>
      <c r="C3651" t="s">
        <v>20486</v>
      </c>
      <c r="D3651" t="s">
        <v>22</v>
      </c>
      <c r="E3651" t="s">
        <v>8072</v>
      </c>
      <c r="F3651">
        <v>51</v>
      </c>
      <c r="G3651" t="s">
        <v>109</v>
      </c>
      <c r="H3651" t="s">
        <v>9788</v>
      </c>
    </row>
    <row r="3652" spans="1:10" x14ac:dyDescent="0.3">
      <c r="A3652" t="s">
        <v>8073</v>
      </c>
      <c r="B3652" t="s">
        <v>27871</v>
      </c>
      <c r="C3652" t="s">
        <v>20487</v>
      </c>
      <c r="D3652" t="s">
        <v>22</v>
      </c>
      <c r="E3652" t="s">
        <v>8074</v>
      </c>
      <c r="F3652">
        <v>55</v>
      </c>
    </row>
    <row r="3653" spans="1:10" x14ac:dyDescent="0.3">
      <c r="A3653" t="s">
        <v>8075</v>
      </c>
      <c r="B3653" t="s">
        <v>27872</v>
      </c>
      <c r="C3653" t="s">
        <v>20488</v>
      </c>
      <c r="D3653" t="s">
        <v>22</v>
      </c>
      <c r="E3653" t="s">
        <v>8076</v>
      </c>
      <c r="F3653">
        <v>36</v>
      </c>
      <c r="G3653" t="s">
        <v>31</v>
      </c>
      <c r="H3653" t="s">
        <v>31</v>
      </c>
    </row>
    <row r="3654" spans="1:10" x14ac:dyDescent="0.3">
      <c r="A3654" t="s">
        <v>8077</v>
      </c>
      <c r="B3654" t="s">
        <v>27873</v>
      </c>
      <c r="C3654" t="s">
        <v>20490</v>
      </c>
      <c r="D3654" t="s">
        <v>11</v>
      </c>
      <c r="E3654" t="s">
        <v>8078</v>
      </c>
      <c r="F3654">
        <v>28</v>
      </c>
      <c r="G3654" t="s">
        <v>109</v>
      </c>
      <c r="H3654" t="s">
        <v>9788</v>
      </c>
    </row>
    <row r="3655" spans="1:10" x14ac:dyDescent="0.3">
      <c r="A3655" t="s">
        <v>8079</v>
      </c>
      <c r="B3655" t="s">
        <v>27874</v>
      </c>
      <c r="C3655" t="s">
        <v>20486</v>
      </c>
      <c r="D3655" t="s">
        <v>22</v>
      </c>
      <c r="E3655" t="s">
        <v>8080</v>
      </c>
      <c r="F3655">
        <v>57</v>
      </c>
      <c r="G3655" t="s">
        <v>16</v>
      </c>
      <c r="H3655" t="s">
        <v>9785</v>
      </c>
      <c r="I3655" t="s">
        <v>17</v>
      </c>
      <c r="J3655" t="s">
        <v>8081</v>
      </c>
    </row>
    <row r="3656" spans="1:10" x14ac:dyDescent="0.3">
      <c r="A3656" t="s">
        <v>8082</v>
      </c>
      <c r="B3656" t="s">
        <v>27875</v>
      </c>
      <c r="C3656" t="s">
        <v>20486</v>
      </c>
      <c r="D3656" t="s">
        <v>22</v>
      </c>
      <c r="E3656" t="s">
        <v>4060</v>
      </c>
      <c r="F3656">
        <v>43</v>
      </c>
      <c r="G3656" t="s">
        <v>172</v>
      </c>
      <c r="H3656" t="s">
        <v>12099</v>
      </c>
      <c r="I3656" t="s">
        <v>8083</v>
      </c>
      <c r="J3656" t="s">
        <v>8083</v>
      </c>
    </row>
    <row r="3657" spans="1:10" x14ac:dyDescent="0.3">
      <c r="A3657" t="s">
        <v>12535</v>
      </c>
      <c r="B3657" t="s">
        <v>27876</v>
      </c>
      <c r="C3657" t="s">
        <v>20488</v>
      </c>
      <c r="D3657" t="s">
        <v>11</v>
      </c>
      <c r="E3657" t="s">
        <v>12536</v>
      </c>
      <c r="F3657">
        <v>37</v>
      </c>
      <c r="G3657" t="s">
        <v>109</v>
      </c>
      <c r="H3657" t="s">
        <v>9788</v>
      </c>
    </row>
    <row r="3658" spans="1:10" x14ac:dyDescent="0.3">
      <c r="A3658" t="s">
        <v>12537</v>
      </c>
      <c r="B3658" t="s">
        <v>27877</v>
      </c>
      <c r="C3658" t="s">
        <v>20488</v>
      </c>
      <c r="D3658" t="s">
        <v>11</v>
      </c>
      <c r="E3658" t="s">
        <v>12538</v>
      </c>
      <c r="F3658">
        <v>71</v>
      </c>
      <c r="G3658" t="s">
        <v>109</v>
      </c>
      <c r="H3658" t="s">
        <v>9788</v>
      </c>
    </row>
    <row r="3659" spans="1:10" x14ac:dyDescent="0.3">
      <c r="A3659" t="s">
        <v>12539</v>
      </c>
      <c r="B3659" t="s">
        <v>27878</v>
      </c>
      <c r="C3659" t="s">
        <v>20488</v>
      </c>
      <c r="D3659" t="s">
        <v>22</v>
      </c>
      <c r="E3659" t="s">
        <v>12540</v>
      </c>
      <c r="F3659">
        <v>66</v>
      </c>
      <c r="G3659" t="s">
        <v>5098</v>
      </c>
      <c r="H3659" t="s">
        <v>9785</v>
      </c>
    </row>
    <row r="3660" spans="1:10" x14ac:dyDescent="0.3">
      <c r="A3660" t="s">
        <v>12541</v>
      </c>
      <c r="B3660" t="s">
        <v>27879</v>
      </c>
      <c r="C3660" t="s">
        <v>20486</v>
      </c>
      <c r="D3660" t="s">
        <v>22</v>
      </c>
      <c r="E3660" t="s">
        <v>7218</v>
      </c>
      <c r="F3660">
        <v>44</v>
      </c>
      <c r="G3660" t="s">
        <v>243</v>
      </c>
      <c r="H3660" t="s">
        <v>243</v>
      </c>
    </row>
    <row r="3661" spans="1:10" x14ac:dyDescent="0.3">
      <c r="A3661" t="s">
        <v>8084</v>
      </c>
      <c r="B3661" t="s">
        <v>27880</v>
      </c>
      <c r="C3661" t="s">
        <v>20486</v>
      </c>
      <c r="D3661" t="s">
        <v>11</v>
      </c>
      <c r="E3661" t="s">
        <v>8085</v>
      </c>
      <c r="F3661">
        <v>36</v>
      </c>
      <c r="G3661" t="s">
        <v>31</v>
      </c>
      <c r="H3661" t="s">
        <v>31</v>
      </c>
    </row>
    <row r="3662" spans="1:10" x14ac:dyDescent="0.3">
      <c r="A3662" t="s">
        <v>8086</v>
      </c>
      <c r="B3662" t="s">
        <v>27881</v>
      </c>
      <c r="C3662" t="s">
        <v>20488</v>
      </c>
      <c r="D3662" t="s">
        <v>22</v>
      </c>
      <c r="E3662" t="s">
        <v>8087</v>
      </c>
      <c r="F3662">
        <v>86</v>
      </c>
      <c r="G3662" t="s">
        <v>31</v>
      </c>
      <c r="H3662" t="s">
        <v>31</v>
      </c>
    </row>
    <row r="3663" spans="1:10" x14ac:dyDescent="0.3">
      <c r="A3663" t="s">
        <v>8088</v>
      </c>
      <c r="B3663" t="s">
        <v>27882</v>
      </c>
      <c r="C3663" t="s">
        <v>20491</v>
      </c>
      <c r="D3663" t="s">
        <v>22</v>
      </c>
      <c r="E3663" t="s">
        <v>8089</v>
      </c>
      <c r="F3663">
        <v>44</v>
      </c>
      <c r="G3663" t="s">
        <v>1439</v>
      </c>
      <c r="H3663" t="s">
        <v>46</v>
      </c>
      <c r="I3663" t="s">
        <v>371</v>
      </c>
    </row>
    <row r="3664" spans="1:10" x14ac:dyDescent="0.3">
      <c r="A3664" t="s">
        <v>8090</v>
      </c>
      <c r="B3664" t="s">
        <v>27883</v>
      </c>
      <c r="C3664" t="s">
        <v>20491</v>
      </c>
      <c r="D3664" t="s">
        <v>22</v>
      </c>
      <c r="E3664" t="s">
        <v>8091</v>
      </c>
      <c r="F3664">
        <v>41</v>
      </c>
      <c r="G3664" t="s">
        <v>1439</v>
      </c>
      <c r="H3664" t="s">
        <v>46</v>
      </c>
      <c r="I3664" t="s">
        <v>3371</v>
      </c>
    </row>
    <row r="3665" spans="1:10" x14ac:dyDescent="0.3">
      <c r="A3665" t="s">
        <v>8092</v>
      </c>
      <c r="B3665" t="s">
        <v>27884</v>
      </c>
      <c r="C3665" t="s">
        <v>20491</v>
      </c>
      <c r="D3665" t="s">
        <v>22</v>
      </c>
      <c r="E3665" t="s">
        <v>8093</v>
      </c>
      <c r="F3665">
        <v>39</v>
      </c>
      <c r="G3665" t="s">
        <v>46</v>
      </c>
      <c r="H3665" t="s">
        <v>46</v>
      </c>
      <c r="I3665" t="s">
        <v>669</v>
      </c>
    </row>
    <row r="3666" spans="1:10" x14ac:dyDescent="0.3">
      <c r="A3666" t="s">
        <v>8094</v>
      </c>
      <c r="B3666" t="s">
        <v>27885</v>
      </c>
      <c r="C3666" t="s">
        <v>20491</v>
      </c>
      <c r="D3666" t="s">
        <v>22</v>
      </c>
      <c r="E3666" t="s">
        <v>8095</v>
      </c>
      <c r="F3666">
        <v>49</v>
      </c>
      <c r="G3666" t="s">
        <v>1439</v>
      </c>
      <c r="H3666" t="s">
        <v>46</v>
      </c>
      <c r="I3666" t="s">
        <v>8096</v>
      </c>
    </row>
    <row r="3667" spans="1:10" x14ac:dyDescent="0.3">
      <c r="A3667" t="s">
        <v>8097</v>
      </c>
      <c r="B3667" t="s">
        <v>27886</v>
      </c>
      <c r="C3667" t="s">
        <v>20486</v>
      </c>
      <c r="D3667" t="s">
        <v>11</v>
      </c>
      <c r="E3667" t="s">
        <v>8098</v>
      </c>
      <c r="F3667">
        <v>34</v>
      </c>
      <c r="G3667" t="s">
        <v>31</v>
      </c>
      <c r="H3667" t="s">
        <v>31</v>
      </c>
    </row>
    <row r="3668" spans="1:10" x14ac:dyDescent="0.3">
      <c r="A3668" t="s">
        <v>8099</v>
      </c>
      <c r="B3668" t="s">
        <v>27887</v>
      </c>
      <c r="C3668" t="s">
        <v>20486</v>
      </c>
      <c r="D3668" t="s">
        <v>11</v>
      </c>
      <c r="E3668" t="s">
        <v>8100</v>
      </c>
      <c r="F3668">
        <v>39</v>
      </c>
      <c r="G3668" t="s">
        <v>1439</v>
      </c>
      <c r="H3668" t="s">
        <v>46</v>
      </c>
      <c r="I3668" t="s">
        <v>8101</v>
      </c>
    </row>
    <row r="3669" spans="1:10" x14ac:dyDescent="0.3">
      <c r="A3669" t="s">
        <v>8102</v>
      </c>
      <c r="B3669" t="s">
        <v>27888</v>
      </c>
      <c r="C3669" t="s">
        <v>20486</v>
      </c>
      <c r="D3669" t="s">
        <v>22</v>
      </c>
      <c r="E3669" t="s">
        <v>8103</v>
      </c>
      <c r="F3669">
        <v>34</v>
      </c>
      <c r="G3669" t="s">
        <v>16</v>
      </c>
      <c r="H3669" t="s">
        <v>9785</v>
      </c>
      <c r="I3669" t="s">
        <v>1216</v>
      </c>
      <c r="J3669" t="s">
        <v>8104</v>
      </c>
    </row>
    <row r="3670" spans="1:10" x14ac:dyDescent="0.3">
      <c r="A3670" t="s">
        <v>8105</v>
      </c>
      <c r="B3670" t="s">
        <v>27889</v>
      </c>
      <c r="C3670" t="s">
        <v>20486</v>
      </c>
      <c r="D3670" t="s">
        <v>11</v>
      </c>
      <c r="E3670" t="s">
        <v>8106</v>
      </c>
      <c r="F3670">
        <v>37</v>
      </c>
      <c r="G3670" t="s">
        <v>46</v>
      </c>
      <c r="H3670" t="s">
        <v>46</v>
      </c>
      <c r="I3670" t="s">
        <v>139</v>
      </c>
    </row>
    <row r="3671" spans="1:10" x14ac:dyDescent="0.3">
      <c r="A3671" t="s">
        <v>8107</v>
      </c>
      <c r="B3671" t="s">
        <v>27890</v>
      </c>
      <c r="C3671" t="s">
        <v>20486</v>
      </c>
      <c r="D3671" t="s">
        <v>11</v>
      </c>
      <c r="E3671" t="s">
        <v>5611</v>
      </c>
      <c r="F3671">
        <v>42</v>
      </c>
      <c r="G3671" t="s">
        <v>109</v>
      </c>
      <c r="H3671" t="s">
        <v>9788</v>
      </c>
      <c r="I3671" t="s">
        <v>224</v>
      </c>
      <c r="J3671" t="s">
        <v>8108</v>
      </c>
    </row>
    <row r="3672" spans="1:10" x14ac:dyDescent="0.3">
      <c r="A3672" t="s">
        <v>8109</v>
      </c>
      <c r="B3672" t="s">
        <v>27891</v>
      </c>
      <c r="C3672" t="s">
        <v>20486</v>
      </c>
      <c r="D3672" t="s">
        <v>22</v>
      </c>
      <c r="E3672" t="s">
        <v>6822</v>
      </c>
      <c r="F3672">
        <v>35</v>
      </c>
    </row>
    <row r="3673" spans="1:10" x14ac:dyDescent="0.3">
      <c r="A3673" t="s">
        <v>8110</v>
      </c>
      <c r="B3673" t="s">
        <v>27892</v>
      </c>
      <c r="C3673" t="s">
        <v>20486</v>
      </c>
      <c r="D3673" t="s">
        <v>11</v>
      </c>
      <c r="E3673" t="s">
        <v>8111</v>
      </c>
      <c r="F3673">
        <v>39</v>
      </c>
      <c r="G3673" t="s">
        <v>46</v>
      </c>
      <c r="H3673" t="s">
        <v>46</v>
      </c>
      <c r="J3673" t="s">
        <v>8112</v>
      </c>
    </row>
    <row r="3674" spans="1:10" x14ac:dyDescent="0.3">
      <c r="A3674" t="s">
        <v>8113</v>
      </c>
      <c r="B3674" t="s">
        <v>27893</v>
      </c>
      <c r="C3674" t="s">
        <v>20488</v>
      </c>
      <c r="D3674" t="s">
        <v>11</v>
      </c>
      <c r="E3674" t="s">
        <v>1767</v>
      </c>
      <c r="F3674">
        <v>56</v>
      </c>
      <c r="G3674" t="s">
        <v>109</v>
      </c>
      <c r="H3674" t="s">
        <v>9788</v>
      </c>
    </row>
    <row r="3675" spans="1:10" x14ac:dyDescent="0.3">
      <c r="A3675" t="s">
        <v>8114</v>
      </c>
      <c r="B3675" t="s">
        <v>27894</v>
      </c>
      <c r="C3675" t="s">
        <v>20490</v>
      </c>
      <c r="D3675" t="s">
        <v>22</v>
      </c>
      <c r="E3675" t="s">
        <v>7250</v>
      </c>
      <c r="F3675">
        <v>54</v>
      </c>
      <c r="G3675" t="s">
        <v>16</v>
      </c>
      <c r="H3675" t="s">
        <v>9785</v>
      </c>
      <c r="I3675" t="s">
        <v>17</v>
      </c>
      <c r="J3675" t="s">
        <v>1788</v>
      </c>
    </row>
    <row r="3676" spans="1:10" x14ac:dyDescent="0.3">
      <c r="A3676" t="s">
        <v>8115</v>
      </c>
      <c r="B3676" t="s">
        <v>27895</v>
      </c>
      <c r="C3676" t="s">
        <v>20486</v>
      </c>
      <c r="D3676" t="s">
        <v>22</v>
      </c>
      <c r="E3676" t="s">
        <v>8116</v>
      </c>
      <c r="F3676">
        <v>27</v>
      </c>
      <c r="G3676" t="s">
        <v>46</v>
      </c>
      <c r="H3676" t="s">
        <v>46</v>
      </c>
      <c r="I3676" t="s">
        <v>7503</v>
      </c>
    </row>
    <row r="3677" spans="1:10" x14ac:dyDescent="0.3">
      <c r="A3677" t="s">
        <v>8117</v>
      </c>
      <c r="B3677" t="s">
        <v>27896</v>
      </c>
      <c r="C3677" t="s">
        <v>20487</v>
      </c>
      <c r="D3677" t="s">
        <v>11</v>
      </c>
      <c r="E3677" t="s">
        <v>8118</v>
      </c>
      <c r="F3677">
        <v>36</v>
      </c>
    </row>
    <row r="3678" spans="1:10" x14ac:dyDescent="0.3">
      <c r="A3678" t="s">
        <v>8119</v>
      </c>
      <c r="B3678" t="s">
        <v>27897</v>
      </c>
      <c r="C3678" t="s">
        <v>20486</v>
      </c>
      <c r="D3678" t="s">
        <v>22</v>
      </c>
      <c r="E3678" t="s">
        <v>8120</v>
      </c>
      <c r="F3678">
        <v>40</v>
      </c>
    </row>
    <row r="3679" spans="1:10" x14ac:dyDescent="0.3">
      <c r="A3679" t="s">
        <v>8121</v>
      </c>
      <c r="B3679" t="s">
        <v>27898</v>
      </c>
      <c r="C3679" t="s">
        <v>20486</v>
      </c>
      <c r="D3679" t="s">
        <v>22</v>
      </c>
      <c r="E3679" t="s">
        <v>8122</v>
      </c>
      <c r="F3679">
        <v>34</v>
      </c>
      <c r="G3679" t="s">
        <v>109</v>
      </c>
      <c r="H3679" t="s">
        <v>9788</v>
      </c>
    </row>
    <row r="3680" spans="1:10" x14ac:dyDescent="0.3">
      <c r="A3680" t="s">
        <v>8123</v>
      </c>
      <c r="B3680" t="s">
        <v>27899</v>
      </c>
      <c r="C3680" t="s">
        <v>20486</v>
      </c>
      <c r="D3680" t="s">
        <v>11</v>
      </c>
      <c r="E3680" t="s">
        <v>8124</v>
      </c>
      <c r="F3680">
        <v>41</v>
      </c>
      <c r="G3680" t="s">
        <v>46</v>
      </c>
      <c r="H3680" t="s">
        <v>46</v>
      </c>
    </row>
    <row r="3681" spans="1:10" x14ac:dyDescent="0.3">
      <c r="A3681" t="s">
        <v>8125</v>
      </c>
      <c r="B3681" t="s">
        <v>27900</v>
      </c>
      <c r="C3681" t="s">
        <v>20486</v>
      </c>
      <c r="D3681" t="s">
        <v>11</v>
      </c>
      <c r="E3681" t="s">
        <v>1613</v>
      </c>
      <c r="F3681">
        <v>42</v>
      </c>
      <c r="G3681" t="s">
        <v>109</v>
      </c>
      <c r="H3681" t="s">
        <v>9788</v>
      </c>
      <c r="I3681" t="s">
        <v>360</v>
      </c>
      <c r="J3681" t="s">
        <v>8126</v>
      </c>
    </row>
    <row r="3682" spans="1:10" x14ac:dyDescent="0.3">
      <c r="A3682" t="s">
        <v>8127</v>
      </c>
      <c r="B3682" t="s">
        <v>27901</v>
      </c>
      <c r="C3682" t="s">
        <v>20486</v>
      </c>
      <c r="D3682" t="s">
        <v>22</v>
      </c>
      <c r="E3682" t="s">
        <v>8128</v>
      </c>
      <c r="F3682">
        <v>40</v>
      </c>
      <c r="G3682" t="s">
        <v>109</v>
      </c>
      <c r="H3682" t="s">
        <v>9788</v>
      </c>
      <c r="I3682" t="s">
        <v>228</v>
      </c>
      <c r="J3682" t="s">
        <v>8129</v>
      </c>
    </row>
    <row r="3683" spans="1:10" x14ac:dyDescent="0.3">
      <c r="A3683" t="s">
        <v>12542</v>
      </c>
      <c r="B3683" t="s">
        <v>27902</v>
      </c>
      <c r="C3683" t="s">
        <v>20487</v>
      </c>
      <c r="D3683" t="s">
        <v>11</v>
      </c>
      <c r="E3683" t="s">
        <v>12543</v>
      </c>
      <c r="F3683">
        <v>36</v>
      </c>
      <c r="G3683" t="s">
        <v>46</v>
      </c>
      <c r="H3683" t="s">
        <v>46</v>
      </c>
    </row>
    <row r="3684" spans="1:10" x14ac:dyDescent="0.3">
      <c r="A3684" t="s">
        <v>8130</v>
      </c>
      <c r="B3684" t="s">
        <v>27903</v>
      </c>
      <c r="C3684" t="s">
        <v>20487</v>
      </c>
      <c r="D3684" t="s">
        <v>11</v>
      </c>
      <c r="E3684" t="s">
        <v>8131</v>
      </c>
      <c r="F3684">
        <v>56</v>
      </c>
      <c r="G3684" t="s">
        <v>1331</v>
      </c>
      <c r="H3684" t="s">
        <v>9789</v>
      </c>
    </row>
    <row r="3685" spans="1:10" x14ac:dyDescent="0.3">
      <c r="A3685" t="s">
        <v>8132</v>
      </c>
      <c r="B3685" t="s">
        <v>27904</v>
      </c>
      <c r="C3685" t="s">
        <v>20488</v>
      </c>
      <c r="D3685" t="s">
        <v>22</v>
      </c>
      <c r="E3685" t="s">
        <v>8133</v>
      </c>
      <c r="F3685">
        <v>35</v>
      </c>
      <c r="G3685" t="s">
        <v>109</v>
      </c>
      <c r="H3685" t="s">
        <v>9788</v>
      </c>
      <c r="I3685" t="s">
        <v>481</v>
      </c>
      <c r="J3685" t="s">
        <v>8134</v>
      </c>
    </row>
    <row r="3686" spans="1:10" x14ac:dyDescent="0.3">
      <c r="A3686" t="s">
        <v>8135</v>
      </c>
      <c r="B3686" t="s">
        <v>27905</v>
      </c>
      <c r="C3686" t="s">
        <v>20487</v>
      </c>
      <c r="D3686" t="s">
        <v>11</v>
      </c>
      <c r="E3686" t="s">
        <v>3241</v>
      </c>
      <c r="F3686">
        <v>45</v>
      </c>
      <c r="G3686" t="s">
        <v>109</v>
      </c>
      <c r="H3686" t="s">
        <v>9788</v>
      </c>
    </row>
    <row r="3687" spans="1:10" x14ac:dyDescent="0.3">
      <c r="A3687" t="s">
        <v>12544</v>
      </c>
      <c r="B3687" t="s">
        <v>27906</v>
      </c>
      <c r="C3687" t="s">
        <v>20487</v>
      </c>
      <c r="D3687" t="s">
        <v>22</v>
      </c>
      <c r="E3687" t="s">
        <v>12545</v>
      </c>
      <c r="F3687">
        <v>37</v>
      </c>
      <c r="G3687" t="s">
        <v>31</v>
      </c>
      <c r="H3687" t="s">
        <v>31</v>
      </c>
    </row>
    <row r="3688" spans="1:10" x14ac:dyDescent="0.3">
      <c r="A3688" t="s">
        <v>8136</v>
      </c>
      <c r="B3688" t="s">
        <v>27907</v>
      </c>
      <c r="C3688" t="s">
        <v>20488</v>
      </c>
      <c r="D3688" t="s">
        <v>22</v>
      </c>
      <c r="E3688" t="s">
        <v>8137</v>
      </c>
      <c r="F3688">
        <v>55</v>
      </c>
      <c r="G3688" t="s">
        <v>46</v>
      </c>
      <c r="H3688" t="s">
        <v>46</v>
      </c>
      <c r="I3688" t="s">
        <v>669</v>
      </c>
    </row>
    <row r="3689" spans="1:10" x14ac:dyDescent="0.3">
      <c r="A3689" t="s">
        <v>8138</v>
      </c>
      <c r="B3689" t="s">
        <v>27908</v>
      </c>
      <c r="C3689" t="s">
        <v>20488</v>
      </c>
      <c r="D3689" t="s">
        <v>11</v>
      </c>
      <c r="E3689" t="s">
        <v>8139</v>
      </c>
      <c r="F3689">
        <v>50</v>
      </c>
      <c r="G3689" t="s">
        <v>46</v>
      </c>
      <c r="H3689" t="s">
        <v>46</v>
      </c>
    </row>
    <row r="3690" spans="1:10" x14ac:dyDescent="0.3">
      <c r="A3690" t="s">
        <v>8140</v>
      </c>
      <c r="B3690" t="s">
        <v>27909</v>
      </c>
      <c r="C3690" t="s">
        <v>20486</v>
      </c>
      <c r="D3690" t="s">
        <v>22</v>
      </c>
      <c r="E3690" t="s">
        <v>8141</v>
      </c>
      <c r="F3690">
        <v>42</v>
      </c>
      <c r="G3690" t="s">
        <v>31</v>
      </c>
      <c r="H3690" t="s">
        <v>31</v>
      </c>
    </row>
    <row r="3691" spans="1:10" x14ac:dyDescent="0.3">
      <c r="A3691" t="s">
        <v>8142</v>
      </c>
      <c r="B3691" t="s">
        <v>27910</v>
      </c>
      <c r="C3691" t="s">
        <v>20486</v>
      </c>
      <c r="D3691" t="s">
        <v>22</v>
      </c>
      <c r="E3691" t="s">
        <v>8143</v>
      </c>
      <c r="F3691">
        <v>32</v>
      </c>
      <c r="G3691" t="s">
        <v>31</v>
      </c>
      <c r="H3691" t="s">
        <v>31</v>
      </c>
    </row>
    <row r="3692" spans="1:10" x14ac:dyDescent="0.3">
      <c r="A3692" t="s">
        <v>8144</v>
      </c>
      <c r="B3692" t="s">
        <v>27911</v>
      </c>
      <c r="C3692" t="s">
        <v>20486</v>
      </c>
      <c r="D3692" t="s">
        <v>22</v>
      </c>
      <c r="E3692" t="s">
        <v>8145</v>
      </c>
      <c r="F3692">
        <v>26</v>
      </c>
      <c r="G3692" t="s">
        <v>109</v>
      </c>
      <c r="H3692" t="s">
        <v>9788</v>
      </c>
      <c r="J3692" t="s">
        <v>8146</v>
      </c>
    </row>
    <row r="3693" spans="1:10" x14ac:dyDescent="0.3">
      <c r="A3693" t="s">
        <v>8147</v>
      </c>
      <c r="B3693" t="s">
        <v>27912</v>
      </c>
      <c r="C3693" t="s">
        <v>20486</v>
      </c>
      <c r="D3693" t="s">
        <v>22</v>
      </c>
      <c r="E3693" t="s">
        <v>8148</v>
      </c>
      <c r="F3693">
        <v>26</v>
      </c>
      <c r="G3693" t="s">
        <v>31</v>
      </c>
      <c r="H3693" t="s">
        <v>31</v>
      </c>
    </row>
    <row r="3694" spans="1:10" x14ac:dyDescent="0.3">
      <c r="A3694" t="s">
        <v>8149</v>
      </c>
      <c r="B3694" t="s">
        <v>27913</v>
      </c>
      <c r="C3694" t="s">
        <v>20486</v>
      </c>
      <c r="D3694" t="s">
        <v>11</v>
      </c>
      <c r="E3694" t="s">
        <v>8150</v>
      </c>
      <c r="F3694">
        <v>56</v>
      </c>
      <c r="G3694" t="s">
        <v>46</v>
      </c>
      <c r="H3694" t="s">
        <v>46</v>
      </c>
    </row>
    <row r="3695" spans="1:10" x14ac:dyDescent="0.3">
      <c r="A3695" t="s">
        <v>8152</v>
      </c>
      <c r="B3695" t="s">
        <v>27914</v>
      </c>
      <c r="C3695" t="s">
        <v>20486</v>
      </c>
      <c r="D3695" t="s">
        <v>22</v>
      </c>
      <c r="E3695" t="s">
        <v>4923</v>
      </c>
      <c r="F3695">
        <v>36</v>
      </c>
      <c r="G3695" t="s">
        <v>46</v>
      </c>
      <c r="H3695" t="s">
        <v>46</v>
      </c>
    </row>
    <row r="3696" spans="1:10" x14ac:dyDescent="0.3">
      <c r="A3696" t="s">
        <v>8154</v>
      </c>
      <c r="B3696" t="s">
        <v>27915</v>
      </c>
      <c r="C3696" t="s">
        <v>20486</v>
      </c>
      <c r="D3696" t="s">
        <v>22</v>
      </c>
      <c r="E3696" t="s">
        <v>1834</v>
      </c>
      <c r="F3696">
        <v>65</v>
      </c>
      <c r="G3696" t="s">
        <v>13</v>
      </c>
      <c r="H3696" t="s">
        <v>13</v>
      </c>
      <c r="I3696" t="s">
        <v>17</v>
      </c>
      <c r="J3696" t="s">
        <v>8155</v>
      </c>
    </row>
    <row r="3697" spans="1:10" x14ac:dyDescent="0.3">
      <c r="A3697" t="s">
        <v>8156</v>
      </c>
      <c r="B3697" t="s">
        <v>27916</v>
      </c>
      <c r="C3697" t="s">
        <v>20490</v>
      </c>
      <c r="D3697" t="s">
        <v>22</v>
      </c>
      <c r="E3697" t="s">
        <v>8157</v>
      </c>
      <c r="F3697">
        <v>50</v>
      </c>
      <c r="G3697" t="s">
        <v>109</v>
      </c>
      <c r="H3697" t="s">
        <v>9788</v>
      </c>
      <c r="J3697" t="s">
        <v>8158</v>
      </c>
    </row>
    <row r="3698" spans="1:10" x14ac:dyDescent="0.3">
      <c r="A3698" t="s">
        <v>8159</v>
      </c>
      <c r="B3698" t="s">
        <v>27917</v>
      </c>
      <c r="C3698" t="s">
        <v>20486</v>
      </c>
      <c r="D3698" t="s">
        <v>22</v>
      </c>
      <c r="E3698" t="s">
        <v>6369</v>
      </c>
      <c r="F3698">
        <v>63</v>
      </c>
    </row>
    <row r="3699" spans="1:10" x14ac:dyDescent="0.3">
      <c r="A3699" t="s">
        <v>12546</v>
      </c>
      <c r="B3699" t="s">
        <v>27918</v>
      </c>
      <c r="C3699" t="s">
        <v>20486</v>
      </c>
      <c r="D3699" t="s">
        <v>22</v>
      </c>
      <c r="E3699" t="s">
        <v>9594</v>
      </c>
      <c r="F3699">
        <v>20</v>
      </c>
      <c r="G3699" t="s">
        <v>337</v>
      </c>
      <c r="H3699" t="s">
        <v>337</v>
      </c>
    </row>
    <row r="3700" spans="1:10" x14ac:dyDescent="0.3">
      <c r="A3700" t="s">
        <v>8161</v>
      </c>
      <c r="B3700" t="s">
        <v>27919</v>
      </c>
      <c r="C3700" t="s">
        <v>20486</v>
      </c>
      <c r="D3700" t="s">
        <v>22</v>
      </c>
      <c r="E3700" t="s">
        <v>8162</v>
      </c>
      <c r="F3700">
        <v>52</v>
      </c>
      <c r="G3700" t="s">
        <v>109</v>
      </c>
      <c r="H3700" t="s">
        <v>9788</v>
      </c>
      <c r="I3700" t="s">
        <v>8163</v>
      </c>
      <c r="J3700" t="s">
        <v>8164</v>
      </c>
    </row>
    <row r="3701" spans="1:10" x14ac:dyDescent="0.3">
      <c r="A3701" t="s">
        <v>8165</v>
      </c>
      <c r="B3701" t="s">
        <v>27920</v>
      </c>
      <c r="C3701" t="s">
        <v>20491</v>
      </c>
      <c r="D3701" t="s">
        <v>11</v>
      </c>
      <c r="E3701" t="s">
        <v>8166</v>
      </c>
      <c r="F3701">
        <v>26</v>
      </c>
      <c r="G3701" t="s">
        <v>109</v>
      </c>
      <c r="H3701" t="s">
        <v>9788</v>
      </c>
      <c r="J3701" t="s">
        <v>8167</v>
      </c>
    </row>
    <row r="3702" spans="1:10" x14ac:dyDescent="0.3">
      <c r="A3702" t="s">
        <v>8168</v>
      </c>
      <c r="B3702" t="s">
        <v>27921</v>
      </c>
      <c r="C3702" t="s">
        <v>20486</v>
      </c>
      <c r="D3702" t="s">
        <v>22</v>
      </c>
      <c r="E3702" t="s">
        <v>8169</v>
      </c>
      <c r="F3702">
        <v>30</v>
      </c>
      <c r="G3702" t="s">
        <v>31</v>
      </c>
      <c r="H3702" t="s">
        <v>9785</v>
      </c>
    </row>
    <row r="3703" spans="1:10" x14ac:dyDescent="0.3">
      <c r="A3703" t="s">
        <v>8170</v>
      </c>
      <c r="B3703" t="s">
        <v>27922</v>
      </c>
      <c r="C3703" t="s">
        <v>20488</v>
      </c>
      <c r="D3703" t="s">
        <v>11</v>
      </c>
      <c r="E3703" t="s">
        <v>8171</v>
      </c>
      <c r="F3703">
        <v>51</v>
      </c>
      <c r="G3703" t="s">
        <v>109</v>
      </c>
      <c r="H3703" t="s">
        <v>9788</v>
      </c>
      <c r="I3703" t="s">
        <v>8172</v>
      </c>
      <c r="J3703" t="s">
        <v>8173</v>
      </c>
    </row>
    <row r="3704" spans="1:10" x14ac:dyDescent="0.3">
      <c r="A3704" t="s">
        <v>8174</v>
      </c>
      <c r="B3704" t="s">
        <v>27923</v>
      </c>
      <c r="C3704" t="s">
        <v>20486</v>
      </c>
      <c r="D3704" t="s">
        <v>22</v>
      </c>
      <c r="E3704" t="s">
        <v>12547</v>
      </c>
      <c r="F3704">
        <v>28</v>
      </c>
      <c r="G3704" t="s">
        <v>16</v>
      </c>
      <c r="H3704" t="s">
        <v>9785</v>
      </c>
      <c r="I3704" t="s">
        <v>17</v>
      </c>
      <c r="J3704" t="s">
        <v>12548</v>
      </c>
    </row>
    <row r="3705" spans="1:10" x14ac:dyDescent="0.3">
      <c r="A3705" t="s">
        <v>12549</v>
      </c>
      <c r="B3705" t="s">
        <v>27924</v>
      </c>
      <c r="C3705" t="s">
        <v>20486</v>
      </c>
      <c r="D3705" t="s">
        <v>11</v>
      </c>
      <c r="E3705" t="s">
        <v>9593</v>
      </c>
      <c r="F3705">
        <v>21</v>
      </c>
      <c r="G3705" t="s">
        <v>109</v>
      </c>
      <c r="H3705" t="s">
        <v>9788</v>
      </c>
      <c r="I3705" t="s">
        <v>12550</v>
      </c>
      <c r="J3705" t="s">
        <v>12551</v>
      </c>
    </row>
    <row r="3706" spans="1:10" x14ac:dyDescent="0.3">
      <c r="A3706" t="s">
        <v>8176</v>
      </c>
      <c r="B3706" t="s">
        <v>27925</v>
      </c>
      <c r="C3706" t="s">
        <v>20486</v>
      </c>
      <c r="D3706" t="s">
        <v>11</v>
      </c>
      <c r="E3706" t="s">
        <v>164</v>
      </c>
      <c r="F3706">
        <v>59</v>
      </c>
      <c r="G3706" t="s">
        <v>109</v>
      </c>
      <c r="H3706" t="s">
        <v>9788</v>
      </c>
      <c r="I3706" t="s">
        <v>1631</v>
      </c>
      <c r="J3706" t="s">
        <v>8177</v>
      </c>
    </row>
    <row r="3707" spans="1:10" x14ac:dyDescent="0.3">
      <c r="A3707" t="s">
        <v>8178</v>
      </c>
      <c r="B3707" t="s">
        <v>27926</v>
      </c>
      <c r="C3707" t="s">
        <v>20488</v>
      </c>
      <c r="D3707" t="s">
        <v>11</v>
      </c>
      <c r="E3707" t="s">
        <v>8179</v>
      </c>
      <c r="F3707">
        <v>75</v>
      </c>
      <c r="G3707" t="s">
        <v>13</v>
      </c>
      <c r="H3707" t="s">
        <v>13</v>
      </c>
    </row>
    <row r="3708" spans="1:10" x14ac:dyDescent="0.3">
      <c r="A3708" t="s">
        <v>8180</v>
      </c>
      <c r="B3708" t="s">
        <v>27927</v>
      </c>
      <c r="C3708" t="s">
        <v>20487</v>
      </c>
      <c r="D3708" t="s">
        <v>22</v>
      </c>
      <c r="E3708" t="s">
        <v>8181</v>
      </c>
      <c r="F3708">
        <v>66</v>
      </c>
    </row>
    <row r="3709" spans="1:10" x14ac:dyDescent="0.3">
      <c r="A3709" t="s">
        <v>8182</v>
      </c>
      <c r="B3709" t="s">
        <v>27928</v>
      </c>
      <c r="C3709" t="s">
        <v>20487</v>
      </c>
      <c r="D3709" t="s">
        <v>22</v>
      </c>
      <c r="E3709" t="s">
        <v>8183</v>
      </c>
      <c r="F3709">
        <v>30</v>
      </c>
    </row>
    <row r="3710" spans="1:10" x14ac:dyDescent="0.3">
      <c r="A3710" t="s">
        <v>8184</v>
      </c>
      <c r="B3710" t="s">
        <v>27929</v>
      </c>
      <c r="C3710" t="s">
        <v>20486</v>
      </c>
      <c r="D3710" t="s">
        <v>22</v>
      </c>
      <c r="E3710" t="s">
        <v>8185</v>
      </c>
      <c r="F3710">
        <v>41</v>
      </c>
      <c r="G3710" t="s">
        <v>46</v>
      </c>
      <c r="H3710" t="s">
        <v>46</v>
      </c>
      <c r="I3710" t="s">
        <v>8186</v>
      </c>
      <c r="J3710" t="s">
        <v>8187</v>
      </c>
    </row>
    <row r="3711" spans="1:10" x14ac:dyDescent="0.3">
      <c r="A3711" t="s">
        <v>8188</v>
      </c>
      <c r="B3711" t="s">
        <v>27930</v>
      </c>
      <c r="C3711" t="s">
        <v>20486</v>
      </c>
      <c r="D3711" t="s">
        <v>22</v>
      </c>
      <c r="E3711" t="s">
        <v>4699</v>
      </c>
      <c r="F3711">
        <v>39</v>
      </c>
      <c r="G3711" t="s">
        <v>16</v>
      </c>
      <c r="H3711" t="s">
        <v>9785</v>
      </c>
      <c r="I3711" t="s">
        <v>17</v>
      </c>
      <c r="J3711" t="s">
        <v>3936</v>
      </c>
    </row>
    <row r="3712" spans="1:10" x14ac:dyDescent="0.3">
      <c r="A3712" t="s">
        <v>8189</v>
      </c>
      <c r="B3712" t="s">
        <v>27931</v>
      </c>
      <c r="C3712" t="s">
        <v>20486</v>
      </c>
      <c r="D3712" t="s">
        <v>11</v>
      </c>
      <c r="E3712" t="s">
        <v>3671</v>
      </c>
      <c r="F3712">
        <v>64</v>
      </c>
      <c r="G3712" t="s">
        <v>370</v>
      </c>
      <c r="H3712" t="s">
        <v>46</v>
      </c>
      <c r="I3712" t="s">
        <v>8190</v>
      </c>
    </row>
    <row r="3713" spans="1:10" x14ac:dyDescent="0.3">
      <c r="A3713" t="s">
        <v>8191</v>
      </c>
      <c r="B3713" t="s">
        <v>27932</v>
      </c>
      <c r="C3713" t="s">
        <v>20490</v>
      </c>
      <c r="D3713" t="s">
        <v>11</v>
      </c>
      <c r="E3713" t="s">
        <v>8192</v>
      </c>
      <c r="F3713">
        <v>49</v>
      </c>
      <c r="G3713" t="s">
        <v>1507</v>
      </c>
      <c r="H3713" t="s">
        <v>46</v>
      </c>
      <c r="I3713" t="s">
        <v>5262</v>
      </c>
    </row>
    <row r="3714" spans="1:10" x14ac:dyDescent="0.3">
      <c r="A3714" t="s">
        <v>8193</v>
      </c>
      <c r="B3714" t="s">
        <v>27933</v>
      </c>
      <c r="C3714" t="s">
        <v>20486</v>
      </c>
      <c r="D3714" t="s">
        <v>22</v>
      </c>
      <c r="E3714" t="s">
        <v>4534</v>
      </c>
      <c r="F3714">
        <v>51</v>
      </c>
      <c r="G3714" t="s">
        <v>31</v>
      </c>
      <c r="H3714" t="s">
        <v>31</v>
      </c>
    </row>
    <row r="3715" spans="1:10" x14ac:dyDescent="0.3">
      <c r="A3715" t="s">
        <v>8194</v>
      </c>
      <c r="B3715" t="s">
        <v>27934</v>
      </c>
      <c r="C3715" t="s">
        <v>20491</v>
      </c>
      <c r="D3715" t="s">
        <v>11</v>
      </c>
      <c r="E3715" t="s">
        <v>8195</v>
      </c>
      <c r="F3715">
        <v>44</v>
      </c>
      <c r="G3715" t="s">
        <v>4295</v>
      </c>
      <c r="H3715" t="s">
        <v>9789</v>
      </c>
      <c r="I3715" t="s">
        <v>8196</v>
      </c>
    </row>
    <row r="3716" spans="1:10" x14ac:dyDescent="0.3">
      <c r="A3716" t="s">
        <v>8197</v>
      </c>
      <c r="B3716" t="s">
        <v>27935</v>
      </c>
      <c r="C3716" t="s">
        <v>20487</v>
      </c>
      <c r="D3716" t="s">
        <v>22</v>
      </c>
      <c r="E3716" t="s">
        <v>8198</v>
      </c>
      <c r="F3716">
        <v>43</v>
      </c>
    </row>
    <row r="3717" spans="1:10" x14ac:dyDescent="0.3">
      <c r="A3717" t="s">
        <v>8199</v>
      </c>
      <c r="B3717" t="s">
        <v>27936</v>
      </c>
      <c r="C3717" t="s">
        <v>20486</v>
      </c>
      <c r="D3717" t="s">
        <v>22</v>
      </c>
      <c r="E3717" t="s">
        <v>3718</v>
      </c>
      <c r="F3717">
        <v>38</v>
      </c>
      <c r="G3717" t="s">
        <v>109</v>
      </c>
      <c r="H3717" t="s">
        <v>9788</v>
      </c>
      <c r="I3717" t="s">
        <v>7315</v>
      </c>
      <c r="J3717" t="s">
        <v>2588</v>
      </c>
    </row>
    <row r="3718" spans="1:10" x14ac:dyDescent="0.3">
      <c r="A3718" t="s">
        <v>8201</v>
      </c>
      <c r="B3718" t="s">
        <v>27937</v>
      </c>
      <c r="C3718" t="s">
        <v>20486</v>
      </c>
      <c r="D3718" t="s">
        <v>22</v>
      </c>
      <c r="E3718" t="s">
        <v>8202</v>
      </c>
      <c r="F3718">
        <v>42</v>
      </c>
      <c r="G3718" t="s">
        <v>109</v>
      </c>
      <c r="H3718" t="s">
        <v>9788</v>
      </c>
      <c r="J3718" t="s">
        <v>8203</v>
      </c>
    </row>
    <row r="3719" spans="1:10" x14ac:dyDescent="0.3">
      <c r="A3719" t="s">
        <v>8204</v>
      </c>
      <c r="B3719" t="s">
        <v>27938</v>
      </c>
      <c r="C3719" t="s">
        <v>20486</v>
      </c>
      <c r="D3719" t="s">
        <v>11</v>
      </c>
      <c r="E3719" t="s">
        <v>8205</v>
      </c>
      <c r="F3719">
        <v>37</v>
      </c>
      <c r="G3719" t="s">
        <v>109</v>
      </c>
      <c r="H3719" t="s">
        <v>9788</v>
      </c>
      <c r="I3719" t="s">
        <v>1631</v>
      </c>
      <c r="J3719" t="s">
        <v>8206</v>
      </c>
    </row>
    <row r="3720" spans="1:10" x14ac:dyDescent="0.3">
      <c r="A3720" t="s">
        <v>8207</v>
      </c>
      <c r="B3720" t="s">
        <v>27939</v>
      </c>
      <c r="C3720" t="s">
        <v>20486</v>
      </c>
      <c r="D3720" t="s">
        <v>22</v>
      </c>
      <c r="E3720" t="s">
        <v>8208</v>
      </c>
      <c r="F3720">
        <v>33</v>
      </c>
    </row>
    <row r="3721" spans="1:10" x14ac:dyDescent="0.3">
      <c r="A3721" t="s">
        <v>8209</v>
      </c>
      <c r="B3721" t="s">
        <v>27940</v>
      </c>
      <c r="C3721" t="s">
        <v>20486</v>
      </c>
      <c r="D3721" t="s">
        <v>22</v>
      </c>
      <c r="E3721" t="s">
        <v>8210</v>
      </c>
      <c r="F3721">
        <v>32</v>
      </c>
    </row>
    <row r="3722" spans="1:10" x14ac:dyDescent="0.3">
      <c r="A3722" t="s">
        <v>12552</v>
      </c>
      <c r="B3722" t="s">
        <v>27941</v>
      </c>
      <c r="C3722" t="s">
        <v>20486</v>
      </c>
      <c r="D3722" t="s">
        <v>22</v>
      </c>
      <c r="E3722" t="s">
        <v>3386</v>
      </c>
      <c r="F3722">
        <v>37</v>
      </c>
      <c r="G3722" t="s">
        <v>31</v>
      </c>
      <c r="H3722" t="s">
        <v>31</v>
      </c>
    </row>
    <row r="3723" spans="1:10" x14ac:dyDescent="0.3">
      <c r="A3723" t="s">
        <v>8211</v>
      </c>
      <c r="B3723" t="s">
        <v>27942</v>
      </c>
      <c r="C3723" t="s">
        <v>20486</v>
      </c>
      <c r="D3723" t="s">
        <v>22</v>
      </c>
      <c r="E3723" t="s">
        <v>3022</v>
      </c>
      <c r="F3723">
        <v>63</v>
      </c>
      <c r="G3723" t="s">
        <v>172</v>
      </c>
      <c r="H3723" t="s">
        <v>12099</v>
      </c>
      <c r="I3723" t="s">
        <v>198</v>
      </c>
      <c r="J3723" t="s">
        <v>8212</v>
      </c>
    </row>
    <row r="3724" spans="1:10" x14ac:dyDescent="0.3">
      <c r="A3724" t="s">
        <v>8213</v>
      </c>
      <c r="B3724" t="s">
        <v>27943</v>
      </c>
      <c r="C3724" t="s">
        <v>20486</v>
      </c>
      <c r="D3724" t="s">
        <v>22</v>
      </c>
      <c r="E3724" t="s">
        <v>8214</v>
      </c>
      <c r="F3724">
        <v>74</v>
      </c>
      <c r="G3724" t="s">
        <v>31</v>
      </c>
      <c r="H3724" t="s">
        <v>31</v>
      </c>
    </row>
    <row r="3725" spans="1:10" x14ac:dyDescent="0.3">
      <c r="A3725" t="s">
        <v>8215</v>
      </c>
      <c r="B3725" t="s">
        <v>27944</v>
      </c>
      <c r="C3725" t="s">
        <v>20489</v>
      </c>
      <c r="D3725" t="s">
        <v>22</v>
      </c>
      <c r="E3725" t="s">
        <v>7167</v>
      </c>
      <c r="F3725">
        <v>46</v>
      </c>
      <c r="G3725" t="s">
        <v>370</v>
      </c>
      <c r="H3725" t="s">
        <v>46</v>
      </c>
      <c r="I3725" t="s">
        <v>4182</v>
      </c>
      <c r="J3725" t="s">
        <v>8216</v>
      </c>
    </row>
    <row r="3726" spans="1:10" x14ac:dyDescent="0.3">
      <c r="A3726" t="s">
        <v>8217</v>
      </c>
      <c r="B3726" t="s">
        <v>27945</v>
      </c>
      <c r="C3726" t="s">
        <v>20490</v>
      </c>
      <c r="D3726" t="s">
        <v>22</v>
      </c>
      <c r="E3726" t="s">
        <v>8218</v>
      </c>
      <c r="F3726">
        <v>50</v>
      </c>
      <c r="G3726" t="s">
        <v>370</v>
      </c>
      <c r="H3726" t="s">
        <v>46</v>
      </c>
      <c r="I3726" t="s">
        <v>6364</v>
      </c>
    </row>
    <row r="3727" spans="1:10" x14ac:dyDescent="0.3">
      <c r="A3727" t="s">
        <v>8219</v>
      </c>
      <c r="B3727" t="s">
        <v>27946</v>
      </c>
      <c r="C3727" t="s">
        <v>20486</v>
      </c>
      <c r="D3727" t="s">
        <v>22</v>
      </c>
      <c r="E3727" t="s">
        <v>8220</v>
      </c>
      <c r="F3727">
        <v>53</v>
      </c>
      <c r="G3727" t="s">
        <v>31</v>
      </c>
      <c r="H3727" t="s">
        <v>31</v>
      </c>
    </row>
    <row r="3728" spans="1:10" x14ac:dyDescent="0.3">
      <c r="A3728" t="s">
        <v>8221</v>
      </c>
      <c r="B3728" t="s">
        <v>27947</v>
      </c>
      <c r="C3728" t="s">
        <v>20490</v>
      </c>
      <c r="D3728" t="s">
        <v>22</v>
      </c>
      <c r="E3728" t="s">
        <v>8222</v>
      </c>
      <c r="F3728">
        <v>49</v>
      </c>
      <c r="G3728" t="s">
        <v>370</v>
      </c>
      <c r="H3728" t="s">
        <v>46</v>
      </c>
    </row>
    <row r="3729" spans="1:10" x14ac:dyDescent="0.3">
      <c r="A3729" t="s">
        <v>8223</v>
      </c>
      <c r="B3729" t="s">
        <v>27948</v>
      </c>
      <c r="C3729" t="s">
        <v>20486</v>
      </c>
      <c r="D3729" t="s">
        <v>22</v>
      </c>
      <c r="E3729" t="s">
        <v>2126</v>
      </c>
      <c r="F3729">
        <v>46</v>
      </c>
      <c r="G3729" t="s">
        <v>109</v>
      </c>
      <c r="H3729" t="s">
        <v>9788</v>
      </c>
      <c r="I3729" t="s">
        <v>1631</v>
      </c>
      <c r="J3729" t="s">
        <v>8224</v>
      </c>
    </row>
    <row r="3730" spans="1:10" x14ac:dyDescent="0.3">
      <c r="A3730" t="s">
        <v>8225</v>
      </c>
      <c r="B3730" t="s">
        <v>27949</v>
      </c>
      <c r="C3730" t="s">
        <v>20486</v>
      </c>
      <c r="D3730" t="s">
        <v>22</v>
      </c>
      <c r="E3730" t="s">
        <v>8226</v>
      </c>
      <c r="F3730">
        <v>41</v>
      </c>
      <c r="G3730" t="s">
        <v>109</v>
      </c>
      <c r="H3730" t="s">
        <v>9788</v>
      </c>
    </row>
    <row r="3731" spans="1:10" x14ac:dyDescent="0.3">
      <c r="A3731" t="s">
        <v>8227</v>
      </c>
      <c r="B3731" t="s">
        <v>27950</v>
      </c>
      <c r="C3731" t="s">
        <v>20487</v>
      </c>
      <c r="D3731" t="s">
        <v>22</v>
      </c>
      <c r="E3731" t="s">
        <v>8228</v>
      </c>
      <c r="F3731">
        <v>49</v>
      </c>
      <c r="G3731" t="s">
        <v>46</v>
      </c>
      <c r="H3731" t="s">
        <v>46</v>
      </c>
    </row>
    <row r="3732" spans="1:10" x14ac:dyDescent="0.3">
      <c r="A3732" t="s">
        <v>8229</v>
      </c>
      <c r="B3732" t="s">
        <v>27951</v>
      </c>
      <c r="C3732" t="s">
        <v>20486</v>
      </c>
      <c r="D3732" t="s">
        <v>22</v>
      </c>
      <c r="E3732" t="s">
        <v>8230</v>
      </c>
      <c r="F3732">
        <v>31</v>
      </c>
      <c r="G3732" t="s">
        <v>31</v>
      </c>
      <c r="H3732" t="s">
        <v>31</v>
      </c>
    </row>
    <row r="3733" spans="1:10" x14ac:dyDescent="0.3">
      <c r="A3733" t="s">
        <v>8231</v>
      </c>
      <c r="B3733" t="s">
        <v>27952</v>
      </c>
      <c r="C3733" t="s">
        <v>20486</v>
      </c>
      <c r="D3733" t="s">
        <v>22</v>
      </c>
      <c r="E3733" t="s">
        <v>8232</v>
      </c>
      <c r="F3733">
        <v>38</v>
      </c>
      <c r="G3733" t="s">
        <v>109</v>
      </c>
      <c r="H3733" t="s">
        <v>9788</v>
      </c>
      <c r="I3733" t="s">
        <v>8233</v>
      </c>
      <c r="J3733" t="s">
        <v>8234</v>
      </c>
    </row>
    <row r="3734" spans="1:10" x14ac:dyDescent="0.3">
      <c r="A3734" t="s">
        <v>8235</v>
      </c>
      <c r="B3734" t="s">
        <v>27953</v>
      </c>
      <c r="C3734" t="s">
        <v>20486</v>
      </c>
      <c r="D3734" t="s">
        <v>22</v>
      </c>
      <c r="E3734" t="s">
        <v>8236</v>
      </c>
      <c r="F3734">
        <v>32</v>
      </c>
      <c r="G3734" t="s">
        <v>31</v>
      </c>
      <c r="H3734" t="s">
        <v>31</v>
      </c>
    </row>
    <row r="3735" spans="1:10" x14ac:dyDescent="0.3">
      <c r="A3735" t="s">
        <v>8237</v>
      </c>
      <c r="B3735" t="s">
        <v>27954</v>
      </c>
      <c r="C3735" t="s">
        <v>20490</v>
      </c>
      <c r="D3735" t="s">
        <v>22</v>
      </c>
      <c r="E3735" t="s">
        <v>7046</v>
      </c>
      <c r="F3735">
        <v>40</v>
      </c>
      <c r="G3735" t="s">
        <v>370</v>
      </c>
      <c r="H3735" t="s">
        <v>46</v>
      </c>
      <c r="I3735" t="s">
        <v>8238</v>
      </c>
    </row>
    <row r="3736" spans="1:10" x14ac:dyDescent="0.3">
      <c r="A3736" t="s">
        <v>8239</v>
      </c>
      <c r="B3736" t="s">
        <v>27955</v>
      </c>
      <c r="C3736" t="s">
        <v>20486</v>
      </c>
      <c r="D3736" t="s">
        <v>11</v>
      </c>
      <c r="E3736" t="s">
        <v>5011</v>
      </c>
      <c r="F3736">
        <v>40</v>
      </c>
      <c r="G3736" t="s">
        <v>370</v>
      </c>
      <c r="H3736" t="s">
        <v>46</v>
      </c>
      <c r="I3736" t="s">
        <v>8240</v>
      </c>
    </row>
    <row r="3737" spans="1:10" x14ac:dyDescent="0.3">
      <c r="A3737" t="s">
        <v>8241</v>
      </c>
      <c r="B3737" t="s">
        <v>27956</v>
      </c>
      <c r="C3737" t="s">
        <v>20486</v>
      </c>
      <c r="D3737" t="s">
        <v>22</v>
      </c>
      <c r="E3737" t="s">
        <v>8242</v>
      </c>
      <c r="F3737">
        <v>28</v>
      </c>
      <c r="G3737" t="s">
        <v>337</v>
      </c>
      <c r="H3737" t="s">
        <v>337</v>
      </c>
    </row>
    <row r="3738" spans="1:10" x14ac:dyDescent="0.3">
      <c r="A3738" t="s">
        <v>8243</v>
      </c>
      <c r="B3738" t="s">
        <v>27957</v>
      </c>
      <c r="C3738" t="s">
        <v>20487</v>
      </c>
      <c r="D3738" t="s">
        <v>11</v>
      </c>
      <c r="E3738" t="s">
        <v>8244</v>
      </c>
      <c r="F3738">
        <v>33</v>
      </c>
      <c r="G3738" t="s">
        <v>109</v>
      </c>
      <c r="H3738" t="s">
        <v>9788</v>
      </c>
    </row>
    <row r="3739" spans="1:10" x14ac:dyDescent="0.3">
      <c r="A3739" t="s">
        <v>8245</v>
      </c>
      <c r="B3739" t="s">
        <v>27958</v>
      </c>
      <c r="C3739" t="s">
        <v>20486</v>
      </c>
      <c r="D3739" t="s">
        <v>22</v>
      </c>
      <c r="E3739" t="s">
        <v>8246</v>
      </c>
      <c r="F3739">
        <v>44</v>
      </c>
      <c r="G3739" t="s">
        <v>109</v>
      </c>
      <c r="H3739" t="s">
        <v>9788</v>
      </c>
    </row>
    <row r="3740" spans="1:10" x14ac:dyDescent="0.3">
      <c r="A3740" t="s">
        <v>8247</v>
      </c>
      <c r="B3740" t="s">
        <v>27959</v>
      </c>
      <c r="C3740" t="s">
        <v>20486</v>
      </c>
      <c r="D3740" t="s">
        <v>11</v>
      </c>
      <c r="E3740" t="s">
        <v>8050</v>
      </c>
      <c r="F3740">
        <v>53</v>
      </c>
      <c r="G3740" t="s">
        <v>133</v>
      </c>
      <c r="H3740" t="s">
        <v>9789</v>
      </c>
      <c r="I3740" t="s">
        <v>139</v>
      </c>
      <c r="J3740" t="s">
        <v>8248</v>
      </c>
    </row>
    <row r="3741" spans="1:10" x14ac:dyDescent="0.3">
      <c r="A3741" t="s">
        <v>8249</v>
      </c>
      <c r="B3741" t="s">
        <v>27960</v>
      </c>
      <c r="C3741" t="s">
        <v>20486</v>
      </c>
      <c r="D3741" t="s">
        <v>11</v>
      </c>
      <c r="E3741" t="s">
        <v>8250</v>
      </c>
      <c r="F3741">
        <v>51</v>
      </c>
      <c r="G3741" t="s">
        <v>109</v>
      </c>
      <c r="H3741" t="s">
        <v>9788</v>
      </c>
      <c r="I3741" t="s">
        <v>139</v>
      </c>
      <c r="J3741" t="s">
        <v>8248</v>
      </c>
    </row>
    <row r="3742" spans="1:10" x14ac:dyDescent="0.3">
      <c r="A3742" t="s">
        <v>8251</v>
      </c>
      <c r="B3742" t="s">
        <v>27961</v>
      </c>
      <c r="C3742" t="s">
        <v>20486</v>
      </c>
      <c r="D3742" t="s">
        <v>22</v>
      </c>
      <c r="E3742" t="s">
        <v>2467</v>
      </c>
      <c r="F3742">
        <v>43</v>
      </c>
      <c r="G3742" t="s">
        <v>109</v>
      </c>
      <c r="H3742" t="s">
        <v>9788</v>
      </c>
      <c r="I3742" t="s">
        <v>1074</v>
      </c>
    </row>
    <row r="3743" spans="1:10" x14ac:dyDescent="0.3">
      <c r="A3743" t="s">
        <v>8252</v>
      </c>
      <c r="B3743" t="s">
        <v>27962</v>
      </c>
      <c r="C3743" t="s">
        <v>20486</v>
      </c>
      <c r="D3743" t="s">
        <v>22</v>
      </c>
      <c r="E3743" t="s">
        <v>8253</v>
      </c>
      <c r="F3743">
        <v>56</v>
      </c>
      <c r="G3743" t="s">
        <v>155</v>
      </c>
      <c r="H3743" t="s">
        <v>9791</v>
      </c>
      <c r="I3743" t="s">
        <v>8254</v>
      </c>
      <c r="J3743" t="s">
        <v>8255</v>
      </c>
    </row>
    <row r="3744" spans="1:10" x14ac:dyDescent="0.3">
      <c r="A3744" t="s">
        <v>8256</v>
      </c>
      <c r="B3744" t="s">
        <v>27963</v>
      </c>
      <c r="C3744" t="s">
        <v>20489</v>
      </c>
      <c r="D3744" t="s">
        <v>11</v>
      </c>
      <c r="E3744" t="s">
        <v>8257</v>
      </c>
      <c r="F3744">
        <v>43</v>
      </c>
      <c r="G3744" t="s">
        <v>109</v>
      </c>
      <c r="H3744" t="s">
        <v>9788</v>
      </c>
      <c r="I3744" t="s">
        <v>12553</v>
      </c>
      <c r="J3744" t="s">
        <v>12554</v>
      </c>
    </row>
    <row r="3745" spans="1:10" x14ac:dyDescent="0.3">
      <c r="A3745" t="s">
        <v>8258</v>
      </c>
      <c r="B3745" t="s">
        <v>27964</v>
      </c>
      <c r="C3745" t="s">
        <v>20486</v>
      </c>
      <c r="D3745" t="s">
        <v>22</v>
      </c>
      <c r="E3745" t="s">
        <v>8259</v>
      </c>
      <c r="F3745">
        <v>61</v>
      </c>
      <c r="G3745" t="s">
        <v>31</v>
      </c>
      <c r="H3745" t="s">
        <v>31</v>
      </c>
    </row>
    <row r="3746" spans="1:10" x14ac:dyDescent="0.3">
      <c r="A3746" t="s">
        <v>8260</v>
      </c>
      <c r="B3746" t="s">
        <v>27965</v>
      </c>
      <c r="C3746" t="s">
        <v>20486</v>
      </c>
      <c r="D3746" t="s">
        <v>22</v>
      </c>
      <c r="E3746" t="s">
        <v>8261</v>
      </c>
      <c r="F3746">
        <v>41</v>
      </c>
      <c r="G3746" t="s">
        <v>31</v>
      </c>
      <c r="H3746" t="s">
        <v>31</v>
      </c>
    </row>
    <row r="3747" spans="1:10" x14ac:dyDescent="0.3">
      <c r="A3747" t="s">
        <v>8262</v>
      </c>
      <c r="B3747" t="s">
        <v>27966</v>
      </c>
      <c r="C3747" t="s">
        <v>20486</v>
      </c>
      <c r="D3747" t="s">
        <v>22</v>
      </c>
      <c r="E3747" t="s">
        <v>5848</v>
      </c>
      <c r="F3747">
        <v>34</v>
      </c>
      <c r="G3747" t="s">
        <v>109</v>
      </c>
      <c r="H3747" t="s">
        <v>9788</v>
      </c>
      <c r="I3747" t="s">
        <v>8263</v>
      </c>
      <c r="J3747" t="s">
        <v>8264</v>
      </c>
    </row>
    <row r="3748" spans="1:10" x14ac:dyDescent="0.3">
      <c r="A3748" t="s">
        <v>8265</v>
      </c>
      <c r="B3748" t="s">
        <v>27967</v>
      </c>
      <c r="C3748" t="s">
        <v>20486</v>
      </c>
      <c r="D3748" t="s">
        <v>22</v>
      </c>
      <c r="E3748" t="s">
        <v>381</v>
      </c>
      <c r="F3748">
        <v>40</v>
      </c>
      <c r="G3748" t="s">
        <v>31</v>
      </c>
      <c r="H3748" t="s">
        <v>31</v>
      </c>
    </row>
    <row r="3749" spans="1:10" x14ac:dyDescent="0.3">
      <c r="A3749" t="s">
        <v>8266</v>
      </c>
      <c r="B3749" t="s">
        <v>27968</v>
      </c>
      <c r="C3749" t="s">
        <v>20487</v>
      </c>
      <c r="D3749" t="s">
        <v>11</v>
      </c>
      <c r="E3749" t="s">
        <v>8267</v>
      </c>
      <c r="F3749">
        <v>27</v>
      </c>
    </row>
    <row r="3750" spans="1:10" x14ac:dyDescent="0.3">
      <c r="A3750" t="s">
        <v>8268</v>
      </c>
      <c r="B3750" t="s">
        <v>27969</v>
      </c>
      <c r="C3750" t="s">
        <v>20488</v>
      </c>
      <c r="D3750" t="s">
        <v>22</v>
      </c>
      <c r="E3750" t="s">
        <v>8269</v>
      </c>
      <c r="F3750">
        <v>45</v>
      </c>
      <c r="G3750" t="s">
        <v>46</v>
      </c>
      <c r="H3750" t="s">
        <v>46</v>
      </c>
      <c r="I3750" t="s">
        <v>8270</v>
      </c>
    </row>
    <row r="3751" spans="1:10" x14ac:dyDescent="0.3">
      <c r="A3751" t="s">
        <v>8271</v>
      </c>
      <c r="B3751" t="s">
        <v>27970</v>
      </c>
      <c r="C3751" t="s">
        <v>20486</v>
      </c>
      <c r="D3751" t="s">
        <v>22</v>
      </c>
      <c r="E3751" t="s">
        <v>8272</v>
      </c>
      <c r="F3751">
        <v>46</v>
      </c>
      <c r="G3751" t="s">
        <v>109</v>
      </c>
      <c r="H3751" t="s">
        <v>9788</v>
      </c>
      <c r="I3751" t="s">
        <v>8010</v>
      </c>
      <c r="J3751" t="s">
        <v>8011</v>
      </c>
    </row>
    <row r="3752" spans="1:10" x14ac:dyDescent="0.3">
      <c r="A3752" t="s">
        <v>8273</v>
      </c>
      <c r="B3752" t="s">
        <v>27971</v>
      </c>
      <c r="C3752" t="s">
        <v>20486</v>
      </c>
      <c r="D3752" t="s">
        <v>22</v>
      </c>
      <c r="E3752" t="s">
        <v>2826</v>
      </c>
      <c r="F3752">
        <v>40</v>
      </c>
      <c r="G3752" t="s">
        <v>31</v>
      </c>
      <c r="H3752" t="s">
        <v>31</v>
      </c>
    </row>
    <row r="3753" spans="1:10" x14ac:dyDescent="0.3">
      <c r="A3753" t="s">
        <v>8274</v>
      </c>
      <c r="B3753" t="s">
        <v>27972</v>
      </c>
      <c r="C3753" t="s">
        <v>20486</v>
      </c>
      <c r="D3753" t="s">
        <v>22</v>
      </c>
      <c r="E3753" t="s">
        <v>5346</v>
      </c>
      <c r="F3753">
        <v>47</v>
      </c>
      <c r="G3753" t="s">
        <v>1200</v>
      </c>
      <c r="H3753" t="s">
        <v>9788</v>
      </c>
      <c r="I3753" t="s">
        <v>421</v>
      </c>
      <c r="J3753" t="s">
        <v>8275</v>
      </c>
    </row>
    <row r="3754" spans="1:10" x14ac:dyDescent="0.3">
      <c r="A3754" t="s">
        <v>8276</v>
      </c>
      <c r="B3754" t="s">
        <v>27973</v>
      </c>
      <c r="C3754" t="s">
        <v>20486</v>
      </c>
      <c r="D3754" t="s">
        <v>22</v>
      </c>
      <c r="E3754" t="s">
        <v>8277</v>
      </c>
      <c r="F3754">
        <v>57</v>
      </c>
      <c r="G3754" t="s">
        <v>31</v>
      </c>
      <c r="H3754" t="s">
        <v>31</v>
      </c>
    </row>
    <row r="3755" spans="1:10" x14ac:dyDescent="0.3">
      <c r="A3755" t="s">
        <v>8278</v>
      </c>
      <c r="B3755" t="s">
        <v>27974</v>
      </c>
      <c r="C3755" t="s">
        <v>20487</v>
      </c>
      <c r="D3755" t="s">
        <v>11</v>
      </c>
      <c r="E3755" t="s">
        <v>8279</v>
      </c>
      <c r="F3755">
        <v>54</v>
      </c>
      <c r="G3755" t="s">
        <v>109</v>
      </c>
      <c r="H3755" t="s">
        <v>9788</v>
      </c>
      <c r="I3755" t="s">
        <v>466</v>
      </c>
      <c r="J3755" t="s">
        <v>8280</v>
      </c>
    </row>
    <row r="3756" spans="1:10" x14ac:dyDescent="0.3">
      <c r="A3756" t="s">
        <v>8281</v>
      </c>
      <c r="B3756" t="s">
        <v>27975</v>
      </c>
      <c r="C3756" t="s">
        <v>20486</v>
      </c>
      <c r="D3756" t="s">
        <v>22</v>
      </c>
      <c r="E3756" t="s">
        <v>8282</v>
      </c>
      <c r="F3756">
        <v>36</v>
      </c>
      <c r="G3756" t="s">
        <v>31</v>
      </c>
      <c r="H3756" t="s">
        <v>31</v>
      </c>
    </row>
    <row r="3757" spans="1:10" x14ac:dyDescent="0.3">
      <c r="A3757" t="s">
        <v>12555</v>
      </c>
      <c r="B3757" t="s">
        <v>27976</v>
      </c>
      <c r="C3757" t="s">
        <v>20491</v>
      </c>
      <c r="D3757" t="s">
        <v>11</v>
      </c>
      <c r="E3757" t="s">
        <v>9592</v>
      </c>
      <c r="F3757">
        <v>16</v>
      </c>
      <c r="G3757" t="s">
        <v>337</v>
      </c>
      <c r="H3757" t="s">
        <v>337</v>
      </c>
    </row>
    <row r="3758" spans="1:10" x14ac:dyDescent="0.3">
      <c r="A3758" t="s">
        <v>8283</v>
      </c>
      <c r="B3758" t="s">
        <v>27977</v>
      </c>
      <c r="C3758" t="s">
        <v>20488</v>
      </c>
      <c r="D3758" t="s">
        <v>11</v>
      </c>
      <c r="E3758" t="s">
        <v>8284</v>
      </c>
      <c r="F3758">
        <v>76</v>
      </c>
      <c r="G3758" t="s">
        <v>13</v>
      </c>
      <c r="H3758" t="s">
        <v>13</v>
      </c>
    </row>
    <row r="3759" spans="1:10" x14ac:dyDescent="0.3">
      <c r="A3759" t="s">
        <v>8285</v>
      </c>
      <c r="B3759" t="s">
        <v>27978</v>
      </c>
      <c r="C3759" t="s">
        <v>20488</v>
      </c>
      <c r="D3759" t="s">
        <v>22</v>
      </c>
      <c r="E3759" t="s">
        <v>8286</v>
      </c>
      <c r="F3759">
        <v>30</v>
      </c>
      <c r="G3759" t="s">
        <v>109</v>
      </c>
      <c r="H3759" t="s">
        <v>9788</v>
      </c>
      <c r="I3759" t="s">
        <v>2466</v>
      </c>
      <c r="J3759" t="s">
        <v>8287</v>
      </c>
    </row>
    <row r="3760" spans="1:10" x14ac:dyDescent="0.3">
      <c r="A3760" t="s">
        <v>8288</v>
      </c>
      <c r="B3760" t="s">
        <v>27979</v>
      </c>
      <c r="C3760" t="s">
        <v>20486</v>
      </c>
      <c r="D3760" t="s">
        <v>22</v>
      </c>
      <c r="E3760" t="s">
        <v>8289</v>
      </c>
      <c r="F3760">
        <v>62</v>
      </c>
      <c r="G3760" t="s">
        <v>13</v>
      </c>
      <c r="H3760" t="s">
        <v>13</v>
      </c>
    </row>
    <row r="3761" spans="1:10" x14ac:dyDescent="0.3">
      <c r="A3761" t="s">
        <v>8290</v>
      </c>
      <c r="B3761" t="s">
        <v>27980</v>
      </c>
      <c r="C3761" t="s">
        <v>20486</v>
      </c>
      <c r="D3761" t="s">
        <v>11</v>
      </c>
      <c r="E3761" t="s">
        <v>8291</v>
      </c>
      <c r="F3761">
        <v>54</v>
      </c>
      <c r="G3761" t="s">
        <v>46</v>
      </c>
      <c r="H3761" t="s">
        <v>46</v>
      </c>
      <c r="I3761" t="s">
        <v>14339</v>
      </c>
      <c r="J3761" t="s">
        <v>14340</v>
      </c>
    </row>
    <row r="3762" spans="1:10" x14ac:dyDescent="0.3">
      <c r="A3762" t="s">
        <v>12556</v>
      </c>
      <c r="B3762" t="s">
        <v>27981</v>
      </c>
      <c r="C3762" t="s">
        <v>20486</v>
      </c>
      <c r="D3762" t="s">
        <v>22</v>
      </c>
      <c r="E3762" t="s">
        <v>9591</v>
      </c>
      <c r="F3762">
        <v>25</v>
      </c>
      <c r="G3762" t="s">
        <v>337</v>
      </c>
      <c r="H3762" t="s">
        <v>337</v>
      </c>
    </row>
    <row r="3763" spans="1:10" x14ac:dyDescent="0.3">
      <c r="A3763" t="s">
        <v>8292</v>
      </c>
      <c r="B3763" t="s">
        <v>27982</v>
      </c>
      <c r="C3763" t="s">
        <v>20486</v>
      </c>
      <c r="D3763" t="s">
        <v>22</v>
      </c>
      <c r="E3763" t="s">
        <v>8293</v>
      </c>
      <c r="F3763">
        <v>24</v>
      </c>
      <c r="G3763" t="s">
        <v>109</v>
      </c>
      <c r="H3763" t="s">
        <v>9788</v>
      </c>
      <c r="I3763" t="s">
        <v>5211</v>
      </c>
      <c r="J3763" t="s">
        <v>8294</v>
      </c>
    </row>
    <row r="3764" spans="1:10" x14ac:dyDescent="0.3">
      <c r="A3764" t="s">
        <v>8295</v>
      </c>
      <c r="B3764" t="s">
        <v>27983</v>
      </c>
      <c r="C3764" t="s">
        <v>20488</v>
      </c>
      <c r="D3764" t="s">
        <v>22</v>
      </c>
      <c r="E3764" t="s">
        <v>3770</v>
      </c>
      <c r="F3764">
        <v>45</v>
      </c>
      <c r="G3764" t="s">
        <v>31</v>
      </c>
      <c r="H3764" t="s">
        <v>31</v>
      </c>
    </row>
    <row r="3765" spans="1:10" x14ac:dyDescent="0.3">
      <c r="A3765" t="s">
        <v>8296</v>
      </c>
      <c r="B3765" t="s">
        <v>27984</v>
      </c>
      <c r="C3765" t="s">
        <v>20486</v>
      </c>
      <c r="D3765" t="s">
        <v>22</v>
      </c>
      <c r="E3765" t="s">
        <v>8297</v>
      </c>
      <c r="F3765">
        <v>46</v>
      </c>
      <c r="G3765" t="s">
        <v>172</v>
      </c>
      <c r="H3765" t="s">
        <v>12099</v>
      </c>
      <c r="I3765" t="s">
        <v>8298</v>
      </c>
      <c r="J3765" t="s">
        <v>8299</v>
      </c>
    </row>
    <row r="3766" spans="1:10" x14ac:dyDescent="0.3">
      <c r="A3766" t="s">
        <v>8300</v>
      </c>
      <c r="B3766" t="s">
        <v>27985</v>
      </c>
      <c r="C3766" t="s">
        <v>20486</v>
      </c>
      <c r="D3766" t="s">
        <v>22</v>
      </c>
      <c r="E3766" t="s">
        <v>8301</v>
      </c>
      <c r="F3766">
        <v>40</v>
      </c>
      <c r="G3766" t="s">
        <v>16</v>
      </c>
      <c r="H3766" t="s">
        <v>9785</v>
      </c>
      <c r="I3766" t="s">
        <v>17</v>
      </c>
      <c r="J3766" t="s">
        <v>2839</v>
      </c>
    </row>
    <row r="3767" spans="1:10" x14ac:dyDescent="0.3">
      <c r="A3767" t="s">
        <v>8302</v>
      </c>
      <c r="B3767" t="s">
        <v>27986</v>
      </c>
      <c r="C3767" t="s">
        <v>20486</v>
      </c>
      <c r="D3767" t="s">
        <v>22</v>
      </c>
      <c r="E3767" t="s">
        <v>8303</v>
      </c>
      <c r="F3767">
        <v>30</v>
      </c>
      <c r="G3767" t="s">
        <v>46</v>
      </c>
      <c r="H3767" t="s">
        <v>46</v>
      </c>
      <c r="I3767" t="s">
        <v>228</v>
      </c>
      <c r="J3767" t="s">
        <v>8304</v>
      </c>
    </row>
    <row r="3768" spans="1:10" x14ac:dyDescent="0.3">
      <c r="A3768" t="s">
        <v>12557</v>
      </c>
      <c r="B3768" t="s">
        <v>27987</v>
      </c>
      <c r="C3768" t="s">
        <v>20486</v>
      </c>
      <c r="D3768" t="s">
        <v>11</v>
      </c>
      <c r="E3768" t="s">
        <v>9590</v>
      </c>
      <c r="F3768">
        <v>19</v>
      </c>
      <c r="G3768" t="s">
        <v>337</v>
      </c>
      <c r="H3768" t="s">
        <v>337</v>
      </c>
    </row>
    <row r="3769" spans="1:10" x14ac:dyDescent="0.3">
      <c r="A3769" t="s">
        <v>8305</v>
      </c>
      <c r="B3769" t="s">
        <v>27988</v>
      </c>
      <c r="C3769" t="s">
        <v>20486</v>
      </c>
      <c r="D3769" t="s">
        <v>22</v>
      </c>
      <c r="E3769" t="s">
        <v>2375</v>
      </c>
      <c r="F3769">
        <v>50</v>
      </c>
      <c r="G3769" t="s">
        <v>46</v>
      </c>
      <c r="H3769" t="s">
        <v>46</v>
      </c>
      <c r="I3769" t="s">
        <v>2366</v>
      </c>
      <c r="J3769" t="s">
        <v>8306</v>
      </c>
    </row>
    <row r="3770" spans="1:10" x14ac:dyDescent="0.3">
      <c r="A3770" t="s">
        <v>8307</v>
      </c>
      <c r="B3770" t="s">
        <v>27989</v>
      </c>
      <c r="C3770" t="s">
        <v>20488</v>
      </c>
      <c r="D3770" t="s">
        <v>22</v>
      </c>
      <c r="E3770" t="s">
        <v>8308</v>
      </c>
      <c r="F3770">
        <v>74</v>
      </c>
      <c r="G3770" t="s">
        <v>31</v>
      </c>
      <c r="H3770" t="s">
        <v>31</v>
      </c>
    </row>
    <row r="3771" spans="1:10" x14ac:dyDescent="0.3">
      <c r="A3771" t="s">
        <v>8309</v>
      </c>
      <c r="B3771" t="s">
        <v>27990</v>
      </c>
      <c r="C3771" t="s">
        <v>20490</v>
      </c>
      <c r="D3771" t="s">
        <v>11</v>
      </c>
      <c r="E3771" t="s">
        <v>2605</v>
      </c>
      <c r="F3771">
        <v>37</v>
      </c>
      <c r="G3771" t="s">
        <v>109</v>
      </c>
      <c r="H3771" t="s">
        <v>9788</v>
      </c>
      <c r="J3771" t="s">
        <v>7688</v>
      </c>
    </row>
    <row r="3772" spans="1:10" x14ac:dyDescent="0.3">
      <c r="A3772" t="s">
        <v>8310</v>
      </c>
      <c r="B3772" t="s">
        <v>27991</v>
      </c>
      <c r="C3772" t="s">
        <v>20486</v>
      </c>
      <c r="D3772" t="s">
        <v>11</v>
      </c>
      <c r="E3772" t="s">
        <v>8311</v>
      </c>
      <c r="F3772">
        <v>50</v>
      </c>
      <c r="G3772" t="s">
        <v>109</v>
      </c>
      <c r="H3772" t="s">
        <v>9788</v>
      </c>
      <c r="I3772" t="s">
        <v>5811</v>
      </c>
      <c r="J3772" t="s">
        <v>8312</v>
      </c>
    </row>
    <row r="3773" spans="1:10" x14ac:dyDescent="0.3">
      <c r="A3773" t="s">
        <v>8313</v>
      </c>
      <c r="B3773" t="s">
        <v>27992</v>
      </c>
      <c r="C3773" t="s">
        <v>20486</v>
      </c>
      <c r="D3773" t="s">
        <v>11</v>
      </c>
      <c r="E3773" t="s">
        <v>8314</v>
      </c>
      <c r="F3773">
        <v>48</v>
      </c>
      <c r="G3773" t="s">
        <v>109</v>
      </c>
      <c r="H3773" t="s">
        <v>9788</v>
      </c>
      <c r="I3773" t="s">
        <v>139</v>
      </c>
    </row>
    <row r="3774" spans="1:10" x14ac:dyDescent="0.3">
      <c r="A3774" t="s">
        <v>8315</v>
      </c>
      <c r="B3774" t="s">
        <v>27993</v>
      </c>
      <c r="C3774" t="s">
        <v>20486</v>
      </c>
      <c r="D3774" t="s">
        <v>11</v>
      </c>
      <c r="E3774" t="s">
        <v>8316</v>
      </c>
      <c r="F3774">
        <v>70</v>
      </c>
      <c r="G3774" t="s">
        <v>13</v>
      </c>
      <c r="H3774" t="s">
        <v>13</v>
      </c>
    </row>
    <row r="3775" spans="1:10" x14ac:dyDescent="0.3">
      <c r="A3775" t="s">
        <v>8318</v>
      </c>
      <c r="B3775" t="s">
        <v>27994</v>
      </c>
      <c r="C3775" t="s">
        <v>20487</v>
      </c>
      <c r="D3775" t="s">
        <v>22</v>
      </c>
      <c r="E3775" t="s">
        <v>4650</v>
      </c>
      <c r="F3775">
        <v>29</v>
      </c>
      <c r="G3775" t="s">
        <v>109</v>
      </c>
      <c r="H3775" t="s">
        <v>9788</v>
      </c>
      <c r="I3775" t="s">
        <v>481</v>
      </c>
      <c r="J3775" t="s">
        <v>8319</v>
      </c>
    </row>
    <row r="3776" spans="1:10" x14ac:dyDescent="0.3">
      <c r="A3776" t="s">
        <v>8320</v>
      </c>
      <c r="B3776" t="s">
        <v>27995</v>
      </c>
      <c r="C3776" t="s">
        <v>20486</v>
      </c>
      <c r="D3776" t="s">
        <v>22</v>
      </c>
      <c r="E3776" t="s">
        <v>8321</v>
      </c>
      <c r="F3776">
        <v>35</v>
      </c>
      <c r="G3776" t="s">
        <v>177</v>
      </c>
      <c r="H3776" t="s">
        <v>12065</v>
      </c>
      <c r="I3776" t="s">
        <v>110</v>
      </c>
      <c r="J3776" t="s">
        <v>8322</v>
      </c>
    </row>
    <row r="3777" spans="1:10" x14ac:dyDescent="0.3">
      <c r="A3777" t="s">
        <v>8323</v>
      </c>
      <c r="B3777" t="s">
        <v>27996</v>
      </c>
      <c r="C3777" t="s">
        <v>20486</v>
      </c>
      <c r="D3777" t="s">
        <v>11</v>
      </c>
      <c r="E3777" t="s">
        <v>5689</v>
      </c>
      <c r="F3777">
        <v>43</v>
      </c>
      <c r="G3777" t="s">
        <v>109</v>
      </c>
      <c r="H3777" t="s">
        <v>9788</v>
      </c>
      <c r="I3777" t="s">
        <v>1678</v>
      </c>
      <c r="J3777" t="s">
        <v>8324</v>
      </c>
    </row>
    <row r="3778" spans="1:10" x14ac:dyDescent="0.3">
      <c r="A3778" t="s">
        <v>8325</v>
      </c>
      <c r="B3778" t="s">
        <v>27997</v>
      </c>
      <c r="C3778" t="s">
        <v>20489</v>
      </c>
      <c r="D3778" t="s">
        <v>22</v>
      </c>
      <c r="E3778" t="s">
        <v>8326</v>
      </c>
      <c r="F3778">
        <v>50</v>
      </c>
      <c r="G3778" t="s">
        <v>243</v>
      </c>
      <c r="H3778" t="s">
        <v>243</v>
      </c>
    </row>
    <row r="3779" spans="1:10" x14ac:dyDescent="0.3">
      <c r="A3779" t="s">
        <v>8327</v>
      </c>
      <c r="B3779" t="s">
        <v>27998</v>
      </c>
      <c r="C3779" t="s">
        <v>20487</v>
      </c>
      <c r="D3779" t="s">
        <v>11</v>
      </c>
      <c r="E3779" t="s">
        <v>8328</v>
      </c>
      <c r="F3779">
        <v>45</v>
      </c>
      <c r="G3779" t="s">
        <v>46</v>
      </c>
      <c r="H3779" t="s">
        <v>46</v>
      </c>
    </row>
    <row r="3780" spans="1:10" x14ac:dyDescent="0.3">
      <c r="A3780" t="s">
        <v>8329</v>
      </c>
      <c r="B3780" t="s">
        <v>27999</v>
      </c>
      <c r="C3780" t="s">
        <v>20489</v>
      </c>
      <c r="D3780" t="s">
        <v>22</v>
      </c>
      <c r="E3780" t="s">
        <v>8330</v>
      </c>
      <c r="F3780">
        <v>74</v>
      </c>
      <c r="G3780" t="s">
        <v>13</v>
      </c>
      <c r="H3780" t="s">
        <v>13</v>
      </c>
      <c r="I3780" t="s">
        <v>17</v>
      </c>
    </row>
    <row r="3781" spans="1:10" x14ac:dyDescent="0.3">
      <c r="A3781" t="s">
        <v>8331</v>
      </c>
      <c r="B3781" t="s">
        <v>28000</v>
      </c>
      <c r="C3781" t="s">
        <v>20486</v>
      </c>
      <c r="D3781" t="s">
        <v>22</v>
      </c>
      <c r="E3781" t="s">
        <v>8332</v>
      </c>
      <c r="F3781">
        <v>46</v>
      </c>
      <c r="G3781" t="s">
        <v>46</v>
      </c>
      <c r="H3781" t="s">
        <v>46</v>
      </c>
    </row>
    <row r="3782" spans="1:10" x14ac:dyDescent="0.3">
      <c r="A3782" t="s">
        <v>8333</v>
      </c>
      <c r="B3782" t="s">
        <v>28001</v>
      </c>
      <c r="C3782" t="s">
        <v>20486</v>
      </c>
      <c r="D3782" t="s">
        <v>22</v>
      </c>
      <c r="E3782" t="s">
        <v>7832</v>
      </c>
      <c r="F3782">
        <v>32</v>
      </c>
      <c r="G3782" t="s">
        <v>109</v>
      </c>
      <c r="H3782" t="s">
        <v>9788</v>
      </c>
      <c r="J3782" t="s">
        <v>12558</v>
      </c>
    </row>
    <row r="3783" spans="1:10" x14ac:dyDescent="0.3">
      <c r="A3783" t="s">
        <v>8334</v>
      </c>
      <c r="B3783" t="s">
        <v>28002</v>
      </c>
      <c r="C3783" t="s">
        <v>20490</v>
      </c>
      <c r="D3783" t="s">
        <v>11</v>
      </c>
      <c r="E3783" t="s">
        <v>8335</v>
      </c>
      <c r="F3783">
        <v>61</v>
      </c>
      <c r="G3783" t="s">
        <v>133</v>
      </c>
      <c r="H3783" t="s">
        <v>9789</v>
      </c>
    </row>
    <row r="3784" spans="1:10" x14ac:dyDescent="0.3">
      <c r="A3784" t="s">
        <v>8336</v>
      </c>
      <c r="B3784" t="s">
        <v>28003</v>
      </c>
      <c r="C3784" t="s">
        <v>20491</v>
      </c>
      <c r="D3784" t="s">
        <v>22</v>
      </c>
      <c r="E3784" t="s">
        <v>8337</v>
      </c>
      <c r="F3784">
        <v>60</v>
      </c>
      <c r="G3784" t="s">
        <v>155</v>
      </c>
      <c r="H3784" t="s">
        <v>9791</v>
      </c>
      <c r="I3784" t="s">
        <v>8338</v>
      </c>
    </row>
    <row r="3785" spans="1:10" x14ac:dyDescent="0.3">
      <c r="A3785" t="s">
        <v>8339</v>
      </c>
      <c r="B3785" t="s">
        <v>28004</v>
      </c>
      <c r="C3785" t="s">
        <v>20491</v>
      </c>
      <c r="D3785" t="s">
        <v>11</v>
      </c>
      <c r="E3785" t="s">
        <v>8340</v>
      </c>
      <c r="F3785">
        <v>35</v>
      </c>
      <c r="G3785" t="s">
        <v>46</v>
      </c>
      <c r="H3785" t="s">
        <v>46</v>
      </c>
    </row>
    <row r="3786" spans="1:10" x14ac:dyDescent="0.3">
      <c r="A3786" t="s">
        <v>8341</v>
      </c>
      <c r="B3786" t="s">
        <v>28005</v>
      </c>
      <c r="C3786" t="s">
        <v>20486</v>
      </c>
      <c r="D3786" t="s">
        <v>22</v>
      </c>
      <c r="E3786" t="s">
        <v>8342</v>
      </c>
      <c r="F3786">
        <v>41</v>
      </c>
      <c r="G3786" t="s">
        <v>213</v>
      </c>
      <c r="H3786" t="s">
        <v>12065</v>
      </c>
      <c r="I3786" t="s">
        <v>110</v>
      </c>
      <c r="J3786" t="s">
        <v>8343</v>
      </c>
    </row>
    <row r="3787" spans="1:10" x14ac:dyDescent="0.3">
      <c r="A3787" t="s">
        <v>8344</v>
      </c>
      <c r="B3787" t="s">
        <v>28006</v>
      </c>
      <c r="C3787" t="s">
        <v>20486</v>
      </c>
      <c r="D3787" t="s">
        <v>22</v>
      </c>
      <c r="E3787" t="s">
        <v>8345</v>
      </c>
      <c r="F3787">
        <v>35</v>
      </c>
      <c r="G3787" t="s">
        <v>109</v>
      </c>
      <c r="H3787" t="s">
        <v>9788</v>
      </c>
    </row>
    <row r="3788" spans="1:10" x14ac:dyDescent="0.3">
      <c r="A3788" t="s">
        <v>8346</v>
      </c>
      <c r="B3788" t="s">
        <v>28007</v>
      </c>
      <c r="C3788" t="s">
        <v>20486</v>
      </c>
      <c r="D3788" t="s">
        <v>22</v>
      </c>
      <c r="E3788" t="s">
        <v>8347</v>
      </c>
      <c r="F3788">
        <v>30</v>
      </c>
      <c r="G3788" t="s">
        <v>109</v>
      </c>
      <c r="H3788" t="s">
        <v>9788</v>
      </c>
    </row>
    <row r="3789" spans="1:10" x14ac:dyDescent="0.3">
      <c r="A3789" t="s">
        <v>8348</v>
      </c>
      <c r="B3789" t="s">
        <v>28008</v>
      </c>
      <c r="C3789" t="s">
        <v>20488</v>
      </c>
      <c r="D3789" t="s">
        <v>11</v>
      </c>
      <c r="E3789" t="s">
        <v>8349</v>
      </c>
      <c r="F3789">
        <v>31</v>
      </c>
      <c r="G3789" t="s">
        <v>46</v>
      </c>
      <c r="H3789" t="s">
        <v>46</v>
      </c>
      <c r="I3789" t="s">
        <v>8350</v>
      </c>
    </row>
    <row r="3790" spans="1:10" x14ac:dyDescent="0.3">
      <c r="A3790" t="s">
        <v>8352</v>
      </c>
      <c r="B3790" t="s">
        <v>28009</v>
      </c>
      <c r="C3790" t="s">
        <v>20486</v>
      </c>
      <c r="D3790" t="s">
        <v>22</v>
      </c>
      <c r="E3790" t="s">
        <v>8353</v>
      </c>
      <c r="F3790">
        <v>30</v>
      </c>
      <c r="G3790" t="s">
        <v>46</v>
      </c>
      <c r="H3790" t="s">
        <v>46</v>
      </c>
      <c r="I3790" t="s">
        <v>3820</v>
      </c>
    </row>
    <row r="3791" spans="1:10" x14ac:dyDescent="0.3">
      <c r="A3791" t="s">
        <v>8354</v>
      </c>
      <c r="B3791" t="s">
        <v>28010</v>
      </c>
      <c r="C3791" t="s">
        <v>20486</v>
      </c>
      <c r="D3791" t="s">
        <v>22</v>
      </c>
      <c r="E3791" t="s">
        <v>8355</v>
      </c>
      <c r="F3791">
        <v>39</v>
      </c>
      <c r="G3791" t="s">
        <v>109</v>
      </c>
      <c r="H3791" t="s">
        <v>9788</v>
      </c>
      <c r="I3791" t="s">
        <v>8356</v>
      </c>
      <c r="J3791" t="s">
        <v>8357</v>
      </c>
    </row>
    <row r="3792" spans="1:10" x14ac:dyDescent="0.3">
      <c r="A3792" t="s">
        <v>8358</v>
      </c>
      <c r="B3792" t="s">
        <v>28011</v>
      </c>
      <c r="C3792" t="s">
        <v>20486</v>
      </c>
      <c r="D3792" t="s">
        <v>22</v>
      </c>
      <c r="E3792" t="s">
        <v>8359</v>
      </c>
      <c r="F3792">
        <v>27</v>
      </c>
      <c r="G3792" t="s">
        <v>16</v>
      </c>
      <c r="H3792" t="s">
        <v>9785</v>
      </c>
      <c r="I3792" t="s">
        <v>441</v>
      </c>
      <c r="J3792" t="s">
        <v>8360</v>
      </c>
    </row>
    <row r="3793" spans="1:10" x14ac:dyDescent="0.3">
      <c r="A3793" t="s">
        <v>8361</v>
      </c>
      <c r="B3793" t="s">
        <v>28012</v>
      </c>
      <c r="C3793" t="s">
        <v>20488</v>
      </c>
      <c r="D3793" t="s">
        <v>11</v>
      </c>
      <c r="E3793" t="s">
        <v>8362</v>
      </c>
      <c r="F3793">
        <v>40</v>
      </c>
      <c r="G3793" t="s">
        <v>109</v>
      </c>
      <c r="H3793" t="s">
        <v>9788</v>
      </c>
      <c r="I3793" t="s">
        <v>8363</v>
      </c>
    </row>
    <row r="3794" spans="1:10" x14ac:dyDescent="0.3">
      <c r="A3794" t="s">
        <v>8364</v>
      </c>
      <c r="B3794" t="s">
        <v>28013</v>
      </c>
      <c r="C3794" t="s">
        <v>20488</v>
      </c>
      <c r="D3794" t="s">
        <v>22</v>
      </c>
      <c r="E3794" t="s">
        <v>8365</v>
      </c>
      <c r="F3794">
        <v>46</v>
      </c>
      <c r="G3794" t="s">
        <v>31</v>
      </c>
      <c r="H3794" t="s">
        <v>31</v>
      </c>
    </row>
    <row r="3795" spans="1:10" x14ac:dyDescent="0.3">
      <c r="A3795" t="s">
        <v>12559</v>
      </c>
      <c r="B3795" t="s">
        <v>28014</v>
      </c>
      <c r="C3795" t="s">
        <v>20488</v>
      </c>
      <c r="D3795" t="s">
        <v>11</v>
      </c>
      <c r="E3795" t="s">
        <v>12560</v>
      </c>
      <c r="F3795">
        <v>36</v>
      </c>
      <c r="G3795" t="s">
        <v>109</v>
      </c>
      <c r="H3795" t="s">
        <v>9788</v>
      </c>
    </row>
    <row r="3796" spans="1:10" x14ac:dyDescent="0.3">
      <c r="A3796" t="s">
        <v>8366</v>
      </c>
      <c r="B3796" t="s">
        <v>28015</v>
      </c>
      <c r="C3796" t="s">
        <v>20491</v>
      </c>
      <c r="D3796" t="s">
        <v>22</v>
      </c>
      <c r="E3796" t="s">
        <v>8367</v>
      </c>
      <c r="F3796">
        <v>36</v>
      </c>
      <c r="G3796" t="s">
        <v>109</v>
      </c>
      <c r="H3796" t="s">
        <v>9788</v>
      </c>
    </row>
    <row r="3797" spans="1:10" x14ac:dyDescent="0.3">
      <c r="A3797" t="s">
        <v>8368</v>
      </c>
      <c r="B3797" t="s">
        <v>28016</v>
      </c>
      <c r="C3797" t="s">
        <v>20486</v>
      </c>
      <c r="D3797" t="s">
        <v>22</v>
      </c>
      <c r="E3797" t="s">
        <v>8369</v>
      </c>
      <c r="F3797">
        <v>39</v>
      </c>
      <c r="G3797" t="s">
        <v>31</v>
      </c>
      <c r="H3797" t="s">
        <v>31</v>
      </c>
    </row>
    <row r="3798" spans="1:10" x14ac:dyDescent="0.3">
      <c r="A3798" t="s">
        <v>8370</v>
      </c>
      <c r="B3798" t="s">
        <v>28017</v>
      </c>
      <c r="C3798" t="s">
        <v>20486</v>
      </c>
      <c r="D3798" t="s">
        <v>22</v>
      </c>
      <c r="E3798" t="s">
        <v>8371</v>
      </c>
      <c r="F3798">
        <v>34</v>
      </c>
      <c r="G3798" t="s">
        <v>16</v>
      </c>
      <c r="H3798" t="s">
        <v>9785</v>
      </c>
      <c r="I3798" t="s">
        <v>17</v>
      </c>
      <c r="J3798" t="s">
        <v>8372</v>
      </c>
    </row>
    <row r="3799" spans="1:10" x14ac:dyDescent="0.3">
      <c r="A3799" t="s">
        <v>8373</v>
      </c>
      <c r="B3799" t="s">
        <v>28018</v>
      </c>
      <c r="C3799" t="s">
        <v>20487</v>
      </c>
      <c r="D3799" t="s">
        <v>22</v>
      </c>
      <c r="E3799" t="s">
        <v>8374</v>
      </c>
      <c r="F3799">
        <v>31</v>
      </c>
      <c r="G3799" t="s">
        <v>16</v>
      </c>
      <c r="H3799" t="s">
        <v>9785</v>
      </c>
      <c r="I3799" t="s">
        <v>17</v>
      </c>
      <c r="J3799" t="s">
        <v>8375</v>
      </c>
    </row>
    <row r="3800" spans="1:10" x14ac:dyDescent="0.3">
      <c r="A3800" t="s">
        <v>8376</v>
      </c>
      <c r="B3800" t="s">
        <v>28019</v>
      </c>
      <c r="C3800" t="s">
        <v>20486</v>
      </c>
      <c r="D3800" t="s">
        <v>22</v>
      </c>
      <c r="E3800" t="s">
        <v>2679</v>
      </c>
      <c r="F3800">
        <v>51</v>
      </c>
      <c r="G3800" t="s">
        <v>31</v>
      </c>
      <c r="H3800" t="s">
        <v>31</v>
      </c>
    </row>
    <row r="3801" spans="1:10" x14ac:dyDescent="0.3">
      <c r="A3801" t="s">
        <v>8377</v>
      </c>
      <c r="B3801" t="s">
        <v>28020</v>
      </c>
      <c r="C3801" t="s">
        <v>20486</v>
      </c>
      <c r="D3801" t="s">
        <v>22</v>
      </c>
      <c r="E3801" t="s">
        <v>8378</v>
      </c>
      <c r="F3801">
        <v>57</v>
      </c>
      <c r="G3801" t="s">
        <v>109</v>
      </c>
      <c r="H3801" t="s">
        <v>9788</v>
      </c>
      <c r="I3801" t="s">
        <v>1074</v>
      </c>
    </row>
    <row r="3802" spans="1:10" x14ac:dyDescent="0.3">
      <c r="A3802" t="s">
        <v>8379</v>
      </c>
      <c r="B3802" t="s">
        <v>28021</v>
      </c>
      <c r="C3802" t="s">
        <v>20490</v>
      </c>
      <c r="D3802" t="s">
        <v>22</v>
      </c>
      <c r="E3802" t="s">
        <v>8380</v>
      </c>
      <c r="F3802">
        <v>36</v>
      </c>
      <c r="G3802" t="s">
        <v>46</v>
      </c>
      <c r="H3802" t="s">
        <v>46</v>
      </c>
    </row>
    <row r="3803" spans="1:10" x14ac:dyDescent="0.3">
      <c r="A3803" t="s">
        <v>8381</v>
      </c>
      <c r="B3803" t="s">
        <v>28022</v>
      </c>
      <c r="C3803" t="s">
        <v>20486</v>
      </c>
      <c r="D3803" t="s">
        <v>22</v>
      </c>
      <c r="E3803" t="s">
        <v>8382</v>
      </c>
      <c r="F3803">
        <v>59</v>
      </c>
      <c r="G3803" t="s">
        <v>109</v>
      </c>
      <c r="H3803" t="s">
        <v>9788</v>
      </c>
      <c r="I3803" t="s">
        <v>1074</v>
      </c>
      <c r="J3803" t="s">
        <v>8383</v>
      </c>
    </row>
    <row r="3804" spans="1:10" x14ac:dyDescent="0.3">
      <c r="A3804" t="s">
        <v>8384</v>
      </c>
      <c r="B3804" t="s">
        <v>28023</v>
      </c>
      <c r="C3804" t="s">
        <v>20488</v>
      </c>
      <c r="D3804" t="s">
        <v>22</v>
      </c>
      <c r="E3804" t="s">
        <v>8385</v>
      </c>
      <c r="F3804">
        <v>28</v>
      </c>
      <c r="G3804" t="s">
        <v>109</v>
      </c>
      <c r="H3804" t="s">
        <v>9788</v>
      </c>
      <c r="I3804" t="s">
        <v>139</v>
      </c>
      <c r="J3804" t="s">
        <v>8386</v>
      </c>
    </row>
    <row r="3805" spans="1:10" x14ac:dyDescent="0.3">
      <c r="A3805" t="s">
        <v>8387</v>
      </c>
      <c r="B3805" t="s">
        <v>28024</v>
      </c>
      <c r="C3805" t="s">
        <v>20490</v>
      </c>
      <c r="D3805" t="s">
        <v>22</v>
      </c>
      <c r="E3805" t="s">
        <v>8388</v>
      </c>
      <c r="F3805">
        <v>29</v>
      </c>
      <c r="G3805" t="s">
        <v>31</v>
      </c>
      <c r="H3805" t="s">
        <v>31</v>
      </c>
    </row>
    <row r="3806" spans="1:10" x14ac:dyDescent="0.3">
      <c r="A3806" t="s">
        <v>8389</v>
      </c>
      <c r="B3806" t="s">
        <v>28025</v>
      </c>
      <c r="C3806" t="s">
        <v>20488</v>
      </c>
      <c r="D3806" t="s">
        <v>22</v>
      </c>
      <c r="E3806" t="s">
        <v>8390</v>
      </c>
      <c r="F3806">
        <v>38</v>
      </c>
      <c r="G3806" t="s">
        <v>46</v>
      </c>
      <c r="H3806" t="s">
        <v>46</v>
      </c>
      <c r="I3806" t="s">
        <v>3878</v>
      </c>
    </row>
    <row r="3807" spans="1:10" x14ac:dyDescent="0.3">
      <c r="A3807" t="s">
        <v>8391</v>
      </c>
      <c r="B3807" t="s">
        <v>28026</v>
      </c>
      <c r="C3807" t="s">
        <v>20486</v>
      </c>
      <c r="D3807" t="s">
        <v>22</v>
      </c>
      <c r="E3807" t="s">
        <v>8392</v>
      </c>
      <c r="F3807">
        <v>70</v>
      </c>
      <c r="G3807" t="s">
        <v>155</v>
      </c>
      <c r="H3807" t="s">
        <v>9791</v>
      </c>
    </row>
    <row r="3808" spans="1:10" x14ac:dyDescent="0.3">
      <c r="A3808" t="s">
        <v>8393</v>
      </c>
      <c r="B3808" t="s">
        <v>28027</v>
      </c>
      <c r="C3808" t="s">
        <v>20490</v>
      </c>
      <c r="D3808" t="s">
        <v>11</v>
      </c>
      <c r="E3808" t="s">
        <v>8394</v>
      </c>
      <c r="F3808">
        <v>50</v>
      </c>
      <c r="G3808" t="s">
        <v>109</v>
      </c>
      <c r="H3808" t="s">
        <v>9788</v>
      </c>
    </row>
    <row r="3809" spans="1:10" x14ac:dyDescent="0.3">
      <c r="A3809" t="s">
        <v>12561</v>
      </c>
      <c r="B3809" t="s">
        <v>28028</v>
      </c>
      <c r="C3809" t="s">
        <v>20491</v>
      </c>
      <c r="D3809" t="s">
        <v>11</v>
      </c>
      <c r="E3809" t="s">
        <v>9589</v>
      </c>
      <c r="F3809">
        <v>18</v>
      </c>
      <c r="G3809" t="s">
        <v>337</v>
      </c>
      <c r="H3809" t="s">
        <v>337</v>
      </c>
    </row>
    <row r="3810" spans="1:10" x14ac:dyDescent="0.3">
      <c r="A3810" t="s">
        <v>8395</v>
      </c>
      <c r="B3810" t="s">
        <v>28029</v>
      </c>
      <c r="C3810" t="s">
        <v>20486</v>
      </c>
      <c r="D3810" t="s">
        <v>22</v>
      </c>
      <c r="E3810" t="s">
        <v>8396</v>
      </c>
      <c r="F3810">
        <v>47</v>
      </c>
      <c r="G3810" t="s">
        <v>172</v>
      </c>
      <c r="H3810" t="s">
        <v>12099</v>
      </c>
      <c r="I3810" t="s">
        <v>110</v>
      </c>
      <c r="J3810" t="s">
        <v>8397</v>
      </c>
    </row>
    <row r="3811" spans="1:10" x14ac:dyDescent="0.3">
      <c r="A3811" t="s">
        <v>8398</v>
      </c>
      <c r="B3811" t="s">
        <v>28030</v>
      </c>
      <c r="C3811" t="s">
        <v>20487</v>
      </c>
      <c r="D3811" t="s">
        <v>22</v>
      </c>
      <c r="E3811" t="s">
        <v>8399</v>
      </c>
      <c r="F3811">
        <v>26</v>
      </c>
      <c r="G3811" t="s">
        <v>109</v>
      </c>
      <c r="H3811" t="s">
        <v>9788</v>
      </c>
      <c r="J3811" t="s">
        <v>8400</v>
      </c>
    </row>
    <row r="3812" spans="1:10" x14ac:dyDescent="0.3">
      <c r="A3812" t="s">
        <v>8401</v>
      </c>
      <c r="B3812" t="s">
        <v>28031</v>
      </c>
      <c r="C3812" t="s">
        <v>20489</v>
      </c>
      <c r="D3812" t="s">
        <v>11</v>
      </c>
      <c r="E3812" t="s">
        <v>8402</v>
      </c>
      <c r="F3812">
        <v>26</v>
      </c>
      <c r="G3812" t="s">
        <v>133</v>
      </c>
      <c r="H3812" t="s">
        <v>9789</v>
      </c>
      <c r="I3812" t="s">
        <v>935</v>
      </c>
    </row>
    <row r="3813" spans="1:10" x14ac:dyDescent="0.3">
      <c r="A3813" t="s">
        <v>8403</v>
      </c>
      <c r="B3813" t="s">
        <v>28032</v>
      </c>
      <c r="C3813" t="s">
        <v>20486</v>
      </c>
      <c r="D3813" t="s">
        <v>11</v>
      </c>
      <c r="E3813" t="s">
        <v>3356</v>
      </c>
      <c r="F3813">
        <v>56</v>
      </c>
      <c r="G3813" t="s">
        <v>1992</v>
      </c>
      <c r="H3813" t="s">
        <v>9791</v>
      </c>
      <c r="J3813" t="s">
        <v>2629</v>
      </c>
    </row>
    <row r="3814" spans="1:10" x14ac:dyDescent="0.3">
      <c r="A3814" t="s">
        <v>8404</v>
      </c>
      <c r="B3814" t="s">
        <v>28033</v>
      </c>
      <c r="C3814" t="s">
        <v>20488</v>
      </c>
      <c r="D3814" t="s">
        <v>22</v>
      </c>
      <c r="E3814" t="s">
        <v>8405</v>
      </c>
      <c r="F3814">
        <v>57</v>
      </c>
      <c r="G3814" t="s">
        <v>31</v>
      </c>
      <c r="H3814" t="s">
        <v>31</v>
      </c>
    </row>
    <row r="3815" spans="1:10" x14ac:dyDescent="0.3">
      <c r="A3815" t="s">
        <v>8406</v>
      </c>
      <c r="B3815" t="s">
        <v>28034</v>
      </c>
      <c r="C3815" t="s">
        <v>20491</v>
      </c>
      <c r="D3815" t="s">
        <v>22</v>
      </c>
      <c r="E3815" t="s">
        <v>8407</v>
      </c>
      <c r="F3815">
        <v>52</v>
      </c>
      <c r="G3815" t="s">
        <v>172</v>
      </c>
      <c r="H3815" t="s">
        <v>12099</v>
      </c>
      <c r="I3815" t="s">
        <v>441</v>
      </c>
      <c r="J3815" t="s">
        <v>8408</v>
      </c>
    </row>
    <row r="3816" spans="1:10" x14ac:dyDescent="0.3">
      <c r="A3816" t="s">
        <v>8409</v>
      </c>
      <c r="B3816" t="s">
        <v>28035</v>
      </c>
      <c r="C3816" t="s">
        <v>20490</v>
      </c>
      <c r="D3816" t="s">
        <v>22</v>
      </c>
      <c r="E3816" t="s">
        <v>8410</v>
      </c>
      <c r="F3816">
        <v>62</v>
      </c>
      <c r="G3816" t="s">
        <v>109</v>
      </c>
      <c r="H3816" t="s">
        <v>9788</v>
      </c>
    </row>
    <row r="3817" spans="1:10" x14ac:dyDescent="0.3">
      <c r="A3817" t="s">
        <v>8411</v>
      </c>
      <c r="B3817" t="s">
        <v>28036</v>
      </c>
      <c r="C3817" t="s">
        <v>20491</v>
      </c>
      <c r="D3817" t="s">
        <v>22</v>
      </c>
      <c r="E3817" t="s">
        <v>4115</v>
      </c>
      <c r="F3817">
        <v>34</v>
      </c>
      <c r="G3817" t="s">
        <v>16</v>
      </c>
      <c r="H3817" t="s">
        <v>9785</v>
      </c>
      <c r="J3817" t="s">
        <v>8412</v>
      </c>
    </row>
    <row r="3818" spans="1:10" x14ac:dyDescent="0.3">
      <c r="A3818" t="s">
        <v>8413</v>
      </c>
      <c r="B3818" t="s">
        <v>28037</v>
      </c>
      <c r="C3818" t="s">
        <v>20486</v>
      </c>
      <c r="D3818" t="s">
        <v>22</v>
      </c>
      <c r="E3818" t="s">
        <v>8414</v>
      </c>
      <c r="F3818">
        <v>41</v>
      </c>
      <c r="G3818" t="s">
        <v>46</v>
      </c>
      <c r="H3818" t="s">
        <v>46</v>
      </c>
      <c r="I3818" t="s">
        <v>8415</v>
      </c>
    </row>
    <row r="3819" spans="1:10" x14ac:dyDescent="0.3">
      <c r="A3819" t="s">
        <v>8416</v>
      </c>
      <c r="B3819" t="s">
        <v>28038</v>
      </c>
      <c r="C3819" t="s">
        <v>20488</v>
      </c>
      <c r="D3819" t="s">
        <v>11</v>
      </c>
      <c r="E3819" t="s">
        <v>8417</v>
      </c>
      <c r="F3819">
        <v>35</v>
      </c>
      <c r="G3819" t="s">
        <v>109</v>
      </c>
      <c r="H3819" t="s">
        <v>9788</v>
      </c>
      <c r="J3819" t="s">
        <v>5632</v>
      </c>
    </row>
    <row r="3820" spans="1:10" x14ac:dyDescent="0.3">
      <c r="A3820" t="s">
        <v>8418</v>
      </c>
      <c r="B3820" t="s">
        <v>28039</v>
      </c>
      <c r="C3820" t="s">
        <v>20486</v>
      </c>
      <c r="D3820" t="s">
        <v>22</v>
      </c>
      <c r="E3820" t="s">
        <v>8419</v>
      </c>
      <c r="F3820">
        <v>28</v>
      </c>
      <c r="G3820" t="s">
        <v>109</v>
      </c>
      <c r="H3820" t="s">
        <v>9788</v>
      </c>
      <c r="I3820" t="s">
        <v>8420</v>
      </c>
      <c r="J3820" t="s">
        <v>2588</v>
      </c>
    </row>
    <row r="3821" spans="1:10" x14ac:dyDescent="0.3">
      <c r="A3821" t="s">
        <v>8421</v>
      </c>
      <c r="B3821" t="s">
        <v>28040</v>
      </c>
      <c r="C3821" t="s">
        <v>20486</v>
      </c>
      <c r="D3821" t="s">
        <v>22</v>
      </c>
      <c r="E3821" t="s">
        <v>8422</v>
      </c>
      <c r="F3821">
        <v>53</v>
      </c>
      <c r="G3821" t="s">
        <v>31</v>
      </c>
      <c r="H3821" t="s">
        <v>31</v>
      </c>
    </row>
    <row r="3822" spans="1:10" x14ac:dyDescent="0.3">
      <c r="A3822" t="s">
        <v>8423</v>
      </c>
      <c r="B3822" t="s">
        <v>28041</v>
      </c>
      <c r="C3822" t="s">
        <v>20488</v>
      </c>
      <c r="D3822" t="s">
        <v>11</v>
      </c>
      <c r="E3822" t="s">
        <v>8424</v>
      </c>
      <c r="F3822">
        <v>72</v>
      </c>
      <c r="G3822" t="s">
        <v>13</v>
      </c>
      <c r="H3822" t="s">
        <v>13</v>
      </c>
    </row>
    <row r="3823" spans="1:10" x14ac:dyDescent="0.3">
      <c r="A3823" t="s">
        <v>8425</v>
      </c>
      <c r="B3823" t="s">
        <v>28042</v>
      </c>
      <c r="C3823" t="s">
        <v>20491</v>
      </c>
      <c r="D3823" t="s">
        <v>11</v>
      </c>
      <c r="E3823" t="s">
        <v>4439</v>
      </c>
      <c r="F3823">
        <v>53</v>
      </c>
      <c r="G3823" t="s">
        <v>109</v>
      </c>
      <c r="H3823" t="s">
        <v>9788</v>
      </c>
      <c r="J3823" t="s">
        <v>8426</v>
      </c>
    </row>
    <row r="3824" spans="1:10" x14ac:dyDescent="0.3">
      <c r="A3824" t="s">
        <v>8427</v>
      </c>
      <c r="B3824" t="s">
        <v>28043</v>
      </c>
      <c r="C3824" t="s">
        <v>20486</v>
      </c>
      <c r="D3824" t="s">
        <v>22</v>
      </c>
      <c r="E3824" t="s">
        <v>4364</v>
      </c>
      <c r="F3824">
        <v>42</v>
      </c>
      <c r="G3824" t="s">
        <v>31</v>
      </c>
      <c r="H3824" t="s">
        <v>31</v>
      </c>
    </row>
    <row r="3825" spans="1:10" x14ac:dyDescent="0.3">
      <c r="A3825" t="s">
        <v>8428</v>
      </c>
      <c r="B3825" t="s">
        <v>28044</v>
      </c>
      <c r="C3825" t="s">
        <v>20486</v>
      </c>
      <c r="D3825" t="s">
        <v>22</v>
      </c>
      <c r="E3825" t="s">
        <v>8429</v>
      </c>
      <c r="F3825">
        <v>38</v>
      </c>
      <c r="G3825" t="s">
        <v>46</v>
      </c>
      <c r="H3825" t="s">
        <v>46</v>
      </c>
      <c r="I3825" t="s">
        <v>8430</v>
      </c>
    </row>
    <row r="3826" spans="1:10" x14ac:dyDescent="0.3">
      <c r="A3826" t="s">
        <v>8431</v>
      </c>
      <c r="B3826" t="s">
        <v>28045</v>
      </c>
      <c r="C3826" t="s">
        <v>20488</v>
      </c>
      <c r="D3826" t="s">
        <v>22</v>
      </c>
      <c r="E3826" t="s">
        <v>8432</v>
      </c>
      <c r="F3826">
        <v>33</v>
      </c>
      <c r="G3826" t="s">
        <v>16</v>
      </c>
      <c r="H3826" t="s">
        <v>9785</v>
      </c>
      <c r="I3826" t="s">
        <v>449</v>
      </c>
      <c r="J3826" t="s">
        <v>8433</v>
      </c>
    </row>
    <row r="3827" spans="1:10" x14ac:dyDescent="0.3">
      <c r="A3827" t="s">
        <v>12562</v>
      </c>
      <c r="B3827" t="s">
        <v>28046</v>
      </c>
      <c r="C3827" t="s">
        <v>20486</v>
      </c>
      <c r="D3827" t="s">
        <v>11</v>
      </c>
      <c r="E3827" t="s">
        <v>12563</v>
      </c>
      <c r="F3827">
        <v>29</v>
      </c>
      <c r="G3827" t="s">
        <v>46</v>
      </c>
      <c r="H3827" t="s">
        <v>46</v>
      </c>
      <c r="I3827" t="s">
        <v>2466</v>
      </c>
      <c r="J3827" t="s">
        <v>12564</v>
      </c>
    </row>
    <row r="3828" spans="1:10" x14ac:dyDescent="0.3">
      <c r="A3828" t="s">
        <v>8435</v>
      </c>
      <c r="B3828" t="s">
        <v>28047</v>
      </c>
      <c r="C3828" t="s">
        <v>20491</v>
      </c>
      <c r="D3828" t="s">
        <v>22</v>
      </c>
      <c r="E3828" t="s">
        <v>8436</v>
      </c>
      <c r="F3828">
        <v>20</v>
      </c>
      <c r="G3828" t="s">
        <v>16</v>
      </c>
      <c r="H3828" t="s">
        <v>9785</v>
      </c>
      <c r="J3828" t="s">
        <v>8412</v>
      </c>
    </row>
    <row r="3829" spans="1:10" x14ac:dyDescent="0.3">
      <c r="A3829" t="s">
        <v>8437</v>
      </c>
      <c r="B3829" t="s">
        <v>28048</v>
      </c>
      <c r="C3829" t="s">
        <v>20491</v>
      </c>
      <c r="D3829" t="s">
        <v>22</v>
      </c>
      <c r="E3829" t="s">
        <v>8438</v>
      </c>
      <c r="F3829">
        <v>56</v>
      </c>
      <c r="G3829" t="s">
        <v>46</v>
      </c>
      <c r="H3829" t="s">
        <v>46</v>
      </c>
    </row>
    <row r="3830" spans="1:10" x14ac:dyDescent="0.3">
      <c r="A3830" t="s">
        <v>8439</v>
      </c>
      <c r="B3830" t="s">
        <v>28049</v>
      </c>
      <c r="C3830" t="s">
        <v>20490</v>
      </c>
      <c r="D3830" t="s">
        <v>11</v>
      </c>
      <c r="E3830" t="s">
        <v>8440</v>
      </c>
      <c r="F3830">
        <v>62</v>
      </c>
      <c r="G3830" t="s">
        <v>13</v>
      </c>
      <c r="H3830" t="s">
        <v>13</v>
      </c>
      <c r="I3830" t="s">
        <v>441</v>
      </c>
    </row>
    <row r="3831" spans="1:10" x14ac:dyDescent="0.3">
      <c r="A3831" t="s">
        <v>8441</v>
      </c>
      <c r="B3831" t="s">
        <v>28050</v>
      </c>
      <c r="C3831" t="s">
        <v>20488</v>
      </c>
      <c r="D3831" t="s">
        <v>22</v>
      </c>
      <c r="E3831" t="s">
        <v>8442</v>
      </c>
      <c r="F3831">
        <v>26</v>
      </c>
      <c r="G3831" t="s">
        <v>109</v>
      </c>
      <c r="H3831" t="s">
        <v>9788</v>
      </c>
    </row>
    <row r="3832" spans="1:10" x14ac:dyDescent="0.3">
      <c r="A3832" t="s">
        <v>8443</v>
      </c>
      <c r="B3832" t="s">
        <v>28051</v>
      </c>
      <c r="C3832" t="s">
        <v>20486</v>
      </c>
      <c r="D3832" t="s">
        <v>22</v>
      </c>
      <c r="E3832" t="s">
        <v>8444</v>
      </c>
      <c r="F3832">
        <v>36</v>
      </c>
      <c r="G3832" t="s">
        <v>46</v>
      </c>
      <c r="H3832" t="s">
        <v>46</v>
      </c>
      <c r="I3832" t="s">
        <v>3384</v>
      </c>
    </row>
    <row r="3833" spans="1:10" x14ac:dyDescent="0.3">
      <c r="A3833" t="s">
        <v>8445</v>
      </c>
      <c r="B3833" t="s">
        <v>28052</v>
      </c>
      <c r="C3833" t="s">
        <v>20486</v>
      </c>
      <c r="D3833" t="s">
        <v>22</v>
      </c>
      <c r="E3833" t="s">
        <v>7009</v>
      </c>
      <c r="F3833">
        <v>43</v>
      </c>
      <c r="G3833" t="s">
        <v>46</v>
      </c>
      <c r="H3833" t="s">
        <v>46</v>
      </c>
      <c r="I3833" t="s">
        <v>228</v>
      </c>
    </row>
    <row r="3834" spans="1:10" x14ac:dyDescent="0.3">
      <c r="A3834" t="s">
        <v>8446</v>
      </c>
      <c r="B3834" t="s">
        <v>28053</v>
      </c>
      <c r="C3834" t="s">
        <v>20490</v>
      </c>
      <c r="D3834" t="s">
        <v>11</v>
      </c>
      <c r="E3834" t="s">
        <v>8447</v>
      </c>
      <c r="F3834">
        <v>36</v>
      </c>
      <c r="G3834" t="s">
        <v>1200</v>
      </c>
      <c r="H3834" t="s">
        <v>9788</v>
      </c>
    </row>
    <row r="3835" spans="1:10" x14ac:dyDescent="0.3">
      <c r="A3835" t="s">
        <v>8448</v>
      </c>
      <c r="B3835" t="s">
        <v>28054</v>
      </c>
      <c r="C3835" t="s">
        <v>20490</v>
      </c>
      <c r="D3835" t="s">
        <v>22</v>
      </c>
      <c r="E3835" t="s">
        <v>8449</v>
      </c>
      <c r="F3835">
        <v>42</v>
      </c>
      <c r="G3835" t="s">
        <v>1200</v>
      </c>
      <c r="H3835" t="s">
        <v>9788</v>
      </c>
      <c r="I3835" t="s">
        <v>18837</v>
      </c>
      <c r="J3835" t="s">
        <v>14341</v>
      </c>
    </row>
    <row r="3836" spans="1:10" x14ac:dyDescent="0.3">
      <c r="A3836" t="s">
        <v>8450</v>
      </c>
      <c r="B3836" t="s">
        <v>28055</v>
      </c>
      <c r="C3836" t="s">
        <v>20489</v>
      </c>
      <c r="D3836" t="s">
        <v>22</v>
      </c>
      <c r="E3836" t="s">
        <v>8451</v>
      </c>
      <c r="F3836">
        <v>29</v>
      </c>
      <c r="G3836" t="s">
        <v>16</v>
      </c>
      <c r="H3836" t="s">
        <v>9785</v>
      </c>
      <c r="I3836" t="s">
        <v>17</v>
      </c>
      <c r="J3836" t="s">
        <v>6579</v>
      </c>
    </row>
    <row r="3837" spans="1:10" x14ac:dyDescent="0.3">
      <c r="A3837" t="s">
        <v>12565</v>
      </c>
      <c r="B3837" t="s">
        <v>28056</v>
      </c>
      <c r="C3837" t="s">
        <v>20487</v>
      </c>
      <c r="D3837" t="s">
        <v>22</v>
      </c>
      <c r="E3837" t="s">
        <v>12566</v>
      </c>
      <c r="F3837">
        <v>36</v>
      </c>
      <c r="G3837" t="s">
        <v>31</v>
      </c>
      <c r="H3837" t="s">
        <v>31</v>
      </c>
    </row>
    <row r="3838" spans="1:10" x14ac:dyDescent="0.3">
      <c r="A3838" t="s">
        <v>8452</v>
      </c>
      <c r="B3838" t="s">
        <v>28057</v>
      </c>
      <c r="C3838" t="s">
        <v>20486</v>
      </c>
      <c r="D3838" t="s">
        <v>22</v>
      </c>
      <c r="E3838" t="s">
        <v>7353</v>
      </c>
      <c r="F3838">
        <v>41</v>
      </c>
    </row>
    <row r="3839" spans="1:10" x14ac:dyDescent="0.3">
      <c r="A3839" t="s">
        <v>8453</v>
      </c>
      <c r="B3839" t="s">
        <v>28058</v>
      </c>
      <c r="C3839" t="s">
        <v>20490</v>
      </c>
      <c r="D3839" t="s">
        <v>11</v>
      </c>
      <c r="E3839" t="s">
        <v>8454</v>
      </c>
      <c r="F3839">
        <v>47</v>
      </c>
      <c r="G3839" t="s">
        <v>109</v>
      </c>
      <c r="H3839" t="s">
        <v>9788</v>
      </c>
    </row>
    <row r="3840" spans="1:10" x14ac:dyDescent="0.3">
      <c r="A3840" t="s">
        <v>8455</v>
      </c>
      <c r="B3840" t="s">
        <v>28059</v>
      </c>
      <c r="C3840" t="s">
        <v>20491</v>
      </c>
      <c r="D3840" t="s">
        <v>22</v>
      </c>
      <c r="E3840" t="s">
        <v>8456</v>
      </c>
      <c r="F3840">
        <v>29</v>
      </c>
      <c r="G3840" t="s">
        <v>46</v>
      </c>
      <c r="H3840" t="s">
        <v>46</v>
      </c>
      <c r="I3840" t="s">
        <v>8457</v>
      </c>
    </row>
    <row r="3841" spans="1:10" x14ac:dyDescent="0.3">
      <c r="A3841" t="s">
        <v>8458</v>
      </c>
      <c r="B3841" t="s">
        <v>28060</v>
      </c>
      <c r="C3841" t="s">
        <v>20486</v>
      </c>
      <c r="D3841" t="s">
        <v>22</v>
      </c>
      <c r="E3841" t="s">
        <v>8459</v>
      </c>
      <c r="F3841">
        <v>28</v>
      </c>
      <c r="G3841" t="s">
        <v>172</v>
      </c>
      <c r="H3841" t="s">
        <v>12099</v>
      </c>
      <c r="I3841" t="s">
        <v>1121</v>
      </c>
      <c r="J3841" t="s">
        <v>12567</v>
      </c>
    </row>
    <row r="3842" spans="1:10" x14ac:dyDescent="0.3">
      <c r="A3842" t="s">
        <v>8460</v>
      </c>
      <c r="B3842" t="s">
        <v>28061</v>
      </c>
      <c r="C3842" t="s">
        <v>20488</v>
      </c>
      <c r="D3842" t="s">
        <v>22</v>
      </c>
      <c r="E3842" t="s">
        <v>8461</v>
      </c>
      <c r="F3842">
        <v>66</v>
      </c>
      <c r="G3842" t="s">
        <v>31</v>
      </c>
      <c r="H3842" t="s">
        <v>31</v>
      </c>
    </row>
    <row r="3843" spans="1:10" x14ac:dyDescent="0.3">
      <c r="A3843" t="s">
        <v>8462</v>
      </c>
      <c r="B3843" t="s">
        <v>28062</v>
      </c>
      <c r="C3843" t="s">
        <v>20488</v>
      </c>
      <c r="D3843" t="s">
        <v>11</v>
      </c>
      <c r="E3843" t="s">
        <v>8463</v>
      </c>
      <c r="F3843">
        <v>27</v>
      </c>
      <c r="G3843" t="s">
        <v>109</v>
      </c>
      <c r="H3843" t="s">
        <v>9788</v>
      </c>
      <c r="J3843" t="s">
        <v>8464</v>
      </c>
    </row>
    <row r="3844" spans="1:10" x14ac:dyDescent="0.3">
      <c r="A3844" t="s">
        <v>8465</v>
      </c>
      <c r="B3844" t="s">
        <v>28063</v>
      </c>
      <c r="C3844" t="s">
        <v>20486</v>
      </c>
      <c r="D3844" t="s">
        <v>22</v>
      </c>
      <c r="E3844" t="s">
        <v>8466</v>
      </c>
      <c r="F3844">
        <v>32</v>
      </c>
      <c r="G3844" t="s">
        <v>109</v>
      </c>
      <c r="H3844" t="s">
        <v>9788</v>
      </c>
      <c r="I3844" t="s">
        <v>8467</v>
      </c>
    </row>
    <row r="3845" spans="1:10" x14ac:dyDescent="0.3">
      <c r="A3845" t="s">
        <v>8468</v>
      </c>
      <c r="B3845" t="s">
        <v>28064</v>
      </c>
      <c r="C3845" t="s">
        <v>20486</v>
      </c>
      <c r="D3845" t="s">
        <v>22</v>
      </c>
      <c r="E3845" t="s">
        <v>8469</v>
      </c>
      <c r="F3845">
        <v>27</v>
      </c>
      <c r="G3845" t="s">
        <v>16</v>
      </c>
      <c r="H3845" t="s">
        <v>9785</v>
      </c>
      <c r="I3845" t="s">
        <v>17</v>
      </c>
      <c r="J3845" t="s">
        <v>67</v>
      </c>
    </row>
    <row r="3846" spans="1:10" x14ac:dyDescent="0.3">
      <c r="A3846" t="s">
        <v>8470</v>
      </c>
      <c r="B3846" t="s">
        <v>28065</v>
      </c>
      <c r="C3846" t="s">
        <v>20486</v>
      </c>
      <c r="D3846" t="s">
        <v>11</v>
      </c>
      <c r="E3846" t="s">
        <v>8471</v>
      </c>
      <c r="F3846">
        <v>63</v>
      </c>
      <c r="G3846" t="s">
        <v>46</v>
      </c>
      <c r="H3846" t="s">
        <v>46</v>
      </c>
      <c r="I3846" t="s">
        <v>220</v>
      </c>
    </row>
    <row r="3847" spans="1:10" x14ac:dyDescent="0.3">
      <c r="A3847" t="s">
        <v>8472</v>
      </c>
      <c r="B3847" t="s">
        <v>28066</v>
      </c>
      <c r="C3847" t="s">
        <v>20486</v>
      </c>
      <c r="D3847" t="s">
        <v>11</v>
      </c>
      <c r="E3847" t="s">
        <v>8473</v>
      </c>
      <c r="F3847">
        <v>30</v>
      </c>
      <c r="G3847" t="s">
        <v>109</v>
      </c>
      <c r="H3847" t="s">
        <v>9788</v>
      </c>
      <c r="I3847" t="s">
        <v>8474</v>
      </c>
      <c r="J3847" t="s">
        <v>8475</v>
      </c>
    </row>
    <row r="3848" spans="1:10" x14ac:dyDescent="0.3">
      <c r="A3848" t="s">
        <v>8476</v>
      </c>
      <c r="B3848" t="s">
        <v>28067</v>
      </c>
      <c r="C3848" t="s">
        <v>20486</v>
      </c>
      <c r="D3848" t="s">
        <v>22</v>
      </c>
      <c r="E3848" t="s">
        <v>8477</v>
      </c>
      <c r="F3848">
        <v>26</v>
      </c>
      <c r="G3848" t="s">
        <v>337</v>
      </c>
      <c r="H3848" t="s">
        <v>337</v>
      </c>
    </row>
    <row r="3849" spans="1:10" x14ac:dyDescent="0.3">
      <c r="A3849" t="s">
        <v>8478</v>
      </c>
      <c r="B3849" t="s">
        <v>28068</v>
      </c>
      <c r="C3849" t="s">
        <v>20488</v>
      </c>
      <c r="D3849" t="s">
        <v>22</v>
      </c>
      <c r="E3849" t="s">
        <v>8479</v>
      </c>
      <c r="F3849">
        <v>40</v>
      </c>
      <c r="G3849" t="s">
        <v>46</v>
      </c>
      <c r="H3849" t="s">
        <v>46</v>
      </c>
      <c r="I3849" t="s">
        <v>5985</v>
      </c>
      <c r="J3849" t="s">
        <v>8480</v>
      </c>
    </row>
    <row r="3850" spans="1:10" x14ac:dyDescent="0.3">
      <c r="A3850" t="s">
        <v>8481</v>
      </c>
      <c r="B3850" t="s">
        <v>28069</v>
      </c>
      <c r="C3850" t="s">
        <v>20486</v>
      </c>
      <c r="D3850" t="s">
        <v>11</v>
      </c>
      <c r="E3850" t="s">
        <v>8482</v>
      </c>
      <c r="F3850">
        <v>25</v>
      </c>
      <c r="G3850" t="s">
        <v>337</v>
      </c>
      <c r="H3850" t="s">
        <v>337</v>
      </c>
    </row>
    <row r="3851" spans="1:10" x14ac:dyDescent="0.3">
      <c r="A3851" t="s">
        <v>8483</v>
      </c>
      <c r="B3851" t="s">
        <v>28070</v>
      </c>
      <c r="C3851" t="s">
        <v>20486</v>
      </c>
      <c r="D3851" t="s">
        <v>22</v>
      </c>
      <c r="E3851" t="s">
        <v>8484</v>
      </c>
      <c r="F3851">
        <v>26</v>
      </c>
      <c r="G3851" t="s">
        <v>16</v>
      </c>
      <c r="H3851" t="s">
        <v>9785</v>
      </c>
      <c r="I3851" t="s">
        <v>17</v>
      </c>
      <c r="J3851" t="s">
        <v>8485</v>
      </c>
    </row>
    <row r="3852" spans="1:10" x14ac:dyDescent="0.3">
      <c r="A3852" t="s">
        <v>8486</v>
      </c>
      <c r="B3852" t="s">
        <v>28071</v>
      </c>
      <c r="C3852" t="s">
        <v>20486</v>
      </c>
      <c r="D3852" t="s">
        <v>11</v>
      </c>
      <c r="E3852" t="s">
        <v>8487</v>
      </c>
      <c r="F3852">
        <v>24</v>
      </c>
      <c r="G3852" t="s">
        <v>337</v>
      </c>
      <c r="H3852" t="s">
        <v>337</v>
      </c>
    </row>
    <row r="3853" spans="1:10" x14ac:dyDescent="0.3">
      <c r="A3853" t="s">
        <v>8488</v>
      </c>
      <c r="B3853" t="s">
        <v>28072</v>
      </c>
      <c r="C3853" t="s">
        <v>20490</v>
      </c>
      <c r="D3853" t="s">
        <v>11</v>
      </c>
      <c r="E3853" t="s">
        <v>8489</v>
      </c>
      <c r="F3853">
        <v>45</v>
      </c>
      <c r="G3853" t="s">
        <v>133</v>
      </c>
      <c r="H3853" t="s">
        <v>9789</v>
      </c>
      <c r="I3853" t="s">
        <v>6884</v>
      </c>
    </row>
    <row r="3854" spans="1:10" x14ac:dyDescent="0.3">
      <c r="A3854" t="s">
        <v>8490</v>
      </c>
      <c r="B3854" t="s">
        <v>28073</v>
      </c>
      <c r="C3854" t="s">
        <v>20491</v>
      </c>
      <c r="D3854" t="s">
        <v>22</v>
      </c>
      <c r="E3854" t="s">
        <v>8491</v>
      </c>
      <c r="F3854">
        <v>34</v>
      </c>
      <c r="G3854" t="s">
        <v>31</v>
      </c>
      <c r="H3854" t="s">
        <v>31</v>
      </c>
    </row>
    <row r="3855" spans="1:10" x14ac:dyDescent="0.3">
      <c r="A3855" t="s">
        <v>8492</v>
      </c>
      <c r="B3855" t="s">
        <v>28074</v>
      </c>
      <c r="C3855" t="s">
        <v>20491</v>
      </c>
      <c r="D3855" t="s">
        <v>11</v>
      </c>
      <c r="E3855" t="s">
        <v>8493</v>
      </c>
      <c r="F3855">
        <v>37</v>
      </c>
      <c r="G3855" t="s">
        <v>16</v>
      </c>
      <c r="H3855" t="s">
        <v>9785</v>
      </c>
      <c r="I3855" t="s">
        <v>231</v>
      </c>
      <c r="J3855" t="s">
        <v>8494</v>
      </c>
    </row>
    <row r="3856" spans="1:10" x14ac:dyDescent="0.3">
      <c r="A3856" t="s">
        <v>8495</v>
      </c>
      <c r="B3856" t="s">
        <v>28075</v>
      </c>
      <c r="C3856" t="s">
        <v>20491</v>
      </c>
      <c r="D3856" t="s">
        <v>22</v>
      </c>
      <c r="E3856" t="s">
        <v>8496</v>
      </c>
      <c r="F3856">
        <v>44</v>
      </c>
      <c r="G3856" t="s">
        <v>46</v>
      </c>
      <c r="H3856" t="s">
        <v>46</v>
      </c>
      <c r="I3856" t="s">
        <v>346</v>
      </c>
    </row>
    <row r="3857" spans="1:10" x14ac:dyDescent="0.3">
      <c r="A3857" t="s">
        <v>8497</v>
      </c>
      <c r="B3857" t="s">
        <v>28076</v>
      </c>
      <c r="C3857" t="s">
        <v>20486</v>
      </c>
      <c r="D3857" t="s">
        <v>22</v>
      </c>
      <c r="E3857" t="s">
        <v>8498</v>
      </c>
      <c r="F3857">
        <v>31</v>
      </c>
      <c r="G3857" t="s">
        <v>109</v>
      </c>
      <c r="H3857" t="s">
        <v>9788</v>
      </c>
      <c r="I3857" t="s">
        <v>4609</v>
      </c>
      <c r="J3857" t="s">
        <v>8499</v>
      </c>
    </row>
    <row r="3858" spans="1:10" x14ac:dyDescent="0.3">
      <c r="A3858" t="s">
        <v>8500</v>
      </c>
      <c r="B3858" t="s">
        <v>28077</v>
      </c>
      <c r="C3858" t="s">
        <v>20488</v>
      </c>
      <c r="D3858" t="s">
        <v>22</v>
      </c>
      <c r="E3858" t="s">
        <v>8501</v>
      </c>
      <c r="F3858">
        <v>55</v>
      </c>
      <c r="G3858" t="s">
        <v>46</v>
      </c>
      <c r="H3858" t="s">
        <v>46</v>
      </c>
      <c r="I3858" t="s">
        <v>74</v>
      </c>
    </row>
    <row r="3859" spans="1:10" x14ac:dyDescent="0.3">
      <c r="A3859" t="s">
        <v>8502</v>
      </c>
      <c r="B3859" t="s">
        <v>28078</v>
      </c>
      <c r="C3859" t="s">
        <v>20491</v>
      </c>
      <c r="D3859" t="s">
        <v>22</v>
      </c>
      <c r="E3859" t="s">
        <v>8503</v>
      </c>
      <c r="F3859">
        <v>64</v>
      </c>
      <c r="G3859" t="s">
        <v>46</v>
      </c>
      <c r="H3859" t="s">
        <v>46</v>
      </c>
      <c r="I3859" t="s">
        <v>1074</v>
      </c>
    </row>
    <row r="3860" spans="1:10" x14ac:dyDescent="0.3">
      <c r="A3860" t="s">
        <v>8504</v>
      </c>
      <c r="B3860" t="s">
        <v>28079</v>
      </c>
      <c r="C3860" t="s">
        <v>20487</v>
      </c>
      <c r="D3860" t="s">
        <v>22</v>
      </c>
      <c r="E3860" t="s">
        <v>3219</v>
      </c>
      <c r="F3860">
        <v>42</v>
      </c>
      <c r="G3860" t="s">
        <v>31</v>
      </c>
      <c r="H3860" t="s">
        <v>31</v>
      </c>
    </row>
    <row r="3861" spans="1:10" x14ac:dyDescent="0.3">
      <c r="A3861" t="s">
        <v>8505</v>
      </c>
      <c r="B3861" t="s">
        <v>28080</v>
      </c>
      <c r="C3861" t="s">
        <v>20486</v>
      </c>
      <c r="D3861" t="s">
        <v>22</v>
      </c>
      <c r="E3861" t="s">
        <v>8506</v>
      </c>
      <c r="F3861">
        <v>66</v>
      </c>
      <c r="G3861" t="s">
        <v>31</v>
      </c>
      <c r="H3861" t="s">
        <v>31</v>
      </c>
    </row>
    <row r="3862" spans="1:10" x14ac:dyDescent="0.3">
      <c r="A3862" t="s">
        <v>8507</v>
      </c>
      <c r="B3862" t="s">
        <v>28081</v>
      </c>
      <c r="C3862" t="s">
        <v>20491</v>
      </c>
      <c r="D3862" t="s">
        <v>22</v>
      </c>
      <c r="E3862" t="s">
        <v>6830</v>
      </c>
      <c r="F3862">
        <v>48</v>
      </c>
      <c r="G3862" t="s">
        <v>109</v>
      </c>
      <c r="H3862" t="s">
        <v>9788</v>
      </c>
      <c r="J3862" t="s">
        <v>8508</v>
      </c>
    </row>
    <row r="3863" spans="1:10" x14ac:dyDescent="0.3">
      <c r="A3863" t="s">
        <v>8509</v>
      </c>
      <c r="B3863" t="s">
        <v>28082</v>
      </c>
      <c r="C3863" t="s">
        <v>20487</v>
      </c>
      <c r="D3863" t="s">
        <v>11</v>
      </c>
      <c r="E3863" t="s">
        <v>6809</v>
      </c>
      <c r="F3863">
        <v>45</v>
      </c>
      <c r="G3863" t="s">
        <v>133</v>
      </c>
      <c r="H3863" t="s">
        <v>9789</v>
      </c>
    </row>
    <row r="3864" spans="1:10" x14ac:dyDescent="0.3">
      <c r="A3864" t="s">
        <v>8510</v>
      </c>
      <c r="B3864" t="s">
        <v>28083</v>
      </c>
      <c r="C3864" t="s">
        <v>20491</v>
      </c>
      <c r="D3864" t="s">
        <v>22</v>
      </c>
      <c r="E3864" t="s">
        <v>724</v>
      </c>
      <c r="F3864">
        <v>52</v>
      </c>
      <c r="G3864" t="s">
        <v>31</v>
      </c>
      <c r="H3864" t="s">
        <v>31</v>
      </c>
    </row>
    <row r="3865" spans="1:10" x14ac:dyDescent="0.3">
      <c r="A3865" t="s">
        <v>8511</v>
      </c>
      <c r="B3865" t="s">
        <v>28084</v>
      </c>
      <c r="C3865" t="s">
        <v>20490</v>
      </c>
      <c r="D3865" t="s">
        <v>22</v>
      </c>
      <c r="E3865" t="s">
        <v>8512</v>
      </c>
      <c r="F3865">
        <v>27</v>
      </c>
      <c r="G3865" t="s">
        <v>109</v>
      </c>
      <c r="H3865" t="s">
        <v>9788</v>
      </c>
    </row>
    <row r="3866" spans="1:10" x14ac:dyDescent="0.3">
      <c r="A3866" t="s">
        <v>8513</v>
      </c>
      <c r="B3866" t="s">
        <v>28085</v>
      </c>
      <c r="C3866" t="s">
        <v>20486</v>
      </c>
      <c r="D3866" t="s">
        <v>11</v>
      </c>
      <c r="E3866" t="s">
        <v>8514</v>
      </c>
      <c r="F3866">
        <v>35</v>
      </c>
      <c r="G3866" t="s">
        <v>109</v>
      </c>
      <c r="H3866" t="s">
        <v>9788</v>
      </c>
    </row>
    <row r="3867" spans="1:10" x14ac:dyDescent="0.3">
      <c r="A3867" t="s">
        <v>8515</v>
      </c>
      <c r="B3867" t="s">
        <v>28086</v>
      </c>
      <c r="C3867" t="s">
        <v>20490</v>
      </c>
      <c r="D3867" t="s">
        <v>22</v>
      </c>
      <c r="E3867" t="s">
        <v>731</v>
      </c>
      <c r="F3867">
        <v>59</v>
      </c>
      <c r="G3867" t="s">
        <v>46</v>
      </c>
      <c r="H3867" t="s">
        <v>46</v>
      </c>
    </row>
    <row r="3868" spans="1:10" x14ac:dyDescent="0.3">
      <c r="A3868" t="s">
        <v>8516</v>
      </c>
      <c r="B3868" t="s">
        <v>28087</v>
      </c>
      <c r="C3868" t="s">
        <v>20486</v>
      </c>
      <c r="D3868" t="s">
        <v>22</v>
      </c>
      <c r="E3868" t="s">
        <v>4062</v>
      </c>
      <c r="F3868">
        <v>48</v>
      </c>
      <c r="G3868" t="s">
        <v>109</v>
      </c>
      <c r="H3868" t="s">
        <v>9788</v>
      </c>
      <c r="I3868" t="s">
        <v>8517</v>
      </c>
      <c r="J3868" t="s">
        <v>8518</v>
      </c>
    </row>
    <row r="3869" spans="1:10" x14ac:dyDescent="0.3">
      <c r="A3869" t="s">
        <v>8519</v>
      </c>
      <c r="B3869" t="s">
        <v>28088</v>
      </c>
      <c r="C3869" t="s">
        <v>20488</v>
      </c>
      <c r="D3869" t="s">
        <v>22</v>
      </c>
      <c r="E3869" t="s">
        <v>2173</v>
      </c>
      <c r="F3869">
        <v>31</v>
      </c>
      <c r="G3869" t="s">
        <v>109</v>
      </c>
      <c r="H3869" t="s">
        <v>9788</v>
      </c>
    </row>
    <row r="3870" spans="1:10" x14ac:dyDescent="0.3">
      <c r="A3870" t="s">
        <v>8520</v>
      </c>
      <c r="B3870" t="s">
        <v>28089</v>
      </c>
      <c r="C3870" t="s">
        <v>20486</v>
      </c>
      <c r="D3870" t="s">
        <v>22</v>
      </c>
      <c r="E3870" t="s">
        <v>8521</v>
      </c>
      <c r="F3870">
        <v>50</v>
      </c>
      <c r="G3870" t="s">
        <v>31</v>
      </c>
      <c r="H3870" t="s">
        <v>31</v>
      </c>
      <c r="I3870" t="s">
        <v>384</v>
      </c>
    </row>
    <row r="3871" spans="1:10" x14ac:dyDescent="0.3">
      <c r="A3871" t="s">
        <v>8522</v>
      </c>
      <c r="B3871" t="s">
        <v>28090</v>
      </c>
      <c r="C3871" t="s">
        <v>20487</v>
      </c>
      <c r="D3871" t="s">
        <v>11</v>
      </c>
      <c r="E3871" t="s">
        <v>4178</v>
      </c>
      <c r="F3871">
        <v>60</v>
      </c>
      <c r="G3871" t="s">
        <v>109</v>
      </c>
      <c r="H3871" t="s">
        <v>9788</v>
      </c>
      <c r="J3871" t="s">
        <v>8523</v>
      </c>
    </row>
    <row r="3872" spans="1:10" x14ac:dyDescent="0.3">
      <c r="A3872" t="s">
        <v>8524</v>
      </c>
      <c r="B3872" t="s">
        <v>28091</v>
      </c>
      <c r="C3872" t="s">
        <v>20486</v>
      </c>
      <c r="D3872" t="s">
        <v>22</v>
      </c>
      <c r="E3872" t="s">
        <v>8525</v>
      </c>
      <c r="F3872">
        <v>45</v>
      </c>
      <c r="G3872" t="s">
        <v>46</v>
      </c>
      <c r="H3872" t="s">
        <v>46</v>
      </c>
      <c r="I3872" t="s">
        <v>139</v>
      </c>
      <c r="J3872" t="s">
        <v>8526</v>
      </c>
    </row>
    <row r="3873" spans="1:10" x14ac:dyDescent="0.3">
      <c r="A3873" t="s">
        <v>8527</v>
      </c>
      <c r="B3873" t="s">
        <v>28092</v>
      </c>
      <c r="C3873" t="s">
        <v>20486</v>
      </c>
      <c r="D3873" t="s">
        <v>11</v>
      </c>
      <c r="E3873" t="s">
        <v>8528</v>
      </c>
      <c r="F3873">
        <v>49</v>
      </c>
      <c r="G3873" t="s">
        <v>109</v>
      </c>
      <c r="H3873" t="s">
        <v>9788</v>
      </c>
      <c r="I3873" t="s">
        <v>139</v>
      </c>
      <c r="J3873" t="s">
        <v>6899</v>
      </c>
    </row>
    <row r="3874" spans="1:10" x14ac:dyDescent="0.3">
      <c r="A3874" t="s">
        <v>8529</v>
      </c>
      <c r="B3874" t="s">
        <v>28093</v>
      </c>
      <c r="C3874" t="s">
        <v>20487</v>
      </c>
      <c r="D3874" t="s">
        <v>11</v>
      </c>
      <c r="E3874" t="s">
        <v>8530</v>
      </c>
      <c r="F3874">
        <v>27</v>
      </c>
      <c r="G3874" t="s">
        <v>109</v>
      </c>
      <c r="H3874" t="s">
        <v>9788</v>
      </c>
      <c r="J3874" t="s">
        <v>8531</v>
      </c>
    </row>
    <row r="3875" spans="1:10" x14ac:dyDescent="0.3">
      <c r="A3875" t="s">
        <v>8532</v>
      </c>
      <c r="B3875" t="s">
        <v>28094</v>
      </c>
      <c r="C3875" t="s">
        <v>20486</v>
      </c>
      <c r="D3875" t="s">
        <v>11</v>
      </c>
      <c r="E3875" t="s">
        <v>4032</v>
      </c>
      <c r="F3875">
        <v>45</v>
      </c>
      <c r="G3875" t="s">
        <v>109</v>
      </c>
      <c r="H3875" t="s">
        <v>9788</v>
      </c>
      <c r="I3875" t="s">
        <v>8263</v>
      </c>
      <c r="J3875" t="s">
        <v>8533</v>
      </c>
    </row>
    <row r="3876" spans="1:10" x14ac:dyDescent="0.3">
      <c r="A3876" t="s">
        <v>8534</v>
      </c>
      <c r="B3876" t="s">
        <v>28095</v>
      </c>
      <c r="C3876" t="s">
        <v>20487</v>
      </c>
      <c r="D3876" t="s">
        <v>22</v>
      </c>
      <c r="E3876" t="s">
        <v>8535</v>
      </c>
      <c r="F3876">
        <v>25</v>
      </c>
      <c r="G3876" t="s">
        <v>109</v>
      </c>
      <c r="H3876" t="s">
        <v>9788</v>
      </c>
      <c r="I3876" t="s">
        <v>481</v>
      </c>
      <c r="J3876" t="s">
        <v>8536</v>
      </c>
    </row>
    <row r="3877" spans="1:10" x14ac:dyDescent="0.3">
      <c r="A3877" t="s">
        <v>8537</v>
      </c>
      <c r="B3877" t="s">
        <v>28096</v>
      </c>
      <c r="C3877" t="s">
        <v>20489</v>
      </c>
      <c r="D3877" t="s">
        <v>22</v>
      </c>
      <c r="E3877" t="s">
        <v>8538</v>
      </c>
      <c r="F3877">
        <v>47</v>
      </c>
      <c r="G3877" t="s">
        <v>370</v>
      </c>
      <c r="H3877" t="s">
        <v>46</v>
      </c>
      <c r="I3877" t="s">
        <v>12568</v>
      </c>
      <c r="J3877" t="s">
        <v>8539</v>
      </c>
    </row>
    <row r="3878" spans="1:10" x14ac:dyDescent="0.3">
      <c r="A3878" t="s">
        <v>8540</v>
      </c>
      <c r="B3878" t="s">
        <v>28097</v>
      </c>
      <c r="C3878" t="s">
        <v>20488</v>
      </c>
      <c r="D3878" t="s">
        <v>11</v>
      </c>
      <c r="E3878" t="s">
        <v>8541</v>
      </c>
      <c r="F3878">
        <v>54</v>
      </c>
      <c r="G3878" t="s">
        <v>109</v>
      </c>
      <c r="H3878" t="s">
        <v>9788</v>
      </c>
      <c r="I3878" t="s">
        <v>8542</v>
      </c>
    </row>
    <row r="3879" spans="1:10" x14ac:dyDescent="0.3">
      <c r="A3879" t="s">
        <v>8543</v>
      </c>
      <c r="B3879" t="s">
        <v>28098</v>
      </c>
      <c r="C3879" t="s">
        <v>20490</v>
      </c>
      <c r="D3879" t="s">
        <v>11</v>
      </c>
      <c r="E3879" t="s">
        <v>8544</v>
      </c>
      <c r="F3879">
        <v>56</v>
      </c>
      <c r="G3879" t="s">
        <v>133</v>
      </c>
      <c r="H3879" t="s">
        <v>9789</v>
      </c>
    </row>
    <row r="3880" spans="1:10" x14ac:dyDescent="0.3">
      <c r="A3880" t="s">
        <v>8545</v>
      </c>
      <c r="B3880" t="s">
        <v>28099</v>
      </c>
      <c r="C3880" t="s">
        <v>20486</v>
      </c>
      <c r="D3880" t="s">
        <v>11</v>
      </c>
      <c r="E3880" t="s">
        <v>8546</v>
      </c>
      <c r="F3880">
        <v>42</v>
      </c>
      <c r="G3880" t="s">
        <v>7040</v>
      </c>
      <c r="H3880" t="s">
        <v>9787</v>
      </c>
      <c r="J3880" t="s">
        <v>8010</v>
      </c>
    </row>
    <row r="3881" spans="1:10" x14ac:dyDescent="0.3">
      <c r="A3881" t="s">
        <v>8547</v>
      </c>
      <c r="B3881" t="s">
        <v>28100</v>
      </c>
      <c r="C3881" t="s">
        <v>20486</v>
      </c>
      <c r="D3881" t="s">
        <v>22</v>
      </c>
      <c r="E3881" t="s">
        <v>8548</v>
      </c>
      <c r="F3881">
        <v>38</v>
      </c>
      <c r="G3881" t="s">
        <v>16</v>
      </c>
      <c r="H3881" t="s">
        <v>9785</v>
      </c>
      <c r="I3881" t="s">
        <v>17</v>
      </c>
      <c r="J3881" t="s">
        <v>8549</v>
      </c>
    </row>
    <row r="3882" spans="1:10" x14ac:dyDescent="0.3">
      <c r="A3882" t="s">
        <v>8550</v>
      </c>
      <c r="B3882" t="s">
        <v>28101</v>
      </c>
      <c r="C3882" t="s">
        <v>20486</v>
      </c>
      <c r="D3882" t="s">
        <v>11</v>
      </c>
      <c r="E3882" t="s">
        <v>8551</v>
      </c>
      <c r="F3882">
        <v>41</v>
      </c>
      <c r="G3882" t="s">
        <v>109</v>
      </c>
      <c r="H3882" t="s">
        <v>9788</v>
      </c>
      <c r="I3882" t="s">
        <v>7471</v>
      </c>
      <c r="J3882" t="s">
        <v>7471</v>
      </c>
    </row>
    <row r="3883" spans="1:10" x14ac:dyDescent="0.3">
      <c r="A3883" t="s">
        <v>8552</v>
      </c>
      <c r="B3883" t="s">
        <v>28102</v>
      </c>
      <c r="C3883" t="s">
        <v>20490</v>
      </c>
      <c r="D3883" t="s">
        <v>22</v>
      </c>
      <c r="E3883" t="s">
        <v>8553</v>
      </c>
      <c r="F3883">
        <v>36</v>
      </c>
      <c r="G3883" t="s">
        <v>133</v>
      </c>
      <c r="H3883" t="s">
        <v>9789</v>
      </c>
      <c r="I3883" t="s">
        <v>18838</v>
      </c>
    </row>
    <row r="3884" spans="1:10" x14ac:dyDescent="0.3">
      <c r="A3884" t="s">
        <v>8554</v>
      </c>
      <c r="B3884" t="s">
        <v>28103</v>
      </c>
      <c r="C3884" t="s">
        <v>20488</v>
      </c>
      <c r="D3884" t="s">
        <v>22</v>
      </c>
      <c r="E3884" t="s">
        <v>8555</v>
      </c>
      <c r="F3884">
        <v>25</v>
      </c>
      <c r="G3884" t="s">
        <v>46</v>
      </c>
      <c r="H3884" t="s">
        <v>46</v>
      </c>
      <c r="I3884" t="s">
        <v>6800</v>
      </c>
      <c r="J3884" t="s">
        <v>8556</v>
      </c>
    </row>
    <row r="3885" spans="1:10" x14ac:dyDescent="0.3">
      <c r="A3885" t="s">
        <v>8557</v>
      </c>
      <c r="B3885" t="s">
        <v>28104</v>
      </c>
      <c r="C3885" t="s">
        <v>20490</v>
      </c>
      <c r="D3885" t="s">
        <v>11</v>
      </c>
      <c r="E3885" t="s">
        <v>39</v>
      </c>
      <c r="F3885">
        <v>60</v>
      </c>
      <c r="G3885" t="s">
        <v>133</v>
      </c>
      <c r="H3885" t="s">
        <v>9789</v>
      </c>
    </row>
    <row r="3886" spans="1:10" x14ac:dyDescent="0.3">
      <c r="A3886" t="s">
        <v>8558</v>
      </c>
      <c r="B3886" t="s">
        <v>28105</v>
      </c>
      <c r="C3886" t="s">
        <v>20491</v>
      </c>
      <c r="D3886" t="s">
        <v>22</v>
      </c>
      <c r="E3886" t="s">
        <v>2336</v>
      </c>
      <c r="F3886">
        <v>58</v>
      </c>
      <c r="G3886" t="s">
        <v>46</v>
      </c>
      <c r="H3886" t="s">
        <v>46</v>
      </c>
      <c r="I3886" t="s">
        <v>228</v>
      </c>
    </row>
    <row r="3887" spans="1:10" x14ac:dyDescent="0.3">
      <c r="A3887" t="s">
        <v>8559</v>
      </c>
      <c r="B3887" t="s">
        <v>28106</v>
      </c>
      <c r="C3887" t="s">
        <v>20486</v>
      </c>
      <c r="D3887" t="s">
        <v>11</v>
      </c>
      <c r="E3887" t="s">
        <v>8560</v>
      </c>
      <c r="F3887">
        <v>30</v>
      </c>
      <c r="G3887" t="s">
        <v>46</v>
      </c>
      <c r="H3887" t="s">
        <v>46</v>
      </c>
      <c r="I3887" t="s">
        <v>8561</v>
      </c>
      <c r="J3887" t="s">
        <v>8562</v>
      </c>
    </row>
    <row r="3888" spans="1:10" x14ac:dyDescent="0.3">
      <c r="A3888" t="s">
        <v>8563</v>
      </c>
      <c r="B3888" t="s">
        <v>28107</v>
      </c>
      <c r="C3888" t="s">
        <v>20487</v>
      </c>
      <c r="D3888" t="s">
        <v>22</v>
      </c>
      <c r="E3888" t="s">
        <v>4944</v>
      </c>
      <c r="F3888">
        <v>50</v>
      </c>
      <c r="G3888" t="s">
        <v>243</v>
      </c>
      <c r="H3888" t="s">
        <v>243</v>
      </c>
    </row>
    <row r="3889" spans="1:10" x14ac:dyDescent="0.3">
      <c r="A3889" t="s">
        <v>8564</v>
      </c>
      <c r="B3889" t="s">
        <v>28108</v>
      </c>
      <c r="C3889" t="s">
        <v>20486</v>
      </c>
      <c r="D3889" t="s">
        <v>22</v>
      </c>
      <c r="E3889" t="s">
        <v>1794</v>
      </c>
      <c r="F3889">
        <v>43</v>
      </c>
      <c r="G3889" t="s">
        <v>46</v>
      </c>
      <c r="H3889" t="s">
        <v>46</v>
      </c>
      <c r="I3889" t="s">
        <v>8565</v>
      </c>
    </row>
    <row r="3890" spans="1:10" x14ac:dyDescent="0.3">
      <c r="A3890" t="s">
        <v>8566</v>
      </c>
      <c r="B3890" t="s">
        <v>28109</v>
      </c>
      <c r="C3890" t="s">
        <v>20486</v>
      </c>
      <c r="D3890" t="s">
        <v>11</v>
      </c>
      <c r="E3890" t="s">
        <v>8567</v>
      </c>
      <c r="F3890">
        <v>44</v>
      </c>
      <c r="G3890" t="s">
        <v>46</v>
      </c>
      <c r="H3890" t="s">
        <v>46</v>
      </c>
      <c r="I3890" t="s">
        <v>8568</v>
      </c>
      <c r="J3890" t="s">
        <v>8569</v>
      </c>
    </row>
    <row r="3891" spans="1:10" x14ac:dyDescent="0.3">
      <c r="A3891" t="s">
        <v>8570</v>
      </c>
      <c r="B3891" t="s">
        <v>28110</v>
      </c>
      <c r="C3891" t="s">
        <v>20488</v>
      </c>
      <c r="D3891" t="s">
        <v>22</v>
      </c>
      <c r="E3891" t="s">
        <v>8571</v>
      </c>
      <c r="F3891">
        <v>46</v>
      </c>
      <c r="G3891" t="s">
        <v>155</v>
      </c>
      <c r="H3891" t="s">
        <v>9791</v>
      </c>
    </row>
    <row r="3892" spans="1:10" x14ac:dyDescent="0.3">
      <c r="A3892" t="s">
        <v>8572</v>
      </c>
      <c r="B3892" t="s">
        <v>28111</v>
      </c>
      <c r="C3892" t="s">
        <v>20487</v>
      </c>
      <c r="D3892" t="s">
        <v>22</v>
      </c>
      <c r="E3892" t="s">
        <v>8573</v>
      </c>
      <c r="F3892">
        <v>25</v>
      </c>
      <c r="G3892" t="s">
        <v>109</v>
      </c>
      <c r="H3892" t="s">
        <v>9788</v>
      </c>
      <c r="I3892" t="s">
        <v>8574</v>
      </c>
      <c r="J3892" t="s">
        <v>8575</v>
      </c>
    </row>
    <row r="3893" spans="1:10" x14ac:dyDescent="0.3">
      <c r="A3893" t="s">
        <v>8576</v>
      </c>
      <c r="B3893" t="s">
        <v>28112</v>
      </c>
      <c r="C3893" t="s">
        <v>20490</v>
      </c>
      <c r="D3893" t="s">
        <v>22</v>
      </c>
      <c r="E3893" t="s">
        <v>8577</v>
      </c>
      <c r="F3893">
        <v>46</v>
      </c>
      <c r="G3893" t="s">
        <v>155</v>
      </c>
      <c r="H3893" t="s">
        <v>9791</v>
      </c>
    </row>
    <row r="3894" spans="1:10" x14ac:dyDescent="0.3">
      <c r="A3894" t="s">
        <v>8578</v>
      </c>
      <c r="B3894" t="s">
        <v>28113</v>
      </c>
      <c r="C3894" t="s">
        <v>20486</v>
      </c>
      <c r="D3894" t="s">
        <v>22</v>
      </c>
      <c r="E3894" t="s">
        <v>8579</v>
      </c>
      <c r="F3894">
        <v>32</v>
      </c>
      <c r="G3894" t="s">
        <v>109</v>
      </c>
      <c r="H3894" t="s">
        <v>9788</v>
      </c>
      <c r="I3894" t="s">
        <v>17</v>
      </c>
      <c r="J3894" t="s">
        <v>8580</v>
      </c>
    </row>
    <row r="3895" spans="1:10" x14ac:dyDescent="0.3">
      <c r="A3895" t="s">
        <v>8581</v>
      </c>
      <c r="B3895" t="s">
        <v>28114</v>
      </c>
      <c r="C3895" t="s">
        <v>20486</v>
      </c>
      <c r="D3895" t="s">
        <v>22</v>
      </c>
      <c r="E3895" t="s">
        <v>2791</v>
      </c>
      <c r="F3895">
        <v>74</v>
      </c>
      <c r="G3895" t="s">
        <v>13</v>
      </c>
      <c r="H3895" t="s">
        <v>13</v>
      </c>
    </row>
    <row r="3896" spans="1:10" x14ac:dyDescent="0.3">
      <c r="A3896" t="s">
        <v>8582</v>
      </c>
      <c r="B3896" t="s">
        <v>28115</v>
      </c>
      <c r="C3896" t="s">
        <v>20488</v>
      </c>
      <c r="D3896" t="s">
        <v>11</v>
      </c>
      <c r="E3896" t="s">
        <v>8583</v>
      </c>
      <c r="F3896">
        <v>28</v>
      </c>
      <c r="G3896" t="s">
        <v>109</v>
      </c>
      <c r="H3896" t="s">
        <v>9788</v>
      </c>
    </row>
    <row r="3897" spans="1:10" x14ac:dyDescent="0.3">
      <c r="A3897" t="s">
        <v>8584</v>
      </c>
      <c r="B3897" t="s">
        <v>28116</v>
      </c>
      <c r="C3897" t="s">
        <v>20488</v>
      </c>
      <c r="D3897" t="s">
        <v>11</v>
      </c>
      <c r="E3897" t="s">
        <v>700</v>
      </c>
      <c r="F3897">
        <v>57</v>
      </c>
      <c r="G3897" t="s">
        <v>46</v>
      </c>
      <c r="H3897" t="s">
        <v>46</v>
      </c>
    </row>
    <row r="3898" spans="1:10" x14ac:dyDescent="0.3">
      <c r="A3898" t="s">
        <v>8585</v>
      </c>
      <c r="B3898" t="s">
        <v>28117</v>
      </c>
      <c r="C3898" t="s">
        <v>20486</v>
      </c>
      <c r="D3898" t="s">
        <v>11</v>
      </c>
      <c r="E3898" t="s">
        <v>8586</v>
      </c>
      <c r="F3898">
        <v>26</v>
      </c>
      <c r="G3898" t="s">
        <v>337</v>
      </c>
      <c r="H3898" t="s">
        <v>337</v>
      </c>
    </row>
    <row r="3899" spans="1:10" x14ac:dyDescent="0.3">
      <c r="A3899" t="s">
        <v>8587</v>
      </c>
      <c r="B3899" t="s">
        <v>28118</v>
      </c>
      <c r="C3899" t="s">
        <v>20486</v>
      </c>
      <c r="D3899" t="s">
        <v>22</v>
      </c>
      <c r="E3899" t="s">
        <v>8588</v>
      </c>
      <c r="F3899">
        <v>30</v>
      </c>
      <c r="G3899" t="s">
        <v>337</v>
      </c>
      <c r="H3899" t="s">
        <v>9788</v>
      </c>
      <c r="I3899" t="s">
        <v>1047</v>
      </c>
    </row>
    <row r="3900" spans="1:10" x14ac:dyDescent="0.3">
      <c r="A3900" t="s">
        <v>8589</v>
      </c>
      <c r="B3900" t="s">
        <v>28119</v>
      </c>
      <c r="C3900" t="s">
        <v>20486</v>
      </c>
      <c r="D3900" t="s">
        <v>22</v>
      </c>
      <c r="E3900" t="s">
        <v>8590</v>
      </c>
      <c r="F3900">
        <v>36</v>
      </c>
      <c r="G3900" t="s">
        <v>46</v>
      </c>
      <c r="H3900" t="s">
        <v>46</v>
      </c>
    </row>
    <row r="3901" spans="1:10" x14ac:dyDescent="0.3">
      <c r="A3901" t="s">
        <v>8591</v>
      </c>
      <c r="B3901" t="s">
        <v>28120</v>
      </c>
      <c r="C3901" t="s">
        <v>20486</v>
      </c>
      <c r="D3901" t="s">
        <v>22</v>
      </c>
      <c r="E3901" t="s">
        <v>8592</v>
      </c>
      <c r="F3901">
        <v>41</v>
      </c>
      <c r="G3901" t="s">
        <v>46</v>
      </c>
      <c r="H3901" t="s">
        <v>46</v>
      </c>
      <c r="I3901" t="s">
        <v>139</v>
      </c>
      <c r="J3901" t="s">
        <v>74</v>
      </c>
    </row>
    <row r="3902" spans="1:10" x14ac:dyDescent="0.3">
      <c r="A3902" t="s">
        <v>8593</v>
      </c>
      <c r="B3902" t="s">
        <v>28121</v>
      </c>
      <c r="C3902" t="s">
        <v>20486</v>
      </c>
      <c r="D3902" t="s">
        <v>11</v>
      </c>
      <c r="E3902" t="s">
        <v>8594</v>
      </c>
      <c r="F3902">
        <v>27</v>
      </c>
      <c r="G3902" t="s">
        <v>109</v>
      </c>
      <c r="H3902" t="s">
        <v>9788</v>
      </c>
    </row>
    <row r="3903" spans="1:10" x14ac:dyDescent="0.3">
      <c r="A3903" t="s">
        <v>8595</v>
      </c>
      <c r="B3903" t="s">
        <v>28122</v>
      </c>
      <c r="C3903" t="s">
        <v>20486</v>
      </c>
      <c r="D3903" t="s">
        <v>22</v>
      </c>
      <c r="E3903" t="s">
        <v>8596</v>
      </c>
      <c r="F3903">
        <v>30</v>
      </c>
      <c r="G3903" t="s">
        <v>109</v>
      </c>
      <c r="H3903" t="s">
        <v>9788</v>
      </c>
      <c r="I3903" t="s">
        <v>1276</v>
      </c>
      <c r="J3903" t="s">
        <v>2588</v>
      </c>
    </row>
    <row r="3904" spans="1:10" x14ac:dyDescent="0.3">
      <c r="A3904" t="s">
        <v>8597</v>
      </c>
      <c r="B3904" t="s">
        <v>28123</v>
      </c>
      <c r="C3904" t="s">
        <v>20486</v>
      </c>
      <c r="D3904" t="s">
        <v>22</v>
      </c>
      <c r="E3904" t="s">
        <v>8598</v>
      </c>
      <c r="F3904">
        <v>42</v>
      </c>
      <c r="G3904" t="s">
        <v>46</v>
      </c>
      <c r="H3904" t="s">
        <v>46</v>
      </c>
      <c r="I3904" t="s">
        <v>7503</v>
      </c>
      <c r="J3904" t="s">
        <v>8599</v>
      </c>
    </row>
    <row r="3905" spans="1:10" x14ac:dyDescent="0.3">
      <c r="A3905" t="s">
        <v>8600</v>
      </c>
      <c r="B3905" t="s">
        <v>28124</v>
      </c>
      <c r="C3905" t="s">
        <v>20490</v>
      </c>
      <c r="D3905" t="s">
        <v>11</v>
      </c>
      <c r="E3905" t="s">
        <v>8601</v>
      </c>
      <c r="F3905">
        <v>26</v>
      </c>
    </row>
    <row r="3906" spans="1:10" x14ac:dyDescent="0.3">
      <c r="A3906" t="s">
        <v>8602</v>
      </c>
      <c r="B3906" t="s">
        <v>28125</v>
      </c>
      <c r="C3906" t="s">
        <v>20486</v>
      </c>
      <c r="D3906" t="s">
        <v>11</v>
      </c>
      <c r="E3906" t="s">
        <v>8603</v>
      </c>
      <c r="F3906">
        <v>45</v>
      </c>
      <c r="G3906" t="s">
        <v>46</v>
      </c>
      <c r="H3906" t="s">
        <v>46</v>
      </c>
      <c r="I3906" t="s">
        <v>139</v>
      </c>
      <c r="J3906" t="s">
        <v>8604</v>
      </c>
    </row>
    <row r="3907" spans="1:10" x14ac:dyDescent="0.3">
      <c r="A3907" t="s">
        <v>8606</v>
      </c>
      <c r="B3907" t="s">
        <v>28126</v>
      </c>
      <c r="C3907" t="s">
        <v>20486</v>
      </c>
      <c r="D3907" t="s">
        <v>22</v>
      </c>
      <c r="E3907" t="s">
        <v>8607</v>
      </c>
      <c r="F3907">
        <v>41</v>
      </c>
      <c r="G3907" t="s">
        <v>109</v>
      </c>
      <c r="H3907" t="s">
        <v>9788</v>
      </c>
      <c r="J3907" t="s">
        <v>8608</v>
      </c>
    </row>
    <row r="3908" spans="1:10" x14ac:dyDescent="0.3">
      <c r="A3908" t="s">
        <v>8609</v>
      </c>
      <c r="B3908" t="s">
        <v>28127</v>
      </c>
      <c r="C3908" t="s">
        <v>20486</v>
      </c>
      <c r="D3908" t="s">
        <v>22</v>
      </c>
      <c r="E3908" t="s">
        <v>8610</v>
      </c>
      <c r="F3908">
        <v>36</v>
      </c>
      <c r="G3908" t="s">
        <v>1200</v>
      </c>
      <c r="H3908" t="s">
        <v>9788</v>
      </c>
      <c r="I3908" t="s">
        <v>17</v>
      </c>
      <c r="J3908" t="s">
        <v>8611</v>
      </c>
    </row>
    <row r="3909" spans="1:10" x14ac:dyDescent="0.3">
      <c r="A3909" t="s">
        <v>8612</v>
      </c>
      <c r="B3909" t="s">
        <v>28128</v>
      </c>
      <c r="C3909" t="s">
        <v>20488</v>
      </c>
      <c r="D3909" t="s">
        <v>22</v>
      </c>
      <c r="E3909" t="s">
        <v>8613</v>
      </c>
      <c r="F3909">
        <v>64</v>
      </c>
      <c r="G3909" t="s">
        <v>31</v>
      </c>
      <c r="H3909" t="s">
        <v>243</v>
      </c>
    </row>
    <row r="3910" spans="1:10" x14ac:dyDescent="0.3">
      <c r="A3910" t="s">
        <v>8614</v>
      </c>
      <c r="B3910" t="s">
        <v>28129</v>
      </c>
      <c r="C3910" t="s">
        <v>20486</v>
      </c>
      <c r="D3910" t="s">
        <v>22</v>
      </c>
      <c r="E3910" t="s">
        <v>8615</v>
      </c>
      <c r="F3910">
        <v>52</v>
      </c>
      <c r="G3910" t="s">
        <v>24</v>
      </c>
      <c r="H3910" t="s">
        <v>9789</v>
      </c>
      <c r="I3910" t="s">
        <v>8616</v>
      </c>
      <c r="J3910" t="s">
        <v>7759</v>
      </c>
    </row>
    <row r="3911" spans="1:10" x14ac:dyDescent="0.3">
      <c r="A3911" t="s">
        <v>8617</v>
      </c>
      <c r="B3911" t="s">
        <v>28130</v>
      </c>
      <c r="C3911" t="s">
        <v>20486</v>
      </c>
      <c r="D3911" t="s">
        <v>11</v>
      </c>
      <c r="E3911" t="s">
        <v>1893</v>
      </c>
      <c r="F3911">
        <v>49</v>
      </c>
      <c r="G3911" t="s">
        <v>172</v>
      </c>
      <c r="H3911" t="s">
        <v>12099</v>
      </c>
      <c r="I3911" t="s">
        <v>421</v>
      </c>
      <c r="J3911" t="s">
        <v>8618</v>
      </c>
    </row>
    <row r="3912" spans="1:10" x14ac:dyDescent="0.3">
      <c r="A3912" t="s">
        <v>8619</v>
      </c>
      <c r="B3912" t="s">
        <v>28131</v>
      </c>
      <c r="C3912" t="s">
        <v>20489</v>
      </c>
      <c r="D3912" t="s">
        <v>11</v>
      </c>
      <c r="E3912" t="s">
        <v>1912</v>
      </c>
      <c r="F3912">
        <v>62</v>
      </c>
      <c r="G3912" t="s">
        <v>370</v>
      </c>
      <c r="H3912" t="s">
        <v>46</v>
      </c>
      <c r="I3912" t="s">
        <v>12569</v>
      </c>
      <c r="J3912" t="s">
        <v>8620</v>
      </c>
    </row>
    <row r="3913" spans="1:10" x14ac:dyDescent="0.3">
      <c r="A3913" t="s">
        <v>8621</v>
      </c>
      <c r="B3913" t="s">
        <v>28132</v>
      </c>
      <c r="C3913" t="s">
        <v>20486</v>
      </c>
      <c r="D3913" t="s">
        <v>22</v>
      </c>
      <c r="E3913" t="s">
        <v>8622</v>
      </c>
      <c r="F3913">
        <v>58</v>
      </c>
      <c r="G3913" t="s">
        <v>540</v>
      </c>
      <c r="H3913" t="s">
        <v>12074</v>
      </c>
      <c r="I3913" t="s">
        <v>3378</v>
      </c>
    </row>
    <row r="3914" spans="1:10" x14ac:dyDescent="0.3">
      <c r="A3914" t="s">
        <v>8623</v>
      </c>
      <c r="B3914" t="s">
        <v>28133</v>
      </c>
      <c r="C3914" t="s">
        <v>20486</v>
      </c>
      <c r="D3914" t="s">
        <v>11</v>
      </c>
      <c r="E3914" t="s">
        <v>8624</v>
      </c>
      <c r="F3914">
        <v>55</v>
      </c>
      <c r="G3914" t="s">
        <v>109</v>
      </c>
      <c r="H3914" t="s">
        <v>9788</v>
      </c>
      <c r="I3914" t="s">
        <v>2859</v>
      </c>
      <c r="J3914" t="s">
        <v>8625</v>
      </c>
    </row>
    <row r="3915" spans="1:10" x14ac:dyDescent="0.3">
      <c r="A3915" t="s">
        <v>8626</v>
      </c>
      <c r="B3915" t="s">
        <v>28134</v>
      </c>
      <c r="C3915" t="s">
        <v>20490</v>
      </c>
      <c r="D3915" t="s">
        <v>11</v>
      </c>
      <c r="E3915" t="s">
        <v>8627</v>
      </c>
      <c r="F3915">
        <v>55</v>
      </c>
      <c r="G3915" t="s">
        <v>109</v>
      </c>
      <c r="H3915" t="s">
        <v>9788</v>
      </c>
    </row>
    <row r="3916" spans="1:10" x14ac:dyDescent="0.3">
      <c r="A3916" t="s">
        <v>8628</v>
      </c>
      <c r="B3916" t="s">
        <v>28135</v>
      </c>
      <c r="C3916" t="s">
        <v>20488</v>
      </c>
      <c r="D3916" t="s">
        <v>11</v>
      </c>
      <c r="E3916" t="s">
        <v>8629</v>
      </c>
      <c r="F3916">
        <v>37</v>
      </c>
      <c r="G3916" t="s">
        <v>46</v>
      </c>
      <c r="H3916" t="s">
        <v>46</v>
      </c>
      <c r="I3916" t="s">
        <v>4182</v>
      </c>
    </row>
    <row r="3917" spans="1:10" x14ac:dyDescent="0.3">
      <c r="A3917" t="s">
        <v>8630</v>
      </c>
      <c r="B3917" t="s">
        <v>28136</v>
      </c>
      <c r="C3917" t="s">
        <v>20486</v>
      </c>
      <c r="D3917" t="s">
        <v>22</v>
      </c>
      <c r="E3917" t="s">
        <v>8631</v>
      </c>
      <c r="F3917">
        <v>32</v>
      </c>
      <c r="G3917" t="s">
        <v>31</v>
      </c>
      <c r="H3917" t="s">
        <v>31</v>
      </c>
    </row>
    <row r="3918" spans="1:10" x14ac:dyDescent="0.3">
      <c r="A3918" t="s">
        <v>8632</v>
      </c>
      <c r="B3918" t="s">
        <v>28137</v>
      </c>
      <c r="C3918" t="s">
        <v>20486</v>
      </c>
      <c r="D3918" t="s">
        <v>11</v>
      </c>
      <c r="E3918" t="s">
        <v>8633</v>
      </c>
      <c r="F3918">
        <v>47</v>
      </c>
      <c r="G3918" t="s">
        <v>109</v>
      </c>
      <c r="H3918" t="s">
        <v>9788</v>
      </c>
    </row>
    <row r="3919" spans="1:10" x14ac:dyDescent="0.3">
      <c r="A3919" t="s">
        <v>8634</v>
      </c>
      <c r="B3919" t="s">
        <v>28138</v>
      </c>
      <c r="C3919" t="s">
        <v>20488</v>
      </c>
      <c r="D3919" t="s">
        <v>22</v>
      </c>
      <c r="E3919" t="s">
        <v>8635</v>
      </c>
      <c r="F3919">
        <v>25</v>
      </c>
      <c r="G3919" t="s">
        <v>109</v>
      </c>
      <c r="H3919" t="s">
        <v>9788</v>
      </c>
      <c r="J3919" t="s">
        <v>8636</v>
      </c>
    </row>
    <row r="3920" spans="1:10" x14ac:dyDescent="0.3">
      <c r="A3920" t="s">
        <v>8637</v>
      </c>
      <c r="B3920" t="s">
        <v>28139</v>
      </c>
      <c r="C3920" t="s">
        <v>20490</v>
      </c>
      <c r="D3920" t="s">
        <v>11</v>
      </c>
      <c r="E3920" t="s">
        <v>8638</v>
      </c>
      <c r="F3920">
        <v>28</v>
      </c>
      <c r="G3920" t="s">
        <v>109</v>
      </c>
      <c r="H3920" t="s">
        <v>9788</v>
      </c>
    </row>
    <row r="3921" spans="1:10" x14ac:dyDescent="0.3">
      <c r="A3921" t="s">
        <v>8639</v>
      </c>
      <c r="B3921" t="s">
        <v>28140</v>
      </c>
      <c r="C3921" t="s">
        <v>20486</v>
      </c>
      <c r="D3921" t="s">
        <v>22</v>
      </c>
      <c r="E3921" t="s">
        <v>2681</v>
      </c>
      <c r="F3921">
        <v>43</v>
      </c>
      <c r="G3921" t="s">
        <v>5098</v>
      </c>
      <c r="H3921" t="s">
        <v>9785</v>
      </c>
      <c r="I3921" t="s">
        <v>17</v>
      </c>
    </row>
    <row r="3922" spans="1:10" x14ac:dyDescent="0.3">
      <c r="A3922" t="s">
        <v>8640</v>
      </c>
      <c r="B3922" t="s">
        <v>28141</v>
      </c>
      <c r="C3922" t="s">
        <v>20486</v>
      </c>
      <c r="D3922" t="s">
        <v>22</v>
      </c>
      <c r="E3922" t="s">
        <v>8641</v>
      </c>
      <c r="F3922">
        <v>38</v>
      </c>
    </row>
    <row r="3923" spans="1:10" x14ac:dyDescent="0.3">
      <c r="A3923" t="s">
        <v>8642</v>
      </c>
      <c r="B3923" t="s">
        <v>28142</v>
      </c>
      <c r="C3923" t="s">
        <v>20490</v>
      </c>
      <c r="D3923" t="s">
        <v>22</v>
      </c>
      <c r="E3923" t="s">
        <v>4719</v>
      </c>
      <c r="F3923">
        <v>48</v>
      </c>
      <c r="G3923" t="s">
        <v>31</v>
      </c>
      <c r="H3923" t="s">
        <v>31</v>
      </c>
    </row>
    <row r="3924" spans="1:10" x14ac:dyDescent="0.3">
      <c r="A3924" t="s">
        <v>8643</v>
      </c>
      <c r="B3924" t="s">
        <v>28143</v>
      </c>
      <c r="C3924" t="s">
        <v>20488</v>
      </c>
      <c r="D3924" t="s">
        <v>22</v>
      </c>
      <c r="E3924" t="s">
        <v>8644</v>
      </c>
      <c r="F3924">
        <v>31</v>
      </c>
      <c r="G3924" t="s">
        <v>109</v>
      </c>
      <c r="H3924" t="s">
        <v>9788</v>
      </c>
      <c r="I3924" t="s">
        <v>228</v>
      </c>
      <c r="J3924" t="s">
        <v>3793</v>
      </c>
    </row>
    <row r="3925" spans="1:10" x14ac:dyDescent="0.3">
      <c r="A3925" t="s">
        <v>8645</v>
      </c>
      <c r="B3925" t="s">
        <v>28144</v>
      </c>
      <c r="C3925" t="s">
        <v>20488</v>
      </c>
      <c r="D3925" t="s">
        <v>22</v>
      </c>
      <c r="E3925" t="s">
        <v>8646</v>
      </c>
      <c r="F3925">
        <v>26</v>
      </c>
      <c r="G3925" t="s">
        <v>109</v>
      </c>
      <c r="H3925" t="s">
        <v>9788</v>
      </c>
      <c r="I3925" t="s">
        <v>228</v>
      </c>
      <c r="J3925" t="s">
        <v>8647</v>
      </c>
    </row>
    <row r="3926" spans="1:10" x14ac:dyDescent="0.3">
      <c r="A3926" t="s">
        <v>8648</v>
      </c>
      <c r="B3926" t="s">
        <v>28145</v>
      </c>
      <c r="C3926" t="s">
        <v>20486</v>
      </c>
      <c r="D3926" t="s">
        <v>11</v>
      </c>
      <c r="E3926" t="s">
        <v>8301</v>
      </c>
      <c r="F3926">
        <v>40</v>
      </c>
      <c r="G3926" t="s">
        <v>46</v>
      </c>
      <c r="H3926" t="s">
        <v>46</v>
      </c>
      <c r="I3926" t="s">
        <v>3798</v>
      </c>
      <c r="J3926" t="s">
        <v>8649</v>
      </c>
    </row>
    <row r="3927" spans="1:10" x14ac:dyDescent="0.3">
      <c r="A3927" t="s">
        <v>8650</v>
      </c>
      <c r="B3927" t="s">
        <v>28146</v>
      </c>
      <c r="C3927" t="s">
        <v>20490</v>
      </c>
      <c r="D3927" t="s">
        <v>22</v>
      </c>
      <c r="E3927" t="s">
        <v>8651</v>
      </c>
      <c r="F3927">
        <v>43</v>
      </c>
      <c r="G3927" t="s">
        <v>109</v>
      </c>
      <c r="H3927" t="s">
        <v>9788</v>
      </c>
    </row>
    <row r="3928" spans="1:10" x14ac:dyDescent="0.3">
      <c r="A3928" t="s">
        <v>12570</v>
      </c>
      <c r="B3928" t="s">
        <v>28147</v>
      </c>
      <c r="C3928" t="s">
        <v>20487</v>
      </c>
      <c r="D3928" t="s">
        <v>22</v>
      </c>
      <c r="E3928" t="s">
        <v>9588</v>
      </c>
      <c r="F3928">
        <v>19</v>
      </c>
      <c r="G3928" t="s">
        <v>337</v>
      </c>
      <c r="H3928" t="s">
        <v>337</v>
      </c>
    </row>
    <row r="3929" spans="1:10" x14ac:dyDescent="0.3">
      <c r="A3929" t="s">
        <v>8652</v>
      </c>
      <c r="B3929" t="s">
        <v>28148</v>
      </c>
      <c r="C3929" t="s">
        <v>20491</v>
      </c>
      <c r="D3929" t="s">
        <v>22</v>
      </c>
      <c r="E3929" t="s">
        <v>8653</v>
      </c>
      <c r="F3929">
        <v>57</v>
      </c>
      <c r="G3929" t="s">
        <v>31</v>
      </c>
      <c r="H3929" t="s">
        <v>31</v>
      </c>
    </row>
    <row r="3930" spans="1:10" x14ac:dyDescent="0.3">
      <c r="A3930" t="s">
        <v>8654</v>
      </c>
      <c r="B3930" t="s">
        <v>28149</v>
      </c>
      <c r="C3930" t="s">
        <v>20486</v>
      </c>
      <c r="D3930" t="s">
        <v>22</v>
      </c>
      <c r="E3930" t="s">
        <v>833</v>
      </c>
      <c r="F3930">
        <v>59</v>
      </c>
      <c r="G3930" t="s">
        <v>46</v>
      </c>
      <c r="H3930" t="s">
        <v>46</v>
      </c>
      <c r="I3930" t="s">
        <v>8655</v>
      </c>
      <c r="J3930" t="s">
        <v>14342</v>
      </c>
    </row>
    <row r="3931" spans="1:10" x14ac:dyDescent="0.3">
      <c r="A3931" t="s">
        <v>8656</v>
      </c>
      <c r="B3931" t="s">
        <v>28150</v>
      </c>
      <c r="C3931" t="s">
        <v>20487</v>
      </c>
      <c r="D3931" t="s">
        <v>22</v>
      </c>
      <c r="E3931" t="s">
        <v>8657</v>
      </c>
      <c r="F3931">
        <v>35</v>
      </c>
      <c r="G3931" t="s">
        <v>109</v>
      </c>
      <c r="H3931" t="s">
        <v>9788</v>
      </c>
    </row>
    <row r="3932" spans="1:10" x14ac:dyDescent="0.3">
      <c r="A3932" t="s">
        <v>8658</v>
      </c>
      <c r="B3932" t="s">
        <v>28151</v>
      </c>
      <c r="C3932" t="s">
        <v>20486</v>
      </c>
      <c r="D3932" t="s">
        <v>22</v>
      </c>
      <c r="E3932" t="s">
        <v>8659</v>
      </c>
      <c r="F3932">
        <v>65</v>
      </c>
      <c r="G3932" t="s">
        <v>13</v>
      </c>
      <c r="H3932" t="s">
        <v>13</v>
      </c>
      <c r="I3932" t="s">
        <v>8660</v>
      </c>
      <c r="J3932" t="s">
        <v>8661</v>
      </c>
    </row>
    <row r="3933" spans="1:10" x14ac:dyDescent="0.3">
      <c r="A3933" t="s">
        <v>8663</v>
      </c>
      <c r="B3933" t="s">
        <v>28152</v>
      </c>
      <c r="C3933" t="s">
        <v>20486</v>
      </c>
      <c r="D3933" t="s">
        <v>22</v>
      </c>
      <c r="E3933" t="s">
        <v>4460</v>
      </c>
      <c r="F3933">
        <v>44</v>
      </c>
      <c r="G3933" t="s">
        <v>109</v>
      </c>
      <c r="H3933" t="s">
        <v>9788</v>
      </c>
      <c r="J3933" t="s">
        <v>8664</v>
      </c>
    </row>
    <row r="3934" spans="1:10" x14ac:dyDescent="0.3">
      <c r="A3934" t="s">
        <v>8665</v>
      </c>
      <c r="B3934" t="s">
        <v>28153</v>
      </c>
      <c r="C3934" t="s">
        <v>20489</v>
      </c>
      <c r="D3934" t="s">
        <v>11</v>
      </c>
      <c r="E3934" t="s">
        <v>6621</v>
      </c>
      <c r="F3934">
        <v>50</v>
      </c>
      <c r="G3934" t="s">
        <v>4685</v>
      </c>
      <c r="H3934" t="s">
        <v>12099</v>
      </c>
      <c r="I3934" t="s">
        <v>1121</v>
      </c>
      <c r="J3934" t="s">
        <v>4967</v>
      </c>
    </row>
    <row r="3935" spans="1:10" x14ac:dyDescent="0.3">
      <c r="A3935" t="s">
        <v>8666</v>
      </c>
      <c r="B3935" t="s">
        <v>28154</v>
      </c>
      <c r="C3935" t="s">
        <v>20487</v>
      </c>
      <c r="D3935" t="s">
        <v>22</v>
      </c>
      <c r="E3935" t="s">
        <v>8667</v>
      </c>
      <c r="F3935">
        <v>42</v>
      </c>
      <c r="G3935" t="s">
        <v>46</v>
      </c>
      <c r="H3935" t="s">
        <v>46</v>
      </c>
      <c r="I3935" t="s">
        <v>220</v>
      </c>
      <c r="J3935" t="s">
        <v>8668</v>
      </c>
    </row>
    <row r="3936" spans="1:10" x14ac:dyDescent="0.3">
      <c r="A3936" t="s">
        <v>8669</v>
      </c>
      <c r="B3936" t="s">
        <v>28155</v>
      </c>
      <c r="C3936" t="s">
        <v>20487</v>
      </c>
      <c r="D3936" t="s">
        <v>22</v>
      </c>
      <c r="E3936" t="s">
        <v>8670</v>
      </c>
      <c r="F3936">
        <v>43</v>
      </c>
      <c r="G3936" t="s">
        <v>172</v>
      </c>
      <c r="H3936" t="s">
        <v>9785</v>
      </c>
      <c r="I3936" t="s">
        <v>441</v>
      </c>
      <c r="J3936" t="s">
        <v>8671</v>
      </c>
    </row>
    <row r="3937" spans="1:10" x14ac:dyDescent="0.3">
      <c r="A3937" t="s">
        <v>8672</v>
      </c>
      <c r="B3937" t="s">
        <v>28156</v>
      </c>
      <c r="C3937" t="s">
        <v>20486</v>
      </c>
      <c r="D3937" t="s">
        <v>11</v>
      </c>
      <c r="E3937" t="s">
        <v>7821</v>
      </c>
      <c r="F3937">
        <v>35</v>
      </c>
      <c r="G3937" t="s">
        <v>109</v>
      </c>
      <c r="H3937" t="s">
        <v>9788</v>
      </c>
    </row>
    <row r="3938" spans="1:10" x14ac:dyDescent="0.3">
      <c r="A3938" t="s">
        <v>8673</v>
      </c>
      <c r="B3938" t="s">
        <v>28157</v>
      </c>
      <c r="C3938" t="s">
        <v>20486</v>
      </c>
      <c r="D3938" t="s">
        <v>22</v>
      </c>
      <c r="E3938" t="s">
        <v>8674</v>
      </c>
      <c r="F3938">
        <v>49</v>
      </c>
      <c r="G3938" t="s">
        <v>133</v>
      </c>
      <c r="H3938" t="s">
        <v>9789</v>
      </c>
      <c r="I3938" t="s">
        <v>883</v>
      </c>
      <c r="J3938" t="s">
        <v>166</v>
      </c>
    </row>
    <row r="3939" spans="1:10" x14ac:dyDescent="0.3">
      <c r="A3939" t="s">
        <v>8675</v>
      </c>
      <c r="B3939" t="s">
        <v>28158</v>
      </c>
      <c r="C3939" t="s">
        <v>20486</v>
      </c>
      <c r="D3939" t="s">
        <v>22</v>
      </c>
      <c r="E3939" t="s">
        <v>8676</v>
      </c>
      <c r="F3939">
        <v>49</v>
      </c>
      <c r="G3939" t="s">
        <v>109</v>
      </c>
      <c r="H3939" t="s">
        <v>9788</v>
      </c>
      <c r="I3939" t="s">
        <v>222</v>
      </c>
      <c r="J3939" t="s">
        <v>247</v>
      </c>
    </row>
    <row r="3940" spans="1:10" x14ac:dyDescent="0.3">
      <c r="A3940" t="s">
        <v>8677</v>
      </c>
      <c r="B3940" t="s">
        <v>28159</v>
      </c>
      <c r="C3940" t="s">
        <v>20486</v>
      </c>
      <c r="D3940" t="s">
        <v>22</v>
      </c>
      <c r="E3940" t="s">
        <v>8678</v>
      </c>
      <c r="F3940">
        <v>49</v>
      </c>
      <c r="G3940" t="s">
        <v>46</v>
      </c>
      <c r="H3940" t="s">
        <v>46</v>
      </c>
      <c r="I3940" t="s">
        <v>228</v>
      </c>
    </row>
    <row r="3941" spans="1:10" x14ac:dyDescent="0.3">
      <c r="A3941" t="s">
        <v>8679</v>
      </c>
      <c r="B3941" t="s">
        <v>28160</v>
      </c>
      <c r="C3941" t="s">
        <v>20486</v>
      </c>
      <c r="D3941" t="s">
        <v>11</v>
      </c>
      <c r="E3941" t="s">
        <v>4828</v>
      </c>
      <c r="F3941">
        <v>46</v>
      </c>
      <c r="G3941" t="s">
        <v>109</v>
      </c>
      <c r="H3941" t="s">
        <v>9788</v>
      </c>
      <c r="J3941" t="s">
        <v>7239</v>
      </c>
    </row>
    <row r="3942" spans="1:10" x14ac:dyDescent="0.3">
      <c r="A3942" t="s">
        <v>8680</v>
      </c>
      <c r="B3942" t="s">
        <v>28161</v>
      </c>
      <c r="C3942" t="s">
        <v>20491</v>
      </c>
      <c r="D3942" t="s">
        <v>22</v>
      </c>
      <c r="E3942" t="s">
        <v>8681</v>
      </c>
      <c r="F3942">
        <v>51</v>
      </c>
      <c r="G3942" t="s">
        <v>16</v>
      </c>
      <c r="H3942" t="s">
        <v>9785</v>
      </c>
      <c r="I3942" t="s">
        <v>441</v>
      </c>
      <c r="J3942" t="s">
        <v>1795</v>
      </c>
    </row>
    <row r="3943" spans="1:10" x14ac:dyDescent="0.3">
      <c r="A3943" t="s">
        <v>8682</v>
      </c>
      <c r="B3943" t="s">
        <v>28162</v>
      </c>
      <c r="C3943" t="s">
        <v>20488</v>
      </c>
      <c r="D3943" t="s">
        <v>22</v>
      </c>
      <c r="E3943" t="s">
        <v>8683</v>
      </c>
      <c r="F3943">
        <v>46</v>
      </c>
      <c r="G3943" t="s">
        <v>16</v>
      </c>
      <c r="H3943" t="s">
        <v>9785</v>
      </c>
      <c r="I3943" t="s">
        <v>17</v>
      </c>
      <c r="J3943" t="s">
        <v>12571</v>
      </c>
    </row>
    <row r="3944" spans="1:10" x14ac:dyDescent="0.3">
      <c r="A3944" t="s">
        <v>8684</v>
      </c>
      <c r="B3944" t="s">
        <v>28163</v>
      </c>
      <c r="C3944" t="s">
        <v>20487</v>
      </c>
      <c r="D3944" t="s">
        <v>22</v>
      </c>
      <c r="E3944" t="s">
        <v>8025</v>
      </c>
      <c r="F3944">
        <v>34</v>
      </c>
      <c r="G3944" t="s">
        <v>109</v>
      </c>
      <c r="H3944" t="s">
        <v>9788</v>
      </c>
    </row>
    <row r="3945" spans="1:10" x14ac:dyDescent="0.3">
      <c r="A3945" t="s">
        <v>8685</v>
      </c>
      <c r="B3945" t="s">
        <v>28164</v>
      </c>
      <c r="C3945" t="s">
        <v>20486</v>
      </c>
      <c r="D3945" t="s">
        <v>22</v>
      </c>
      <c r="E3945" t="s">
        <v>4712</v>
      </c>
      <c r="F3945">
        <v>56</v>
      </c>
    </row>
    <row r="3946" spans="1:10" x14ac:dyDescent="0.3">
      <c r="A3946" t="s">
        <v>8686</v>
      </c>
      <c r="B3946" t="s">
        <v>28165</v>
      </c>
      <c r="C3946" t="s">
        <v>20488</v>
      </c>
      <c r="D3946" t="s">
        <v>22</v>
      </c>
      <c r="E3946" t="s">
        <v>8687</v>
      </c>
      <c r="F3946">
        <v>45</v>
      </c>
      <c r="G3946" t="s">
        <v>46</v>
      </c>
      <c r="H3946" t="s">
        <v>46</v>
      </c>
      <c r="I3946" t="s">
        <v>7349</v>
      </c>
    </row>
    <row r="3947" spans="1:10" x14ac:dyDescent="0.3">
      <c r="A3947" t="s">
        <v>8688</v>
      </c>
      <c r="B3947" t="s">
        <v>28166</v>
      </c>
      <c r="C3947" t="s">
        <v>20487</v>
      </c>
      <c r="D3947" t="s">
        <v>22</v>
      </c>
      <c r="E3947" t="s">
        <v>8689</v>
      </c>
      <c r="F3947">
        <v>61</v>
      </c>
      <c r="G3947" t="s">
        <v>370</v>
      </c>
      <c r="H3947" t="s">
        <v>46</v>
      </c>
      <c r="I3947" t="s">
        <v>8690</v>
      </c>
    </row>
    <row r="3948" spans="1:10" x14ac:dyDescent="0.3">
      <c r="A3948" t="s">
        <v>8691</v>
      </c>
      <c r="B3948" t="s">
        <v>28167</v>
      </c>
      <c r="C3948" t="s">
        <v>20488</v>
      </c>
      <c r="D3948" t="s">
        <v>22</v>
      </c>
      <c r="E3948" t="s">
        <v>8692</v>
      </c>
      <c r="F3948">
        <v>88</v>
      </c>
      <c r="G3948" t="s">
        <v>31</v>
      </c>
      <c r="H3948" t="s">
        <v>31</v>
      </c>
    </row>
    <row r="3949" spans="1:10" x14ac:dyDescent="0.3">
      <c r="A3949" t="s">
        <v>8694</v>
      </c>
      <c r="B3949" t="s">
        <v>28168</v>
      </c>
      <c r="C3949" t="s">
        <v>20487</v>
      </c>
      <c r="D3949" t="s">
        <v>11</v>
      </c>
      <c r="E3949" t="s">
        <v>7939</v>
      </c>
      <c r="F3949">
        <v>44</v>
      </c>
      <c r="G3949" t="s">
        <v>540</v>
      </c>
      <c r="H3949" t="s">
        <v>12074</v>
      </c>
    </row>
    <row r="3950" spans="1:10" x14ac:dyDescent="0.3">
      <c r="A3950" t="s">
        <v>8695</v>
      </c>
      <c r="B3950" t="s">
        <v>28169</v>
      </c>
      <c r="C3950" t="s">
        <v>20486</v>
      </c>
      <c r="D3950" t="s">
        <v>11</v>
      </c>
      <c r="E3950" t="s">
        <v>8696</v>
      </c>
      <c r="F3950">
        <v>52</v>
      </c>
      <c r="G3950" t="s">
        <v>46</v>
      </c>
      <c r="H3950" t="s">
        <v>46</v>
      </c>
    </row>
    <row r="3951" spans="1:10" x14ac:dyDescent="0.3">
      <c r="A3951" t="s">
        <v>8697</v>
      </c>
      <c r="B3951" t="s">
        <v>28170</v>
      </c>
      <c r="C3951" t="s">
        <v>20491</v>
      </c>
      <c r="D3951" t="s">
        <v>22</v>
      </c>
      <c r="E3951" t="s">
        <v>8698</v>
      </c>
      <c r="F3951">
        <v>51</v>
      </c>
      <c r="G3951" t="s">
        <v>31</v>
      </c>
      <c r="H3951" t="s">
        <v>31</v>
      </c>
    </row>
    <row r="3952" spans="1:10" x14ac:dyDescent="0.3">
      <c r="A3952" t="s">
        <v>8699</v>
      </c>
      <c r="B3952" t="s">
        <v>28171</v>
      </c>
      <c r="C3952" t="s">
        <v>20490</v>
      </c>
      <c r="D3952" t="s">
        <v>11</v>
      </c>
      <c r="E3952" t="s">
        <v>8700</v>
      </c>
      <c r="F3952">
        <v>30</v>
      </c>
      <c r="G3952" t="s">
        <v>133</v>
      </c>
      <c r="H3952" t="s">
        <v>9789</v>
      </c>
    </row>
    <row r="3953" spans="1:10" x14ac:dyDescent="0.3">
      <c r="A3953" t="s">
        <v>8701</v>
      </c>
      <c r="B3953" t="s">
        <v>28172</v>
      </c>
      <c r="C3953" t="s">
        <v>20489</v>
      </c>
      <c r="D3953" t="s">
        <v>22</v>
      </c>
      <c r="E3953" t="s">
        <v>8702</v>
      </c>
      <c r="F3953">
        <v>60</v>
      </c>
      <c r="G3953" t="s">
        <v>31</v>
      </c>
      <c r="H3953" t="s">
        <v>31</v>
      </c>
    </row>
    <row r="3954" spans="1:10" x14ac:dyDescent="0.3">
      <c r="A3954" t="s">
        <v>8703</v>
      </c>
      <c r="B3954" t="s">
        <v>28173</v>
      </c>
      <c r="C3954" t="s">
        <v>20488</v>
      </c>
      <c r="D3954" t="s">
        <v>22</v>
      </c>
      <c r="E3954" t="s">
        <v>8704</v>
      </c>
      <c r="F3954">
        <v>38</v>
      </c>
      <c r="G3954" t="s">
        <v>16</v>
      </c>
      <c r="H3954" t="s">
        <v>9785</v>
      </c>
      <c r="J3954" t="s">
        <v>8705</v>
      </c>
    </row>
    <row r="3955" spans="1:10" x14ac:dyDescent="0.3">
      <c r="A3955" t="s">
        <v>8706</v>
      </c>
      <c r="B3955" t="s">
        <v>28174</v>
      </c>
      <c r="C3955" t="s">
        <v>20487</v>
      </c>
      <c r="D3955" t="s">
        <v>11</v>
      </c>
      <c r="E3955" t="s">
        <v>5760</v>
      </c>
      <c r="F3955">
        <v>39</v>
      </c>
      <c r="G3955" t="s">
        <v>46</v>
      </c>
      <c r="H3955" t="s">
        <v>46</v>
      </c>
    </row>
    <row r="3956" spans="1:10" x14ac:dyDescent="0.3">
      <c r="A3956" t="s">
        <v>8708</v>
      </c>
      <c r="B3956" t="s">
        <v>28175</v>
      </c>
      <c r="C3956" t="s">
        <v>20486</v>
      </c>
      <c r="D3956" t="s">
        <v>22</v>
      </c>
      <c r="E3956" t="s">
        <v>8709</v>
      </c>
      <c r="F3956">
        <v>48</v>
      </c>
      <c r="G3956" t="s">
        <v>133</v>
      </c>
      <c r="H3956" t="s">
        <v>9789</v>
      </c>
      <c r="I3956" t="s">
        <v>8420</v>
      </c>
      <c r="J3956" t="s">
        <v>8710</v>
      </c>
    </row>
    <row r="3957" spans="1:10" x14ac:dyDescent="0.3">
      <c r="A3957" t="s">
        <v>8711</v>
      </c>
      <c r="B3957" t="s">
        <v>28176</v>
      </c>
      <c r="C3957" t="s">
        <v>20486</v>
      </c>
      <c r="D3957" t="s">
        <v>22</v>
      </c>
      <c r="E3957" t="s">
        <v>8712</v>
      </c>
      <c r="F3957">
        <v>31</v>
      </c>
      <c r="G3957" t="s">
        <v>2418</v>
      </c>
      <c r="H3957" t="s">
        <v>9787</v>
      </c>
      <c r="I3957" t="s">
        <v>703</v>
      </c>
      <c r="J3957" t="s">
        <v>8713</v>
      </c>
    </row>
    <row r="3958" spans="1:10" x14ac:dyDescent="0.3">
      <c r="A3958" t="s">
        <v>8714</v>
      </c>
      <c r="B3958" t="s">
        <v>28177</v>
      </c>
      <c r="C3958" t="s">
        <v>20486</v>
      </c>
      <c r="D3958" t="s">
        <v>11</v>
      </c>
      <c r="E3958" t="s">
        <v>8715</v>
      </c>
      <c r="F3958">
        <v>48</v>
      </c>
      <c r="G3958" t="s">
        <v>46</v>
      </c>
      <c r="H3958" t="s">
        <v>46</v>
      </c>
      <c r="I3958" t="s">
        <v>6182</v>
      </c>
    </row>
    <row r="3959" spans="1:10" x14ac:dyDescent="0.3">
      <c r="A3959" t="s">
        <v>8716</v>
      </c>
      <c r="B3959" t="s">
        <v>28178</v>
      </c>
      <c r="C3959" t="s">
        <v>20486</v>
      </c>
      <c r="D3959" t="s">
        <v>11</v>
      </c>
      <c r="E3959" t="s">
        <v>8717</v>
      </c>
      <c r="F3959">
        <v>26</v>
      </c>
      <c r="G3959" t="s">
        <v>109</v>
      </c>
      <c r="H3959" t="s">
        <v>9788</v>
      </c>
      <c r="I3959" t="s">
        <v>4609</v>
      </c>
      <c r="J3959" t="s">
        <v>12572</v>
      </c>
    </row>
    <row r="3960" spans="1:10" x14ac:dyDescent="0.3">
      <c r="A3960" t="s">
        <v>8718</v>
      </c>
      <c r="B3960" t="s">
        <v>28179</v>
      </c>
      <c r="C3960" t="s">
        <v>20486</v>
      </c>
      <c r="D3960" t="s">
        <v>22</v>
      </c>
      <c r="E3960" t="s">
        <v>8719</v>
      </c>
      <c r="F3960">
        <v>21</v>
      </c>
      <c r="G3960" t="s">
        <v>243</v>
      </c>
      <c r="H3960" t="s">
        <v>243</v>
      </c>
    </row>
    <row r="3961" spans="1:10" x14ac:dyDescent="0.3">
      <c r="A3961" t="s">
        <v>8720</v>
      </c>
      <c r="B3961" t="s">
        <v>28180</v>
      </c>
      <c r="C3961" t="s">
        <v>20487</v>
      </c>
      <c r="D3961" t="s">
        <v>11</v>
      </c>
      <c r="E3961" t="s">
        <v>8721</v>
      </c>
      <c r="F3961">
        <v>64</v>
      </c>
      <c r="G3961" t="s">
        <v>243</v>
      </c>
    </row>
    <row r="3962" spans="1:10" x14ac:dyDescent="0.3">
      <c r="A3962" t="s">
        <v>8723</v>
      </c>
      <c r="B3962" t="s">
        <v>28181</v>
      </c>
      <c r="C3962" t="s">
        <v>20488</v>
      </c>
      <c r="D3962" t="s">
        <v>22</v>
      </c>
      <c r="E3962" t="s">
        <v>8724</v>
      </c>
      <c r="F3962">
        <v>47</v>
      </c>
      <c r="G3962" t="s">
        <v>46</v>
      </c>
      <c r="H3962" t="s">
        <v>46</v>
      </c>
      <c r="I3962" t="s">
        <v>228</v>
      </c>
      <c r="J3962" t="s">
        <v>8722</v>
      </c>
    </row>
    <row r="3963" spans="1:10" x14ac:dyDescent="0.3">
      <c r="A3963" t="s">
        <v>8725</v>
      </c>
      <c r="B3963" t="s">
        <v>28182</v>
      </c>
      <c r="C3963" t="s">
        <v>20488</v>
      </c>
      <c r="D3963" t="s">
        <v>22</v>
      </c>
      <c r="E3963" t="s">
        <v>8726</v>
      </c>
      <c r="F3963">
        <v>29</v>
      </c>
      <c r="G3963" t="s">
        <v>109</v>
      </c>
      <c r="H3963" t="s">
        <v>9788</v>
      </c>
    </row>
    <row r="3964" spans="1:10" x14ac:dyDescent="0.3">
      <c r="A3964" t="s">
        <v>8727</v>
      </c>
      <c r="B3964" t="s">
        <v>28183</v>
      </c>
      <c r="C3964" t="s">
        <v>20486</v>
      </c>
      <c r="D3964" t="s">
        <v>22</v>
      </c>
      <c r="E3964" t="s">
        <v>8728</v>
      </c>
      <c r="F3964">
        <v>40</v>
      </c>
      <c r="G3964" t="s">
        <v>16</v>
      </c>
      <c r="H3964" t="s">
        <v>9785</v>
      </c>
      <c r="I3964" t="s">
        <v>17</v>
      </c>
      <c r="J3964" t="s">
        <v>3506</v>
      </c>
    </row>
    <row r="3965" spans="1:10" x14ac:dyDescent="0.3">
      <c r="A3965" t="s">
        <v>8729</v>
      </c>
      <c r="B3965" t="s">
        <v>28184</v>
      </c>
      <c r="C3965" t="s">
        <v>20488</v>
      </c>
      <c r="D3965" t="s">
        <v>22</v>
      </c>
      <c r="E3965" t="s">
        <v>3837</v>
      </c>
      <c r="F3965">
        <v>41</v>
      </c>
      <c r="G3965" t="s">
        <v>31</v>
      </c>
      <c r="H3965" t="s">
        <v>31</v>
      </c>
    </row>
    <row r="3966" spans="1:10" x14ac:dyDescent="0.3">
      <c r="A3966" t="s">
        <v>8730</v>
      </c>
      <c r="B3966" t="s">
        <v>28185</v>
      </c>
      <c r="C3966" t="s">
        <v>20489</v>
      </c>
      <c r="D3966" t="s">
        <v>22</v>
      </c>
      <c r="E3966" t="s">
        <v>8731</v>
      </c>
      <c r="F3966">
        <v>43</v>
      </c>
      <c r="G3966" t="s">
        <v>31</v>
      </c>
      <c r="H3966" t="s">
        <v>31</v>
      </c>
    </row>
    <row r="3967" spans="1:10" x14ac:dyDescent="0.3">
      <c r="A3967" t="s">
        <v>8732</v>
      </c>
      <c r="B3967" t="s">
        <v>28186</v>
      </c>
      <c r="C3967" t="s">
        <v>20486</v>
      </c>
      <c r="D3967" t="s">
        <v>22</v>
      </c>
      <c r="E3967" t="s">
        <v>8733</v>
      </c>
      <c r="F3967">
        <v>22</v>
      </c>
      <c r="G3967" t="s">
        <v>109</v>
      </c>
      <c r="H3967" t="s">
        <v>9788</v>
      </c>
      <c r="J3967" t="s">
        <v>901</v>
      </c>
    </row>
    <row r="3968" spans="1:10" x14ac:dyDescent="0.3">
      <c r="A3968" t="s">
        <v>8734</v>
      </c>
      <c r="B3968" t="s">
        <v>28187</v>
      </c>
      <c r="C3968" t="s">
        <v>20486</v>
      </c>
      <c r="D3968" t="s">
        <v>22</v>
      </c>
      <c r="E3968" t="s">
        <v>8735</v>
      </c>
      <c r="F3968">
        <v>25</v>
      </c>
      <c r="G3968" t="s">
        <v>109</v>
      </c>
      <c r="H3968" t="s">
        <v>9788</v>
      </c>
      <c r="I3968" t="s">
        <v>5095</v>
      </c>
      <c r="J3968" t="s">
        <v>6937</v>
      </c>
    </row>
    <row r="3969" spans="1:10" x14ac:dyDescent="0.3">
      <c r="A3969" t="s">
        <v>8736</v>
      </c>
      <c r="B3969" t="s">
        <v>28188</v>
      </c>
      <c r="C3969" t="s">
        <v>20487</v>
      </c>
      <c r="D3969" t="s">
        <v>11</v>
      </c>
      <c r="E3969" t="s">
        <v>18839</v>
      </c>
      <c r="F3969">
        <v>24</v>
      </c>
      <c r="G3969" t="s">
        <v>31</v>
      </c>
      <c r="H3969" t="s">
        <v>31</v>
      </c>
    </row>
    <row r="3970" spans="1:10" x14ac:dyDescent="0.3">
      <c r="A3970" t="s">
        <v>8737</v>
      </c>
      <c r="B3970" t="s">
        <v>28189</v>
      </c>
      <c r="C3970" t="s">
        <v>20486</v>
      </c>
      <c r="D3970" t="s">
        <v>22</v>
      </c>
      <c r="E3970" t="s">
        <v>8738</v>
      </c>
      <c r="F3970">
        <v>56</v>
      </c>
      <c r="G3970" t="s">
        <v>16</v>
      </c>
      <c r="H3970" t="s">
        <v>9785</v>
      </c>
      <c r="I3970" t="s">
        <v>17</v>
      </c>
      <c r="J3970" t="s">
        <v>67</v>
      </c>
    </row>
    <row r="3971" spans="1:10" x14ac:dyDescent="0.3">
      <c r="A3971" t="s">
        <v>8739</v>
      </c>
      <c r="B3971" t="s">
        <v>28190</v>
      </c>
      <c r="C3971" t="s">
        <v>20487</v>
      </c>
      <c r="D3971" t="s">
        <v>11</v>
      </c>
      <c r="E3971" t="s">
        <v>6174</v>
      </c>
      <c r="F3971">
        <v>39</v>
      </c>
      <c r="G3971" t="s">
        <v>109</v>
      </c>
      <c r="H3971" t="s">
        <v>9788</v>
      </c>
    </row>
    <row r="3972" spans="1:10" x14ac:dyDescent="0.3">
      <c r="A3972" t="s">
        <v>8740</v>
      </c>
      <c r="B3972" t="s">
        <v>28191</v>
      </c>
      <c r="C3972" t="s">
        <v>20488</v>
      </c>
      <c r="D3972" t="s">
        <v>22</v>
      </c>
      <c r="E3972" t="s">
        <v>1814</v>
      </c>
      <c r="F3972">
        <v>52</v>
      </c>
      <c r="G3972" t="s">
        <v>16</v>
      </c>
      <c r="H3972" t="s">
        <v>9785</v>
      </c>
    </row>
    <row r="3973" spans="1:10" x14ac:dyDescent="0.3">
      <c r="A3973" t="s">
        <v>8741</v>
      </c>
      <c r="B3973" t="s">
        <v>28192</v>
      </c>
      <c r="C3973" t="s">
        <v>20487</v>
      </c>
      <c r="D3973" t="s">
        <v>11</v>
      </c>
      <c r="E3973" t="s">
        <v>4717</v>
      </c>
      <c r="F3973">
        <v>51</v>
      </c>
      <c r="G3973" t="s">
        <v>1331</v>
      </c>
      <c r="H3973" t="s">
        <v>9789</v>
      </c>
    </row>
    <row r="3974" spans="1:10" x14ac:dyDescent="0.3">
      <c r="A3974" t="s">
        <v>8742</v>
      </c>
      <c r="B3974" t="s">
        <v>28193</v>
      </c>
      <c r="C3974" t="s">
        <v>20488</v>
      </c>
      <c r="D3974" t="s">
        <v>11</v>
      </c>
      <c r="E3974" t="s">
        <v>8743</v>
      </c>
      <c r="F3974">
        <v>69</v>
      </c>
      <c r="G3974" t="s">
        <v>13</v>
      </c>
      <c r="H3974" t="s">
        <v>13</v>
      </c>
    </row>
    <row r="3975" spans="1:10" x14ac:dyDescent="0.3">
      <c r="A3975" t="s">
        <v>8744</v>
      </c>
      <c r="B3975" t="s">
        <v>28194</v>
      </c>
      <c r="C3975" t="s">
        <v>20486</v>
      </c>
      <c r="D3975" t="s">
        <v>11</v>
      </c>
      <c r="E3975" t="s">
        <v>8745</v>
      </c>
      <c r="F3975">
        <v>42</v>
      </c>
      <c r="G3975" t="s">
        <v>16</v>
      </c>
      <c r="H3975" t="s">
        <v>9785</v>
      </c>
      <c r="I3975" t="s">
        <v>17</v>
      </c>
      <c r="J3975" t="s">
        <v>67</v>
      </c>
    </row>
    <row r="3976" spans="1:10" x14ac:dyDescent="0.3">
      <c r="A3976" t="s">
        <v>8746</v>
      </c>
      <c r="B3976" t="s">
        <v>28195</v>
      </c>
      <c r="C3976" t="s">
        <v>20488</v>
      </c>
      <c r="D3976" t="s">
        <v>22</v>
      </c>
      <c r="E3976" t="s">
        <v>8747</v>
      </c>
      <c r="F3976">
        <v>49</v>
      </c>
      <c r="G3976" t="s">
        <v>16</v>
      </c>
      <c r="H3976" t="s">
        <v>9785</v>
      </c>
      <c r="J3976" t="s">
        <v>682</v>
      </c>
    </row>
    <row r="3977" spans="1:10" x14ac:dyDescent="0.3">
      <c r="A3977" t="s">
        <v>8748</v>
      </c>
      <c r="B3977" t="s">
        <v>28196</v>
      </c>
      <c r="C3977" t="s">
        <v>20486</v>
      </c>
      <c r="D3977" t="s">
        <v>22</v>
      </c>
      <c r="E3977" t="s">
        <v>8749</v>
      </c>
      <c r="F3977">
        <v>44</v>
      </c>
      <c r="G3977" t="s">
        <v>31</v>
      </c>
      <c r="H3977" t="s">
        <v>31</v>
      </c>
    </row>
    <row r="3978" spans="1:10" x14ac:dyDescent="0.3">
      <c r="A3978" t="s">
        <v>8750</v>
      </c>
      <c r="B3978" t="s">
        <v>28197</v>
      </c>
      <c r="C3978" t="s">
        <v>20490</v>
      </c>
      <c r="D3978" t="s">
        <v>11</v>
      </c>
      <c r="E3978" t="s">
        <v>8751</v>
      </c>
      <c r="F3978">
        <v>32</v>
      </c>
      <c r="G3978" t="s">
        <v>370</v>
      </c>
      <c r="H3978" t="s">
        <v>46</v>
      </c>
    </row>
    <row r="3979" spans="1:10" x14ac:dyDescent="0.3">
      <c r="A3979" t="s">
        <v>8752</v>
      </c>
      <c r="B3979" t="s">
        <v>28198</v>
      </c>
      <c r="C3979" t="s">
        <v>20486</v>
      </c>
      <c r="D3979" t="s">
        <v>22</v>
      </c>
      <c r="E3979" t="s">
        <v>8753</v>
      </c>
      <c r="F3979">
        <v>49</v>
      </c>
      <c r="G3979" t="s">
        <v>133</v>
      </c>
      <c r="H3979" t="s">
        <v>9789</v>
      </c>
      <c r="I3979" t="s">
        <v>85</v>
      </c>
      <c r="J3979" t="s">
        <v>8754</v>
      </c>
    </row>
    <row r="3980" spans="1:10" x14ac:dyDescent="0.3">
      <c r="A3980" t="s">
        <v>8755</v>
      </c>
      <c r="B3980" t="s">
        <v>28199</v>
      </c>
      <c r="C3980" t="s">
        <v>20490</v>
      </c>
      <c r="D3980" t="s">
        <v>11</v>
      </c>
      <c r="E3980" t="s">
        <v>8756</v>
      </c>
      <c r="F3980">
        <v>41</v>
      </c>
      <c r="G3980" t="s">
        <v>370</v>
      </c>
      <c r="H3980" t="s">
        <v>46</v>
      </c>
    </row>
    <row r="3981" spans="1:10" x14ac:dyDescent="0.3">
      <c r="A3981" t="s">
        <v>8757</v>
      </c>
      <c r="B3981" t="s">
        <v>28200</v>
      </c>
      <c r="C3981" t="s">
        <v>20486</v>
      </c>
      <c r="D3981" t="s">
        <v>11</v>
      </c>
      <c r="E3981" t="s">
        <v>8758</v>
      </c>
      <c r="F3981">
        <v>25</v>
      </c>
      <c r="G3981" t="s">
        <v>109</v>
      </c>
      <c r="H3981" t="s">
        <v>9788</v>
      </c>
      <c r="J3981" t="s">
        <v>8759</v>
      </c>
    </row>
    <row r="3982" spans="1:10" x14ac:dyDescent="0.3">
      <c r="A3982" t="s">
        <v>8760</v>
      </c>
      <c r="B3982" t="s">
        <v>28201</v>
      </c>
      <c r="C3982" t="s">
        <v>20490</v>
      </c>
      <c r="D3982" t="s">
        <v>11</v>
      </c>
      <c r="E3982" t="s">
        <v>8761</v>
      </c>
      <c r="F3982">
        <v>49</v>
      </c>
      <c r="G3982" t="s">
        <v>370</v>
      </c>
      <c r="H3982" t="s">
        <v>46</v>
      </c>
    </row>
    <row r="3983" spans="1:10" x14ac:dyDescent="0.3">
      <c r="A3983" t="s">
        <v>8762</v>
      </c>
      <c r="B3983" t="s">
        <v>28202</v>
      </c>
      <c r="C3983" t="s">
        <v>20486</v>
      </c>
      <c r="D3983" t="s">
        <v>22</v>
      </c>
      <c r="E3983" t="s">
        <v>8763</v>
      </c>
      <c r="F3983">
        <v>55</v>
      </c>
      <c r="G3983" t="s">
        <v>31</v>
      </c>
      <c r="H3983" t="s">
        <v>31</v>
      </c>
    </row>
    <row r="3984" spans="1:10" x14ac:dyDescent="0.3">
      <c r="A3984" t="s">
        <v>8764</v>
      </c>
      <c r="B3984" t="s">
        <v>28203</v>
      </c>
      <c r="C3984" t="s">
        <v>20489</v>
      </c>
      <c r="D3984" t="s">
        <v>11</v>
      </c>
      <c r="E3984" t="s">
        <v>1848</v>
      </c>
      <c r="F3984">
        <v>45</v>
      </c>
      <c r="G3984" t="s">
        <v>16</v>
      </c>
      <c r="H3984" t="s">
        <v>9785</v>
      </c>
      <c r="I3984" t="s">
        <v>7132</v>
      </c>
      <c r="J3984" t="s">
        <v>8765</v>
      </c>
    </row>
    <row r="3985" spans="1:10" x14ac:dyDescent="0.3">
      <c r="A3985" t="s">
        <v>8766</v>
      </c>
      <c r="B3985" t="s">
        <v>28204</v>
      </c>
      <c r="C3985" t="s">
        <v>20486</v>
      </c>
      <c r="D3985" t="s">
        <v>22</v>
      </c>
      <c r="E3985" t="s">
        <v>8767</v>
      </c>
      <c r="F3985">
        <v>53</v>
      </c>
      <c r="G3985" t="s">
        <v>172</v>
      </c>
      <c r="H3985" t="s">
        <v>12099</v>
      </c>
      <c r="I3985" t="s">
        <v>8768</v>
      </c>
      <c r="J3985" t="s">
        <v>8769</v>
      </c>
    </row>
    <row r="3986" spans="1:10" x14ac:dyDescent="0.3">
      <c r="A3986" t="s">
        <v>8770</v>
      </c>
      <c r="B3986" t="s">
        <v>28205</v>
      </c>
      <c r="C3986" t="s">
        <v>20486</v>
      </c>
      <c r="D3986" t="s">
        <v>22</v>
      </c>
      <c r="E3986" t="s">
        <v>8771</v>
      </c>
      <c r="F3986">
        <v>30</v>
      </c>
      <c r="G3986" t="s">
        <v>1200</v>
      </c>
      <c r="H3986" t="s">
        <v>9788</v>
      </c>
      <c r="I3986" t="s">
        <v>8772</v>
      </c>
      <c r="J3986" t="s">
        <v>8773</v>
      </c>
    </row>
    <row r="3987" spans="1:10" x14ac:dyDescent="0.3">
      <c r="A3987" t="s">
        <v>8774</v>
      </c>
      <c r="B3987" t="s">
        <v>28206</v>
      </c>
      <c r="C3987" t="s">
        <v>20486</v>
      </c>
      <c r="D3987" t="s">
        <v>11</v>
      </c>
      <c r="E3987" t="s">
        <v>8775</v>
      </c>
      <c r="F3987">
        <v>24</v>
      </c>
      <c r="G3987" t="s">
        <v>8434</v>
      </c>
      <c r="H3987" t="s">
        <v>9789</v>
      </c>
    </row>
    <row r="3988" spans="1:10" x14ac:dyDescent="0.3">
      <c r="A3988" t="s">
        <v>8776</v>
      </c>
      <c r="B3988" t="s">
        <v>28207</v>
      </c>
      <c r="C3988" t="s">
        <v>20486</v>
      </c>
      <c r="D3988" t="s">
        <v>22</v>
      </c>
      <c r="E3988" t="s">
        <v>8777</v>
      </c>
      <c r="F3988">
        <v>42</v>
      </c>
    </row>
    <row r="3989" spans="1:10" x14ac:dyDescent="0.3">
      <c r="A3989" t="s">
        <v>8778</v>
      </c>
      <c r="B3989" t="s">
        <v>28208</v>
      </c>
      <c r="C3989" t="s">
        <v>20487</v>
      </c>
      <c r="D3989" t="s">
        <v>11</v>
      </c>
      <c r="E3989" t="s">
        <v>8779</v>
      </c>
      <c r="F3989">
        <v>39</v>
      </c>
      <c r="G3989" t="s">
        <v>46</v>
      </c>
      <c r="H3989" t="s">
        <v>46</v>
      </c>
    </row>
    <row r="3990" spans="1:10" x14ac:dyDescent="0.3">
      <c r="A3990" t="s">
        <v>8780</v>
      </c>
      <c r="B3990" t="s">
        <v>28209</v>
      </c>
      <c r="C3990" t="s">
        <v>20488</v>
      </c>
      <c r="D3990" t="s">
        <v>11</v>
      </c>
      <c r="E3990" t="s">
        <v>8781</v>
      </c>
      <c r="F3990">
        <v>32</v>
      </c>
      <c r="G3990" t="s">
        <v>109</v>
      </c>
      <c r="H3990" t="s">
        <v>9788</v>
      </c>
      <c r="I3990" t="s">
        <v>3583</v>
      </c>
      <c r="J3990" t="s">
        <v>3583</v>
      </c>
    </row>
    <row r="3991" spans="1:10" x14ac:dyDescent="0.3">
      <c r="A3991" t="s">
        <v>8782</v>
      </c>
      <c r="B3991" t="s">
        <v>28210</v>
      </c>
      <c r="C3991" t="s">
        <v>20489</v>
      </c>
      <c r="D3991" t="s">
        <v>22</v>
      </c>
      <c r="E3991" t="s">
        <v>8783</v>
      </c>
      <c r="F3991">
        <v>28</v>
      </c>
      <c r="G3991" t="s">
        <v>16</v>
      </c>
      <c r="H3991" t="s">
        <v>9785</v>
      </c>
      <c r="I3991" t="s">
        <v>17</v>
      </c>
      <c r="J3991" t="s">
        <v>642</v>
      </c>
    </row>
    <row r="3992" spans="1:10" x14ac:dyDescent="0.3">
      <c r="A3992" t="s">
        <v>8784</v>
      </c>
      <c r="B3992" t="s">
        <v>28211</v>
      </c>
      <c r="C3992" t="s">
        <v>20486</v>
      </c>
      <c r="D3992" t="s">
        <v>11</v>
      </c>
      <c r="E3992" t="s">
        <v>8785</v>
      </c>
      <c r="F3992">
        <v>39</v>
      </c>
      <c r="G3992" t="s">
        <v>109</v>
      </c>
      <c r="H3992" t="s">
        <v>9788</v>
      </c>
    </row>
    <row r="3993" spans="1:10" x14ac:dyDescent="0.3">
      <c r="A3993" t="s">
        <v>8786</v>
      </c>
      <c r="B3993" t="s">
        <v>28212</v>
      </c>
      <c r="C3993" t="s">
        <v>20487</v>
      </c>
      <c r="D3993" t="s">
        <v>11</v>
      </c>
      <c r="E3993" t="s">
        <v>8787</v>
      </c>
      <c r="F3993">
        <v>32</v>
      </c>
      <c r="G3993" t="s">
        <v>109</v>
      </c>
      <c r="H3993" t="s">
        <v>9788</v>
      </c>
    </row>
    <row r="3994" spans="1:10" x14ac:dyDescent="0.3">
      <c r="A3994" t="s">
        <v>8788</v>
      </c>
      <c r="B3994" t="s">
        <v>28213</v>
      </c>
      <c r="C3994" t="s">
        <v>20487</v>
      </c>
      <c r="D3994" t="s">
        <v>11</v>
      </c>
      <c r="E3994" t="s">
        <v>12573</v>
      </c>
      <c r="F3994">
        <v>62</v>
      </c>
      <c r="G3994" t="s">
        <v>109</v>
      </c>
      <c r="H3994" t="s">
        <v>9788</v>
      </c>
    </row>
    <row r="3995" spans="1:10" x14ac:dyDescent="0.3">
      <c r="A3995" t="s">
        <v>8789</v>
      </c>
      <c r="B3995" t="s">
        <v>28214</v>
      </c>
      <c r="C3995" t="s">
        <v>20487</v>
      </c>
      <c r="D3995" t="s">
        <v>11</v>
      </c>
      <c r="E3995" t="s">
        <v>8790</v>
      </c>
      <c r="F3995">
        <v>28</v>
      </c>
      <c r="G3995" t="s">
        <v>109</v>
      </c>
      <c r="H3995" t="s">
        <v>9788</v>
      </c>
    </row>
    <row r="3996" spans="1:10" x14ac:dyDescent="0.3">
      <c r="A3996" t="s">
        <v>8791</v>
      </c>
      <c r="B3996" t="s">
        <v>28215</v>
      </c>
      <c r="C3996" t="s">
        <v>20487</v>
      </c>
      <c r="D3996" t="s">
        <v>11</v>
      </c>
      <c r="E3996" t="s">
        <v>8792</v>
      </c>
      <c r="F3996">
        <v>35</v>
      </c>
      <c r="G3996" t="s">
        <v>46</v>
      </c>
      <c r="H3996" t="s">
        <v>46</v>
      </c>
    </row>
    <row r="3997" spans="1:10" x14ac:dyDescent="0.3">
      <c r="A3997" t="s">
        <v>8793</v>
      </c>
      <c r="B3997" t="s">
        <v>28216</v>
      </c>
      <c r="C3997" t="s">
        <v>20488</v>
      </c>
      <c r="D3997" t="s">
        <v>22</v>
      </c>
      <c r="E3997" t="s">
        <v>8794</v>
      </c>
      <c r="F3997">
        <v>39</v>
      </c>
      <c r="G3997" t="s">
        <v>109</v>
      </c>
      <c r="H3997" t="s">
        <v>9788</v>
      </c>
      <c r="I3997" t="s">
        <v>101</v>
      </c>
      <c r="J3997" t="s">
        <v>8795</v>
      </c>
    </row>
    <row r="3998" spans="1:10" x14ac:dyDescent="0.3">
      <c r="A3998" t="s">
        <v>8796</v>
      </c>
      <c r="B3998" t="s">
        <v>28217</v>
      </c>
      <c r="C3998" t="s">
        <v>20487</v>
      </c>
      <c r="D3998" t="s">
        <v>11</v>
      </c>
      <c r="E3998" t="s">
        <v>8797</v>
      </c>
      <c r="F3998">
        <v>28</v>
      </c>
      <c r="G3998" t="s">
        <v>109</v>
      </c>
      <c r="H3998" t="s">
        <v>9788</v>
      </c>
      <c r="I3998" t="s">
        <v>1534</v>
      </c>
      <c r="J3998" t="s">
        <v>8798</v>
      </c>
    </row>
    <row r="3999" spans="1:10" x14ac:dyDescent="0.3">
      <c r="A3999" t="s">
        <v>8799</v>
      </c>
      <c r="B3999" t="s">
        <v>28218</v>
      </c>
      <c r="C3999" t="s">
        <v>20486</v>
      </c>
      <c r="D3999" t="s">
        <v>22</v>
      </c>
      <c r="E3999" t="s">
        <v>1834</v>
      </c>
      <c r="F3999">
        <v>65</v>
      </c>
      <c r="G3999" t="s">
        <v>31</v>
      </c>
      <c r="H3999" t="s">
        <v>31</v>
      </c>
    </row>
    <row r="4000" spans="1:10" x14ac:dyDescent="0.3">
      <c r="A4000" t="s">
        <v>8800</v>
      </c>
      <c r="B4000" t="s">
        <v>28219</v>
      </c>
      <c r="C4000" t="s">
        <v>20486</v>
      </c>
      <c r="D4000" t="s">
        <v>11</v>
      </c>
      <c r="E4000" t="s">
        <v>5222</v>
      </c>
      <c r="F4000">
        <v>38</v>
      </c>
      <c r="G4000" t="s">
        <v>109</v>
      </c>
      <c r="H4000" t="s">
        <v>9788</v>
      </c>
      <c r="I4000" t="s">
        <v>1534</v>
      </c>
      <c r="J4000" t="s">
        <v>225</v>
      </c>
    </row>
    <row r="4001" spans="1:10" x14ac:dyDescent="0.3">
      <c r="A4001" t="s">
        <v>8803</v>
      </c>
      <c r="B4001" t="s">
        <v>28220</v>
      </c>
      <c r="C4001" t="s">
        <v>20488</v>
      </c>
      <c r="D4001" t="s">
        <v>11</v>
      </c>
      <c r="E4001" t="s">
        <v>8175</v>
      </c>
      <c r="F4001">
        <v>38</v>
      </c>
      <c r="G4001" t="s">
        <v>109</v>
      </c>
      <c r="H4001" t="s">
        <v>9788</v>
      </c>
      <c r="J4001" t="s">
        <v>8804</v>
      </c>
    </row>
    <row r="4002" spans="1:10" x14ac:dyDescent="0.3">
      <c r="A4002" t="s">
        <v>8806</v>
      </c>
      <c r="B4002" t="s">
        <v>28221</v>
      </c>
      <c r="C4002" t="s">
        <v>20487</v>
      </c>
      <c r="D4002" t="s">
        <v>22</v>
      </c>
      <c r="E4002" t="s">
        <v>4309</v>
      </c>
      <c r="F4002">
        <v>47</v>
      </c>
      <c r="G4002" t="s">
        <v>243</v>
      </c>
      <c r="H4002" t="s">
        <v>243</v>
      </c>
    </row>
    <row r="4003" spans="1:10" x14ac:dyDescent="0.3">
      <c r="A4003" t="s">
        <v>8807</v>
      </c>
      <c r="B4003" t="s">
        <v>28222</v>
      </c>
      <c r="C4003" t="s">
        <v>20486</v>
      </c>
      <c r="D4003" t="s">
        <v>11</v>
      </c>
      <c r="E4003" t="s">
        <v>8808</v>
      </c>
      <c r="F4003">
        <v>56</v>
      </c>
      <c r="G4003" t="s">
        <v>109</v>
      </c>
      <c r="H4003" t="s">
        <v>9788</v>
      </c>
    </row>
    <row r="4004" spans="1:10" x14ac:dyDescent="0.3">
      <c r="A4004" t="s">
        <v>8809</v>
      </c>
      <c r="B4004" t="s">
        <v>28223</v>
      </c>
      <c r="C4004" t="s">
        <v>20486</v>
      </c>
      <c r="D4004" t="s">
        <v>11</v>
      </c>
      <c r="E4004" t="s">
        <v>8810</v>
      </c>
      <c r="F4004">
        <v>51</v>
      </c>
      <c r="G4004" t="s">
        <v>109</v>
      </c>
      <c r="H4004" t="s">
        <v>9788</v>
      </c>
      <c r="I4004" t="s">
        <v>8811</v>
      </c>
      <c r="J4004" t="s">
        <v>8812</v>
      </c>
    </row>
    <row r="4005" spans="1:10" x14ac:dyDescent="0.3">
      <c r="A4005" t="s">
        <v>8813</v>
      </c>
      <c r="B4005" t="s">
        <v>28224</v>
      </c>
      <c r="C4005" t="s">
        <v>20491</v>
      </c>
      <c r="D4005" t="s">
        <v>22</v>
      </c>
      <c r="E4005" t="s">
        <v>8814</v>
      </c>
      <c r="F4005">
        <v>40</v>
      </c>
      <c r="G4005" t="s">
        <v>46</v>
      </c>
      <c r="H4005" t="s">
        <v>46</v>
      </c>
      <c r="I4005" t="s">
        <v>8815</v>
      </c>
    </row>
    <row r="4006" spans="1:10" x14ac:dyDescent="0.3">
      <c r="A4006" t="s">
        <v>8816</v>
      </c>
      <c r="B4006" t="s">
        <v>28225</v>
      </c>
      <c r="C4006" t="s">
        <v>20490</v>
      </c>
      <c r="D4006" t="s">
        <v>22</v>
      </c>
      <c r="E4006" t="s">
        <v>8817</v>
      </c>
      <c r="F4006">
        <v>63</v>
      </c>
      <c r="G4006" t="s">
        <v>370</v>
      </c>
      <c r="H4006" t="s">
        <v>46</v>
      </c>
    </row>
    <row r="4007" spans="1:10" x14ac:dyDescent="0.3">
      <c r="A4007" t="s">
        <v>8818</v>
      </c>
      <c r="B4007" t="s">
        <v>28226</v>
      </c>
      <c r="C4007" t="s">
        <v>20488</v>
      </c>
      <c r="D4007" t="s">
        <v>11</v>
      </c>
      <c r="E4007" t="s">
        <v>8819</v>
      </c>
      <c r="F4007">
        <v>31</v>
      </c>
      <c r="G4007" t="s">
        <v>109</v>
      </c>
      <c r="H4007" t="s">
        <v>9788</v>
      </c>
      <c r="I4007" t="s">
        <v>228</v>
      </c>
      <c r="J4007" t="s">
        <v>3793</v>
      </c>
    </row>
    <row r="4008" spans="1:10" x14ac:dyDescent="0.3">
      <c r="A4008" t="s">
        <v>8820</v>
      </c>
      <c r="B4008" t="s">
        <v>28227</v>
      </c>
      <c r="C4008" t="s">
        <v>20491</v>
      </c>
      <c r="D4008" t="s">
        <v>22</v>
      </c>
      <c r="E4008" t="s">
        <v>8821</v>
      </c>
      <c r="F4008">
        <v>49</v>
      </c>
      <c r="G4008" t="s">
        <v>1439</v>
      </c>
      <c r="H4008" t="s">
        <v>46</v>
      </c>
    </row>
    <row r="4009" spans="1:10" x14ac:dyDescent="0.3">
      <c r="A4009" t="s">
        <v>8822</v>
      </c>
      <c r="B4009" t="s">
        <v>28228</v>
      </c>
      <c r="C4009" t="s">
        <v>20486</v>
      </c>
      <c r="D4009" t="s">
        <v>11</v>
      </c>
      <c r="E4009" t="s">
        <v>8823</v>
      </c>
      <c r="F4009">
        <v>78</v>
      </c>
    </row>
    <row r="4010" spans="1:10" x14ac:dyDescent="0.3">
      <c r="A4010" t="s">
        <v>8824</v>
      </c>
      <c r="B4010" t="s">
        <v>28229</v>
      </c>
      <c r="C4010" t="s">
        <v>20486</v>
      </c>
      <c r="D4010" t="s">
        <v>22</v>
      </c>
      <c r="E4010" t="s">
        <v>8825</v>
      </c>
      <c r="F4010">
        <v>53</v>
      </c>
      <c r="G4010" t="s">
        <v>109</v>
      </c>
      <c r="H4010" t="s">
        <v>9788</v>
      </c>
      <c r="I4010" t="s">
        <v>17</v>
      </c>
      <c r="J4010" t="s">
        <v>8826</v>
      </c>
    </row>
    <row r="4011" spans="1:10" x14ac:dyDescent="0.3">
      <c r="A4011" t="s">
        <v>8827</v>
      </c>
      <c r="B4011" t="s">
        <v>28230</v>
      </c>
      <c r="C4011" t="s">
        <v>20488</v>
      </c>
      <c r="D4011" t="s">
        <v>22</v>
      </c>
      <c r="E4011" t="s">
        <v>8828</v>
      </c>
      <c r="F4011">
        <v>42</v>
      </c>
      <c r="G4011" t="s">
        <v>172</v>
      </c>
      <c r="H4011" t="s">
        <v>12099</v>
      </c>
      <c r="I4011" t="s">
        <v>1074</v>
      </c>
      <c r="J4011" t="s">
        <v>8829</v>
      </c>
    </row>
    <row r="4012" spans="1:10" x14ac:dyDescent="0.3">
      <c r="A4012" t="s">
        <v>8830</v>
      </c>
      <c r="B4012" t="s">
        <v>28231</v>
      </c>
      <c r="C4012" t="s">
        <v>20488</v>
      </c>
      <c r="D4012" t="s">
        <v>22</v>
      </c>
      <c r="E4012" t="s">
        <v>8831</v>
      </c>
      <c r="F4012">
        <v>33</v>
      </c>
      <c r="G4012" t="s">
        <v>109</v>
      </c>
      <c r="H4012" t="s">
        <v>9788</v>
      </c>
      <c r="I4012" t="s">
        <v>1074</v>
      </c>
      <c r="J4012" t="s">
        <v>1125</v>
      </c>
    </row>
    <row r="4013" spans="1:10" x14ac:dyDescent="0.3">
      <c r="A4013" t="s">
        <v>8832</v>
      </c>
      <c r="B4013" t="s">
        <v>28232</v>
      </c>
      <c r="C4013" t="s">
        <v>20486</v>
      </c>
      <c r="D4013" t="s">
        <v>11</v>
      </c>
      <c r="E4013" t="s">
        <v>8833</v>
      </c>
      <c r="F4013">
        <v>29</v>
      </c>
      <c r="G4013" t="s">
        <v>16</v>
      </c>
      <c r="H4013" t="s">
        <v>9785</v>
      </c>
      <c r="J4013" t="s">
        <v>67</v>
      </c>
    </row>
    <row r="4014" spans="1:10" x14ac:dyDescent="0.3">
      <c r="A4014" t="s">
        <v>8834</v>
      </c>
      <c r="B4014" t="s">
        <v>28233</v>
      </c>
      <c r="C4014" t="s">
        <v>20486</v>
      </c>
      <c r="D4014" t="s">
        <v>22</v>
      </c>
      <c r="E4014" t="s">
        <v>8835</v>
      </c>
      <c r="F4014">
        <v>46</v>
      </c>
      <c r="G4014" t="s">
        <v>16</v>
      </c>
      <c r="H4014" t="s">
        <v>9785</v>
      </c>
      <c r="I4014" t="s">
        <v>17</v>
      </c>
      <c r="J4014" t="s">
        <v>8836</v>
      </c>
    </row>
    <row r="4015" spans="1:10" x14ac:dyDescent="0.3">
      <c r="A4015" t="s">
        <v>8837</v>
      </c>
      <c r="B4015" t="s">
        <v>28234</v>
      </c>
      <c r="C4015" t="s">
        <v>20488</v>
      </c>
      <c r="D4015" t="s">
        <v>11</v>
      </c>
      <c r="E4015" t="s">
        <v>8838</v>
      </c>
      <c r="F4015">
        <v>24</v>
      </c>
      <c r="G4015" t="s">
        <v>109</v>
      </c>
      <c r="H4015" t="s">
        <v>9788</v>
      </c>
      <c r="I4015" t="s">
        <v>228</v>
      </c>
      <c r="J4015" t="s">
        <v>3793</v>
      </c>
    </row>
    <row r="4016" spans="1:10" x14ac:dyDescent="0.3">
      <c r="A4016" t="s">
        <v>8839</v>
      </c>
      <c r="B4016" t="s">
        <v>28235</v>
      </c>
      <c r="C4016" t="s">
        <v>20486</v>
      </c>
      <c r="D4016" t="s">
        <v>22</v>
      </c>
      <c r="E4016" t="s">
        <v>8840</v>
      </c>
      <c r="F4016">
        <v>24</v>
      </c>
      <c r="G4016" t="s">
        <v>109</v>
      </c>
      <c r="H4016" t="s">
        <v>9788</v>
      </c>
      <c r="I4016" t="s">
        <v>4629</v>
      </c>
      <c r="J4016" t="s">
        <v>225</v>
      </c>
    </row>
    <row r="4017" spans="1:10" x14ac:dyDescent="0.3">
      <c r="A4017" t="s">
        <v>8841</v>
      </c>
      <c r="B4017" t="s">
        <v>28236</v>
      </c>
      <c r="C4017" t="s">
        <v>20490</v>
      </c>
      <c r="D4017" t="s">
        <v>11</v>
      </c>
      <c r="E4017" t="s">
        <v>12574</v>
      </c>
      <c r="F4017">
        <v>33</v>
      </c>
      <c r="G4017" t="s">
        <v>46</v>
      </c>
      <c r="H4017" t="s">
        <v>46</v>
      </c>
    </row>
    <row r="4018" spans="1:10" x14ac:dyDescent="0.3">
      <c r="A4018" t="s">
        <v>8842</v>
      </c>
      <c r="B4018" t="s">
        <v>28237</v>
      </c>
      <c r="C4018" t="s">
        <v>20486</v>
      </c>
      <c r="D4018" t="s">
        <v>11</v>
      </c>
      <c r="E4018" t="s">
        <v>8843</v>
      </c>
      <c r="F4018">
        <v>27</v>
      </c>
      <c r="G4018" t="s">
        <v>337</v>
      </c>
      <c r="H4018" t="s">
        <v>9785</v>
      </c>
      <c r="I4018" t="s">
        <v>441</v>
      </c>
      <c r="J4018" t="s">
        <v>14319</v>
      </c>
    </row>
    <row r="4019" spans="1:10" x14ac:dyDescent="0.3">
      <c r="A4019" t="s">
        <v>8844</v>
      </c>
      <c r="B4019" t="s">
        <v>28238</v>
      </c>
      <c r="C4019" t="s">
        <v>20486</v>
      </c>
      <c r="D4019" t="s">
        <v>11</v>
      </c>
      <c r="E4019" t="s">
        <v>8845</v>
      </c>
      <c r="F4019">
        <v>31</v>
      </c>
      <c r="G4019" t="s">
        <v>109</v>
      </c>
      <c r="H4019" t="s">
        <v>9785</v>
      </c>
      <c r="I4019" t="s">
        <v>441</v>
      </c>
      <c r="J4019" t="s">
        <v>18840</v>
      </c>
    </row>
    <row r="4020" spans="1:10" x14ac:dyDescent="0.3">
      <c r="A4020" t="s">
        <v>8846</v>
      </c>
      <c r="B4020" t="s">
        <v>28239</v>
      </c>
      <c r="C4020" t="s">
        <v>20486</v>
      </c>
      <c r="D4020" t="s">
        <v>11</v>
      </c>
      <c r="E4020" t="s">
        <v>8847</v>
      </c>
      <c r="F4020">
        <v>23</v>
      </c>
      <c r="G4020" t="s">
        <v>109</v>
      </c>
      <c r="H4020" t="s">
        <v>9788</v>
      </c>
      <c r="J4020" t="s">
        <v>1632</v>
      </c>
    </row>
    <row r="4021" spans="1:10" x14ac:dyDescent="0.3">
      <c r="A4021" t="s">
        <v>8848</v>
      </c>
      <c r="B4021" t="s">
        <v>28240</v>
      </c>
      <c r="C4021" t="s">
        <v>20486</v>
      </c>
      <c r="D4021" t="s">
        <v>22</v>
      </c>
      <c r="E4021" t="s">
        <v>8849</v>
      </c>
      <c r="F4021">
        <v>24</v>
      </c>
      <c r="G4021" t="s">
        <v>109</v>
      </c>
      <c r="H4021" t="s">
        <v>9788</v>
      </c>
      <c r="I4021" t="s">
        <v>8850</v>
      </c>
      <c r="J4021" t="s">
        <v>6622</v>
      </c>
    </row>
    <row r="4022" spans="1:10" x14ac:dyDescent="0.3">
      <c r="A4022" t="s">
        <v>8851</v>
      </c>
      <c r="B4022" t="s">
        <v>28241</v>
      </c>
      <c r="C4022" t="s">
        <v>20490</v>
      </c>
      <c r="D4022" t="s">
        <v>11</v>
      </c>
      <c r="E4022" t="s">
        <v>2828</v>
      </c>
      <c r="F4022">
        <v>47</v>
      </c>
      <c r="G4022" t="s">
        <v>370</v>
      </c>
      <c r="H4022" t="s">
        <v>46</v>
      </c>
    </row>
    <row r="4023" spans="1:10" x14ac:dyDescent="0.3">
      <c r="A4023" t="s">
        <v>8852</v>
      </c>
      <c r="B4023" t="s">
        <v>28242</v>
      </c>
      <c r="C4023" t="s">
        <v>20486</v>
      </c>
      <c r="D4023" t="s">
        <v>11</v>
      </c>
      <c r="E4023" t="s">
        <v>8853</v>
      </c>
      <c r="F4023">
        <v>69</v>
      </c>
      <c r="G4023" t="s">
        <v>13</v>
      </c>
      <c r="H4023" t="s">
        <v>13</v>
      </c>
      <c r="J4023" t="s">
        <v>14343</v>
      </c>
    </row>
    <row r="4024" spans="1:10" x14ac:dyDescent="0.3">
      <c r="A4024" t="s">
        <v>8854</v>
      </c>
      <c r="B4024" t="s">
        <v>28243</v>
      </c>
      <c r="C4024" t="s">
        <v>20488</v>
      </c>
      <c r="D4024" t="s">
        <v>11</v>
      </c>
      <c r="E4024" t="s">
        <v>3865</v>
      </c>
      <c r="F4024">
        <v>56</v>
      </c>
      <c r="G4024" t="s">
        <v>46</v>
      </c>
      <c r="H4024" t="s">
        <v>46</v>
      </c>
      <c r="I4024" t="s">
        <v>228</v>
      </c>
      <c r="J4024" t="s">
        <v>3793</v>
      </c>
    </row>
    <row r="4025" spans="1:10" x14ac:dyDescent="0.3">
      <c r="A4025" t="s">
        <v>8855</v>
      </c>
      <c r="B4025" t="s">
        <v>28244</v>
      </c>
      <c r="C4025" t="s">
        <v>20488</v>
      </c>
      <c r="D4025" t="s">
        <v>11</v>
      </c>
      <c r="E4025" t="s">
        <v>8856</v>
      </c>
      <c r="F4025">
        <v>52</v>
      </c>
      <c r="G4025" t="s">
        <v>46</v>
      </c>
      <c r="H4025" t="s">
        <v>46</v>
      </c>
    </row>
    <row r="4026" spans="1:10" x14ac:dyDescent="0.3">
      <c r="A4026" t="s">
        <v>8857</v>
      </c>
      <c r="B4026" t="s">
        <v>28245</v>
      </c>
      <c r="C4026" t="s">
        <v>20486</v>
      </c>
      <c r="D4026" t="s">
        <v>22</v>
      </c>
      <c r="E4026" t="s">
        <v>1994</v>
      </c>
      <c r="F4026">
        <v>58</v>
      </c>
      <c r="G4026" t="s">
        <v>243</v>
      </c>
      <c r="H4026" t="s">
        <v>243</v>
      </c>
      <c r="I4026" t="s">
        <v>33</v>
      </c>
    </row>
    <row r="4027" spans="1:10" x14ac:dyDescent="0.3">
      <c r="A4027" t="s">
        <v>8858</v>
      </c>
      <c r="B4027" t="s">
        <v>28246</v>
      </c>
      <c r="C4027" t="s">
        <v>20486</v>
      </c>
      <c r="D4027" t="s">
        <v>11</v>
      </c>
      <c r="E4027" t="s">
        <v>8859</v>
      </c>
      <c r="F4027">
        <v>30</v>
      </c>
      <c r="G4027" t="s">
        <v>16</v>
      </c>
      <c r="H4027" t="s">
        <v>9785</v>
      </c>
      <c r="J4027" t="s">
        <v>67</v>
      </c>
    </row>
    <row r="4028" spans="1:10" x14ac:dyDescent="0.3">
      <c r="A4028" t="s">
        <v>8860</v>
      </c>
      <c r="B4028" t="s">
        <v>28247</v>
      </c>
      <c r="C4028" t="s">
        <v>20486</v>
      </c>
      <c r="D4028" t="s">
        <v>22</v>
      </c>
      <c r="E4028" t="s">
        <v>8861</v>
      </c>
      <c r="F4028">
        <v>25</v>
      </c>
      <c r="G4028" t="s">
        <v>16</v>
      </c>
      <c r="H4028" t="s">
        <v>9785</v>
      </c>
      <c r="J4028" t="s">
        <v>67</v>
      </c>
    </row>
    <row r="4029" spans="1:10" x14ac:dyDescent="0.3">
      <c r="A4029" t="s">
        <v>8862</v>
      </c>
      <c r="B4029" t="s">
        <v>28248</v>
      </c>
      <c r="C4029" t="s">
        <v>20486</v>
      </c>
      <c r="D4029" t="s">
        <v>22</v>
      </c>
      <c r="E4029" t="s">
        <v>8863</v>
      </c>
      <c r="F4029">
        <v>27</v>
      </c>
      <c r="G4029" t="s">
        <v>16</v>
      </c>
      <c r="H4029" t="s">
        <v>9785</v>
      </c>
      <c r="J4029" t="s">
        <v>67</v>
      </c>
    </row>
    <row r="4030" spans="1:10" x14ac:dyDescent="0.3">
      <c r="A4030" t="s">
        <v>8864</v>
      </c>
      <c r="B4030" t="s">
        <v>28249</v>
      </c>
      <c r="C4030" t="s">
        <v>20486</v>
      </c>
      <c r="D4030" t="s">
        <v>22</v>
      </c>
      <c r="E4030" t="s">
        <v>8865</v>
      </c>
      <c r="F4030">
        <v>33</v>
      </c>
      <c r="G4030" t="s">
        <v>177</v>
      </c>
      <c r="H4030" t="s">
        <v>12065</v>
      </c>
      <c r="I4030" t="s">
        <v>1853</v>
      </c>
      <c r="J4030" t="s">
        <v>8866</v>
      </c>
    </row>
    <row r="4031" spans="1:10" x14ac:dyDescent="0.3">
      <c r="A4031" t="s">
        <v>8868</v>
      </c>
      <c r="B4031" t="s">
        <v>28250</v>
      </c>
      <c r="C4031" t="s">
        <v>20490</v>
      </c>
      <c r="D4031" t="s">
        <v>22</v>
      </c>
      <c r="E4031" t="s">
        <v>8869</v>
      </c>
      <c r="F4031">
        <v>53</v>
      </c>
      <c r="G4031" t="s">
        <v>370</v>
      </c>
      <c r="H4031" t="s">
        <v>46</v>
      </c>
    </row>
    <row r="4032" spans="1:10" x14ac:dyDescent="0.3">
      <c r="A4032" t="s">
        <v>8870</v>
      </c>
      <c r="B4032" t="s">
        <v>28251</v>
      </c>
      <c r="C4032" t="s">
        <v>20488</v>
      </c>
      <c r="D4032" t="s">
        <v>22</v>
      </c>
      <c r="E4032" t="s">
        <v>8871</v>
      </c>
      <c r="F4032">
        <v>49</v>
      </c>
      <c r="G4032" t="s">
        <v>31</v>
      </c>
      <c r="H4032" t="s">
        <v>31</v>
      </c>
    </row>
    <row r="4033" spans="1:10" x14ac:dyDescent="0.3">
      <c r="A4033" t="s">
        <v>8872</v>
      </c>
      <c r="B4033" t="s">
        <v>28252</v>
      </c>
      <c r="C4033" t="s">
        <v>20486</v>
      </c>
      <c r="D4033" t="s">
        <v>22</v>
      </c>
      <c r="E4033" t="s">
        <v>8873</v>
      </c>
      <c r="F4033">
        <v>33</v>
      </c>
      <c r="G4033" t="s">
        <v>109</v>
      </c>
      <c r="H4033" t="s">
        <v>9788</v>
      </c>
    </row>
    <row r="4034" spans="1:10" x14ac:dyDescent="0.3">
      <c r="A4034" t="s">
        <v>8874</v>
      </c>
      <c r="B4034" t="s">
        <v>28253</v>
      </c>
      <c r="C4034" t="s">
        <v>20486</v>
      </c>
      <c r="D4034" t="s">
        <v>22</v>
      </c>
      <c r="E4034" t="s">
        <v>8875</v>
      </c>
      <c r="F4034">
        <v>26</v>
      </c>
    </row>
    <row r="4035" spans="1:10" x14ac:dyDescent="0.3">
      <c r="A4035" t="s">
        <v>8876</v>
      </c>
      <c r="B4035" t="s">
        <v>28254</v>
      </c>
      <c r="C4035" t="s">
        <v>20486</v>
      </c>
      <c r="D4035" t="s">
        <v>11</v>
      </c>
      <c r="E4035" t="s">
        <v>8877</v>
      </c>
      <c r="F4035">
        <v>33</v>
      </c>
    </row>
    <row r="4036" spans="1:10" x14ac:dyDescent="0.3">
      <c r="A4036" t="s">
        <v>8878</v>
      </c>
      <c r="B4036" t="s">
        <v>28255</v>
      </c>
      <c r="C4036" t="s">
        <v>20487</v>
      </c>
      <c r="D4036" t="s">
        <v>22</v>
      </c>
      <c r="E4036" t="s">
        <v>8879</v>
      </c>
      <c r="F4036">
        <v>35</v>
      </c>
      <c r="G4036" t="s">
        <v>109</v>
      </c>
      <c r="H4036" t="s">
        <v>9788</v>
      </c>
      <c r="J4036" t="s">
        <v>1624</v>
      </c>
    </row>
    <row r="4037" spans="1:10" x14ac:dyDescent="0.3">
      <c r="A4037" t="s">
        <v>8882</v>
      </c>
      <c r="B4037" t="s">
        <v>28256</v>
      </c>
      <c r="C4037" t="s">
        <v>20488</v>
      </c>
      <c r="D4037" t="s">
        <v>22</v>
      </c>
      <c r="E4037" t="s">
        <v>8883</v>
      </c>
      <c r="F4037">
        <v>48</v>
      </c>
      <c r="G4037" t="s">
        <v>46</v>
      </c>
      <c r="H4037" t="s">
        <v>46</v>
      </c>
      <c r="I4037" t="s">
        <v>2748</v>
      </c>
    </row>
    <row r="4038" spans="1:10" x14ac:dyDescent="0.3">
      <c r="A4038" t="s">
        <v>8884</v>
      </c>
      <c r="B4038" t="s">
        <v>28257</v>
      </c>
      <c r="C4038" t="s">
        <v>20486</v>
      </c>
      <c r="D4038" t="s">
        <v>22</v>
      </c>
      <c r="E4038" t="s">
        <v>8885</v>
      </c>
      <c r="F4038">
        <v>46</v>
      </c>
    </row>
    <row r="4039" spans="1:10" x14ac:dyDescent="0.3">
      <c r="A4039" t="s">
        <v>12575</v>
      </c>
      <c r="B4039" t="s">
        <v>28258</v>
      </c>
      <c r="C4039" t="s">
        <v>20488</v>
      </c>
      <c r="D4039" t="s">
        <v>22</v>
      </c>
      <c r="E4039" t="s">
        <v>12576</v>
      </c>
      <c r="F4039">
        <v>35</v>
      </c>
      <c r="G4039" t="s">
        <v>31</v>
      </c>
      <c r="H4039" t="s">
        <v>31</v>
      </c>
    </row>
    <row r="4040" spans="1:10" x14ac:dyDescent="0.3">
      <c r="A4040" t="s">
        <v>8886</v>
      </c>
      <c r="B4040" t="s">
        <v>28259</v>
      </c>
      <c r="C4040" t="s">
        <v>20486</v>
      </c>
      <c r="D4040" t="s">
        <v>11</v>
      </c>
      <c r="E4040" t="s">
        <v>8887</v>
      </c>
      <c r="F4040">
        <v>38</v>
      </c>
      <c r="G4040" t="s">
        <v>16</v>
      </c>
      <c r="H4040" t="s">
        <v>9785</v>
      </c>
      <c r="I4040" t="s">
        <v>228</v>
      </c>
      <c r="J4040" t="s">
        <v>12577</v>
      </c>
    </row>
    <row r="4041" spans="1:10" x14ac:dyDescent="0.3">
      <c r="A4041" t="s">
        <v>8888</v>
      </c>
      <c r="B4041" t="s">
        <v>28260</v>
      </c>
      <c r="C4041" t="s">
        <v>20491</v>
      </c>
      <c r="D4041" t="s">
        <v>22</v>
      </c>
      <c r="E4041" t="s">
        <v>4195</v>
      </c>
      <c r="F4041">
        <v>52</v>
      </c>
      <c r="G4041" t="s">
        <v>31</v>
      </c>
      <c r="H4041" t="s">
        <v>31</v>
      </c>
    </row>
    <row r="4042" spans="1:10" x14ac:dyDescent="0.3">
      <c r="A4042" t="s">
        <v>8889</v>
      </c>
      <c r="B4042" t="s">
        <v>28261</v>
      </c>
      <c r="C4042" t="s">
        <v>20488</v>
      </c>
      <c r="D4042" t="s">
        <v>11</v>
      </c>
      <c r="E4042" t="s">
        <v>8890</v>
      </c>
      <c r="F4042">
        <v>38</v>
      </c>
      <c r="G4042" t="s">
        <v>109</v>
      </c>
      <c r="H4042" t="s">
        <v>9788</v>
      </c>
    </row>
    <row r="4043" spans="1:10" x14ac:dyDescent="0.3">
      <c r="A4043" t="s">
        <v>8891</v>
      </c>
      <c r="B4043" t="s">
        <v>28262</v>
      </c>
      <c r="C4043" t="s">
        <v>20491</v>
      </c>
      <c r="D4043" t="s">
        <v>22</v>
      </c>
      <c r="E4043" t="s">
        <v>2401</v>
      </c>
      <c r="F4043">
        <v>48</v>
      </c>
      <c r="G4043" t="s">
        <v>31</v>
      </c>
      <c r="H4043" t="s">
        <v>31</v>
      </c>
    </row>
    <row r="4044" spans="1:10" x14ac:dyDescent="0.3">
      <c r="A4044" t="s">
        <v>8892</v>
      </c>
      <c r="B4044" t="s">
        <v>28263</v>
      </c>
      <c r="C4044" t="s">
        <v>20489</v>
      </c>
      <c r="D4044" t="s">
        <v>11</v>
      </c>
      <c r="E4044" t="s">
        <v>8893</v>
      </c>
      <c r="F4044">
        <v>21</v>
      </c>
      <c r="G4044" t="s">
        <v>109</v>
      </c>
      <c r="H4044" t="s">
        <v>9788</v>
      </c>
      <c r="I4044" t="s">
        <v>2851</v>
      </c>
      <c r="J4044" t="s">
        <v>6937</v>
      </c>
    </row>
    <row r="4045" spans="1:10" x14ac:dyDescent="0.3">
      <c r="A4045" t="s">
        <v>8894</v>
      </c>
      <c r="B4045" t="s">
        <v>28264</v>
      </c>
      <c r="C4045" t="s">
        <v>20488</v>
      </c>
      <c r="D4045" t="s">
        <v>22</v>
      </c>
      <c r="E4045" t="s">
        <v>8895</v>
      </c>
      <c r="F4045">
        <v>56</v>
      </c>
      <c r="G4045" t="s">
        <v>109</v>
      </c>
      <c r="H4045" t="s">
        <v>9788</v>
      </c>
      <c r="J4045" t="s">
        <v>8896</v>
      </c>
    </row>
    <row r="4046" spans="1:10" x14ac:dyDescent="0.3">
      <c r="A4046" t="s">
        <v>8897</v>
      </c>
      <c r="B4046" t="s">
        <v>28265</v>
      </c>
      <c r="C4046" t="s">
        <v>20486</v>
      </c>
      <c r="D4046" t="s">
        <v>22</v>
      </c>
      <c r="E4046" t="s">
        <v>8898</v>
      </c>
      <c r="F4046">
        <v>54</v>
      </c>
      <c r="G4046" t="s">
        <v>31</v>
      </c>
      <c r="H4046" t="s">
        <v>46</v>
      </c>
      <c r="I4046" t="s">
        <v>201</v>
      </c>
      <c r="J4046" t="s">
        <v>18841</v>
      </c>
    </row>
    <row r="4047" spans="1:10" x14ac:dyDescent="0.3">
      <c r="A4047" t="s">
        <v>8899</v>
      </c>
      <c r="B4047" t="s">
        <v>28266</v>
      </c>
      <c r="C4047" t="s">
        <v>20490</v>
      </c>
      <c r="D4047" t="s">
        <v>22</v>
      </c>
      <c r="E4047" t="s">
        <v>6831</v>
      </c>
      <c r="F4047">
        <v>51</v>
      </c>
      <c r="G4047" t="s">
        <v>370</v>
      </c>
      <c r="H4047" t="s">
        <v>46</v>
      </c>
    </row>
    <row r="4048" spans="1:10" x14ac:dyDescent="0.3">
      <c r="A4048" t="s">
        <v>8900</v>
      </c>
      <c r="B4048" t="s">
        <v>28267</v>
      </c>
      <c r="C4048" t="s">
        <v>20486</v>
      </c>
      <c r="D4048" t="s">
        <v>11</v>
      </c>
      <c r="E4048" t="s">
        <v>8901</v>
      </c>
      <c r="F4048">
        <v>40</v>
      </c>
      <c r="G4048" t="s">
        <v>2149</v>
      </c>
      <c r="H4048" t="s">
        <v>46</v>
      </c>
      <c r="I4048" t="s">
        <v>8902</v>
      </c>
    </row>
    <row r="4049" spans="1:10" x14ac:dyDescent="0.3">
      <c r="A4049" t="s">
        <v>8903</v>
      </c>
      <c r="B4049" t="s">
        <v>28268</v>
      </c>
      <c r="C4049" t="s">
        <v>20486</v>
      </c>
      <c r="D4049" t="s">
        <v>11</v>
      </c>
      <c r="E4049" t="s">
        <v>8904</v>
      </c>
      <c r="F4049">
        <v>38</v>
      </c>
      <c r="G4049" t="s">
        <v>16</v>
      </c>
      <c r="H4049" t="s">
        <v>9785</v>
      </c>
      <c r="J4049" t="s">
        <v>8905</v>
      </c>
    </row>
    <row r="4050" spans="1:10" x14ac:dyDescent="0.3">
      <c r="A4050" t="s">
        <v>8906</v>
      </c>
      <c r="B4050" t="s">
        <v>28269</v>
      </c>
      <c r="C4050" t="s">
        <v>20488</v>
      </c>
      <c r="D4050" t="s">
        <v>11</v>
      </c>
      <c r="E4050" t="s">
        <v>684</v>
      </c>
      <c r="F4050">
        <v>56</v>
      </c>
      <c r="G4050" t="s">
        <v>540</v>
      </c>
      <c r="H4050" t="s">
        <v>12074</v>
      </c>
      <c r="I4050" t="s">
        <v>1269</v>
      </c>
    </row>
    <row r="4051" spans="1:10" x14ac:dyDescent="0.3">
      <c r="A4051" t="s">
        <v>8907</v>
      </c>
      <c r="B4051" t="s">
        <v>28270</v>
      </c>
      <c r="C4051" t="s">
        <v>20491</v>
      </c>
      <c r="D4051" t="s">
        <v>22</v>
      </c>
      <c r="E4051" t="s">
        <v>8487</v>
      </c>
      <c r="F4051">
        <v>24</v>
      </c>
      <c r="G4051" t="s">
        <v>16</v>
      </c>
      <c r="H4051" t="s">
        <v>9785</v>
      </c>
      <c r="I4051" t="s">
        <v>8908</v>
      </c>
    </row>
    <row r="4052" spans="1:10" x14ac:dyDescent="0.3">
      <c r="A4052" t="s">
        <v>8909</v>
      </c>
      <c r="B4052" t="s">
        <v>28271</v>
      </c>
      <c r="C4052" t="s">
        <v>20486</v>
      </c>
      <c r="D4052" t="s">
        <v>11</v>
      </c>
      <c r="E4052" t="s">
        <v>8910</v>
      </c>
      <c r="F4052">
        <v>64</v>
      </c>
    </row>
    <row r="4053" spans="1:10" x14ac:dyDescent="0.3">
      <c r="A4053" t="s">
        <v>8911</v>
      </c>
      <c r="B4053" t="s">
        <v>28272</v>
      </c>
      <c r="C4053" t="s">
        <v>20486</v>
      </c>
      <c r="D4053" t="s">
        <v>22</v>
      </c>
      <c r="E4053" t="s">
        <v>8912</v>
      </c>
      <c r="F4053">
        <v>35</v>
      </c>
    </row>
    <row r="4054" spans="1:10" x14ac:dyDescent="0.3">
      <c r="A4054" t="s">
        <v>8913</v>
      </c>
      <c r="B4054" t="s">
        <v>28273</v>
      </c>
      <c r="C4054" t="s">
        <v>20486</v>
      </c>
      <c r="D4054" t="s">
        <v>22</v>
      </c>
      <c r="E4054" t="s">
        <v>8914</v>
      </c>
      <c r="F4054">
        <v>29</v>
      </c>
      <c r="G4054" t="s">
        <v>109</v>
      </c>
      <c r="H4054" t="s">
        <v>9788</v>
      </c>
      <c r="I4054" t="s">
        <v>4826</v>
      </c>
    </row>
    <row r="4055" spans="1:10" x14ac:dyDescent="0.3">
      <c r="A4055" t="s">
        <v>8915</v>
      </c>
      <c r="B4055" t="s">
        <v>28274</v>
      </c>
      <c r="C4055" t="s">
        <v>20490</v>
      </c>
      <c r="D4055" t="s">
        <v>11</v>
      </c>
      <c r="E4055" t="s">
        <v>8916</v>
      </c>
      <c r="F4055">
        <v>51</v>
      </c>
      <c r="G4055" t="s">
        <v>109</v>
      </c>
      <c r="H4055" t="s">
        <v>9788</v>
      </c>
    </row>
    <row r="4056" spans="1:10" x14ac:dyDescent="0.3">
      <c r="A4056" t="s">
        <v>8917</v>
      </c>
      <c r="B4056" t="s">
        <v>28275</v>
      </c>
      <c r="C4056" t="s">
        <v>20486</v>
      </c>
      <c r="D4056" t="s">
        <v>22</v>
      </c>
      <c r="E4056" t="s">
        <v>8918</v>
      </c>
      <c r="F4056">
        <v>26</v>
      </c>
      <c r="G4056" t="s">
        <v>109</v>
      </c>
      <c r="H4056" t="s">
        <v>9788</v>
      </c>
    </row>
    <row r="4057" spans="1:10" x14ac:dyDescent="0.3">
      <c r="A4057" t="s">
        <v>12578</v>
      </c>
      <c r="B4057" t="s">
        <v>28276</v>
      </c>
      <c r="C4057" t="s">
        <v>20491</v>
      </c>
      <c r="D4057" t="s">
        <v>22</v>
      </c>
      <c r="E4057" t="s">
        <v>12579</v>
      </c>
      <c r="F4057">
        <v>50</v>
      </c>
      <c r="G4057" t="s">
        <v>31</v>
      </c>
      <c r="H4057" t="s">
        <v>31</v>
      </c>
    </row>
    <row r="4058" spans="1:10" x14ac:dyDescent="0.3">
      <c r="A4058" t="s">
        <v>8920</v>
      </c>
      <c r="B4058" t="s">
        <v>28277</v>
      </c>
      <c r="C4058" t="s">
        <v>20486</v>
      </c>
      <c r="D4058" t="s">
        <v>22</v>
      </c>
      <c r="E4058" t="s">
        <v>3033</v>
      </c>
      <c r="F4058">
        <v>43</v>
      </c>
      <c r="G4058" t="s">
        <v>31</v>
      </c>
      <c r="H4058" t="s">
        <v>31</v>
      </c>
    </row>
    <row r="4059" spans="1:10" x14ac:dyDescent="0.3">
      <c r="A4059" t="s">
        <v>8921</v>
      </c>
      <c r="B4059" t="s">
        <v>28278</v>
      </c>
      <c r="C4059" t="s">
        <v>20488</v>
      </c>
      <c r="D4059" t="s">
        <v>22</v>
      </c>
      <c r="E4059" t="s">
        <v>8922</v>
      </c>
      <c r="F4059">
        <v>62</v>
      </c>
      <c r="G4059" t="s">
        <v>13</v>
      </c>
      <c r="H4059" t="s">
        <v>13</v>
      </c>
    </row>
    <row r="4060" spans="1:10" x14ac:dyDescent="0.3">
      <c r="A4060" t="s">
        <v>8923</v>
      </c>
      <c r="B4060" t="s">
        <v>28279</v>
      </c>
      <c r="C4060" t="s">
        <v>20490</v>
      </c>
      <c r="D4060" t="s">
        <v>22</v>
      </c>
      <c r="E4060" t="s">
        <v>8924</v>
      </c>
      <c r="F4060">
        <v>53</v>
      </c>
      <c r="G4060" t="s">
        <v>133</v>
      </c>
      <c r="H4060" t="s">
        <v>9789</v>
      </c>
    </row>
    <row r="4061" spans="1:10" x14ac:dyDescent="0.3">
      <c r="A4061" t="s">
        <v>8925</v>
      </c>
      <c r="B4061" t="s">
        <v>28280</v>
      </c>
      <c r="C4061" t="s">
        <v>20488</v>
      </c>
      <c r="D4061" t="s">
        <v>22</v>
      </c>
      <c r="E4061" t="s">
        <v>8926</v>
      </c>
      <c r="F4061">
        <v>41</v>
      </c>
      <c r="G4061" t="s">
        <v>46</v>
      </c>
      <c r="H4061" t="s">
        <v>46</v>
      </c>
      <c r="I4061" t="s">
        <v>8927</v>
      </c>
    </row>
    <row r="4062" spans="1:10" x14ac:dyDescent="0.3">
      <c r="A4062" t="s">
        <v>8928</v>
      </c>
      <c r="B4062" t="s">
        <v>28281</v>
      </c>
      <c r="C4062" t="s">
        <v>20488</v>
      </c>
      <c r="D4062" t="s">
        <v>22</v>
      </c>
      <c r="E4062" t="s">
        <v>8929</v>
      </c>
      <c r="F4062">
        <v>63</v>
      </c>
      <c r="G4062" t="s">
        <v>46</v>
      </c>
      <c r="H4062" t="s">
        <v>46</v>
      </c>
      <c r="I4062" t="s">
        <v>8927</v>
      </c>
    </row>
    <row r="4063" spans="1:10" x14ac:dyDescent="0.3">
      <c r="A4063" t="s">
        <v>8930</v>
      </c>
      <c r="B4063" t="s">
        <v>28282</v>
      </c>
      <c r="C4063" t="s">
        <v>20490</v>
      </c>
      <c r="D4063" t="s">
        <v>22</v>
      </c>
      <c r="E4063" t="s">
        <v>8931</v>
      </c>
      <c r="F4063">
        <v>37</v>
      </c>
      <c r="G4063" t="s">
        <v>370</v>
      </c>
      <c r="H4063" t="s">
        <v>46</v>
      </c>
    </row>
    <row r="4064" spans="1:10" x14ac:dyDescent="0.3">
      <c r="A4064" t="s">
        <v>8932</v>
      </c>
      <c r="B4064" t="s">
        <v>28283</v>
      </c>
      <c r="C4064" t="s">
        <v>20491</v>
      </c>
      <c r="D4064" t="s">
        <v>11</v>
      </c>
      <c r="E4064" t="s">
        <v>8933</v>
      </c>
      <c r="F4064">
        <v>31</v>
      </c>
      <c r="G4064" t="s">
        <v>109</v>
      </c>
      <c r="H4064" t="s">
        <v>9788</v>
      </c>
    </row>
    <row r="4065" spans="1:10" x14ac:dyDescent="0.3">
      <c r="A4065" t="s">
        <v>8934</v>
      </c>
      <c r="B4065" t="s">
        <v>28284</v>
      </c>
      <c r="C4065" t="s">
        <v>20487</v>
      </c>
      <c r="D4065" t="s">
        <v>22</v>
      </c>
      <c r="E4065" t="s">
        <v>8935</v>
      </c>
      <c r="F4065">
        <v>30</v>
      </c>
      <c r="G4065" t="s">
        <v>31</v>
      </c>
      <c r="H4065" t="s">
        <v>31</v>
      </c>
    </row>
    <row r="4066" spans="1:10" x14ac:dyDescent="0.3">
      <c r="A4066" t="s">
        <v>8936</v>
      </c>
      <c r="B4066" t="s">
        <v>28285</v>
      </c>
      <c r="C4066" t="s">
        <v>20488</v>
      </c>
      <c r="D4066" t="s">
        <v>11</v>
      </c>
      <c r="E4066" t="s">
        <v>8937</v>
      </c>
      <c r="F4066">
        <v>28</v>
      </c>
      <c r="G4066" t="s">
        <v>46</v>
      </c>
      <c r="H4066" t="s">
        <v>46</v>
      </c>
      <c r="I4066" t="s">
        <v>8938</v>
      </c>
    </row>
    <row r="4067" spans="1:10" x14ac:dyDescent="0.3">
      <c r="A4067" t="s">
        <v>8939</v>
      </c>
      <c r="B4067" t="s">
        <v>28286</v>
      </c>
      <c r="C4067" t="s">
        <v>20486</v>
      </c>
      <c r="D4067" t="s">
        <v>11</v>
      </c>
      <c r="E4067" t="s">
        <v>8940</v>
      </c>
      <c r="F4067">
        <v>22</v>
      </c>
    </row>
    <row r="4068" spans="1:10" x14ac:dyDescent="0.3">
      <c r="A4068" t="s">
        <v>8941</v>
      </c>
      <c r="B4068" t="s">
        <v>28287</v>
      </c>
      <c r="C4068" t="s">
        <v>20486</v>
      </c>
      <c r="D4068" t="s">
        <v>11</v>
      </c>
      <c r="E4068" t="s">
        <v>8942</v>
      </c>
      <c r="F4068">
        <v>77</v>
      </c>
      <c r="G4068" t="s">
        <v>13</v>
      </c>
      <c r="H4068" t="s">
        <v>13</v>
      </c>
      <c r="I4068" t="s">
        <v>17</v>
      </c>
      <c r="J4068" t="s">
        <v>18</v>
      </c>
    </row>
    <row r="4069" spans="1:10" x14ac:dyDescent="0.3">
      <c r="A4069" t="s">
        <v>8943</v>
      </c>
      <c r="B4069" t="s">
        <v>28288</v>
      </c>
      <c r="C4069" t="s">
        <v>20487</v>
      </c>
      <c r="D4069" t="s">
        <v>11</v>
      </c>
      <c r="E4069" t="s">
        <v>8944</v>
      </c>
      <c r="F4069">
        <v>35</v>
      </c>
      <c r="G4069" t="s">
        <v>133</v>
      </c>
      <c r="H4069" t="s">
        <v>9789</v>
      </c>
    </row>
    <row r="4070" spans="1:10" x14ac:dyDescent="0.3">
      <c r="A4070" t="s">
        <v>8945</v>
      </c>
      <c r="B4070" t="s">
        <v>28289</v>
      </c>
      <c r="C4070" t="s">
        <v>20486</v>
      </c>
      <c r="D4070" t="s">
        <v>11</v>
      </c>
      <c r="E4070" t="s">
        <v>7283</v>
      </c>
      <c r="F4070">
        <v>43</v>
      </c>
      <c r="G4070" t="s">
        <v>243</v>
      </c>
      <c r="H4070" t="s">
        <v>46</v>
      </c>
      <c r="I4070" t="s">
        <v>201</v>
      </c>
      <c r="J4070" t="s">
        <v>12580</v>
      </c>
    </row>
    <row r="4071" spans="1:10" x14ac:dyDescent="0.3">
      <c r="A4071" t="s">
        <v>8946</v>
      </c>
      <c r="B4071" t="s">
        <v>28290</v>
      </c>
      <c r="C4071" t="s">
        <v>20486</v>
      </c>
      <c r="D4071" t="s">
        <v>11</v>
      </c>
      <c r="E4071" t="s">
        <v>5471</v>
      </c>
      <c r="F4071">
        <v>36</v>
      </c>
    </row>
    <row r="4072" spans="1:10" x14ac:dyDescent="0.3">
      <c r="A4072" t="s">
        <v>8947</v>
      </c>
      <c r="B4072" t="s">
        <v>28291</v>
      </c>
      <c r="C4072" t="s">
        <v>20487</v>
      </c>
      <c r="D4072" t="s">
        <v>22</v>
      </c>
      <c r="E4072" t="s">
        <v>1275</v>
      </c>
      <c r="F4072">
        <v>65</v>
      </c>
      <c r="G4072" t="s">
        <v>46</v>
      </c>
      <c r="H4072" t="s">
        <v>46</v>
      </c>
      <c r="I4072" t="s">
        <v>676</v>
      </c>
    </row>
    <row r="4073" spans="1:10" x14ac:dyDescent="0.3">
      <c r="A4073" t="s">
        <v>8948</v>
      </c>
      <c r="B4073" t="s">
        <v>28292</v>
      </c>
      <c r="C4073" t="s">
        <v>20486</v>
      </c>
      <c r="D4073" t="s">
        <v>22</v>
      </c>
      <c r="E4073" t="s">
        <v>2205</v>
      </c>
      <c r="F4073">
        <v>47</v>
      </c>
    </row>
    <row r="4074" spans="1:10" x14ac:dyDescent="0.3">
      <c r="A4074" t="s">
        <v>8949</v>
      </c>
      <c r="B4074" t="s">
        <v>28293</v>
      </c>
      <c r="C4074" t="s">
        <v>20486</v>
      </c>
      <c r="D4074" t="s">
        <v>22</v>
      </c>
      <c r="E4074" t="s">
        <v>8950</v>
      </c>
      <c r="F4074">
        <v>54</v>
      </c>
      <c r="G4074" t="s">
        <v>955</v>
      </c>
      <c r="H4074" t="s">
        <v>9788</v>
      </c>
      <c r="I4074" t="s">
        <v>222</v>
      </c>
      <c r="J4074" t="s">
        <v>8951</v>
      </c>
    </row>
    <row r="4075" spans="1:10" x14ac:dyDescent="0.3">
      <c r="A4075" t="s">
        <v>8952</v>
      </c>
      <c r="B4075" t="s">
        <v>28294</v>
      </c>
      <c r="C4075" t="s">
        <v>20490</v>
      </c>
      <c r="D4075" t="s">
        <v>11</v>
      </c>
      <c r="E4075" t="s">
        <v>8953</v>
      </c>
      <c r="F4075">
        <v>40</v>
      </c>
      <c r="G4075" t="s">
        <v>370</v>
      </c>
      <c r="H4075" t="s">
        <v>46</v>
      </c>
      <c r="I4075" t="s">
        <v>6700</v>
      </c>
    </row>
    <row r="4076" spans="1:10" x14ac:dyDescent="0.3">
      <c r="A4076" t="s">
        <v>8954</v>
      </c>
      <c r="B4076" t="s">
        <v>28295</v>
      </c>
      <c r="C4076" t="s">
        <v>20487</v>
      </c>
      <c r="D4076" t="s">
        <v>22</v>
      </c>
      <c r="E4076" t="s">
        <v>8955</v>
      </c>
      <c r="F4076">
        <v>34</v>
      </c>
      <c r="G4076" t="s">
        <v>109</v>
      </c>
      <c r="H4076" t="s">
        <v>9788</v>
      </c>
      <c r="J4076" t="s">
        <v>1029</v>
      </c>
    </row>
    <row r="4077" spans="1:10" x14ac:dyDescent="0.3">
      <c r="A4077" t="s">
        <v>8956</v>
      </c>
      <c r="B4077" t="s">
        <v>28296</v>
      </c>
      <c r="C4077" t="s">
        <v>20486</v>
      </c>
      <c r="D4077" t="s">
        <v>11</v>
      </c>
      <c r="E4077" t="s">
        <v>8957</v>
      </c>
      <c r="F4077">
        <v>26</v>
      </c>
      <c r="G4077" t="s">
        <v>46</v>
      </c>
      <c r="H4077" t="s">
        <v>46</v>
      </c>
    </row>
    <row r="4078" spans="1:10" x14ac:dyDescent="0.3">
      <c r="A4078" t="s">
        <v>8958</v>
      </c>
      <c r="B4078" t="s">
        <v>28297</v>
      </c>
      <c r="C4078" t="s">
        <v>20486</v>
      </c>
      <c r="D4078" t="s">
        <v>11</v>
      </c>
      <c r="E4078" t="s">
        <v>14344</v>
      </c>
      <c r="F4078">
        <v>30</v>
      </c>
      <c r="G4078" t="s">
        <v>109</v>
      </c>
      <c r="H4078" t="s">
        <v>9788</v>
      </c>
      <c r="J4078" t="s">
        <v>8959</v>
      </c>
    </row>
    <row r="4079" spans="1:10" x14ac:dyDescent="0.3">
      <c r="A4079" t="s">
        <v>8960</v>
      </c>
      <c r="B4079" t="s">
        <v>28298</v>
      </c>
      <c r="C4079" t="s">
        <v>20488</v>
      </c>
      <c r="D4079" t="s">
        <v>22</v>
      </c>
      <c r="E4079" t="s">
        <v>1409</v>
      </c>
      <c r="F4079">
        <v>53</v>
      </c>
      <c r="G4079" t="s">
        <v>46</v>
      </c>
      <c r="H4079" t="s">
        <v>46</v>
      </c>
      <c r="I4079" t="s">
        <v>1412</v>
      </c>
      <c r="J4079" t="s">
        <v>8961</v>
      </c>
    </row>
    <row r="4080" spans="1:10" x14ac:dyDescent="0.3">
      <c r="A4080" t="s">
        <v>8962</v>
      </c>
      <c r="B4080" t="s">
        <v>28299</v>
      </c>
      <c r="C4080" t="s">
        <v>20486</v>
      </c>
      <c r="D4080" t="s">
        <v>11</v>
      </c>
      <c r="E4080" t="s">
        <v>8963</v>
      </c>
      <c r="F4080">
        <v>29</v>
      </c>
      <c r="H4080" t="s">
        <v>46</v>
      </c>
      <c r="I4080" t="s">
        <v>7020</v>
      </c>
    </row>
    <row r="4081" spans="1:10" x14ac:dyDescent="0.3">
      <c r="A4081" t="s">
        <v>8964</v>
      </c>
      <c r="B4081" t="s">
        <v>28300</v>
      </c>
      <c r="C4081" t="s">
        <v>20486</v>
      </c>
      <c r="D4081" t="s">
        <v>11</v>
      </c>
      <c r="E4081" t="s">
        <v>8965</v>
      </c>
      <c r="F4081">
        <v>28</v>
      </c>
    </row>
    <row r="4082" spans="1:10" x14ac:dyDescent="0.3">
      <c r="A4082" t="s">
        <v>8966</v>
      </c>
      <c r="B4082" t="s">
        <v>28301</v>
      </c>
      <c r="C4082" t="s">
        <v>20486</v>
      </c>
      <c r="D4082" t="s">
        <v>11</v>
      </c>
      <c r="E4082" t="s">
        <v>8351</v>
      </c>
      <c r="F4082">
        <v>45</v>
      </c>
      <c r="G4082" t="s">
        <v>133</v>
      </c>
      <c r="H4082" t="s">
        <v>9789</v>
      </c>
      <c r="I4082" t="s">
        <v>1527</v>
      </c>
    </row>
    <row r="4083" spans="1:10" x14ac:dyDescent="0.3">
      <c r="A4083" t="s">
        <v>8967</v>
      </c>
      <c r="B4083" t="s">
        <v>28302</v>
      </c>
      <c r="C4083" t="s">
        <v>20486</v>
      </c>
      <c r="D4083" t="s">
        <v>11</v>
      </c>
      <c r="E4083" t="s">
        <v>8968</v>
      </c>
      <c r="F4083">
        <v>32</v>
      </c>
      <c r="G4083" t="s">
        <v>109</v>
      </c>
      <c r="H4083" t="s">
        <v>9788</v>
      </c>
      <c r="I4083" t="s">
        <v>1968</v>
      </c>
      <c r="J4083" t="s">
        <v>8969</v>
      </c>
    </row>
    <row r="4084" spans="1:10" x14ac:dyDescent="0.3">
      <c r="A4084" t="s">
        <v>8970</v>
      </c>
      <c r="B4084" t="s">
        <v>28303</v>
      </c>
      <c r="C4084" t="s">
        <v>20486</v>
      </c>
      <c r="D4084" t="s">
        <v>22</v>
      </c>
      <c r="E4084" t="s">
        <v>8971</v>
      </c>
      <c r="F4084">
        <v>46</v>
      </c>
      <c r="G4084" t="s">
        <v>31</v>
      </c>
      <c r="H4084" t="s">
        <v>31</v>
      </c>
    </row>
    <row r="4085" spans="1:10" x14ac:dyDescent="0.3">
      <c r="A4085" t="s">
        <v>8972</v>
      </c>
      <c r="B4085" t="s">
        <v>28304</v>
      </c>
      <c r="C4085" t="s">
        <v>20486</v>
      </c>
      <c r="D4085" t="s">
        <v>11</v>
      </c>
      <c r="E4085" t="s">
        <v>8973</v>
      </c>
      <c r="F4085">
        <v>25</v>
      </c>
      <c r="G4085" t="s">
        <v>4685</v>
      </c>
      <c r="H4085" t="s">
        <v>12099</v>
      </c>
    </row>
    <row r="4086" spans="1:10" x14ac:dyDescent="0.3">
      <c r="A4086" t="s">
        <v>8974</v>
      </c>
      <c r="B4086" t="s">
        <v>28305</v>
      </c>
      <c r="C4086" t="s">
        <v>20486</v>
      </c>
      <c r="D4086" t="s">
        <v>11</v>
      </c>
      <c r="E4086" t="s">
        <v>8975</v>
      </c>
      <c r="F4086">
        <v>62</v>
      </c>
      <c r="G4086" t="s">
        <v>1200</v>
      </c>
      <c r="H4086" t="s">
        <v>9789</v>
      </c>
      <c r="J4086" t="s">
        <v>8976</v>
      </c>
    </row>
    <row r="4087" spans="1:10" x14ac:dyDescent="0.3">
      <c r="A4087" t="s">
        <v>8977</v>
      </c>
      <c r="B4087" t="s">
        <v>28306</v>
      </c>
      <c r="C4087" t="s">
        <v>20490</v>
      </c>
      <c r="D4087" t="s">
        <v>22</v>
      </c>
      <c r="E4087" t="s">
        <v>8978</v>
      </c>
      <c r="F4087">
        <v>28</v>
      </c>
      <c r="G4087" t="s">
        <v>109</v>
      </c>
      <c r="H4087" t="s">
        <v>9788</v>
      </c>
    </row>
    <row r="4088" spans="1:10" x14ac:dyDescent="0.3">
      <c r="A4088" t="s">
        <v>8979</v>
      </c>
      <c r="B4088" t="s">
        <v>28307</v>
      </c>
      <c r="C4088" t="s">
        <v>20486</v>
      </c>
      <c r="D4088" t="s">
        <v>22</v>
      </c>
      <c r="E4088" t="s">
        <v>8980</v>
      </c>
      <c r="F4088">
        <v>58</v>
      </c>
      <c r="G4088" t="s">
        <v>243</v>
      </c>
      <c r="H4088" t="s">
        <v>243</v>
      </c>
      <c r="I4088" t="s">
        <v>8981</v>
      </c>
    </row>
    <row r="4089" spans="1:10" x14ac:dyDescent="0.3">
      <c r="A4089" t="s">
        <v>8982</v>
      </c>
      <c r="B4089" t="s">
        <v>28308</v>
      </c>
      <c r="C4089" t="s">
        <v>20486</v>
      </c>
      <c r="D4089" t="s">
        <v>22</v>
      </c>
      <c r="E4089" t="s">
        <v>495</v>
      </c>
      <c r="F4089">
        <v>45</v>
      </c>
      <c r="G4089" t="s">
        <v>31</v>
      </c>
      <c r="H4089" t="s">
        <v>46</v>
      </c>
      <c r="I4089" t="s">
        <v>201</v>
      </c>
      <c r="J4089" t="s">
        <v>6415</v>
      </c>
    </row>
    <row r="4090" spans="1:10" x14ac:dyDescent="0.3">
      <c r="A4090" t="s">
        <v>8983</v>
      </c>
      <c r="B4090" t="s">
        <v>28309</v>
      </c>
      <c r="C4090" t="s">
        <v>20486</v>
      </c>
      <c r="D4090" t="s">
        <v>11</v>
      </c>
      <c r="E4090" t="s">
        <v>8984</v>
      </c>
      <c r="F4090">
        <v>54</v>
      </c>
      <c r="G4090" t="s">
        <v>172</v>
      </c>
      <c r="H4090" t="s">
        <v>12099</v>
      </c>
      <c r="I4090" t="s">
        <v>17</v>
      </c>
      <c r="J4090" t="s">
        <v>8985</v>
      </c>
    </row>
    <row r="4091" spans="1:10" x14ac:dyDescent="0.3">
      <c r="A4091" t="s">
        <v>8986</v>
      </c>
      <c r="B4091" t="s">
        <v>28310</v>
      </c>
      <c r="C4091" t="s">
        <v>20486</v>
      </c>
      <c r="D4091" t="s">
        <v>11</v>
      </c>
      <c r="E4091" t="s">
        <v>8987</v>
      </c>
      <c r="F4091">
        <v>27</v>
      </c>
      <c r="G4091" t="s">
        <v>109</v>
      </c>
      <c r="H4091" t="s">
        <v>9788</v>
      </c>
      <c r="J4091" t="s">
        <v>8988</v>
      </c>
    </row>
    <row r="4092" spans="1:10" x14ac:dyDescent="0.3">
      <c r="A4092" t="s">
        <v>8989</v>
      </c>
      <c r="B4092" t="s">
        <v>28311</v>
      </c>
      <c r="C4092" t="s">
        <v>20486</v>
      </c>
      <c r="D4092" t="s">
        <v>11</v>
      </c>
      <c r="E4092" t="s">
        <v>862</v>
      </c>
      <c r="F4092">
        <v>54</v>
      </c>
      <c r="G4092" t="s">
        <v>172</v>
      </c>
      <c r="H4092" t="s">
        <v>12099</v>
      </c>
      <c r="J4092" t="s">
        <v>8990</v>
      </c>
    </row>
    <row r="4093" spans="1:10" x14ac:dyDescent="0.3">
      <c r="A4093" t="s">
        <v>8991</v>
      </c>
      <c r="B4093" t="s">
        <v>28312</v>
      </c>
      <c r="C4093" t="s">
        <v>20491</v>
      </c>
      <c r="D4093" t="s">
        <v>11</v>
      </c>
      <c r="E4093" t="s">
        <v>12581</v>
      </c>
      <c r="F4093">
        <v>60</v>
      </c>
      <c r="G4093" t="s">
        <v>13</v>
      </c>
      <c r="H4093" t="s">
        <v>13</v>
      </c>
      <c r="I4093" t="s">
        <v>12582</v>
      </c>
    </row>
    <row r="4094" spans="1:10" x14ac:dyDescent="0.3">
      <c r="A4094" t="s">
        <v>8992</v>
      </c>
      <c r="B4094" t="s">
        <v>28313</v>
      </c>
      <c r="C4094" t="s">
        <v>20486</v>
      </c>
      <c r="D4094" t="s">
        <v>11</v>
      </c>
      <c r="E4094" t="s">
        <v>8993</v>
      </c>
      <c r="F4094">
        <v>62</v>
      </c>
      <c r="G4094" t="s">
        <v>13</v>
      </c>
      <c r="H4094" t="s">
        <v>13</v>
      </c>
      <c r="I4094" t="s">
        <v>173</v>
      </c>
      <c r="J4094" t="s">
        <v>8994</v>
      </c>
    </row>
    <row r="4095" spans="1:10" x14ac:dyDescent="0.3">
      <c r="A4095" t="s">
        <v>8995</v>
      </c>
      <c r="B4095" t="s">
        <v>28314</v>
      </c>
      <c r="C4095" t="s">
        <v>20486</v>
      </c>
      <c r="D4095" t="s">
        <v>11</v>
      </c>
      <c r="E4095" t="s">
        <v>8996</v>
      </c>
      <c r="F4095">
        <v>38</v>
      </c>
      <c r="G4095" t="s">
        <v>109</v>
      </c>
      <c r="H4095" t="s">
        <v>9788</v>
      </c>
      <c r="I4095" t="s">
        <v>8997</v>
      </c>
      <c r="J4095" t="s">
        <v>8998</v>
      </c>
    </row>
    <row r="4096" spans="1:10" x14ac:dyDescent="0.3">
      <c r="A4096" t="s">
        <v>12583</v>
      </c>
      <c r="B4096" t="s">
        <v>28315</v>
      </c>
      <c r="C4096" t="s">
        <v>20487</v>
      </c>
      <c r="D4096" t="s">
        <v>22</v>
      </c>
      <c r="E4096" t="s">
        <v>2822</v>
      </c>
      <c r="F4096">
        <v>39</v>
      </c>
      <c r="G4096" t="s">
        <v>955</v>
      </c>
      <c r="H4096" t="s">
        <v>9788</v>
      </c>
      <c r="I4096" t="s">
        <v>12127</v>
      </c>
    </row>
    <row r="4097" spans="1:10" x14ac:dyDescent="0.3">
      <c r="A4097" t="s">
        <v>8999</v>
      </c>
      <c r="B4097" t="s">
        <v>28316</v>
      </c>
      <c r="C4097" t="s">
        <v>20486</v>
      </c>
      <c r="D4097" t="s">
        <v>11</v>
      </c>
      <c r="E4097" t="s">
        <v>9000</v>
      </c>
      <c r="F4097">
        <v>28</v>
      </c>
      <c r="G4097" t="s">
        <v>46</v>
      </c>
      <c r="H4097" t="s">
        <v>9788</v>
      </c>
      <c r="I4097" t="s">
        <v>1047</v>
      </c>
      <c r="J4097" t="s">
        <v>12584</v>
      </c>
    </row>
    <row r="4098" spans="1:10" x14ac:dyDescent="0.3">
      <c r="A4098" t="s">
        <v>9001</v>
      </c>
      <c r="B4098" t="s">
        <v>28317</v>
      </c>
      <c r="C4098" t="s">
        <v>20489</v>
      </c>
      <c r="D4098" t="s">
        <v>22</v>
      </c>
      <c r="E4098" t="s">
        <v>9002</v>
      </c>
      <c r="F4098">
        <v>41</v>
      </c>
      <c r="G4098" t="s">
        <v>109</v>
      </c>
      <c r="H4098" t="s">
        <v>9788</v>
      </c>
      <c r="I4098" t="s">
        <v>12585</v>
      </c>
      <c r="J4098" t="s">
        <v>12586</v>
      </c>
    </row>
    <row r="4099" spans="1:10" x14ac:dyDescent="0.3">
      <c r="A4099" t="s">
        <v>9003</v>
      </c>
      <c r="B4099" t="s">
        <v>28318</v>
      </c>
      <c r="C4099" t="s">
        <v>20486</v>
      </c>
      <c r="D4099" t="s">
        <v>11</v>
      </c>
      <c r="E4099" t="s">
        <v>9004</v>
      </c>
      <c r="F4099">
        <v>29</v>
      </c>
      <c r="G4099" t="s">
        <v>172</v>
      </c>
      <c r="H4099" t="s">
        <v>12099</v>
      </c>
      <c r="I4099" t="s">
        <v>9005</v>
      </c>
      <c r="J4099" t="s">
        <v>9006</v>
      </c>
    </row>
    <row r="4100" spans="1:10" x14ac:dyDescent="0.3">
      <c r="A4100" t="s">
        <v>9007</v>
      </c>
      <c r="B4100" t="s">
        <v>28319</v>
      </c>
      <c r="C4100" t="s">
        <v>20486</v>
      </c>
      <c r="D4100" t="s">
        <v>11</v>
      </c>
      <c r="E4100" t="s">
        <v>9008</v>
      </c>
      <c r="F4100">
        <v>39</v>
      </c>
      <c r="G4100" t="s">
        <v>1992</v>
      </c>
      <c r="H4100" t="s">
        <v>9791</v>
      </c>
      <c r="J4100" t="s">
        <v>2629</v>
      </c>
    </row>
    <row r="4101" spans="1:10" x14ac:dyDescent="0.3">
      <c r="A4101" t="s">
        <v>9009</v>
      </c>
      <c r="B4101" t="s">
        <v>28320</v>
      </c>
      <c r="C4101" t="s">
        <v>20486</v>
      </c>
      <c r="D4101" t="s">
        <v>22</v>
      </c>
      <c r="E4101" t="s">
        <v>9010</v>
      </c>
      <c r="F4101">
        <v>23</v>
      </c>
      <c r="G4101" t="s">
        <v>337</v>
      </c>
      <c r="H4101" t="s">
        <v>337</v>
      </c>
      <c r="J4101" t="s">
        <v>9011</v>
      </c>
    </row>
    <row r="4102" spans="1:10" x14ac:dyDescent="0.3">
      <c r="A4102" t="s">
        <v>9012</v>
      </c>
      <c r="B4102" t="s">
        <v>28321</v>
      </c>
      <c r="C4102" t="s">
        <v>20489</v>
      </c>
      <c r="D4102" t="s">
        <v>11</v>
      </c>
      <c r="E4102" t="s">
        <v>9013</v>
      </c>
      <c r="F4102">
        <v>23</v>
      </c>
      <c r="G4102" t="s">
        <v>109</v>
      </c>
      <c r="H4102" t="s">
        <v>9788</v>
      </c>
      <c r="I4102" t="s">
        <v>660</v>
      </c>
      <c r="J4102" t="s">
        <v>642</v>
      </c>
    </row>
    <row r="4103" spans="1:10" x14ac:dyDescent="0.3">
      <c r="A4103" t="s">
        <v>9014</v>
      </c>
      <c r="B4103" t="s">
        <v>28322</v>
      </c>
      <c r="C4103" t="s">
        <v>20486</v>
      </c>
      <c r="D4103" t="s">
        <v>22</v>
      </c>
      <c r="E4103" t="s">
        <v>9015</v>
      </c>
      <c r="F4103">
        <v>33</v>
      </c>
      <c r="G4103" t="s">
        <v>177</v>
      </c>
      <c r="H4103" t="s">
        <v>12065</v>
      </c>
      <c r="I4103" t="s">
        <v>9016</v>
      </c>
      <c r="J4103" t="s">
        <v>9017</v>
      </c>
    </row>
    <row r="4104" spans="1:10" x14ac:dyDescent="0.3">
      <c r="A4104" t="s">
        <v>9018</v>
      </c>
      <c r="B4104" t="s">
        <v>28323</v>
      </c>
      <c r="C4104" t="s">
        <v>20488</v>
      </c>
      <c r="D4104" t="s">
        <v>22</v>
      </c>
      <c r="E4104" t="s">
        <v>9019</v>
      </c>
      <c r="F4104">
        <v>45</v>
      </c>
      <c r="G4104" t="s">
        <v>370</v>
      </c>
      <c r="H4104" t="s">
        <v>46</v>
      </c>
      <c r="I4104" t="s">
        <v>9020</v>
      </c>
    </row>
    <row r="4105" spans="1:10" x14ac:dyDescent="0.3">
      <c r="A4105" t="s">
        <v>9021</v>
      </c>
      <c r="B4105" t="s">
        <v>28324</v>
      </c>
      <c r="C4105" t="s">
        <v>20490</v>
      </c>
      <c r="D4105" t="s">
        <v>11</v>
      </c>
      <c r="E4105" t="s">
        <v>4697</v>
      </c>
      <c r="F4105">
        <v>38</v>
      </c>
      <c r="G4105" t="s">
        <v>109</v>
      </c>
      <c r="H4105" t="s">
        <v>9788</v>
      </c>
    </row>
    <row r="4106" spans="1:10" x14ac:dyDescent="0.3">
      <c r="A4106" t="s">
        <v>9022</v>
      </c>
      <c r="B4106" t="s">
        <v>28325</v>
      </c>
      <c r="C4106" t="s">
        <v>20486</v>
      </c>
      <c r="D4106" t="s">
        <v>22</v>
      </c>
      <c r="E4106" t="s">
        <v>12587</v>
      </c>
      <c r="F4106">
        <v>58</v>
      </c>
      <c r="G4106" t="s">
        <v>109</v>
      </c>
      <c r="H4106" t="s">
        <v>9788</v>
      </c>
      <c r="I4106" t="s">
        <v>9023</v>
      </c>
      <c r="J4106" t="s">
        <v>9024</v>
      </c>
    </row>
    <row r="4107" spans="1:10" x14ac:dyDescent="0.3">
      <c r="A4107" t="s">
        <v>9025</v>
      </c>
      <c r="B4107" t="s">
        <v>28326</v>
      </c>
      <c r="C4107" t="s">
        <v>20488</v>
      </c>
      <c r="D4107" t="s">
        <v>22</v>
      </c>
      <c r="E4107" t="s">
        <v>9026</v>
      </c>
      <c r="F4107">
        <v>42</v>
      </c>
      <c r="G4107" t="s">
        <v>370</v>
      </c>
      <c r="H4107" t="s">
        <v>46</v>
      </c>
      <c r="I4107" t="s">
        <v>228</v>
      </c>
    </row>
    <row r="4108" spans="1:10" x14ac:dyDescent="0.3">
      <c r="A4108" t="s">
        <v>9027</v>
      </c>
      <c r="B4108" t="s">
        <v>28327</v>
      </c>
      <c r="C4108" t="s">
        <v>20491</v>
      </c>
      <c r="D4108" t="s">
        <v>22</v>
      </c>
      <c r="E4108" t="s">
        <v>9028</v>
      </c>
      <c r="F4108">
        <v>50</v>
      </c>
      <c r="G4108" t="s">
        <v>370</v>
      </c>
      <c r="H4108" t="s">
        <v>46</v>
      </c>
      <c r="I4108" t="s">
        <v>228</v>
      </c>
      <c r="J4108" t="s">
        <v>9029</v>
      </c>
    </row>
    <row r="4109" spans="1:10" x14ac:dyDescent="0.3">
      <c r="A4109" t="s">
        <v>9030</v>
      </c>
      <c r="B4109" t="s">
        <v>28328</v>
      </c>
      <c r="C4109" t="s">
        <v>20486</v>
      </c>
      <c r="D4109" t="s">
        <v>11</v>
      </c>
      <c r="E4109" t="s">
        <v>9031</v>
      </c>
      <c r="F4109">
        <v>22</v>
      </c>
    </row>
    <row r="4110" spans="1:10" x14ac:dyDescent="0.3">
      <c r="A4110" t="s">
        <v>9032</v>
      </c>
      <c r="B4110" t="s">
        <v>28329</v>
      </c>
      <c r="C4110" t="s">
        <v>20491</v>
      </c>
      <c r="D4110" t="s">
        <v>11</v>
      </c>
      <c r="E4110" t="s">
        <v>9033</v>
      </c>
      <c r="F4110">
        <v>30</v>
      </c>
      <c r="G4110" t="s">
        <v>109</v>
      </c>
      <c r="H4110" t="s">
        <v>9788</v>
      </c>
      <c r="I4110" t="s">
        <v>1204</v>
      </c>
      <c r="J4110" t="s">
        <v>9034</v>
      </c>
    </row>
    <row r="4111" spans="1:10" x14ac:dyDescent="0.3">
      <c r="A4111" t="s">
        <v>12588</v>
      </c>
      <c r="B4111" t="s">
        <v>28330</v>
      </c>
      <c r="C4111" t="s">
        <v>20486</v>
      </c>
      <c r="D4111" t="s">
        <v>22</v>
      </c>
      <c r="E4111" t="s">
        <v>9587</v>
      </c>
      <c r="F4111">
        <v>18</v>
      </c>
      <c r="G4111" t="s">
        <v>243</v>
      </c>
      <c r="H4111" t="s">
        <v>243</v>
      </c>
    </row>
    <row r="4112" spans="1:10" x14ac:dyDescent="0.3">
      <c r="A4112" t="s">
        <v>12589</v>
      </c>
      <c r="B4112" t="s">
        <v>28331</v>
      </c>
      <c r="C4112" t="s">
        <v>20491</v>
      </c>
      <c r="D4112" t="s">
        <v>22</v>
      </c>
      <c r="E4112" t="s">
        <v>6360</v>
      </c>
      <c r="F4112">
        <v>35</v>
      </c>
      <c r="G4112" t="s">
        <v>31</v>
      </c>
      <c r="H4112" t="s">
        <v>31</v>
      </c>
    </row>
    <row r="4113" spans="1:10" x14ac:dyDescent="0.3">
      <c r="A4113" t="s">
        <v>9035</v>
      </c>
      <c r="B4113" t="s">
        <v>28332</v>
      </c>
      <c r="C4113" t="s">
        <v>20491</v>
      </c>
      <c r="D4113" t="s">
        <v>11</v>
      </c>
      <c r="E4113" t="s">
        <v>9036</v>
      </c>
      <c r="F4113">
        <v>29</v>
      </c>
      <c r="G4113" t="s">
        <v>109</v>
      </c>
      <c r="H4113" t="s">
        <v>9788</v>
      </c>
      <c r="I4113" t="s">
        <v>9037</v>
      </c>
      <c r="J4113" t="s">
        <v>1861</v>
      </c>
    </row>
    <row r="4114" spans="1:10" x14ac:dyDescent="0.3">
      <c r="A4114" t="s">
        <v>9038</v>
      </c>
      <c r="B4114" t="s">
        <v>28333</v>
      </c>
      <c r="C4114" t="s">
        <v>20491</v>
      </c>
      <c r="D4114" t="s">
        <v>22</v>
      </c>
      <c r="E4114" t="s">
        <v>9039</v>
      </c>
      <c r="F4114">
        <v>30</v>
      </c>
      <c r="G4114" t="s">
        <v>31</v>
      </c>
      <c r="H4114" t="s">
        <v>31</v>
      </c>
    </row>
    <row r="4115" spans="1:10" x14ac:dyDescent="0.3">
      <c r="A4115" t="s">
        <v>9040</v>
      </c>
      <c r="B4115" t="s">
        <v>28334</v>
      </c>
      <c r="C4115" t="s">
        <v>20491</v>
      </c>
      <c r="D4115" t="s">
        <v>11</v>
      </c>
      <c r="E4115" t="s">
        <v>9041</v>
      </c>
      <c r="F4115">
        <v>25</v>
      </c>
      <c r="G4115" t="s">
        <v>109</v>
      </c>
      <c r="H4115" t="s">
        <v>9788</v>
      </c>
      <c r="J4115" t="s">
        <v>9042</v>
      </c>
    </row>
    <row r="4116" spans="1:10" x14ac:dyDescent="0.3">
      <c r="A4116" t="s">
        <v>9043</v>
      </c>
      <c r="B4116" t="s">
        <v>28335</v>
      </c>
      <c r="C4116" t="s">
        <v>20491</v>
      </c>
      <c r="D4116" t="s">
        <v>22</v>
      </c>
      <c r="E4116" t="s">
        <v>9044</v>
      </c>
      <c r="F4116">
        <v>54</v>
      </c>
      <c r="G4116" t="s">
        <v>370</v>
      </c>
      <c r="H4116" t="s">
        <v>46</v>
      </c>
      <c r="I4116" t="s">
        <v>9045</v>
      </c>
    </row>
    <row r="4117" spans="1:10" x14ac:dyDescent="0.3">
      <c r="A4117" t="s">
        <v>9046</v>
      </c>
      <c r="B4117" t="s">
        <v>28336</v>
      </c>
      <c r="C4117" t="s">
        <v>20491</v>
      </c>
      <c r="D4117" t="s">
        <v>22</v>
      </c>
      <c r="E4117" t="s">
        <v>8259</v>
      </c>
      <c r="F4117">
        <v>61</v>
      </c>
      <c r="G4117" t="s">
        <v>46</v>
      </c>
      <c r="H4117" t="s">
        <v>46</v>
      </c>
      <c r="I4117" t="s">
        <v>228</v>
      </c>
    </row>
    <row r="4118" spans="1:10" x14ac:dyDescent="0.3">
      <c r="A4118" t="s">
        <v>9047</v>
      </c>
      <c r="B4118" t="s">
        <v>28337</v>
      </c>
      <c r="C4118" t="s">
        <v>20491</v>
      </c>
      <c r="D4118" t="s">
        <v>22</v>
      </c>
      <c r="E4118" t="s">
        <v>9048</v>
      </c>
      <c r="F4118">
        <v>32</v>
      </c>
      <c r="G4118" t="s">
        <v>16</v>
      </c>
      <c r="H4118" t="s">
        <v>9785</v>
      </c>
      <c r="I4118" t="s">
        <v>8908</v>
      </c>
      <c r="J4118" t="s">
        <v>9049</v>
      </c>
    </row>
    <row r="4119" spans="1:10" x14ac:dyDescent="0.3">
      <c r="A4119" t="s">
        <v>9050</v>
      </c>
      <c r="B4119" t="s">
        <v>28338</v>
      </c>
      <c r="C4119" t="s">
        <v>20491</v>
      </c>
      <c r="D4119" t="s">
        <v>11</v>
      </c>
      <c r="E4119" t="s">
        <v>9051</v>
      </c>
      <c r="F4119">
        <v>28</v>
      </c>
      <c r="G4119" t="s">
        <v>16</v>
      </c>
      <c r="H4119" t="s">
        <v>9785</v>
      </c>
      <c r="I4119" t="s">
        <v>8908</v>
      </c>
      <c r="J4119" t="s">
        <v>9049</v>
      </c>
    </row>
    <row r="4120" spans="1:10" x14ac:dyDescent="0.3">
      <c r="A4120" t="s">
        <v>9052</v>
      </c>
      <c r="B4120" t="s">
        <v>28339</v>
      </c>
      <c r="C4120" t="s">
        <v>20491</v>
      </c>
      <c r="D4120" t="s">
        <v>22</v>
      </c>
      <c r="E4120" t="s">
        <v>9053</v>
      </c>
      <c r="F4120">
        <v>28</v>
      </c>
      <c r="G4120" t="s">
        <v>16</v>
      </c>
      <c r="H4120" t="s">
        <v>9785</v>
      </c>
      <c r="I4120" t="s">
        <v>17</v>
      </c>
      <c r="J4120" t="s">
        <v>9049</v>
      </c>
    </row>
    <row r="4121" spans="1:10" x14ac:dyDescent="0.3">
      <c r="A4121" t="s">
        <v>9054</v>
      </c>
      <c r="B4121" t="s">
        <v>28340</v>
      </c>
      <c r="C4121" t="s">
        <v>20491</v>
      </c>
      <c r="D4121" t="s">
        <v>22</v>
      </c>
      <c r="E4121" t="s">
        <v>9055</v>
      </c>
      <c r="F4121">
        <v>33</v>
      </c>
      <c r="G4121" t="s">
        <v>16</v>
      </c>
      <c r="H4121" t="s">
        <v>9785</v>
      </c>
      <c r="I4121" t="s">
        <v>17</v>
      </c>
      <c r="J4121" t="s">
        <v>9049</v>
      </c>
    </row>
    <row r="4122" spans="1:10" x14ac:dyDescent="0.3">
      <c r="A4122" t="s">
        <v>9056</v>
      </c>
      <c r="B4122" t="s">
        <v>28341</v>
      </c>
      <c r="C4122" t="s">
        <v>20487</v>
      </c>
      <c r="D4122" t="s">
        <v>11</v>
      </c>
      <c r="E4122" t="s">
        <v>3255</v>
      </c>
      <c r="F4122">
        <v>52</v>
      </c>
      <c r="G4122" t="s">
        <v>109</v>
      </c>
      <c r="H4122" t="s">
        <v>9788</v>
      </c>
      <c r="I4122" t="s">
        <v>2639</v>
      </c>
      <c r="J4122" t="s">
        <v>9057</v>
      </c>
    </row>
    <row r="4123" spans="1:10" x14ac:dyDescent="0.3">
      <c r="A4123" t="s">
        <v>9058</v>
      </c>
      <c r="B4123" t="s">
        <v>28342</v>
      </c>
      <c r="C4123" t="s">
        <v>20490</v>
      </c>
      <c r="D4123" t="s">
        <v>22</v>
      </c>
      <c r="E4123" t="s">
        <v>2241</v>
      </c>
      <c r="F4123">
        <v>53</v>
      </c>
      <c r="G4123" t="s">
        <v>109</v>
      </c>
      <c r="H4123" t="s">
        <v>9788</v>
      </c>
    </row>
    <row r="4124" spans="1:10" x14ac:dyDescent="0.3">
      <c r="A4124" t="s">
        <v>9059</v>
      </c>
      <c r="B4124" t="s">
        <v>28343</v>
      </c>
      <c r="C4124" t="s">
        <v>20486</v>
      </c>
      <c r="D4124" t="s">
        <v>22</v>
      </c>
      <c r="E4124" t="s">
        <v>9060</v>
      </c>
      <c r="F4124">
        <v>29</v>
      </c>
    </row>
    <row r="4125" spans="1:10" x14ac:dyDescent="0.3">
      <c r="A4125" t="s">
        <v>9061</v>
      </c>
      <c r="B4125" t="s">
        <v>28344</v>
      </c>
      <c r="C4125" t="s">
        <v>20486</v>
      </c>
      <c r="D4125" t="s">
        <v>22</v>
      </c>
      <c r="E4125" t="s">
        <v>9062</v>
      </c>
      <c r="F4125">
        <v>21</v>
      </c>
    </row>
    <row r="4126" spans="1:10" x14ac:dyDescent="0.3">
      <c r="A4126" t="s">
        <v>9063</v>
      </c>
      <c r="B4126" t="s">
        <v>28345</v>
      </c>
      <c r="C4126" t="s">
        <v>20490</v>
      </c>
      <c r="D4126" t="s">
        <v>11</v>
      </c>
      <c r="E4126" t="s">
        <v>9064</v>
      </c>
      <c r="F4126">
        <v>55</v>
      </c>
      <c r="G4126" t="s">
        <v>133</v>
      </c>
      <c r="H4126" t="s">
        <v>9789</v>
      </c>
    </row>
    <row r="4127" spans="1:10" x14ac:dyDescent="0.3">
      <c r="A4127" t="s">
        <v>9065</v>
      </c>
      <c r="B4127" t="s">
        <v>28346</v>
      </c>
      <c r="C4127" t="s">
        <v>20488</v>
      </c>
      <c r="D4127" t="s">
        <v>11</v>
      </c>
      <c r="E4127" t="s">
        <v>6282</v>
      </c>
      <c r="F4127">
        <v>60</v>
      </c>
      <c r="G4127" t="s">
        <v>172</v>
      </c>
      <c r="H4127" t="s">
        <v>12099</v>
      </c>
      <c r="I4127" t="s">
        <v>9066</v>
      </c>
      <c r="J4127" t="s">
        <v>3034</v>
      </c>
    </row>
    <row r="4128" spans="1:10" x14ac:dyDescent="0.3">
      <c r="A4128" t="s">
        <v>9067</v>
      </c>
      <c r="B4128" t="s">
        <v>28347</v>
      </c>
      <c r="C4128" t="s">
        <v>20490</v>
      </c>
      <c r="D4128" t="s">
        <v>22</v>
      </c>
      <c r="E4128" t="s">
        <v>9068</v>
      </c>
      <c r="F4128">
        <v>38</v>
      </c>
      <c r="G4128" t="s">
        <v>133</v>
      </c>
      <c r="H4128" t="s">
        <v>9789</v>
      </c>
    </row>
    <row r="4129" spans="1:10" x14ac:dyDescent="0.3">
      <c r="A4129" t="s">
        <v>9069</v>
      </c>
      <c r="B4129" t="s">
        <v>28348</v>
      </c>
      <c r="C4129" t="s">
        <v>20490</v>
      </c>
      <c r="D4129" t="s">
        <v>22</v>
      </c>
      <c r="E4129" t="s">
        <v>9070</v>
      </c>
      <c r="F4129">
        <v>58</v>
      </c>
      <c r="G4129" t="s">
        <v>370</v>
      </c>
      <c r="H4129" t="s">
        <v>46</v>
      </c>
    </row>
    <row r="4130" spans="1:10" x14ac:dyDescent="0.3">
      <c r="A4130" t="s">
        <v>9071</v>
      </c>
      <c r="B4130" t="s">
        <v>28349</v>
      </c>
      <c r="C4130" t="s">
        <v>20486</v>
      </c>
      <c r="D4130" t="s">
        <v>22</v>
      </c>
      <c r="E4130" t="s">
        <v>9072</v>
      </c>
      <c r="F4130">
        <v>55</v>
      </c>
      <c r="G4130" t="s">
        <v>46</v>
      </c>
      <c r="H4130" t="s">
        <v>46</v>
      </c>
      <c r="I4130" t="s">
        <v>669</v>
      </c>
      <c r="J4130" t="s">
        <v>9073</v>
      </c>
    </row>
    <row r="4131" spans="1:10" x14ac:dyDescent="0.3">
      <c r="A4131" t="s">
        <v>9074</v>
      </c>
      <c r="B4131" t="s">
        <v>28350</v>
      </c>
      <c r="C4131" t="s">
        <v>20486</v>
      </c>
      <c r="D4131" t="s">
        <v>11</v>
      </c>
      <c r="E4131" t="s">
        <v>7454</v>
      </c>
      <c r="F4131">
        <v>54</v>
      </c>
      <c r="G4131" t="s">
        <v>46</v>
      </c>
      <c r="H4131" t="s">
        <v>46</v>
      </c>
      <c r="I4131" t="s">
        <v>228</v>
      </c>
      <c r="J4131" t="s">
        <v>9075</v>
      </c>
    </row>
    <row r="4132" spans="1:10" x14ac:dyDescent="0.3">
      <c r="A4132" t="s">
        <v>9076</v>
      </c>
      <c r="B4132" t="s">
        <v>28351</v>
      </c>
      <c r="C4132" t="s">
        <v>20486</v>
      </c>
      <c r="D4132" t="s">
        <v>11</v>
      </c>
      <c r="E4132" t="s">
        <v>1877</v>
      </c>
      <c r="F4132">
        <v>65</v>
      </c>
      <c r="G4132" t="s">
        <v>13</v>
      </c>
      <c r="H4132" t="s">
        <v>46</v>
      </c>
      <c r="I4132" t="s">
        <v>18842</v>
      </c>
      <c r="J4132" t="s">
        <v>9077</v>
      </c>
    </row>
    <row r="4133" spans="1:10" x14ac:dyDescent="0.3">
      <c r="A4133" t="s">
        <v>9078</v>
      </c>
      <c r="B4133" t="s">
        <v>28352</v>
      </c>
      <c r="C4133" t="s">
        <v>20488</v>
      </c>
      <c r="D4133" t="s">
        <v>11</v>
      </c>
      <c r="E4133" t="s">
        <v>9079</v>
      </c>
      <c r="F4133">
        <v>17</v>
      </c>
      <c r="G4133" t="s">
        <v>337</v>
      </c>
      <c r="H4133" t="s">
        <v>337</v>
      </c>
      <c r="I4133" t="s">
        <v>12590</v>
      </c>
      <c r="J4133" t="s">
        <v>12591</v>
      </c>
    </row>
    <row r="4134" spans="1:10" x14ac:dyDescent="0.3">
      <c r="A4134" t="s">
        <v>9080</v>
      </c>
      <c r="B4134" t="s">
        <v>28353</v>
      </c>
      <c r="C4134" t="s">
        <v>20488</v>
      </c>
      <c r="D4134" t="s">
        <v>11</v>
      </c>
      <c r="E4134" t="s">
        <v>9081</v>
      </c>
      <c r="F4134">
        <v>20</v>
      </c>
      <c r="G4134" t="s">
        <v>337</v>
      </c>
      <c r="H4134" t="s">
        <v>337</v>
      </c>
    </row>
    <row r="4135" spans="1:10" x14ac:dyDescent="0.3">
      <c r="A4135" t="s">
        <v>12592</v>
      </c>
      <c r="B4135" t="s">
        <v>28354</v>
      </c>
      <c r="C4135" t="s">
        <v>20488</v>
      </c>
      <c r="D4135" t="s">
        <v>22</v>
      </c>
      <c r="E4135" t="s">
        <v>12593</v>
      </c>
      <c r="F4135">
        <v>47</v>
      </c>
      <c r="G4135" t="s">
        <v>31</v>
      </c>
      <c r="H4135" t="s">
        <v>31</v>
      </c>
    </row>
    <row r="4136" spans="1:10" x14ac:dyDescent="0.3">
      <c r="A4136" t="s">
        <v>12594</v>
      </c>
      <c r="B4136" t="s">
        <v>28355</v>
      </c>
      <c r="C4136" t="s">
        <v>20488</v>
      </c>
      <c r="D4136" t="s">
        <v>11</v>
      </c>
      <c r="E4136" t="s">
        <v>12595</v>
      </c>
      <c r="F4136">
        <v>51</v>
      </c>
      <c r="G4136" t="s">
        <v>46</v>
      </c>
      <c r="H4136" t="s">
        <v>46</v>
      </c>
    </row>
    <row r="4137" spans="1:10" x14ac:dyDescent="0.3">
      <c r="A4137" t="s">
        <v>9082</v>
      </c>
      <c r="B4137" t="s">
        <v>28356</v>
      </c>
      <c r="C4137" t="s">
        <v>20486</v>
      </c>
      <c r="D4137" t="s">
        <v>11</v>
      </c>
      <c r="E4137" t="s">
        <v>9083</v>
      </c>
      <c r="F4137">
        <v>41</v>
      </c>
      <c r="G4137" t="s">
        <v>172</v>
      </c>
      <c r="H4137" t="s">
        <v>12099</v>
      </c>
      <c r="I4137" t="s">
        <v>1121</v>
      </c>
      <c r="J4137" t="s">
        <v>9084</v>
      </c>
    </row>
    <row r="4138" spans="1:10" x14ac:dyDescent="0.3">
      <c r="A4138" t="s">
        <v>9085</v>
      </c>
      <c r="B4138" t="s">
        <v>28357</v>
      </c>
      <c r="C4138" t="s">
        <v>20489</v>
      </c>
      <c r="D4138" t="s">
        <v>11</v>
      </c>
      <c r="E4138" t="s">
        <v>9086</v>
      </c>
      <c r="F4138">
        <v>38</v>
      </c>
      <c r="G4138" t="s">
        <v>109</v>
      </c>
      <c r="H4138" t="s">
        <v>9788</v>
      </c>
      <c r="I4138" t="s">
        <v>9087</v>
      </c>
      <c r="J4138" t="s">
        <v>9088</v>
      </c>
    </row>
    <row r="4139" spans="1:10" x14ac:dyDescent="0.3">
      <c r="A4139" t="s">
        <v>9089</v>
      </c>
      <c r="B4139" t="s">
        <v>28358</v>
      </c>
      <c r="C4139" t="s">
        <v>20488</v>
      </c>
      <c r="D4139" t="s">
        <v>22</v>
      </c>
      <c r="E4139" t="s">
        <v>161</v>
      </c>
      <c r="F4139">
        <v>64</v>
      </c>
      <c r="G4139" t="s">
        <v>31</v>
      </c>
      <c r="H4139" t="s">
        <v>31</v>
      </c>
    </row>
    <row r="4140" spans="1:10" x14ac:dyDescent="0.3">
      <c r="A4140" t="s">
        <v>9090</v>
      </c>
      <c r="B4140" t="s">
        <v>28359</v>
      </c>
      <c r="C4140" t="s">
        <v>20491</v>
      </c>
      <c r="D4140" t="s">
        <v>22</v>
      </c>
      <c r="E4140" t="s">
        <v>9091</v>
      </c>
      <c r="F4140">
        <v>30</v>
      </c>
      <c r="G4140" t="s">
        <v>31</v>
      </c>
      <c r="H4140" t="s">
        <v>31</v>
      </c>
    </row>
    <row r="4141" spans="1:10" x14ac:dyDescent="0.3">
      <c r="A4141" t="s">
        <v>9092</v>
      </c>
      <c r="B4141" t="s">
        <v>28360</v>
      </c>
      <c r="C4141" t="s">
        <v>20486</v>
      </c>
      <c r="D4141" t="s">
        <v>22</v>
      </c>
      <c r="E4141" t="s">
        <v>9093</v>
      </c>
      <c r="F4141">
        <v>40</v>
      </c>
      <c r="G4141" t="s">
        <v>243</v>
      </c>
      <c r="H4141" t="s">
        <v>243</v>
      </c>
      <c r="I4141" t="s">
        <v>33</v>
      </c>
    </row>
    <row r="4142" spans="1:10" x14ac:dyDescent="0.3">
      <c r="A4142" t="s">
        <v>9094</v>
      </c>
      <c r="B4142" t="s">
        <v>28361</v>
      </c>
      <c r="C4142" t="s">
        <v>20486</v>
      </c>
      <c r="D4142" t="s">
        <v>22</v>
      </c>
      <c r="E4142" t="s">
        <v>9095</v>
      </c>
      <c r="F4142">
        <v>37</v>
      </c>
      <c r="G4142" t="s">
        <v>109</v>
      </c>
      <c r="H4142" t="s">
        <v>9788</v>
      </c>
      <c r="I4142" t="s">
        <v>364</v>
      </c>
    </row>
    <row r="4143" spans="1:10" x14ac:dyDescent="0.3">
      <c r="A4143" t="s">
        <v>9096</v>
      </c>
      <c r="B4143" t="s">
        <v>28362</v>
      </c>
      <c r="C4143" t="s">
        <v>20488</v>
      </c>
      <c r="D4143" t="s">
        <v>11</v>
      </c>
      <c r="E4143" t="s">
        <v>9097</v>
      </c>
      <c r="F4143">
        <v>38</v>
      </c>
      <c r="G4143" t="s">
        <v>46</v>
      </c>
      <c r="H4143" t="s">
        <v>46</v>
      </c>
      <c r="I4143" t="s">
        <v>9098</v>
      </c>
    </row>
    <row r="4144" spans="1:10" x14ac:dyDescent="0.3">
      <c r="A4144" t="s">
        <v>9099</v>
      </c>
      <c r="B4144" t="s">
        <v>28363</v>
      </c>
      <c r="C4144" t="s">
        <v>20488</v>
      </c>
      <c r="D4144" t="s">
        <v>11</v>
      </c>
      <c r="E4144" t="s">
        <v>9100</v>
      </c>
      <c r="F4144">
        <v>26</v>
      </c>
      <c r="G4144" t="s">
        <v>46</v>
      </c>
      <c r="H4144" t="s">
        <v>46</v>
      </c>
    </row>
    <row r="4145" spans="1:10" x14ac:dyDescent="0.3">
      <c r="A4145" t="s">
        <v>9101</v>
      </c>
      <c r="B4145" t="s">
        <v>28364</v>
      </c>
      <c r="C4145" t="s">
        <v>20486</v>
      </c>
      <c r="D4145" t="s">
        <v>11</v>
      </c>
      <c r="E4145" t="s">
        <v>9102</v>
      </c>
      <c r="F4145">
        <v>34</v>
      </c>
      <c r="G4145" t="s">
        <v>46</v>
      </c>
      <c r="H4145" t="s">
        <v>46</v>
      </c>
      <c r="I4145" t="s">
        <v>9103</v>
      </c>
      <c r="J4145" t="s">
        <v>9104</v>
      </c>
    </row>
    <row r="4146" spans="1:10" x14ac:dyDescent="0.3">
      <c r="A4146" t="s">
        <v>9105</v>
      </c>
      <c r="B4146" t="s">
        <v>28365</v>
      </c>
      <c r="C4146" t="s">
        <v>20487</v>
      </c>
      <c r="D4146" t="s">
        <v>11</v>
      </c>
      <c r="E4146" t="s">
        <v>9106</v>
      </c>
      <c r="F4146">
        <v>27</v>
      </c>
      <c r="G4146" t="s">
        <v>109</v>
      </c>
      <c r="H4146" t="s">
        <v>9788</v>
      </c>
      <c r="I4146" t="s">
        <v>5095</v>
      </c>
      <c r="J4146" t="s">
        <v>14345</v>
      </c>
    </row>
    <row r="4147" spans="1:10" x14ac:dyDescent="0.3">
      <c r="A4147" t="s">
        <v>9107</v>
      </c>
      <c r="B4147" t="s">
        <v>28366</v>
      </c>
      <c r="C4147" t="s">
        <v>20487</v>
      </c>
      <c r="D4147" t="s">
        <v>22</v>
      </c>
      <c r="E4147" t="s">
        <v>9108</v>
      </c>
      <c r="F4147">
        <v>37</v>
      </c>
      <c r="G4147" t="s">
        <v>1200</v>
      </c>
      <c r="H4147" t="s">
        <v>9788</v>
      </c>
      <c r="I4147" t="s">
        <v>9109</v>
      </c>
    </row>
    <row r="4148" spans="1:10" x14ac:dyDescent="0.3">
      <c r="A4148" t="s">
        <v>9110</v>
      </c>
      <c r="B4148" t="s">
        <v>28367</v>
      </c>
      <c r="C4148" t="s">
        <v>20486</v>
      </c>
      <c r="D4148" t="s">
        <v>22</v>
      </c>
      <c r="E4148" t="s">
        <v>9111</v>
      </c>
      <c r="F4148">
        <v>31</v>
      </c>
      <c r="G4148" t="s">
        <v>46</v>
      </c>
      <c r="H4148" t="s">
        <v>46</v>
      </c>
      <c r="I4148" t="s">
        <v>228</v>
      </c>
      <c r="J4148" t="s">
        <v>12596</v>
      </c>
    </row>
    <row r="4149" spans="1:10" x14ac:dyDescent="0.3">
      <c r="A4149" t="s">
        <v>9112</v>
      </c>
      <c r="B4149" t="s">
        <v>28368</v>
      </c>
      <c r="C4149" t="s">
        <v>20486</v>
      </c>
      <c r="D4149" t="s">
        <v>22</v>
      </c>
      <c r="E4149" t="s">
        <v>9113</v>
      </c>
      <c r="F4149">
        <v>58</v>
      </c>
      <c r="G4149" t="s">
        <v>109</v>
      </c>
      <c r="H4149" t="s">
        <v>46</v>
      </c>
      <c r="I4149" t="s">
        <v>18810</v>
      </c>
      <c r="J4149" t="s">
        <v>12596</v>
      </c>
    </row>
    <row r="4150" spans="1:10" x14ac:dyDescent="0.3">
      <c r="A4150" t="s">
        <v>9114</v>
      </c>
      <c r="B4150" t="s">
        <v>28369</v>
      </c>
      <c r="C4150" t="s">
        <v>20486</v>
      </c>
      <c r="D4150" t="s">
        <v>22</v>
      </c>
      <c r="E4150" t="s">
        <v>5508</v>
      </c>
      <c r="F4150">
        <v>44</v>
      </c>
      <c r="G4150" t="s">
        <v>16</v>
      </c>
      <c r="H4150" t="s">
        <v>9785</v>
      </c>
      <c r="I4150" t="s">
        <v>17</v>
      </c>
      <c r="J4150" t="s">
        <v>8836</v>
      </c>
    </row>
    <row r="4151" spans="1:10" x14ac:dyDescent="0.3">
      <c r="A4151" t="s">
        <v>9115</v>
      </c>
      <c r="B4151" t="s">
        <v>28370</v>
      </c>
      <c r="C4151" t="s">
        <v>20486</v>
      </c>
      <c r="D4151" t="s">
        <v>11</v>
      </c>
      <c r="E4151" t="s">
        <v>9116</v>
      </c>
      <c r="F4151">
        <v>50</v>
      </c>
      <c r="G4151" t="s">
        <v>46</v>
      </c>
      <c r="H4151" t="s">
        <v>46</v>
      </c>
      <c r="I4151" t="s">
        <v>3798</v>
      </c>
    </row>
    <row r="4152" spans="1:10" x14ac:dyDescent="0.3">
      <c r="A4152" t="s">
        <v>9117</v>
      </c>
      <c r="B4152" t="s">
        <v>28371</v>
      </c>
      <c r="C4152" t="s">
        <v>20486</v>
      </c>
      <c r="D4152" t="s">
        <v>22</v>
      </c>
      <c r="E4152" t="s">
        <v>9118</v>
      </c>
      <c r="F4152">
        <v>48</v>
      </c>
      <c r="G4152" t="s">
        <v>109</v>
      </c>
      <c r="H4152" t="s">
        <v>9788</v>
      </c>
      <c r="I4152" t="s">
        <v>8707</v>
      </c>
      <c r="J4152" t="s">
        <v>9119</v>
      </c>
    </row>
    <row r="4153" spans="1:10" x14ac:dyDescent="0.3">
      <c r="A4153" t="s">
        <v>9120</v>
      </c>
      <c r="B4153" t="s">
        <v>28372</v>
      </c>
      <c r="C4153" t="s">
        <v>20486</v>
      </c>
      <c r="D4153" t="s">
        <v>11</v>
      </c>
      <c r="E4153" t="s">
        <v>9121</v>
      </c>
      <c r="F4153">
        <v>33</v>
      </c>
      <c r="G4153" t="s">
        <v>109</v>
      </c>
      <c r="H4153" t="s">
        <v>9788</v>
      </c>
      <c r="J4153" t="s">
        <v>9122</v>
      </c>
    </row>
    <row r="4154" spans="1:10" x14ac:dyDescent="0.3">
      <c r="A4154" t="s">
        <v>9123</v>
      </c>
      <c r="B4154" t="s">
        <v>28373</v>
      </c>
      <c r="C4154" t="s">
        <v>20486</v>
      </c>
      <c r="D4154" t="s">
        <v>22</v>
      </c>
      <c r="E4154" t="s">
        <v>9124</v>
      </c>
      <c r="F4154">
        <v>56</v>
      </c>
      <c r="G4154" t="s">
        <v>16</v>
      </c>
      <c r="H4154" t="s">
        <v>9785</v>
      </c>
      <c r="I4154" t="s">
        <v>9125</v>
      </c>
    </row>
    <row r="4155" spans="1:10" x14ac:dyDescent="0.3">
      <c r="A4155" t="s">
        <v>9126</v>
      </c>
      <c r="B4155" t="s">
        <v>28374</v>
      </c>
      <c r="C4155" t="s">
        <v>20486</v>
      </c>
      <c r="D4155" t="s">
        <v>22</v>
      </c>
      <c r="E4155" t="s">
        <v>9127</v>
      </c>
      <c r="F4155">
        <v>36</v>
      </c>
      <c r="G4155" t="s">
        <v>109</v>
      </c>
      <c r="H4155" t="s">
        <v>9788</v>
      </c>
    </row>
    <row r="4156" spans="1:10" x14ac:dyDescent="0.3">
      <c r="A4156" t="s">
        <v>9128</v>
      </c>
      <c r="B4156" t="s">
        <v>28375</v>
      </c>
      <c r="C4156" t="s">
        <v>20486</v>
      </c>
      <c r="D4156" t="s">
        <v>11</v>
      </c>
      <c r="E4156" t="s">
        <v>9129</v>
      </c>
      <c r="F4156">
        <v>24</v>
      </c>
      <c r="G4156" t="s">
        <v>109</v>
      </c>
      <c r="H4156" t="s">
        <v>9788</v>
      </c>
      <c r="J4156" t="s">
        <v>3793</v>
      </c>
    </row>
    <row r="4157" spans="1:10" x14ac:dyDescent="0.3">
      <c r="A4157" t="s">
        <v>9130</v>
      </c>
      <c r="B4157" t="s">
        <v>28376</v>
      </c>
      <c r="C4157" t="s">
        <v>20486</v>
      </c>
      <c r="D4157" t="s">
        <v>11</v>
      </c>
      <c r="E4157" t="s">
        <v>9131</v>
      </c>
      <c r="F4157">
        <v>24</v>
      </c>
      <c r="G4157" t="s">
        <v>109</v>
      </c>
      <c r="H4157" t="s">
        <v>9788</v>
      </c>
      <c r="J4157" t="s">
        <v>3793</v>
      </c>
    </row>
    <row r="4158" spans="1:10" x14ac:dyDescent="0.3">
      <c r="A4158" t="s">
        <v>9133</v>
      </c>
      <c r="B4158" t="s">
        <v>28377</v>
      </c>
      <c r="C4158" t="s">
        <v>20487</v>
      </c>
      <c r="D4158" t="s">
        <v>22</v>
      </c>
      <c r="E4158" t="s">
        <v>9134</v>
      </c>
      <c r="F4158">
        <v>48</v>
      </c>
      <c r="G4158" t="s">
        <v>46</v>
      </c>
      <c r="H4158" t="s">
        <v>46</v>
      </c>
      <c r="I4158" t="s">
        <v>220</v>
      </c>
      <c r="J4158" t="s">
        <v>9135</v>
      </c>
    </row>
    <row r="4159" spans="1:10" x14ac:dyDescent="0.3">
      <c r="A4159" t="s">
        <v>9136</v>
      </c>
      <c r="B4159" t="s">
        <v>28378</v>
      </c>
      <c r="C4159" t="s">
        <v>20486</v>
      </c>
      <c r="D4159" t="s">
        <v>11</v>
      </c>
      <c r="E4159" t="s">
        <v>4434</v>
      </c>
      <c r="F4159">
        <v>22</v>
      </c>
      <c r="G4159" t="s">
        <v>109</v>
      </c>
      <c r="H4159" t="s">
        <v>9788</v>
      </c>
      <c r="I4159" t="s">
        <v>3793</v>
      </c>
    </row>
    <row r="4160" spans="1:10" x14ac:dyDescent="0.3">
      <c r="A4160" t="s">
        <v>9137</v>
      </c>
      <c r="B4160" t="s">
        <v>28379</v>
      </c>
      <c r="C4160" t="s">
        <v>20486</v>
      </c>
      <c r="D4160" t="s">
        <v>22</v>
      </c>
      <c r="E4160" t="s">
        <v>9138</v>
      </c>
      <c r="F4160">
        <v>65</v>
      </c>
      <c r="G4160" t="s">
        <v>46</v>
      </c>
      <c r="H4160" t="s">
        <v>46</v>
      </c>
      <c r="I4160" t="s">
        <v>9139</v>
      </c>
      <c r="J4160" t="s">
        <v>9140</v>
      </c>
    </row>
    <row r="4161" spans="1:10" x14ac:dyDescent="0.3">
      <c r="A4161" t="s">
        <v>9141</v>
      </c>
      <c r="B4161" t="s">
        <v>28380</v>
      </c>
      <c r="C4161" t="s">
        <v>20488</v>
      </c>
      <c r="D4161" t="s">
        <v>22</v>
      </c>
      <c r="E4161" t="s">
        <v>7124</v>
      </c>
      <c r="F4161">
        <v>62</v>
      </c>
      <c r="G4161" t="s">
        <v>13</v>
      </c>
      <c r="H4161" t="s">
        <v>13</v>
      </c>
    </row>
    <row r="4162" spans="1:10" x14ac:dyDescent="0.3">
      <c r="A4162" t="s">
        <v>9142</v>
      </c>
      <c r="B4162" t="s">
        <v>28381</v>
      </c>
      <c r="C4162" t="s">
        <v>20486</v>
      </c>
      <c r="D4162" t="s">
        <v>22</v>
      </c>
      <c r="E4162" t="s">
        <v>9143</v>
      </c>
      <c r="F4162">
        <v>28</v>
      </c>
      <c r="G4162" t="s">
        <v>109</v>
      </c>
      <c r="H4162" t="s">
        <v>9788</v>
      </c>
      <c r="I4162" t="s">
        <v>8707</v>
      </c>
      <c r="J4162" t="s">
        <v>9119</v>
      </c>
    </row>
    <row r="4163" spans="1:10" x14ac:dyDescent="0.3">
      <c r="A4163" t="s">
        <v>9144</v>
      </c>
      <c r="B4163" t="s">
        <v>28382</v>
      </c>
      <c r="C4163" t="s">
        <v>20488</v>
      </c>
      <c r="D4163" t="s">
        <v>11</v>
      </c>
      <c r="E4163" t="s">
        <v>8367</v>
      </c>
      <c r="F4163">
        <v>36</v>
      </c>
      <c r="G4163" t="s">
        <v>109</v>
      </c>
      <c r="H4163" t="s">
        <v>9788</v>
      </c>
      <c r="I4163" t="s">
        <v>139</v>
      </c>
      <c r="J4163" t="s">
        <v>6742</v>
      </c>
    </row>
    <row r="4164" spans="1:10" x14ac:dyDescent="0.3">
      <c r="A4164" t="s">
        <v>9145</v>
      </c>
      <c r="B4164" t="s">
        <v>28383</v>
      </c>
      <c r="C4164" t="s">
        <v>20491</v>
      </c>
      <c r="D4164" t="s">
        <v>22</v>
      </c>
      <c r="E4164" t="s">
        <v>9146</v>
      </c>
      <c r="F4164">
        <v>50</v>
      </c>
      <c r="G4164" t="s">
        <v>370</v>
      </c>
      <c r="H4164" t="s">
        <v>46</v>
      </c>
      <c r="I4164" t="s">
        <v>9147</v>
      </c>
    </row>
    <row r="4165" spans="1:10" x14ac:dyDescent="0.3">
      <c r="A4165" t="s">
        <v>9148</v>
      </c>
      <c r="B4165" t="s">
        <v>28384</v>
      </c>
      <c r="C4165" t="s">
        <v>20491</v>
      </c>
      <c r="D4165" t="s">
        <v>22</v>
      </c>
      <c r="E4165" t="s">
        <v>9149</v>
      </c>
      <c r="F4165">
        <v>53</v>
      </c>
      <c r="G4165" t="s">
        <v>370</v>
      </c>
      <c r="H4165" t="s">
        <v>46</v>
      </c>
      <c r="I4165" t="s">
        <v>9147</v>
      </c>
    </row>
    <row r="4166" spans="1:10" x14ac:dyDescent="0.3">
      <c r="A4166" t="s">
        <v>9150</v>
      </c>
      <c r="B4166" t="s">
        <v>28385</v>
      </c>
      <c r="C4166" t="s">
        <v>20486</v>
      </c>
      <c r="D4166" t="s">
        <v>22</v>
      </c>
      <c r="E4166" t="s">
        <v>3088</v>
      </c>
      <c r="F4166">
        <v>55</v>
      </c>
      <c r="G4166" t="s">
        <v>109</v>
      </c>
      <c r="H4166" t="s">
        <v>9788</v>
      </c>
      <c r="I4166" t="s">
        <v>110</v>
      </c>
      <c r="J4166" t="s">
        <v>9151</v>
      </c>
    </row>
    <row r="4167" spans="1:10" x14ac:dyDescent="0.3">
      <c r="A4167" t="s">
        <v>9152</v>
      </c>
      <c r="B4167" t="s">
        <v>28386</v>
      </c>
      <c r="C4167" t="s">
        <v>20487</v>
      </c>
      <c r="D4167" t="s">
        <v>22</v>
      </c>
      <c r="E4167" t="s">
        <v>9153</v>
      </c>
      <c r="F4167">
        <v>44</v>
      </c>
      <c r="G4167" t="s">
        <v>31</v>
      </c>
      <c r="H4167" t="s">
        <v>31</v>
      </c>
    </row>
    <row r="4168" spans="1:10" x14ac:dyDescent="0.3">
      <c r="A4168" t="s">
        <v>9154</v>
      </c>
      <c r="B4168" t="s">
        <v>28387</v>
      </c>
      <c r="C4168" t="s">
        <v>20488</v>
      </c>
      <c r="D4168" t="s">
        <v>22</v>
      </c>
      <c r="E4168" t="s">
        <v>3442</v>
      </c>
      <c r="F4168">
        <v>54</v>
      </c>
      <c r="G4168" t="s">
        <v>16</v>
      </c>
      <c r="H4168" t="s">
        <v>9785</v>
      </c>
      <c r="I4168" t="s">
        <v>17</v>
      </c>
      <c r="J4168" t="s">
        <v>7755</v>
      </c>
    </row>
    <row r="4169" spans="1:10" x14ac:dyDescent="0.3">
      <c r="A4169" t="s">
        <v>9155</v>
      </c>
      <c r="B4169" t="s">
        <v>28388</v>
      </c>
      <c r="C4169" t="s">
        <v>20491</v>
      </c>
      <c r="D4169" t="s">
        <v>22</v>
      </c>
      <c r="E4169" t="s">
        <v>9156</v>
      </c>
      <c r="F4169">
        <v>37</v>
      </c>
      <c r="G4169" t="s">
        <v>1439</v>
      </c>
      <c r="H4169" t="s">
        <v>46</v>
      </c>
      <c r="I4169" t="s">
        <v>1197</v>
      </c>
    </row>
    <row r="4170" spans="1:10" x14ac:dyDescent="0.3">
      <c r="A4170" t="s">
        <v>9157</v>
      </c>
      <c r="B4170" t="s">
        <v>28389</v>
      </c>
      <c r="C4170" t="s">
        <v>20490</v>
      </c>
      <c r="D4170" t="s">
        <v>11</v>
      </c>
      <c r="E4170" t="s">
        <v>9158</v>
      </c>
      <c r="F4170">
        <v>72</v>
      </c>
      <c r="G4170" t="s">
        <v>540</v>
      </c>
      <c r="H4170" t="s">
        <v>12074</v>
      </c>
      <c r="I4170" t="s">
        <v>3378</v>
      </c>
    </row>
    <row r="4171" spans="1:10" x14ac:dyDescent="0.3">
      <c r="A4171" t="s">
        <v>9159</v>
      </c>
      <c r="B4171" t="s">
        <v>28390</v>
      </c>
      <c r="C4171" t="s">
        <v>20486</v>
      </c>
      <c r="D4171" t="s">
        <v>11</v>
      </c>
      <c r="E4171" t="s">
        <v>9160</v>
      </c>
      <c r="F4171">
        <v>41</v>
      </c>
    </row>
    <row r="4172" spans="1:10" x14ac:dyDescent="0.3">
      <c r="A4172" t="s">
        <v>9161</v>
      </c>
      <c r="B4172" t="s">
        <v>28391</v>
      </c>
      <c r="C4172" t="s">
        <v>20486</v>
      </c>
      <c r="D4172" t="s">
        <v>22</v>
      </c>
      <c r="E4172" t="s">
        <v>8756</v>
      </c>
      <c r="F4172">
        <v>41</v>
      </c>
      <c r="G4172" t="s">
        <v>31</v>
      </c>
      <c r="H4172" t="s">
        <v>9788</v>
      </c>
      <c r="I4172" t="s">
        <v>18843</v>
      </c>
      <c r="J4172" t="s">
        <v>9162</v>
      </c>
    </row>
    <row r="4173" spans="1:10" x14ac:dyDescent="0.3">
      <c r="A4173" t="s">
        <v>9163</v>
      </c>
      <c r="B4173" t="s">
        <v>28392</v>
      </c>
      <c r="C4173" t="s">
        <v>20490</v>
      </c>
      <c r="D4173" t="s">
        <v>11</v>
      </c>
      <c r="E4173" t="s">
        <v>9164</v>
      </c>
      <c r="F4173">
        <v>48</v>
      </c>
      <c r="G4173" t="s">
        <v>109</v>
      </c>
      <c r="H4173" t="s">
        <v>9788</v>
      </c>
    </row>
    <row r="4174" spans="1:10" x14ac:dyDescent="0.3">
      <c r="A4174" t="s">
        <v>9165</v>
      </c>
      <c r="B4174" t="s">
        <v>28393</v>
      </c>
      <c r="C4174" t="s">
        <v>20490</v>
      </c>
      <c r="D4174" t="s">
        <v>22</v>
      </c>
      <c r="E4174" t="s">
        <v>9166</v>
      </c>
      <c r="F4174">
        <v>48</v>
      </c>
      <c r="G4174" t="s">
        <v>109</v>
      </c>
      <c r="H4174" t="s">
        <v>9788</v>
      </c>
    </row>
    <row r="4175" spans="1:10" x14ac:dyDescent="0.3">
      <c r="A4175" t="s">
        <v>9167</v>
      </c>
      <c r="B4175" t="s">
        <v>28394</v>
      </c>
      <c r="C4175" t="s">
        <v>20490</v>
      </c>
      <c r="D4175" t="s">
        <v>11</v>
      </c>
      <c r="E4175" t="s">
        <v>9168</v>
      </c>
      <c r="F4175">
        <v>53</v>
      </c>
      <c r="G4175" t="s">
        <v>109</v>
      </c>
      <c r="H4175" t="s">
        <v>9788</v>
      </c>
    </row>
    <row r="4176" spans="1:10" x14ac:dyDescent="0.3">
      <c r="A4176" t="s">
        <v>9169</v>
      </c>
      <c r="B4176" t="s">
        <v>28395</v>
      </c>
      <c r="C4176" t="s">
        <v>20488</v>
      </c>
      <c r="D4176" t="s">
        <v>11</v>
      </c>
      <c r="E4176" t="s">
        <v>9170</v>
      </c>
      <c r="F4176">
        <v>44</v>
      </c>
      <c r="G4176" t="s">
        <v>46</v>
      </c>
      <c r="H4176" t="s">
        <v>46</v>
      </c>
      <c r="I4176" t="s">
        <v>3231</v>
      </c>
    </row>
    <row r="4177" spans="1:10" x14ac:dyDescent="0.3">
      <c r="A4177" t="s">
        <v>9171</v>
      </c>
      <c r="B4177" t="s">
        <v>28396</v>
      </c>
      <c r="C4177" t="s">
        <v>20488</v>
      </c>
      <c r="D4177" t="s">
        <v>11</v>
      </c>
      <c r="E4177" t="s">
        <v>9172</v>
      </c>
      <c r="F4177">
        <v>54</v>
      </c>
      <c r="G4177" t="s">
        <v>109</v>
      </c>
      <c r="H4177" t="s">
        <v>9788</v>
      </c>
      <c r="I4177" t="s">
        <v>9066</v>
      </c>
      <c r="J4177" t="s">
        <v>9173</v>
      </c>
    </row>
    <row r="4178" spans="1:10" x14ac:dyDescent="0.3">
      <c r="A4178" t="s">
        <v>9174</v>
      </c>
      <c r="B4178" t="s">
        <v>28397</v>
      </c>
      <c r="C4178" t="s">
        <v>20486</v>
      </c>
      <c r="D4178" t="s">
        <v>11</v>
      </c>
      <c r="E4178" t="s">
        <v>9175</v>
      </c>
      <c r="F4178">
        <v>20</v>
      </c>
      <c r="G4178" t="s">
        <v>337</v>
      </c>
      <c r="H4178" t="s">
        <v>9788</v>
      </c>
    </row>
    <row r="4179" spans="1:10" x14ac:dyDescent="0.3">
      <c r="A4179" t="s">
        <v>9176</v>
      </c>
      <c r="B4179" t="s">
        <v>28398</v>
      </c>
      <c r="C4179" t="s">
        <v>20486</v>
      </c>
      <c r="D4179" t="s">
        <v>11</v>
      </c>
      <c r="E4179" t="s">
        <v>9177</v>
      </c>
      <c r="F4179">
        <v>30</v>
      </c>
      <c r="G4179" t="s">
        <v>109</v>
      </c>
      <c r="H4179" t="s">
        <v>9788</v>
      </c>
      <c r="J4179" t="s">
        <v>9178</v>
      </c>
    </row>
    <row r="4180" spans="1:10" x14ac:dyDescent="0.3">
      <c r="A4180" t="s">
        <v>9179</v>
      </c>
      <c r="B4180" t="s">
        <v>28399</v>
      </c>
      <c r="C4180" t="s">
        <v>20486</v>
      </c>
      <c r="D4180" t="s">
        <v>22</v>
      </c>
      <c r="E4180" t="s">
        <v>9180</v>
      </c>
      <c r="F4180">
        <v>40</v>
      </c>
      <c r="G4180" t="s">
        <v>109</v>
      </c>
      <c r="H4180" t="s">
        <v>9788</v>
      </c>
      <c r="I4180" t="s">
        <v>8707</v>
      </c>
      <c r="J4180" t="s">
        <v>9119</v>
      </c>
    </row>
    <row r="4181" spans="1:10" x14ac:dyDescent="0.3">
      <c r="A4181" t="s">
        <v>9181</v>
      </c>
      <c r="B4181" t="s">
        <v>28400</v>
      </c>
      <c r="C4181" t="s">
        <v>20486</v>
      </c>
      <c r="D4181" t="s">
        <v>22</v>
      </c>
      <c r="E4181" t="s">
        <v>9182</v>
      </c>
      <c r="F4181">
        <v>64</v>
      </c>
      <c r="G4181" t="s">
        <v>31</v>
      </c>
      <c r="H4181" t="s">
        <v>31</v>
      </c>
    </row>
    <row r="4182" spans="1:10" x14ac:dyDescent="0.3">
      <c r="A4182" t="s">
        <v>9183</v>
      </c>
      <c r="B4182" t="s">
        <v>28401</v>
      </c>
      <c r="C4182" t="s">
        <v>20486</v>
      </c>
      <c r="D4182" t="s">
        <v>22</v>
      </c>
      <c r="E4182" t="s">
        <v>6161</v>
      </c>
      <c r="F4182">
        <v>59</v>
      </c>
      <c r="G4182" t="s">
        <v>31</v>
      </c>
      <c r="H4182" t="s">
        <v>31</v>
      </c>
    </row>
    <row r="4183" spans="1:10" x14ac:dyDescent="0.3">
      <c r="A4183" t="s">
        <v>9184</v>
      </c>
      <c r="B4183" t="s">
        <v>28402</v>
      </c>
      <c r="C4183" t="s">
        <v>20486</v>
      </c>
      <c r="D4183" t="s">
        <v>22</v>
      </c>
      <c r="E4183" t="s">
        <v>9185</v>
      </c>
      <c r="F4183">
        <v>24</v>
      </c>
      <c r="G4183" t="s">
        <v>109</v>
      </c>
      <c r="H4183" t="s">
        <v>9788</v>
      </c>
      <c r="J4183" t="s">
        <v>9186</v>
      </c>
    </row>
    <row r="4184" spans="1:10" x14ac:dyDescent="0.3">
      <c r="A4184" t="s">
        <v>9187</v>
      </c>
      <c r="B4184" t="s">
        <v>28403</v>
      </c>
      <c r="C4184" t="s">
        <v>20488</v>
      </c>
      <c r="D4184" t="s">
        <v>22</v>
      </c>
      <c r="E4184" t="s">
        <v>9188</v>
      </c>
      <c r="F4184">
        <v>67</v>
      </c>
      <c r="G4184" t="s">
        <v>155</v>
      </c>
      <c r="H4184" t="s">
        <v>9791</v>
      </c>
    </row>
    <row r="4185" spans="1:10" x14ac:dyDescent="0.3">
      <c r="A4185" t="s">
        <v>9189</v>
      </c>
      <c r="B4185" t="s">
        <v>28404</v>
      </c>
      <c r="C4185" t="s">
        <v>20486</v>
      </c>
      <c r="D4185" t="s">
        <v>11</v>
      </c>
      <c r="E4185" t="s">
        <v>9190</v>
      </c>
      <c r="F4185">
        <v>31</v>
      </c>
      <c r="G4185" t="s">
        <v>172</v>
      </c>
      <c r="H4185" t="s">
        <v>12099</v>
      </c>
    </row>
    <row r="4186" spans="1:10" x14ac:dyDescent="0.3">
      <c r="A4186" t="s">
        <v>9191</v>
      </c>
      <c r="B4186" t="s">
        <v>28405</v>
      </c>
      <c r="C4186" t="s">
        <v>20490</v>
      </c>
      <c r="D4186" t="s">
        <v>22</v>
      </c>
      <c r="E4186" t="s">
        <v>2171</v>
      </c>
      <c r="F4186">
        <v>56</v>
      </c>
      <c r="G4186" t="s">
        <v>31</v>
      </c>
      <c r="H4186" t="s">
        <v>31</v>
      </c>
    </row>
    <row r="4187" spans="1:10" x14ac:dyDescent="0.3">
      <c r="A4187" t="s">
        <v>9192</v>
      </c>
      <c r="B4187" t="s">
        <v>28406</v>
      </c>
      <c r="C4187" t="s">
        <v>20486</v>
      </c>
      <c r="D4187" t="s">
        <v>11</v>
      </c>
      <c r="E4187" t="s">
        <v>9193</v>
      </c>
      <c r="F4187">
        <v>23</v>
      </c>
      <c r="G4187" t="s">
        <v>109</v>
      </c>
      <c r="H4187" t="s">
        <v>9788</v>
      </c>
      <c r="I4187" t="s">
        <v>9194</v>
      </c>
    </row>
    <row r="4188" spans="1:10" x14ac:dyDescent="0.3">
      <c r="A4188" t="s">
        <v>9195</v>
      </c>
      <c r="B4188" t="s">
        <v>28407</v>
      </c>
      <c r="C4188" t="s">
        <v>20486</v>
      </c>
      <c r="D4188" t="s">
        <v>11</v>
      </c>
      <c r="E4188" t="s">
        <v>9196</v>
      </c>
      <c r="F4188">
        <v>26</v>
      </c>
      <c r="G4188" t="s">
        <v>827</v>
      </c>
      <c r="H4188" t="s">
        <v>12099</v>
      </c>
    </row>
    <row r="4189" spans="1:10" x14ac:dyDescent="0.3">
      <c r="A4189" t="s">
        <v>9198</v>
      </c>
      <c r="B4189" t="s">
        <v>28408</v>
      </c>
      <c r="C4189" t="s">
        <v>20488</v>
      </c>
      <c r="D4189" t="s">
        <v>22</v>
      </c>
      <c r="E4189" t="s">
        <v>191</v>
      </c>
      <c r="F4189">
        <v>54</v>
      </c>
      <c r="G4189" t="s">
        <v>46</v>
      </c>
      <c r="H4189" t="s">
        <v>46</v>
      </c>
      <c r="I4189" t="s">
        <v>228</v>
      </c>
    </row>
    <row r="4190" spans="1:10" x14ac:dyDescent="0.3">
      <c r="A4190" t="s">
        <v>9199</v>
      </c>
      <c r="B4190" t="s">
        <v>28409</v>
      </c>
      <c r="C4190" t="s">
        <v>20488</v>
      </c>
      <c r="D4190" t="s">
        <v>22</v>
      </c>
      <c r="E4190" t="s">
        <v>9200</v>
      </c>
      <c r="F4190">
        <v>31</v>
      </c>
      <c r="G4190" t="s">
        <v>46</v>
      </c>
      <c r="H4190" t="s">
        <v>46</v>
      </c>
      <c r="I4190" t="s">
        <v>228</v>
      </c>
      <c r="J4190" t="s">
        <v>9201</v>
      </c>
    </row>
    <row r="4191" spans="1:10" x14ac:dyDescent="0.3">
      <c r="A4191" t="s">
        <v>9202</v>
      </c>
      <c r="B4191" t="s">
        <v>28410</v>
      </c>
      <c r="C4191" t="s">
        <v>20486</v>
      </c>
      <c r="D4191" t="s">
        <v>22</v>
      </c>
      <c r="E4191" t="s">
        <v>8220</v>
      </c>
      <c r="F4191">
        <v>53</v>
      </c>
      <c r="G4191" t="s">
        <v>16</v>
      </c>
      <c r="H4191" t="s">
        <v>9785</v>
      </c>
      <c r="I4191" t="s">
        <v>17</v>
      </c>
      <c r="J4191" t="s">
        <v>9203</v>
      </c>
    </row>
    <row r="4192" spans="1:10" x14ac:dyDescent="0.3">
      <c r="A4192" t="s">
        <v>9204</v>
      </c>
      <c r="B4192" t="s">
        <v>28411</v>
      </c>
      <c r="C4192" t="s">
        <v>20490</v>
      </c>
      <c r="D4192" t="s">
        <v>11</v>
      </c>
      <c r="E4192" t="s">
        <v>3350</v>
      </c>
      <c r="F4192">
        <v>43</v>
      </c>
    </row>
    <row r="4193" spans="1:10" x14ac:dyDescent="0.3">
      <c r="A4193" t="s">
        <v>9205</v>
      </c>
      <c r="B4193" t="s">
        <v>28412</v>
      </c>
      <c r="C4193" t="s">
        <v>20486</v>
      </c>
      <c r="D4193" t="s">
        <v>22</v>
      </c>
      <c r="E4193" t="s">
        <v>9206</v>
      </c>
      <c r="F4193">
        <v>35</v>
      </c>
      <c r="G4193" t="s">
        <v>31</v>
      </c>
      <c r="H4193" t="s">
        <v>31</v>
      </c>
    </row>
    <row r="4194" spans="1:10" x14ac:dyDescent="0.3">
      <c r="A4194" t="s">
        <v>9207</v>
      </c>
      <c r="B4194" t="s">
        <v>28413</v>
      </c>
      <c r="C4194" t="s">
        <v>20488</v>
      </c>
      <c r="D4194" t="s">
        <v>11</v>
      </c>
      <c r="E4194" t="s">
        <v>9208</v>
      </c>
      <c r="F4194">
        <v>48</v>
      </c>
      <c r="G4194" t="s">
        <v>1439</v>
      </c>
      <c r="H4194" t="s">
        <v>46</v>
      </c>
    </row>
    <row r="4195" spans="1:10" x14ac:dyDescent="0.3">
      <c r="A4195" t="s">
        <v>9209</v>
      </c>
      <c r="B4195" t="s">
        <v>28414</v>
      </c>
      <c r="C4195" t="s">
        <v>20491</v>
      </c>
      <c r="D4195" t="s">
        <v>22</v>
      </c>
      <c r="E4195" t="s">
        <v>9210</v>
      </c>
      <c r="F4195">
        <v>51</v>
      </c>
      <c r="G4195" t="s">
        <v>172</v>
      </c>
      <c r="H4195" t="s">
        <v>12099</v>
      </c>
      <c r="I4195" t="s">
        <v>9211</v>
      </c>
      <c r="J4195" t="s">
        <v>9212</v>
      </c>
    </row>
    <row r="4196" spans="1:10" x14ac:dyDescent="0.3">
      <c r="A4196" t="s">
        <v>9213</v>
      </c>
      <c r="B4196" t="s">
        <v>28415</v>
      </c>
      <c r="C4196" t="s">
        <v>20491</v>
      </c>
      <c r="D4196" t="s">
        <v>11</v>
      </c>
      <c r="E4196" t="s">
        <v>9214</v>
      </c>
      <c r="F4196">
        <v>31</v>
      </c>
      <c r="G4196" t="s">
        <v>109</v>
      </c>
      <c r="H4196" t="s">
        <v>9788</v>
      </c>
      <c r="I4196" t="s">
        <v>7987</v>
      </c>
      <c r="J4196" t="s">
        <v>3250</v>
      </c>
    </row>
    <row r="4197" spans="1:10" x14ac:dyDescent="0.3">
      <c r="A4197" t="s">
        <v>9215</v>
      </c>
      <c r="B4197" t="s">
        <v>28416</v>
      </c>
      <c r="C4197" t="s">
        <v>20486</v>
      </c>
      <c r="D4197" t="s">
        <v>22</v>
      </c>
      <c r="E4197" t="s">
        <v>9216</v>
      </c>
      <c r="F4197">
        <v>47</v>
      </c>
      <c r="G4197" t="s">
        <v>46</v>
      </c>
      <c r="H4197" t="s">
        <v>46</v>
      </c>
      <c r="I4197" t="s">
        <v>9217</v>
      </c>
      <c r="J4197" t="s">
        <v>9218</v>
      </c>
    </row>
    <row r="4198" spans="1:10" x14ac:dyDescent="0.3">
      <c r="A4198" t="s">
        <v>9219</v>
      </c>
      <c r="B4198" t="s">
        <v>28417</v>
      </c>
      <c r="C4198" t="s">
        <v>20486</v>
      </c>
      <c r="D4198" t="s">
        <v>22</v>
      </c>
      <c r="E4198" t="s">
        <v>9220</v>
      </c>
      <c r="F4198">
        <v>40</v>
      </c>
      <c r="G4198" t="s">
        <v>46</v>
      </c>
      <c r="H4198" t="s">
        <v>46</v>
      </c>
    </row>
    <row r="4199" spans="1:10" x14ac:dyDescent="0.3">
      <c r="A4199" t="s">
        <v>9221</v>
      </c>
      <c r="B4199" t="s">
        <v>28418</v>
      </c>
      <c r="C4199" t="s">
        <v>20486</v>
      </c>
      <c r="D4199" t="s">
        <v>22</v>
      </c>
      <c r="E4199" t="s">
        <v>9222</v>
      </c>
      <c r="F4199">
        <v>41</v>
      </c>
      <c r="G4199" t="s">
        <v>46</v>
      </c>
      <c r="H4199" t="s">
        <v>46</v>
      </c>
      <c r="I4199" t="s">
        <v>669</v>
      </c>
      <c r="J4199" t="s">
        <v>9223</v>
      </c>
    </row>
    <row r="4200" spans="1:10" x14ac:dyDescent="0.3">
      <c r="A4200" t="s">
        <v>9224</v>
      </c>
      <c r="B4200" t="s">
        <v>28419</v>
      </c>
      <c r="C4200" t="s">
        <v>20486</v>
      </c>
      <c r="D4200" t="s">
        <v>22</v>
      </c>
      <c r="E4200" t="s">
        <v>9225</v>
      </c>
      <c r="F4200">
        <v>36</v>
      </c>
      <c r="G4200" t="s">
        <v>31</v>
      </c>
      <c r="H4200" t="s">
        <v>31</v>
      </c>
    </row>
    <row r="4201" spans="1:10" x14ac:dyDescent="0.3">
      <c r="A4201" t="s">
        <v>9226</v>
      </c>
      <c r="B4201" t="s">
        <v>28420</v>
      </c>
      <c r="C4201" t="s">
        <v>20486</v>
      </c>
      <c r="D4201" t="s">
        <v>22</v>
      </c>
      <c r="E4201" t="s">
        <v>9227</v>
      </c>
      <c r="F4201">
        <v>42</v>
      </c>
      <c r="G4201" t="s">
        <v>46</v>
      </c>
      <c r="H4201" t="s">
        <v>46</v>
      </c>
      <c r="I4201" t="s">
        <v>9228</v>
      </c>
      <c r="J4201" t="s">
        <v>9229</v>
      </c>
    </row>
    <row r="4202" spans="1:10" x14ac:dyDescent="0.3">
      <c r="A4202" t="s">
        <v>9230</v>
      </c>
      <c r="B4202" t="s">
        <v>28421</v>
      </c>
      <c r="C4202" t="s">
        <v>20486</v>
      </c>
      <c r="D4202" t="s">
        <v>22</v>
      </c>
      <c r="E4202" t="s">
        <v>9231</v>
      </c>
      <c r="F4202">
        <v>43</v>
      </c>
      <c r="G4202" t="s">
        <v>109</v>
      </c>
      <c r="H4202" t="s">
        <v>9788</v>
      </c>
      <c r="J4202" t="s">
        <v>9232</v>
      </c>
    </row>
    <row r="4203" spans="1:10" x14ac:dyDescent="0.3">
      <c r="A4203" t="s">
        <v>9233</v>
      </c>
      <c r="B4203" t="s">
        <v>28422</v>
      </c>
      <c r="C4203" t="s">
        <v>20486</v>
      </c>
      <c r="D4203" t="s">
        <v>11</v>
      </c>
      <c r="E4203" t="s">
        <v>9234</v>
      </c>
      <c r="F4203">
        <v>53</v>
      </c>
      <c r="G4203" t="s">
        <v>109</v>
      </c>
      <c r="H4203" t="s">
        <v>9788</v>
      </c>
      <c r="I4203" t="s">
        <v>360</v>
      </c>
      <c r="J4203" t="s">
        <v>9235</v>
      </c>
    </row>
    <row r="4204" spans="1:10" x14ac:dyDescent="0.3">
      <c r="A4204" t="s">
        <v>9236</v>
      </c>
      <c r="B4204" t="s">
        <v>28423</v>
      </c>
      <c r="C4204" t="s">
        <v>20486</v>
      </c>
      <c r="D4204" t="s">
        <v>11</v>
      </c>
      <c r="E4204" t="s">
        <v>9237</v>
      </c>
      <c r="F4204">
        <v>24</v>
      </c>
      <c r="G4204" t="s">
        <v>109</v>
      </c>
      <c r="H4204" t="s">
        <v>9788</v>
      </c>
      <c r="I4204" t="s">
        <v>9238</v>
      </c>
      <c r="J4204" t="s">
        <v>9239</v>
      </c>
    </row>
    <row r="4205" spans="1:10" x14ac:dyDescent="0.3">
      <c r="A4205" t="s">
        <v>9240</v>
      </c>
      <c r="B4205" t="s">
        <v>28424</v>
      </c>
      <c r="C4205" t="s">
        <v>20486</v>
      </c>
      <c r="D4205" t="s">
        <v>22</v>
      </c>
      <c r="E4205" t="s">
        <v>9241</v>
      </c>
      <c r="F4205">
        <v>32</v>
      </c>
      <c r="G4205" t="s">
        <v>109</v>
      </c>
      <c r="H4205" t="s">
        <v>9788</v>
      </c>
      <c r="J4205" t="s">
        <v>9242</v>
      </c>
    </row>
    <row r="4206" spans="1:10" x14ac:dyDescent="0.3">
      <c r="A4206" t="s">
        <v>9243</v>
      </c>
      <c r="B4206" t="s">
        <v>28425</v>
      </c>
      <c r="C4206" t="s">
        <v>20486</v>
      </c>
      <c r="D4206" t="s">
        <v>11</v>
      </c>
      <c r="E4206" t="s">
        <v>9244</v>
      </c>
      <c r="F4206">
        <v>35</v>
      </c>
      <c r="G4206" t="s">
        <v>46</v>
      </c>
      <c r="H4206" t="s">
        <v>46</v>
      </c>
      <c r="I4206" t="s">
        <v>201</v>
      </c>
    </row>
    <row r="4207" spans="1:10" x14ac:dyDescent="0.3">
      <c r="A4207" t="s">
        <v>9245</v>
      </c>
      <c r="B4207" t="s">
        <v>28426</v>
      </c>
      <c r="C4207" t="s">
        <v>20486</v>
      </c>
      <c r="D4207" t="s">
        <v>22</v>
      </c>
      <c r="E4207" t="s">
        <v>9246</v>
      </c>
      <c r="F4207">
        <v>33</v>
      </c>
      <c r="G4207" t="s">
        <v>31</v>
      </c>
      <c r="H4207" t="s">
        <v>31</v>
      </c>
    </row>
    <row r="4208" spans="1:10" x14ac:dyDescent="0.3">
      <c r="A4208" t="s">
        <v>9247</v>
      </c>
      <c r="B4208" t="s">
        <v>28427</v>
      </c>
      <c r="C4208" t="s">
        <v>20486</v>
      </c>
      <c r="D4208" t="s">
        <v>22</v>
      </c>
      <c r="E4208" t="s">
        <v>9248</v>
      </c>
      <c r="F4208">
        <v>37</v>
      </c>
      <c r="G4208" t="s">
        <v>31</v>
      </c>
      <c r="H4208" t="s">
        <v>31</v>
      </c>
    </row>
    <row r="4209" spans="1:10" x14ac:dyDescent="0.3">
      <c r="A4209" t="s">
        <v>9249</v>
      </c>
      <c r="B4209" t="s">
        <v>28428</v>
      </c>
      <c r="C4209" t="s">
        <v>20486</v>
      </c>
      <c r="D4209" t="s">
        <v>22</v>
      </c>
      <c r="E4209" t="s">
        <v>9250</v>
      </c>
      <c r="F4209">
        <v>36</v>
      </c>
      <c r="G4209" t="s">
        <v>172</v>
      </c>
      <c r="H4209" t="s">
        <v>12099</v>
      </c>
      <c r="I4209" t="s">
        <v>17</v>
      </c>
      <c r="J4209" t="s">
        <v>9251</v>
      </c>
    </row>
    <row r="4210" spans="1:10" x14ac:dyDescent="0.3">
      <c r="A4210" t="s">
        <v>9252</v>
      </c>
      <c r="B4210" t="s">
        <v>28429</v>
      </c>
      <c r="C4210" t="s">
        <v>20486</v>
      </c>
      <c r="D4210" t="s">
        <v>11</v>
      </c>
      <c r="E4210" t="s">
        <v>9253</v>
      </c>
      <c r="F4210">
        <v>39</v>
      </c>
      <c r="G4210" t="s">
        <v>109</v>
      </c>
      <c r="H4210" t="s">
        <v>9788</v>
      </c>
    </row>
    <row r="4211" spans="1:10" x14ac:dyDescent="0.3">
      <c r="A4211" t="s">
        <v>9254</v>
      </c>
      <c r="B4211" t="s">
        <v>28430</v>
      </c>
      <c r="C4211" t="s">
        <v>20486</v>
      </c>
      <c r="D4211" t="s">
        <v>11</v>
      </c>
      <c r="E4211" t="s">
        <v>9255</v>
      </c>
      <c r="F4211">
        <v>47</v>
      </c>
      <c r="G4211" t="s">
        <v>46</v>
      </c>
      <c r="H4211" t="s">
        <v>46</v>
      </c>
      <c r="I4211" t="s">
        <v>1412</v>
      </c>
      <c r="J4211" t="s">
        <v>9256</v>
      </c>
    </row>
    <row r="4212" spans="1:10" x14ac:dyDescent="0.3">
      <c r="A4212" t="s">
        <v>9257</v>
      </c>
      <c r="B4212" t="s">
        <v>28431</v>
      </c>
      <c r="C4212" t="s">
        <v>20487</v>
      </c>
      <c r="D4212" t="s">
        <v>11</v>
      </c>
      <c r="E4212" t="s">
        <v>9258</v>
      </c>
      <c r="F4212">
        <v>53</v>
      </c>
      <c r="G4212" t="s">
        <v>109</v>
      </c>
      <c r="H4212" t="s">
        <v>9788</v>
      </c>
      <c r="J4212" t="s">
        <v>9259</v>
      </c>
    </row>
    <row r="4213" spans="1:10" x14ac:dyDescent="0.3">
      <c r="A4213" t="s">
        <v>9260</v>
      </c>
      <c r="B4213" t="s">
        <v>28432</v>
      </c>
      <c r="C4213" t="s">
        <v>20486</v>
      </c>
      <c r="D4213" t="s">
        <v>22</v>
      </c>
      <c r="E4213" t="s">
        <v>9261</v>
      </c>
      <c r="F4213">
        <v>39</v>
      </c>
      <c r="G4213" t="s">
        <v>31</v>
      </c>
      <c r="H4213" t="s">
        <v>31</v>
      </c>
    </row>
    <row r="4214" spans="1:10" x14ac:dyDescent="0.3">
      <c r="A4214" t="s">
        <v>9262</v>
      </c>
      <c r="B4214" t="s">
        <v>28433</v>
      </c>
      <c r="C4214" t="s">
        <v>20486</v>
      </c>
      <c r="D4214" t="s">
        <v>11</v>
      </c>
      <c r="E4214" t="s">
        <v>9263</v>
      </c>
      <c r="F4214">
        <v>39</v>
      </c>
      <c r="G4214" t="s">
        <v>172</v>
      </c>
      <c r="H4214" t="s">
        <v>12099</v>
      </c>
      <c r="I4214" t="s">
        <v>1121</v>
      </c>
    </row>
    <row r="4215" spans="1:10" x14ac:dyDescent="0.3">
      <c r="A4215" t="s">
        <v>9264</v>
      </c>
      <c r="B4215" t="s">
        <v>28434</v>
      </c>
      <c r="C4215" t="s">
        <v>20486</v>
      </c>
      <c r="D4215" t="s">
        <v>11</v>
      </c>
      <c r="E4215" t="s">
        <v>9265</v>
      </c>
      <c r="F4215">
        <v>48</v>
      </c>
      <c r="G4215" t="s">
        <v>46</v>
      </c>
      <c r="H4215" t="s">
        <v>46</v>
      </c>
      <c r="I4215" t="s">
        <v>4148</v>
      </c>
      <c r="J4215" t="s">
        <v>9266</v>
      </c>
    </row>
    <row r="4216" spans="1:10" x14ac:dyDescent="0.3">
      <c r="A4216" t="s">
        <v>9267</v>
      </c>
      <c r="B4216" t="s">
        <v>28435</v>
      </c>
      <c r="C4216" t="s">
        <v>20486</v>
      </c>
      <c r="D4216" t="s">
        <v>22</v>
      </c>
      <c r="E4216" t="s">
        <v>9268</v>
      </c>
      <c r="F4216">
        <v>36</v>
      </c>
      <c r="G4216" t="s">
        <v>46</v>
      </c>
      <c r="H4216" t="s">
        <v>46</v>
      </c>
      <c r="I4216" t="s">
        <v>110</v>
      </c>
    </row>
    <row r="4217" spans="1:10" x14ac:dyDescent="0.3">
      <c r="A4217" t="s">
        <v>9269</v>
      </c>
      <c r="B4217" t="s">
        <v>28436</v>
      </c>
      <c r="C4217" t="s">
        <v>20490</v>
      </c>
      <c r="D4217" t="s">
        <v>22</v>
      </c>
      <c r="E4217" t="s">
        <v>9270</v>
      </c>
      <c r="F4217">
        <v>64</v>
      </c>
      <c r="G4217" t="s">
        <v>370</v>
      </c>
      <c r="H4217" t="s">
        <v>46</v>
      </c>
    </row>
    <row r="4218" spans="1:10" x14ac:dyDescent="0.3">
      <c r="A4218" t="s">
        <v>9271</v>
      </c>
      <c r="B4218" t="s">
        <v>28437</v>
      </c>
      <c r="C4218" t="s">
        <v>20486</v>
      </c>
      <c r="D4218" t="s">
        <v>22</v>
      </c>
      <c r="E4218" t="s">
        <v>9272</v>
      </c>
      <c r="F4218">
        <v>71</v>
      </c>
      <c r="G4218" t="s">
        <v>155</v>
      </c>
      <c r="H4218" t="s">
        <v>9791</v>
      </c>
    </row>
    <row r="4219" spans="1:10" x14ac:dyDescent="0.3">
      <c r="A4219" t="s">
        <v>9273</v>
      </c>
      <c r="B4219" t="s">
        <v>28438</v>
      </c>
      <c r="C4219" t="s">
        <v>20488</v>
      </c>
      <c r="D4219" t="s">
        <v>11</v>
      </c>
      <c r="E4219" t="s">
        <v>8728</v>
      </c>
      <c r="F4219">
        <v>40</v>
      </c>
      <c r="G4219" t="s">
        <v>109</v>
      </c>
      <c r="H4219" t="s">
        <v>9788</v>
      </c>
      <c r="I4219" t="s">
        <v>1074</v>
      </c>
      <c r="J4219" t="s">
        <v>3615</v>
      </c>
    </row>
    <row r="4220" spans="1:10" x14ac:dyDescent="0.3">
      <c r="A4220" t="s">
        <v>9274</v>
      </c>
      <c r="B4220" t="s">
        <v>28439</v>
      </c>
      <c r="C4220" t="s">
        <v>20486</v>
      </c>
      <c r="D4220" t="s">
        <v>11</v>
      </c>
      <c r="E4220" t="s">
        <v>3780</v>
      </c>
      <c r="F4220">
        <v>38</v>
      </c>
      <c r="G4220" t="s">
        <v>172</v>
      </c>
      <c r="H4220" t="s">
        <v>12099</v>
      </c>
      <c r="I4220" t="s">
        <v>1121</v>
      </c>
    </row>
    <row r="4221" spans="1:10" x14ac:dyDescent="0.3">
      <c r="A4221" t="s">
        <v>9275</v>
      </c>
      <c r="B4221" t="s">
        <v>28440</v>
      </c>
      <c r="C4221" t="s">
        <v>20488</v>
      </c>
      <c r="D4221" t="s">
        <v>11</v>
      </c>
      <c r="E4221" t="s">
        <v>9276</v>
      </c>
      <c r="F4221">
        <v>22</v>
      </c>
      <c r="G4221" t="s">
        <v>46</v>
      </c>
      <c r="H4221" t="s">
        <v>46</v>
      </c>
      <c r="I4221" t="s">
        <v>228</v>
      </c>
      <c r="J4221" t="s">
        <v>9277</v>
      </c>
    </row>
    <row r="4222" spans="1:10" x14ac:dyDescent="0.3">
      <c r="A4222" t="s">
        <v>9278</v>
      </c>
      <c r="B4222" t="s">
        <v>28441</v>
      </c>
      <c r="C4222" t="s">
        <v>20486</v>
      </c>
      <c r="D4222" t="s">
        <v>22</v>
      </c>
      <c r="E4222" t="s">
        <v>9279</v>
      </c>
      <c r="F4222">
        <v>40</v>
      </c>
      <c r="G4222" t="s">
        <v>16</v>
      </c>
      <c r="H4222" t="s">
        <v>9785</v>
      </c>
      <c r="J4222" t="s">
        <v>2111</v>
      </c>
    </row>
    <row r="4223" spans="1:10" x14ac:dyDescent="0.3">
      <c r="A4223" t="s">
        <v>9280</v>
      </c>
      <c r="B4223" t="s">
        <v>28442</v>
      </c>
      <c r="C4223" t="s">
        <v>20486</v>
      </c>
      <c r="D4223" t="s">
        <v>22</v>
      </c>
      <c r="E4223" t="s">
        <v>3225</v>
      </c>
      <c r="F4223">
        <v>38</v>
      </c>
      <c r="G4223" t="s">
        <v>31</v>
      </c>
      <c r="H4223" t="s">
        <v>31</v>
      </c>
    </row>
    <row r="4224" spans="1:10" x14ac:dyDescent="0.3">
      <c r="A4224" t="s">
        <v>9281</v>
      </c>
      <c r="B4224" t="s">
        <v>28443</v>
      </c>
      <c r="C4224" t="s">
        <v>20491</v>
      </c>
      <c r="D4224" t="s">
        <v>22</v>
      </c>
      <c r="E4224" t="s">
        <v>9282</v>
      </c>
      <c r="F4224">
        <v>39</v>
      </c>
      <c r="G4224" t="s">
        <v>16</v>
      </c>
      <c r="H4224" t="s">
        <v>9785</v>
      </c>
      <c r="I4224" t="s">
        <v>17</v>
      </c>
      <c r="J4224" t="s">
        <v>9283</v>
      </c>
    </row>
    <row r="4225" spans="1:10" x14ac:dyDescent="0.3">
      <c r="A4225" t="s">
        <v>9284</v>
      </c>
      <c r="B4225" t="s">
        <v>28444</v>
      </c>
      <c r="C4225" t="s">
        <v>20488</v>
      </c>
      <c r="D4225" t="s">
        <v>11</v>
      </c>
      <c r="E4225" t="s">
        <v>9285</v>
      </c>
      <c r="F4225">
        <v>38</v>
      </c>
      <c r="G4225" t="s">
        <v>46</v>
      </c>
      <c r="H4225" t="s">
        <v>46</v>
      </c>
      <c r="I4225" t="s">
        <v>1074</v>
      </c>
      <c r="J4225" t="s">
        <v>9286</v>
      </c>
    </row>
    <row r="4226" spans="1:10" x14ac:dyDescent="0.3">
      <c r="A4226" t="s">
        <v>9287</v>
      </c>
      <c r="B4226" t="s">
        <v>28445</v>
      </c>
      <c r="C4226" t="s">
        <v>20491</v>
      </c>
      <c r="D4226" t="s">
        <v>22</v>
      </c>
      <c r="E4226" t="s">
        <v>2136</v>
      </c>
      <c r="F4226">
        <v>48</v>
      </c>
      <c r="G4226" t="s">
        <v>1439</v>
      </c>
      <c r="H4226" t="s">
        <v>46</v>
      </c>
      <c r="I4226" t="s">
        <v>9288</v>
      </c>
    </row>
    <row r="4227" spans="1:10" x14ac:dyDescent="0.3">
      <c r="A4227" t="s">
        <v>9289</v>
      </c>
      <c r="B4227" t="s">
        <v>28446</v>
      </c>
      <c r="C4227" t="s">
        <v>20486</v>
      </c>
      <c r="D4227" t="s">
        <v>11</v>
      </c>
      <c r="E4227" t="s">
        <v>9290</v>
      </c>
      <c r="F4227">
        <v>36</v>
      </c>
      <c r="G4227" t="s">
        <v>46</v>
      </c>
      <c r="H4227" t="s">
        <v>46</v>
      </c>
    </row>
    <row r="4228" spans="1:10" x14ac:dyDescent="0.3">
      <c r="A4228" t="s">
        <v>9291</v>
      </c>
      <c r="B4228" t="s">
        <v>28447</v>
      </c>
      <c r="C4228" t="s">
        <v>20486</v>
      </c>
      <c r="D4228" t="s">
        <v>22</v>
      </c>
      <c r="E4228" t="s">
        <v>9292</v>
      </c>
      <c r="F4228">
        <v>26</v>
      </c>
      <c r="G4228" t="s">
        <v>109</v>
      </c>
      <c r="H4228" t="s">
        <v>9788</v>
      </c>
      <c r="I4228" t="s">
        <v>9293</v>
      </c>
      <c r="J4228" t="s">
        <v>9294</v>
      </c>
    </row>
    <row r="4229" spans="1:10" x14ac:dyDescent="0.3">
      <c r="A4229" t="s">
        <v>9295</v>
      </c>
      <c r="B4229" t="s">
        <v>28448</v>
      </c>
      <c r="C4229" t="s">
        <v>20486</v>
      </c>
      <c r="D4229" t="s">
        <v>11</v>
      </c>
      <c r="E4229" t="s">
        <v>8122</v>
      </c>
      <c r="F4229">
        <v>34</v>
      </c>
      <c r="G4229" t="s">
        <v>370</v>
      </c>
      <c r="H4229" t="s">
        <v>46</v>
      </c>
      <c r="I4229" t="s">
        <v>9296</v>
      </c>
    </row>
    <row r="4230" spans="1:10" x14ac:dyDescent="0.3">
      <c r="A4230" t="s">
        <v>9297</v>
      </c>
      <c r="B4230" t="s">
        <v>28449</v>
      </c>
      <c r="C4230" t="s">
        <v>20488</v>
      </c>
      <c r="D4230" t="s">
        <v>22</v>
      </c>
      <c r="E4230" t="s">
        <v>2343</v>
      </c>
      <c r="F4230">
        <v>49</v>
      </c>
      <c r="G4230" t="s">
        <v>46</v>
      </c>
      <c r="H4230" t="s">
        <v>46</v>
      </c>
      <c r="I4230" t="s">
        <v>9298</v>
      </c>
      <c r="J4230" t="s">
        <v>12597</v>
      </c>
    </row>
    <row r="4231" spans="1:10" x14ac:dyDescent="0.3">
      <c r="A4231" t="s">
        <v>9299</v>
      </c>
      <c r="B4231" t="s">
        <v>28450</v>
      </c>
      <c r="C4231" t="s">
        <v>20488</v>
      </c>
      <c r="D4231" t="s">
        <v>22</v>
      </c>
      <c r="E4231" t="s">
        <v>9300</v>
      </c>
      <c r="F4231">
        <v>33</v>
      </c>
      <c r="G4231" t="s">
        <v>46</v>
      </c>
      <c r="H4231" t="s">
        <v>46</v>
      </c>
      <c r="I4231" t="s">
        <v>149</v>
      </c>
      <c r="J4231" t="s">
        <v>14346</v>
      </c>
    </row>
    <row r="4232" spans="1:10" x14ac:dyDescent="0.3">
      <c r="A4232" t="s">
        <v>9301</v>
      </c>
      <c r="B4232" t="s">
        <v>28451</v>
      </c>
      <c r="C4232" t="s">
        <v>20488</v>
      </c>
      <c r="D4232" t="s">
        <v>22</v>
      </c>
      <c r="E4232" t="s">
        <v>9302</v>
      </c>
      <c r="F4232">
        <v>41</v>
      </c>
      <c r="G4232" t="s">
        <v>31</v>
      </c>
      <c r="H4232" t="s">
        <v>31</v>
      </c>
      <c r="I4232" t="s">
        <v>9303</v>
      </c>
    </row>
    <row r="4233" spans="1:10" x14ac:dyDescent="0.3">
      <c r="A4233" t="s">
        <v>9304</v>
      </c>
      <c r="B4233" t="s">
        <v>28452</v>
      </c>
      <c r="C4233" t="s">
        <v>20486</v>
      </c>
      <c r="D4233" t="s">
        <v>11</v>
      </c>
      <c r="E4233" t="s">
        <v>9305</v>
      </c>
      <c r="F4233">
        <v>40</v>
      </c>
      <c r="G4233" t="s">
        <v>109</v>
      </c>
      <c r="H4233" t="s">
        <v>9788</v>
      </c>
      <c r="I4233" t="s">
        <v>228</v>
      </c>
      <c r="J4233" t="s">
        <v>1088</v>
      </c>
    </row>
    <row r="4234" spans="1:10" x14ac:dyDescent="0.3">
      <c r="A4234" t="s">
        <v>9306</v>
      </c>
      <c r="B4234" t="s">
        <v>28453</v>
      </c>
      <c r="C4234" t="s">
        <v>20486</v>
      </c>
      <c r="D4234" t="s">
        <v>22</v>
      </c>
      <c r="E4234" t="s">
        <v>9307</v>
      </c>
      <c r="F4234">
        <v>28</v>
      </c>
    </row>
    <row r="4235" spans="1:10" x14ac:dyDescent="0.3">
      <c r="A4235" t="s">
        <v>9308</v>
      </c>
      <c r="B4235" t="s">
        <v>28454</v>
      </c>
      <c r="C4235" t="s">
        <v>20486</v>
      </c>
      <c r="D4235" t="s">
        <v>22</v>
      </c>
      <c r="E4235" t="s">
        <v>2154</v>
      </c>
      <c r="F4235">
        <v>44</v>
      </c>
      <c r="G4235" t="s">
        <v>46</v>
      </c>
      <c r="H4235" t="s">
        <v>46</v>
      </c>
    </row>
    <row r="4236" spans="1:10" x14ac:dyDescent="0.3">
      <c r="A4236" t="s">
        <v>9309</v>
      </c>
      <c r="B4236" t="s">
        <v>28455</v>
      </c>
      <c r="C4236" t="s">
        <v>20487</v>
      </c>
      <c r="D4236" t="s">
        <v>11</v>
      </c>
      <c r="E4236" t="s">
        <v>4137</v>
      </c>
      <c r="F4236">
        <v>44</v>
      </c>
      <c r="G4236" t="s">
        <v>109</v>
      </c>
      <c r="H4236" t="s">
        <v>9788</v>
      </c>
    </row>
    <row r="4237" spans="1:10" x14ac:dyDescent="0.3">
      <c r="A4237" t="s">
        <v>9310</v>
      </c>
      <c r="B4237" t="s">
        <v>28456</v>
      </c>
      <c r="C4237" t="s">
        <v>20486</v>
      </c>
      <c r="D4237" t="s">
        <v>11</v>
      </c>
      <c r="E4237" t="s">
        <v>9311</v>
      </c>
      <c r="F4237">
        <v>61</v>
      </c>
      <c r="G4237" t="s">
        <v>172</v>
      </c>
      <c r="H4237" t="s">
        <v>12099</v>
      </c>
      <c r="I4237" t="s">
        <v>17</v>
      </c>
      <c r="J4237" t="s">
        <v>9312</v>
      </c>
    </row>
    <row r="4238" spans="1:10" x14ac:dyDescent="0.3">
      <c r="A4238" t="s">
        <v>9313</v>
      </c>
      <c r="B4238" t="s">
        <v>28457</v>
      </c>
      <c r="C4238" t="s">
        <v>20486</v>
      </c>
      <c r="D4238" t="s">
        <v>11</v>
      </c>
      <c r="E4238" t="s">
        <v>9314</v>
      </c>
      <c r="F4238">
        <v>55</v>
      </c>
    </row>
    <row r="4239" spans="1:10" x14ac:dyDescent="0.3">
      <c r="A4239" t="s">
        <v>9315</v>
      </c>
      <c r="B4239" t="s">
        <v>28458</v>
      </c>
      <c r="C4239" t="s">
        <v>20486</v>
      </c>
      <c r="D4239" t="s">
        <v>11</v>
      </c>
      <c r="E4239" t="s">
        <v>5803</v>
      </c>
      <c r="F4239">
        <v>36</v>
      </c>
      <c r="G4239" t="s">
        <v>46</v>
      </c>
      <c r="H4239" t="s">
        <v>46</v>
      </c>
      <c r="I4239" t="s">
        <v>9316</v>
      </c>
      <c r="J4239" t="s">
        <v>9317</v>
      </c>
    </row>
    <row r="4240" spans="1:10" x14ac:dyDescent="0.3">
      <c r="A4240" t="s">
        <v>9318</v>
      </c>
      <c r="B4240" t="s">
        <v>28459</v>
      </c>
      <c r="C4240" t="s">
        <v>20490</v>
      </c>
      <c r="D4240" t="s">
        <v>22</v>
      </c>
      <c r="E4240" t="s">
        <v>9319</v>
      </c>
      <c r="F4240">
        <v>45</v>
      </c>
      <c r="G4240" t="s">
        <v>370</v>
      </c>
      <c r="H4240" t="s">
        <v>46</v>
      </c>
    </row>
    <row r="4241" spans="1:10" x14ac:dyDescent="0.3">
      <c r="A4241" t="s">
        <v>9321</v>
      </c>
      <c r="B4241" t="s">
        <v>28460</v>
      </c>
      <c r="C4241" t="s">
        <v>20491</v>
      </c>
      <c r="D4241" t="s">
        <v>22</v>
      </c>
      <c r="E4241" t="s">
        <v>4903</v>
      </c>
      <c r="F4241">
        <v>58</v>
      </c>
      <c r="G4241" t="s">
        <v>370</v>
      </c>
      <c r="H4241" t="s">
        <v>46</v>
      </c>
      <c r="I4241" t="s">
        <v>9320</v>
      </c>
    </row>
    <row r="4242" spans="1:10" x14ac:dyDescent="0.3">
      <c r="A4242" t="s">
        <v>9322</v>
      </c>
      <c r="B4242" t="s">
        <v>28461</v>
      </c>
      <c r="C4242" t="s">
        <v>20491</v>
      </c>
      <c r="D4242" t="s">
        <v>22</v>
      </c>
      <c r="E4242" t="s">
        <v>8128</v>
      </c>
      <c r="F4242">
        <v>40</v>
      </c>
      <c r="G4242" t="s">
        <v>370</v>
      </c>
      <c r="H4242" t="s">
        <v>46</v>
      </c>
      <c r="I4242" t="s">
        <v>228</v>
      </c>
      <c r="J4242" t="s">
        <v>5900</v>
      </c>
    </row>
    <row r="4243" spans="1:10" x14ac:dyDescent="0.3">
      <c r="A4243" t="s">
        <v>9323</v>
      </c>
      <c r="B4243" t="s">
        <v>28462</v>
      </c>
      <c r="C4243" t="s">
        <v>20488</v>
      </c>
      <c r="D4243" t="s">
        <v>22</v>
      </c>
      <c r="E4243" t="s">
        <v>9324</v>
      </c>
      <c r="F4243">
        <v>41</v>
      </c>
      <c r="G4243" t="s">
        <v>46</v>
      </c>
      <c r="H4243" t="s">
        <v>46</v>
      </c>
      <c r="I4243" t="s">
        <v>1412</v>
      </c>
    </row>
    <row r="4244" spans="1:10" x14ac:dyDescent="0.3">
      <c r="A4244" t="s">
        <v>9325</v>
      </c>
      <c r="B4244" t="s">
        <v>28463</v>
      </c>
      <c r="C4244" t="s">
        <v>20486</v>
      </c>
      <c r="D4244" t="s">
        <v>11</v>
      </c>
      <c r="E4244" t="s">
        <v>9326</v>
      </c>
      <c r="F4244">
        <v>35</v>
      </c>
      <c r="G4244" t="s">
        <v>109</v>
      </c>
      <c r="H4244" t="s">
        <v>9788</v>
      </c>
    </row>
    <row r="4245" spans="1:10" x14ac:dyDescent="0.3">
      <c r="A4245" t="s">
        <v>9327</v>
      </c>
      <c r="B4245" t="s">
        <v>28464</v>
      </c>
      <c r="C4245" t="s">
        <v>20486</v>
      </c>
      <c r="D4245" t="s">
        <v>22</v>
      </c>
      <c r="E4245" t="s">
        <v>9328</v>
      </c>
      <c r="F4245">
        <v>57</v>
      </c>
      <c r="G4245" t="s">
        <v>46</v>
      </c>
      <c r="H4245" t="s">
        <v>46</v>
      </c>
      <c r="I4245" t="s">
        <v>1190</v>
      </c>
    </row>
    <row r="4246" spans="1:10" x14ac:dyDescent="0.3">
      <c r="A4246" t="s">
        <v>9329</v>
      </c>
      <c r="B4246" t="s">
        <v>28465</v>
      </c>
      <c r="C4246" t="s">
        <v>20486</v>
      </c>
      <c r="D4246" t="s">
        <v>22</v>
      </c>
      <c r="E4246" t="s">
        <v>9330</v>
      </c>
      <c r="F4246">
        <v>56</v>
      </c>
      <c r="G4246" t="s">
        <v>172</v>
      </c>
      <c r="H4246" t="s">
        <v>12099</v>
      </c>
      <c r="I4246" t="s">
        <v>9331</v>
      </c>
      <c r="J4246" t="s">
        <v>9331</v>
      </c>
    </row>
    <row r="4247" spans="1:10" x14ac:dyDescent="0.3">
      <c r="A4247" t="s">
        <v>9332</v>
      </c>
      <c r="B4247" t="s">
        <v>28466</v>
      </c>
      <c r="C4247" t="s">
        <v>20486</v>
      </c>
      <c r="D4247" t="s">
        <v>22</v>
      </c>
      <c r="E4247" t="s">
        <v>4810</v>
      </c>
      <c r="F4247">
        <v>32</v>
      </c>
      <c r="G4247" t="s">
        <v>109</v>
      </c>
      <c r="H4247" t="s">
        <v>9788</v>
      </c>
      <c r="I4247" t="s">
        <v>228</v>
      </c>
      <c r="J4247" t="s">
        <v>9333</v>
      </c>
    </row>
    <row r="4248" spans="1:10" x14ac:dyDescent="0.3">
      <c r="A4248" t="s">
        <v>9334</v>
      </c>
      <c r="B4248" t="s">
        <v>28467</v>
      </c>
      <c r="C4248" t="s">
        <v>20490</v>
      </c>
      <c r="D4248" t="s">
        <v>11</v>
      </c>
      <c r="E4248" t="s">
        <v>8681</v>
      </c>
      <c r="F4248">
        <v>51</v>
      </c>
      <c r="G4248" t="s">
        <v>88</v>
      </c>
      <c r="H4248" t="s">
        <v>12065</v>
      </c>
      <c r="I4248" t="s">
        <v>110</v>
      </c>
      <c r="J4248" t="s">
        <v>9335</v>
      </c>
    </row>
    <row r="4249" spans="1:10" x14ac:dyDescent="0.3">
      <c r="A4249" t="s">
        <v>9336</v>
      </c>
      <c r="B4249" t="s">
        <v>28468</v>
      </c>
      <c r="C4249" t="s">
        <v>20486</v>
      </c>
      <c r="D4249" t="s">
        <v>22</v>
      </c>
      <c r="E4249" t="s">
        <v>9337</v>
      </c>
      <c r="F4249">
        <v>59</v>
      </c>
      <c r="G4249" t="s">
        <v>46</v>
      </c>
      <c r="H4249" t="s">
        <v>46</v>
      </c>
      <c r="I4249" t="s">
        <v>9338</v>
      </c>
    </row>
    <row r="4250" spans="1:10" x14ac:dyDescent="0.3">
      <c r="A4250" t="s">
        <v>9339</v>
      </c>
      <c r="B4250" t="s">
        <v>28469</v>
      </c>
      <c r="C4250" t="s">
        <v>20490</v>
      </c>
      <c r="D4250" t="s">
        <v>22</v>
      </c>
      <c r="E4250" t="s">
        <v>9340</v>
      </c>
      <c r="F4250">
        <v>50</v>
      </c>
      <c r="G4250" t="s">
        <v>31</v>
      </c>
      <c r="H4250" t="s">
        <v>31</v>
      </c>
    </row>
    <row r="4251" spans="1:10" x14ac:dyDescent="0.3">
      <c r="A4251" t="s">
        <v>9341</v>
      </c>
      <c r="B4251" t="s">
        <v>28470</v>
      </c>
      <c r="C4251" t="s">
        <v>20486</v>
      </c>
      <c r="D4251" t="s">
        <v>22</v>
      </c>
      <c r="E4251" t="s">
        <v>9342</v>
      </c>
      <c r="F4251">
        <v>56</v>
      </c>
      <c r="G4251" t="s">
        <v>46</v>
      </c>
      <c r="H4251" t="s">
        <v>46</v>
      </c>
      <c r="I4251" t="s">
        <v>669</v>
      </c>
    </row>
    <row r="4252" spans="1:10" x14ac:dyDescent="0.3">
      <c r="A4252" t="s">
        <v>9343</v>
      </c>
      <c r="B4252" t="s">
        <v>28471</v>
      </c>
      <c r="C4252" t="s">
        <v>20486</v>
      </c>
      <c r="D4252" t="s">
        <v>22</v>
      </c>
      <c r="E4252" t="s">
        <v>9344</v>
      </c>
      <c r="F4252">
        <v>38</v>
      </c>
      <c r="G4252" t="s">
        <v>46</v>
      </c>
      <c r="H4252" t="s">
        <v>46</v>
      </c>
    </row>
    <row r="4253" spans="1:10" x14ac:dyDescent="0.3">
      <c r="A4253" t="s">
        <v>9345</v>
      </c>
      <c r="B4253" t="s">
        <v>28472</v>
      </c>
      <c r="C4253" t="s">
        <v>20486</v>
      </c>
      <c r="D4253" t="s">
        <v>11</v>
      </c>
      <c r="E4253" t="s">
        <v>6933</v>
      </c>
      <c r="F4253">
        <v>34</v>
      </c>
      <c r="G4253" t="s">
        <v>46</v>
      </c>
      <c r="H4253" t="s">
        <v>46</v>
      </c>
    </row>
    <row r="4254" spans="1:10" x14ac:dyDescent="0.3">
      <c r="A4254" t="s">
        <v>9346</v>
      </c>
      <c r="B4254" t="s">
        <v>28473</v>
      </c>
      <c r="C4254" t="s">
        <v>20489</v>
      </c>
      <c r="D4254" t="s">
        <v>22</v>
      </c>
      <c r="E4254" t="s">
        <v>5268</v>
      </c>
      <c r="F4254">
        <v>54</v>
      </c>
      <c r="G4254" t="s">
        <v>16</v>
      </c>
      <c r="H4254" t="s">
        <v>9785</v>
      </c>
      <c r="I4254" t="s">
        <v>17</v>
      </c>
      <c r="J4254" t="s">
        <v>642</v>
      </c>
    </row>
    <row r="4255" spans="1:10" x14ac:dyDescent="0.3">
      <c r="A4255" t="s">
        <v>9347</v>
      </c>
      <c r="B4255" t="s">
        <v>28474</v>
      </c>
      <c r="C4255" t="s">
        <v>20487</v>
      </c>
      <c r="D4255" t="s">
        <v>11</v>
      </c>
      <c r="E4255" t="s">
        <v>9348</v>
      </c>
      <c r="F4255">
        <v>37</v>
      </c>
      <c r="G4255" t="s">
        <v>109</v>
      </c>
      <c r="H4255" t="s">
        <v>9788</v>
      </c>
      <c r="I4255" t="s">
        <v>1534</v>
      </c>
      <c r="J4255" t="s">
        <v>9259</v>
      </c>
    </row>
    <row r="4256" spans="1:10" x14ac:dyDescent="0.3">
      <c r="A4256" t="s">
        <v>9349</v>
      </c>
      <c r="B4256" t="s">
        <v>28475</v>
      </c>
      <c r="C4256" t="s">
        <v>20488</v>
      </c>
      <c r="D4256" t="s">
        <v>11</v>
      </c>
      <c r="E4256" t="s">
        <v>9350</v>
      </c>
      <c r="F4256">
        <v>27</v>
      </c>
      <c r="G4256" t="s">
        <v>109</v>
      </c>
      <c r="H4256" t="s">
        <v>9788</v>
      </c>
    </row>
    <row r="4257" spans="1:10" x14ac:dyDescent="0.3">
      <c r="A4257" t="s">
        <v>9351</v>
      </c>
      <c r="B4257" t="s">
        <v>28476</v>
      </c>
      <c r="C4257" t="s">
        <v>20486</v>
      </c>
      <c r="D4257" t="s">
        <v>22</v>
      </c>
      <c r="E4257" t="s">
        <v>543</v>
      </c>
      <c r="F4257">
        <v>62</v>
      </c>
      <c r="G4257" t="s">
        <v>31</v>
      </c>
      <c r="H4257" t="s">
        <v>31</v>
      </c>
    </row>
    <row r="4258" spans="1:10" x14ac:dyDescent="0.3">
      <c r="A4258" t="s">
        <v>9352</v>
      </c>
      <c r="B4258" t="s">
        <v>28477</v>
      </c>
      <c r="C4258" t="s">
        <v>20486</v>
      </c>
      <c r="D4258" t="s">
        <v>22</v>
      </c>
      <c r="E4258" t="s">
        <v>9353</v>
      </c>
      <c r="F4258">
        <v>38</v>
      </c>
      <c r="G4258" t="s">
        <v>46</v>
      </c>
      <c r="H4258" t="s">
        <v>46</v>
      </c>
      <c r="I4258" t="s">
        <v>228</v>
      </c>
      <c r="J4258" t="s">
        <v>9354</v>
      </c>
    </row>
    <row r="4259" spans="1:10" x14ac:dyDescent="0.3">
      <c r="A4259" t="s">
        <v>9355</v>
      </c>
      <c r="B4259" t="s">
        <v>28478</v>
      </c>
      <c r="C4259" t="s">
        <v>20486</v>
      </c>
      <c r="D4259" t="s">
        <v>22</v>
      </c>
      <c r="E4259" t="s">
        <v>9356</v>
      </c>
      <c r="F4259">
        <v>40</v>
      </c>
      <c r="G4259" t="s">
        <v>109</v>
      </c>
      <c r="H4259" t="s">
        <v>9788</v>
      </c>
      <c r="I4259" t="s">
        <v>8707</v>
      </c>
      <c r="J4259" t="s">
        <v>9119</v>
      </c>
    </row>
    <row r="4260" spans="1:10" x14ac:dyDescent="0.3">
      <c r="A4260" t="s">
        <v>9357</v>
      </c>
      <c r="B4260" t="s">
        <v>28479</v>
      </c>
      <c r="C4260" t="s">
        <v>20486</v>
      </c>
      <c r="D4260" t="s">
        <v>11</v>
      </c>
      <c r="E4260" t="s">
        <v>9358</v>
      </c>
      <c r="F4260">
        <v>39</v>
      </c>
      <c r="G4260" t="s">
        <v>109</v>
      </c>
      <c r="H4260" t="s">
        <v>9788</v>
      </c>
    </row>
    <row r="4261" spans="1:10" x14ac:dyDescent="0.3">
      <c r="A4261" t="s">
        <v>9359</v>
      </c>
      <c r="B4261" t="s">
        <v>28480</v>
      </c>
      <c r="C4261" t="s">
        <v>20488</v>
      </c>
      <c r="D4261" t="s">
        <v>22</v>
      </c>
      <c r="E4261" t="s">
        <v>9360</v>
      </c>
      <c r="F4261">
        <v>38</v>
      </c>
      <c r="G4261" t="s">
        <v>46</v>
      </c>
      <c r="H4261" t="s">
        <v>46</v>
      </c>
      <c r="I4261" t="s">
        <v>228</v>
      </c>
    </row>
    <row r="4262" spans="1:10" x14ac:dyDescent="0.3">
      <c r="A4262" t="s">
        <v>9361</v>
      </c>
      <c r="B4262" t="s">
        <v>28481</v>
      </c>
      <c r="C4262" t="s">
        <v>20486</v>
      </c>
      <c r="D4262" t="s">
        <v>22</v>
      </c>
      <c r="E4262" t="s">
        <v>8111</v>
      </c>
      <c r="F4262">
        <v>39</v>
      </c>
      <c r="G4262" t="s">
        <v>172</v>
      </c>
      <c r="H4262" t="s">
        <v>12099</v>
      </c>
      <c r="I4262" t="s">
        <v>8693</v>
      </c>
      <c r="J4262" t="s">
        <v>12598</v>
      </c>
    </row>
    <row r="4263" spans="1:10" x14ac:dyDescent="0.3">
      <c r="A4263" t="s">
        <v>9362</v>
      </c>
      <c r="B4263" t="s">
        <v>28482</v>
      </c>
      <c r="C4263" t="s">
        <v>20490</v>
      </c>
      <c r="D4263" t="s">
        <v>22</v>
      </c>
      <c r="E4263" t="s">
        <v>9363</v>
      </c>
      <c r="F4263">
        <v>60</v>
      </c>
      <c r="G4263" t="s">
        <v>133</v>
      </c>
      <c r="H4263" t="s">
        <v>9789</v>
      </c>
    </row>
    <row r="4264" spans="1:10" x14ac:dyDescent="0.3">
      <c r="A4264" t="s">
        <v>9364</v>
      </c>
      <c r="B4264" t="s">
        <v>28483</v>
      </c>
      <c r="C4264" t="s">
        <v>20487</v>
      </c>
      <c r="D4264" t="s">
        <v>22</v>
      </c>
      <c r="E4264" t="s">
        <v>9365</v>
      </c>
      <c r="F4264">
        <v>48</v>
      </c>
      <c r="G4264" t="s">
        <v>172</v>
      </c>
      <c r="H4264" t="s">
        <v>12099</v>
      </c>
      <c r="I4264" t="s">
        <v>9366</v>
      </c>
    </row>
    <row r="4265" spans="1:10" x14ac:dyDescent="0.3">
      <c r="A4265" t="s">
        <v>9367</v>
      </c>
      <c r="B4265" t="s">
        <v>28484</v>
      </c>
      <c r="C4265" t="s">
        <v>20488</v>
      </c>
      <c r="D4265" t="s">
        <v>11</v>
      </c>
      <c r="E4265" t="s">
        <v>9368</v>
      </c>
      <c r="F4265">
        <v>39</v>
      </c>
      <c r="G4265" t="s">
        <v>46</v>
      </c>
      <c r="H4265" t="s">
        <v>46</v>
      </c>
      <c r="I4265" t="s">
        <v>228</v>
      </c>
      <c r="J4265" t="s">
        <v>9369</v>
      </c>
    </row>
    <row r="4266" spans="1:10" x14ac:dyDescent="0.3">
      <c r="A4266" t="s">
        <v>9370</v>
      </c>
      <c r="B4266" t="s">
        <v>28485</v>
      </c>
      <c r="C4266" t="s">
        <v>20490</v>
      </c>
      <c r="D4266" t="s">
        <v>22</v>
      </c>
      <c r="E4266" t="s">
        <v>9371</v>
      </c>
      <c r="F4266">
        <v>57</v>
      </c>
      <c r="G4266" t="s">
        <v>5109</v>
      </c>
      <c r="H4266" t="s">
        <v>9788</v>
      </c>
    </row>
    <row r="4267" spans="1:10" x14ac:dyDescent="0.3">
      <c r="A4267" t="s">
        <v>9372</v>
      </c>
      <c r="B4267" t="s">
        <v>28486</v>
      </c>
      <c r="C4267" t="s">
        <v>20486</v>
      </c>
      <c r="D4267" t="s">
        <v>22</v>
      </c>
      <c r="E4267" t="s">
        <v>9373</v>
      </c>
      <c r="F4267">
        <v>42</v>
      </c>
      <c r="G4267" t="s">
        <v>109</v>
      </c>
      <c r="H4267" t="s">
        <v>9788</v>
      </c>
    </row>
    <row r="4268" spans="1:10" x14ac:dyDescent="0.3">
      <c r="A4268" t="s">
        <v>9374</v>
      </c>
      <c r="B4268" t="s">
        <v>28487</v>
      </c>
      <c r="C4268" t="s">
        <v>20491</v>
      </c>
      <c r="D4268" t="s">
        <v>22</v>
      </c>
      <c r="E4268" t="s">
        <v>7058</v>
      </c>
      <c r="F4268">
        <v>26</v>
      </c>
      <c r="G4268" t="s">
        <v>16</v>
      </c>
      <c r="H4268" t="s">
        <v>9785</v>
      </c>
      <c r="I4268" t="s">
        <v>8908</v>
      </c>
      <c r="J4268" t="s">
        <v>9049</v>
      </c>
    </row>
    <row r="4269" spans="1:10" x14ac:dyDescent="0.3">
      <c r="A4269" t="s">
        <v>9375</v>
      </c>
      <c r="B4269" t="s">
        <v>28488</v>
      </c>
      <c r="C4269" t="s">
        <v>20491</v>
      </c>
      <c r="D4269" t="s">
        <v>22</v>
      </c>
      <c r="E4269" t="s">
        <v>9376</v>
      </c>
      <c r="F4269">
        <v>57</v>
      </c>
      <c r="G4269" t="s">
        <v>16</v>
      </c>
      <c r="H4269" t="s">
        <v>9785</v>
      </c>
      <c r="I4269" t="s">
        <v>8908</v>
      </c>
      <c r="J4269" t="s">
        <v>9377</v>
      </c>
    </row>
    <row r="4270" spans="1:10" x14ac:dyDescent="0.3">
      <c r="A4270" t="s">
        <v>9378</v>
      </c>
      <c r="B4270" t="s">
        <v>28489</v>
      </c>
      <c r="C4270" t="s">
        <v>20486</v>
      </c>
      <c r="D4270" t="s">
        <v>22</v>
      </c>
      <c r="E4270" t="s">
        <v>9379</v>
      </c>
      <c r="F4270">
        <v>35</v>
      </c>
      <c r="G4270" t="s">
        <v>16</v>
      </c>
      <c r="H4270" t="s">
        <v>9785</v>
      </c>
      <c r="I4270" t="s">
        <v>17</v>
      </c>
      <c r="J4270" t="s">
        <v>9380</v>
      </c>
    </row>
    <row r="4271" spans="1:10" x14ac:dyDescent="0.3">
      <c r="A4271" t="s">
        <v>9381</v>
      </c>
      <c r="B4271" t="s">
        <v>28490</v>
      </c>
      <c r="C4271" t="s">
        <v>20486</v>
      </c>
      <c r="D4271" t="s">
        <v>22</v>
      </c>
      <c r="E4271" t="s">
        <v>9382</v>
      </c>
      <c r="F4271">
        <v>54</v>
      </c>
      <c r="G4271" t="s">
        <v>16</v>
      </c>
      <c r="H4271" t="s">
        <v>9785</v>
      </c>
      <c r="I4271" t="s">
        <v>17</v>
      </c>
    </row>
    <row r="4272" spans="1:10" x14ac:dyDescent="0.3">
      <c r="A4272" t="s">
        <v>9383</v>
      </c>
      <c r="B4272" t="s">
        <v>28491</v>
      </c>
      <c r="C4272" t="s">
        <v>20486</v>
      </c>
      <c r="D4272" t="s">
        <v>22</v>
      </c>
      <c r="E4272" t="s">
        <v>9384</v>
      </c>
      <c r="F4272">
        <v>58</v>
      </c>
      <c r="G4272" t="s">
        <v>172</v>
      </c>
      <c r="H4272" t="s">
        <v>12099</v>
      </c>
      <c r="I4272" t="s">
        <v>17</v>
      </c>
      <c r="J4272" t="s">
        <v>9385</v>
      </c>
    </row>
    <row r="4273" spans="1:10" x14ac:dyDescent="0.3">
      <c r="A4273" t="s">
        <v>9386</v>
      </c>
      <c r="B4273" t="s">
        <v>28492</v>
      </c>
      <c r="C4273" t="s">
        <v>20486</v>
      </c>
      <c r="D4273" t="s">
        <v>22</v>
      </c>
      <c r="E4273" t="s">
        <v>9387</v>
      </c>
      <c r="F4273">
        <v>44</v>
      </c>
      <c r="G4273" t="s">
        <v>31</v>
      </c>
      <c r="H4273" t="s">
        <v>31</v>
      </c>
    </row>
    <row r="4274" spans="1:10" x14ac:dyDescent="0.3">
      <c r="A4274" t="s">
        <v>9388</v>
      </c>
      <c r="B4274" t="s">
        <v>28493</v>
      </c>
      <c r="C4274" t="s">
        <v>20486</v>
      </c>
      <c r="D4274" t="s">
        <v>11</v>
      </c>
      <c r="E4274" t="s">
        <v>3183</v>
      </c>
      <c r="F4274">
        <v>39</v>
      </c>
      <c r="G4274" t="s">
        <v>1331</v>
      </c>
      <c r="H4274" t="s">
        <v>9789</v>
      </c>
      <c r="I4274" t="s">
        <v>923</v>
      </c>
    </row>
    <row r="4275" spans="1:10" x14ac:dyDescent="0.3">
      <c r="A4275" t="s">
        <v>9389</v>
      </c>
      <c r="B4275" t="s">
        <v>28494</v>
      </c>
      <c r="C4275" t="s">
        <v>20486</v>
      </c>
      <c r="D4275" t="s">
        <v>22</v>
      </c>
      <c r="E4275" t="s">
        <v>9390</v>
      </c>
      <c r="F4275">
        <v>24</v>
      </c>
      <c r="G4275" t="s">
        <v>109</v>
      </c>
      <c r="H4275" t="s">
        <v>9788</v>
      </c>
    </row>
    <row r="4276" spans="1:10" x14ac:dyDescent="0.3">
      <c r="A4276" t="s">
        <v>9391</v>
      </c>
      <c r="B4276" t="s">
        <v>28495</v>
      </c>
      <c r="C4276" t="s">
        <v>20491</v>
      </c>
      <c r="D4276" t="s">
        <v>11</v>
      </c>
      <c r="E4276" t="s">
        <v>9392</v>
      </c>
      <c r="F4276">
        <v>26</v>
      </c>
      <c r="G4276" t="s">
        <v>109</v>
      </c>
      <c r="H4276" t="s">
        <v>9788</v>
      </c>
      <c r="J4276" t="s">
        <v>225</v>
      </c>
    </row>
    <row r="4277" spans="1:10" x14ac:dyDescent="0.3">
      <c r="A4277" t="s">
        <v>9393</v>
      </c>
      <c r="B4277" t="s">
        <v>28496</v>
      </c>
      <c r="C4277" t="s">
        <v>20490</v>
      </c>
      <c r="D4277" t="s">
        <v>22</v>
      </c>
      <c r="E4277" t="s">
        <v>9394</v>
      </c>
      <c r="F4277">
        <v>29</v>
      </c>
      <c r="G4277" t="s">
        <v>31</v>
      </c>
      <c r="H4277" t="s">
        <v>31</v>
      </c>
    </row>
    <row r="4278" spans="1:10" x14ac:dyDescent="0.3">
      <c r="A4278" t="s">
        <v>9395</v>
      </c>
      <c r="B4278" t="s">
        <v>28497</v>
      </c>
      <c r="C4278" t="s">
        <v>20486</v>
      </c>
      <c r="D4278" t="s">
        <v>22</v>
      </c>
      <c r="E4278" t="s">
        <v>9396</v>
      </c>
      <c r="F4278">
        <v>48</v>
      </c>
      <c r="G4278" t="s">
        <v>46</v>
      </c>
      <c r="H4278" t="s">
        <v>46</v>
      </c>
      <c r="I4278" t="s">
        <v>14347</v>
      </c>
      <c r="J4278" t="s">
        <v>14348</v>
      </c>
    </row>
    <row r="4279" spans="1:10" x14ac:dyDescent="0.3">
      <c r="A4279" t="s">
        <v>9397</v>
      </c>
      <c r="B4279" t="s">
        <v>28498</v>
      </c>
      <c r="C4279" t="s">
        <v>20486</v>
      </c>
      <c r="D4279" t="s">
        <v>22</v>
      </c>
      <c r="E4279" t="s">
        <v>9398</v>
      </c>
      <c r="F4279">
        <v>50</v>
      </c>
    </row>
    <row r="4280" spans="1:10" x14ac:dyDescent="0.3">
      <c r="A4280" t="s">
        <v>9399</v>
      </c>
      <c r="B4280" t="s">
        <v>28499</v>
      </c>
      <c r="C4280" t="s">
        <v>20488</v>
      </c>
      <c r="D4280" t="s">
        <v>22</v>
      </c>
      <c r="E4280" t="s">
        <v>9400</v>
      </c>
      <c r="F4280">
        <v>42</v>
      </c>
      <c r="G4280" t="s">
        <v>31</v>
      </c>
      <c r="H4280" t="s">
        <v>31</v>
      </c>
    </row>
    <row r="4281" spans="1:10" x14ac:dyDescent="0.3">
      <c r="A4281" t="s">
        <v>9401</v>
      </c>
      <c r="B4281" t="s">
        <v>28500</v>
      </c>
      <c r="C4281" t="s">
        <v>20488</v>
      </c>
      <c r="D4281" t="s">
        <v>22</v>
      </c>
      <c r="E4281" t="s">
        <v>9402</v>
      </c>
      <c r="F4281">
        <v>33</v>
      </c>
      <c r="G4281" t="s">
        <v>46</v>
      </c>
      <c r="H4281" t="s">
        <v>46</v>
      </c>
      <c r="I4281" t="s">
        <v>228</v>
      </c>
      <c r="J4281" t="s">
        <v>9403</v>
      </c>
    </row>
    <row r="4282" spans="1:10" x14ac:dyDescent="0.3">
      <c r="A4282" t="s">
        <v>9404</v>
      </c>
      <c r="B4282" t="s">
        <v>28501</v>
      </c>
      <c r="C4282" t="s">
        <v>20491</v>
      </c>
      <c r="D4282" t="s">
        <v>11</v>
      </c>
      <c r="E4282" t="s">
        <v>9405</v>
      </c>
      <c r="F4282">
        <v>25</v>
      </c>
      <c r="G4282" t="s">
        <v>46</v>
      </c>
      <c r="H4282" t="s">
        <v>46</v>
      </c>
      <c r="I4282" t="s">
        <v>9406</v>
      </c>
    </row>
    <row r="4283" spans="1:10" x14ac:dyDescent="0.3">
      <c r="A4283" t="s">
        <v>9407</v>
      </c>
      <c r="B4283" t="s">
        <v>28502</v>
      </c>
      <c r="C4283" t="s">
        <v>20486</v>
      </c>
      <c r="D4283" t="s">
        <v>11</v>
      </c>
      <c r="E4283" t="s">
        <v>4858</v>
      </c>
      <c r="F4283">
        <v>56</v>
      </c>
      <c r="G4283" t="s">
        <v>109</v>
      </c>
      <c r="H4283" t="s">
        <v>9788</v>
      </c>
      <c r="I4283" t="s">
        <v>7148</v>
      </c>
      <c r="J4283" t="s">
        <v>8011</v>
      </c>
    </row>
    <row r="4284" spans="1:10" x14ac:dyDescent="0.3">
      <c r="A4284" t="s">
        <v>9408</v>
      </c>
      <c r="B4284" t="s">
        <v>28503</v>
      </c>
      <c r="C4284" t="s">
        <v>20486</v>
      </c>
      <c r="D4284" t="s">
        <v>22</v>
      </c>
      <c r="E4284" t="s">
        <v>9409</v>
      </c>
      <c r="F4284">
        <v>31</v>
      </c>
      <c r="G4284" t="s">
        <v>31</v>
      </c>
      <c r="H4284" t="s">
        <v>31</v>
      </c>
    </row>
    <row r="4285" spans="1:10" x14ac:dyDescent="0.3">
      <c r="A4285" t="s">
        <v>9410</v>
      </c>
      <c r="B4285" t="s">
        <v>28504</v>
      </c>
      <c r="C4285" t="s">
        <v>20490</v>
      </c>
      <c r="D4285" t="s">
        <v>22</v>
      </c>
      <c r="E4285" t="s">
        <v>9411</v>
      </c>
      <c r="F4285">
        <v>27</v>
      </c>
      <c r="G4285" t="s">
        <v>133</v>
      </c>
      <c r="H4285" t="s">
        <v>9789</v>
      </c>
    </row>
    <row r="4286" spans="1:10" x14ac:dyDescent="0.3">
      <c r="A4286" t="s">
        <v>9412</v>
      </c>
      <c r="B4286" t="s">
        <v>28505</v>
      </c>
      <c r="C4286" t="s">
        <v>20491</v>
      </c>
      <c r="D4286" t="s">
        <v>22</v>
      </c>
      <c r="E4286" t="s">
        <v>9413</v>
      </c>
      <c r="F4286">
        <v>47</v>
      </c>
      <c r="G4286" t="s">
        <v>370</v>
      </c>
      <c r="H4286" t="s">
        <v>46</v>
      </c>
      <c r="I4286" t="s">
        <v>9414</v>
      </c>
    </row>
    <row r="4287" spans="1:10" x14ac:dyDescent="0.3">
      <c r="A4287" t="s">
        <v>9415</v>
      </c>
      <c r="B4287" t="s">
        <v>28506</v>
      </c>
      <c r="C4287" t="s">
        <v>20491</v>
      </c>
      <c r="D4287" t="s">
        <v>22</v>
      </c>
      <c r="E4287" t="s">
        <v>9416</v>
      </c>
      <c r="F4287">
        <v>53</v>
      </c>
      <c r="G4287" t="s">
        <v>370</v>
      </c>
      <c r="H4287" t="s">
        <v>46</v>
      </c>
      <c r="I4287" t="s">
        <v>9417</v>
      </c>
    </row>
    <row r="4288" spans="1:10" x14ac:dyDescent="0.3">
      <c r="A4288" t="s">
        <v>9419</v>
      </c>
      <c r="B4288" t="s">
        <v>28507</v>
      </c>
      <c r="C4288" t="s">
        <v>20486</v>
      </c>
      <c r="D4288" t="s">
        <v>22</v>
      </c>
      <c r="E4288" t="s">
        <v>9420</v>
      </c>
      <c r="F4288">
        <v>73</v>
      </c>
      <c r="G4288" t="s">
        <v>31</v>
      </c>
      <c r="H4288" t="s">
        <v>31</v>
      </c>
    </row>
    <row r="4289" spans="1:10" x14ac:dyDescent="0.3">
      <c r="A4289" t="s">
        <v>9421</v>
      </c>
      <c r="B4289" t="s">
        <v>28508</v>
      </c>
      <c r="C4289" t="s">
        <v>20491</v>
      </c>
      <c r="D4289" t="s">
        <v>22</v>
      </c>
      <c r="E4289" t="s">
        <v>1338</v>
      </c>
      <c r="F4289">
        <v>53</v>
      </c>
      <c r="G4289" t="s">
        <v>46</v>
      </c>
      <c r="H4289" t="s">
        <v>46</v>
      </c>
      <c r="I4289" t="s">
        <v>228</v>
      </c>
      <c r="J4289" t="s">
        <v>9422</v>
      </c>
    </row>
    <row r="4290" spans="1:10" x14ac:dyDescent="0.3">
      <c r="A4290" t="s">
        <v>9423</v>
      </c>
      <c r="B4290" t="s">
        <v>28509</v>
      </c>
      <c r="C4290" t="s">
        <v>20488</v>
      </c>
      <c r="D4290" t="s">
        <v>11</v>
      </c>
      <c r="E4290" t="s">
        <v>914</v>
      </c>
      <c r="F4290">
        <v>35</v>
      </c>
      <c r="G4290" t="s">
        <v>133</v>
      </c>
      <c r="H4290" t="s">
        <v>9789</v>
      </c>
    </row>
    <row r="4291" spans="1:10" x14ac:dyDescent="0.3">
      <c r="A4291" t="s">
        <v>9424</v>
      </c>
      <c r="B4291" t="s">
        <v>28510</v>
      </c>
      <c r="C4291" t="s">
        <v>20491</v>
      </c>
      <c r="D4291" t="s">
        <v>11</v>
      </c>
      <c r="E4291" t="s">
        <v>8880</v>
      </c>
      <c r="F4291">
        <v>28</v>
      </c>
      <c r="G4291" t="s">
        <v>109</v>
      </c>
      <c r="H4291" t="s">
        <v>9788</v>
      </c>
      <c r="I4291" t="s">
        <v>9425</v>
      </c>
    </row>
    <row r="4292" spans="1:10" x14ac:dyDescent="0.3">
      <c r="A4292" t="s">
        <v>9426</v>
      </c>
      <c r="B4292" t="s">
        <v>28511</v>
      </c>
      <c r="C4292" t="s">
        <v>20488</v>
      </c>
      <c r="D4292" t="s">
        <v>22</v>
      </c>
      <c r="E4292" t="s">
        <v>9427</v>
      </c>
      <c r="F4292">
        <v>36</v>
      </c>
      <c r="G4292" t="s">
        <v>31</v>
      </c>
      <c r="H4292" t="s">
        <v>31</v>
      </c>
    </row>
    <row r="4293" spans="1:10" x14ac:dyDescent="0.3">
      <c r="A4293" t="s">
        <v>9428</v>
      </c>
      <c r="B4293" t="s">
        <v>28512</v>
      </c>
      <c r="C4293" t="s">
        <v>20488</v>
      </c>
      <c r="D4293" t="s">
        <v>22</v>
      </c>
      <c r="E4293" t="s">
        <v>9429</v>
      </c>
      <c r="F4293">
        <v>36</v>
      </c>
      <c r="G4293" t="s">
        <v>31</v>
      </c>
      <c r="H4293" t="s">
        <v>31</v>
      </c>
    </row>
    <row r="4294" spans="1:10" x14ac:dyDescent="0.3">
      <c r="A4294" t="s">
        <v>9430</v>
      </c>
      <c r="B4294" t="s">
        <v>28513</v>
      </c>
      <c r="C4294" t="s">
        <v>20486</v>
      </c>
      <c r="D4294" t="s">
        <v>11</v>
      </c>
      <c r="E4294" t="s">
        <v>9431</v>
      </c>
      <c r="F4294">
        <v>33</v>
      </c>
      <c r="G4294" t="s">
        <v>109</v>
      </c>
      <c r="H4294" t="s">
        <v>9788</v>
      </c>
      <c r="I4294" t="s">
        <v>9432</v>
      </c>
    </row>
    <row r="4295" spans="1:10" x14ac:dyDescent="0.3">
      <c r="A4295" t="s">
        <v>9433</v>
      </c>
      <c r="B4295" t="s">
        <v>28514</v>
      </c>
      <c r="C4295" t="s">
        <v>20486</v>
      </c>
      <c r="D4295" t="s">
        <v>11</v>
      </c>
      <c r="E4295" t="s">
        <v>66</v>
      </c>
      <c r="F4295">
        <v>73</v>
      </c>
      <c r="G4295" t="s">
        <v>109</v>
      </c>
      <c r="H4295" t="s">
        <v>9788</v>
      </c>
      <c r="I4295" t="s">
        <v>9432</v>
      </c>
    </row>
    <row r="4296" spans="1:10" x14ac:dyDescent="0.3">
      <c r="A4296" t="s">
        <v>9434</v>
      </c>
      <c r="B4296" t="s">
        <v>28515</v>
      </c>
      <c r="C4296" t="s">
        <v>20486</v>
      </c>
      <c r="D4296" t="s">
        <v>11</v>
      </c>
      <c r="E4296" t="s">
        <v>9435</v>
      </c>
      <c r="F4296">
        <v>34</v>
      </c>
      <c r="G4296" t="s">
        <v>109</v>
      </c>
      <c r="H4296" t="s">
        <v>9788</v>
      </c>
      <c r="I4296" t="s">
        <v>9432</v>
      </c>
    </row>
    <row r="4297" spans="1:10" x14ac:dyDescent="0.3">
      <c r="A4297" t="s">
        <v>9436</v>
      </c>
      <c r="B4297" t="s">
        <v>28516</v>
      </c>
      <c r="C4297" t="s">
        <v>20491</v>
      </c>
      <c r="D4297" t="s">
        <v>22</v>
      </c>
      <c r="E4297" t="s">
        <v>9437</v>
      </c>
      <c r="F4297">
        <v>54</v>
      </c>
      <c r="G4297" t="s">
        <v>16</v>
      </c>
      <c r="H4297" t="s">
        <v>9785</v>
      </c>
      <c r="I4297" t="s">
        <v>8908</v>
      </c>
      <c r="J4297" t="s">
        <v>9438</v>
      </c>
    </row>
    <row r="4298" spans="1:10" x14ac:dyDescent="0.3">
      <c r="A4298" t="s">
        <v>9439</v>
      </c>
      <c r="B4298" t="s">
        <v>28517</v>
      </c>
      <c r="C4298" t="s">
        <v>20491</v>
      </c>
      <c r="D4298" t="s">
        <v>22</v>
      </c>
      <c r="E4298" t="s">
        <v>9440</v>
      </c>
      <c r="F4298">
        <v>31</v>
      </c>
      <c r="G4298" t="s">
        <v>109</v>
      </c>
      <c r="H4298" t="s">
        <v>9788</v>
      </c>
      <c r="I4298" t="s">
        <v>9441</v>
      </c>
      <c r="J4298" t="s">
        <v>9441</v>
      </c>
    </row>
    <row r="4299" spans="1:10" x14ac:dyDescent="0.3">
      <c r="A4299" t="s">
        <v>9442</v>
      </c>
      <c r="B4299" t="s">
        <v>28518</v>
      </c>
      <c r="C4299" t="s">
        <v>20488</v>
      </c>
      <c r="D4299" t="s">
        <v>22</v>
      </c>
      <c r="E4299" t="s">
        <v>9443</v>
      </c>
      <c r="F4299">
        <v>54</v>
      </c>
      <c r="G4299" t="s">
        <v>31</v>
      </c>
      <c r="H4299" t="s">
        <v>31</v>
      </c>
    </row>
    <row r="4300" spans="1:10" x14ac:dyDescent="0.3">
      <c r="A4300" t="s">
        <v>9444</v>
      </c>
      <c r="B4300" t="s">
        <v>28519</v>
      </c>
      <c r="C4300" t="s">
        <v>20487</v>
      </c>
      <c r="D4300" t="s">
        <v>11</v>
      </c>
      <c r="E4300" t="s">
        <v>9445</v>
      </c>
      <c r="F4300">
        <v>31</v>
      </c>
      <c r="G4300" t="s">
        <v>109</v>
      </c>
      <c r="H4300" t="s">
        <v>9788</v>
      </c>
      <c r="J4300" t="s">
        <v>9446</v>
      </c>
    </row>
    <row r="4301" spans="1:10" x14ac:dyDescent="0.3">
      <c r="A4301" t="s">
        <v>9448</v>
      </c>
      <c r="B4301" t="s">
        <v>28520</v>
      </c>
      <c r="C4301" t="s">
        <v>20491</v>
      </c>
      <c r="D4301" t="s">
        <v>22</v>
      </c>
      <c r="E4301" t="s">
        <v>9449</v>
      </c>
      <c r="F4301">
        <v>28</v>
      </c>
      <c r="G4301" t="s">
        <v>109</v>
      </c>
      <c r="H4301" t="s">
        <v>9788</v>
      </c>
      <c r="I4301" t="s">
        <v>228</v>
      </c>
      <c r="J4301" t="s">
        <v>9450</v>
      </c>
    </row>
    <row r="4302" spans="1:10" x14ac:dyDescent="0.3">
      <c r="A4302" t="s">
        <v>9451</v>
      </c>
      <c r="B4302" t="s">
        <v>28521</v>
      </c>
      <c r="C4302" t="s">
        <v>20488</v>
      </c>
      <c r="D4302" t="s">
        <v>11</v>
      </c>
      <c r="E4302" t="s">
        <v>2668</v>
      </c>
      <c r="F4302">
        <v>38</v>
      </c>
      <c r="G4302" t="s">
        <v>46</v>
      </c>
      <c r="H4302" t="s">
        <v>46</v>
      </c>
    </row>
    <row r="4303" spans="1:10" x14ac:dyDescent="0.3">
      <c r="A4303" t="s">
        <v>9452</v>
      </c>
      <c r="B4303" t="s">
        <v>28522</v>
      </c>
      <c r="C4303" t="s">
        <v>20490</v>
      </c>
      <c r="D4303" t="s">
        <v>22</v>
      </c>
      <c r="E4303" t="s">
        <v>8195</v>
      </c>
      <c r="F4303">
        <v>44</v>
      </c>
      <c r="G4303" t="s">
        <v>172</v>
      </c>
      <c r="H4303" t="s">
        <v>12099</v>
      </c>
      <c r="I4303" t="s">
        <v>17</v>
      </c>
    </row>
    <row r="4304" spans="1:10" x14ac:dyDescent="0.3">
      <c r="A4304" t="s">
        <v>9453</v>
      </c>
      <c r="B4304" t="s">
        <v>28523</v>
      </c>
      <c r="C4304" t="s">
        <v>20491</v>
      </c>
      <c r="D4304" t="s">
        <v>11</v>
      </c>
      <c r="E4304" t="s">
        <v>804</v>
      </c>
      <c r="F4304">
        <v>56</v>
      </c>
      <c r="G4304" t="s">
        <v>46</v>
      </c>
      <c r="H4304" t="s">
        <v>46</v>
      </c>
      <c r="I4304" t="s">
        <v>228</v>
      </c>
      <c r="J4304" t="s">
        <v>9454</v>
      </c>
    </row>
    <row r="4305" spans="1:10" x14ac:dyDescent="0.3">
      <c r="A4305" t="s">
        <v>9455</v>
      </c>
      <c r="B4305" t="s">
        <v>28524</v>
      </c>
      <c r="C4305" t="s">
        <v>20486</v>
      </c>
      <c r="D4305" t="s">
        <v>11</v>
      </c>
      <c r="E4305" t="s">
        <v>9456</v>
      </c>
      <c r="F4305">
        <v>39</v>
      </c>
    </row>
    <row r="4306" spans="1:10" x14ac:dyDescent="0.3">
      <c r="A4306" t="s">
        <v>9457</v>
      </c>
      <c r="B4306" t="s">
        <v>28525</v>
      </c>
      <c r="C4306" t="s">
        <v>20488</v>
      </c>
      <c r="D4306" t="s">
        <v>22</v>
      </c>
      <c r="E4306" t="s">
        <v>9458</v>
      </c>
      <c r="F4306">
        <v>51</v>
      </c>
      <c r="G4306" t="s">
        <v>109</v>
      </c>
      <c r="H4306" t="s">
        <v>9788</v>
      </c>
      <c r="I4306" t="s">
        <v>1074</v>
      </c>
      <c r="J4306" t="s">
        <v>9459</v>
      </c>
    </row>
    <row r="4307" spans="1:10" x14ac:dyDescent="0.3">
      <c r="A4307" t="s">
        <v>9460</v>
      </c>
      <c r="B4307" t="s">
        <v>28526</v>
      </c>
      <c r="C4307" t="s">
        <v>20486</v>
      </c>
      <c r="D4307" t="s">
        <v>22</v>
      </c>
      <c r="E4307" t="s">
        <v>9461</v>
      </c>
      <c r="F4307">
        <v>42</v>
      </c>
      <c r="G4307" t="s">
        <v>31</v>
      </c>
      <c r="H4307" t="s">
        <v>31</v>
      </c>
    </row>
    <row r="4308" spans="1:10" x14ac:dyDescent="0.3">
      <c r="A4308" t="s">
        <v>9462</v>
      </c>
      <c r="B4308" t="s">
        <v>28527</v>
      </c>
      <c r="C4308" t="s">
        <v>20486</v>
      </c>
      <c r="D4308" t="s">
        <v>22</v>
      </c>
      <c r="E4308" t="s">
        <v>9463</v>
      </c>
      <c r="F4308">
        <v>70</v>
      </c>
      <c r="G4308" t="s">
        <v>46</v>
      </c>
      <c r="H4308" t="s">
        <v>46</v>
      </c>
      <c r="I4308" t="s">
        <v>9464</v>
      </c>
      <c r="J4308" t="s">
        <v>9465</v>
      </c>
    </row>
    <row r="4309" spans="1:10" x14ac:dyDescent="0.3">
      <c r="A4309" t="s">
        <v>9466</v>
      </c>
      <c r="B4309" t="s">
        <v>28528</v>
      </c>
      <c r="C4309" t="s">
        <v>20489</v>
      </c>
      <c r="D4309" t="s">
        <v>22</v>
      </c>
      <c r="E4309" t="s">
        <v>9467</v>
      </c>
      <c r="F4309">
        <v>32</v>
      </c>
      <c r="G4309" t="s">
        <v>109</v>
      </c>
      <c r="H4309" t="s">
        <v>9788</v>
      </c>
      <c r="I4309" t="s">
        <v>360</v>
      </c>
      <c r="J4309" t="s">
        <v>12599</v>
      </c>
    </row>
    <row r="4310" spans="1:10" x14ac:dyDescent="0.3">
      <c r="A4310" t="s">
        <v>9468</v>
      </c>
      <c r="B4310" t="s">
        <v>28529</v>
      </c>
      <c r="C4310" t="s">
        <v>20491</v>
      </c>
      <c r="D4310" t="s">
        <v>22</v>
      </c>
      <c r="E4310" t="s">
        <v>9469</v>
      </c>
      <c r="F4310">
        <v>33</v>
      </c>
      <c r="G4310" t="s">
        <v>370</v>
      </c>
      <c r="H4310" t="s">
        <v>46</v>
      </c>
      <c r="I4310" t="s">
        <v>228</v>
      </c>
      <c r="J4310" t="s">
        <v>9470</v>
      </c>
    </row>
    <row r="4311" spans="1:10" x14ac:dyDescent="0.3">
      <c r="A4311" t="s">
        <v>9471</v>
      </c>
      <c r="B4311" t="s">
        <v>28530</v>
      </c>
      <c r="C4311" t="s">
        <v>20488</v>
      </c>
      <c r="D4311" t="s">
        <v>22</v>
      </c>
      <c r="E4311" t="s">
        <v>5126</v>
      </c>
      <c r="F4311">
        <v>46</v>
      </c>
      <c r="G4311" t="s">
        <v>109</v>
      </c>
      <c r="H4311" t="s">
        <v>9788</v>
      </c>
      <c r="I4311" t="s">
        <v>4458</v>
      </c>
    </row>
    <row r="4312" spans="1:10" x14ac:dyDescent="0.3">
      <c r="A4312" t="s">
        <v>9472</v>
      </c>
      <c r="B4312" t="s">
        <v>28531</v>
      </c>
      <c r="C4312" t="s">
        <v>20490</v>
      </c>
      <c r="D4312" t="s">
        <v>22</v>
      </c>
      <c r="E4312" t="s">
        <v>9473</v>
      </c>
      <c r="F4312">
        <v>41</v>
      </c>
      <c r="G4312" t="s">
        <v>370</v>
      </c>
      <c r="H4312" t="s">
        <v>243</v>
      </c>
    </row>
    <row r="4313" spans="1:10" x14ac:dyDescent="0.3">
      <c r="A4313" t="s">
        <v>9474</v>
      </c>
      <c r="B4313" t="s">
        <v>28532</v>
      </c>
      <c r="C4313" t="s">
        <v>20489</v>
      </c>
      <c r="D4313" t="s">
        <v>22</v>
      </c>
      <c r="E4313" t="s">
        <v>8153</v>
      </c>
      <c r="F4313">
        <v>36</v>
      </c>
      <c r="G4313" t="s">
        <v>109</v>
      </c>
      <c r="H4313" t="s">
        <v>9788</v>
      </c>
      <c r="I4313" t="s">
        <v>12162</v>
      </c>
      <c r="J4313" t="s">
        <v>5395</v>
      </c>
    </row>
    <row r="4314" spans="1:10" x14ac:dyDescent="0.3">
      <c r="A4314" t="s">
        <v>9475</v>
      </c>
      <c r="B4314" t="s">
        <v>28533</v>
      </c>
      <c r="C4314" t="s">
        <v>20489</v>
      </c>
      <c r="D4314" t="s">
        <v>22</v>
      </c>
      <c r="E4314" t="s">
        <v>7917</v>
      </c>
      <c r="F4314">
        <v>42</v>
      </c>
      <c r="G4314" t="s">
        <v>31</v>
      </c>
      <c r="H4314" t="s">
        <v>31</v>
      </c>
    </row>
    <row r="4315" spans="1:10" x14ac:dyDescent="0.3">
      <c r="A4315" t="s">
        <v>9476</v>
      </c>
      <c r="B4315" t="s">
        <v>28534</v>
      </c>
      <c r="C4315" t="s">
        <v>20486</v>
      </c>
      <c r="D4315" t="s">
        <v>22</v>
      </c>
      <c r="E4315" t="s">
        <v>9477</v>
      </c>
      <c r="F4315">
        <v>51</v>
      </c>
      <c r="G4315" t="s">
        <v>155</v>
      </c>
      <c r="H4315" t="s">
        <v>9791</v>
      </c>
    </row>
    <row r="4316" spans="1:10" x14ac:dyDescent="0.3">
      <c r="A4316" t="s">
        <v>9478</v>
      </c>
      <c r="B4316" t="s">
        <v>28535</v>
      </c>
      <c r="C4316" t="s">
        <v>20486</v>
      </c>
      <c r="D4316" t="s">
        <v>11</v>
      </c>
      <c r="E4316" t="s">
        <v>9479</v>
      </c>
      <c r="F4316">
        <v>65</v>
      </c>
      <c r="H4316" t="s">
        <v>9788</v>
      </c>
      <c r="I4316" t="s">
        <v>9480</v>
      </c>
    </row>
    <row r="4317" spans="1:10" x14ac:dyDescent="0.3">
      <c r="A4317" t="s">
        <v>9481</v>
      </c>
      <c r="B4317" t="s">
        <v>28536</v>
      </c>
      <c r="C4317" t="s">
        <v>20486</v>
      </c>
      <c r="D4317" t="s">
        <v>11</v>
      </c>
      <c r="E4317" t="s">
        <v>9482</v>
      </c>
      <c r="F4317">
        <v>32</v>
      </c>
      <c r="G4317" t="s">
        <v>109</v>
      </c>
      <c r="H4317" t="s">
        <v>9788</v>
      </c>
    </row>
    <row r="4318" spans="1:10" x14ac:dyDescent="0.3">
      <c r="A4318" t="s">
        <v>9483</v>
      </c>
      <c r="B4318" t="s">
        <v>28537</v>
      </c>
      <c r="C4318" t="s">
        <v>20487</v>
      </c>
      <c r="D4318" t="s">
        <v>22</v>
      </c>
      <c r="E4318" t="s">
        <v>9484</v>
      </c>
      <c r="F4318">
        <v>32</v>
      </c>
      <c r="G4318" t="s">
        <v>46</v>
      </c>
      <c r="H4318" t="s">
        <v>46</v>
      </c>
      <c r="I4318" t="s">
        <v>1828</v>
      </c>
      <c r="J4318" t="s">
        <v>12600</v>
      </c>
    </row>
    <row r="4319" spans="1:10" x14ac:dyDescent="0.3">
      <c r="A4319" t="s">
        <v>9485</v>
      </c>
      <c r="B4319" t="s">
        <v>28538</v>
      </c>
      <c r="C4319" t="s">
        <v>20491</v>
      </c>
      <c r="D4319" t="s">
        <v>22</v>
      </c>
      <c r="E4319" t="s">
        <v>9486</v>
      </c>
      <c r="F4319">
        <v>26</v>
      </c>
      <c r="G4319" t="s">
        <v>109</v>
      </c>
      <c r="H4319" t="s">
        <v>9788</v>
      </c>
      <c r="I4319" t="s">
        <v>228</v>
      </c>
      <c r="J4319" t="s">
        <v>9487</v>
      </c>
    </row>
    <row r="4320" spans="1:10" x14ac:dyDescent="0.3">
      <c r="A4320" t="s">
        <v>9488</v>
      </c>
      <c r="B4320" t="s">
        <v>28539</v>
      </c>
      <c r="C4320" t="s">
        <v>20491</v>
      </c>
      <c r="D4320" t="s">
        <v>22</v>
      </c>
      <c r="E4320" t="s">
        <v>9489</v>
      </c>
      <c r="F4320">
        <v>63</v>
      </c>
      <c r="G4320" t="s">
        <v>46</v>
      </c>
      <c r="H4320" t="s">
        <v>46</v>
      </c>
      <c r="I4320" t="s">
        <v>228</v>
      </c>
      <c r="J4320" t="s">
        <v>9490</v>
      </c>
    </row>
    <row r="4321" spans="1:10" x14ac:dyDescent="0.3">
      <c r="A4321" t="s">
        <v>9491</v>
      </c>
      <c r="B4321" t="s">
        <v>28540</v>
      </c>
      <c r="C4321" t="s">
        <v>20486</v>
      </c>
      <c r="D4321" t="s">
        <v>11</v>
      </c>
      <c r="E4321" t="s">
        <v>9492</v>
      </c>
      <c r="F4321">
        <v>21</v>
      </c>
      <c r="G4321" t="s">
        <v>109</v>
      </c>
      <c r="H4321" t="s">
        <v>9788</v>
      </c>
      <c r="J4321" t="s">
        <v>9493</v>
      </c>
    </row>
    <row r="4322" spans="1:10" x14ac:dyDescent="0.3">
      <c r="A4322" t="s">
        <v>9494</v>
      </c>
      <c r="B4322" t="s">
        <v>28541</v>
      </c>
      <c r="C4322" t="s">
        <v>20486</v>
      </c>
      <c r="D4322" t="s">
        <v>11</v>
      </c>
      <c r="E4322" t="s">
        <v>9495</v>
      </c>
      <c r="F4322">
        <v>27</v>
      </c>
      <c r="G4322" t="s">
        <v>109</v>
      </c>
      <c r="H4322" t="s">
        <v>9788</v>
      </c>
      <c r="J4322" t="s">
        <v>9493</v>
      </c>
    </row>
    <row r="4323" spans="1:10" x14ac:dyDescent="0.3">
      <c r="A4323" t="s">
        <v>9496</v>
      </c>
      <c r="B4323" t="s">
        <v>28542</v>
      </c>
      <c r="C4323" t="s">
        <v>20486</v>
      </c>
      <c r="D4323" t="s">
        <v>22</v>
      </c>
      <c r="E4323" t="s">
        <v>9497</v>
      </c>
      <c r="F4323">
        <v>33</v>
      </c>
      <c r="G4323" t="s">
        <v>172</v>
      </c>
      <c r="H4323" t="s">
        <v>12099</v>
      </c>
      <c r="I4323" t="s">
        <v>9498</v>
      </c>
    </row>
    <row r="4324" spans="1:10" x14ac:dyDescent="0.3">
      <c r="A4324" t="s">
        <v>9499</v>
      </c>
      <c r="B4324" t="s">
        <v>28543</v>
      </c>
      <c r="C4324" t="s">
        <v>20486</v>
      </c>
      <c r="D4324" t="s">
        <v>22</v>
      </c>
      <c r="E4324" t="s">
        <v>9500</v>
      </c>
      <c r="F4324">
        <v>65</v>
      </c>
      <c r="G4324" t="s">
        <v>109</v>
      </c>
      <c r="H4324" t="s">
        <v>9788</v>
      </c>
      <c r="I4324" t="s">
        <v>9501</v>
      </c>
    </row>
    <row r="4325" spans="1:10" x14ac:dyDescent="0.3">
      <c r="A4325" t="s">
        <v>9502</v>
      </c>
      <c r="B4325" t="s">
        <v>28544</v>
      </c>
      <c r="C4325" t="s">
        <v>20486</v>
      </c>
      <c r="D4325" t="s">
        <v>22</v>
      </c>
      <c r="E4325" t="s">
        <v>9503</v>
      </c>
      <c r="F4325">
        <v>49</v>
      </c>
      <c r="G4325" t="s">
        <v>46</v>
      </c>
      <c r="H4325" t="s">
        <v>46</v>
      </c>
      <c r="I4325" t="s">
        <v>9504</v>
      </c>
    </row>
    <row r="4326" spans="1:10" x14ac:dyDescent="0.3">
      <c r="A4326" t="s">
        <v>9505</v>
      </c>
      <c r="B4326" t="s">
        <v>28545</v>
      </c>
      <c r="C4326" t="s">
        <v>20491</v>
      </c>
      <c r="D4326" t="s">
        <v>22</v>
      </c>
      <c r="E4326" t="s">
        <v>9506</v>
      </c>
      <c r="F4326">
        <v>41</v>
      </c>
      <c r="G4326" t="s">
        <v>46</v>
      </c>
      <c r="H4326" t="s">
        <v>46</v>
      </c>
      <c r="I4326" t="s">
        <v>228</v>
      </c>
      <c r="J4326" t="s">
        <v>9507</v>
      </c>
    </row>
    <row r="4327" spans="1:10" x14ac:dyDescent="0.3">
      <c r="A4327" t="s">
        <v>9508</v>
      </c>
      <c r="B4327" t="s">
        <v>28546</v>
      </c>
      <c r="C4327" t="s">
        <v>20491</v>
      </c>
      <c r="D4327" t="s">
        <v>11</v>
      </c>
      <c r="E4327" t="s">
        <v>9509</v>
      </c>
      <c r="F4327">
        <v>57</v>
      </c>
      <c r="G4327" t="s">
        <v>46</v>
      </c>
      <c r="H4327" t="s">
        <v>46</v>
      </c>
      <c r="I4327" t="s">
        <v>228</v>
      </c>
    </row>
    <row r="4328" spans="1:10" x14ac:dyDescent="0.3">
      <c r="A4328" t="s">
        <v>9510</v>
      </c>
      <c r="B4328" t="s">
        <v>28547</v>
      </c>
      <c r="C4328" t="s">
        <v>20486</v>
      </c>
      <c r="D4328" t="s">
        <v>11</v>
      </c>
      <c r="E4328" t="s">
        <v>3644</v>
      </c>
      <c r="F4328">
        <v>31</v>
      </c>
    </row>
    <row r="4329" spans="1:10" x14ac:dyDescent="0.3">
      <c r="A4329" t="s">
        <v>9511</v>
      </c>
      <c r="B4329" t="s">
        <v>28548</v>
      </c>
      <c r="C4329" t="s">
        <v>20490</v>
      </c>
      <c r="D4329" t="s">
        <v>11</v>
      </c>
      <c r="E4329" t="s">
        <v>9512</v>
      </c>
      <c r="F4329">
        <v>22</v>
      </c>
      <c r="G4329" t="s">
        <v>133</v>
      </c>
      <c r="H4329" t="s">
        <v>9789</v>
      </c>
    </row>
    <row r="4330" spans="1:10" x14ac:dyDescent="0.3">
      <c r="A4330" t="s">
        <v>9513</v>
      </c>
      <c r="B4330" t="s">
        <v>28549</v>
      </c>
      <c r="C4330" t="s">
        <v>20486</v>
      </c>
      <c r="D4330" t="s">
        <v>22</v>
      </c>
      <c r="E4330" t="s">
        <v>9514</v>
      </c>
      <c r="F4330">
        <v>35</v>
      </c>
      <c r="G4330" t="s">
        <v>109</v>
      </c>
      <c r="H4330" t="s">
        <v>9788</v>
      </c>
      <c r="I4330" t="s">
        <v>9515</v>
      </c>
      <c r="J4330" t="s">
        <v>9516</v>
      </c>
    </row>
    <row r="4331" spans="1:10" x14ac:dyDescent="0.3">
      <c r="A4331" t="s">
        <v>9517</v>
      </c>
      <c r="B4331" t="s">
        <v>28550</v>
      </c>
      <c r="C4331" t="s">
        <v>20486</v>
      </c>
      <c r="D4331" t="s">
        <v>11</v>
      </c>
      <c r="E4331" t="s">
        <v>9518</v>
      </c>
      <c r="F4331">
        <v>30</v>
      </c>
      <c r="G4331" t="s">
        <v>46</v>
      </c>
      <c r="H4331" t="s">
        <v>46</v>
      </c>
      <c r="I4331" t="s">
        <v>9519</v>
      </c>
      <c r="J4331" t="s">
        <v>9520</v>
      </c>
    </row>
    <row r="4332" spans="1:10" x14ac:dyDescent="0.3">
      <c r="A4332" t="s">
        <v>9521</v>
      </c>
      <c r="B4332" t="s">
        <v>28551</v>
      </c>
      <c r="C4332" t="s">
        <v>20487</v>
      </c>
      <c r="D4332" t="s">
        <v>11</v>
      </c>
      <c r="E4332" t="s">
        <v>9522</v>
      </c>
      <c r="F4332">
        <v>22</v>
      </c>
      <c r="G4332" t="s">
        <v>109</v>
      </c>
      <c r="H4332" t="s">
        <v>9788</v>
      </c>
    </row>
    <row r="4333" spans="1:10" x14ac:dyDescent="0.3">
      <c r="A4333" t="s">
        <v>9523</v>
      </c>
      <c r="B4333" t="s">
        <v>28552</v>
      </c>
      <c r="C4333" t="s">
        <v>20487</v>
      </c>
      <c r="D4333" t="s">
        <v>11</v>
      </c>
      <c r="E4333" t="s">
        <v>9524</v>
      </c>
      <c r="F4333">
        <v>44</v>
      </c>
    </row>
    <row r="4334" spans="1:10" x14ac:dyDescent="0.3">
      <c r="A4334" t="s">
        <v>9525</v>
      </c>
      <c r="B4334" t="s">
        <v>28553</v>
      </c>
      <c r="C4334" t="s">
        <v>20488</v>
      </c>
      <c r="D4334" t="s">
        <v>22</v>
      </c>
      <c r="E4334" t="s">
        <v>9526</v>
      </c>
      <c r="F4334">
        <v>42</v>
      </c>
      <c r="G4334" t="s">
        <v>31</v>
      </c>
      <c r="H4334" t="s">
        <v>31</v>
      </c>
    </row>
    <row r="4335" spans="1:10" x14ac:dyDescent="0.3">
      <c r="A4335" t="s">
        <v>9527</v>
      </c>
      <c r="B4335" t="s">
        <v>28554</v>
      </c>
      <c r="C4335" t="s">
        <v>20488</v>
      </c>
      <c r="D4335" t="s">
        <v>22</v>
      </c>
      <c r="E4335" t="s">
        <v>9528</v>
      </c>
      <c r="F4335">
        <v>29</v>
      </c>
      <c r="G4335" t="s">
        <v>31</v>
      </c>
      <c r="H4335" t="s">
        <v>31</v>
      </c>
    </row>
    <row r="4336" spans="1:10" x14ac:dyDescent="0.3">
      <c r="A4336" t="s">
        <v>9529</v>
      </c>
      <c r="B4336" t="s">
        <v>28555</v>
      </c>
      <c r="C4336" t="s">
        <v>20486</v>
      </c>
      <c r="D4336" t="s">
        <v>22</v>
      </c>
      <c r="E4336" t="s">
        <v>9530</v>
      </c>
      <c r="F4336">
        <v>34</v>
      </c>
      <c r="G4336" t="s">
        <v>46</v>
      </c>
      <c r="H4336" t="s">
        <v>46</v>
      </c>
    </row>
    <row r="4337" spans="1:10" x14ac:dyDescent="0.3">
      <c r="A4337" t="s">
        <v>9531</v>
      </c>
      <c r="B4337" t="s">
        <v>28556</v>
      </c>
      <c r="C4337" t="s">
        <v>20486</v>
      </c>
      <c r="D4337" t="s">
        <v>11</v>
      </c>
      <c r="E4337" t="s">
        <v>9532</v>
      </c>
      <c r="F4337">
        <v>38</v>
      </c>
      <c r="G4337" t="s">
        <v>109</v>
      </c>
      <c r="H4337" t="s">
        <v>9788</v>
      </c>
    </row>
    <row r="4338" spans="1:10" x14ac:dyDescent="0.3">
      <c r="A4338" t="s">
        <v>9533</v>
      </c>
      <c r="B4338" t="s">
        <v>28557</v>
      </c>
      <c r="C4338" t="s">
        <v>20486</v>
      </c>
      <c r="D4338" t="s">
        <v>11</v>
      </c>
      <c r="E4338" t="s">
        <v>9534</v>
      </c>
      <c r="F4338">
        <v>48</v>
      </c>
      <c r="G4338" t="s">
        <v>46</v>
      </c>
      <c r="H4338" t="s">
        <v>46</v>
      </c>
      <c r="I4338" t="s">
        <v>9535</v>
      </c>
      <c r="J4338" t="s">
        <v>9536</v>
      </c>
    </row>
    <row r="4339" spans="1:10" x14ac:dyDescent="0.3">
      <c r="A4339" t="s">
        <v>9537</v>
      </c>
      <c r="B4339" t="s">
        <v>28558</v>
      </c>
      <c r="C4339" t="s">
        <v>20488</v>
      </c>
      <c r="D4339" t="s">
        <v>11</v>
      </c>
      <c r="E4339" t="s">
        <v>9538</v>
      </c>
      <c r="F4339">
        <v>60</v>
      </c>
      <c r="G4339" t="s">
        <v>46</v>
      </c>
      <c r="H4339" t="s">
        <v>46</v>
      </c>
    </row>
    <row r="4340" spans="1:10" x14ac:dyDescent="0.3">
      <c r="A4340" t="s">
        <v>9539</v>
      </c>
      <c r="B4340" t="s">
        <v>28559</v>
      </c>
      <c r="C4340" t="s">
        <v>20488</v>
      </c>
      <c r="D4340" t="s">
        <v>22</v>
      </c>
      <c r="E4340" t="s">
        <v>9540</v>
      </c>
      <c r="F4340">
        <v>47</v>
      </c>
      <c r="G4340" t="s">
        <v>133</v>
      </c>
      <c r="H4340" t="s">
        <v>9789</v>
      </c>
      <c r="I4340" t="s">
        <v>9541</v>
      </c>
    </row>
    <row r="4341" spans="1:10" x14ac:dyDescent="0.3">
      <c r="A4341" t="s">
        <v>9542</v>
      </c>
      <c r="B4341" t="s">
        <v>28560</v>
      </c>
      <c r="C4341" t="s">
        <v>20488</v>
      </c>
      <c r="D4341" t="s">
        <v>22</v>
      </c>
      <c r="E4341" t="s">
        <v>9543</v>
      </c>
      <c r="F4341">
        <v>33</v>
      </c>
      <c r="G4341" t="s">
        <v>109</v>
      </c>
      <c r="H4341" t="s">
        <v>9788</v>
      </c>
      <c r="I4341" t="s">
        <v>7603</v>
      </c>
      <c r="J4341" t="s">
        <v>9544</v>
      </c>
    </row>
    <row r="4342" spans="1:10" x14ac:dyDescent="0.3">
      <c r="A4342" t="s">
        <v>9545</v>
      </c>
      <c r="B4342" t="s">
        <v>28561</v>
      </c>
      <c r="C4342" t="s">
        <v>20488</v>
      </c>
      <c r="D4342" t="s">
        <v>22</v>
      </c>
      <c r="E4342" t="s">
        <v>3972</v>
      </c>
      <c r="F4342">
        <v>53</v>
      </c>
      <c r="G4342" t="s">
        <v>46</v>
      </c>
      <c r="H4342" t="s">
        <v>46</v>
      </c>
      <c r="I4342" t="s">
        <v>7349</v>
      </c>
    </row>
    <row r="4343" spans="1:10" x14ac:dyDescent="0.3">
      <c r="A4343" t="s">
        <v>9546</v>
      </c>
      <c r="B4343" t="s">
        <v>28562</v>
      </c>
      <c r="C4343" t="s">
        <v>20488</v>
      </c>
      <c r="D4343" t="s">
        <v>22</v>
      </c>
      <c r="E4343" t="s">
        <v>9547</v>
      </c>
      <c r="F4343">
        <v>33</v>
      </c>
      <c r="G4343" t="s">
        <v>46</v>
      </c>
      <c r="H4343" t="s">
        <v>46</v>
      </c>
      <c r="I4343" t="s">
        <v>9548</v>
      </c>
    </row>
    <row r="4344" spans="1:10" x14ac:dyDescent="0.3">
      <c r="A4344" t="s">
        <v>9549</v>
      </c>
      <c r="B4344" t="s">
        <v>28563</v>
      </c>
      <c r="C4344" t="s">
        <v>20488</v>
      </c>
      <c r="D4344" t="s">
        <v>22</v>
      </c>
      <c r="E4344" t="s">
        <v>9550</v>
      </c>
      <c r="F4344">
        <v>26</v>
      </c>
      <c r="G4344" t="s">
        <v>109</v>
      </c>
      <c r="H4344" t="s">
        <v>9788</v>
      </c>
      <c r="I4344" t="s">
        <v>110</v>
      </c>
      <c r="J4344" t="s">
        <v>9551</v>
      </c>
    </row>
    <row r="4345" spans="1:10" x14ac:dyDescent="0.3">
      <c r="A4345" t="s">
        <v>9552</v>
      </c>
      <c r="B4345" t="s">
        <v>28564</v>
      </c>
      <c r="C4345" t="s">
        <v>20487</v>
      </c>
      <c r="D4345" t="s">
        <v>11</v>
      </c>
      <c r="E4345" t="s">
        <v>9553</v>
      </c>
      <c r="F4345">
        <v>29</v>
      </c>
      <c r="G4345" t="s">
        <v>109</v>
      </c>
      <c r="H4345" t="s">
        <v>9788</v>
      </c>
      <c r="I4345" t="s">
        <v>228</v>
      </c>
      <c r="J4345" t="s">
        <v>1479</v>
      </c>
    </row>
    <row r="4346" spans="1:10" x14ac:dyDescent="0.3">
      <c r="A4346" t="s">
        <v>9554</v>
      </c>
      <c r="B4346" t="s">
        <v>28565</v>
      </c>
      <c r="C4346" t="s">
        <v>20491</v>
      </c>
      <c r="D4346" t="s">
        <v>11</v>
      </c>
      <c r="E4346" t="s">
        <v>9555</v>
      </c>
      <c r="F4346">
        <v>25</v>
      </c>
      <c r="G4346" t="s">
        <v>109</v>
      </c>
      <c r="H4346" t="s">
        <v>9788</v>
      </c>
      <c r="J4346" t="s">
        <v>9556</v>
      </c>
    </row>
    <row r="4347" spans="1:10" x14ac:dyDescent="0.3">
      <c r="A4347" t="s">
        <v>9557</v>
      </c>
      <c r="B4347" t="s">
        <v>28566</v>
      </c>
      <c r="C4347" t="s">
        <v>20491</v>
      </c>
      <c r="D4347" t="s">
        <v>22</v>
      </c>
      <c r="E4347" t="s">
        <v>9558</v>
      </c>
      <c r="F4347">
        <v>27</v>
      </c>
      <c r="G4347" t="s">
        <v>109</v>
      </c>
      <c r="H4347" t="s">
        <v>9788</v>
      </c>
      <c r="I4347" t="s">
        <v>3184</v>
      </c>
      <c r="J4347" t="s">
        <v>9559</v>
      </c>
    </row>
    <row r="4348" spans="1:10" x14ac:dyDescent="0.3">
      <c r="A4348" t="s">
        <v>9560</v>
      </c>
      <c r="B4348" t="s">
        <v>28567</v>
      </c>
      <c r="C4348" t="s">
        <v>20488</v>
      </c>
      <c r="D4348" t="s">
        <v>11</v>
      </c>
      <c r="E4348" t="s">
        <v>9561</v>
      </c>
      <c r="F4348">
        <v>72</v>
      </c>
      <c r="G4348" t="s">
        <v>46</v>
      </c>
      <c r="H4348" t="s">
        <v>46</v>
      </c>
    </row>
    <row r="4349" spans="1:10" x14ac:dyDescent="0.3">
      <c r="A4349" t="s">
        <v>9562</v>
      </c>
      <c r="B4349" t="s">
        <v>28568</v>
      </c>
      <c r="C4349" t="s">
        <v>20488</v>
      </c>
      <c r="D4349" t="s">
        <v>22</v>
      </c>
      <c r="E4349" t="s">
        <v>2205</v>
      </c>
      <c r="F4349">
        <v>47</v>
      </c>
      <c r="G4349" t="s">
        <v>109</v>
      </c>
      <c r="H4349" t="s">
        <v>9788</v>
      </c>
      <c r="I4349" t="s">
        <v>1011</v>
      </c>
      <c r="J4349" t="s">
        <v>12601</v>
      </c>
    </row>
    <row r="4350" spans="1:10" x14ac:dyDescent="0.3">
      <c r="A4350" t="s">
        <v>9563</v>
      </c>
      <c r="B4350" t="s">
        <v>28569</v>
      </c>
      <c r="C4350" t="s">
        <v>20491</v>
      </c>
      <c r="D4350" t="s">
        <v>22</v>
      </c>
      <c r="E4350" t="s">
        <v>9564</v>
      </c>
      <c r="F4350">
        <v>35</v>
      </c>
      <c r="G4350" t="s">
        <v>370</v>
      </c>
      <c r="H4350" t="s">
        <v>46</v>
      </c>
      <c r="I4350" t="s">
        <v>228</v>
      </c>
      <c r="J4350" t="s">
        <v>9565</v>
      </c>
    </row>
    <row r="4351" spans="1:10" x14ac:dyDescent="0.3">
      <c r="A4351" t="s">
        <v>9566</v>
      </c>
      <c r="B4351" t="s">
        <v>28570</v>
      </c>
      <c r="C4351" t="s">
        <v>20486</v>
      </c>
      <c r="D4351" t="s">
        <v>11</v>
      </c>
      <c r="E4351" t="s">
        <v>9567</v>
      </c>
      <c r="F4351">
        <v>23</v>
      </c>
      <c r="G4351" t="s">
        <v>109</v>
      </c>
      <c r="H4351" t="s">
        <v>9788</v>
      </c>
      <c r="I4351" t="s">
        <v>12602</v>
      </c>
    </row>
    <row r="4352" spans="1:10" x14ac:dyDescent="0.3">
      <c r="A4352" t="s">
        <v>9568</v>
      </c>
      <c r="B4352" t="s">
        <v>28571</v>
      </c>
      <c r="C4352" t="s">
        <v>20486</v>
      </c>
      <c r="D4352" t="s">
        <v>11</v>
      </c>
      <c r="E4352" t="s">
        <v>840</v>
      </c>
      <c r="F4352">
        <v>59</v>
      </c>
      <c r="G4352" t="s">
        <v>46</v>
      </c>
      <c r="H4352" t="s">
        <v>46</v>
      </c>
      <c r="I4352" t="s">
        <v>9338</v>
      </c>
      <c r="J4352" t="s">
        <v>9569</v>
      </c>
    </row>
    <row r="4353" spans="1:10" x14ac:dyDescent="0.3">
      <c r="A4353" t="s">
        <v>9570</v>
      </c>
      <c r="B4353" t="s">
        <v>28572</v>
      </c>
      <c r="C4353" t="s">
        <v>20486</v>
      </c>
      <c r="D4353" t="s">
        <v>22</v>
      </c>
      <c r="E4353" t="s">
        <v>9571</v>
      </c>
      <c r="F4353">
        <v>42</v>
      </c>
      <c r="G4353" t="s">
        <v>109</v>
      </c>
      <c r="H4353" t="s">
        <v>9788</v>
      </c>
      <c r="J4353" t="s">
        <v>9572</v>
      </c>
    </row>
    <row r="4354" spans="1:10" x14ac:dyDescent="0.3">
      <c r="A4354" t="s">
        <v>9573</v>
      </c>
      <c r="B4354" t="s">
        <v>28573</v>
      </c>
      <c r="C4354" t="s">
        <v>20486</v>
      </c>
      <c r="D4354" t="s">
        <v>11</v>
      </c>
      <c r="E4354" t="s">
        <v>9574</v>
      </c>
      <c r="F4354">
        <v>43</v>
      </c>
      <c r="G4354" t="s">
        <v>109</v>
      </c>
      <c r="H4354" t="s">
        <v>9788</v>
      </c>
    </row>
    <row r="4355" spans="1:10" x14ac:dyDescent="0.3">
      <c r="A4355" t="s">
        <v>9575</v>
      </c>
      <c r="B4355" t="s">
        <v>28574</v>
      </c>
      <c r="C4355" t="s">
        <v>20490</v>
      </c>
      <c r="D4355" t="s">
        <v>11</v>
      </c>
      <c r="E4355" t="s">
        <v>5266</v>
      </c>
      <c r="F4355">
        <v>42</v>
      </c>
      <c r="G4355" t="s">
        <v>109</v>
      </c>
      <c r="H4355" t="s">
        <v>9788</v>
      </c>
    </row>
    <row r="4356" spans="1:10" x14ac:dyDescent="0.3">
      <c r="A4356" t="s">
        <v>9576</v>
      </c>
      <c r="B4356" t="s">
        <v>28575</v>
      </c>
      <c r="C4356" t="s">
        <v>20488</v>
      </c>
      <c r="D4356" t="s">
        <v>22</v>
      </c>
      <c r="E4356" t="s">
        <v>9577</v>
      </c>
      <c r="F4356">
        <v>42</v>
      </c>
      <c r="G4356" t="s">
        <v>46</v>
      </c>
      <c r="H4356" t="s">
        <v>46</v>
      </c>
      <c r="I4356" t="s">
        <v>9578</v>
      </c>
    </row>
    <row r="4357" spans="1:10" x14ac:dyDescent="0.3">
      <c r="A4357" t="s">
        <v>9579</v>
      </c>
      <c r="B4357" t="s">
        <v>28576</v>
      </c>
      <c r="C4357" t="s">
        <v>20486</v>
      </c>
      <c r="D4357" t="s">
        <v>11</v>
      </c>
      <c r="E4357" t="s">
        <v>5266</v>
      </c>
      <c r="F4357">
        <v>42</v>
      </c>
      <c r="G4357" t="s">
        <v>109</v>
      </c>
      <c r="H4357" t="s">
        <v>9788</v>
      </c>
      <c r="I4357" t="s">
        <v>9580</v>
      </c>
      <c r="J4357" t="s">
        <v>9581</v>
      </c>
    </row>
    <row r="4358" spans="1:10" x14ac:dyDescent="0.3">
      <c r="A4358" t="s">
        <v>9582</v>
      </c>
      <c r="B4358" t="s">
        <v>28577</v>
      </c>
      <c r="C4358" t="s">
        <v>20489</v>
      </c>
      <c r="D4358" t="s">
        <v>22</v>
      </c>
      <c r="E4358" t="s">
        <v>9583</v>
      </c>
      <c r="F4358">
        <v>26</v>
      </c>
      <c r="G4358" t="s">
        <v>31</v>
      </c>
      <c r="H4358" t="s">
        <v>31</v>
      </c>
    </row>
    <row r="4359" spans="1:10" x14ac:dyDescent="0.3">
      <c r="A4359" t="s">
        <v>9584</v>
      </c>
      <c r="B4359" t="s">
        <v>28578</v>
      </c>
      <c r="C4359" t="s">
        <v>20489</v>
      </c>
      <c r="D4359" t="s">
        <v>11</v>
      </c>
      <c r="E4359" t="s">
        <v>9585</v>
      </c>
      <c r="F4359">
        <v>28</v>
      </c>
      <c r="G4359" t="s">
        <v>1331</v>
      </c>
      <c r="H4359" t="s">
        <v>9789</v>
      </c>
      <c r="I4359" t="s">
        <v>3978</v>
      </c>
    </row>
    <row r="4360" spans="1:10" x14ac:dyDescent="0.3">
      <c r="A4360" t="s">
        <v>12603</v>
      </c>
      <c r="B4360" t="s">
        <v>28579</v>
      </c>
      <c r="C4360" t="s">
        <v>20491</v>
      </c>
      <c r="D4360" t="s">
        <v>22</v>
      </c>
      <c r="E4360" t="s">
        <v>1830</v>
      </c>
      <c r="F4360">
        <v>67</v>
      </c>
      <c r="G4360" t="s">
        <v>133</v>
      </c>
      <c r="H4360" t="s">
        <v>9789</v>
      </c>
    </row>
    <row r="4361" spans="1:10" x14ac:dyDescent="0.3">
      <c r="A4361" t="s">
        <v>12604</v>
      </c>
      <c r="B4361" t="s">
        <v>28580</v>
      </c>
      <c r="C4361" t="s">
        <v>20486</v>
      </c>
      <c r="D4361" t="s">
        <v>11</v>
      </c>
      <c r="E4361" t="s">
        <v>6487</v>
      </c>
      <c r="F4361">
        <v>58</v>
      </c>
      <c r="G4361" t="s">
        <v>46</v>
      </c>
      <c r="H4361" t="s">
        <v>46</v>
      </c>
      <c r="I4361" t="s">
        <v>12605</v>
      </c>
    </row>
    <row r="4362" spans="1:10" x14ac:dyDescent="0.3">
      <c r="A4362" t="s">
        <v>12606</v>
      </c>
      <c r="B4362" t="s">
        <v>28581</v>
      </c>
      <c r="C4362" t="s">
        <v>20488</v>
      </c>
      <c r="D4362" t="s">
        <v>22</v>
      </c>
      <c r="E4362" t="s">
        <v>12607</v>
      </c>
      <c r="F4362">
        <v>57</v>
      </c>
      <c r="G4362" t="s">
        <v>31</v>
      </c>
      <c r="H4362" t="s">
        <v>31</v>
      </c>
    </row>
    <row r="4363" spans="1:10" x14ac:dyDescent="0.3">
      <c r="A4363" t="s">
        <v>12608</v>
      </c>
      <c r="B4363" t="s">
        <v>28582</v>
      </c>
      <c r="C4363" t="s">
        <v>20486</v>
      </c>
      <c r="D4363" t="s">
        <v>22</v>
      </c>
      <c r="E4363" t="s">
        <v>12609</v>
      </c>
      <c r="F4363">
        <v>23</v>
      </c>
      <c r="G4363" t="s">
        <v>109</v>
      </c>
      <c r="H4363" t="s">
        <v>9788</v>
      </c>
      <c r="I4363" t="s">
        <v>12610</v>
      </c>
      <c r="J4363" t="s">
        <v>12611</v>
      </c>
    </row>
    <row r="4364" spans="1:10" x14ac:dyDescent="0.3">
      <c r="A4364" t="s">
        <v>12612</v>
      </c>
      <c r="B4364" t="s">
        <v>28583</v>
      </c>
      <c r="C4364" t="s">
        <v>20489</v>
      </c>
      <c r="D4364" t="s">
        <v>22</v>
      </c>
      <c r="E4364" t="s">
        <v>12613</v>
      </c>
      <c r="F4364">
        <v>28</v>
      </c>
      <c r="G4364" t="s">
        <v>109</v>
      </c>
      <c r="H4364" t="s">
        <v>9788</v>
      </c>
      <c r="I4364" t="s">
        <v>12614</v>
      </c>
      <c r="J4364" t="s">
        <v>12615</v>
      </c>
    </row>
    <row r="4365" spans="1:10" x14ac:dyDescent="0.3">
      <c r="A4365" t="s">
        <v>12617</v>
      </c>
      <c r="B4365" t="s">
        <v>28584</v>
      </c>
      <c r="C4365" t="s">
        <v>20486</v>
      </c>
      <c r="D4365" t="s">
        <v>22</v>
      </c>
      <c r="E4365" t="s">
        <v>12618</v>
      </c>
      <c r="F4365">
        <v>42</v>
      </c>
      <c r="G4365" t="s">
        <v>46</v>
      </c>
      <c r="H4365" t="s">
        <v>46</v>
      </c>
    </row>
    <row r="4366" spans="1:10" x14ac:dyDescent="0.3">
      <c r="A4366" t="s">
        <v>12619</v>
      </c>
      <c r="B4366" t="s">
        <v>28585</v>
      </c>
      <c r="C4366" t="s">
        <v>20490</v>
      </c>
      <c r="D4366" t="s">
        <v>11</v>
      </c>
      <c r="E4366" t="s">
        <v>12620</v>
      </c>
      <c r="F4366">
        <v>19</v>
      </c>
      <c r="G4366" t="s">
        <v>337</v>
      </c>
      <c r="H4366" t="s">
        <v>243</v>
      </c>
    </row>
    <row r="4367" spans="1:10" x14ac:dyDescent="0.3">
      <c r="A4367" t="s">
        <v>12621</v>
      </c>
      <c r="B4367" t="s">
        <v>28586</v>
      </c>
      <c r="C4367" t="s">
        <v>20486</v>
      </c>
      <c r="D4367" t="s">
        <v>11</v>
      </c>
      <c r="E4367" t="s">
        <v>12622</v>
      </c>
      <c r="F4367">
        <v>28</v>
      </c>
      <c r="G4367" t="s">
        <v>109</v>
      </c>
      <c r="H4367" t="s">
        <v>9788</v>
      </c>
      <c r="I4367" t="s">
        <v>12623</v>
      </c>
      <c r="J4367" t="s">
        <v>12623</v>
      </c>
    </row>
    <row r="4368" spans="1:10" x14ac:dyDescent="0.3">
      <c r="A4368" t="s">
        <v>12624</v>
      </c>
      <c r="B4368" t="s">
        <v>28587</v>
      </c>
      <c r="C4368" t="s">
        <v>20486</v>
      </c>
      <c r="D4368" t="s">
        <v>22</v>
      </c>
      <c r="E4368" t="s">
        <v>12625</v>
      </c>
      <c r="F4368">
        <v>59</v>
      </c>
      <c r="G4368" t="s">
        <v>31</v>
      </c>
      <c r="H4368" t="s">
        <v>31</v>
      </c>
      <c r="I4368" t="s">
        <v>384</v>
      </c>
      <c r="J4368" t="s">
        <v>384</v>
      </c>
    </row>
    <row r="4369" spans="1:10" x14ac:dyDescent="0.3">
      <c r="A4369" t="s">
        <v>12626</v>
      </c>
      <c r="B4369" t="s">
        <v>28588</v>
      </c>
      <c r="C4369" t="s">
        <v>20486</v>
      </c>
      <c r="D4369" t="s">
        <v>11</v>
      </c>
      <c r="E4369" t="s">
        <v>1380</v>
      </c>
      <c r="F4369">
        <v>43</v>
      </c>
      <c r="G4369" t="s">
        <v>46</v>
      </c>
      <c r="H4369" t="s">
        <v>46</v>
      </c>
      <c r="I4369" t="s">
        <v>228</v>
      </c>
      <c r="J4369" t="s">
        <v>384</v>
      </c>
    </row>
    <row r="4370" spans="1:10" x14ac:dyDescent="0.3">
      <c r="A4370" t="s">
        <v>12627</v>
      </c>
      <c r="B4370" t="s">
        <v>28589</v>
      </c>
      <c r="C4370" t="s">
        <v>20486</v>
      </c>
      <c r="D4370" t="s">
        <v>22</v>
      </c>
      <c r="E4370" t="s">
        <v>6621</v>
      </c>
      <c r="F4370">
        <v>50</v>
      </c>
      <c r="G4370" t="s">
        <v>46</v>
      </c>
      <c r="H4370" t="s">
        <v>46</v>
      </c>
      <c r="I4370" t="s">
        <v>228</v>
      </c>
      <c r="J4370" t="s">
        <v>12628</v>
      </c>
    </row>
    <row r="4371" spans="1:10" x14ac:dyDescent="0.3">
      <c r="A4371" t="s">
        <v>12629</v>
      </c>
      <c r="B4371" t="s">
        <v>28590</v>
      </c>
      <c r="C4371" t="s">
        <v>20486</v>
      </c>
      <c r="D4371" t="s">
        <v>22</v>
      </c>
      <c r="E4371" t="s">
        <v>12630</v>
      </c>
      <c r="F4371">
        <v>43</v>
      </c>
      <c r="G4371" t="s">
        <v>31</v>
      </c>
      <c r="H4371" t="s">
        <v>31</v>
      </c>
      <c r="I4371" t="s">
        <v>384</v>
      </c>
      <c r="J4371" t="s">
        <v>384</v>
      </c>
    </row>
    <row r="4372" spans="1:10" x14ac:dyDescent="0.3">
      <c r="A4372" t="s">
        <v>12631</v>
      </c>
      <c r="B4372" t="s">
        <v>28591</v>
      </c>
      <c r="C4372" t="s">
        <v>20489</v>
      </c>
      <c r="D4372" t="s">
        <v>22</v>
      </c>
      <c r="E4372" t="s">
        <v>12632</v>
      </c>
      <c r="F4372">
        <v>21</v>
      </c>
      <c r="G4372" t="s">
        <v>337</v>
      </c>
      <c r="H4372" t="s">
        <v>337</v>
      </c>
    </row>
    <row r="4373" spans="1:10" x14ac:dyDescent="0.3">
      <c r="A4373" t="s">
        <v>12633</v>
      </c>
      <c r="B4373" t="s">
        <v>28592</v>
      </c>
      <c r="C4373" t="s">
        <v>20489</v>
      </c>
      <c r="D4373" t="s">
        <v>22</v>
      </c>
      <c r="E4373" t="s">
        <v>8783</v>
      </c>
      <c r="F4373">
        <v>28</v>
      </c>
      <c r="G4373" t="s">
        <v>172</v>
      </c>
      <c r="H4373" t="s">
        <v>12099</v>
      </c>
      <c r="I4373" t="s">
        <v>17</v>
      </c>
      <c r="J4373" t="s">
        <v>627</v>
      </c>
    </row>
    <row r="4374" spans="1:10" x14ac:dyDescent="0.3">
      <c r="A4374" t="s">
        <v>12634</v>
      </c>
      <c r="B4374" t="s">
        <v>28593</v>
      </c>
      <c r="C4374" t="s">
        <v>20486</v>
      </c>
      <c r="D4374" t="s">
        <v>22</v>
      </c>
      <c r="E4374" t="s">
        <v>9532</v>
      </c>
      <c r="F4374">
        <v>38</v>
      </c>
      <c r="G4374" t="s">
        <v>31</v>
      </c>
      <c r="H4374" t="s">
        <v>31</v>
      </c>
      <c r="I4374" t="s">
        <v>384</v>
      </c>
      <c r="J4374" t="s">
        <v>384</v>
      </c>
    </row>
    <row r="4375" spans="1:10" x14ac:dyDescent="0.3">
      <c r="A4375" t="s">
        <v>12635</v>
      </c>
      <c r="B4375" t="s">
        <v>28594</v>
      </c>
      <c r="C4375" t="s">
        <v>20486</v>
      </c>
      <c r="D4375" t="s">
        <v>11</v>
      </c>
      <c r="E4375" t="s">
        <v>12636</v>
      </c>
      <c r="F4375">
        <v>43</v>
      </c>
      <c r="G4375" t="s">
        <v>109</v>
      </c>
      <c r="H4375" t="s">
        <v>9788</v>
      </c>
      <c r="I4375" t="s">
        <v>12637</v>
      </c>
      <c r="J4375" t="s">
        <v>12638</v>
      </c>
    </row>
    <row r="4376" spans="1:10" x14ac:dyDescent="0.3">
      <c r="A4376" t="s">
        <v>12639</v>
      </c>
      <c r="B4376" t="s">
        <v>28595</v>
      </c>
      <c r="C4376" t="s">
        <v>20490</v>
      </c>
      <c r="D4376" t="s">
        <v>11</v>
      </c>
      <c r="E4376" t="s">
        <v>12640</v>
      </c>
      <c r="F4376">
        <v>22</v>
      </c>
      <c r="G4376" t="s">
        <v>109</v>
      </c>
      <c r="H4376" t="s">
        <v>9788</v>
      </c>
    </row>
    <row r="4377" spans="1:10" x14ac:dyDescent="0.3">
      <c r="A4377" t="s">
        <v>12641</v>
      </c>
      <c r="B4377" t="s">
        <v>28596</v>
      </c>
      <c r="C4377" t="s">
        <v>20490</v>
      </c>
      <c r="D4377" t="s">
        <v>11</v>
      </c>
      <c r="E4377" t="s">
        <v>18844</v>
      </c>
      <c r="F4377">
        <v>24</v>
      </c>
      <c r="G4377" t="s">
        <v>109</v>
      </c>
      <c r="H4377" t="s">
        <v>9788</v>
      </c>
    </row>
    <row r="4378" spans="1:10" x14ac:dyDescent="0.3">
      <c r="A4378" t="s">
        <v>12642</v>
      </c>
      <c r="B4378" t="s">
        <v>28597</v>
      </c>
      <c r="C4378" t="s">
        <v>20491</v>
      </c>
      <c r="D4378" t="s">
        <v>22</v>
      </c>
      <c r="E4378" t="s">
        <v>12643</v>
      </c>
      <c r="F4378">
        <v>25</v>
      </c>
      <c r="G4378" t="s">
        <v>109</v>
      </c>
      <c r="H4378" t="s">
        <v>9788</v>
      </c>
      <c r="J4378" t="s">
        <v>9450</v>
      </c>
    </row>
    <row r="4379" spans="1:10" x14ac:dyDescent="0.3">
      <c r="A4379" t="s">
        <v>12644</v>
      </c>
      <c r="B4379" t="s">
        <v>28598</v>
      </c>
      <c r="C4379" t="s">
        <v>20487</v>
      </c>
      <c r="D4379" t="s">
        <v>11</v>
      </c>
      <c r="E4379" t="s">
        <v>12645</v>
      </c>
      <c r="F4379">
        <v>42</v>
      </c>
      <c r="G4379" t="s">
        <v>109</v>
      </c>
      <c r="H4379" t="s">
        <v>9788</v>
      </c>
      <c r="I4379" t="s">
        <v>1534</v>
      </c>
      <c r="J4379" t="s">
        <v>2639</v>
      </c>
    </row>
    <row r="4380" spans="1:10" x14ac:dyDescent="0.3">
      <c r="A4380" t="s">
        <v>12646</v>
      </c>
      <c r="B4380" t="s">
        <v>28599</v>
      </c>
      <c r="C4380" t="s">
        <v>20489</v>
      </c>
      <c r="D4380" t="s">
        <v>22</v>
      </c>
      <c r="E4380" t="s">
        <v>12647</v>
      </c>
      <c r="F4380">
        <v>36</v>
      </c>
      <c r="G4380" t="s">
        <v>31</v>
      </c>
      <c r="H4380" t="s">
        <v>31</v>
      </c>
    </row>
    <row r="4381" spans="1:10" x14ac:dyDescent="0.3">
      <c r="A4381" t="s">
        <v>12648</v>
      </c>
      <c r="B4381" t="s">
        <v>28600</v>
      </c>
      <c r="C4381" t="s">
        <v>20488</v>
      </c>
      <c r="D4381" t="s">
        <v>22</v>
      </c>
      <c r="E4381" t="s">
        <v>12649</v>
      </c>
      <c r="F4381">
        <v>41</v>
      </c>
      <c r="G4381" t="s">
        <v>155</v>
      </c>
      <c r="H4381" t="s">
        <v>9791</v>
      </c>
      <c r="I4381" t="s">
        <v>1074</v>
      </c>
      <c r="J4381" t="s">
        <v>8464</v>
      </c>
    </row>
    <row r="4382" spans="1:10" x14ac:dyDescent="0.3">
      <c r="A4382" t="s">
        <v>12650</v>
      </c>
      <c r="B4382" t="s">
        <v>28601</v>
      </c>
      <c r="C4382" t="s">
        <v>20489</v>
      </c>
      <c r="D4382" t="s">
        <v>22</v>
      </c>
      <c r="E4382" t="s">
        <v>3974</v>
      </c>
      <c r="F4382">
        <v>44</v>
      </c>
      <c r="G4382" t="s">
        <v>31</v>
      </c>
      <c r="H4382" t="s">
        <v>31</v>
      </c>
    </row>
    <row r="4383" spans="1:10" x14ac:dyDescent="0.3">
      <c r="A4383" t="s">
        <v>12651</v>
      </c>
      <c r="B4383" t="s">
        <v>28602</v>
      </c>
      <c r="C4383" t="s">
        <v>20489</v>
      </c>
      <c r="D4383" t="s">
        <v>22</v>
      </c>
      <c r="E4383" t="s">
        <v>12652</v>
      </c>
      <c r="F4383">
        <v>32</v>
      </c>
      <c r="G4383" t="s">
        <v>31</v>
      </c>
      <c r="H4383" t="s">
        <v>31</v>
      </c>
    </row>
    <row r="4384" spans="1:10" x14ac:dyDescent="0.3">
      <c r="A4384" t="s">
        <v>12653</v>
      </c>
      <c r="B4384" t="s">
        <v>28603</v>
      </c>
      <c r="C4384" t="s">
        <v>20491</v>
      </c>
      <c r="D4384" t="s">
        <v>11</v>
      </c>
      <c r="E4384" t="s">
        <v>12654</v>
      </c>
      <c r="F4384">
        <v>39</v>
      </c>
      <c r="G4384" t="s">
        <v>370</v>
      </c>
      <c r="H4384" t="s">
        <v>46</v>
      </c>
      <c r="I4384" t="s">
        <v>228</v>
      </c>
    </row>
    <row r="4385" spans="1:10" x14ac:dyDescent="0.3">
      <c r="A4385" t="s">
        <v>12655</v>
      </c>
      <c r="B4385" t="s">
        <v>28604</v>
      </c>
      <c r="C4385" t="s">
        <v>20487</v>
      </c>
      <c r="D4385" t="s">
        <v>11</v>
      </c>
      <c r="E4385" t="s">
        <v>12656</v>
      </c>
      <c r="F4385">
        <v>56</v>
      </c>
      <c r="G4385" t="s">
        <v>172</v>
      </c>
      <c r="H4385" t="s">
        <v>9785</v>
      </c>
      <c r="I4385" t="s">
        <v>441</v>
      </c>
    </row>
    <row r="4386" spans="1:10" x14ac:dyDescent="0.3">
      <c r="A4386" t="s">
        <v>12657</v>
      </c>
      <c r="B4386" t="s">
        <v>28605</v>
      </c>
      <c r="C4386" t="s">
        <v>20488</v>
      </c>
      <c r="D4386" t="s">
        <v>11</v>
      </c>
      <c r="E4386" t="s">
        <v>12658</v>
      </c>
      <c r="F4386">
        <v>31</v>
      </c>
      <c r="G4386" t="s">
        <v>46</v>
      </c>
      <c r="H4386" t="s">
        <v>46</v>
      </c>
    </row>
    <row r="4387" spans="1:10" x14ac:dyDescent="0.3">
      <c r="A4387" t="s">
        <v>12659</v>
      </c>
      <c r="B4387" t="s">
        <v>28606</v>
      </c>
      <c r="C4387" t="s">
        <v>20486</v>
      </c>
      <c r="D4387" t="s">
        <v>22</v>
      </c>
      <c r="E4387" t="s">
        <v>12660</v>
      </c>
      <c r="F4387">
        <v>27</v>
      </c>
      <c r="G4387" t="s">
        <v>109</v>
      </c>
      <c r="H4387" t="s">
        <v>9788</v>
      </c>
      <c r="I4387" t="s">
        <v>12661</v>
      </c>
      <c r="J4387" t="s">
        <v>12662</v>
      </c>
    </row>
    <row r="4388" spans="1:10" x14ac:dyDescent="0.3">
      <c r="A4388" t="s">
        <v>12663</v>
      </c>
      <c r="B4388" t="s">
        <v>28607</v>
      </c>
      <c r="C4388" t="s">
        <v>20489</v>
      </c>
      <c r="D4388" t="s">
        <v>22</v>
      </c>
      <c r="E4388" t="s">
        <v>12664</v>
      </c>
      <c r="F4388">
        <v>18</v>
      </c>
      <c r="G4388" t="s">
        <v>337</v>
      </c>
      <c r="H4388" t="s">
        <v>337</v>
      </c>
    </row>
    <row r="4389" spans="1:10" x14ac:dyDescent="0.3">
      <c r="A4389" t="s">
        <v>12665</v>
      </c>
      <c r="B4389" t="s">
        <v>28608</v>
      </c>
      <c r="C4389" t="s">
        <v>20487</v>
      </c>
      <c r="D4389" t="s">
        <v>11</v>
      </c>
      <c r="E4389" t="s">
        <v>12666</v>
      </c>
      <c r="F4389">
        <v>25</v>
      </c>
      <c r="G4389" t="s">
        <v>243</v>
      </c>
      <c r="H4389" t="s">
        <v>243</v>
      </c>
    </row>
    <row r="4390" spans="1:10" x14ac:dyDescent="0.3">
      <c r="A4390" t="s">
        <v>12667</v>
      </c>
      <c r="B4390" t="s">
        <v>28609</v>
      </c>
      <c r="C4390" t="s">
        <v>20489</v>
      </c>
      <c r="D4390" t="s">
        <v>11</v>
      </c>
      <c r="E4390" t="s">
        <v>12668</v>
      </c>
      <c r="F4390">
        <v>29</v>
      </c>
      <c r="G4390" t="s">
        <v>109</v>
      </c>
      <c r="H4390" t="s">
        <v>9788</v>
      </c>
      <c r="I4390" t="s">
        <v>4629</v>
      </c>
      <c r="J4390" t="s">
        <v>12669</v>
      </c>
    </row>
    <row r="4391" spans="1:10" x14ac:dyDescent="0.3">
      <c r="A4391" t="s">
        <v>12670</v>
      </c>
      <c r="B4391" t="s">
        <v>28610</v>
      </c>
      <c r="C4391" t="s">
        <v>20486</v>
      </c>
      <c r="D4391" t="s">
        <v>22</v>
      </c>
      <c r="E4391" t="s">
        <v>12671</v>
      </c>
      <c r="F4391">
        <v>44</v>
      </c>
      <c r="G4391" t="s">
        <v>155</v>
      </c>
      <c r="H4391" t="s">
        <v>9791</v>
      </c>
    </row>
    <row r="4392" spans="1:10" x14ac:dyDescent="0.3">
      <c r="A4392" t="s">
        <v>12672</v>
      </c>
      <c r="B4392" t="s">
        <v>28611</v>
      </c>
      <c r="C4392" t="s">
        <v>20486</v>
      </c>
      <c r="D4392" t="s">
        <v>11</v>
      </c>
      <c r="E4392" t="s">
        <v>12673</v>
      </c>
      <c r="F4392">
        <v>57</v>
      </c>
      <c r="G4392" t="s">
        <v>46</v>
      </c>
      <c r="H4392" t="s">
        <v>46</v>
      </c>
    </row>
    <row r="4393" spans="1:10" x14ac:dyDescent="0.3">
      <c r="A4393" t="s">
        <v>12674</v>
      </c>
      <c r="B4393" t="s">
        <v>28612</v>
      </c>
      <c r="C4393" t="s">
        <v>20486</v>
      </c>
      <c r="D4393" t="s">
        <v>22</v>
      </c>
      <c r="E4393" t="s">
        <v>12675</v>
      </c>
      <c r="F4393">
        <v>60</v>
      </c>
      <c r="G4393" t="s">
        <v>109</v>
      </c>
      <c r="H4393" t="s">
        <v>9788</v>
      </c>
    </row>
    <row r="4394" spans="1:10" x14ac:dyDescent="0.3">
      <c r="A4394" t="s">
        <v>12676</v>
      </c>
      <c r="B4394" t="s">
        <v>28613</v>
      </c>
      <c r="C4394" t="s">
        <v>20488</v>
      </c>
      <c r="D4394" t="s">
        <v>11</v>
      </c>
      <c r="E4394" t="s">
        <v>3788</v>
      </c>
      <c r="F4394">
        <v>48</v>
      </c>
      <c r="G4394" t="s">
        <v>109</v>
      </c>
      <c r="H4394" t="s">
        <v>9788</v>
      </c>
      <c r="I4394" t="s">
        <v>85</v>
      </c>
      <c r="J4394" t="s">
        <v>617</v>
      </c>
    </row>
    <row r="4395" spans="1:10" x14ac:dyDescent="0.3">
      <c r="A4395" t="s">
        <v>12677</v>
      </c>
      <c r="B4395" t="s">
        <v>28614</v>
      </c>
      <c r="C4395" t="s">
        <v>20486</v>
      </c>
      <c r="D4395" t="s">
        <v>22</v>
      </c>
      <c r="E4395" t="s">
        <v>12678</v>
      </c>
      <c r="F4395">
        <v>26</v>
      </c>
      <c r="G4395" t="s">
        <v>16</v>
      </c>
      <c r="H4395" t="s">
        <v>9785</v>
      </c>
      <c r="I4395" t="s">
        <v>17</v>
      </c>
      <c r="J4395" t="s">
        <v>12679</v>
      </c>
    </row>
    <row r="4396" spans="1:10" x14ac:dyDescent="0.3">
      <c r="A4396" t="s">
        <v>12680</v>
      </c>
      <c r="B4396" t="s">
        <v>28615</v>
      </c>
      <c r="C4396" t="s">
        <v>20488</v>
      </c>
      <c r="D4396" t="s">
        <v>22</v>
      </c>
      <c r="E4396" t="s">
        <v>1891</v>
      </c>
      <c r="F4396">
        <v>62</v>
      </c>
      <c r="G4396" t="s">
        <v>46</v>
      </c>
      <c r="H4396" t="s">
        <v>46</v>
      </c>
      <c r="I4396" t="s">
        <v>7349</v>
      </c>
      <c r="J4396" t="s">
        <v>7349</v>
      </c>
    </row>
    <row r="4397" spans="1:10" x14ac:dyDescent="0.3">
      <c r="A4397" t="s">
        <v>12681</v>
      </c>
      <c r="B4397" t="s">
        <v>28616</v>
      </c>
      <c r="C4397" t="s">
        <v>20487</v>
      </c>
      <c r="D4397" t="s">
        <v>22</v>
      </c>
      <c r="E4397" t="s">
        <v>12682</v>
      </c>
      <c r="F4397">
        <v>47</v>
      </c>
      <c r="G4397" t="s">
        <v>172</v>
      </c>
      <c r="H4397" t="s">
        <v>12099</v>
      </c>
    </row>
    <row r="4398" spans="1:10" x14ac:dyDescent="0.3">
      <c r="A4398" t="s">
        <v>12683</v>
      </c>
      <c r="B4398" t="s">
        <v>28617</v>
      </c>
      <c r="C4398" t="s">
        <v>20486</v>
      </c>
      <c r="D4398" t="s">
        <v>22</v>
      </c>
      <c r="E4398" t="s">
        <v>12684</v>
      </c>
      <c r="F4398">
        <v>48</v>
      </c>
      <c r="G4398" t="s">
        <v>109</v>
      </c>
      <c r="H4398" t="s">
        <v>9788</v>
      </c>
      <c r="I4398" t="s">
        <v>12685</v>
      </c>
      <c r="J4398" t="s">
        <v>12686</v>
      </c>
    </row>
    <row r="4399" spans="1:10" x14ac:dyDescent="0.3">
      <c r="A4399" t="s">
        <v>12687</v>
      </c>
      <c r="B4399" t="s">
        <v>28618</v>
      </c>
      <c r="C4399" t="s">
        <v>20486</v>
      </c>
      <c r="D4399" t="s">
        <v>22</v>
      </c>
      <c r="E4399" t="s">
        <v>12688</v>
      </c>
      <c r="F4399">
        <v>24</v>
      </c>
      <c r="G4399" t="s">
        <v>109</v>
      </c>
      <c r="H4399" t="s">
        <v>9788</v>
      </c>
      <c r="I4399" t="s">
        <v>12371</v>
      </c>
      <c r="J4399" t="s">
        <v>12689</v>
      </c>
    </row>
    <row r="4400" spans="1:10" x14ac:dyDescent="0.3">
      <c r="A4400" t="s">
        <v>12690</v>
      </c>
      <c r="B4400" t="s">
        <v>28619</v>
      </c>
      <c r="C4400" t="s">
        <v>20486</v>
      </c>
      <c r="D4400" t="s">
        <v>11</v>
      </c>
      <c r="E4400" t="s">
        <v>7885</v>
      </c>
      <c r="F4400">
        <v>49</v>
      </c>
      <c r="G4400" t="s">
        <v>172</v>
      </c>
      <c r="H4400" t="s">
        <v>12099</v>
      </c>
      <c r="I4400" t="s">
        <v>173</v>
      </c>
      <c r="J4400" t="s">
        <v>7120</v>
      </c>
    </row>
    <row r="4401" spans="1:10" x14ac:dyDescent="0.3">
      <c r="A4401" t="s">
        <v>12691</v>
      </c>
      <c r="B4401" t="s">
        <v>28620</v>
      </c>
      <c r="C4401" t="s">
        <v>20486</v>
      </c>
      <c r="D4401" t="s">
        <v>22</v>
      </c>
      <c r="E4401" t="s">
        <v>12692</v>
      </c>
      <c r="F4401">
        <v>47</v>
      </c>
      <c r="G4401" t="s">
        <v>46</v>
      </c>
      <c r="H4401" t="s">
        <v>46</v>
      </c>
      <c r="I4401" t="s">
        <v>228</v>
      </c>
      <c r="J4401" t="s">
        <v>12693</v>
      </c>
    </row>
    <row r="4402" spans="1:10" x14ac:dyDescent="0.3">
      <c r="A4402" t="s">
        <v>12694</v>
      </c>
      <c r="B4402" t="s">
        <v>28621</v>
      </c>
      <c r="C4402" t="s">
        <v>20486</v>
      </c>
      <c r="D4402" t="s">
        <v>22</v>
      </c>
      <c r="E4402" t="s">
        <v>9654</v>
      </c>
      <c r="F4402">
        <v>25</v>
      </c>
      <c r="G4402" t="s">
        <v>243</v>
      </c>
      <c r="H4402" t="s">
        <v>243</v>
      </c>
      <c r="I4402" t="s">
        <v>384</v>
      </c>
      <c r="J4402" t="s">
        <v>384</v>
      </c>
    </row>
    <row r="4403" spans="1:10" x14ac:dyDescent="0.3">
      <c r="A4403" t="s">
        <v>12695</v>
      </c>
      <c r="B4403" t="s">
        <v>28622</v>
      </c>
      <c r="C4403" t="s">
        <v>20486</v>
      </c>
      <c r="D4403" t="s">
        <v>22</v>
      </c>
      <c r="E4403" t="s">
        <v>12696</v>
      </c>
      <c r="F4403">
        <v>59</v>
      </c>
      <c r="G4403" t="s">
        <v>109</v>
      </c>
      <c r="H4403" t="s">
        <v>9788</v>
      </c>
      <c r="I4403" t="s">
        <v>228</v>
      </c>
      <c r="J4403" t="s">
        <v>12697</v>
      </c>
    </row>
    <row r="4404" spans="1:10" x14ac:dyDescent="0.3">
      <c r="A4404" t="s">
        <v>12698</v>
      </c>
      <c r="B4404" t="s">
        <v>28623</v>
      </c>
      <c r="C4404" t="s">
        <v>20486</v>
      </c>
      <c r="D4404" t="s">
        <v>22</v>
      </c>
      <c r="E4404" t="s">
        <v>12699</v>
      </c>
      <c r="F4404">
        <v>23</v>
      </c>
      <c r="G4404" t="s">
        <v>337</v>
      </c>
      <c r="H4404" t="s">
        <v>337</v>
      </c>
      <c r="I4404" t="s">
        <v>384</v>
      </c>
      <c r="J4404" t="s">
        <v>12700</v>
      </c>
    </row>
    <row r="4405" spans="1:10" x14ac:dyDescent="0.3">
      <c r="A4405" t="s">
        <v>12701</v>
      </c>
      <c r="B4405" t="s">
        <v>28624</v>
      </c>
      <c r="C4405" t="s">
        <v>20486</v>
      </c>
      <c r="D4405" t="s">
        <v>22</v>
      </c>
      <c r="E4405" t="s">
        <v>12702</v>
      </c>
      <c r="F4405">
        <v>52</v>
      </c>
      <c r="G4405" t="s">
        <v>24</v>
      </c>
      <c r="H4405" t="s">
        <v>9789</v>
      </c>
      <c r="I4405" t="s">
        <v>32</v>
      </c>
      <c r="J4405" t="s">
        <v>384</v>
      </c>
    </row>
    <row r="4406" spans="1:10" x14ac:dyDescent="0.3">
      <c r="A4406" t="s">
        <v>12703</v>
      </c>
      <c r="B4406" t="s">
        <v>28625</v>
      </c>
      <c r="C4406" t="s">
        <v>20486</v>
      </c>
      <c r="D4406" t="s">
        <v>22</v>
      </c>
      <c r="E4406" t="s">
        <v>12704</v>
      </c>
      <c r="F4406">
        <v>28</v>
      </c>
      <c r="G4406" t="s">
        <v>16</v>
      </c>
      <c r="H4406" t="s">
        <v>9785</v>
      </c>
      <c r="I4406" t="s">
        <v>17</v>
      </c>
      <c r="J4406" t="s">
        <v>12705</v>
      </c>
    </row>
    <row r="4407" spans="1:10" x14ac:dyDescent="0.3">
      <c r="A4407" t="s">
        <v>12706</v>
      </c>
      <c r="B4407" t="s">
        <v>28626</v>
      </c>
      <c r="C4407" t="s">
        <v>20487</v>
      </c>
      <c r="D4407" t="s">
        <v>11</v>
      </c>
      <c r="E4407" t="s">
        <v>7943</v>
      </c>
      <c r="F4407">
        <v>44</v>
      </c>
      <c r="G4407" t="s">
        <v>109</v>
      </c>
      <c r="H4407" t="s">
        <v>9788</v>
      </c>
      <c r="I4407" t="s">
        <v>12707</v>
      </c>
    </row>
    <row r="4408" spans="1:10" x14ac:dyDescent="0.3">
      <c r="A4408" t="s">
        <v>12708</v>
      </c>
      <c r="B4408" t="s">
        <v>28627</v>
      </c>
      <c r="C4408" t="s">
        <v>20491</v>
      </c>
      <c r="D4408" t="s">
        <v>11</v>
      </c>
      <c r="E4408" t="s">
        <v>12709</v>
      </c>
      <c r="F4408">
        <v>26</v>
      </c>
      <c r="G4408" t="s">
        <v>46</v>
      </c>
      <c r="H4408" t="s">
        <v>46</v>
      </c>
      <c r="J4408" t="s">
        <v>12710</v>
      </c>
    </row>
    <row r="4409" spans="1:10" x14ac:dyDescent="0.3">
      <c r="A4409" t="s">
        <v>12711</v>
      </c>
      <c r="B4409" t="s">
        <v>28628</v>
      </c>
      <c r="C4409" t="s">
        <v>20488</v>
      </c>
      <c r="D4409" t="s">
        <v>22</v>
      </c>
      <c r="E4409" t="s">
        <v>12712</v>
      </c>
      <c r="F4409">
        <v>46</v>
      </c>
      <c r="G4409" t="s">
        <v>46</v>
      </c>
      <c r="H4409" t="s">
        <v>46</v>
      </c>
      <c r="I4409" t="s">
        <v>228</v>
      </c>
      <c r="J4409" t="s">
        <v>12713</v>
      </c>
    </row>
    <row r="4410" spans="1:10" x14ac:dyDescent="0.3">
      <c r="A4410" t="s">
        <v>12714</v>
      </c>
      <c r="B4410" t="s">
        <v>28629</v>
      </c>
      <c r="C4410" t="s">
        <v>20486</v>
      </c>
      <c r="D4410" t="s">
        <v>22</v>
      </c>
      <c r="E4410" t="s">
        <v>668</v>
      </c>
      <c r="F4410">
        <v>72</v>
      </c>
      <c r="G4410" t="s">
        <v>31</v>
      </c>
      <c r="H4410" t="s">
        <v>31</v>
      </c>
      <c r="I4410" t="s">
        <v>384</v>
      </c>
      <c r="J4410" t="s">
        <v>384</v>
      </c>
    </row>
    <row r="4411" spans="1:10" x14ac:dyDescent="0.3">
      <c r="A4411" t="s">
        <v>12715</v>
      </c>
      <c r="B4411" t="s">
        <v>28630</v>
      </c>
      <c r="C4411" t="s">
        <v>20486</v>
      </c>
      <c r="D4411" t="s">
        <v>11</v>
      </c>
      <c r="E4411" t="s">
        <v>5196</v>
      </c>
      <c r="F4411">
        <v>34</v>
      </c>
      <c r="G4411" t="s">
        <v>109</v>
      </c>
      <c r="H4411" t="s">
        <v>9788</v>
      </c>
      <c r="I4411" t="s">
        <v>228</v>
      </c>
      <c r="J4411" t="s">
        <v>12716</v>
      </c>
    </row>
    <row r="4412" spans="1:10" x14ac:dyDescent="0.3">
      <c r="A4412" t="s">
        <v>12717</v>
      </c>
      <c r="B4412" t="s">
        <v>28631</v>
      </c>
      <c r="C4412" t="s">
        <v>20486</v>
      </c>
      <c r="D4412" t="s">
        <v>22</v>
      </c>
      <c r="E4412" t="s">
        <v>12718</v>
      </c>
      <c r="F4412">
        <v>22</v>
      </c>
      <c r="G4412" t="s">
        <v>109</v>
      </c>
      <c r="H4412" t="s">
        <v>9788</v>
      </c>
      <c r="I4412" t="s">
        <v>12719</v>
      </c>
      <c r="J4412" t="s">
        <v>12720</v>
      </c>
    </row>
    <row r="4413" spans="1:10" x14ac:dyDescent="0.3">
      <c r="A4413" t="s">
        <v>12721</v>
      </c>
      <c r="B4413" t="s">
        <v>28632</v>
      </c>
      <c r="C4413" t="s">
        <v>20489</v>
      </c>
      <c r="D4413" t="s">
        <v>22</v>
      </c>
      <c r="E4413" t="s">
        <v>12722</v>
      </c>
      <c r="F4413">
        <v>45</v>
      </c>
      <c r="G4413" t="s">
        <v>109</v>
      </c>
      <c r="H4413" t="s">
        <v>9788</v>
      </c>
      <c r="I4413" t="s">
        <v>360</v>
      </c>
      <c r="J4413" t="s">
        <v>6937</v>
      </c>
    </row>
    <row r="4414" spans="1:10" x14ac:dyDescent="0.3">
      <c r="A4414" t="s">
        <v>12723</v>
      </c>
      <c r="B4414" t="s">
        <v>28633</v>
      </c>
      <c r="C4414" t="s">
        <v>20488</v>
      </c>
      <c r="D4414" t="s">
        <v>22</v>
      </c>
      <c r="E4414" t="s">
        <v>6707</v>
      </c>
      <c r="F4414">
        <v>32</v>
      </c>
      <c r="G4414" t="s">
        <v>46</v>
      </c>
      <c r="H4414" t="s">
        <v>46</v>
      </c>
      <c r="I4414" t="s">
        <v>1828</v>
      </c>
      <c r="J4414" t="s">
        <v>12724</v>
      </c>
    </row>
    <row r="4415" spans="1:10" x14ac:dyDescent="0.3">
      <c r="A4415" t="s">
        <v>12725</v>
      </c>
      <c r="B4415" t="s">
        <v>28634</v>
      </c>
      <c r="C4415" t="s">
        <v>20489</v>
      </c>
      <c r="D4415" t="s">
        <v>11</v>
      </c>
      <c r="E4415" t="s">
        <v>6619</v>
      </c>
      <c r="F4415">
        <v>43</v>
      </c>
      <c r="G4415" t="s">
        <v>133</v>
      </c>
      <c r="H4415" t="s">
        <v>9789</v>
      </c>
      <c r="I4415" t="s">
        <v>1527</v>
      </c>
    </row>
    <row r="4416" spans="1:10" x14ac:dyDescent="0.3">
      <c r="A4416" t="s">
        <v>12726</v>
      </c>
      <c r="B4416" t="s">
        <v>28635</v>
      </c>
      <c r="C4416" t="s">
        <v>20488</v>
      </c>
      <c r="D4416" t="s">
        <v>22</v>
      </c>
      <c r="E4416" t="s">
        <v>12727</v>
      </c>
      <c r="F4416">
        <v>24</v>
      </c>
      <c r="G4416" t="s">
        <v>109</v>
      </c>
      <c r="H4416" t="s">
        <v>9788</v>
      </c>
      <c r="I4416" t="s">
        <v>12728</v>
      </c>
      <c r="J4416" t="s">
        <v>12729</v>
      </c>
    </row>
    <row r="4417" spans="1:10" x14ac:dyDescent="0.3">
      <c r="A4417" t="s">
        <v>12730</v>
      </c>
      <c r="B4417" t="s">
        <v>28636</v>
      </c>
      <c r="C4417" t="s">
        <v>20488</v>
      </c>
      <c r="D4417" t="s">
        <v>11</v>
      </c>
      <c r="E4417" t="s">
        <v>12731</v>
      </c>
      <c r="F4417">
        <v>58</v>
      </c>
      <c r="G4417" t="s">
        <v>109</v>
      </c>
      <c r="H4417" t="s">
        <v>9788</v>
      </c>
      <c r="I4417" t="s">
        <v>1074</v>
      </c>
      <c r="J4417" t="s">
        <v>12732</v>
      </c>
    </row>
    <row r="4418" spans="1:10" x14ac:dyDescent="0.3">
      <c r="A4418" t="s">
        <v>12733</v>
      </c>
      <c r="B4418" t="s">
        <v>28637</v>
      </c>
      <c r="C4418" t="s">
        <v>20488</v>
      </c>
      <c r="D4418" t="s">
        <v>11</v>
      </c>
      <c r="E4418" t="s">
        <v>12734</v>
      </c>
      <c r="F4418">
        <v>36</v>
      </c>
      <c r="G4418" t="s">
        <v>109</v>
      </c>
      <c r="H4418" t="s">
        <v>9788</v>
      </c>
    </row>
    <row r="4419" spans="1:10" x14ac:dyDescent="0.3">
      <c r="A4419" t="s">
        <v>12735</v>
      </c>
      <c r="B4419" t="s">
        <v>28638</v>
      </c>
      <c r="C4419" t="s">
        <v>20486</v>
      </c>
      <c r="D4419" t="s">
        <v>22</v>
      </c>
      <c r="E4419" t="s">
        <v>12736</v>
      </c>
      <c r="F4419">
        <v>61</v>
      </c>
      <c r="G4419" t="s">
        <v>46</v>
      </c>
      <c r="H4419" t="s">
        <v>46</v>
      </c>
      <c r="I4419" t="s">
        <v>228</v>
      </c>
      <c r="J4419" t="s">
        <v>12737</v>
      </c>
    </row>
    <row r="4420" spans="1:10" x14ac:dyDescent="0.3">
      <c r="A4420" t="s">
        <v>12738</v>
      </c>
      <c r="B4420" t="s">
        <v>28639</v>
      </c>
      <c r="C4420" t="s">
        <v>20489</v>
      </c>
      <c r="D4420" t="s">
        <v>11</v>
      </c>
      <c r="E4420" t="s">
        <v>5634</v>
      </c>
      <c r="F4420">
        <v>50</v>
      </c>
      <c r="G4420" t="s">
        <v>109</v>
      </c>
      <c r="H4420" t="s">
        <v>9788</v>
      </c>
      <c r="I4420" t="s">
        <v>12739</v>
      </c>
      <c r="J4420" t="s">
        <v>12740</v>
      </c>
    </row>
    <row r="4421" spans="1:10" x14ac:dyDescent="0.3">
      <c r="A4421" t="s">
        <v>12741</v>
      </c>
      <c r="B4421" t="s">
        <v>28640</v>
      </c>
      <c r="C4421" t="s">
        <v>20491</v>
      </c>
      <c r="D4421" t="s">
        <v>22</v>
      </c>
      <c r="E4421" t="s">
        <v>12742</v>
      </c>
      <c r="F4421">
        <v>43</v>
      </c>
      <c r="G4421" t="s">
        <v>31</v>
      </c>
      <c r="H4421" t="s">
        <v>31</v>
      </c>
    </row>
    <row r="4422" spans="1:10" x14ac:dyDescent="0.3">
      <c r="A4422" t="s">
        <v>12743</v>
      </c>
      <c r="B4422" t="s">
        <v>28641</v>
      </c>
      <c r="C4422" t="s">
        <v>20486</v>
      </c>
      <c r="D4422" t="s">
        <v>22</v>
      </c>
      <c r="E4422" t="s">
        <v>12744</v>
      </c>
      <c r="F4422">
        <v>41</v>
      </c>
      <c r="G4422" t="s">
        <v>172</v>
      </c>
      <c r="H4422" t="s">
        <v>12099</v>
      </c>
      <c r="I4422" t="s">
        <v>17</v>
      </c>
      <c r="J4422" t="s">
        <v>12745</v>
      </c>
    </row>
    <row r="4423" spans="1:10" x14ac:dyDescent="0.3">
      <c r="A4423" t="s">
        <v>12746</v>
      </c>
      <c r="B4423" t="s">
        <v>28642</v>
      </c>
      <c r="C4423" t="s">
        <v>20486</v>
      </c>
      <c r="D4423" t="s">
        <v>22</v>
      </c>
      <c r="E4423" t="s">
        <v>12747</v>
      </c>
      <c r="F4423">
        <v>44</v>
      </c>
      <c r="G4423" t="s">
        <v>109</v>
      </c>
      <c r="H4423" t="s">
        <v>9788</v>
      </c>
      <c r="I4423" t="s">
        <v>32</v>
      </c>
      <c r="J4423" t="s">
        <v>12748</v>
      </c>
    </row>
    <row r="4424" spans="1:10" x14ac:dyDescent="0.3">
      <c r="A4424" t="s">
        <v>12749</v>
      </c>
      <c r="B4424" t="s">
        <v>28643</v>
      </c>
      <c r="C4424" t="s">
        <v>20486</v>
      </c>
      <c r="D4424" t="s">
        <v>22</v>
      </c>
      <c r="E4424" t="s">
        <v>9586</v>
      </c>
      <c r="F4424">
        <v>32</v>
      </c>
      <c r="G4424" t="s">
        <v>46</v>
      </c>
      <c r="H4424" t="s">
        <v>46</v>
      </c>
      <c r="I4424" t="s">
        <v>228</v>
      </c>
    </row>
    <row r="4425" spans="1:10" x14ac:dyDescent="0.3">
      <c r="A4425" t="s">
        <v>12750</v>
      </c>
      <c r="B4425" t="s">
        <v>28644</v>
      </c>
      <c r="C4425" t="s">
        <v>20489</v>
      </c>
      <c r="D4425" t="s">
        <v>22</v>
      </c>
      <c r="E4425" t="s">
        <v>12751</v>
      </c>
      <c r="F4425">
        <v>41</v>
      </c>
      <c r="G4425" t="s">
        <v>31</v>
      </c>
      <c r="H4425" t="s">
        <v>31</v>
      </c>
    </row>
    <row r="4426" spans="1:10" x14ac:dyDescent="0.3">
      <c r="A4426" t="s">
        <v>12752</v>
      </c>
      <c r="B4426" t="s">
        <v>28645</v>
      </c>
      <c r="C4426" t="s">
        <v>20487</v>
      </c>
      <c r="D4426" t="s">
        <v>11</v>
      </c>
      <c r="E4426" t="s">
        <v>12753</v>
      </c>
      <c r="F4426">
        <v>45</v>
      </c>
      <c r="G4426" t="s">
        <v>1331</v>
      </c>
      <c r="H4426" t="s">
        <v>9789</v>
      </c>
    </row>
    <row r="4427" spans="1:10" x14ac:dyDescent="0.3">
      <c r="A4427" t="s">
        <v>12754</v>
      </c>
      <c r="B4427" t="s">
        <v>28646</v>
      </c>
      <c r="C4427" t="s">
        <v>20491</v>
      </c>
      <c r="D4427" t="s">
        <v>22</v>
      </c>
      <c r="E4427" t="s">
        <v>12755</v>
      </c>
      <c r="F4427">
        <v>25</v>
      </c>
      <c r="G4427" t="s">
        <v>109</v>
      </c>
      <c r="H4427" t="s">
        <v>9788</v>
      </c>
      <c r="J4427" t="s">
        <v>12756</v>
      </c>
    </row>
    <row r="4428" spans="1:10" x14ac:dyDescent="0.3">
      <c r="A4428" t="s">
        <v>12757</v>
      </c>
      <c r="B4428" t="s">
        <v>28647</v>
      </c>
      <c r="C4428" t="s">
        <v>20491</v>
      </c>
      <c r="D4428" t="s">
        <v>11</v>
      </c>
      <c r="E4428" t="s">
        <v>12758</v>
      </c>
      <c r="F4428">
        <v>61</v>
      </c>
      <c r="G4428" t="s">
        <v>370</v>
      </c>
      <c r="H4428" t="s">
        <v>46</v>
      </c>
    </row>
    <row r="4429" spans="1:10" x14ac:dyDescent="0.3">
      <c r="A4429" t="s">
        <v>12759</v>
      </c>
      <c r="B4429" t="s">
        <v>28648</v>
      </c>
      <c r="C4429" t="s">
        <v>20490</v>
      </c>
      <c r="D4429" t="s">
        <v>22</v>
      </c>
      <c r="E4429" t="s">
        <v>12760</v>
      </c>
      <c r="F4429">
        <v>49</v>
      </c>
      <c r="G4429" t="s">
        <v>31</v>
      </c>
      <c r="H4429" t="s">
        <v>31</v>
      </c>
    </row>
    <row r="4430" spans="1:10" x14ac:dyDescent="0.3">
      <c r="A4430" t="s">
        <v>12761</v>
      </c>
      <c r="B4430" t="s">
        <v>28649</v>
      </c>
      <c r="C4430" t="s">
        <v>20488</v>
      </c>
      <c r="D4430" t="s">
        <v>22</v>
      </c>
      <c r="E4430" t="s">
        <v>7986</v>
      </c>
      <c r="F4430">
        <v>26</v>
      </c>
      <c r="G4430" t="s">
        <v>109</v>
      </c>
      <c r="H4430" t="s">
        <v>9788</v>
      </c>
      <c r="I4430" t="s">
        <v>12762</v>
      </c>
      <c r="J4430" t="s">
        <v>12763</v>
      </c>
    </row>
    <row r="4431" spans="1:10" x14ac:dyDescent="0.3">
      <c r="A4431" t="s">
        <v>12764</v>
      </c>
      <c r="B4431" t="s">
        <v>28650</v>
      </c>
      <c r="C4431" t="s">
        <v>20488</v>
      </c>
      <c r="D4431" t="s">
        <v>22</v>
      </c>
      <c r="E4431" t="s">
        <v>12765</v>
      </c>
      <c r="F4431">
        <v>63</v>
      </c>
      <c r="G4431" t="s">
        <v>13</v>
      </c>
      <c r="H4431" t="s">
        <v>13</v>
      </c>
      <c r="I4431" t="s">
        <v>318</v>
      </c>
      <c r="J4431" t="s">
        <v>12766</v>
      </c>
    </row>
    <row r="4432" spans="1:10" x14ac:dyDescent="0.3">
      <c r="A4432" t="s">
        <v>12767</v>
      </c>
      <c r="B4432" t="s">
        <v>28651</v>
      </c>
      <c r="C4432" t="s">
        <v>20488</v>
      </c>
      <c r="D4432" t="s">
        <v>22</v>
      </c>
      <c r="E4432" t="s">
        <v>12768</v>
      </c>
      <c r="F4432">
        <v>51</v>
      </c>
      <c r="G4432" t="s">
        <v>46</v>
      </c>
      <c r="H4432" t="s">
        <v>46</v>
      </c>
      <c r="I4432" t="s">
        <v>228</v>
      </c>
      <c r="J4432" t="s">
        <v>12769</v>
      </c>
    </row>
    <row r="4433" spans="1:10" x14ac:dyDescent="0.3">
      <c r="A4433" t="s">
        <v>12770</v>
      </c>
      <c r="B4433" t="s">
        <v>28652</v>
      </c>
      <c r="C4433" t="s">
        <v>20487</v>
      </c>
      <c r="D4433" t="s">
        <v>11</v>
      </c>
      <c r="E4433" t="s">
        <v>4879</v>
      </c>
      <c r="F4433">
        <v>54</v>
      </c>
      <c r="G4433" t="s">
        <v>109</v>
      </c>
      <c r="H4433" t="s">
        <v>9788</v>
      </c>
      <c r="I4433" t="s">
        <v>12771</v>
      </c>
    </row>
    <row r="4434" spans="1:10" x14ac:dyDescent="0.3">
      <c r="A4434" t="s">
        <v>12772</v>
      </c>
      <c r="B4434" t="s">
        <v>28653</v>
      </c>
      <c r="C4434" t="s">
        <v>20491</v>
      </c>
      <c r="D4434" t="s">
        <v>22</v>
      </c>
      <c r="E4434" t="s">
        <v>12773</v>
      </c>
      <c r="F4434">
        <v>46</v>
      </c>
      <c r="G4434" t="s">
        <v>370</v>
      </c>
      <c r="H4434" t="s">
        <v>46</v>
      </c>
      <c r="I4434" t="s">
        <v>228</v>
      </c>
      <c r="J4434" t="s">
        <v>12774</v>
      </c>
    </row>
    <row r="4435" spans="1:10" x14ac:dyDescent="0.3">
      <c r="A4435" t="s">
        <v>12775</v>
      </c>
      <c r="B4435" t="s">
        <v>28654</v>
      </c>
      <c r="C4435" t="s">
        <v>20487</v>
      </c>
      <c r="D4435" t="s">
        <v>22</v>
      </c>
      <c r="E4435" t="s">
        <v>12776</v>
      </c>
      <c r="F4435">
        <v>37</v>
      </c>
      <c r="G4435" t="s">
        <v>16</v>
      </c>
      <c r="H4435" t="s">
        <v>9785</v>
      </c>
      <c r="I4435" t="s">
        <v>12777</v>
      </c>
    </row>
    <row r="4436" spans="1:10" x14ac:dyDescent="0.3">
      <c r="A4436" t="s">
        <v>12778</v>
      </c>
      <c r="B4436" t="s">
        <v>28655</v>
      </c>
      <c r="C4436" t="s">
        <v>20486</v>
      </c>
      <c r="D4436" t="s">
        <v>22</v>
      </c>
      <c r="E4436" t="s">
        <v>8641</v>
      </c>
      <c r="F4436">
        <v>38</v>
      </c>
      <c r="G4436" t="s">
        <v>31</v>
      </c>
      <c r="H4436" t="s">
        <v>31</v>
      </c>
    </row>
    <row r="4437" spans="1:10" x14ac:dyDescent="0.3">
      <c r="A4437" t="s">
        <v>12779</v>
      </c>
      <c r="B4437" t="s">
        <v>28656</v>
      </c>
      <c r="C4437" t="s">
        <v>20491</v>
      </c>
      <c r="D4437" t="s">
        <v>22</v>
      </c>
      <c r="E4437" t="s">
        <v>12780</v>
      </c>
      <c r="F4437">
        <v>24</v>
      </c>
      <c r="G4437" t="s">
        <v>109</v>
      </c>
      <c r="H4437" t="s">
        <v>9788</v>
      </c>
      <c r="J4437" t="s">
        <v>12781</v>
      </c>
    </row>
    <row r="4438" spans="1:10" x14ac:dyDescent="0.3">
      <c r="A4438" t="s">
        <v>12782</v>
      </c>
      <c r="B4438" t="s">
        <v>28657</v>
      </c>
      <c r="C4438" t="s">
        <v>20486</v>
      </c>
      <c r="D4438" t="s">
        <v>22</v>
      </c>
      <c r="E4438" t="s">
        <v>12783</v>
      </c>
      <c r="F4438">
        <v>30</v>
      </c>
      <c r="G4438" t="s">
        <v>109</v>
      </c>
      <c r="H4438" t="s">
        <v>9788</v>
      </c>
      <c r="I4438" t="s">
        <v>8707</v>
      </c>
      <c r="J4438" t="s">
        <v>12784</v>
      </c>
    </row>
    <row r="4439" spans="1:10" x14ac:dyDescent="0.3">
      <c r="A4439" t="s">
        <v>12785</v>
      </c>
      <c r="B4439" t="s">
        <v>28658</v>
      </c>
      <c r="C4439" t="s">
        <v>20490</v>
      </c>
      <c r="D4439" t="s">
        <v>22</v>
      </c>
      <c r="E4439" t="s">
        <v>12786</v>
      </c>
      <c r="F4439">
        <v>53</v>
      </c>
      <c r="G4439" t="s">
        <v>109</v>
      </c>
      <c r="H4439" t="s">
        <v>9788</v>
      </c>
      <c r="I4439" t="s">
        <v>3000</v>
      </c>
      <c r="J4439" t="s">
        <v>12787</v>
      </c>
    </row>
    <row r="4440" spans="1:10" x14ac:dyDescent="0.3">
      <c r="A4440" t="s">
        <v>12788</v>
      </c>
      <c r="B4440" t="s">
        <v>28659</v>
      </c>
      <c r="C4440" t="s">
        <v>20487</v>
      </c>
      <c r="D4440" t="s">
        <v>22</v>
      </c>
      <c r="E4440" t="s">
        <v>1338</v>
      </c>
      <c r="F4440">
        <v>53</v>
      </c>
      <c r="G4440" t="s">
        <v>31</v>
      </c>
      <c r="H4440" t="s">
        <v>31</v>
      </c>
    </row>
    <row r="4441" spans="1:10" x14ac:dyDescent="0.3">
      <c r="A4441" t="s">
        <v>12789</v>
      </c>
      <c r="B4441" t="s">
        <v>28660</v>
      </c>
      <c r="C4441" t="s">
        <v>20486</v>
      </c>
      <c r="D4441" t="s">
        <v>11</v>
      </c>
      <c r="E4441" t="s">
        <v>1630</v>
      </c>
      <c r="F4441">
        <v>44</v>
      </c>
      <c r="G4441" t="s">
        <v>109</v>
      </c>
      <c r="H4441" t="s">
        <v>9788</v>
      </c>
      <c r="I4441" t="s">
        <v>12790</v>
      </c>
      <c r="J4441" t="s">
        <v>12791</v>
      </c>
    </row>
    <row r="4442" spans="1:10" x14ac:dyDescent="0.3">
      <c r="A4442" t="s">
        <v>12792</v>
      </c>
      <c r="B4442" t="s">
        <v>28661</v>
      </c>
      <c r="C4442" t="s">
        <v>20486</v>
      </c>
      <c r="D4442" t="s">
        <v>11</v>
      </c>
      <c r="E4442" t="s">
        <v>12793</v>
      </c>
      <c r="F4442">
        <v>32</v>
      </c>
      <c r="G4442" t="s">
        <v>16</v>
      </c>
      <c r="H4442" t="s">
        <v>9785</v>
      </c>
      <c r="I4442" t="s">
        <v>8693</v>
      </c>
      <c r="J4442" t="s">
        <v>12794</v>
      </c>
    </row>
    <row r="4443" spans="1:10" x14ac:dyDescent="0.3">
      <c r="A4443" t="s">
        <v>12795</v>
      </c>
      <c r="B4443" t="s">
        <v>28662</v>
      </c>
      <c r="C4443" t="s">
        <v>20486</v>
      </c>
      <c r="D4443" t="s">
        <v>22</v>
      </c>
      <c r="E4443" t="s">
        <v>9429</v>
      </c>
      <c r="F4443">
        <v>36</v>
      </c>
      <c r="G4443" t="s">
        <v>16</v>
      </c>
      <c r="H4443" t="s">
        <v>9785</v>
      </c>
      <c r="I4443" t="s">
        <v>17</v>
      </c>
    </row>
    <row r="4444" spans="1:10" x14ac:dyDescent="0.3">
      <c r="A4444" t="s">
        <v>12796</v>
      </c>
      <c r="B4444" t="s">
        <v>28663</v>
      </c>
      <c r="C4444" t="s">
        <v>20489</v>
      </c>
      <c r="D4444" t="s">
        <v>22</v>
      </c>
      <c r="E4444" t="s">
        <v>12797</v>
      </c>
      <c r="F4444">
        <v>20</v>
      </c>
      <c r="G4444" t="s">
        <v>337</v>
      </c>
      <c r="H4444" t="s">
        <v>337</v>
      </c>
    </row>
    <row r="4445" spans="1:10" x14ac:dyDescent="0.3">
      <c r="A4445" t="s">
        <v>12798</v>
      </c>
      <c r="B4445" t="s">
        <v>28664</v>
      </c>
      <c r="C4445" t="s">
        <v>20489</v>
      </c>
      <c r="D4445" t="s">
        <v>11</v>
      </c>
      <c r="E4445" t="s">
        <v>12799</v>
      </c>
      <c r="F4445">
        <v>58</v>
      </c>
      <c r="G4445" t="s">
        <v>370</v>
      </c>
      <c r="H4445" t="s">
        <v>46</v>
      </c>
      <c r="I4445" t="s">
        <v>12800</v>
      </c>
    </row>
    <row r="4446" spans="1:10" x14ac:dyDescent="0.3">
      <c r="A4446" t="s">
        <v>12801</v>
      </c>
      <c r="B4446" t="s">
        <v>28665</v>
      </c>
      <c r="C4446" t="s">
        <v>20491</v>
      </c>
      <c r="D4446" t="s">
        <v>22</v>
      </c>
      <c r="E4446" t="s">
        <v>12802</v>
      </c>
      <c r="F4446">
        <v>58</v>
      </c>
      <c r="G4446" t="s">
        <v>46</v>
      </c>
      <c r="H4446" t="s">
        <v>46</v>
      </c>
    </row>
    <row r="4447" spans="1:10" x14ac:dyDescent="0.3">
      <c r="A4447" t="s">
        <v>12803</v>
      </c>
      <c r="B4447" t="s">
        <v>28666</v>
      </c>
      <c r="C4447" t="s">
        <v>20489</v>
      </c>
      <c r="D4447" t="s">
        <v>22</v>
      </c>
      <c r="E4447" t="s">
        <v>12804</v>
      </c>
      <c r="F4447">
        <v>33</v>
      </c>
      <c r="G4447" t="s">
        <v>370</v>
      </c>
      <c r="H4447" t="s">
        <v>46</v>
      </c>
      <c r="I4447" t="s">
        <v>12805</v>
      </c>
      <c r="J4447" t="s">
        <v>14349</v>
      </c>
    </row>
    <row r="4448" spans="1:10" x14ac:dyDescent="0.3">
      <c r="A4448" t="s">
        <v>12806</v>
      </c>
      <c r="B4448" t="s">
        <v>28667</v>
      </c>
      <c r="C4448" t="s">
        <v>20488</v>
      </c>
      <c r="D4448" t="s">
        <v>22</v>
      </c>
      <c r="E4448" t="s">
        <v>12807</v>
      </c>
      <c r="F4448">
        <v>34</v>
      </c>
      <c r="G4448" t="s">
        <v>1439</v>
      </c>
      <c r="H4448" t="s">
        <v>46</v>
      </c>
      <c r="I4448" t="s">
        <v>1074</v>
      </c>
      <c r="J4448" t="s">
        <v>12808</v>
      </c>
    </row>
    <row r="4449" spans="1:10" x14ac:dyDescent="0.3">
      <c r="A4449" t="s">
        <v>12809</v>
      </c>
      <c r="B4449" t="s">
        <v>28668</v>
      </c>
      <c r="C4449" t="s">
        <v>20486</v>
      </c>
      <c r="D4449" t="s">
        <v>22</v>
      </c>
      <c r="E4449" t="s">
        <v>12810</v>
      </c>
      <c r="F4449">
        <v>44</v>
      </c>
      <c r="G4449" t="s">
        <v>31</v>
      </c>
      <c r="H4449" t="s">
        <v>31</v>
      </c>
    </row>
    <row r="4450" spans="1:10" x14ac:dyDescent="0.3">
      <c r="A4450" t="s">
        <v>12811</v>
      </c>
      <c r="B4450" t="s">
        <v>28669</v>
      </c>
      <c r="C4450" t="s">
        <v>20486</v>
      </c>
      <c r="D4450" t="s">
        <v>11</v>
      </c>
      <c r="E4450" t="s">
        <v>7097</v>
      </c>
      <c r="F4450">
        <v>37</v>
      </c>
      <c r="G4450" t="s">
        <v>109</v>
      </c>
      <c r="H4450" t="s">
        <v>9788</v>
      </c>
    </row>
    <row r="4451" spans="1:10" x14ac:dyDescent="0.3">
      <c r="A4451" t="s">
        <v>12812</v>
      </c>
      <c r="B4451" t="s">
        <v>28670</v>
      </c>
      <c r="C4451" t="s">
        <v>20488</v>
      </c>
      <c r="D4451" t="s">
        <v>22</v>
      </c>
      <c r="E4451" t="s">
        <v>5155</v>
      </c>
      <c r="F4451">
        <v>37</v>
      </c>
      <c r="G4451" t="s">
        <v>109</v>
      </c>
      <c r="H4451" t="s">
        <v>9788</v>
      </c>
    </row>
    <row r="4452" spans="1:10" x14ac:dyDescent="0.3">
      <c r="A4452" t="s">
        <v>12813</v>
      </c>
      <c r="B4452" t="s">
        <v>28671</v>
      </c>
      <c r="C4452" t="s">
        <v>20491</v>
      </c>
      <c r="D4452" t="s">
        <v>22</v>
      </c>
      <c r="E4452" t="s">
        <v>12814</v>
      </c>
      <c r="F4452">
        <v>26</v>
      </c>
      <c r="G4452" t="s">
        <v>109</v>
      </c>
      <c r="H4452" t="s">
        <v>9788</v>
      </c>
      <c r="I4452" t="s">
        <v>228</v>
      </c>
      <c r="J4452" t="s">
        <v>12815</v>
      </c>
    </row>
    <row r="4453" spans="1:10" x14ac:dyDescent="0.3">
      <c r="A4453" t="s">
        <v>12816</v>
      </c>
      <c r="B4453" t="s">
        <v>28672</v>
      </c>
      <c r="C4453" t="s">
        <v>20487</v>
      </c>
      <c r="D4453" t="s">
        <v>22</v>
      </c>
      <c r="E4453" t="s">
        <v>12817</v>
      </c>
      <c r="F4453">
        <v>39</v>
      </c>
      <c r="G4453" t="s">
        <v>1200</v>
      </c>
      <c r="H4453" t="s">
        <v>9785</v>
      </c>
      <c r="I4453" t="s">
        <v>441</v>
      </c>
      <c r="J4453" t="s">
        <v>4066</v>
      </c>
    </row>
    <row r="4454" spans="1:10" x14ac:dyDescent="0.3">
      <c r="A4454" t="s">
        <v>12818</v>
      </c>
      <c r="B4454" t="s">
        <v>28673</v>
      </c>
      <c r="C4454" t="s">
        <v>20487</v>
      </c>
      <c r="D4454" t="s">
        <v>22</v>
      </c>
      <c r="E4454" t="s">
        <v>4833</v>
      </c>
      <c r="F4454">
        <v>45</v>
      </c>
      <c r="G4454" t="s">
        <v>1200</v>
      </c>
      <c r="H4454" t="s">
        <v>9785</v>
      </c>
      <c r="I4454" t="s">
        <v>441</v>
      </c>
      <c r="J4454" t="s">
        <v>4066</v>
      </c>
    </row>
    <row r="4455" spans="1:10" x14ac:dyDescent="0.3">
      <c r="A4455" t="s">
        <v>12819</v>
      </c>
      <c r="B4455" t="s">
        <v>28674</v>
      </c>
      <c r="C4455" t="s">
        <v>20486</v>
      </c>
      <c r="D4455" t="s">
        <v>22</v>
      </c>
      <c r="E4455" t="s">
        <v>5185</v>
      </c>
      <c r="F4455">
        <v>40</v>
      </c>
      <c r="G4455" t="s">
        <v>4481</v>
      </c>
      <c r="H4455" t="s">
        <v>12099</v>
      </c>
      <c r="I4455" t="s">
        <v>12820</v>
      </c>
      <c r="J4455" t="s">
        <v>12821</v>
      </c>
    </row>
    <row r="4456" spans="1:10" x14ac:dyDescent="0.3">
      <c r="A4456" t="s">
        <v>12822</v>
      </c>
      <c r="B4456" t="s">
        <v>28675</v>
      </c>
      <c r="C4456" t="s">
        <v>20486</v>
      </c>
      <c r="D4456" t="s">
        <v>22</v>
      </c>
      <c r="E4456" t="s">
        <v>2550</v>
      </c>
      <c r="F4456">
        <v>44</v>
      </c>
      <c r="G4456" t="s">
        <v>16</v>
      </c>
      <c r="H4456" t="s">
        <v>9785</v>
      </c>
    </row>
    <row r="4457" spans="1:10" x14ac:dyDescent="0.3">
      <c r="A4457" t="s">
        <v>12823</v>
      </c>
      <c r="B4457" t="s">
        <v>28676</v>
      </c>
      <c r="C4457" t="s">
        <v>20486</v>
      </c>
      <c r="D4457" t="s">
        <v>22</v>
      </c>
      <c r="E4457" t="s">
        <v>12824</v>
      </c>
      <c r="F4457">
        <v>50</v>
      </c>
      <c r="G4457" t="s">
        <v>16</v>
      </c>
      <c r="H4457" t="s">
        <v>9785</v>
      </c>
      <c r="I4457" t="s">
        <v>17</v>
      </c>
      <c r="J4457" t="s">
        <v>12825</v>
      </c>
    </row>
    <row r="4458" spans="1:10" x14ac:dyDescent="0.3">
      <c r="A4458" t="s">
        <v>12826</v>
      </c>
      <c r="B4458" t="s">
        <v>28677</v>
      </c>
      <c r="C4458" t="s">
        <v>20486</v>
      </c>
      <c r="D4458" t="s">
        <v>11</v>
      </c>
      <c r="E4458" t="s">
        <v>12827</v>
      </c>
      <c r="F4458">
        <v>51</v>
      </c>
      <c r="G4458" t="s">
        <v>16</v>
      </c>
      <c r="H4458" t="s">
        <v>9785</v>
      </c>
      <c r="I4458" t="s">
        <v>17</v>
      </c>
      <c r="J4458" t="s">
        <v>12828</v>
      </c>
    </row>
    <row r="4459" spans="1:10" x14ac:dyDescent="0.3">
      <c r="A4459" t="s">
        <v>12829</v>
      </c>
      <c r="B4459" t="s">
        <v>28678</v>
      </c>
      <c r="C4459" t="s">
        <v>20486</v>
      </c>
      <c r="D4459" t="s">
        <v>22</v>
      </c>
      <c r="E4459" t="s">
        <v>8332</v>
      </c>
      <c r="F4459">
        <v>46</v>
      </c>
      <c r="G4459" t="s">
        <v>172</v>
      </c>
      <c r="H4459" t="s">
        <v>12099</v>
      </c>
      <c r="I4459" t="s">
        <v>17</v>
      </c>
    </row>
    <row r="4460" spans="1:10" x14ac:dyDescent="0.3">
      <c r="A4460" t="s">
        <v>12830</v>
      </c>
      <c r="B4460" t="s">
        <v>28679</v>
      </c>
      <c r="C4460" t="s">
        <v>20491</v>
      </c>
      <c r="D4460" t="s">
        <v>11</v>
      </c>
      <c r="E4460" t="s">
        <v>7804</v>
      </c>
      <c r="F4460">
        <v>29</v>
      </c>
      <c r="G4460" t="s">
        <v>1439</v>
      </c>
      <c r="H4460" t="s">
        <v>46</v>
      </c>
      <c r="I4460" t="s">
        <v>228</v>
      </c>
      <c r="J4460" t="s">
        <v>12831</v>
      </c>
    </row>
    <row r="4461" spans="1:10" x14ac:dyDescent="0.3">
      <c r="A4461" t="s">
        <v>12832</v>
      </c>
      <c r="B4461" t="s">
        <v>28680</v>
      </c>
      <c r="C4461" t="s">
        <v>20486</v>
      </c>
      <c r="D4461" t="s">
        <v>22</v>
      </c>
      <c r="E4461" t="s">
        <v>1799</v>
      </c>
      <c r="F4461">
        <v>49</v>
      </c>
      <c r="G4461" t="s">
        <v>46</v>
      </c>
      <c r="H4461" t="s">
        <v>46</v>
      </c>
      <c r="I4461" t="s">
        <v>1190</v>
      </c>
      <c r="J4461" t="s">
        <v>12833</v>
      </c>
    </row>
    <row r="4462" spans="1:10" x14ac:dyDescent="0.3">
      <c r="A4462" t="s">
        <v>12834</v>
      </c>
      <c r="B4462" t="s">
        <v>28681</v>
      </c>
      <c r="C4462" t="s">
        <v>20486</v>
      </c>
      <c r="D4462" t="s">
        <v>11</v>
      </c>
      <c r="E4462" t="s">
        <v>12835</v>
      </c>
      <c r="F4462">
        <v>35</v>
      </c>
      <c r="G4462" t="s">
        <v>1200</v>
      </c>
      <c r="H4462" t="s">
        <v>9788</v>
      </c>
      <c r="I4462" t="s">
        <v>110</v>
      </c>
      <c r="J4462" t="s">
        <v>8322</v>
      </c>
    </row>
    <row r="4463" spans="1:10" x14ac:dyDescent="0.3">
      <c r="A4463" t="s">
        <v>12836</v>
      </c>
      <c r="B4463" t="s">
        <v>28682</v>
      </c>
      <c r="C4463" t="s">
        <v>20486</v>
      </c>
      <c r="D4463" t="s">
        <v>11</v>
      </c>
      <c r="E4463" t="s">
        <v>12837</v>
      </c>
      <c r="F4463">
        <v>44</v>
      </c>
      <c r="G4463" t="s">
        <v>46</v>
      </c>
      <c r="H4463" t="s">
        <v>46</v>
      </c>
    </row>
    <row r="4464" spans="1:10" x14ac:dyDescent="0.3">
      <c r="A4464" t="s">
        <v>12838</v>
      </c>
      <c r="B4464" t="s">
        <v>28683</v>
      </c>
      <c r="C4464" t="s">
        <v>20488</v>
      </c>
      <c r="D4464" t="s">
        <v>22</v>
      </c>
      <c r="E4464" t="s">
        <v>12839</v>
      </c>
      <c r="F4464">
        <v>27</v>
      </c>
      <c r="G4464" t="s">
        <v>46</v>
      </c>
      <c r="H4464" t="s">
        <v>46</v>
      </c>
      <c r="I4464" t="s">
        <v>12840</v>
      </c>
      <c r="J4464" t="s">
        <v>8464</v>
      </c>
    </row>
    <row r="4465" spans="1:10" x14ac:dyDescent="0.3">
      <c r="A4465" t="s">
        <v>12841</v>
      </c>
      <c r="B4465" t="s">
        <v>28684</v>
      </c>
      <c r="C4465" t="s">
        <v>20490</v>
      </c>
      <c r="D4465" t="s">
        <v>22</v>
      </c>
      <c r="E4465" t="s">
        <v>12842</v>
      </c>
      <c r="F4465">
        <v>25</v>
      </c>
      <c r="G4465" t="s">
        <v>109</v>
      </c>
      <c r="H4465" t="s">
        <v>9788</v>
      </c>
      <c r="I4465" t="s">
        <v>4629</v>
      </c>
      <c r="J4465" t="s">
        <v>535</v>
      </c>
    </row>
    <row r="4466" spans="1:10" x14ac:dyDescent="0.3">
      <c r="A4466" t="s">
        <v>12843</v>
      </c>
      <c r="B4466" t="s">
        <v>28685</v>
      </c>
      <c r="C4466" t="s">
        <v>20488</v>
      </c>
      <c r="D4466" t="s">
        <v>11</v>
      </c>
      <c r="E4466" t="s">
        <v>12844</v>
      </c>
      <c r="F4466">
        <v>56</v>
      </c>
      <c r="G4466" t="s">
        <v>109</v>
      </c>
      <c r="H4466" t="s">
        <v>9788</v>
      </c>
      <c r="I4466" t="s">
        <v>12845</v>
      </c>
      <c r="J4466" t="s">
        <v>12138</v>
      </c>
    </row>
    <row r="4467" spans="1:10" x14ac:dyDescent="0.3">
      <c r="A4467" t="s">
        <v>12846</v>
      </c>
      <c r="B4467" t="s">
        <v>28686</v>
      </c>
      <c r="C4467" t="s">
        <v>20486</v>
      </c>
      <c r="D4467" t="s">
        <v>22</v>
      </c>
      <c r="E4467" t="s">
        <v>12847</v>
      </c>
      <c r="F4467">
        <v>55</v>
      </c>
      <c r="G4467" t="s">
        <v>46</v>
      </c>
      <c r="H4467" t="s">
        <v>46</v>
      </c>
      <c r="I4467" t="s">
        <v>2552</v>
      </c>
      <c r="J4467" t="s">
        <v>12848</v>
      </c>
    </row>
    <row r="4468" spans="1:10" x14ac:dyDescent="0.3">
      <c r="A4468" t="s">
        <v>12849</v>
      </c>
      <c r="B4468" t="s">
        <v>28687</v>
      </c>
      <c r="C4468" t="s">
        <v>20486</v>
      </c>
      <c r="D4468" t="s">
        <v>22</v>
      </c>
      <c r="E4468" t="s">
        <v>12850</v>
      </c>
      <c r="F4468">
        <v>32</v>
      </c>
      <c r="G4468" t="s">
        <v>16</v>
      </c>
      <c r="H4468" t="s">
        <v>9785</v>
      </c>
      <c r="I4468" t="s">
        <v>17</v>
      </c>
      <c r="J4468" t="s">
        <v>12851</v>
      </c>
    </row>
    <row r="4469" spans="1:10" x14ac:dyDescent="0.3">
      <c r="A4469" t="s">
        <v>12852</v>
      </c>
      <c r="B4469" t="s">
        <v>28688</v>
      </c>
      <c r="C4469" t="s">
        <v>20489</v>
      </c>
      <c r="D4469" t="s">
        <v>22</v>
      </c>
      <c r="E4469" t="s">
        <v>5814</v>
      </c>
      <c r="F4469">
        <v>58</v>
      </c>
      <c r="G4469" t="s">
        <v>46</v>
      </c>
      <c r="H4469" t="s">
        <v>46</v>
      </c>
      <c r="I4469" t="s">
        <v>346</v>
      </c>
      <c r="J4469" t="s">
        <v>14350</v>
      </c>
    </row>
    <row r="4470" spans="1:10" x14ac:dyDescent="0.3">
      <c r="A4470" t="s">
        <v>12853</v>
      </c>
      <c r="B4470" t="s">
        <v>28689</v>
      </c>
      <c r="C4470" t="s">
        <v>20486</v>
      </c>
      <c r="D4470" t="s">
        <v>22</v>
      </c>
      <c r="E4470" t="s">
        <v>12780</v>
      </c>
      <c r="F4470">
        <v>24</v>
      </c>
      <c r="G4470" t="s">
        <v>109</v>
      </c>
      <c r="H4470" t="s">
        <v>9788</v>
      </c>
      <c r="I4470" t="s">
        <v>4629</v>
      </c>
      <c r="J4470" t="s">
        <v>12854</v>
      </c>
    </row>
    <row r="4471" spans="1:10" x14ac:dyDescent="0.3">
      <c r="A4471" t="s">
        <v>12855</v>
      </c>
      <c r="B4471" t="s">
        <v>28690</v>
      </c>
      <c r="C4471" t="s">
        <v>20488</v>
      </c>
      <c r="D4471" t="s">
        <v>22</v>
      </c>
      <c r="E4471" t="s">
        <v>885</v>
      </c>
      <c r="F4471">
        <v>57</v>
      </c>
      <c r="G4471" t="s">
        <v>16</v>
      </c>
      <c r="H4471" t="s">
        <v>9785</v>
      </c>
      <c r="I4471" t="s">
        <v>17</v>
      </c>
      <c r="J4471" t="s">
        <v>12856</v>
      </c>
    </row>
    <row r="4472" spans="1:10" x14ac:dyDescent="0.3">
      <c r="A4472" t="s">
        <v>12857</v>
      </c>
      <c r="B4472" t="s">
        <v>28691</v>
      </c>
      <c r="C4472" t="s">
        <v>20487</v>
      </c>
      <c r="D4472" t="s">
        <v>11</v>
      </c>
      <c r="E4472" t="s">
        <v>12858</v>
      </c>
      <c r="F4472">
        <v>60</v>
      </c>
      <c r="G4472" t="s">
        <v>13</v>
      </c>
      <c r="H4472" t="s">
        <v>13</v>
      </c>
      <c r="I4472" t="s">
        <v>6143</v>
      </c>
    </row>
    <row r="4473" spans="1:10" x14ac:dyDescent="0.3">
      <c r="A4473" t="s">
        <v>12859</v>
      </c>
      <c r="B4473" t="s">
        <v>28692</v>
      </c>
      <c r="C4473" t="s">
        <v>20489</v>
      </c>
      <c r="D4473" t="s">
        <v>11</v>
      </c>
      <c r="E4473" t="s">
        <v>12860</v>
      </c>
      <c r="F4473">
        <v>58</v>
      </c>
      <c r="G4473" t="s">
        <v>46</v>
      </c>
      <c r="H4473" t="s">
        <v>46</v>
      </c>
      <c r="I4473" t="s">
        <v>12861</v>
      </c>
      <c r="J4473" t="s">
        <v>12862</v>
      </c>
    </row>
    <row r="4474" spans="1:10" x14ac:dyDescent="0.3">
      <c r="A4474" t="s">
        <v>12863</v>
      </c>
      <c r="B4474" t="s">
        <v>28693</v>
      </c>
      <c r="C4474" t="s">
        <v>20486</v>
      </c>
      <c r="D4474" t="s">
        <v>22</v>
      </c>
      <c r="E4474" t="s">
        <v>8863</v>
      </c>
      <c r="F4474">
        <v>27</v>
      </c>
      <c r="G4474" t="s">
        <v>31</v>
      </c>
      <c r="H4474" t="s">
        <v>31</v>
      </c>
    </row>
    <row r="4475" spans="1:10" x14ac:dyDescent="0.3">
      <c r="A4475" t="s">
        <v>12864</v>
      </c>
      <c r="B4475" t="s">
        <v>28694</v>
      </c>
      <c r="C4475" t="s">
        <v>20486</v>
      </c>
      <c r="D4475" t="s">
        <v>22</v>
      </c>
      <c r="E4475" t="s">
        <v>12865</v>
      </c>
      <c r="F4475">
        <v>64</v>
      </c>
      <c r="G4475" t="s">
        <v>109</v>
      </c>
      <c r="H4475" t="s">
        <v>9788</v>
      </c>
      <c r="J4475" t="s">
        <v>12866</v>
      </c>
    </row>
    <row r="4476" spans="1:10" x14ac:dyDescent="0.3">
      <c r="A4476" t="s">
        <v>12867</v>
      </c>
      <c r="B4476" t="s">
        <v>28695</v>
      </c>
      <c r="C4476" t="s">
        <v>20488</v>
      </c>
      <c r="D4476" t="s">
        <v>11</v>
      </c>
      <c r="E4476" t="s">
        <v>4157</v>
      </c>
      <c r="F4476">
        <v>51</v>
      </c>
      <c r="G4476" t="s">
        <v>109</v>
      </c>
      <c r="H4476" t="s">
        <v>9788</v>
      </c>
      <c r="I4476" t="s">
        <v>5095</v>
      </c>
      <c r="J4476" t="s">
        <v>12868</v>
      </c>
    </row>
    <row r="4477" spans="1:10" x14ac:dyDescent="0.3">
      <c r="A4477" t="s">
        <v>12869</v>
      </c>
      <c r="B4477" t="s">
        <v>28696</v>
      </c>
      <c r="C4477" t="s">
        <v>20486</v>
      </c>
      <c r="D4477" t="s">
        <v>22</v>
      </c>
      <c r="E4477" t="s">
        <v>12870</v>
      </c>
      <c r="F4477">
        <v>62</v>
      </c>
      <c r="G4477" t="s">
        <v>31</v>
      </c>
      <c r="H4477" t="s">
        <v>31</v>
      </c>
    </row>
    <row r="4478" spans="1:10" x14ac:dyDescent="0.3">
      <c r="A4478" t="s">
        <v>12871</v>
      </c>
      <c r="B4478" t="s">
        <v>28697</v>
      </c>
      <c r="C4478" t="s">
        <v>20486</v>
      </c>
      <c r="D4478" t="s">
        <v>11</v>
      </c>
      <c r="E4478" t="s">
        <v>12872</v>
      </c>
      <c r="F4478">
        <v>30</v>
      </c>
      <c r="G4478" t="s">
        <v>109</v>
      </c>
      <c r="H4478" t="s">
        <v>9788</v>
      </c>
    </row>
    <row r="4479" spans="1:10" x14ac:dyDescent="0.3">
      <c r="A4479" t="s">
        <v>12873</v>
      </c>
      <c r="B4479" t="s">
        <v>28698</v>
      </c>
      <c r="C4479" t="s">
        <v>20488</v>
      </c>
      <c r="D4479" t="s">
        <v>22</v>
      </c>
      <c r="E4479" t="s">
        <v>5576</v>
      </c>
      <c r="F4479">
        <v>48</v>
      </c>
      <c r="G4479" t="s">
        <v>213</v>
      </c>
      <c r="H4479" t="s">
        <v>12065</v>
      </c>
      <c r="I4479" t="s">
        <v>110</v>
      </c>
      <c r="J4479" t="s">
        <v>12874</v>
      </c>
    </row>
    <row r="4480" spans="1:10" x14ac:dyDescent="0.3">
      <c r="A4480" t="s">
        <v>12875</v>
      </c>
      <c r="B4480" t="s">
        <v>28699</v>
      </c>
      <c r="C4480" t="s">
        <v>20491</v>
      </c>
      <c r="D4480" t="s">
        <v>22</v>
      </c>
      <c r="E4480" t="s">
        <v>12876</v>
      </c>
      <c r="F4480">
        <v>21</v>
      </c>
      <c r="G4480" t="s">
        <v>109</v>
      </c>
      <c r="H4480" t="s">
        <v>9788</v>
      </c>
      <c r="I4480" t="s">
        <v>228</v>
      </c>
      <c r="J4480" t="s">
        <v>12877</v>
      </c>
    </row>
    <row r="4481" spans="1:10" x14ac:dyDescent="0.3">
      <c r="A4481" t="s">
        <v>12878</v>
      </c>
      <c r="B4481" t="s">
        <v>28700</v>
      </c>
      <c r="C4481" t="s">
        <v>20487</v>
      </c>
      <c r="D4481" t="s">
        <v>11</v>
      </c>
      <c r="E4481" t="s">
        <v>6356</v>
      </c>
      <c r="F4481">
        <v>40</v>
      </c>
      <c r="G4481" t="s">
        <v>540</v>
      </c>
      <c r="H4481" t="s">
        <v>12074</v>
      </c>
    </row>
    <row r="4482" spans="1:10" x14ac:dyDescent="0.3">
      <c r="A4482" t="s">
        <v>12879</v>
      </c>
      <c r="B4482" t="s">
        <v>28701</v>
      </c>
      <c r="C4482" t="s">
        <v>20488</v>
      </c>
      <c r="D4482" t="s">
        <v>22</v>
      </c>
      <c r="E4482" t="s">
        <v>3094</v>
      </c>
      <c r="F4482">
        <v>43</v>
      </c>
      <c r="G4482" t="s">
        <v>31</v>
      </c>
      <c r="H4482" t="s">
        <v>31</v>
      </c>
    </row>
    <row r="4483" spans="1:10" x14ac:dyDescent="0.3">
      <c r="A4483" t="s">
        <v>12880</v>
      </c>
      <c r="B4483" t="s">
        <v>28702</v>
      </c>
      <c r="C4483" t="s">
        <v>20486</v>
      </c>
      <c r="D4483" t="s">
        <v>11</v>
      </c>
      <c r="E4483" t="s">
        <v>12881</v>
      </c>
      <c r="F4483">
        <v>38</v>
      </c>
      <c r="G4483" t="s">
        <v>172</v>
      </c>
      <c r="H4483" t="s">
        <v>12099</v>
      </c>
      <c r="I4483" t="s">
        <v>12882</v>
      </c>
    </row>
    <row r="4484" spans="1:10" x14ac:dyDescent="0.3">
      <c r="A4484" t="s">
        <v>12883</v>
      </c>
      <c r="B4484" t="s">
        <v>28703</v>
      </c>
      <c r="C4484" t="s">
        <v>20491</v>
      </c>
      <c r="D4484" t="s">
        <v>11</v>
      </c>
      <c r="E4484" t="s">
        <v>1543</v>
      </c>
      <c r="F4484">
        <v>53</v>
      </c>
      <c r="G4484" t="s">
        <v>109</v>
      </c>
      <c r="H4484" t="s">
        <v>9788</v>
      </c>
      <c r="I4484" t="s">
        <v>1145</v>
      </c>
      <c r="J4484" t="s">
        <v>12884</v>
      </c>
    </row>
    <row r="4485" spans="1:10" x14ac:dyDescent="0.3">
      <c r="A4485" t="s">
        <v>12885</v>
      </c>
      <c r="B4485" t="s">
        <v>28704</v>
      </c>
      <c r="C4485" t="s">
        <v>20487</v>
      </c>
      <c r="D4485" t="s">
        <v>11</v>
      </c>
      <c r="E4485" t="s">
        <v>5519</v>
      </c>
      <c r="F4485">
        <v>51</v>
      </c>
      <c r="G4485" t="s">
        <v>109</v>
      </c>
      <c r="H4485" t="s">
        <v>9788</v>
      </c>
      <c r="I4485" t="s">
        <v>12886</v>
      </c>
      <c r="J4485" t="s">
        <v>2639</v>
      </c>
    </row>
    <row r="4486" spans="1:10" x14ac:dyDescent="0.3">
      <c r="A4486" t="s">
        <v>12887</v>
      </c>
      <c r="B4486" t="s">
        <v>28705</v>
      </c>
      <c r="C4486" t="s">
        <v>20488</v>
      </c>
      <c r="D4486" t="s">
        <v>11</v>
      </c>
      <c r="E4486" t="s">
        <v>12888</v>
      </c>
      <c r="F4486">
        <v>49</v>
      </c>
      <c r="G4486" t="s">
        <v>133</v>
      </c>
      <c r="H4486" t="s">
        <v>9789</v>
      </c>
      <c r="I4486" t="s">
        <v>5870</v>
      </c>
      <c r="J4486" t="s">
        <v>5870</v>
      </c>
    </row>
    <row r="4487" spans="1:10" x14ac:dyDescent="0.3">
      <c r="A4487" t="s">
        <v>12889</v>
      </c>
      <c r="B4487" t="s">
        <v>28706</v>
      </c>
      <c r="C4487" t="s">
        <v>20488</v>
      </c>
      <c r="D4487" t="s">
        <v>22</v>
      </c>
      <c r="E4487" t="s">
        <v>9197</v>
      </c>
      <c r="F4487">
        <v>58</v>
      </c>
      <c r="G4487" t="s">
        <v>16</v>
      </c>
      <c r="H4487" t="s">
        <v>9785</v>
      </c>
      <c r="I4487" t="s">
        <v>1047</v>
      </c>
      <c r="J4487" t="s">
        <v>12890</v>
      </c>
    </row>
    <row r="4488" spans="1:10" x14ac:dyDescent="0.3">
      <c r="A4488" t="s">
        <v>12891</v>
      </c>
      <c r="B4488" t="s">
        <v>28707</v>
      </c>
      <c r="C4488" t="s">
        <v>20486</v>
      </c>
      <c r="D4488" t="s">
        <v>11</v>
      </c>
      <c r="E4488" t="s">
        <v>5060</v>
      </c>
      <c r="F4488">
        <v>41</v>
      </c>
      <c r="G4488" t="s">
        <v>46</v>
      </c>
      <c r="H4488" t="s">
        <v>46</v>
      </c>
    </row>
    <row r="4489" spans="1:10" x14ac:dyDescent="0.3">
      <c r="A4489" t="s">
        <v>12892</v>
      </c>
      <c r="B4489" t="s">
        <v>28708</v>
      </c>
      <c r="C4489" t="s">
        <v>20486</v>
      </c>
      <c r="D4489" t="s">
        <v>11</v>
      </c>
      <c r="E4489" t="s">
        <v>12893</v>
      </c>
      <c r="F4489">
        <v>60</v>
      </c>
      <c r="G4489" t="s">
        <v>16</v>
      </c>
      <c r="H4489" t="s">
        <v>9785</v>
      </c>
      <c r="I4489" t="s">
        <v>8693</v>
      </c>
      <c r="J4489" t="s">
        <v>12894</v>
      </c>
    </row>
    <row r="4490" spans="1:10" x14ac:dyDescent="0.3">
      <c r="A4490" t="s">
        <v>12895</v>
      </c>
      <c r="B4490" t="s">
        <v>28709</v>
      </c>
      <c r="C4490" t="s">
        <v>20486</v>
      </c>
      <c r="D4490" t="s">
        <v>22</v>
      </c>
      <c r="E4490" t="s">
        <v>12896</v>
      </c>
      <c r="F4490">
        <v>32</v>
      </c>
      <c r="G4490" t="s">
        <v>31</v>
      </c>
      <c r="H4490" t="s">
        <v>9788</v>
      </c>
      <c r="I4490" t="s">
        <v>1047</v>
      </c>
      <c r="J4490" t="s">
        <v>12897</v>
      </c>
    </row>
    <row r="4491" spans="1:10" x14ac:dyDescent="0.3">
      <c r="A4491" t="s">
        <v>12898</v>
      </c>
      <c r="B4491" t="s">
        <v>28710</v>
      </c>
      <c r="C4491" t="s">
        <v>20488</v>
      </c>
      <c r="D4491" t="s">
        <v>22</v>
      </c>
      <c r="E4491" t="s">
        <v>12899</v>
      </c>
      <c r="F4491">
        <v>48</v>
      </c>
      <c r="G4491" t="s">
        <v>31</v>
      </c>
      <c r="H4491" t="s">
        <v>31</v>
      </c>
      <c r="I4491" t="s">
        <v>33</v>
      </c>
    </row>
    <row r="4492" spans="1:10" x14ac:dyDescent="0.3">
      <c r="A4492" t="s">
        <v>12900</v>
      </c>
      <c r="B4492" t="s">
        <v>28711</v>
      </c>
      <c r="C4492" t="s">
        <v>20487</v>
      </c>
      <c r="D4492" t="s">
        <v>11</v>
      </c>
      <c r="E4492" t="s">
        <v>12901</v>
      </c>
      <c r="F4492">
        <v>26</v>
      </c>
      <c r="G4492" t="s">
        <v>109</v>
      </c>
      <c r="H4492" t="s">
        <v>9788</v>
      </c>
    </row>
    <row r="4493" spans="1:10" x14ac:dyDescent="0.3">
      <c r="A4493" t="s">
        <v>12902</v>
      </c>
      <c r="B4493" t="s">
        <v>28712</v>
      </c>
      <c r="C4493" t="s">
        <v>20487</v>
      </c>
      <c r="D4493" t="s">
        <v>11</v>
      </c>
      <c r="E4493" t="s">
        <v>12903</v>
      </c>
      <c r="F4493">
        <v>29</v>
      </c>
      <c r="G4493" t="s">
        <v>109</v>
      </c>
      <c r="H4493" t="s">
        <v>9788</v>
      </c>
    </row>
    <row r="4494" spans="1:10" x14ac:dyDescent="0.3">
      <c r="A4494" t="s">
        <v>12904</v>
      </c>
      <c r="B4494" t="s">
        <v>28713</v>
      </c>
      <c r="C4494" t="s">
        <v>20489</v>
      </c>
      <c r="D4494" t="s">
        <v>22</v>
      </c>
      <c r="E4494" t="s">
        <v>2964</v>
      </c>
      <c r="F4494">
        <v>36</v>
      </c>
      <c r="G4494" t="s">
        <v>31</v>
      </c>
      <c r="H4494" t="s">
        <v>31</v>
      </c>
    </row>
    <row r="4495" spans="1:10" x14ac:dyDescent="0.3">
      <c r="A4495" t="s">
        <v>12905</v>
      </c>
      <c r="B4495" t="s">
        <v>28714</v>
      </c>
      <c r="C4495" t="s">
        <v>20487</v>
      </c>
      <c r="D4495" t="s">
        <v>22</v>
      </c>
      <c r="E4495" t="s">
        <v>12906</v>
      </c>
      <c r="F4495">
        <v>40</v>
      </c>
      <c r="G4495" t="s">
        <v>16</v>
      </c>
      <c r="H4495" t="s">
        <v>9785</v>
      </c>
      <c r="J4495" t="s">
        <v>4066</v>
      </c>
    </row>
    <row r="4496" spans="1:10" x14ac:dyDescent="0.3">
      <c r="A4496" t="s">
        <v>12907</v>
      </c>
      <c r="B4496" t="s">
        <v>28715</v>
      </c>
      <c r="C4496" t="s">
        <v>20488</v>
      </c>
      <c r="D4496" t="s">
        <v>22</v>
      </c>
      <c r="E4496" t="s">
        <v>12908</v>
      </c>
      <c r="F4496">
        <v>54</v>
      </c>
      <c r="G4496" t="s">
        <v>31</v>
      </c>
      <c r="H4496" t="s">
        <v>31</v>
      </c>
      <c r="I4496" t="s">
        <v>33</v>
      </c>
    </row>
    <row r="4497" spans="1:10" x14ac:dyDescent="0.3">
      <c r="A4497" t="s">
        <v>12909</v>
      </c>
      <c r="B4497" t="s">
        <v>28716</v>
      </c>
      <c r="C4497" t="s">
        <v>20488</v>
      </c>
      <c r="D4497" t="s">
        <v>11</v>
      </c>
      <c r="E4497" t="s">
        <v>3866</v>
      </c>
      <c r="F4497">
        <v>55</v>
      </c>
      <c r="G4497" t="s">
        <v>540</v>
      </c>
      <c r="H4497" t="s">
        <v>12074</v>
      </c>
      <c r="I4497" t="s">
        <v>1269</v>
      </c>
    </row>
    <row r="4498" spans="1:10" x14ac:dyDescent="0.3">
      <c r="A4498" t="s">
        <v>12910</v>
      </c>
      <c r="B4498" t="s">
        <v>28717</v>
      </c>
      <c r="C4498" t="s">
        <v>20488</v>
      </c>
      <c r="D4498" t="s">
        <v>22</v>
      </c>
      <c r="E4498" t="s">
        <v>1304</v>
      </c>
      <c r="F4498">
        <v>45</v>
      </c>
      <c r="G4498" t="s">
        <v>24</v>
      </c>
      <c r="H4498" t="s">
        <v>9789</v>
      </c>
      <c r="I4498" t="s">
        <v>12911</v>
      </c>
    </row>
    <row r="4499" spans="1:10" x14ac:dyDescent="0.3">
      <c r="A4499" t="s">
        <v>12912</v>
      </c>
      <c r="B4499" t="s">
        <v>28718</v>
      </c>
      <c r="C4499" t="s">
        <v>20489</v>
      </c>
      <c r="D4499" t="s">
        <v>22</v>
      </c>
      <c r="E4499" t="s">
        <v>12913</v>
      </c>
      <c r="F4499">
        <v>38</v>
      </c>
      <c r="G4499" t="s">
        <v>31</v>
      </c>
      <c r="H4499" t="s">
        <v>31</v>
      </c>
    </row>
    <row r="4500" spans="1:10" x14ac:dyDescent="0.3">
      <c r="A4500" t="s">
        <v>12914</v>
      </c>
      <c r="B4500" t="s">
        <v>28719</v>
      </c>
      <c r="C4500" t="s">
        <v>20487</v>
      </c>
      <c r="D4500" t="s">
        <v>11</v>
      </c>
      <c r="E4500" t="s">
        <v>4036</v>
      </c>
      <c r="F4500">
        <v>28</v>
      </c>
      <c r="G4500" t="s">
        <v>109</v>
      </c>
      <c r="H4500" t="s">
        <v>9788</v>
      </c>
      <c r="J4500" t="s">
        <v>1426</v>
      </c>
    </row>
    <row r="4501" spans="1:10" x14ac:dyDescent="0.3">
      <c r="A4501" t="s">
        <v>12915</v>
      </c>
      <c r="B4501" t="s">
        <v>28720</v>
      </c>
      <c r="C4501" t="s">
        <v>20486</v>
      </c>
      <c r="D4501" t="s">
        <v>11</v>
      </c>
      <c r="E4501" t="s">
        <v>12916</v>
      </c>
      <c r="F4501">
        <v>35</v>
      </c>
      <c r="G4501" t="s">
        <v>109</v>
      </c>
      <c r="H4501" t="s">
        <v>9788</v>
      </c>
      <c r="I4501" t="s">
        <v>12917</v>
      </c>
    </row>
    <row r="4502" spans="1:10" x14ac:dyDescent="0.3">
      <c r="A4502" t="s">
        <v>12918</v>
      </c>
      <c r="B4502" t="s">
        <v>28721</v>
      </c>
      <c r="C4502" t="s">
        <v>20491</v>
      </c>
      <c r="D4502" t="s">
        <v>11</v>
      </c>
      <c r="E4502" t="s">
        <v>12919</v>
      </c>
      <c r="F4502">
        <v>48</v>
      </c>
      <c r="G4502" t="s">
        <v>2418</v>
      </c>
      <c r="H4502" t="s">
        <v>9787</v>
      </c>
      <c r="I4502" t="s">
        <v>2808</v>
      </c>
      <c r="J4502" t="s">
        <v>12920</v>
      </c>
    </row>
    <row r="4503" spans="1:10" x14ac:dyDescent="0.3">
      <c r="A4503" t="s">
        <v>12921</v>
      </c>
      <c r="B4503" t="s">
        <v>28722</v>
      </c>
      <c r="C4503" t="s">
        <v>20486</v>
      </c>
      <c r="D4503" t="s">
        <v>22</v>
      </c>
      <c r="E4503" t="s">
        <v>12922</v>
      </c>
      <c r="F4503">
        <v>32</v>
      </c>
      <c r="G4503" t="s">
        <v>109</v>
      </c>
      <c r="H4503" t="s">
        <v>9788</v>
      </c>
      <c r="I4503" t="s">
        <v>8707</v>
      </c>
      <c r="J4503" t="s">
        <v>12468</v>
      </c>
    </row>
    <row r="4504" spans="1:10" x14ac:dyDescent="0.3">
      <c r="A4504" t="s">
        <v>12923</v>
      </c>
      <c r="B4504" t="s">
        <v>28723</v>
      </c>
      <c r="C4504" t="s">
        <v>20486</v>
      </c>
      <c r="D4504" t="s">
        <v>11</v>
      </c>
      <c r="E4504" t="s">
        <v>12924</v>
      </c>
      <c r="F4504">
        <v>26</v>
      </c>
      <c r="G4504" t="s">
        <v>109</v>
      </c>
      <c r="H4504" t="s">
        <v>9788</v>
      </c>
      <c r="I4504" t="s">
        <v>1047</v>
      </c>
      <c r="J4504" t="s">
        <v>12662</v>
      </c>
    </row>
    <row r="4505" spans="1:10" x14ac:dyDescent="0.3">
      <c r="A4505" t="s">
        <v>12925</v>
      </c>
      <c r="B4505" t="s">
        <v>28724</v>
      </c>
      <c r="C4505" t="s">
        <v>20486</v>
      </c>
      <c r="D4505" t="s">
        <v>11</v>
      </c>
      <c r="E4505" t="s">
        <v>12926</v>
      </c>
      <c r="F4505">
        <v>24</v>
      </c>
      <c r="G4505" t="s">
        <v>109</v>
      </c>
      <c r="H4505" t="s">
        <v>9788</v>
      </c>
      <c r="I4505" t="s">
        <v>1047</v>
      </c>
      <c r="J4505" t="s">
        <v>8011</v>
      </c>
    </row>
    <row r="4506" spans="1:10" x14ac:dyDescent="0.3">
      <c r="A4506" t="s">
        <v>12927</v>
      </c>
      <c r="B4506" t="s">
        <v>28725</v>
      </c>
      <c r="C4506" t="s">
        <v>20488</v>
      </c>
      <c r="D4506" t="s">
        <v>22</v>
      </c>
      <c r="E4506" t="s">
        <v>2307</v>
      </c>
      <c r="F4506">
        <v>29</v>
      </c>
      <c r="G4506" t="s">
        <v>46</v>
      </c>
      <c r="H4506" t="s">
        <v>46</v>
      </c>
      <c r="I4506" t="s">
        <v>669</v>
      </c>
      <c r="J4506" t="s">
        <v>12928</v>
      </c>
    </row>
    <row r="4507" spans="1:10" x14ac:dyDescent="0.3">
      <c r="A4507" t="s">
        <v>12929</v>
      </c>
      <c r="B4507" t="s">
        <v>28726</v>
      </c>
      <c r="C4507" t="s">
        <v>20487</v>
      </c>
      <c r="D4507" t="s">
        <v>11</v>
      </c>
      <c r="E4507" t="s">
        <v>12930</v>
      </c>
      <c r="F4507">
        <v>47</v>
      </c>
      <c r="G4507" t="s">
        <v>46</v>
      </c>
      <c r="H4507" t="s">
        <v>46</v>
      </c>
      <c r="I4507" t="s">
        <v>12931</v>
      </c>
    </row>
    <row r="4508" spans="1:10" x14ac:dyDescent="0.3">
      <c r="A4508" t="s">
        <v>12932</v>
      </c>
      <c r="B4508" t="s">
        <v>28727</v>
      </c>
      <c r="C4508" t="s">
        <v>20490</v>
      </c>
      <c r="D4508" t="s">
        <v>11</v>
      </c>
      <c r="E4508" t="s">
        <v>6836</v>
      </c>
      <c r="F4508">
        <v>29</v>
      </c>
      <c r="G4508" t="s">
        <v>109</v>
      </c>
      <c r="H4508" t="s">
        <v>9788</v>
      </c>
      <c r="I4508" t="s">
        <v>12933</v>
      </c>
      <c r="J4508" t="s">
        <v>12934</v>
      </c>
    </row>
    <row r="4509" spans="1:10" x14ac:dyDescent="0.3">
      <c r="A4509" t="s">
        <v>12935</v>
      </c>
      <c r="B4509" t="s">
        <v>28728</v>
      </c>
      <c r="C4509" t="s">
        <v>20486</v>
      </c>
      <c r="D4509" t="s">
        <v>11</v>
      </c>
      <c r="E4509" t="s">
        <v>12936</v>
      </c>
      <c r="F4509">
        <v>26</v>
      </c>
      <c r="G4509" t="s">
        <v>109</v>
      </c>
      <c r="H4509" t="s">
        <v>9788</v>
      </c>
      <c r="I4509" t="s">
        <v>1047</v>
      </c>
      <c r="J4509" t="s">
        <v>22148</v>
      </c>
    </row>
    <row r="4510" spans="1:10" x14ac:dyDescent="0.3">
      <c r="A4510" t="s">
        <v>12938</v>
      </c>
      <c r="B4510" t="s">
        <v>28729</v>
      </c>
      <c r="C4510" t="s">
        <v>20486</v>
      </c>
      <c r="D4510" t="s">
        <v>22</v>
      </c>
      <c r="E4510" t="s">
        <v>12939</v>
      </c>
      <c r="F4510">
        <v>35</v>
      </c>
      <c r="G4510" t="s">
        <v>109</v>
      </c>
      <c r="H4510" t="s">
        <v>9788</v>
      </c>
      <c r="J4510" t="s">
        <v>12937</v>
      </c>
    </row>
    <row r="4511" spans="1:10" x14ac:dyDescent="0.3">
      <c r="A4511" t="s">
        <v>12940</v>
      </c>
      <c r="B4511" t="s">
        <v>28730</v>
      </c>
      <c r="C4511" t="s">
        <v>20491</v>
      </c>
      <c r="D4511" t="s">
        <v>11</v>
      </c>
      <c r="E4511" t="s">
        <v>12941</v>
      </c>
      <c r="F4511">
        <v>26</v>
      </c>
      <c r="G4511" t="s">
        <v>109</v>
      </c>
      <c r="H4511" t="s">
        <v>9788</v>
      </c>
      <c r="I4511" t="s">
        <v>1074</v>
      </c>
      <c r="J4511" t="s">
        <v>12942</v>
      </c>
    </row>
    <row r="4512" spans="1:10" x14ac:dyDescent="0.3">
      <c r="A4512" t="s">
        <v>12943</v>
      </c>
      <c r="B4512" t="s">
        <v>28731</v>
      </c>
      <c r="C4512" t="s">
        <v>20490</v>
      </c>
      <c r="D4512" t="s">
        <v>11</v>
      </c>
      <c r="E4512" t="s">
        <v>12944</v>
      </c>
      <c r="F4512">
        <v>48</v>
      </c>
      <c r="G4512" t="s">
        <v>109</v>
      </c>
      <c r="H4512" t="s">
        <v>9788</v>
      </c>
      <c r="I4512" t="s">
        <v>12945</v>
      </c>
    </row>
    <row r="4513" spans="1:10" x14ac:dyDescent="0.3">
      <c r="A4513" t="s">
        <v>12946</v>
      </c>
      <c r="B4513" t="s">
        <v>28732</v>
      </c>
      <c r="C4513" t="s">
        <v>20489</v>
      </c>
      <c r="D4513" t="s">
        <v>22</v>
      </c>
      <c r="E4513" t="s">
        <v>12947</v>
      </c>
      <c r="F4513">
        <v>35</v>
      </c>
      <c r="G4513" t="s">
        <v>46</v>
      </c>
      <c r="H4513" t="s">
        <v>46</v>
      </c>
      <c r="I4513" t="s">
        <v>228</v>
      </c>
      <c r="J4513" t="s">
        <v>14351</v>
      </c>
    </row>
    <row r="4514" spans="1:10" x14ac:dyDescent="0.3">
      <c r="A4514" t="s">
        <v>12948</v>
      </c>
      <c r="B4514" t="s">
        <v>28733</v>
      </c>
      <c r="C4514" t="s">
        <v>20490</v>
      </c>
      <c r="D4514" t="s">
        <v>22</v>
      </c>
      <c r="E4514" t="s">
        <v>12949</v>
      </c>
      <c r="F4514">
        <v>40</v>
      </c>
      <c r="G4514" t="s">
        <v>370</v>
      </c>
      <c r="H4514" t="s">
        <v>46</v>
      </c>
      <c r="I4514" t="s">
        <v>228</v>
      </c>
    </row>
    <row r="4515" spans="1:10" x14ac:dyDescent="0.3">
      <c r="A4515" t="s">
        <v>12950</v>
      </c>
      <c r="B4515" t="s">
        <v>28734</v>
      </c>
      <c r="C4515" t="s">
        <v>20486</v>
      </c>
      <c r="D4515" t="s">
        <v>22</v>
      </c>
      <c r="E4515" t="s">
        <v>12951</v>
      </c>
      <c r="F4515">
        <v>36</v>
      </c>
      <c r="G4515" t="s">
        <v>109</v>
      </c>
      <c r="H4515" t="s">
        <v>9788</v>
      </c>
      <c r="I4515" t="s">
        <v>9217</v>
      </c>
      <c r="J4515" t="s">
        <v>12952</v>
      </c>
    </row>
    <row r="4516" spans="1:10" x14ac:dyDescent="0.3">
      <c r="A4516" t="s">
        <v>12953</v>
      </c>
      <c r="B4516" t="s">
        <v>28735</v>
      </c>
      <c r="C4516" t="s">
        <v>20491</v>
      </c>
      <c r="D4516" t="s">
        <v>11</v>
      </c>
      <c r="E4516" t="s">
        <v>9716</v>
      </c>
      <c r="F4516">
        <v>18</v>
      </c>
      <c r="G4516" t="s">
        <v>243</v>
      </c>
      <c r="H4516" t="s">
        <v>243</v>
      </c>
      <c r="I4516" t="s">
        <v>12204</v>
      </c>
    </row>
    <row r="4517" spans="1:10" x14ac:dyDescent="0.3">
      <c r="A4517" t="s">
        <v>12954</v>
      </c>
      <c r="B4517" t="s">
        <v>28736</v>
      </c>
      <c r="C4517" t="s">
        <v>20487</v>
      </c>
      <c r="D4517" t="s">
        <v>11</v>
      </c>
      <c r="E4517" t="s">
        <v>12955</v>
      </c>
      <c r="F4517">
        <v>61</v>
      </c>
      <c r="G4517" t="s">
        <v>172</v>
      </c>
      <c r="H4517" t="s">
        <v>12099</v>
      </c>
      <c r="J4517" t="s">
        <v>12956</v>
      </c>
    </row>
    <row r="4518" spans="1:10" x14ac:dyDescent="0.3">
      <c r="A4518" t="s">
        <v>12957</v>
      </c>
      <c r="B4518" t="s">
        <v>28737</v>
      </c>
      <c r="C4518" t="s">
        <v>20490</v>
      </c>
      <c r="D4518" t="s">
        <v>11</v>
      </c>
      <c r="E4518" t="s">
        <v>12958</v>
      </c>
      <c r="F4518">
        <v>33</v>
      </c>
      <c r="G4518" t="s">
        <v>46</v>
      </c>
      <c r="H4518" t="s">
        <v>46</v>
      </c>
    </row>
    <row r="4519" spans="1:10" x14ac:dyDescent="0.3">
      <c r="A4519" t="s">
        <v>12959</v>
      </c>
      <c r="B4519" t="s">
        <v>28738</v>
      </c>
      <c r="C4519" t="s">
        <v>20490</v>
      </c>
      <c r="D4519" t="s">
        <v>22</v>
      </c>
      <c r="E4519" t="s">
        <v>5454</v>
      </c>
      <c r="F4519">
        <v>39</v>
      </c>
      <c r="G4519" t="s">
        <v>46</v>
      </c>
      <c r="H4519" t="s">
        <v>46</v>
      </c>
      <c r="I4519" t="s">
        <v>4947</v>
      </c>
    </row>
    <row r="4520" spans="1:10" x14ac:dyDescent="0.3">
      <c r="A4520" t="s">
        <v>12960</v>
      </c>
      <c r="B4520" t="s">
        <v>28739</v>
      </c>
      <c r="C4520" t="s">
        <v>20488</v>
      </c>
      <c r="D4520" t="s">
        <v>22</v>
      </c>
      <c r="E4520" t="s">
        <v>9244</v>
      </c>
      <c r="F4520">
        <v>35</v>
      </c>
      <c r="G4520" t="s">
        <v>109</v>
      </c>
      <c r="H4520" t="s">
        <v>9788</v>
      </c>
    </row>
    <row r="4521" spans="1:10" x14ac:dyDescent="0.3">
      <c r="A4521" t="s">
        <v>12961</v>
      </c>
      <c r="B4521" t="s">
        <v>28740</v>
      </c>
      <c r="C4521" t="s">
        <v>20489</v>
      </c>
      <c r="D4521" t="s">
        <v>22</v>
      </c>
      <c r="E4521" t="s">
        <v>12962</v>
      </c>
      <c r="F4521">
        <v>39</v>
      </c>
      <c r="G4521" t="s">
        <v>370</v>
      </c>
      <c r="H4521" t="s">
        <v>46</v>
      </c>
      <c r="I4521" t="s">
        <v>1514</v>
      </c>
    </row>
    <row r="4522" spans="1:10" x14ac:dyDescent="0.3">
      <c r="A4522" t="s">
        <v>12963</v>
      </c>
      <c r="B4522" t="s">
        <v>28741</v>
      </c>
      <c r="C4522" t="s">
        <v>20488</v>
      </c>
      <c r="D4522" t="s">
        <v>11</v>
      </c>
      <c r="E4522" t="s">
        <v>12964</v>
      </c>
      <c r="F4522">
        <v>50</v>
      </c>
      <c r="G4522" t="s">
        <v>46</v>
      </c>
      <c r="H4522" t="s">
        <v>46</v>
      </c>
      <c r="I4522" t="s">
        <v>12965</v>
      </c>
    </row>
    <row r="4523" spans="1:10" x14ac:dyDescent="0.3">
      <c r="A4523" t="s">
        <v>12966</v>
      </c>
      <c r="B4523" t="s">
        <v>28742</v>
      </c>
      <c r="C4523" t="s">
        <v>20487</v>
      </c>
      <c r="D4523" t="s">
        <v>11</v>
      </c>
      <c r="E4523" t="s">
        <v>12967</v>
      </c>
      <c r="F4523">
        <v>28</v>
      </c>
      <c r="G4523" t="s">
        <v>109</v>
      </c>
      <c r="H4523" t="s">
        <v>9788</v>
      </c>
      <c r="I4523" t="s">
        <v>1534</v>
      </c>
    </row>
    <row r="4524" spans="1:10" x14ac:dyDescent="0.3">
      <c r="A4524" t="s">
        <v>12968</v>
      </c>
      <c r="B4524" t="s">
        <v>28743</v>
      </c>
      <c r="C4524" t="s">
        <v>20486</v>
      </c>
      <c r="D4524" t="s">
        <v>11</v>
      </c>
      <c r="E4524" t="s">
        <v>5475</v>
      </c>
      <c r="F4524">
        <v>55</v>
      </c>
      <c r="G4524" t="s">
        <v>46</v>
      </c>
      <c r="H4524" t="s">
        <v>46</v>
      </c>
      <c r="I4524" t="s">
        <v>228</v>
      </c>
      <c r="J4524" t="s">
        <v>12969</v>
      </c>
    </row>
    <row r="4525" spans="1:10" x14ac:dyDescent="0.3">
      <c r="A4525" t="s">
        <v>12970</v>
      </c>
      <c r="B4525" t="s">
        <v>28744</v>
      </c>
      <c r="C4525" t="s">
        <v>20486</v>
      </c>
      <c r="D4525" t="s">
        <v>22</v>
      </c>
      <c r="E4525" t="s">
        <v>191</v>
      </c>
      <c r="F4525">
        <v>54</v>
      </c>
      <c r="G4525" t="s">
        <v>16</v>
      </c>
      <c r="H4525" t="s">
        <v>9785</v>
      </c>
      <c r="I4525" t="s">
        <v>17</v>
      </c>
      <c r="J4525" t="s">
        <v>5992</v>
      </c>
    </row>
    <row r="4526" spans="1:10" x14ac:dyDescent="0.3">
      <c r="A4526" t="s">
        <v>12971</v>
      </c>
      <c r="B4526" t="s">
        <v>28745</v>
      </c>
      <c r="C4526" t="s">
        <v>20486</v>
      </c>
      <c r="D4526" t="s">
        <v>22</v>
      </c>
      <c r="E4526" t="s">
        <v>8867</v>
      </c>
      <c r="F4526">
        <v>37</v>
      </c>
      <c r="G4526" t="s">
        <v>46</v>
      </c>
      <c r="H4526" t="s">
        <v>46</v>
      </c>
      <c r="I4526" t="s">
        <v>228</v>
      </c>
      <c r="J4526" t="s">
        <v>12972</v>
      </c>
    </row>
    <row r="4527" spans="1:10" x14ac:dyDescent="0.3">
      <c r="A4527" t="s">
        <v>12974</v>
      </c>
      <c r="B4527" t="s">
        <v>28746</v>
      </c>
      <c r="C4527" t="s">
        <v>20486</v>
      </c>
      <c r="D4527" t="s">
        <v>22</v>
      </c>
      <c r="E4527" t="s">
        <v>4140</v>
      </c>
      <c r="F4527">
        <v>60</v>
      </c>
      <c r="G4527" t="s">
        <v>46</v>
      </c>
      <c r="H4527" t="s">
        <v>46</v>
      </c>
      <c r="I4527" t="s">
        <v>228</v>
      </c>
    </row>
    <row r="4528" spans="1:10" x14ac:dyDescent="0.3">
      <c r="A4528" t="s">
        <v>12975</v>
      </c>
      <c r="B4528" t="s">
        <v>28747</v>
      </c>
      <c r="C4528" t="s">
        <v>20486</v>
      </c>
      <c r="D4528" t="s">
        <v>22</v>
      </c>
      <c r="E4528" t="s">
        <v>12976</v>
      </c>
      <c r="F4528">
        <v>27</v>
      </c>
      <c r="G4528" t="s">
        <v>243</v>
      </c>
      <c r="H4528" t="s">
        <v>243</v>
      </c>
    </row>
    <row r="4529" spans="1:10" x14ac:dyDescent="0.3">
      <c r="A4529" t="s">
        <v>12977</v>
      </c>
      <c r="B4529" t="s">
        <v>28748</v>
      </c>
      <c r="C4529" t="s">
        <v>20489</v>
      </c>
      <c r="D4529" t="s">
        <v>22</v>
      </c>
      <c r="E4529" t="s">
        <v>12978</v>
      </c>
      <c r="F4529">
        <v>56</v>
      </c>
      <c r="G4529" t="s">
        <v>88</v>
      </c>
      <c r="H4529" t="s">
        <v>12065</v>
      </c>
      <c r="I4529" t="s">
        <v>110</v>
      </c>
      <c r="J4529" t="s">
        <v>6292</v>
      </c>
    </row>
    <row r="4530" spans="1:10" x14ac:dyDescent="0.3">
      <c r="A4530" t="s">
        <v>12979</v>
      </c>
      <c r="B4530" t="s">
        <v>28749</v>
      </c>
      <c r="C4530" t="s">
        <v>20486</v>
      </c>
      <c r="D4530" t="s">
        <v>22</v>
      </c>
      <c r="E4530" t="s">
        <v>12980</v>
      </c>
      <c r="F4530">
        <v>24</v>
      </c>
      <c r="G4530" t="s">
        <v>46</v>
      </c>
      <c r="H4530" t="s">
        <v>46</v>
      </c>
      <c r="I4530" t="s">
        <v>228</v>
      </c>
      <c r="J4530" t="s">
        <v>12981</v>
      </c>
    </row>
    <row r="4531" spans="1:10" x14ac:dyDescent="0.3">
      <c r="A4531" t="s">
        <v>12982</v>
      </c>
      <c r="B4531" t="s">
        <v>28750</v>
      </c>
      <c r="C4531" t="s">
        <v>20489</v>
      </c>
      <c r="D4531" t="s">
        <v>22</v>
      </c>
      <c r="E4531" t="s">
        <v>12983</v>
      </c>
      <c r="F4531">
        <v>54</v>
      </c>
      <c r="G4531" t="s">
        <v>370</v>
      </c>
      <c r="H4531" t="s">
        <v>46</v>
      </c>
      <c r="I4531" t="s">
        <v>228</v>
      </c>
      <c r="J4531" t="s">
        <v>14352</v>
      </c>
    </row>
    <row r="4532" spans="1:10" x14ac:dyDescent="0.3">
      <c r="A4532" t="s">
        <v>12985</v>
      </c>
      <c r="B4532" t="s">
        <v>28751</v>
      </c>
      <c r="C4532" t="s">
        <v>20486</v>
      </c>
      <c r="D4532" t="s">
        <v>22</v>
      </c>
      <c r="E4532" t="s">
        <v>1005</v>
      </c>
      <c r="F4532">
        <v>50</v>
      </c>
      <c r="G4532" t="s">
        <v>109</v>
      </c>
      <c r="H4532" t="s">
        <v>9788</v>
      </c>
      <c r="J4532" t="s">
        <v>12986</v>
      </c>
    </row>
    <row r="4533" spans="1:10" x14ac:dyDescent="0.3">
      <c r="A4533" t="s">
        <v>12987</v>
      </c>
      <c r="B4533" t="s">
        <v>28752</v>
      </c>
      <c r="C4533" t="s">
        <v>20486</v>
      </c>
      <c r="D4533" t="s">
        <v>22</v>
      </c>
      <c r="E4533" t="s">
        <v>12988</v>
      </c>
      <c r="F4533">
        <v>63</v>
      </c>
      <c r="G4533" t="s">
        <v>46</v>
      </c>
      <c r="H4533" t="s">
        <v>46</v>
      </c>
      <c r="I4533" t="s">
        <v>228</v>
      </c>
      <c r="J4533" t="s">
        <v>12989</v>
      </c>
    </row>
    <row r="4534" spans="1:10" x14ac:dyDescent="0.3">
      <c r="A4534" t="s">
        <v>12990</v>
      </c>
      <c r="B4534" t="s">
        <v>28753</v>
      </c>
      <c r="C4534" t="s">
        <v>20491</v>
      </c>
      <c r="D4534" t="s">
        <v>22</v>
      </c>
      <c r="E4534" t="s">
        <v>12991</v>
      </c>
      <c r="F4534">
        <v>56</v>
      </c>
      <c r="G4534" t="s">
        <v>1439</v>
      </c>
      <c r="H4534" t="s">
        <v>46</v>
      </c>
      <c r="I4534" t="s">
        <v>228</v>
      </c>
      <c r="J4534" t="s">
        <v>12992</v>
      </c>
    </row>
    <row r="4535" spans="1:10" x14ac:dyDescent="0.3">
      <c r="A4535" t="s">
        <v>12993</v>
      </c>
      <c r="B4535" t="s">
        <v>28754</v>
      </c>
      <c r="C4535" t="s">
        <v>20486</v>
      </c>
      <c r="D4535" t="s">
        <v>22</v>
      </c>
      <c r="E4535" t="s">
        <v>12994</v>
      </c>
      <c r="F4535">
        <v>21</v>
      </c>
      <c r="G4535" t="s">
        <v>109</v>
      </c>
      <c r="H4535" t="s">
        <v>9788</v>
      </c>
      <c r="I4535" t="s">
        <v>12371</v>
      </c>
      <c r="J4535" t="s">
        <v>12995</v>
      </c>
    </row>
    <row r="4536" spans="1:10" x14ac:dyDescent="0.3">
      <c r="A4536" t="s">
        <v>12996</v>
      </c>
      <c r="B4536" t="s">
        <v>28755</v>
      </c>
      <c r="C4536" t="s">
        <v>20491</v>
      </c>
      <c r="D4536" t="s">
        <v>22</v>
      </c>
      <c r="E4536" t="s">
        <v>9418</v>
      </c>
      <c r="F4536">
        <v>28</v>
      </c>
      <c r="G4536" t="s">
        <v>109</v>
      </c>
      <c r="H4536" t="s">
        <v>9788</v>
      </c>
      <c r="I4536" t="s">
        <v>12997</v>
      </c>
      <c r="J4536" t="s">
        <v>12998</v>
      </c>
    </row>
    <row r="4537" spans="1:10" x14ac:dyDescent="0.3">
      <c r="A4537" t="s">
        <v>12999</v>
      </c>
      <c r="B4537" t="s">
        <v>28756</v>
      </c>
      <c r="C4537" t="s">
        <v>20487</v>
      </c>
      <c r="D4537" t="s">
        <v>22</v>
      </c>
      <c r="E4537" t="s">
        <v>1312</v>
      </c>
      <c r="F4537">
        <v>58</v>
      </c>
      <c r="G4537" t="s">
        <v>46</v>
      </c>
      <c r="H4537" t="s">
        <v>46</v>
      </c>
      <c r="J4537" t="s">
        <v>13000</v>
      </c>
    </row>
    <row r="4538" spans="1:10" x14ac:dyDescent="0.3">
      <c r="A4538" t="s">
        <v>13001</v>
      </c>
      <c r="B4538" t="s">
        <v>28757</v>
      </c>
      <c r="C4538" t="s">
        <v>20491</v>
      </c>
      <c r="D4538" t="s">
        <v>22</v>
      </c>
      <c r="E4538" t="s">
        <v>5574</v>
      </c>
      <c r="F4538">
        <v>48</v>
      </c>
      <c r="G4538" t="s">
        <v>172</v>
      </c>
      <c r="H4538" t="s">
        <v>12099</v>
      </c>
      <c r="J4538" t="s">
        <v>13002</v>
      </c>
    </row>
    <row r="4539" spans="1:10" x14ac:dyDescent="0.3">
      <c r="A4539" t="s">
        <v>13003</v>
      </c>
      <c r="B4539" t="s">
        <v>28758</v>
      </c>
      <c r="C4539" t="s">
        <v>20486</v>
      </c>
      <c r="D4539" t="s">
        <v>22</v>
      </c>
      <c r="E4539" t="s">
        <v>13004</v>
      </c>
      <c r="F4539">
        <v>39</v>
      </c>
      <c r="G4539" t="s">
        <v>46</v>
      </c>
      <c r="H4539" t="s">
        <v>46</v>
      </c>
      <c r="I4539" t="s">
        <v>228</v>
      </c>
      <c r="J4539" t="s">
        <v>2216</v>
      </c>
    </row>
    <row r="4540" spans="1:10" x14ac:dyDescent="0.3">
      <c r="A4540" t="s">
        <v>13005</v>
      </c>
      <c r="B4540" t="s">
        <v>28759</v>
      </c>
      <c r="C4540" t="s">
        <v>20487</v>
      </c>
      <c r="D4540" t="s">
        <v>22</v>
      </c>
      <c r="E4540" t="s">
        <v>7792</v>
      </c>
      <c r="F4540">
        <v>37</v>
      </c>
      <c r="G4540" t="s">
        <v>46</v>
      </c>
      <c r="H4540" t="s">
        <v>46</v>
      </c>
      <c r="I4540" t="s">
        <v>13006</v>
      </c>
    </row>
    <row r="4541" spans="1:10" x14ac:dyDescent="0.3">
      <c r="A4541" t="s">
        <v>13007</v>
      </c>
      <c r="B4541" t="s">
        <v>28760</v>
      </c>
      <c r="C4541" t="s">
        <v>20488</v>
      </c>
      <c r="D4541" t="s">
        <v>22</v>
      </c>
      <c r="E4541" t="s">
        <v>1289</v>
      </c>
      <c r="F4541">
        <v>71</v>
      </c>
      <c r="G4541" t="s">
        <v>13</v>
      </c>
      <c r="H4541" t="s">
        <v>13</v>
      </c>
    </row>
    <row r="4542" spans="1:10" x14ac:dyDescent="0.3">
      <c r="A4542" t="s">
        <v>13008</v>
      </c>
      <c r="B4542" t="s">
        <v>28761</v>
      </c>
      <c r="C4542" t="s">
        <v>20486</v>
      </c>
      <c r="D4542" t="s">
        <v>22</v>
      </c>
      <c r="E4542" t="s">
        <v>13009</v>
      </c>
      <c r="F4542">
        <v>26</v>
      </c>
      <c r="G4542" t="s">
        <v>31</v>
      </c>
      <c r="H4542" t="s">
        <v>31</v>
      </c>
    </row>
    <row r="4543" spans="1:10" x14ac:dyDescent="0.3">
      <c r="A4543" t="s">
        <v>13010</v>
      </c>
      <c r="B4543" t="s">
        <v>28762</v>
      </c>
      <c r="C4543" t="s">
        <v>20486</v>
      </c>
      <c r="D4543" t="s">
        <v>22</v>
      </c>
      <c r="E4543" t="s">
        <v>13011</v>
      </c>
      <c r="F4543">
        <v>29</v>
      </c>
      <c r="G4543" t="s">
        <v>109</v>
      </c>
      <c r="H4543" t="s">
        <v>9788</v>
      </c>
      <c r="I4543" t="s">
        <v>8517</v>
      </c>
      <c r="J4543" t="s">
        <v>70</v>
      </c>
    </row>
    <row r="4544" spans="1:10" x14ac:dyDescent="0.3">
      <c r="A4544" t="s">
        <v>13012</v>
      </c>
      <c r="B4544" t="s">
        <v>28763</v>
      </c>
      <c r="C4544" t="s">
        <v>20486</v>
      </c>
      <c r="D4544" t="s">
        <v>22</v>
      </c>
      <c r="E4544" t="s">
        <v>3999</v>
      </c>
      <c r="F4544">
        <v>49</v>
      </c>
      <c r="G4544" t="s">
        <v>16</v>
      </c>
      <c r="H4544" t="s">
        <v>9785</v>
      </c>
      <c r="I4544" t="s">
        <v>17</v>
      </c>
      <c r="J4544" t="s">
        <v>13013</v>
      </c>
    </row>
    <row r="4545" spans="1:10" x14ac:dyDescent="0.3">
      <c r="A4545" t="s">
        <v>13014</v>
      </c>
      <c r="B4545" t="s">
        <v>28764</v>
      </c>
      <c r="C4545" t="s">
        <v>20487</v>
      </c>
      <c r="D4545" t="s">
        <v>22</v>
      </c>
      <c r="E4545" t="s">
        <v>2904</v>
      </c>
      <c r="F4545">
        <v>40</v>
      </c>
      <c r="G4545" t="s">
        <v>46</v>
      </c>
      <c r="H4545" t="s">
        <v>46</v>
      </c>
      <c r="I4545" t="s">
        <v>13015</v>
      </c>
    </row>
    <row r="4546" spans="1:10" x14ac:dyDescent="0.3">
      <c r="A4546" t="s">
        <v>13016</v>
      </c>
      <c r="B4546" t="s">
        <v>28765</v>
      </c>
      <c r="C4546" t="s">
        <v>20486</v>
      </c>
      <c r="D4546" t="s">
        <v>22</v>
      </c>
      <c r="E4546" t="s">
        <v>13017</v>
      </c>
      <c r="F4546">
        <v>75</v>
      </c>
      <c r="G4546" t="s">
        <v>46</v>
      </c>
      <c r="H4546" t="s">
        <v>46</v>
      </c>
      <c r="I4546" t="s">
        <v>228</v>
      </c>
    </row>
    <row r="4547" spans="1:10" x14ac:dyDescent="0.3">
      <c r="A4547" t="s">
        <v>13018</v>
      </c>
      <c r="B4547" t="s">
        <v>28766</v>
      </c>
      <c r="C4547" t="s">
        <v>20486</v>
      </c>
      <c r="D4547" t="s">
        <v>11</v>
      </c>
      <c r="E4547" t="s">
        <v>13019</v>
      </c>
      <c r="F4547">
        <v>39</v>
      </c>
      <c r="G4547" t="s">
        <v>46</v>
      </c>
      <c r="H4547" t="s">
        <v>46</v>
      </c>
      <c r="I4547" t="s">
        <v>228</v>
      </c>
      <c r="J4547" t="s">
        <v>13020</v>
      </c>
    </row>
    <row r="4548" spans="1:10" x14ac:dyDescent="0.3">
      <c r="A4548" t="s">
        <v>13021</v>
      </c>
      <c r="B4548" t="s">
        <v>28767</v>
      </c>
      <c r="C4548" t="s">
        <v>20490</v>
      </c>
      <c r="D4548" t="s">
        <v>11</v>
      </c>
      <c r="E4548" t="s">
        <v>13022</v>
      </c>
      <c r="F4548">
        <v>52</v>
      </c>
      <c r="G4548" t="s">
        <v>109</v>
      </c>
      <c r="H4548" t="s">
        <v>9788</v>
      </c>
      <c r="I4548" t="s">
        <v>1678</v>
      </c>
      <c r="J4548" t="s">
        <v>13023</v>
      </c>
    </row>
    <row r="4549" spans="1:10" x14ac:dyDescent="0.3">
      <c r="A4549" t="s">
        <v>13024</v>
      </c>
      <c r="B4549" t="s">
        <v>28768</v>
      </c>
      <c r="C4549" t="s">
        <v>20486</v>
      </c>
      <c r="D4549" t="s">
        <v>22</v>
      </c>
      <c r="E4549" t="s">
        <v>13025</v>
      </c>
      <c r="F4549">
        <v>32</v>
      </c>
      <c r="G4549" t="s">
        <v>31</v>
      </c>
      <c r="H4549" t="s">
        <v>31</v>
      </c>
    </row>
    <row r="4550" spans="1:10" x14ac:dyDescent="0.3">
      <c r="A4550" t="s">
        <v>13026</v>
      </c>
      <c r="B4550" t="s">
        <v>28769</v>
      </c>
      <c r="C4550" t="s">
        <v>20489</v>
      </c>
      <c r="D4550" t="s">
        <v>11</v>
      </c>
      <c r="E4550" t="s">
        <v>18845</v>
      </c>
      <c r="F4550">
        <v>31</v>
      </c>
      <c r="G4550" t="s">
        <v>1992</v>
      </c>
      <c r="H4550" t="s">
        <v>9791</v>
      </c>
      <c r="I4550" t="s">
        <v>17</v>
      </c>
      <c r="J4550" t="s">
        <v>13027</v>
      </c>
    </row>
    <row r="4551" spans="1:10" x14ac:dyDescent="0.3">
      <c r="A4551" t="s">
        <v>13028</v>
      </c>
      <c r="B4551" t="s">
        <v>28770</v>
      </c>
      <c r="C4551" t="s">
        <v>20486</v>
      </c>
      <c r="D4551" t="s">
        <v>11</v>
      </c>
      <c r="E4551" t="s">
        <v>13029</v>
      </c>
      <c r="F4551">
        <v>28</v>
      </c>
      <c r="G4551" t="s">
        <v>109</v>
      </c>
      <c r="H4551" t="s">
        <v>9788</v>
      </c>
      <c r="I4551" t="s">
        <v>1074</v>
      </c>
      <c r="J4551" t="s">
        <v>13030</v>
      </c>
    </row>
    <row r="4552" spans="1:10" x14ac:dyDescent="0.3">
      <c r="A4552" t="s">
        <v>13031</v>
      </c>
      <c r="B4552" t="s">
        <v>28771</v>
      </c>
      <c r="C4552" t="s">
        <v>20486</v>
      </c>
      <c r="D4552" t="s">
        <v>22</v>
      </c>
      <c r="E4552" t="s">
        <v>13032</v>
      </c>
      <c r="F4552">
        <v>48</v>
      </c>
      <c r="G4552" t="s">
        <v>16</v>
      </c>
      <c r="H4552" t="s">
        <v>9785</v>
      </c>
      <c r="I4552" t="s">
        <v>17</v>
      </c>
      <c r="J4552" t="s">
        <v>13033</v>
      </c>
    </row>
    <row r="4553" spans="1:10" x14ac:dyDescent="0.3">
      <c r="A4553" t="s">
        <v>13034</v>
      </c>
      <c r="B4553" t="s">
        <v>28772</v>
      </c>
      <c r="C4553" t="s">
        <v>20486</v>
      </c>
      <c r="D4553" t="s">
        <v>11</v>
      </c>
      <c r="E4553" t="s">
        <v>13035</v>
      </c>
      <c r="F4553">
        <v>63</v>
      </c>
      <c r="G4553" t="s">
        <v>46</v>
      </c>
      <c r="H4553" t="s">
        <v>46</v>
      </c>
    </row>
    <row r="4554" spans="1:10" x14ac:dyDescent="0.3">
      <c r="A4554" t="s">
        <v>13036</v>
      </c>
      <c r="B4554" t="s">
        <v>28773</v>
      </c>
      <c r="C4554" t="s">
        <v>20487</v>
      </c>
      <c r="D4554" t="s">
        <v>22</v>
      </c>
      <c r="E4554" t="s">
        <v>5703</v>
      </c>
      <c r="F4554">
        <v>44</v>
      </c>
      <c r="G4554" t="s">
        <v>31</v>
      </c>
      <c r="H4554" t="s">
        <v>31</v>
      </c>
    </row>
    <row r="4555" spans="1:10" x14ac:dyDescent="0.3">
      <c r="A4555" t="s">
        <v>13037</v>
      </c>
      <c r="B4555" t="s">
        <v>28774</v>
      </c>
      <c r="C4555" t="s">
        <v>20490</v>
      </c>
      <c r="D4555" t="s">
        <v>11</v>
      </c>
      <c r="E4555" t="s">
        <v>13038</v>
      </c>
      <c r="F4555">
        <v>29</v>
      </c>
      <c r="G4555" t="s">
        <v>133</v>
      </c>
      <c r="H4555" t="s">
        <v>9789</v>
      </c>
      <c r="I4555" t="s">
        <v>3978</v>
      </c>
      <c r="J4555" t="s">
        <v>6884</v>
      </c>
    </row>
    <row r="4556" spans="1:10" x14ac:dyDescent="0.3">
      <c r="A4556" t="s">
        <v>13039</v>
      </c>
      <c r="B4556" t="s">
        <v>28775</v>
      </c>
      <c r="C4556" t="s">
        <v>20486</v>
      </c>
      <c r="D4556" t="s">
        <v>22</v>
      </c>
      <c r="E4556" t="s">
        <v>3236</v>
      </c>
      <c r="F4556">
        <v>61</v>
      </c>
      <c r="G4556" t="s">
        <v>31</v>
      </c>
      <c r="H4556" t="s">
        <v>31</v>
      </c>
    </row>
    <row r="4557" spans="1:10" x14ac:dyDescent="0.3">
      <c r="A4557" t="s">
        <v>13040</v>
      </c>
      <c r="B4557" t="s">
        <v>28776</v>
      </c>
      <c r="C4557" t="s">
        <v>20486</v>
      </c>
      <c r="D4557" t="s">
        <v>22</v>
      </c>
      <c r="E4557" t="s">
        <v>13041</v>
      </c>
      <c r="F4557">
        <v>65</v>
      </c>
      <c r="G4557" t="s">
        <v>46</v>
      </c>
      <c r="H4557" t="s">
        <v>46</v>
      </c>
    </row>
    <row r="4558" spans="1:10" x14ac:dyDescent="0.3">
      <c r="A4558" t="s">
        <v>13042</v>
      </c>
      <c r="B4558" t="s">
        <v>28777</v>
      </c>
      <c r="C4558" t="s">
        <v>20486</v>
      </c>
      <c r="D4558" t="s">
        <v>11</v>
      </c>
      <c r="E4558" t="s">
        <v>13043</v>
      </c>
      <c r="F4558">
        <v>25</v>
      </c>
      <c r="G4558" t="s">
        <v>109</v>
      </c>
      <c r="H4558" t="s">
        <v>9788</v>
      </c>
    </row>
    <row r="4559" spans="1:10" x14ac:dyDescent="0.3">
      <c r="A4559" t="s">
        <v>13044</v>
      </c>
      <c r="B4559" t="s">
        <v>28778</v>
      </c>
      <c r="C4559" t="s">
        <v>20487</v>
      </c>
      <c r="D4559" t="s">
        <v>22</v>
      </c>
      <c r="E4559" t="s">
        <v>13045</v>
      </c>
      <c r="F4559">
        <v>29</v>
      </c>
      <c r="G4559" t="s">
        <v>31</v>
      </c>
      <c r="H4559" t="s">
        <v>31</v>
      </c>
    </row>
    <row r="4560" spans="1:10" x14ac:dyDescent="0.3">
      <c r="A4560" t="s">
        <v>13046</v>
      </c>
      <c r="B4560" t="s">
        <v>28779</v>
      </c>
      <c r="C4560" t="s">
        <v>20486</v>
      </c>
      <c r="D4560" t="s">
        <v>22</v>
      </c>
      <c r="E4560" t="s">
        <v>2908</v>
      </c>
      <c r="F4560">
        <v>52</v>
      </c>
      <c r="G4560" t="s">
        <v>46</v>
      </c>
      <c r="H4560" t="s">
        <v>46</v>
      </c>
      <c r="I4560" t="s">
        <v>1190</v>
      </c>
      <c r="J4560" t="s">
        <v>13047</v>
      </c>
    </row>
    <row r="4561" spans="1:10" x14ac:dyDescent="0.3">
      <c r="A4561" t="s">
        <v>13048</v>
      </c>
      <c r="B4561" t="s">
        <v>28780</v>
      </c>
      <c r="C4561" t="s">
        <v>20486</v>
      </c>
      <c r="D4561" t="s">
        <v>11</v>
      </c>
      <c r="E4561" t="s">
        <v>9627</v>
      </c>
      <c r="F4561">
        <v>20</v>
      </c>
      <c r="G4561" t="s">
        <v>109</v>
      </c>
      <c r="H4561" t="s">
        <v>9788</v>
      </c>
    </row>
    <row r="4562" spans="1:10" x14ac:dyDescent="0.3">
      <c r="A4562" t="s">
        <v>13049</v>
      </c>
      <c r="B4562" t="s">
        <v>28781</v>
      </c>
      <c r="C4562" t="s">
        <v>20488</v>
      </c>
      <c r="D4562" t="s">
        <v>11</v>
      </c>
      <c r="E4562" t="s">
        <v>13050</v>
      </c>
      <c r="F4562">
        <v>38</v>
      </c>
      <c r="G4562" t="s">
        <v>46</v>
      </c>
      <c r="H4562" t="s">
        <v>46</v>
      </c>
      <c r="I4562" t="s">
        <v>13051</v>
      </c>
    </row>
    <row r="4563" spans="1:10" x14ac:dyDescent="0.3">
      <c r="A4563" t="s">
        <v>13052</v>
      </c>
      <c r="B4563" t="s">
        <v>28782</v>
      </c>
      <c r="C4563" t="s">
        <v>20490</v>
      </c>
      <c r="D4563" t="s">
        <v>22</v>
      </c>
      <c r="E4563" t="s">
        <v>13053</v>
      </c>
      <c r="F4563">
        <v>44</v>
      </c>
      <c r="G4563" t="s">
        <v>370</v>
      </c>
      <c r="H4563" t="s">
        <v>46</v>
      </c>
      <c r="I4563" t="s">
        <v>3000</v>
      </c>
    </row>
    <row r="4564" spans="1:10" x14ac:dyDescent="0.3">
      <c r="A4564" t="s">
        <v>13054</v>
      </c>
      <c r="B4564" t="s">
        <v>28783</v>
      </c>
      <c r="C4564" t="s">
        <v>20486</v>
      </c>
      <c r="D4564" t="s">
        <v>22</v>
      </c>
      <c r="E4564" t="s">
        <v>13055</v>
      </c>
      <c r="F4564">
        <v>29</v>
      </c>
      <c r="G4564" t="s">
        <v>109</v>
      </c>
      <c r="H4564" t="s">
        <v>9788</v>
      </c>
      <c r="I4564" t="s">
        <v>228</v>
      </c>
      <c r="J4564" t="s">
        <v>13056</v>
      </c>
    </row>
    <row r="4565" spans="1:10" x14ac:dyDescent="0.3">
      <c r="A4565" t="s">
        <v>13057</v>
      </c>
      <c r="B4565" t="s">
        <v>28784</v>
      </c>
      <c r="C4565" t="s">
        <v>20486</v>
      </c>
      <c r="D4565" t="s">
        <v>22</v>
      </c>
      <c r="E4565" t="s">
        <v>13058</v>
      </c>
      <c r="F4565">
        <v>42</v>
      </c>
      <c r="G4565" t="s">
        <v>46</v>
      </c>
      <c r="H4565" t="s">
        <v>46</v>
      </c>
      <c r="I4565" t="s">
        <v>13059</v>
      </c>
    </row>
    <row r="4566" spans="1:10" x14ac:dyDescent="0.3">
      <c r="A4566" t="s">
        <v>13060</v>
      </c>
      <c r="B4566" t="s">
        <v>28785</v>
      </c>
      <c r="C4566" t="s">
        <v>20487</v>
      </c>
      <c r="D4566" t="s">
        <v>11</v>
      </c>
      <c r="E4566" t="s">
        <v>13061</v>
      </c>
      <c r="F4566">
        <v>51</v>
      </c>
      <c r="G4566" t="s">
        <v>109</v>
      </c>
      <c r="H4566" t="s">
        <v>9788</v>
      </c>
    </row>
    <row r="4567" spans="1:10" x14ac:dyDescent="0.3">
      <c r="A4567" t="s">
        <v>13062</v>
      </c>
      <c r="B4567" t="s">
        <v>28786</v>
      </c>
      <c r="C4567" t="s">
        <v>20490</v>
      </c>
      <c r="D4567" t="s">
        <v>22</v>
      </c>
      <c r="E4567" t="s">
        <v>12643</v>
      </c>
      <c r="F4567">
        <v>25</v>
      </c>
      <c r="G4567" t="s">
        <v>155</v>
      </c>
      <c r="H4567" t="s">
        <v>9791</v>
      </c>
    </row>
    <row r="4568" spans="1:10" x14ac:dyDescent="0.3">
      <c r="A4568" t="s">
        <v>13063</v>
      </c>
      <c r="B4568" t="s">
        <v>28787</v>
      </c>
      <c r="C4568" t="s">
        <v>20486</v>
      </c>
      <c r="D4568" t="s">
        <v>22</v>
      </c>
      <c r="E4568" t="s">
        <v>2858</v>
      </c>
      <c r="F4568">
        <v>32</v>
      </c>
      <c r="G4568" t="s">
        <v>109</v>
      </c>
      <c r="H4568" t="s">
        <v>9788</v>
      </c>
      <c r="J4568" t="s">
        <v>14353</v>
      </c>
    </row>
    <row r="4569" spans="1:10" x14ac:dyDescent="0.3">
      <c r="A4569" t="s">
        <v>13064</v>
      </c>
      <c r="B4569" t="s">
        <v>28788</v>
      </c>
      <c r="C4569" t="s">
        <v>20486</v>
      </c>
      <c r="D4569" t="s">
        <v>22</v>
      </c>
      <c r="E4569" t="s">
        <v>13065</v>
      </c>
      <c r="F4569">
        <v>31</v>
      </c>
      <c r="G4569" t="s">
        <v>109</v>
      </c>
      <c r="H4569" t="s">
        <v>9788</v>
      </c>
    </row>
    <row r="4570" spans="1:10" x14ac:dyDescent="0.3">
      <c r="A4570" t="s">
        <v>13066</v>
      </c>
      <c r="B4570" t="s">
        <v>28789</v>
      </c>
      <c r="C4570" t="s">
        <v>20488</v>
      </c>
      <c r="D4570" t="s">
        <v>11</v>
      </c>
      <c r="E4570" t="s">
        <v>6897</v>
      </c>
      <c r="F4570">
        <v>64</v>
      </c>
      <c r="G4570" t="s">
        <v>13</v>
      </c>
      <c r="H4570" t="s">
        <v>13</v>
      </c>
      <c r="I4570" t="s">
        <v>1074</v>
      </c>
      <c r="J4570" t="s">
        <v>8172</v>
      </c>
    </row>
    <row r="4571" spans="1:10" x14ac:dyDescent="0.3">
      <c r="A4571" t="s">
        <v>13067</v>
      </c>
      <c r="B4571" t="s">
        <v>28790</v>
      </c>
      <c r="C4571" t="s">
        <v>20486</v>
      </c>
      <c r="D4571" t="s">
        <v>22</v>
      </c>
      <c r="E4571" t="s">
        <v>7249</v>
      </c>
      <c r="F4571">
        <v>49</v>
      </c>
      <c r="G4571" t="s">
        <v>46</v>
      </c>
      <c r="H4571" t="s">
        <v>46</v>
      </c>
      <c r="I4571" t="s">
        <v>228</v>
      </c>
    </row>
    <row r="4572" spans="1:10" x14ac:dyDescent="0.3">
      <c r="A4572" t="s">
        <v>13068</v>
      </c>
      <c r="B4572" t="s">
        <v>28791</v>
      </c>
      <c r="C4572" t="s">
        <v>20488</v>
      </c>
      <c r="D4572" t="s">
        <v>11</v>
      </c>
      <c r="E4572" t="s">
        <v>13069</v>
      </c>
      <c r="F4572">
        <v>42</v>
      </c>
      <c r="G4572" t="s">
        <v>46</v>
      </c>
      <c r="H4572" t="s">
        <v>46</v>
      </c>
    </row>
    <row r="4573" spans="1:10" x14ac:dyDescent="0.3">
      <c r="A4573" t="s">
        <v>13070</v>
      </c>
      <c r="B4573" t="s">
        <v>28792</v>
      </c>
      <c r="C4573" t="s">
        <v>20486</v>
      </c>
      <c r="D4573" t="s">
        <v>22</v>
      </c>
      <c r="E4573" t="s">
        <v>13071</v>
      </c>
      <c r="F4573">
        <v>26</v>
      </c>
      <c r="G4573" t="s">
        <v>16</v>
      </c>
      <c r="H4573" t="s">
        <v>9785</v>
      </c>
      <c r="I4573" t="s">
        <v>8693</v>
      </c>
    </row>
    <row r="4574" spans="1:10" x14ac:dyDescent="0.3">
      <c r="A4574" t="s">
        <v>13072</v>
      </c>
      <c r="B4574" t="s">
        <v>28793</v>
      </c>
      <c r="C4574" t="s">
        <v>20491</v>
      </c>
      <c r="D4574" t="s">
        <v>22</v>
      </c>
      <c r="E4574" t="s">
        <v>2514</v>
      </c>
      <c r="F4574">
        <v>47</v>
      </c>
      <c r="G4574" t="s">
        <v>1439</v>
      </c>
      <c r="H4574" t="s">
        <v>46</v>
      </c>
      <c r="I4574" t="s">
        <v>13073</v>
      </c>
    </row>
    <row r="4575" spans="1:10" x14ac:dyDescent="0.3">
      <c r="A4575" t="s">
        <v>13074</v>
      </c>
      <c r="B4575" t="s">
        <v>28794</v>
      </c>
      <c r="C4575" t="s">
        <v>20491</v>
      </c>
      <c r="D4575" t="s">
        <v>22</v>
      </c>
      <c r="E4575" t="s">
        <v>13075</v>
      </c>
      <c r="F4575">
        <v>30</v>
      </c>
      <c r="G4575" t="s">
        <v>109</v>
      </c>
      <c r="H4575" t="s">
        <v>9788</v>
      </c>
    </row>
    <row r="4576" spans="1:10" x14ac:dyDescent="0.3">
      <c r="A4576" t="s">
        <v>13076</v>
      </c>
      <c r="B4576" t="s">
        <v>28795</v>
      </c>
      <c r="C4576" t="s">
        <v>20486</v>
      </c>
      <c r="D4576" t="s">
        <v>11</v>
      </c>
      <c r="E4576" t="s">
        <v>4140</v>
      </c>
      <c r="F4576">
        <v>60</v>
      </c>
      <c r="G4576" t="s">
        <v>46</v>
      </c>
      <c r="H4576" t="s">
        <v>46</v>
      </c>
      <c r="I4576" t="s">
        <v>228</v>
      </c>
    </row>
    <row r="4577" spans="1:10" x14ac:dyDescent="0.3">
      <c r="A4577" t="s">
        <v>13077</v>
      </c>
      <c r="B4577" t="s">
        <v>28796</v>
      </c>
      <c r="C4577" t="s">
        <v>20486</v>
      </c>
      <c r="D4577" t="s">
        <v>22</v>
      </c>
      <c r="E4577" t="s">
        <v>4995</v>
      </c>
      <c r="F4577">
        <v>59</v>
      </c>
      <c r="G4577" t="s">
        <v>109</v>
      </c>
      <c r="H4577" t="s">
        <v>9788</v>
      </c>
    </row>
    <row r="4578" spans="1:10" x14ac:dyDescent="0.3">
      <c r="A4578" t="s">
        <v>13078</v>
      </c>
      <c r="B4578" t="s">
        <v>28797</v>
      </c>
      <c r="C4578" t="s">
        <v>20486</v>
      </c>
      <c r="D4578" t="s">
        <v>11</v>
      </c>
      <c r="E4578" t="s">
        <v>13079</v>
      </c>
      <c r="F4578">
        <v>36</v>
      </c>
      <c r="G4578" t="s">
        <v>109</v>
      </c>
      <c r="H4578" t="s">
        <v>9788</v>
      </c>
      <c r="I4578" t="s">
        <v>12661</v>
      </c>
      <c r="J4578" t="s">
        <v>12662</v>
      </c>
    </row>
    <row r="4579" spans="1:10" x14ac:dyDescent="0.3">
      <c r="A4579" t="s">
        <v>13080</v>
      </c>
      <c r="B4579" t="s">
        <v>28798</v>
      </c>
      <c r="C4579" t="s">
        <v>20489</v>
      </c>
      <c r="D4579" t="s">
        <v>11</v>
      </c>
      <c r="E4579" t="s">
        <v>9648</v>
      </c>
      <c r="F4579">
        <v>28</v>
      </c>
      <c r="G4579" t="s">
        <v>109</v>
      </c>
      <c r="H4579" t="s">
        <v>9788</v>
      </c>
      <c r="I4579" t="s">
        <v>17</v>
      </c>
      <c r="J4579" t="s">
        <v>12407</v>
      </c>
    </row>
    <row r="4580" spans="1:10" x14ac:dyDescent="0.3">
      <c r="A4580" t="s">
        <v>13081</v>
      </c>
      <c r="B4580" t="s">
        <v>28799</v>
      </c>
      <c r="C4580" t="s">
        <v>20486</v>
      </c>
      <c r="D4580" t="s">
        <v>22</v>
      </c>
      <c r="E4580" t="s">
        <v>13082</v>
      </c>
      <c r="F4580">
        <v>20</v>
      </c>
      <c r="G4580" t="s">
        <v>109</v>
      </c>
      <c r="H4580" t="s">
        <v>9788</v>
      </c>
      <c r="J4580" t="s">
        <v>13083</v>
      </c>
    </row>
    <row r="4581" spans="1:10" x14ac:dyDescent="0.3">
      <c r="A4581" t="s">
        <v>13084</v>
      </c>
      <c r="B4581" t="s">
        <v>28800</v>
      </c>
      <c r="C4581" t="s">
        <v>20486</v>
      </c>
      <c r="D4581" t="s">
        <v>11</v>
      </c>
      <c r="E4581" t="s">
        <v>13085</v>
      </c>
      <c r="F4581">
        <v>20</v>
      </c>
      <c r="G4581" t="s">
        <v>109</v>
      </c>
      <c r="H4581" t="s">
        <v>9788</v>
      </c>
      <c r="J4581" t="s">
        <v>13086</v>
      </c>
    </row>
    <row r="4582" spans="1:10" x14ac:dyDescent="0.3">
      <c r="A4582" t="s">
        <v>13087</v>
      </c>
      <c r="B4582" t="s">
        <v>28801</v>
      </c>
      <c r="C4582" t="s">
        <v>20487</v>
      </c>
      <c r="D4582" t="s">
        <v>22</v>
      </c>
      <c r="E4582" t="s">
        <v>7080</v>
      </c>
      <c r="F4582">
        <v>30</v>
      </c>
      <c r="G4582" t="s">
        <v>1200</v>
      </c>
      <c r="H4582" t="s">
        <v>9785</v>
      </c>
      <c r="I4582" t="s">
        <v>13088</v>
      </c>
    </row>
    <row r="4583" spans="1:10" x14ac:dyDescent="0.3">
      <c r="A4583" t="s">
        <v>13089</v>
      </c>
      <c r="B4583" t="s">
        <v>28802</v>
      </c>
      <c r="C4583" t="s">
        <v>20487</v>
      </c>
      <c r="D4583" t="s">
        <v>22</v>
      </c>
      <c r="E4583" t="s">
        <v>13090</v>
      </c>
      <c r="F4583">
        <v>38</v>
      </c>
      <c r="G4583" t="s">
        <v>1200</v>
      </c>
      <c r="H4583" t="s">
        <v>9785</v>
      </c>
      <c r="I4583" t="s">
        <v>13088</v>
      </c>
    </row>
    <row r="4584" spans="1:10" x14ac:dyDescent="0.3">
      <c r="A4584" t="s">
        <v>13091</v>
      </c>
      <c r="B4584" t="s">
        <v>28803</v>
      </c>
      <c r="C4584" t="s">
        <v>20488</v>
      </c>
      <c r="D4584" t="s">
        <v>22</v>
      </c>
      <c r="E4584" t="s">
        <v>13092</v>
      </c>
      <c r="F4584">
        <v>53</v>
      </c>
      <c r="G4584" t="s">
        <v>31</v>
      </c>
      <c r="H4584" t="s">
        <v>31</v>
      </c>
    </row>
    <row r="4585" spans="1:10" x14ac:dyDescent="0.3">
      <c r="A4585" t="s">
        <v>13093</v>
      </c>
      <c r="B4585" t="s">
        <v>28804</v>
      </c>
      <c r="C4585" t="s">
        <v>20490</v>
      </c>
      <c r="D4585" t="s">
        <v>11</v>
      </c>
      <c r="E4585" t="s">
        <v>4701</v>
      </c>
      <c r="F4585">
        <v>38</v>
      </c>
      <c r="G4585" t="s">
        <v>133</v>
      </c>
      <c r="H4585" t="s">
        <v>9789</v>
      </c>
    </row>
    <row r="4586" spans="1:10" x14ac:dyDescent="0.3">
      <c r="A4586" t="s">
        <v>13095</v>
      </c>
      <c r="B4586" t="s">
        <v>28805</v>
      </c>
      <c r="C4586" t="s">
        <v>20491</v>
      </c>
      <c r="D4586" t="s">
        <v>22</v>
      </c>
      <c r="E4586" t="s">
        <v>8303</v>
      </c>
      <c r="F4586">
        <v>30</v>
      </c>
      <c r="G4586" t="s">
        <v>370</v>
      </c>
      <c r="H4586" t="s">
        <v>46</v>
      </c>
      <c r="I4586" t="s">
        <v>228</v>
      </c>
      <c r="J4586" t="s">
        <v>13096</v>
      </c>
    </row>
    <row r="4587" spans="1:10" x14ac:dyDescent="0.3">
      <c r="A4587" t="s">
        <v>13097</v>
      </c>
      <c r="B4587" t="s">
        <v>28806</v>
      </c>
      <c r="C4587" t="s">
        <v>20486</v>
      </c>
      <c r="D4587" t="s">
        <v>11</v>
      </c>
      <c r="E4587" t="s">
        <v>8835</v>
      </c>
      <c r="F4587">
        <v>46</v>
      </c>
      <c r="G4587" t="s">
        <v>46</v>
      </c>
      <c r="H4587" t="s">
        <v>46</v>
      </c>
    </row>
    <row r="4588" spans="1:10" x14ac:dyDescent="0.3">
      <c r="A4588" t="s">
        <v>13098</v>
      </c>
      <c r="B4588" t="s">
        <v>28807</v>
      </c>
      <c r="C4588" t="s">
        <v>20486</v>
      </c>
      <c r="D4588" t="s">
        <v>22</v>
      </c>
      <c r="E4588" t="s">
        <v>13099</v>
      </c>
      <c r="F4588">
        <v>40</v>
      </c>
      <c r="G4588" t="s">
        <v>109</v>
      </c>
      <c r="H4588" t="s">
        <v>9788</v>
      </c>
      <c r="J4588" t="s">
        <v>13100</v>
      </c>
    </row>
    <row r="4589" spans="1:10" x14ac:dyDescent="0.3">
      <c r="A4589" t="s">
        <v>13101</v>
      </c>
      <c r="B4589" t="s">
        <v>28808</v>
      </c>
      <c r="C4589" t="s">
        <v>20486</v>
      </c>
      <c r="D4589" t="s">
        <v>11</v>
      </c>
      <c r="E4589" t="s">
        <v>13102</v>
      </c>
      <c r="F4589">
        <v>48</v>
      </c>
      <c r="G4589" t="s">
        <v>531</v>
      </c>
      <c r="H4589" t="s">
        <v>46</v>
      </c>
      <c r="I4589" t="s">
        <v>13103</v>
      </c>
    </row>
    <row r="4590" spans="1:10" x14ac:dyDescent="0.3">
      <c r="A4590" t="s">
        <v>13104</v>
      </c>
      <c r="B4590" t="s">
        <v>28809</v>
      </c>
      <c r="C4590" t="s">
        <v>20486</v>
      </c>
      <c r="D4590" t="s">
        <v>11</v>
      </c>
      <c r="E4590" t="s">
        <v>9714</v>
      </c>
      <c r="F4590">
        <v>19</v>
      </c>
      <c r="G4590" t="s">
        <v>337</v>
      </c>
      <c r="H4590" t="s">
        <v>337</v>
      </c>
      <c r="I4590" t="s">
        <v>384</v>
      </c>
      <c r="J4590" t="s">
        <v>13105</v>
      </c>
    </row>
    <row r="4591" spans="1:10" x14ac:dyDescent="0.3">
      <c r="A4591" t="s">
        <v>13106</v>
      </c>
      <c r="B4591" t="s">
        <v>28810</v>
      </c>
      <c r="C4591" t="s">
        <v>20490</v>
      </c>
      <c r="D4591" t="s">
        <v>11</v>
      </c>
      <c r="E4591" t="s">
        <v>13107</v>
      </c>
      <c r="F4591">
        <v>45</v>
      </c>
      <c r="G4591" t="s">
        <v>46</v>
      </c>
      <c r="H4591" t="s">
        <v>46</v>
      </c>
      <c r="I4591" t="s">
        <v>13108</v>
      </c>
    </row>
    <row r="4592" spans="1:10" x14ac:dyDescent="0.3">
      <c r="A4592" t="s">
        <v>13109</v>
      </c>
      <c r="B4592" t="s">
        <v>28811</v>
      </c>
      <c r="C4592" t="s">
        <v>20488</v>
      </c>
      <c r="D4592" t="s">
        <v>11</v>
      </c>
      <c r="E4592" t="s">
        <v>13110</v>
      </c>
      <c r="F4592">
        <v>63</v>
      </c>
      <c r="G4592" t="s">
        <v>46</v>
      </c>
      <c r="H4592" t="s">
        <v>46</v>
      </c>
      <c r="I4592" t="s">
        <v>3231</v>
      </c>
    </row>
    <row r="4593" spans="1:10" x14ac:dyDescent="0.3">
      <c r="A4593" t="s">
        <v>13111</v>
      </c>
      <c r="B4593" t="s">
        <v>28812</v>
      </c>
      <c r="C4593" t="s">
        <v>20486</v>
      </c>
      <c r="D4593" t="s">
        <v>22</v>
      </c>
      <c r="E4593" t="s">
        <v>13112</v>
      </c>
      <c r="F4593">
        <v>32</v>
      </c>
      <c r="G4593" t="s">
        <v>31</v>
      </c>
      <c r="H4593" t="s">
        <v>31</v>
      </c>
    </row>
    <row r="4594" spans="1:10" x14ac:dyDescent="0.3">
      <c r="A4594" t="s">
        <v>13113</v>
      </c>
      <c r="B4594" t="s">
        <v>28813</v>
      </c>
      <c r="C4594" t="s">
        <v>20491</v>
      </c>
      <c r="D4594" t="s">
        <v>22</v>
      </c>
      <c r="E4594" t="s">
        <v>13114</v>
      </c>
      <c r="F4594">
        <v>33</v>
      </c>
      <c r="G4594" t="s">
        <v>177</v>
      </c>
      <c r="H4594" t="s">
        <v>12065</v>
      </c>
      <c r="I4594" t="s">
        <v>5194</v>
      </c>
      <c r="J4594" t="s">
        <v>13115</v>
      </c>
    </row>
    <row r="4595" spans="1:10" x14ac:dyDescent="0.3">
      <c r="A4595" t="s">
        <v>13116</v>
      </c>
      <c r="B4595" t="s">
        <v>28814</v>
      </c>
      <c r="C4595" t="s">
        <v>20488</v>
      </c>
      <c r="D4595" t="s">
        <v>22</v>
      </c>
      <c r="E4595" t="s">
        <v>13117</v>
      </c>
      <c r="F4595">
        <v>41</v>
      </c>
      <c r="G4595" t="s">
        <v>31</v>
      </c>
      <c r="H4595" t="s">
        <v>31</v>
      </c>
    </row>
    <row r="4596" spans="1:10" x14ac:dyDescent="0.3">
      <c r="A4596" t="s">
        <v>13118</v>
      </c>
      <c r="B4596" t="s">
        <v>28815</v>
      </c>
      <c r="C4596" t="s">
        <v>20490</v>
      </c>
      <c r="D4596" t="s">
        <v>11</v>
      </c>
      <c r="E4596" t="s">
        <v>13119</v>
      </c>
      <c r="F4596">
        <v>51</v>
      </c>
      <c r="G4596" t="s">
        <v>109</v>
      </c>
      <c r="H4596" t="s">
        <v>9788</v>
      </c>
    </row>
    <row r="4597" spans="1:10" x14ac:dyDescent="0.3">
      <c r="A4597" t="s">
        <v>13120</v>
      </c>
      <c r="B4597" t="s">
        <v>28816</v>
      </c>
      <c r="C4597" t="s">
        <v>20488</v>
      </c>
      <c r="D4597" t="s">
        <v>22</v>
      </c>
      <c r="E4597" t="s">
        <v>13121</v>
      </c>
      <c r="F4597">
        <v>50</v>
      </c>
      <c r="G4597" t="s">
        <v>109</v>
      </c>
      <c r="H4597" t="s">
        <v>9788</v>
      </c>
      <c r="I4597" t="s">
        <v>481</v>
      </c>
      <c r="J4597" t="s">
        <v>13122</v>
      </c>
    </row>
    <row r="4598" spans="1:10" x14ac:dyDescent="0.3">
      <c r="A4598" t="s">
        <v>13123</v>
      </c>
      <c r="B4598" t="s">
        <v>28817</v>
      </c>
      <c r="C4598" t="s">
        <v>20490</v>
      </c>
      <c r="D4598" t="s">
        <v>22</v>
      </c>
      <c r="E4598" t="s">
        <v>13124</v>
      </c>
      <c r="F4598">
        <v>32</v>
      </c>
      <c r="G4598" t="s">
        <v>370</v>
      </c>
      <c r="H4598" t="s">
        <v>46</v>
      </c>
      <c r="I4598" t="s">
        <v>13125</v>
      </c>
    </row>
    <row r="4599" spans="1:10" x14ac:dyDescent="0.3">
      <c r="A4599" t="s">
        <v>13126</v>
      </c>
      <c r="B4599" t="s">
        <v>28818</v>
      </c>
      <c r="C4599" t="s">
        <v>20488</v>
      </c>
      <c r="D4599" t="s">
        <v>11</v>
      </c>
      <c r="E4599" t="s">
        <v>7178</v>
      </c>
      <c r="F4599">
        <v>49</v>
      </c>
      <c r="G4599" t="s">
        <v>109</v>
      </c>
      <c r="H4599" t="s">
        <v>9788</v>
      </c>
      <c r="I4599" t="s">
        <v>5870</v>
      </c>
      <c r="J4599" t="s">
        <v>13127</v>
      </c>
    </row>
    <row r="4600" spans="1:10" x14ac:dyDescent="0.3">
      <c r="A4600" t="s">
        <v>13128</v>
      </c>
      <c r="B4600" t="s">
        <v>28819</v>
      </c>
      <c r="C4600" t="s">
        <v>20491</v>
      </c>
      <c r="D4600" t="s">
        <v>11</v>
      </c>
      <c r="E4600" t="s">
        <v>13129</v>
      </c>
      <c r="F4600">
        <v>47</v>
      </c>
      <c r="G4600" t="s">
        <v>1200</v>
      </c>
      <c r="H4600" t="s">
        <v>9788</v>
      </c>
      <c r="I4600" t="s">
        <v>13130</v>
      </c>
      <c r="J4600" t="s">
        <v>13131</v>
      </c>
    </row>
    <row r="4601" spans="1:10" x14ac:dyDescent="0.3">
      <c r="A4601" t="s">
        <v>13132</v>
      </c>
      <c r="B4601" t="s">
        <v>28820</v>
      </c>
      <c r="C4601" t="s">
        <v>20486</v>
      </c>
      <c r="D4601" t="s">
        <v>22</v>
      </c>
      <c r="E4601" t="s">
        <v>13133</v>
      </c>
      <c r="F4601">
        <v>42</v>
      </c>
      <c r="G4601" t="s">
        <v>46</v>
      </c>
      <c r="H4601" t="s">
        <v>46</v>
      </c>
    </row>
    <row r="4602" spans="1:10" x14ac:dyDescent="0.3">
      <c r="A4602" t="s">
        <v>13134</v>
      </c>
      <c r="B4602" t="s">
        <v>28821</v>
      </c>
      <c r="C4602" t="s">
        <v>20486</v>
      </c>
      <c r="D4602" t="s">
        <v>22</v>
      </c>
      <c r="E4602" t="s">
        <v>13135</v>
      </c>
      <c r="F4602">
        <v>45</v>
      </c>
      <c r="G4602" t="s">
        <v>31</v>
      </c>
      <c r="H4602" t="s">
        <v>31</v>
      </c>
    </row>
    <row r="4603" spans="1:10" x14ac:dyDescent="0.3">
      <c r="A4603" t="s">
        <v>13136</v>
      </c>
      <c r="B4603" t="s">
        <v>28822</v>
      </c>
      <c r="C4603" t="s">
        <v>20491</v>
      </c>
      <c r="D4603" t="s">
        <v>22</v>
      </c>
      <c r="E4603" t="s">
        <v>1129</v>
      </c>
      <c r="F4603">
        <v>72</v>
      </c>
      <c r="G4603" t="s">
        <v>243</v>
      </c>
      <c r="H4603" t="s">
        <v>243</v>
      </c>
    </row>
    <row r="4604" spans="1:10" x14ac:dyDescent="0.3">
      <c r="A4604" t="s">
        <v>13137</v>
      </c>
      <c r="B4604" t="s">
        <v>28823</v>
      </c>
      <c r="C4604" t="s">
        <v>20486</v>
      </c>
      <c r="D4604" t="s">
        <v>22</v>
      </c>
      <c r="E4604" t="s">
        <v>5638</v>
      </c>
      <c r="F4604">
        <v>49</v>
      </c>
      <c r="G4604" t="s">
        <v>155</v>
      </c>
      <c r="H4604" t="s">
        <v>9791</v>
      </c>
      <c r="J4604" t="s">
        <v>9637</v>
      </c>
    </row>
    <row r="4605" spans="1:10" x14ac:dyDescent="0.3">
      <c r="A4605" t="s">
        <v>13138</v>
      </c>
      <c r="B4605" t="s">
        <v>28824</v>
      </c>
      <c r="C4605" t="s">
        <v>20487</v>
      </c>
      <c r="D4605" t="s">
        <v>11</v>
      </c>
      <c r="E4605" t="s">
        <v>13139</v>
      </c>
      <c r="F4605">
        <v>30</v>
      </c>
      <c r="G4605" t="s">
        <v>109</v>
      </c>
      <c r="H4605" t="s">
        <v>9788</v>
      </c>
      <c r="I4605" t="s">
        <v>13140</v>
      </c>
    </row>
    <row r="4606" spans="1:10" x14ac:dyDescent="0.3">
      <c r="A4606" t="s">
        <v>13141</v>
      </c>
      <c r="B4606" t="s">
        <v>28825</v>
      </c>
      <c r="C4606" t="s">
        <v>20486</v>
      </c>
      <c r="D4606" t="s">
        <v>11</v>
      </c>
      <c r="E4606" t="s">
        <v>13142</v>
      </c>
      <c r="F4606">
        <v>26</v>
      </c>
      <c r="G4606" t="s">
        <v>46</v>
      </c>
      <c r="H4606" t="s">
        <v>46</v>
      </c>
      <c r="J4606" t="s">
        <v>13143</v>
      </c>
    </row>
    <row r="4607" spans="1:10" x14ac:dyDescent="0.3">
      <c r="A4607" t="s">
        <v>13144</v>
      </c>
      <c r="B4607" t="s">
        <v>28826</v>
      </c>
      <c r="C4607" t="s">
        <v>20491</v>
      </c>
      <c r="D4607" t="s">
        <v>22</v>
      </c>
      <c r="E4607" t="s">
        <v>13145</v>
      </c>
      <c r="F4607">
        <v>45</v>
      </c>
      <c r="G4607" t="s">
        <v>46</v>
      </c>
      <c r="H4607" t="s">
        <v>46</v>
      </c>
      <c r="I4607" t="s">
        <v>1248</v>
      </c>
      <c r="J4607" t="s">
        <v>13146</v>
      </c>
    </row>
    <row r="4608" spans="1:10" x14ac:dyDescent="0.3">
      <c r="A4608" t="s">
        <v>13147</v>
      </c>
      <c r="B4608" t="s">
        <v>28827</v>
      </c>
      <c r="C4608" t="s">
        <v>20486</v>
      </c>
      <c r="D4608" t="s">
        <v>22</v>
      </c>
      <c r="E4608" t="s">
        <v>13148</v>
      </c>
      <c r="F4608">
        <v>27</v>
      </c>
      <c r="G4608" t="s">
        <v>109</v>
      </c>
      <c r="H4608" t="s">
        <v>9788</v>
      </c>
      <c r="J4608" t="s">
        <v>13149</v>
      </c>
    </row>
    <row r="4609" spans="1:10" x14ac:dyDescent="0.3">
      <c r="A4609" t="s">
        <v>13150</v>
      </c>
      <c r="B4609" t="s">
        <v>28828</v>
      </c>
      <c r="C4609" t="s">
        <v>20486</v>
      </c>
      <c r="D4609" t="s">
        <v>22</v>
      </c>
      <c r="E4609" t="s">
        <v>13151</v>
      </c>
      <c r="F4609">
        <v>64</v>
      </c>
      <c r="G4609" t="s">
        <v>31</v>
      </c>
      <c r="H4609" t="s">
        <v>31</v>
      </c>
    </row>
    <row r="4610" spans="1:10" x14ac:dyDescent="0.3">
      <c r="A4610" t="s">
        <v>13152</v>
      </c>
      <c r="B4610" t="s">
        <v>28829</v>
      </c>
      <c r="C4610" t="s">
        <v>20490</v>
      </c>
      <c r="D4610" t="s">
        <v>22</v>
      </c>
      <c r="E4610" t="s">
        <v>13153</v>
      </c>
      <c r="F4610">
        <v>50</v>
      </c>
      <c r="G4610" t="s">
        <v>133</v>
      </c>
      <c r="H4610" t="s">
        <v>9789</v>
      </c>
    </row>
    <row r="4611" spans="1:10" x14ac:dyDescent="0.3">
      <c r="A4611" t="s">
        <v>13154</v>
      </c>
      <c r="B4611" t="s">
        <v>28830</v>
      </c>
      <c r="C4611" t="s">
        <v>20488</v>
      </c>
      <c r="D4611" t="s">
        <v>22</v>
      </c>
      <c r="E4611" t="s">
        <v>1192</v>
      </c>
      <c r="F4611">
        <v>53</v>
      </c>
      <c r="G4611" t="s">
        <v>46</v>
      </c>
      <c r="H4611" t="s">
        <v>46</v>
      </c>
      <c r="I4611" t="s">
        <v>228</v>
      </c>
      <c r="J4611" t="s">
        <v>13155</v>
      </c>
    </row>
    <row r="4612" spans="1:10" x14ac:dyDescent="0.3">
      <c r="A4612" t="s">
        <v>13156</v>
      </c>
      <c r="B4612" t="s">
        <v>28831</v>
      </c>
      <c r="C4612" t="s">
        <v>20486</v>
      </c>
      <c r="D4612" t="s">
        <v>22</v>
      </c>
      <c r="E4612" t="s">
        <v>13157</v>
      </c>
      <c r="F4612">
        <v>48</v>
      </c>
      <c r="G4612" t="s">
        <v>46</v>
      </c>
      <c r="H4612" t="s">
        <v>46</v>
      </c>
      <c r="I4612" t="s">
        <v>13158</v>
      </c>
    </row>
    <row r="4613" spans="1:10" x14ac:dyDescent="0.3">
      <c r="A4613" t="s">
        <v>13159</v>
      </c>
      <c r="B4613" t="s">
        <v>28832</v>
      </c>
      <c r="C4613" t="s">
        <v>20486</v>
      </c>
      <c r="D4613" t="s">
        <v>22</v>
      </c>
      <c r="E4613" t="s">
        <v>13160</v>
      </c>
      <c r="F4613">
        <v>45</v>
      </c>
      <c r="G4613" t="s">
        <v>16</v>
      </c>
      <c r="H4613" t="s">
        <v>9785</v>
      </c>
      <c r="I4613" t="s">
        <v>17</v>
      </c>
      <c r="J4613" t="s">
        <v>13161</v>
      </c>
    </row>
    <row r="4614" spans="1:10" x14ac:dyDescent="0.3">
      <c r="A4614" t="s">
        <v>13162</v>
      </c>
      <c r="B4614" t="s">
        <v>28833</v>
      </c>
      <c r="C4614" t="s">
        <v>20491</v>
      </c>
      <c r="D4614" t="s">
        <v>22</v>
      </c>
      <c r="E4614" t="s">
        <v>13163</v>
      </c>
      <c r="F4614">
        <v>48</v>
      </c>
      <c r="G4614" t="s">
        <v>109</v>
      </c>
      <c r="H4614" t="s">
        <v>9788</v>
      </c>
      <c r="I4614" t="s">
        <v>17</v>
      </c>
      <c r="J4614" t="s">
        <v>13164</v>
      </c>
    </row>
    <row r="4615" spans="1:10" x14ac:dyDescent="0.3">
      <c r="A4615" t="s">
        <v>13165</v>
      </c>
      <c r="B4615" t="s">
        <v>28834</v>
      </c>
      <c r="C4615" t="s">
        <v>20491</v>
      </c>
      <c r="D4615" t="s">
        <v>22</v>
      </c>
      <c r="E4615" t="s">
        <v>6028</v>
      </c>
      <c r="F4615">
        <v>56</v>
      </c>
      <c r="G4615" t="s">
        <v>109</v>
      </c>
      <c r="H4615" t="s">
        <v>9788</v>
      </c>
      <c r="I4615" t="s">
        <v>13164</v>
      </c>
    </row>
    <row r="4616" spans="1:10" x14ac:dyDescent="0.3">
      <c r="A4616" t="s">
        <v>13166</v>
      </c>
      <c r="B4616" t="s">
        <v>28835</v>
      </c>
      <c r="C4616" t="s">
        <v>20488</v>
      </c>
      <c r="D4616" t="s">
        <v>11</v>
      </c>
      <c r="E4616" t="s">
        <v>13167</v>
      </c>
      <c r="F4616">
        <v>65</v>
      </c>
      <c r="G4616" t="s">
        <v>540</v>
      </c>
      <c r="H4616" t="s">
        <v>12074</v>
      </c>
      <c r="I4616" t="s">
        <v>1269</v>
      </c>
    </row>
    <row r="4617" spans="1:10" x14ac:dyDescent="0.3">
      <c r="A4617" t="s">
        <v>13169</v>
      </c>
      <c r="B4617" t="s">
        <v>28836</v>
      </c>
      <c r="C4617" t="s">
        <v>20491</v>
      </c>
      <c r="D4617" t="s">
        <v>22</v>
      </c>
      <c r="E4617" t="s">
        <v>13170</v>
      </c>
      <c r="F4617">
        <v>42</v>
      </c>
      <c r="G4617" t="s">
        <v>46</v>
      </c>
      <c r="H4617" t="s">
        <v>46</v>
      </c>
      <c r="I4617" t="s">
        <v>228</v>
      </c>
      <c r="J4617" t="s">
        <v>13171</v>
      </c>
    </row>
    <row r="4618" spans="1:10" x14ac:dyDescent="0.3">
      <c r="A4618" t="s">
        <v>13172</v>
      </c>
      <c r="B4618" t="s">
        <v>28837</v>
      </c>
      <c r="C4618" t="s">
        <v>20486</v>
      </c>
      <c r="D4618" t="s">
        <v>22</v>
      </c>
      <c r="E4618" t="s">
        <v>13173</v>
      </c>
      <c r="F4618">
        <v>32</v>
      </c>
      <c r="G4618" t="s">
        <v>31</v>
      </c>
      <c r="H4618" t="s">
        <v>31</v>
      </c>
    </row>
    <row r="4619" spans="1:10" x14ac:dyDescent="0.3">
      <c r="A4619" t="s">
        <v>13174</v>
      </c>
      <c r="B4619" t="s">
        <v>28838</v>
      </c>
      <c r="C4619" t="s">
        <v>20487</v>
      </c>
      <c r="D4619" t="s">
        <v>11</v>
      </c>
      <c r="E4619" t="s">
        <v>13175</v>
      </c>
      <c r="F4619">
        <v>32</v>
      </c>
      <c r="G4619" t="s">
        <v>46</v>
      </c>
      <c r="H4619" t="s">
        <v>46</v>
      </c>
      <c r="J4619" t="s">
        <v>13176</v>
      </c>
    </row>
    <row r="4620" spans="1:10" x14ac:dyDescent="0.3">
      <c r="A4620" t="s">
        <v>13177</v>
      </c>
      <c r="B4620" t="s">
        <v>28839</v>
      </c>
      <c r="C4620" t="s">
        <v>20488</v>
      </c>
      <c r="D4620" t="s">
        <v>22</v>
      </c>
      <c r="E4620" t="s">
        <v>13178</v>
      </c>
      <c r="F4620">
        <v>47</v>
      </c>
      <c r="G4620" t="s">
        <v>46</v>
      </c>
      <c r="H4620" t="s">
        <v>46</v>
      </c>
      <c r="I4620" t="s">
        <v>13179</v>
      </c>
      <c r="J4620" t="s">
        <v>149</v>
      </c>
    </row>
    <row r="4621" spans="1:10" x14ac:dyDescent="0.3">
      <c r="A4621" t="s">
        <v>13180</v>
      </c>
      <c r="B4621" t="s">
        <v>28840</v>
      </c>
      <c r="C4621" t="s">
        <v>20488</v>
      </c>
      <c r="D4621" t="s">
        <v>22</v>
      </c>
      <c r="E4621" t="s">
        <v>13181</v>
      </c>
      <c r="F4621">
        <v>61</v>
      </c>
      <c r="G4621" t="s">
        <v>46</v>
      </c>
      <c r="H4621" t="s">
        <v>46</v>
      </c>
      <c r="I4621" t="s">
        <v>1388</v>
      </c>
      <c r="J4621" t="s">
        <v>13182</v>
      </c>
    </row>
    <row r="4622" spans="1:10" x14ac:dyDescent="0.3">
      <c r="A4622" t="s">
        <v>13183</v>
      </c>
      <c r="B4622" t="s">
        <v>28841</v>
      </c>
      <c r="C4622" t="s">
        <v>20486</v>
      </c>
      <c r="D4622" t="s">
        <v>22</v>
      </c>
      <c r="E4622" t="s">
        <v>13184</v>
      </c>
      <c r="F4622">
        <v>21</v>
      </c>
      <c r="G4622" t="s">
        <v>109</v>
      </c>
      <c r="H4622" t="s">
        <v>9788</v>
      </c>
      <c r="J4622" t="s">
        <v>13185</v>
      </c>
    </row>
    <row r="4623" spans="1:10" x14ac:dyDescent="0.3">
      <c r="A4623" t="s">
        <v>13186</v>
      </c>
      <c r="B4623" t="s">
        <v>28842</v>
      </c>
      <c r="C4623" t="s">
        <v>20486</v>
      </c>
      <c r="D4623" t="s">
        <v>11</v>
      </c>
      <c r="E4623" t="s">
        <v>13187</v>
      </c>
      <c r="F4623">
        <v>22</v>
      </c>
      <c r="G4623" t="s">
        <v>109</v>
      </c>
      <c r="H4623" t="s">
        <v>9788</v>
      </c>
      <c r="J4623" t="s">
        <v>13185</v>
      </c>
    </row>
    <row r="4624" spans="1:10" x14ac:dyDescent="0.3">
      <c r="A4624" t="s">
        <v>13188</v>
      </c>
      <c r="B4624" t="s">
        <v>28843</v>
      </c>
      <c r="C4624" t="s">
        <v>20486</v>
      </c>
      <c r="D4624" t="s">
        <v>11</v>
      </c>
      <c r="E4624" t="s">
        <v>13189</v>
      </c>
      <c r="F4624">
        <v>25</v>
      </c>
      <c r="G4624" t="s">
        <v>109</v>
      </c>
      <c r="H4624" t="s">
        <v>9788</v>
      </c>
      <c r="J4624" t="s">
        <v>13185</v>
      </c>
    </row>
    <row r="4625" spans="1:10" x14ac:dyDescent="0.3">
      <c r="A4625" t="s">
        <v>13190</v>
      </c>
      <c r="B4625" t="s">
        <v>28844</v>
      </c>
      <c r="C4625" t="s">
        <v>20486</v>
      </c>
      <c r="D4625" t="s">
        <v>11</v>
      </c>
      <c r="E4625" t="s">
        <v>13191</v>
      </c>
      <c r="F4625">
        <v>25</v>
      </c>
      <c r="G4625" t="s">
        <v>109</v>
      </c>
      <c r="H4625" t="s">
        <v>9788</v>
      </c>
      <c r="J4625" t="s">
        <v>13185</v>
      </c>
    </row>
    <row r="4626" spans="1:10" x14ac:dyDescent="0.3">
      <c r="A4626" t="s">
        <v>13192</v>
      </c>
      <c r="B4626" t="s">
        <v>28845</v>
      </c>
      <c r="C4626" t="s">
        <v>20486</v>
      </c>
      <c r="D4626" t="s">
        <v>11</v>
      </c>
      <c r="E4626" t="s">
        <v>6322</v>
      </c>
      <c r="F4626">
        <v>36</v>
      </c>
      <c r="G4626" t="s">
        <v>109</v>
      </c>
      <c r="H4626" t="s">
        <v>9788</v>
      </c>
      <c r="J4626" t="s">
        <v>13185</v>
      </c>
    </row>
    <row r="4627" spans="1:10" x14ac:dyDescent="0.3">
      <c r="A4627" t="s">
        <v>13193</v>
      </c>
      <c r="B4627" t="s">
        <v>28846</v>
      </c>
      <c r="C4627" t="s">
        <v>20486</v>
      </c>
      <c r="D4627" t="s">
        <v>11</v>
      </c>
      <c r="E4627" t="s">
        <v>13194</v>
      </c>
      <c r="F4627">
        <v>31</v>
      </c>
      <c r="G4627" t="s">
        <v>109</v>
      </c>
      <c r="H4627" t="s">
        <v>9788</v>
      </c>
      <c r="J4627" t="s">
        <v>13185</v>
      </c>
    </row>
    <row r="4628" spans="1:10" x14ac:dyDescent="0.3">
      <c r="A4628" t="s">
        <v>13195</v>
      </c>
      <c r="B4628" t="s">
        <v>28847</v>
      </c>
      <c r="C4628" t="s">
        <v>20486</v>
      </c>
      <c r="D4628" t="s">
        <v>11</v>
      </c>
      <c r="E4628" t="s">
        <v>13196</v>
      </c>
      <c r="F4628">
        <v>34</v>
      </c>
      <c r="G4628" t="s">
        <v>109</v>
      </c>
      <c r="H4628" t="s">
        <v>9788</v>
      </c>
      <c r="I4628" t="s">
        <v>228</v>
      </c>
      <c r="J4628" t="s">
        <v>13185</v>
      </c>
    </row>
    <row r="4629" spans="1:10" x14ac:dyDescent="0.3">
      <c r="A4629" t="s">
        <v>13197</v>
      </c>
      <c r="B4629" t="s">
        <v>28848</v>
      </c>
      <c r="C4629" t="s">
        <v>20486</v>
      </c>
      <c r="D4629" t="s">
        <v>11</v>
      </c>
      <c r="E4629" t="s">
        <v>13198</v>
      </c>
      <c r="F4629">
        <v>19</v>
      </c>
      <c r="G4629" t="s">
        <v>109</v>
      </c>
      <c r="H4629" t="s">
        <v>9788</v>
      </c>
      <c r="I4629" t="s">
        <v>228</v>
      </c>
      <c r="J4629" t="s">
        <v>13185</v>
      </c>
    </row>
    <row r="4630" spans="1:10" x14ac:dyDescent="0.3">
      <c r="A4630" t="s">
        <v>13199</v>
      </c>
      <c r="B4630" t="s">
        <v>28849</v>
      </c>
      <c r="C4630" t="s">
        <v>20486</v>
      </c>
      <c r="D4630" t="s">
        <v>11</v>
      </c>
      <c r="E4630" t="s">
        <v>13200</v>
      </c>
      <c r="F4630">
        <v>43</v>
      </c>
      <c r="G4630" t="s">
        <v>109</v>
      </c>
      <c r="H4630" t="s">
        <v>9788</v>
      </c>
      <c r="J4630" t="s">
        <v>13185</v>
      </c>
    </row>
    <row r="4631" spans="1:10" x14ac:dyDescent="0.3">
      <c r="A4631" t="s">
        <v>13201</v>
      </c>
      <c r="B4631" t="s">
        <v>28850</v>
      </c>
      <c r="C4631" t="s">
        <v>20486</v>
      </c>
      <c r="D4631" t="s">
        <v>11</v>
      </c>
      <c r="E4631" t="s">
        <v>13202</v>
      </c>
      <c r="F4631">
        <v>21</v>
      </c>
      <c r="G4631" t="s">
        <v>109</v>
      </c>
      <c r="H4631" t="s">
        <v>9788</v>
      </c>
      <c r="I4631" t="s">
        <v>228</v>
      </c>
      <c r="J4631" t="s">
        <v>13185</v>
      </c>
    </row>
    <row r="4632" spans="1:10" x14ac:dyDescent="0.3">
      <c r="A4632" t="s">
        <v>13203</v>
      </c>
      <c r="B4632" t="s">
        <v>28851</v>
      </c>
      <c r="C4632" t="s">
        <v>20488</v>
      </c>
      <c r="D4632" t="s">
        <v>11</v>
      </c>
      <c r="E4632" t="s">
        <v>13204</v>
      </c>
      <c r="F4632">
        <v>18</v>
      </c>
      <c r="G4632" t="s">
        <v>337</v>
      </c>
      <c r="H4632" t="s">
        <v>337</v>
      </c>
      <c r="I4632" t="s">
        <v>7020</v>
      </c>
      <c r="J4632" t="s">
        <v>13205</v>
      </c>
    </row>
    <row r="4633" spans="1:10" x14ac:dyDescent="0.3">
      <c r="A4633" t="s">
        <v>13206</v>
      </c>
      <c r="B4633" t="s">
        <v>28852</v>
      </c>
      <c r="C4633" t="s">
        <v>20486</v>
      </c>
      <c r="D4633" t="s">
        <v>22</v>
      </c>
      <c r="E4633" t="s">
        <v>1069</v>
      </c>
      <c r="F4633">
        <v>29</v>
      </c>
      <c r="G4633" t="s">
        <v>16</v>
      </c>
      <c r="H4633" t="s">
        <v>9785</v>
      </c>
      <c r="I4633" t="s">
        <v>17</v>
      </c>
      <c r="J4633" t="s">
        <v>13207</v>
      </c>
    </row>
    <row r="4634" spans="1:10" x14ac:dyDescent="0.3">
      <c r="A4634" t="s">
        <v>13208</v>
      </c>
      <c r="B4634" t="s">
        <v>28853</v>
      </c>
      <c r="C4634" t="s">
        <v>20486</v>
      </c>
      <c r="D4634" t="s">
        <v>22</v>
      </c>
      <c r="E4634" t="s">
        <v>5974</v>
      </c>
      <c r="F4634">
        <v>40</v>
      </c>
      <c r="G4634" t="s">
        <v>46</v>
      </c>
      <c r="H4634" t="s">
        <v>46</v>
      </c>
      <c r="I4634" t="s">
        <v>228</v>
      </c>
      <c r="J4634" t="s">
        <v>13209</v>
      </c>
    </row>
    <row r="4635" spans="1:10" x14ac:dyDescent="0.3">
      <c r="A4635" t="s">
        <v>13210</v>
      </c>
      <c r="B4635" t="s">
        <v>28854</v>
      </c>
      <c r="C4635" t="s">
        <v>20486</v>
      </c>
      <c r="D4635" t="s">
        <v>22</v>
      </c>
      <c r="E4635" t="s">
        <v>13211</v>
      </c>
      <c r="F4635">
        <v>23</v>
      </c>
      <c r="G4635" t="s">
        <v>109</v>
      </c>
      <c r="H4635" t="s">
        <v>9788</v>
      </c>
      <c r="I4635" t="s">
        <v>13212</v>
      </c>
      <c r="J4635" t="s">
        <v>13213</v>
      </c>
    </row>
    <row r="4636" spans="1:10" x14ac:dyDescent="0.3">
      <c r="A4636" t="s">
        <v>13214</v>
      </c>
      <c r="B4636" t="s">
        <v>28855</v>
      </c>
      <c r="C4636" t="s">
        <v>20487</v>
      </c>
      <c r="D4636" t="s">
        <v>22</v>
      </c>
      <c r="E4636" t="s">
        <v>13215</v>
      </c>
      <c r="F4636">
        <v>41</v>
      </c>
      <c r="G4636" t="s">
        <v>16</v>
      </c>
      <c r="H4636" t="s">
        <v>9785</v>
      </c>
      <c r="I4636" t="s">
        <v>13216</v>
      </c>
      <c r="J4636" t="s">
        <v>4066</v>
      </c>
    </row>
    <row r="4637" spans="1:10" x14ac:dyDescent="0.3">
      <c r="A4637" t="s">
        <v>13217</v>
      </c>
      <c r="B4637" t="s">
        <v>28856</v>
      </c>
      <c r="C4637" t="s">
        <v>20486</v>
      </c>
      <c r="D4637" t="s">
        <v>22</v>
      </c>
      <c r="E4637" t="s">
        <v>13218</v>
      </c>
      <c r="F4637">
        <v>45</v>
      </c>
      <c r="G4637" t="s">
        <v>109</v>
      </c>
      <c r="H4637" t="s">
        <v>9788</v>
      </c>
    </row>
    <row r="4638" spans="1:10" x14ac:dyDescent="0.3">
      <c r="A4638" t="s">
        <v>13219</v>
      </c>
      <c r="B4638" t="s">
        <v>28857</v>
      </c>
      <c r="C4638" t="s">
        <v>20486</v>
      </c>
      <c r="D4638" t="s">
        <v>22</v>
      </c>
      <c r="E4638" t="s">
        <v>13220</v>
      </c>
      <c r="F4638">
        <v>31</v>
      </c>
      <c r="G4638" t="s">
        <v>337</v>
      </c>
      <c r="H4638" t="s">
        <v>337</v>
      </c>
      <c r="I4638" t="s">
        <v>201</v>
      </c>
      <c r="J4638" t="s">
        <v>13221</v>
      </c>
    </row>
    <row r="4639" spans="1:10" x14ac:dyDescent="0.3">
      <c r="A4639" t="s">
        <v>13222</v>
      </c>
      <c r="B4639" t="s">
        <v>28858</v>
      </c>
      <c r="C4639" t="s">
        <v>20489</v>
      </c>
      <c r="D4639" t="s">
        <v>22</v>
      </c>
      <c r="E4639" t="s">
        <v>3790</v>
      </c>
      <c r="F4639">
        <v>51</v>
      </c>
      <c r="G4639" t="s">
        <v>370</v>
      </c>
      <c r="H4639" t="s">
        <v>46</v>
      </c>
      <c r="I4639" t="s">
        <v>13223</v>
      </c>
      <c r="J4639" t="s">
        <v>12984</v>
      </c>
    </row>
    <row r="4640" spans="1:10" x14ac:dyDescent="0.3">
      <c r="A4640" t="s">
        <v>13224</v>
      </c>
      <c r="B4640" t="s">
        <v>28859</v>
      </c>
      <c r="C4640" t="s">
        <v>20489</v>
      </c>
      <c r="D4640" t="s">
        <v>22</v>
      </c>
      <c r="E4640" t="s">
        <v>6744</v>
      </c>
      <c r="F4640">
        <v>54</v>
      </c>
      <c r="G4640" t="s">
        <v>370</v>
      </c>
      <c r="H4640" t="s">
        <v>46</v>
      </c>
      <c r="I4640" t="s">
        <v>13225</v>
      </c>
      <c r="J4640" t="s">
        <v>13226</v>
      </c>
    </row>
    <row r="4641" spans="1:10" x14ac:dyDescent="0.3">
      <c r="A4641" t="s">
        <v>13227</v>
      </c>
      <c r="B4641" t="s">
        <v>28860</v>
      </c>
      <c r="C4641" t="s">
        <v>20491</v>
      </c>
      <c r="D4641" t="s">
        <v>22</v>
      </c>
      <c r="E4641" t="s">
        <v>13228</v>
      </c>
      <c r="F4641">
        <v>34</v>
      </c>
      <c r="G4641" t="s">
        <v>46</v>
      </c>
      <c r="H4641" t="s">
        <v>46</v>
      </c>
      <c r="I4641" t="s">
        <v>13229</v>
      </c>
    </row>
    <row r="4642" spans="1:10" x14ac:dyDescent="0.3">
      <c r="A4642" t="s">
        <v>13230</v>
      </c>
      <c r="B4642" t="s">
        <v>28861</v>
      </c>
      <c r="C4642" t="s">
        <v>20486</v>
      </c>
      <c r="D4642" t="s">
        <v>11</v>
      </c>
      <c r="E4642" t="s">
        <v>3115</v>
      </c>
      <c r="F4642">
        <v>41</v>
      </c>
      <c r="G4642" t="s">
        <v>109</v>
      </c>
      <c r="H4642" t="s">
        <v>9788</v>
      </c>
    </row>
    <row r="4643" spans="1:10" x14ac:dyDescent="0.3">
      <c r="A4643" t="s">
        <v>13231</v>
      </c>
      <c r="B4643" t="s">
        <v>28862</v>
      </c>
      <c r="C4643" t="s">
        <v>20491</v>
      </c>
      <c r="D4643" t="s">
        <v>22</v>
      </c>
      <c r="E4643" t="s">
        <v>13232</v>
      </c>
      <c r="F4643">
        <v>57</v>
      </c>
      <c r="G4643" t="s">
        <v>46</v>
      </c>
      <c r="H4643" t="s">
        <v>46</v>
      </c>
      <c r="I4643" t="s">
        <v>228</v>
      </c>
    </row>
    <row r="4644" spans="1:10" x14ac:dyDescent="0.3">
      <c r="A4644" t="s">
        <v>13233</v>
      </c>
      <c r="B4644" t="s">
        <v>28863</v>
      </c>
      <c r="C4644" t="s">
        <v>20486</v>
      </c>
      <c r="D4644" t="s">
        <v>11</v>
      </c>
      <c r="E4644" t="s">
        <v>9234</v>
      </c>
      <c r="F4644">
        <v>53</v>
      </c>
      <c r="G4644" t="s">
        <v>109</v>
      </c>
      <c r="H4644" t="s">
        <v>9788</v>
      </c>
      <c r="I4644" t="s">
        <v>13234</v>
      </c>
      <c r="J4644" t="s">
        <v>13235</v>
      </c>
    </row>
    <row r="4645" spans="1:10" x14ac:dyDescent="0.3">
      <c r="A4645" t="s">
        <v>13236</v>
      </c>
      <c r="B4645" t="s">
        <v>28864</v>
      </c>
      <c r="C4645" t="s">
        <v>20489</v>
      </c>
      <c r="D4645" t="s">
        <v>22</v>
      </c>
      <c r="E4645" t="s">
        <v>13237</v>
      </c>
      <c r="F4645">
        <v>50</v>
      </c>
      <c r="G4645" t="s">
        <v>370</v>
      </c>
      <c r="H4645" t="s">
        <v>46</v>
      </c>
      <c r="I4645" t="s">
        <v>13238</v>
      </c>
      <c r="J4645" t="s">
        <v>12984</v>
      </c>
    </row>
    <row r="4646" spans="1:10" x14ac:dyDescent="0.3">
      <c r="A4646" t="s">
        <v>13239</v>
      </c>
      <c r="B4646" t="s">
        <v>28865</v>
      </c>
      <c r="C4646" t="s">
        <v>20486</v>
      </c>
      <c r="D4646" t="s">
        <v>22</v>
      </c>
      <c r="E4646" t="s">
        <v>13240</v>
      </c>
      <c r="F4646">
        <v>19</v>
      </c>
      <c r="G4646" t="s">
        <v>109</v>
      </c>
      <c r="H4646" t="s">
        <v>9788</v>
      </c>
      <c r="I4646" t="s">
        <v>9293</v>
      </c>
      <c r="J4646" t="s">
        <v>12720</v>
      </c>
    </row>
    <row r="4647" spans="1:10" x14ac:dyDescent="0.3">
      <c r="A4647" t="s">
        <v>13241</v>
      </c>
      <c r="B4647" t="s">
        <v>28866</v>
      </c>
      <c r="C4647" t="s">
        <v>24217</v>
      </c>
      <c r="D4647" t="s">
        <v>22</v>
      </c>
      <c r="E4647" t="s">
        <v>4009</v>
      </c>
      <c r="F4647">
        <v>43</v>
      </c>
      <c r="G4647" t="s">
        <v>109</v>
      </c>
      <c r="H4647" t="s">
        <v>9788</v>
      </c>
    </row>
    <row r="4648" spans="1:10" x14ac:dyDescent="0.3">
      <c r="A4648" t="s">
        <v>13242</v>
      </c>
      <c r="B4648" t="s">
        <v>28867</v>
      </c>
      <c r="C4648" t="s">
        <v>24217</v>
      </c>
      <c r="D4648" t="s">
        <v>22</v>
      </c>
      <c r="E4648" t="s">
        <v>13243</v>
      </c>
      <c r="F4648">
        <v>44</v>
      </c>
      <c r="G4648" t="s">
        <v>109</v>
      </c>
      <c r="H4648" t="s">
        <v>9788</v>
      </c>
    </row>
    <row r="4649" spans="1:10" x14ac:dyDescent="0.3">
      <c r="A4649" t="s">
        <v>13244</v>
      </c>
      <c r="B4649" t="s">
        <v>28868</v>
      </c>
      <c r="C4649" t="s">
        <v>24217</v>
      </c>
      <c r="D4649" t="s">
        <v>22</v>
      </c>
      <c r="E4649" t="s">
        <v>890</v>
      </c>
      <c r="F4649">
        <v>44</v>
      </c>
      <c r="G4649" t="s">
        <v>109</v>
      </c>
      <c r="H4649" t="s">
        <v>9788</v>
      </c>
    </row>
    <row r="4650" spans="1:10" x14ac:dyDescent="0.3">
      <c r="A4650" t="s">
        <v>13245</v>
      </c>
      <c r="B4650" t="s">
        <v>28869</v>
      </c>
      <c r="C4650" t="s">
        <v>24217</v>
      </c>
      <c r="D4650" t="s">
        <v>22</v>
      </c>
      <c r="E4650" t="s">
        <v>6435</v>
      </c>
      <c r="F4650">
        <v>41</v>
      </c>
      <c r="G4650" t="s">
        <v>109</v>
      </c>
      <c r="H4650" t="s">
        <v>9788</v>
      </c>
    </row>
    <row r="4651" spans="1:10" x14ac:dyDescent="0.3">
      <c r="A4651" t="s">
        <v>13246</v>
      </c>
      <c r="B4651" t="s">
        <v>28870</v>
      </c>
      <c r="C4651" t="s">
        <v>24217</v>
      </c>
      <c r="D4651" t="s">
        <v>22</v>
      </c>
      <c r="E4651" t="s">
        <v>13247</v>
      </c>
      <c r="F4651" t="e">
        <v>#VALUE!</v>
      </c>
    </row>
    <row r="4652" spans="1:10" x14ac:dyDescent="0.3">
      <c r="A4652" t="s">
        <v>13248</v>
      </c>
      <c r="B4652" t="s">
        <v>28871</v>
      </c>
      <c r="C4652" t="s">
        <v>24217</v>
      </c>
      <c r="D4652" t="s">
        <v>22</v>
      </c>
      <c r="E4652" t="s">
        <v>13247</v>
      </c>
      <c r="F4652" t="e">
        <v>#VALUE!</v>
      </c>
    </row>
    <row r="4653" spans="1:10" x14ac:dyDescent="0.3">
      <c r="A4653" t="s">
        <v>13249</v>
      </c>
      <c r="B4653" t="s">
        <v>28872</v>
      </c>
      <c r="C4653" t="s">
        <v>24217</v>
      </c>
      <c r="D4653" t="s">
        <v>22</v>
      </c>
      <c r="E4653" t="s">
        <v>13250</v>
      </c>
      <c r="F4653">
        <v>44</v>
      </c>
      <c r="G4653" t="s">
        <v>109</v>
      </c>
      <c r="H4653" t="s">
        <v>9788</v>
      </c>
    </row>
    <row r="4654" spans="1:10" x14ac:dyDescent="0.3">
      <c r="A4654" t="s">
        <v>13251</v>
      </c>
      <c r="B4654" t="s">
        <v>28873</v>
      </c>
      <c r="C4654" t="s">
        <v>24217</v>
      </c>
      <c r="D4654" t="s">
        <v>22</v>
      </c>
      <c r="E4654" t="s">
        <v>13252</v>
      </c>
      <c r="F4654">
        <v>43</v>
      </c>
      <c r="G4654" t="s">
        <v>109</v>
      </c>
      <c r="H4654" t="s">
        <v>9788</v>
      </c>
    </row>
    <row r="4655" spans="1:10" x14ac:dyDescent="0.3">
      <c r="A4655" t="s">
        <v>13253</v>
      </c>
      <c r="B4655" t="s">
        <v>28874</v>
      </c>
      <c r="C4655" t="s">
        <v>24217</v>
      </c>
      <c r="D4655" t="s">
        <v>22</v>
      </c>
      <c r="E4655" t="s">
        <v>1630</v>
      </c>
      <c r="F4655">
        <v>44</v>
      </c>
      <c r="G4655" t="s">
        <v>172</v>
      </c>
      <c r="H4655" t="s">
        <v>12099</v>
      </c>
    </row>
    <row r="4656" spans="1:10" x14ac:dyDescent="0.3">
      <c r="A4656" t="s">
        <v>13254</v>
      </c>
      <c r="B4656" t="s">
        <v>28875</v>
      </c>
      <c r="C4656" t="s">
        <v>24217</v>
      </c>
      <c r="D4656" t="s">
        <v>22</v>
      </c>
      <c r="E4656" t="s">
        <v>6544</v>
      </c>
      <c r="F4656">
        <v>43</v>
      </c>
      <c r="G4656" t="s">
        <v>109</v>
      </c>
      <c r="H4656" t="s">
        <v>9788</v>
      </c>
    </row>
    <row r="4657" spans="1:8" x14ac:dyDescent="0.3">
      <c r="A4657" t="s">
        <v>13255</v>
      </c>
      <c r="B4657" t="s">
        <v>28876</v>
      </c>
      <c r="C4657" t="s">
        <v>24217</v>
      </c>
      <c r="D4657" t="s">
        <v>22</v>
      </c>
      <c r="E4657" t="s">
        <v>13247</v>
      </c>
      <c r="F4657" t="e">
        <v>#VALUE!</v>
      </c>
      <c r="G4657" t="s">
        <v>2870</v>
      </c>
      <c r="H4657" t="s">
        <v>9788</v>
      </c>
    </row>
    <row r="4658" spans="1:8" x14ac:dyDescent="0.3">
      <c r="A4658" t="s">
        <v>13256</v>
      </c>
      <c r="B4658" t="s">
        <v>28877</v>
      </c>
      <c r="C4658" t="s">
        <v>24217</v>
      </c>
      <c r="D4658" t="s">
        <v>22</v>
      </c>
      <c r="E4658" t="s">
        <v>13247</v>
      </c>
      <c r="F4658" t="e">
        <v>#VALUE!</v>
      </c>
    </row>
    <row r="4659" spans="1:8" x14ac:dyDescent="0.3">
      <c r="A4659" t="s">
        <v>13257</v>
      </c>
      <c r="B4659" t="s">
        <v>28878</v>
      </c>
      <c r="C4659" t="s">
        <v>24217</v>
      </c>
      <c r="D4659" t="s">
        <v>22</v>
      </c>
      <c r="E4659" t="s">
        <v>13258</v>
      </c>
      <c r="F4659">
        <v>39</v>
      </c>
      <c r="G4659" t="s">
        <v>31</v>
      </c>
      <c r="H4659" t="s">
        <v>31</v>
      </c>
    </row>
    <row r="4660" spans="1:8" x14ac:dyDescent="0.3">
      <c r="A4660" t="s">
        <v>13259</v>
      </c>
      <c r="B4660" t="s">
        <v>28879</v>
      </c>
      <c r="C4660" t="s">
        <v>24217</v>
      </c>
      <c r="D4660" t="s">
        <v>22</v>
      </c>
      <c r="E4660" t="s">
        <v>2826</v>
      </c>
      <c r="F4660">
        <v>40</v>
      </c>
      <c r="G4660" t="s">
        <v>31</v>
      </c>
      <c r="H4660" t="s">
        <v>31</v>
      </c>
    </row>
    <row r="4661" spans="1:8" x14ac:dyDescent="0.3">
      <c r="A4661" t="s">
        <v>13260</v>
      </c>
      <c r="B4661" t="s">
        <v>28880</v>
      </c>
      <c r="C4661" t="s">
        <v>24217</v>
      </c>
      <c r="D4661" t="s">
        <v>22</v>
      </c>
      <c r="E4661" t="s">
        <v>13247</v>
      </c>
      <c r="F4661" t="e">
        <v>#VALUE!</v>
      </c>
    </row>
    <row r="4662" spans="1:8" x14ac:dyDescent="0.3">
      <c r="A4662" t="s">
        <v>13261</v>
      </c>
      <c r="B4662" t="s">
        <v>28881</v>
      </c>
      <c r="C4662" t="s">
        <v>24217</v>
      </c>
      <c r="D4662" t="s">
        <v>22</v>
      </c>
      <c r="E4662" t="s">
        <v>13262</v>
      </c>
      <c r="F4662">
        <v>58</v>
      </c>
      <c r="G4662" t="s">
        <v>31</v>
      </c>
      <c r="H4662" t="s">
        <v>31</v>
      </c>
    </row>
    <row r="4663" spans="1:8" x14ac:dyDescent="0.3">
      <c r="A4663" t="s">
        <v>13263</v>
      </c>
      <c r="B4663" t="s">
        <v>28882</v>
      </c>
      <c r="C4663" t="s">
        <v>24217</v>
      </c>
      <c r="D4663" t="s">
        <v>22</v>
      </c>
      <c r="E4663" t="s">
        <v>7139</v>
      </c>
      <c r="F4663">
        <v>42</v>
      </c>
      <c r="G4663" t="s">
        <v>109</v>
      </c>
      <c r="H4663" t="s">
        <v>9788</v>
      </c>
    </row>
    <row r="4664" spans="1:8" x14ac:dyDescent="0.3">
      <c r="A4664" t="s">
        <v>13264</v>
      </c>
      <c r="B4664" t="s">
        <v>28883</v>
      </c>
      <c r="C4664" t="s">
        <v>24217</v>
      </c>
      <c r="D4664" t="s">
        <v>11</v>
      </c>
      <c r="E4664" t="s">
        <v>2526</v>
      </c>
      <c r="F4664">
        <v>39</v>
      </c>
      <c r="G4664" t="s">
        <v>172</v>
      </c>
      <c r="H4664" t="s">
        <v>12099</v>
      </c>
    </row>
    <row r="4665" spans="1:8" x14ac:dyDescent="0.3">
      <c r="A4665" t="s">
        <v>13265</v>
      </c>
      <c r="B4665" t="s">
        <v>28884</v>
      </c>
      <c r="C4665" t="s">
        <v>24217</v>
      </c>
      <c r="D4665" t="s">
        <v>22</v>
      </c>
      <c r="E4665" t="s">
        <v>3968</v>
      </c>
      <c r="F4665">
        <v>48</v>
      </c>
      <c r="G4665" t="s">
        <v>109</v>
      </c>
      <c r="H4665" t="s">
        <v>9788</v>
      </c>
    </row>
    <row r="4666" spans="1:8" x14ac:dyDescent="0.3">
      <c r="A4666" t="s">
        <v>13266</v>
      </c>
      <c r="B4666" t="s">
        <v>28885</v>
      </c>
      <c r="C4666" t="s">
        <v>24217</v>
      </c>
      <c r="D4666" t="s">
        <v>22</v>
      </c>
      <c r="E4666" t="s">
        <v>3462</v>
      </c>
      <c r="F4666">
        <v>41</v>
      </c>
      <c r="G4666" t="s">
        <v>109</v>
      </c>
      <c r="H4666" t="s">
        <v>9788</v>
      </c>
    </row>
    <row r="4667" spans="1:8" x14ac:dyDescent="0.3">
      <c r="A4667" t="s">
        <v>13267</v>
      </c>
      <c r="B4667" t="s">
        <v>28886</v>
      </c>
      <c r="C4667" t="s">
        <v>24217</v>
      </c>
      <c r="D4667" t="s">
        <v>22</v>
      </c>
      <c r="E4667" t="s">
        <v>1630</v>
      </c>
      <c r="F4667">
        <v>44</v>
      </c>
      <c r="G4667" t="s">
        <v>31</v>
      </c>
      <c r="H4667" t="s">
        <v>31</v>
      </c>
    </row>
    <row r="4668" spans="1:8" x14ac:dyDescent="0.3">
      <c r="A4668" t="s">
        <v>13268</v>
      </c>
      <c r="B4668" t="s">
        <v>28887</v>
      </c>
      <c r="C4668" t="s">
        <v>24217</v>
      </c>
      <c r="D4668" t="s">
        <v>22</v>
      </c>
      <c r="E4668" t="s">
        <v>3807</v>
      </c>
      <c r="F4668">
        <v>42</v>
      </c>
      <c r="G4668" t="s">
        <v>31</v>
      </c>
      <c r="H4668" t="s">
        <v>31</v>
      </c>
    </row>
    <row r="4669" spans="1:8" x14ac:dyDescent="0.3">
      <c r="A4669" t="s">
        <v>13269</v>
      </c>
      <c r="B4669" t="s">
        <v>28888</v>
      </c>
      <c r="C4669" t="s">
        <v>24217</v>
      </c>
      <c r="D4669" t="s">
        <v>22</v>
      </c>
      <c r="E4669" t="s">
        <v>13270</v>
      </c>
      <c r="F4669">
        <v>44</v>
      </c>
      <c r="G4669" t="s">
        <v>46</v>
      </c>
      <c r="H4669" t="s">
        <v>46</v>
      </c>
    </row>
    <row r="4670" spans="1:8" x14ac:dyDescent="0.3">
      <c r="A4670" t="s">
        <v>13271</v>
      </c>
      <c r="B4670" t="s">
        <v>28889</v>
      </c>
      <c r="C4670" t="s">
        <v>24217</v>
      </c>
      <c r="D4670" t="s">
        <v>22</v>
      </c>
      <c r="E4670" t="s">
        <v>13272</v>
      </c>
      <c r="F4670">
        <v>53</v>
      </c>
      <c r="G4670" t="s">
        <v>109</v>
      </c>
      <c r="H4670" t="s">
        <v>9788</v>
      </c>
    </row>
    <row r="4671" spans="1:8" x14ac:dyDescent="0.3">
      <c r="A4671" t="s">
        <v>13273</v>
      </c>
      <c r="B4671" t="s">
        <v>28890</v>
      </c>
      <c r="C4671" t="s">
        <v>24217</v>
      </c>
      <c r="D4671" t="s">
        <v>22</v>
      </c>
      <c r="E4671" t="s">
        <v>2085</v>
      </c>
      <c r="F4671">
        <v>42</v>
      </c>
      <c r="G4671" t="s">
        <v>109</v>
      </c>
      <c r="H4671" t="s">
        <v>9788</v>
      </c>
    </row>
    <row r="4672" spans="1:8" x14ac:dyDescent="0.3">
      <c r="A4672" t="s">
        <v>13274</v>
      </c>
      <c r="B4672" t="s">
        <v>28891</v>
      </c>
      <c r="C4672" t="s">
        <v>24217</v>
      </c>
      <c r="D4672" t="s">
        <v>22</v>
      </c>
      <c r="E4672" t="s">
        <v>13275</v>
      </c>
      <c r="F4672">
        <v>45</v>
      </c>
      <c r="G4672" t="s">
        <v>109</v>
      </c>
      <c r="H4672" t="s">
        <v>9788</v>
      </c>
    </row>
    <row r="4673" spans="1:8" x14ac:dyDescent="0.3">
      <c r="A4673" t="s">
        <v>13276</v>
      </c>
      <c r="B4673" t="s">
        <v>28892</v>
      </c>
      <c r="C4673" t="s">
        <v>24217</v>
      </c>
      <c r="D4673" t="s">
        <v>22</v>
      </c>
      <c r="E4673" t="s">
        <v>13247</v>
      </c>
      <c r="F4673" t="e">
        <v>#VALUE!</v>
      </c>
    </row>
    <row r="4674" spans="1:8" x14ac:dyDescent="0.3">
      <c r="A4674" t="s">
        <v>13277</v>
      </c>
      <c r="B4674" t="s">
        <v>28893</v>
      </c>
      <c r="C4674" t="s">
        <v>24217</v>
      </c>
      <c r="D4674" t="s">
        <v>11</v>
      </c>
      <c r="E4674" t="s">
        <v>13278</v>
      </c>
      <c r="F4674">
        <v>49</v>
      </c>
      <c r="G4674" t="s">
        <v>109</v>
      </c>
      <c r="H4674" t="s">
        <v>9788</v>
      </c>
    </row>
    <row r="4675" spans="1:8" x14ac:dyDescent="0.3">
      <c r="A4675" t="s">
        <v>13279</v>
      </c>
      <c r="B4675" t="s">
        <v>28894</v>
      </c>
      <c r="C4675" t="s">
        <v>24217</v>
      </c>
      <c r="D4675" t="s">
        <v>22</v>
      </c>
      <c r="E4675" t="s">
        <v>3204</v>
      </c>
      <c r="F4675">
        <v>54</v>
      </c>
      <c r="G4675" t="s">
        <v>31</v>
      </c>
      <c r="H4675" t="s">
        <v>31</v>
      </c>
    </row>
    <row r="4676" spans="1:8" x14ac:dyDescent="0.3">
      <c r="A4676" t="s">
        <v>13280</v>
      </c>
      <c r="B4676" t="s">
        <v>28895</v>
      </c>
      <c r="C4676" t="s">
        <v>24217</v>
      </c>
      <c r="D4676" t="s">
        <v>22</v>
      </c>
      <c r="E4676" t="s">
        <v>13281</v>
      </c>
      <c r="F4676">
        <v>41</v>
      </c>
      <c r="G4676" t="s">
        <v>31</v>
      </c>
      <c r="H4676" t="s">
        <v>31</v>
      </c>
    </row>
    <row r="4677" spans="1:8" x14ac:dyDescent="0.3">
      <c r="A4677" t="s">
        <v>13282</v>
      </c>
      <c r="B4677" t="s">
        <v>28896</v>
      </c>
      <c r="C4677" t="s">
        <v>24217</v>
      </c>
      <c r="D4677" t="s">
        <v>22</v>
      </c>
      <c r="E4677" t="s">
        <v>13283</v>
      </c>
      <c r="F4677">
        <v>49</v>
      </c>
      <c r="G4677" t="s">
        <v>109</v>
      </c>
      <c r="H4677" t="s">
        <v>9788</v>
      </c>
    </row>
    <row r="4678" spans="1:8" x14ac:dyDescent="0.3">
      <c r="A4678" t="s">
        <v>13284</v>
      </c>
      <c r="B4678" t="s">
        <v>28897</v>
      </c>
      <c r="C4678" t="s">
        <v>24217</v>
      </c>
      <c r="D4678" t="s">
        <v>22</v>
      </c>
      <c r="E4678" t="s">
        <v>13285</v>
      </c>
      <c r="F4678">
        <v>39</v>
      </c>
      <c r="G4678" t="s">
        <v>31</v>
      </c>
      <c r="H4678" t="s">
        <v>31</v>
      </c>
    </row>
    <row r="4679" spans="1:8" x14ac:dyDescent="0.3">
      <c r="A4679" t="s">
        <v>13286</v>
      </c>
      <c r="B4679" t="s">
        <v>28898</v>
      </c>
      <c r="C4679" t="s">
        <v>24217</v>
      </c>
      <c r="D4679" t="s">
        <v>22</v>
      </c>
      <c r="E4679" t="s">
        <v>3266</v>
      </c>
      <c r="F4679">
        <v>42</v>
      </c>
      <c r="G4679" t="s">
        <v>31</v>
      </c>
      <c r="H4679" t="s">
        <v>31</v>
      </c>
    </row>
    <row r="4680" spans="1:8" x14ac:dyDescent="0.3">
      <c r="A4680" t="s">
        <v>13287</v>
      </c>
      <c r="B4680" t="s">
        <v>28899</v>
      </c>
      <c r="C4680" t="s">
        <v>24217</v>
      </c>
      <c r="D4680" t="s">
        <v>22</v>
      </c>
      <c r="E4680" t="s">
        <v>13247</v>
      </c>
      <c r="F4680" t="e">
        <v>#VALUE!</v>
      </c>
    </row>
    <row r="4681" spans="1:8" x14ac:dyDescent="0.3">
      <c r="A4681" t="s">
        <v>13288</v>
      </c>
      <c r="B4681" t="s">
        <v>28900</v>
      </c>
      <c r="C4681" t="s">
        <v>24217</v>
      </c>
      <c r="D4681" t="s">
        <v>22</v>
      </c>
      <c r="E4681" t="s">
        <v>13289</v>
      </c>
      <c r="F4681">
        <v>41</v>
      </c>
      <c r="G4681" t="s">
        <v>31</v>
      </c>
      <c r="H4681" t="s">
        <v>31</v>
      </c>
    </row>
    <row r="4682" spans="1:8" x14ac:dyDescent="0.3">
      <c r="A4682" t="s">
        <v>13290</v>
      </c>
      <c r="B4682" t="s">
        <v>28901</v>
      </c>
      <c r="C4682" t="s">
        <v>24217</v>
      </c>
      <c r="D4682" t="s">
        <v>22</v>
      </c>
      <c r="E4682" t="s">
        <v>13291</v>
      </c>
      <c r="F4682">
        <v>44</v>
      </c>
      <c r="G4682" t="s">
        <v>109</v>
      </c>
      <c r="H4682" t="s">
        <v>9788</v>
      </c>
    </row>
    <row r="4683" spans="1:8" x14ac:dyDescent="0.3">
      <c r="A4683" t="s">
        <v>13292</v>
      </c>
      <c r="B4683" t="s">
        <v>28902</v>
      </c>
      <c r="C4683" t="s">
        <v>24217</v>
      </c>
      <c r="D4683" t="s">
        <v>22</v>
      </c>
      <c r="E4683" t="s">
        <v>13293</v>
      </c>
      <c r="F4683">
        <v>40</v>
      </c>
      <c r="G4683" t="s">
        <v>109</v>
      </c>
      <c r="H4683" t="s">
        <v>9788</v>
      </c>
    </row>
    <row r="4684" spans="1:8" x14ac:dyDescent="0.3">
      <c r="A4684" t="s">
        <v>13294</v>
      </c>
      <c r="B4684" t="s">
        <v>28903</v>
      </c>
      <c r="C4684" t="s">
        <v>24217</v>
      </c>
      <c r="D4684" t="s">
        <v>22</v>
      </c>
      <c r="E4684" t="s">
        <v>13295</v>
      </c>
      <c r="F4684">
        <v>44</v>
      </c>
      <c r="G4684" t="s">
        <v>46</v>
      </c>
      <c r="H4684" t="s">
        <v>46</v>
      </c>
    </row>
    <row r="4685" spans="1:8" x14ac:dyDescent="0.3">
      <c r="A4685" t="s">
        <v>13296</v>
      </c>
      <c r="B4685" t="s">
        <v>28904</v>
      </c>
      <c r="C4685" t="s">
        <v>24217</v>
      </c>
      <c r="D4685" t="s">
        <v>22</v>
      </c>
      <c r="E4685" t="s">
        <v>13247</v>
      </c>
      <c r="F4685" t="e">
        <v>#VALUE!</v>
      </c>
    </row>
    <row r="4686" spans="1:8" x14ac:dyDescent="0.3">
      <c r="A4686" t="s">
        <v>13297</v>
      </c>
      <c r="B4686" t="s">
        <v>28905</v>
      </c>
      <c r="C4686" t="s">
        <v>24217</v>
      </c>
      <c r="D4686" t="s">
        <v>22</v>
      </c>
      <c r="E4686" t="s">
        <v>8662</v>
      </c>
      <c r="F4686">
        <v>36</v>
      </c>
      <c r="G4686" t="s">
        <v>31</v>
      </c>
      <c r="H4686" t="s">
        <v>31</v>
      </c>
    </row>
    <row r="4687" spans="1:8" x14ac:dyDescent="0.3">
      <c r="A4687" t="s">
        <v>13298</v>
      </c>
      <c r="B4687" t="s">
        <v>28906</v>
      </c>
      <c r="C4687" t="s">
        <v>24217</v>
      </c>
      <c r="D4687" t="s">
        <v>22</v>
      </c>
      <c r="E4687" t="s">
        <v>13299</v>
      </c>
      <c r="F4687">
        <v>44</v>
      </c>
      <c r="G4687" t="s">
        <v>31</v>
      </c>
      <c r="H4687" t="s">
        <v>31</v>
      </c>
    </row>
    <row r="4688" spans="1:8" x14ac:dyDescent="0.3">
      <c r="A4688" t="s">
        <v>13300</v>
      </c>
      <c r="B4688" t="s">
        <v>28907</v>
      </c>
      <c r="C4688" t="s">
        <v>24217</v>
      </c>
      <c r="D4688" t="s">
        <v>22</v>
      </c>
      <c r="E4688" t="s">
        <v>13247</v>
      </c>
      <c r="F4688" t="e">
        <v>#VALUE!</v>
      </c>
    </row>
    <row r="4689" spans="1:8" x14ac:dyDescent="0.3">
      <c r="A4689" t="s">
        <v>13301</v>
      </c>
      <c r="B4689" t="s">
        <v>28908</v>
      </c>
      <c r="C4689" t="s">
        <v>24217</v>
      </c>
      <c r="D4689" t="s">
        <v>22</v>
      </c>
      <c r="E4689" t="s">
        <v>13302</v>
      </c>
      <c r="F4689">
        <v>35</v>
      </c>
      <c r="G4689" t="s">
        <v>31</v>
      </c>
      <c r="H4689" t="s">
        <v>31</v>
      </c>
    </row>
    <row r="4690" spans="1:8" x14ac:dyDescent="0.3">
      <c r="A4690" t="s">
        <v>13303</v>
      </c>
      <c r="B4690" t="s">
        <v>28909</v>
      </c>
      <c r="C4690" t="s">
        <v>24217</v>
      </c>
      <c r="D4690" t="s">
        <v>22</v>
      </c>
      <c r="E4690" t="s">
        <v>13304</v>
      </c>
      <c r="F4690">
        <v>40</v>
      </c>
      <c r="G4690" t="s">
        <v>31</v>
      </c>
      <c r="H4690" t="s">
        <v>31</v>
      </c>
    </row>
    <row r="4691" spans="1:8" x14ac:dyDescent="0.3">
      <c r="A4691" t="s">
        <v>13305</v>
      </c>
      <c r="B4691" t="s">
        <v>28910</v>
      </c>
      <c r="C4691" t="s">
        <v>24217</v>
      </c>
      <c r="D4691" t="s">
        <v>22</v>
      </c>
      <c r="E4691" t="s">
        <v>13306</v>
      </c>
      <c r="F4691">
        <v>46</v>
      </c>
      <c r="G4691" t="s">
        <v>109</v>
      </c>
      <c r="H4691" t="s">
        <v>9788</v>
      </c>
    </row>
    <row r="4692" spans="1:8" x14ac:dyDescent="0.3">
      <c r="A4692" t="s">
        <v>13307</v>
      </c>
      <c r="B4692" t="s">
        <v>28911</v>
      </c>
      <c r="C4692" t="s">
        <v>24217</v>
      </c>
      <c r="D4692" t="s">
        <v>22</v>
      </c>
      <c r="E4692" t="s">
        <v>13247</v>
      </c>
      <c r="F4692" t="e">
        <v>#VALUE!</v>
      </c>
    </row>
    <row r="4693" spans="1:8" x14ac:dyDescent="0.3">
      <c r="A4693" t="s">
        <v>13308</v>
      </c>
      <c r="B4693" t="s">
        <v>28912</v>
      </c>
      <c r="C4693" t="s">
        <v>24217</v>
      </c>
      <c r="D4693" t="s">
        <v>11</v>
      </c>
      <c r="E4693" t="s">
        <v>13309</v>
      </c>
      <c r="F4693">
        <v>49</v>
      </c>
      <c r="G4693" t="s">
        <v>172</v>
      </c>
      <c r="H4693" t="s">
        <v>12099</v>
      </c>
    </row>
    <row r="4694" spans="1:8" x14ac:dyDescent="0.3">
      <c r="A4694" t="s">
        <v>13310</v>
      </c>
      <c r="B4694" t="s">
        <v>28913</v>
      </c>
      <c r="C4694" t="s">
        <v>24217</v>
      </c>
      <c r="D4694" t="s">
        <v>22</v>
      </c>
      <c r="E4694" t="s">
        <v>13311</v>
      </c>
      <c r="F4694">
        <v>47</v>
      </c>
      <c r="G4694" t="s">
        <v>109</v>
      </c>
      <c r="H4694" t="s">
        <v>9788</v>
      </c>
    </row>
    <row r="4695" spans="1:8" x14ac:dyDescent="0.3">
      <c r="A4695" t="s">
        <v>13312</v>
      </c>
      <c r="B4695" t="s">
        <v>28914</v>
      </c>
      <c r="C4695" t="s">
        <v>24217</v>
      </c>
      <c r="D4695" t="s">
        <v>22</v>
      </c>
      <c r="E4695" t="s">
        <v>13313</v>
      </c>
      <c r="F4695">
        <v>39</v>
      </c>
      <c r="G4695" t="s">
        <v>31</v>
      </c>
      <c r="H4695" t="s">
        <v>31</v>
      </c>
    </row>
    <row r="4696" spans="1:8" x14ac:dyDescent="0.3">
      <c r="A4696" t="s">
        <v>13314</v>
      </c>
      <c r="B4696" t="s">
        <v>28915</v>
      </c>
      <c r="C4696" t="s">
        <v>24217</v>
      </c>
      <c r="D4696" t="s">
        <v>22</v>
      </c>
      <c r="E4696" t="s">
        <v>13315</v>
      </c>
      <c r="F4696">
        <v>43</v>
      </c>
      <c r="G4696" t="s">
        <v>31</v>
      </c>
      <c r="H4696" t="s">
        <v>31</v>
      </c>
    </row>
    <row r="4697" spans="1:8" x14ac:dyDescent="0.3">
      <c r="A4697" t="s">
        <v>13316</v>
      </c>
      <c r="B4697" t="s">
        <v>28916</v>
      </c>
      <c r="C4697" t="s">
        <v>24217</v>
      </c>
      <c r="D4697" t="s">
        <v>22</v>
      </c>
      <c r="E4697" t="s">
        <v>13317</v>
      </c>
      <c r="F4697">
        <v>44</v>
      </c>
      <c r="G4697" t="s">
        <v>16</v>
      </c>
      <c r="H4697" t="s">
        <v>9785</v>
      </c>
    </row>
    <row r="4698" spans="1:8" x14ac:dyDescent="0.3">
      <c r="A4698" t="s">
        <v>13318</v>
      </c>
      <c r="B4698" t="s">
        <v>28917</v>
      </c>
      <c r="C4698" t="s">
        <v>24217</v>
      </c>
      <c r="D4698" t="s">
        <v>22</v>
      </c>
      <c r="E4698" t="s">
        <v>13247</v>
      </c>
      <c r="F4698" t="e">
        <v>#VALUE!</v>
      </c>
    </row>
    <row r="4699" spans="1:8" x14ac:dyDescent="0.3">
      <c r="A4699" t="s">
        <v>13319</v>
      </c>
      <c r="B4699" t="s">
        <v>28918</v>
      </c>
      <c r="C4699" t="s">
        <v>24217</v>
      </c>
      <c r="D4699" t="s">
        <v>11</v>
      </c>
      <c r="E4699" t="s">
        <v>13320</v>
      </c>
      <c r="F4699">
        <v>53</v>
      </c>
      <c r="G4699" t="s">
        <v>109</v>
      </c>
      <c r="H4699" t="s">
        <v>9788</v>
      </c>
    </row>
    <row r="4700" spans="1:8" x14ac:dyDescent="0.3">
      <c r="A4700" t="s">
        <v>13321</v>
      </c>
      <c r="B4700" t="s">
        <v>28919</v>
      </c>
      <c r="C4700" t="s">
        <v>24217</v>
      </c>
      <c r="D4700" t="s">
        <v>22</v>
      </c>
      <c r="E4700" t="s">
        <v>3153</v>
      </c>
      <c r="F4700">
        <v>39</v>
      </c>
      <c r="G4700" t="s">
        <v>31</v>
      </c>
      <c r="H4700" t="s">
        <v>31</v>
      </c>
    </row>
    <row r="4701" spans="1:8" x14ac:dyDescent="0.3">
      <c r="A4701" t="s">
        <v>13322</v>
      </c>
      <c r="B4701" t="s">
        <v>28920</v>
      </c>
      <c r="C4701" t="s">
        <v>24217</v>
      </c>
      <c r="D4701" t="s">
        <v>22</v>
      </c>
      <c r="E4701" t="s">
        <v>13247</v>
      </c>
      <c r="F4701" t="e">
        <v>#VALUE!</v>
      </c>
    </row>
    <row r="4702" spans="1:8" x14ac:dyDescent="0.3">
      <c r="A4702" t="s">
        <v>13323</v>
      </c>
      <c r="B4702" t="s">
        <v>28921</v>
      </c>
      <c r="C4702" t="s">
        <v>24217</v>
      </c>
      <c r="D4702" t="s">
        <v>22</v>
      </c>
      <c r="E4702" t="s">
        <v>13324</v>
      </c>
      <c r="F4702">
        <v>46</v>
      </c>
      <c r="G4702" t="s">
        <v>109</v>
      </c>
      <c r="H4702" t="s">
        <v>9788</v>
      </c>
    </row>
    <row r="4703" spans="1:8" x14ac:dyDescent="0.3">
      <c r="A4703" t="s">
        <v>13325</v>
      </c>
      <c r="B4703" t="s">
        <v>28922</v>
      </c>
      <c r="C4703" t="s">
        <v>24217</v>
      </c>
      <c r="D4703" t="s">
        <v>22</v>
      </c>
      <c r="E4703" t="s">
        <v>13326</v>
      </c>
      <c r="F4703">
        <v>46</v>
      </c>
      <c r="G4703" t="s">
        <v>109</v>
      </c>
      <c r="H4703" t="s">
        <v>9788</v>
      </c>
    </row>
    <row r="4704" spans="1:8" x14ac:dyDescent="0.3">
      <c r="A4704" t="s">
        <v>13327</v>
      </c>
      <c r="B4704" t="s">
        <v>28923</v>
      </c>
      <c r="C4704" t="s">
        <v>24217</v>
      </c>
      <c r="D4704" t="s">
        <v>22</v>
      </c>
      <c r="E4704" t="s">
        <v>13328</v>
      </c>
      <c r="F4704">
        <v>38</v>
      </c>
      <c r="G4704" t="s">
        <v>31</v>
      </c>
      <c r="H4704" t="s">
        <v>31</v>
      </c>
    </row>
    <row r="4705" spans="1:8" x14ac:dyDescent="0.3">
      <c r="A4705" t="s">
        <v>13329</v>
      </c>
      <c r="B4705" t="s">
        <v>28924</v>
      </c>
      <c r="C4705" t="s">
        <v>24217</v>
      </c>
      <c r="D4705" t="s">
        <v>22</v>
      </c>
      <c r="E4705" t="s">
        <v>13330</v>
      </c>
      <c r="F4705">
        <v>38</v>
      </c>
      <c r="G4705" t="s">
        <v>31</v>
      </c>
      <c r="H4705" t="s">
        <v>31</v>
      </c>
    </row>
    <row r="4706" spans="1:8" x14ac:dyDescent="0.3">
      <c r="A4706" t="s">
        <v>13331</v>
      </c>
      <c r="B4706" t="s">
        <v>28925</v>
      </c>
      <c r="C4706" t="s">
        <v>24217</v>
      </c>
      <c r="D4706" t="s">
        <v>22</v>
      </c>
      <c r="E4706" t="s">
        <v>13332</v>
      </c>
      <c r="F4706">
        <v>50</v>
      </c>
      <c r="G4706" t="s">
        <v>109</v>
      </c>
      <c r="H4706" t="s">
        <v>9788</v>
      </c>
    </row>
    <row r="4707" spans="1:8" x14ac:dyDescent="0.3">
      <c r="A4707" t="s">
        <v>13333</v>
      </c>
      <c r="B4707" t="s">
        <v>28926</v>
      </c>
      <c r="C4707" t="s">
        <v>24217</v>
      </c>
      <c r="D4707" t="s">
        <v>22</v>
      </c>
      <c r="E4707" t="s">
        <v>13334</v>
      </c>
      <c r="F4707">
        <v>43</v>
      </c>
      <c r="G4707" t="s">
        <v>109</v>
      </c>
      <c r="H4707" t="s">
        <v>9788</v>
      </c>
    </row>
    <row r="4708" spans="1:8" x14ac:dyDescent="0.3">
      <c r="A4708" t="s">
        <v>13335</v>
      </c>
      <c r="B4708" t="s">
        <v>28927</v>
      </c>
      <c r="C4708" t="s">
        <v>24217</v>
      </c>
      <c r="D4708" t="s">
        <v>22</v>
      </c>
      <c r="E4708" t="s">
        <v>13336</v>
      </c>
      <c r="F4708">
        <v>42</v>
      </c>
      <c r="G4708" t="s">
        <v>31</v>
      </c>
      <c r="H4708" t="s">
        <v>31</v>
      </c>
    </row>
    <row r="4709" spans="1:8" x14ac:dyDescent="0.3">
      <c r="A4709" t="s">
        <v>13337</v>
      </c>
      <c r="B4709" t="s">
        <v>28928</v>
      </c>
      <c r="C4709" t="s">
        <v>24217</v>
      </c>
      <c r="D4709" t="s">
        <v>22</v>
      </c>
      <c r="E4709" t="s">
        <v>13338</v>
      </c>
      <c r="F4709">
        <v>50</v>
      </c>
      <c r="G4709" t="s">
        <v>109</v>
      </c>
      <c r="H4709" t="s">
        <v>9788</v>
      </c>
    </row>
    <row r="4710" spans="1:8" x14ac:dyDescent="0.3">
      <c r="A4710" t="s">
        <v>13339</v>
      </c>
      <c r="B4710" t="s">
        <v>28929</v>
      </c>
      <c r="C4710" t="s">
        <v>24217</v>
      </c>
      <c r="D4710" t="s">
        <v>22</v>
      </c>
      <c r="E4710" t="s">
        <v>13340</v>
      </c>
      <c r="F4710">
        <v>41</v>
      </c>
      <c r="G4710" t="s">
        <v>109</v>
      </c>
      <c r="H4710" t="s">
        <v>9788</v>
      </c>
    </row>
    <row r="4711" spans="1:8" x14ac:dyDescent="0.3">
      <c r="A4711" t="s">
        <v>13341</v>
      </c>
      <c r="B4711" t="s">
        <v>28930</v>
      </c>
      <c r="C4711" t="s">
        <v>24217</v>
      </c>
      <c r="D4711" t="s">
        <v>11</v>
      </c>
      <c r="E4711" t="s">
        <v>7749</v>
      </c>
      <c r="F4711">
        <v>48</v>
      </c>
      <c r="G4711" t="s">
        <v>109</v>
      </c>
      <c r="H4711" t="s">
        <v>9788</v>
      </c>
    </row>
    <row r="4712" spans="1:8" x14ac:dyDescent="0.3">
      <c r="A4712" t="s">
        <v>13342</v>
      </c>
      <c r="B4712" t="s">
        <v>28931</v>
      </c>
      <c r="C4712" t="s">
        <v>24217</v>
      </c>
      <c r="D4712" t="s">
        <v>22</v>
      </c>
      <c r="E4712" t="s">
        <v>13343</v>
      </c>
      <c r="F4712">
        <v>39</v>
      </c>
      <c r="G4712" t="s">
        <v>31</v>
      </c>
      <c r="H4712" t="s">
        <v>31</v>
      </c>
    </row>
    <row r="4713" spans="1:8" x14ac:dyDescent="0.3">
      <c r="A4713" t="s">
        <v>13344</v>
      </c>
      <c r="B4713" t="s">
        <v>28932</v>
      </c>
      <c r="C4713" t="s">
        <v>24217</v>
      </c>
      <c r="D4713" t="s">
        <v>22</v>
      </c>
      <c r="E4713" t="s">
        <v>1661</v>
      </c>
      <c r="F4713">
        <v>45</v>
      </c>
      <c r="G4713" t="s">
        <v>31</v>
      </c>
      <c r="H4713" t="s">
        <v>31</v>
      </c>
    </row>
    <row r="4714" spans="1:8" x14ac:dyDescent="0.3">
      <c r="A4714" t="s">
        <v>13345</v>
      </c>
      <c r="B4714" t="s">
        <v>28933</v>
      </c>
      <c r="C4714" t="s">
        <v>24217</v>
      </c>
      <c r="D4714" t="s">
        <v>22</v>
      </c>
      <c r="E4714" t="s">
        <v>13346</v>
      </c>
      <c r="F4714">
        <v>42</v>
      </c>
      <c r="G4714" t="s">
        <v>109</v>
      </c>
      <c r="H4714" t="s">
        <v>9788</v>
      </c>
    </row>
    <row r="4715" spans="1:8" x14ac:dyDescent="0.3">
      <c r="A4715" t="s">
        <v>13347</v>
      </c>
      <c r="B4715" t="s">
        <v>28934</v>
      </c>
      <c r="C4715" t="s">
        <v>24217</v>
      </c>
      <c r="D4715" t="s">
        <v>22</v>
      </c>
      <c r="E4715" t="s">
        <v>7696</v>
      </c>
      <c r="F4715">
        <v>38</v>
      </c>
      <c r="G4715" t="s">
        <v>46</v>
      </c>
      <c r="H4715" t="s">
        <v>46</v>
      </c>
    </row>
    <row r="4716" spans="1:8" x14ac:dyDescent="0.3">
      <c r="A4716" t="s">
        <v>13348</v>
      </c>
      <c r="B4716" t="s">
        <v>28935</v>
      </c>
      <c r="C4716" t="s">
        <v>24217</v>
      </c>
      <c r="D4716" t="s">
        <v>22</v>
      </c>
      <c r="E4716" t="s">
        <v>13349</v>
      </c>
      <c r="F4716">
        <v>40</v>
      </c>
      <c r="G4716" t="s">
        <v>109</v>
      </c>
      <c r="H4716" t="s">
        <v>9788</v>
      </c>
    </row>
    <row r="4717" spans="1:8" x14ac:dyDescent="0.3">
      <c r="A4717" t="s">
        <v>13350</v>
      </c>
      <c r="B4717" t="s">
        <v>28936</v>
      </c>
      <c r="C4717" t="s">
        <v>24217</v>
      </c>
      <c r="D4717" t="s">
        <v>22</v>
      </c>
      <c r="E4717" t="s">
        <v>13247</v>
      </c>
      <c r="F4717" t="e">
        <v>#VALUE!</v>
      </c>
    </row>
    <row r="4718" spans="1:8" x14ac:dyDescent="0.3">
      <c r="A4718" t="s">
        <v>13351</v>
      </c>
      <c r="B4718" t="s">
        <v>28937</v>
      </c>
      <c r="C4718" t="s">
        <v>24217</v>
      </c>
      <c r="D4718" t="s">
        <v>22</v>
      </c>
      <c r="E4718" t="s">
        <v>13352</v>
      </c>
      <c r="F4718">
        <v>47</v>
      </c>
      <c r="G4718" t="s">
        <v>31</v>
      </c>
      <c r="H4718" t="s">
        <v>31</v>
      </c>
    </row>
    <row r="4719" spans="1:8" x14ac:dyDescent="0.3">
      <c r="A4719" t="s">
        <v>13353</v>
      </c>
      <c r="B4719" t="s">
        <v>28938</v>
      </c>
      <c r="C4719" t="s">
        <v>24217</v>
      </c>
      <c r="D4719" t="s">
        <v>22</v>
      </c>
      <c r="E4719" t="s">
        <v>13247</v>
      </c>
      <c r="F4719" t="e">
        <v>#VALUE!</v>
      </c>
    </row>
    <row r="4720" spans="1:8" x14ac:dyDescent="0.3">
      <c r="A4720" t="s">
        <v>13354</v>
      </c>
      <c r="B4720" t="s">
        <v>28939</v>
      </c>
      <c r="C4720" t="s">
        <v>24217</v>
      </c>
      <c r="D4720" t="s">
        <v>22</v>
      </c>
      <c r="E4720" t="s">
        <v>13247</v>
      </c>
      <c r="F4720" t="e">
        <v>#VALUE!</v>
      </c>
    </row>
    <row r="4721" spans="1:8" x14ac:dyDescent="0.3">
      <c r="A4721" t="s">
        <v>13355</v>
      </c>
      <c r="B4721" t="s">
        <v>28940</v>
      </c>
      <c r="C4721" t="s">
        <v>24217</v>
      </c>
      <c r="D4721" t="s">
        <v>22</v>
      </c>
      <c r="E4721" t="s">
        <v>13356</v>
      </c>
      <c r="F4721">
        <v>35</v>
      </c>
      <c r="G4721" t="s">
        <v>31</v>
      </c>
      <c r="H4721" t="s">
        <v>31</v>
      </c>
    </row>
    <row r="4722" spans="1:8" x14ac:dyDescent="0.3">
      <c r="A4722" t="s">
        <v>13357</v>
      </c>
      <c r="B4722" t="s">
        <v>28941</v>
      </c>
      <c r="C4722" t="s">
        <v>24217</v>
      </c>
      <c r="D4722" t="s">
        <v>22</v>
      </c>
      <c r="E4722" t="s">
        <v>13358</v>
      </c>
      <c r="F4722">
        <v>51</v>
      </c>
      <c r="G4722" t="s">
        <v>31</v>
      </c>
      <c r="H4722" t="s">
        <v>31</v>
      </c>
    </row>
    <row r="4723" spans="1:8" x14ac:dyDescent="0.3">
      <c r="A4723" t="s">
        <v>13359</v>
      </c>
      <c r="B4723" t="s">
        <v>28942</v>
      </c>
      <c r="C4723" t="s">
        <v>24217</v>
      </c>
      <c r="D4723" t="s">
        <v>22</v>
      </c>
      <c r="E4723" t="s">
        <v>13360</v>
      </c>
      <c r="F4723">
        <v>38</v>
      </c>
      <c r="G4723" t="s">
        <v>46</v>
      </c>
      <c r="H4723" t="s">
        <v>46</v>
      </c>
    </row>
    <row r="4724" spans="1:8" x14ac:dyDescent="0.3">
      <c r="A4724" t="s">
        <v>13361</v>
      </c>
      <c r="B4724" t="s">
        <v>28943</v>
      </c>
      <c r="C4724" t="s">
        <v>24217</v>
      </c>
      <c r="D4724" t="s">
        <v>22</v>
      </c>
      <c r="E4724" t="s">
        <v>5254</v>
      </c>
      <c r="F4724">
        <v>48</v>
      </c>
      <c r="G4724" t="s">
        <v>46</v>
      </c>
      <c r="H4724" t="s">
        <v>46</v>
      </c>
    </row>
    <row r="4725" spans="1:8" x14ac:dyDescent="0.3">
      <c r="A4725" t="s">
        <v>13362</v>
      </c>
      <c r="B4725" t="s">
        <v>28944</v>
      </c>
      <c r="C4725" t="s">
        <v>24217</v>
      </c>
      <c r="D4725" t="s">
        <v>22</v>
      </c>
      <c r="E4725" t="s">
        <v>13363</v>
      </c>
      <c r="F4725">
        <v>44</v>
      </c>
      <c r="G4725" t="s">
        <v>31</v>
      </c>
      <c r="H4725" t="s">
        <v>31</v>
      </c>
    </row>
    <row r="4726" spans="1:8" x14ac:dyDescent="0.3">
      <c r="A4726" t="s">
        <v>13364</v>
      </c>
      <c r="B4726" t="s">
        <v>28945</v>
      </c>
      <c r="C4726" t="s">
        <v>24217</v>
      </c>
      <c r="D4726" t="s">
        <v>22</v>
      </c>
      <c r="E4726" t="s">
        <v>1955</v>
      </c>
      <c r="F4726">
        <v>65</v>
      </c>
      <c r="G4726" t="s">
        <v>31</v>
      </c>
      <c r="H4726" t="s">
        <v>31</v>
      </c>
    </row>
    <row r="4727" spans="1:8" x14ac:dyDescent="0.3">
      <c r="A4727" t="s">
        <v>13365</v>
      </c>
      <c r="B4727" t="s">
        <v>28946</v>
      </c>
      <c r="C4727" t="s">
        <v>24217</v>
      </c>
      <c r="D4727" t="s">
        <v>22</v>
      </c>
      <c r="E4727" t="s">
        <v>13247</v>
      </c>
      <c r="F4727" t="e">
        <v>#VALUE!</v>
      </c>
      <c r="G4727" t="s">
        <v>109</v>
      </c>
      <c r="H4727" t="s">
        <v>9788</v>
      </c>
    </row>
    <row r="4728" spans="1:8" x14ac:dyDescent="0.3">
      <c r="A4728" t="s">
        <v>13366</v>
      </c>
      <c r="B4728" t="s">
        <v>28947</v>
      </c>
      <c r="C4728" t="s">
        <v>24217</v>
      </c>
      <c r="D4728" t="s">
        <v>22</v>
      </c>
      <c r="E4728" t="s">
        <v>13367</v>
      </c>
      <c r="F4728">
        <v>52</v>
      </c>
      <c r="G4728" t="s">
        <v>109</v>
      </c>
      <c r="H4728" t="s">
        <v>9788</v>
      </c>
    </row>
    <row r="4729" spans="1:8" x14ac:dyDescent="0.3">
      <c r="A4729" t="s">
        <v>13368</v>
      </c>
      <c r="B4729" t="s">
        <v>28948</v>
      </c>
      <c r="C4729" t="s">
        <v>24217</v>
      </c>
      <c r="D4729" t="s">
        <v>11</v>
      </c>
      <c r="E4729" t="s">
        <v>13247</v>
      </c>
      <c r="F4729" t="e">
        <v>#VALUE!</v>
      </c>
      <c r="G4729" t="s">
        <v>109</v>
      </c>
      <c r="H4729" t="s">
        <v>9788</v>
      </c>
    </row>
    <row r="4730" spans="1:8" x14ac:dyDescent="0.3">
      <c r="A4730" t="s">
        <v>13369</v>
      </c>
      <c r="B4730" t="s">
        <v>28949</v>
      </c>
      <c r="C4730" t="s">
        <v>24217</v>
      </c>
      <c r="D4730" t="s">
        <v>22</v>
      </c>
      <c r="E4730" t="s">
        <v>13370</v>
      </c>
      <c r="F4730">
        <v>46</v>
      </c>
      <c r="G4730" t="s">
        <v>31</v>
      </c>
      <c r="H4730" t="s">
        <v>31</v>
      </c>
    </row>
    <row r="4731" spans="1:8" x14ac:dyDescent="0.3">
      <c r="A4731" t="s">
        <v>13371</v>
      </c>
      <c r="B4731" t="s">
        <v>28950</v>
      </c>
      <c r="C4731" t="s">
        <v>24217</v>
      </c>
      <c r="D4731" t="s">
        <v>22</v>
      </c>
      <c r="E4731" t="s">
        <v>6809</v>
      </c>
      <c r="F4731">
        <v>45</v>
      </c>
      <c r="G4731" t="s">
        <v>109</v>
      </c>
      <c r="H4731" t="s">
        <v>9788</v>
      </c>
    </row>
    <row r="4732" spans="1:8" x14ac:dyDescent="0.3">
      <c r="A4732" t="s">
        <v>13372</v>
      </c>
      <c r="B4732" t="s">
        <v>28951</v>
      </c>
      <c r="C4732" t="s">
        <v>24217</v>
      </c>
      <c r="D4732" t="s">
        <v>22</v>
      </c>
      <c r="E4732" t="s">
        <v>13373</v>
      </c>
      <c r="F4732">
        <v>63</v>
      </c>
      <c r="G4732" t="s">
        <v>31</v>
      </c>
      <c r="H4732" t="s">
        <v>31</v>
      </c>
    </row>
    <row r="4733" spans="1:8" x14ac:dyDescent="0.3">
      <c r="A4733" t="s">
        <v>13374</v>
      </c>
      <c r="B4733" t="s">
        <v>28952</v>
      </c>
      <c r="C4733" t="s">
        <v>24217</v>
      </c>
      <c r="D4733" t="s">
        <v>22</v>
      </c>
      <c r="E4733" t="s">
        <v>13375</v>
      </c>
      <c r="F4733">
        <v>55</v>
      </c>
      <c r="G4733" t="s">
        <v>31</v>
      </c>
      <c r="H4733" t="s">
        <v>31</v>
      </c>
    </row>
    <row r="4734" spans="1:8" x14ac:dyDescent="0.3">
      <c r="A4734" t="s">
        <v>13376</v>
      </c>
      <c r="B4734" t="s">
        <v>28953</v>
      </c>
      <c r="C4734" t="s">
        <v>24217</v>
      </c>
      <c r="D4734" t="s">
        <v>22</v>
      </c>
      <c r="E4734" t="s">
        <v>13377</v>
      </c>
      <c r="F4734">
        <v>46</v>
      </c>
      <c r="G4734" t="s">
        <v>109</v>
      </c>
      <c r="H4734" t="s">
        <v>9788</v>
      </c>
    </row>
    <row r="4735" spans="1:8" x14ac:dyDescent="0.3">
      <c r="A4735" t="s">
        <v>13378</v>
      </c>
      <c r="B4735" t="s">
        <v>28954</v>
      </c>
      <c r="C4735" t="s">
        <v>24217</v>
      </c>
      <c r="D4735" t="s">
        <v>22</v>
      </c>
      <c r="E4735" t="s">
        <v>13379</v>
      </c>
      <c r="F4735">
        <v>43</v>
      </c>
      <c r="G4735" t="s">
        <v>109</v>
      </c>
      <c r="H4735" t="s">
        <v>9788</v>
      </c>
    </row>
    <row r="4736" spans="1:8" x14ac:dyDescent="0.3">
      <c r="A4736" t="s">
        <v>13380</v>
      </c>
      <c r="B4736" t="s">
        <v>28955</v>
      </c>
      <c r="C4736" t="s">
        <v>24217</v>
      </c>
      <c r="D4736" t="s">
        <v>22</v>
      </c>
      <c r="E4736" t="s">
        <v>13381</v>
      </c>
      <c r="F4736">
        <v>47</v>
      </c>
      <c r="G4736" t="s">
        <v>31</v>
      </c>
      <c r="H4736" t="s">
        <v>31</v>
      </c>
    </row>
    <row r="4737" spans="1:8" x14ac:dyDescent="0.3">
      <c r="A4737" t="s">
        <v>13382</v>
      </c>
      <c r="B4737" t="s">
        <v>28956</v>
      </c>
      <c r="C4737" t="s">
        <v>24217</v>
      </c>
      <c r="D4737" t="s">
        <v>22</v>
      </c>
      <c r="E4737" t="s">
        <v>619</v>
      </c>
      <c r="F4737">
        <v>45</v>
      </c>
      <c r="G4737" t="s">
        <v>109</v>
      </c>
      <c r="H4737" t="s">
        <v>9788</v>
      </c>
    </row>
    <row r="4738" spans="1:8" x14ac:dyDescent="0.3">
      <c r="A4738" t="s">
        <v>13383</v>
      </c>
      <c r="B4738" t="s">
        <v>28957</v>
      </c>
      <c r="C4738" t="s">
        <v>24217</v>
      </c>
      <c r="D4738" t="s">
        <v>22</v>
      </c>
      <c r="E4738" t="s">
        <v>3651</v>
      </c>
      <c r="F4738">
        <v>50</v>
      </c>
      <c r="G4738" t="s">
        <v>31</v>
      </c>
      <c r="H4738" t="s">
        <v>31</v>
      </c>
    </row>
    <row r="4739" spans="1:8" x14ac:dyDescent="0.3">
      <c r="A4739" t="s">
        <v>13384</v>
      </c>
      <c r="B4739" t="s">
        <v>28958</v>
      </c>
      <c r="C4739" t="s">
        <v>24217</v>
      </c>
      <c r="D4739" t="s">
        <v>11</v>
      </c>
      <c r="E4739" t="s">
        <v>13247</v>
      </c>
      <c r="F4739" t="e">
        <v>#VALUE!</v>
      </c>
    </row>
    <row r="4740" spans="1:8" x14ac:dyDescent="0.3">
      <c r="A4740" t="s">
        <v>13385</v>
      </c>
      <c r="B4740" t="s">
        <v>28959</v>
      </c>
      <c r="C4740" t="s">
        <v>24217</v>
      </c>
      <c r="D4740" t="s">
        <v>22</v>
      </c>
      <c r="E4740" t="s">
        <v>13386</v>
      </c>
      <c r="F4740">
        <v>40</v>
      </c>
      <c r="G4740" t="s">
        <v>16</v>
      </c>
      <c r="H4740" t="s">
        <v>9785</v>
      </c>
    </row>
    <row r="4741" spans="1:8" x14ac:dyDescent="0.3">
      <c r="A4741" t="s">
        <v>13387</v>
      </c>
      <c r="B4741" t="s">
        <v>28960</v>
      </c>
      <c r="C4741" t="s">
        <v>24217</v>
      </c>
      <c r="D4741" t="s">
        <v>22</v>
      </c>
      <c r="E4741" t="s">
        <v>8195</v>
      </c>
      <c r="F4741">
        <v>44</v>
      </c>
      <c r="G4741" t="s">
        <v>109</v>
      </c>
      <c r="H4741" t="s">
        <v>9788</v>
      </c>
    </row>
    <row r="4742" spans="1:8" x14ac:dyDescent="0.3">
      <c r="A4742" t="s">
        <v>13388</v>
      </c>
      <c r="B4742" t="s">
        <v>28961</v>
      </c>
      <c r="C4742" t="s">
        <v>24217</v>
      </c>
      <c r="D4742" t="s">
        <v>22</v>
      </c>
      <c r="E4742" t="s">
        <v>13389</v>
      </c>
      <c r="F4742">
        <v>41</v>
      </c>
      <c r="G4742" t="s">
        <v>31</v>
      </c>
      <c r="H4742" t="s">
        <v>31</v>
      </c>
    </row>
    <row r="4743" spans="1:8" x14ac:dyDescent="0.3">
      <c r="A4743" t="s">
        <v>13390</v>
      </c>
      <c r="B4743" t="s">
        <v>28962</v>
      </c>
      <c r="C4743" t="s">
        <v>24217</v>
      </c>
      <c r="D4743" t="s">
        <v>22</v>
      </c>
      <c r="E4743" t="s">
        <v>13391</v>
      </c>
      <c r="F4743">
        <v>41</v>
      </c>
      <c r="G4743" t="s">
        <v>109</v>
      </c>
      <c r="H4743" t="s">
        <v>9788</v>
      </c>
    </row>
    <row r="4744" spans="1:8" x14ac:dyDescent="0.3">
      <c r="A4744" t="s">
        <v>13392</v>
      </c>
      <c r="B4744" t="s">
        <v>28963</v>
      </c>
      <c r="C4744" t="s">
        <v>24217</v>
      </c>
      <c r="D4744" t="s">
        <v>22</v>
      </c>
      <c r="E4744" t="s">
        <v>13393</v>
      </c>
      <c r="F4744">
        <v>47</v>
      </c>
      <c r="G4744" t="s">
        <v>109</v>
      </c>
      <c r="H4744" t="s">
        <v>9788</v>
      </c>
    </row>
    <row r="4745" spans="1:8" x14ac:dyDescent="0.3">
      <c r="A4745" t="s">
        <v>13394</v>
      </c>
      <c r="B4745" t="s">
        <v>28964</v>
      </c>
      <c r="C4745" t="s">
        <v>24217</v>
      </c>
      <c r="D4745" t="s">
        <v>11</v>
      </c>
      <c r="E4745" t="s">
        <v>13395</v>
      </c>
      <c r="F4745">
        <v>47</v>
      </c>
      <c r="G4745" t="s">
        <v>109</v>
      </c>
      <c r="H4745" t="s">
        <v>9788</v>
      </c>
    </row>
    <row r="4746" spans="1:8" x14ac:dyDescent="0.3">
      <c r="A4746" t="s">
        <v>13396</v>
      </c>
      <c r="B4746" t="s">
        <v>28965</v>
      </c>
      <c r="C4746" t="s">
        <v>24217</v>
      </c>
      <c r="D4746" t="s">
        <v>22</v>
      </c>
      <c r="E4746" t="s">
        <v>13397</v>
      </c>
      <c r="F4746">
        <v>39</v>
      </c>
    </row>
    <row r="4747" spans="1:8" x14ac:dyDescent="0.3">
      <c r="A4747" t="s">
        <v>13398</v>
      </c>
      <c r="B4747" t="s">
        <v>28966</v>
      </c>
      <c r="C4747" t="s">
        <v>24217</v>
      </c>
      <c r="D4747" t="s">
        <v>22</v>
      </c>
      <c r="E4747" t="s">
        <v>13399</v>
      </c>
      <c r="F4747">
        <v>50</v>
      </c>
      <c r="G4747" t="s">
        <v>109</v>
      </c>
      <c r="H4747" t="s">
        <v>9788</v>
      </c>
    </row>
    <row r="4748" spans="1:8" x14ac:dyDescent="0.3">
      <c r="A4748" t="s">
        <v>13400</v>
      </c>
      <c r="B4748" t="s">
        <v>28967</v>
      </c>
      <c r="C4748" t="s">
        <v>24217</v>
      </c>
      <c r="D4748" t="s">
        <v>22</v>
      </c>
      <c r="E4748" t="s">
        <v>13247</v>
      </c>
      <c r="F4748" t="e">
        <v>#VALUE!</v>
      </c>
      <c r="G4748" t="s">
        <v>31</v>
      </c>
      <c r="H4748" t="s">
        <v>31</v>
      </c>
    </row>
    <row r="4749" spans="1:8" x14ac:dyDescent="0.3">
      <c r="A4749" t="s">
        <v>13401</v>
      </c>
      <c r="B4749" t="s">
        <v>28968</v>
      </c>
      <c r="C4749" t="s">
        <v>24217</v>
      </c>
      <c r="D4749" t="s">
        <v>22</v>
      </c>
      <c r="E4749" t="s">
        <v>13247</v>
      </c>
      <c r="F4749" t="e">
        <v>#VALUE!</v>
      </c>
    </row>
    <row r="4750" spans="1:8" x14ac:dyDescent="0.3">
      <c r="A4750" t="s">
        <v>13402</v>
      </c>
      <c r="B4750" t="s">
        <v>28969</v>
      </c>
      <c r="C4750" t="s">
        <v>24217</v>
      </c>
      <c r="D4750" t="s">
        <v>22</v>
      </c>
      <c r="E4750" t="s">
        <v>5839</v>
      </c>
      <c r="F4750">
        <v>51</v>
      </c>
      <c r="G4750" t="s">
        <v>31</v>
      </c>
      <c r="H4750" t="s">
        <v>31</v>
      </c>
    </row>
    <row r="4751" spans="1:8" x14ac:dyDescent="0.3">
      <c r="A4751" t="s">
        <v>13403</v>
      </c>
      <c r="B4751" t="s">
        <v>28970</v>
      </c>
      <c r="C4751" t="s">
        <v>24217</v>
      </c>
      <c r="D4751" t="s">
        <v>22</v>
      </c>
      <c r="E4751" t="s">
        <v>13404</v>
      </c>
      <c r="F4751">
        <v>41</v>
      </c>
      <c r="G4751" t="s">
        <v>31</v>
      </c>
      <c r="H4751" t="s">
        <v>31</v>
      </c>
    </row>
    <row r="4752" spans="1:8" x14ac:dyDescent="0.3">
      <c r="A4752" t="s">
        <v>13405</v>
      </c>
      <c r="B4752" t="s">
        <v>28971</v>
      </c>
      <c r="C4752" t="s">
        <v>24217</v>
      </c>
      <c r="D4752" t="s">
        <v>22</v>
      </c>
      <c r="E4752" t="s">
        <v>5832</v>
      </c>
      <c r="F4752">
        <v>42</v>
      </c>
      <c r="G4752" t="s">
        <v>31</v>
      </c>
      <c r="H4752" t="s">
        <v>31</v>
      </c>
    </row>
    <row r="4753" spans="1:8" x14ac:dyDescent="0.3">
      <c r="A4753" t="s">
        <v>13406</v>
      </c>
      <c r="B4753" t="s">
        <v>28972</v>
      </c>
      <c r="C4753" t="s">
        <v>24217</v>
      </c>
      <c r="D4753" t="s">
        <v>22</v>
      </c>
      <c r="E4753" t="s">
        <v>13247</v>
      </c>
      <c r="F4753" t="e">
        <v>#VALUE!</v>
      </c>
    </row>
    <row r="4754" spans="1:8" x14ac:dyDescent="0.3">
      <c r="A4754" t="s">
        <v>13407</v>
      </c>
      <c r="B4754" t="s">
        <v>28973</v>
      </c>
      <c r="C4754" t="s">
        <v>24217</v>
      </c>
      <c r="D4754" t="s">
        <v>22</v>
      </c>
      <c r="E4754" t="s">
        <v>13408</v>
      </c>
      <c r="F4754">
        <v>43</v>
      </c>
      <c r="G4754" t="s">
        <v>109</v>
      </c>
      <c r="H4754" t="s">
        <v>9788</v>
      </c>
    </row>
    <row r="4755" spans="1:8" x14ac:dyDescent="0.3">
      <c r="A4755" t="s">
        <v>13409</v>
      </c>
      <c r="B4755" t="s">
        <v>28974</v>
      </c>
      <c r="C4755" t="s">
        <v>24217</v>
      </c>
      <c r="D4755" t="s">
        <v>22</v>
      </c>
      <c r="E4755" t="s">
        <v>1753</v>
      </c>
      <c r="F4755">
        <v>51</v>
      </c>
      <c r="G4755" t="s">
        <v>109</v>
      </c>
      <c r="H4755" t="s">
        <v>9788</v>
      </c>
    </row>
    <row r="4756" spans="1:8" x14ac:dyDescent="0.3">
      <c r="A4756" t="s">
        <v>13410</v>
      </c>
      <c r="B4756" t="s">
        <v>28975</v>
      </c>
      <c r="C4756" t="s">
        <v>24217</v>
      </c>
      <c r="D4756" t="s">
        <v>22</v>
      </c>
      <c r="E4756" t="s">
        <v>13411</v>
      </c>
      <c r="F4756">
        <v>46</v>
      </c>
      <c r="G4756" t="s">
        <v>31</v>
      </c>
      <c r="H4756" t="s">
        <v>31</v>
      </c>
    </row>
    <row r="4757" spans="1:8" x14ac:dyDescent="0.3">
      <c r="A4757" t="s">
        <v>13412</v>
      </c>
      <c r="B4757" t="s">
        <v>28976</v>
      </c>
      <c r="C4757" t="s">
        <v>24217</v>
      </c>
      <c r="D4757" t="s">
        <v>22</v>
      </c>
      <c r="E4757" t="s">
        <v>13413</v>
      </c>
      <c r="F4757">
        <v>43</v>
      </c>
      <c r="G4757" t="s">
        <v>109</v>
      </c>
      <c r="H4757" t="s">
        <v>9788</v>
      </c>
    </row>
    <row r="4758" spans="1:8" x14ac:dyDescent="0.3">
      <c r="A4758" t="s">
        <v>13414</v>
      </c>
      <c r="B4758" t="s">
        <v>28977</v>
      </c>
      <c r="C4758" t="s">
        <v>24217</v>
      </c>
      <c r="D4758" t="s">
        <v>22</v>
      </c>
      <c r="E4758" t="s">
        <v>13415</v>
      </c>
      <c r="F4758">
        <v>42</v>
      </c>
      <c r="G4758" t="s">
        <v>31</v>
      </c>
      <c r="H4758" t="s">
        <v>31</v>
      </c>
    </row>
    <row r="4759" spans="1:8" x14ac:dyDescent="0.3">
      <c r="A4759" t="s">
        <v>13416</v>
      </c>
      <c r="B4759" t="s">
        <v>28978</v>
      </c>
      <c r="C4759" t="s">
        <v>24217</v>
      </c>
      <c r="D4759" t="s">
        <v>22</v>
      </c>
      <c r="E4759" t="s">
        <v>13417</v>
      </c>
      <c r="F4759">
        <v>49</v>
      </c>
      <c r="G4759" t="s">
        <v>31</v>
      </c>
      <c r="H4759" t="s">
        <v>31</v>
      </c>
    </row>
    <row r="4760" spans="1:8" x14ac:dyDescent="0.3">
      <c r="A4760" t="s">
        <v>13418</v>
      </c>
      <c r="B4760" t="s">
        <v>28979</v>
      </c>
      <c r="C4760" t="s">
        <v>24217</v>
      </c>
      <c r="D4760" t="s">
        <v>22</v>
      </c>
      <c r="E4760" t="s">
        <v>13247</v>
      </c>
      <c r="F4760" t="e">
        <v>#VALUE!</v>
      </c>
    </row>
    <row r="4761" spans="1:8" x14ac:dyDescent="0.3">
      <c r="A4761" t="s">
        <v>13419</v>
      </c>
      <c r="B4761" t="s">
        <v>28980</v>
      </c>
      <c r="C4761" t="s">
        <v>24217</v>
      </c>
      <c r="D4761" t="s">
        <v>22</v>
      </c>
      <c r="E4761" t="s">
        <v>13420</v>
      </c>
      <c r="F4761">
        <v>47</v>
      </c>
      <c r="G4761" t="s">
        <v>31</v>
      </c>
      <c r="H4761" t="s">
        <v>31</v>
      </c>
    </row>
    <row r="4762" spans="1:8" x14ac:dyDescent="0.3">
      <c r="A4762" t="s">
        <v>13421</v>
      </c>
      <c r="B4762" t="s">
        <v>28981</v>
      </c>
      <c r="C4762" t="s">
        <v>24217</v>
      </c>
      <c r="D4762" t="s">
        <v>22</v>
      </c>
      <c r="E4762" t="s">
        <v>13422</v>
      </c>
      <c r="F4762">
        <v>46</v>
      </c>
      <c r="G4762" t="s">
        <v>109</v>
      </c>
      <c r="H4762" t="s">
        <v>9788</v>
      </c>
    </row>
    <row r="4763" spans="1:8" x14ac:dyDescent="0.3">
      <c r="A4763" t="s">
        <v>13423</v>
      </c>
      <c r="B4763" t="s">
        <v>28982</v>
      </c>
      <c r="C4763" t="s">
        <v>24217</v>
      </c>
      <c r="D4763" t="s">
        <v>11</v>
      </c>
      <c r="E4763" t="s">
        <v>13424</v>
      </c>
      <c r="F4763">
        <v>42</v>
      </c>
      <c r="G4763" t="s">
        <v>109</v>
      </c>
      <c r="H4763" t="s">
        <v>9788</v>
      </c>
    </row>
    <row r="4764" spans="1:8" x14ac:dyDescent="0.3">
      <c r="A4764" t="s">
        <v>13425</v>
      </c>
      <c r="B4764" t="s">
        <v>28983</v>
      </c>
      <c r="C4764" t="s">
        <v>24217</v>
      </c>
      <c r="D4764" t="s">
        <v>22</v>
      </c>
      <c r="E4764" t="s">
        <v>3744</v>
      </c>
      <c r="F4764">
        <v>49</v>
      </c>
      <c r="G4764" t="s">
        <v>31</v>
      </c>
      <c r="H4764" t="s">
        <v>31</v>
      </c>
    </row>
    <row r="4765" spans="1:8" x14ac:dyDescent="0.3">
      <c r="A4765" t="s">
        <v>13426</v>
      </c>
      <c r="B4765" t="s">
        <v>28984</v>
      </c>
      <c r="C4765" t="s">
        <v>24217</v>
      </c>
      <c r="D4765" t="s">
        <v>22</v>
      </c>
      <c r="E4765" t="s">
        <v>13427</v>
      </c>
      <c r="F4765">
        <v>43</v>
      </c>
      <c r="G4765" t="s">
        <v>31</v>
      </c>
      <c r="H4765" t="s">
        <v>31</v>
      </c>
    </row>
    <row r="4766" spans="1:8" x14ac:dyDescent="0.3">
      <c r="A4766" t="s">
        <v>13428</v>
      </c>
      <c r="B4766" t="s">
        <v>28985</v>
      </c>
      <c r="C4766" t="s">
        <v>24217</v>
      </c>
      <c r="D4766" t="s">
        <v>22</v>
      </c>
      <c r="E4766" t="s">
        <v>13247</v>
      </c>
      <c r="F4766" t="e">
        <v>#VALUE!</v>
      </c>
      <c r="G4766" t="s">
        <v>109</v>
      </c>
      <c r="H4766" t="s">
        <v>9788</v>
      </c>
    </row>
    <row r="4767" spans="1:8" x14ac:dyDescent="0.3">
      <c r="A4767" t="s">
        <v>13429</v>
      </c>
      <c r="B4767" t="s">
        <v>28986</v>
      </c>
      <c r="C4767" t="s">
        <v>24217</v>
      </c>
      <c r="D4767" t="s">
        <v>22</v>
      </c>
      <c r="E4767" t="s">
        <v>13430</v>
      </c>
      <c r="F4767">
        <v>53</v>
      </c>
      <c r="G4767" t="s">
        <v>172</v>
      </c>
      <c r="H4767" t="s">
        <v>12099</v>
      </c>
    </row>
    <row r="4768" spans="1:8" x14ac:dyDescent="0.3">
      <c r="A4768" t="s">
        <v>13431</v>
      </c>
      <c r="B4768" t="s">
        <v>28987</v>
      </c>
      <c r="C4768" t="s">
        <v>24217</v>
      </c>
      <c r="D4768" t="s">
        <v>22</v>
      </c>
      <c r="E4768" t="s">
        <v>13247</v>
      </c>
      <c r="F4768" t="e">
        <v>#VALUE!</v>
      </c>
    </row>
    <row r="4769" spans="1:8" x14ac:dyDescent="0.3">
      <c r="A4769" t="s">
        <v>13432</v>
      </c>
      <c r="B4769" t="s">
        <v>28988</v>
      </c>
      <c r="C4769" t="s">
        <v>24217</v>
      </c>
      <c r="D4769" t="s">
        <v>22</v>
      </c>
      <c r="E4769" t="s">
        <v>13433</v>
      </c>
      <c r="F4769">
        <v>45</v>
      </c>
      <c r="G4769" t="s">
        <v>109</v>
      </c>
      <c r="H4769" t="s">
        <v>9788</v>
      </c>
    </row>
    <row r="4770" spans="1:8" x14ac:dyDescent="0.3">
      <c r="A4770" t="s">
        <v>13434</v>
      </c>
      <c r="B4770" t="s">
        <v>28989</v>
      </c>
      <c r="C4770" t="s">
        <v>24217</v>
      </c>
      <c r="D4770" t="s">
        <v>22</v>
      </c>
      <c r="E4770" t="s">
        <v>13247</v>
      </c>
      <c r="F4770" t="e">
        <v>#VALUE!</v>
      </c>
    </row>
    <row r="4771" spans="1:8" x14ac:dyDescent="0.3">
      <c r="A4771" t="s">
        <v>13435</v>
      </c>
      <c r="B4771" t="s">
        <v>28990</v>
      </c>
      <c r="C4771" t="s">
        <v>24217</v>
      </c>
      <c r="D4771" t="s">
        <v>22</v>
      </c>
      <c r="E4771" t="s">
        <v>13436</v>
      </c>
      <c r="F4771">
        <v>42</v>
      </c>
      <c r="G4771" t="s">
        <v>109</v>
      </c>
      <c r="H4771" t="s">
        <v>9788</v>
      </c>
    </row>
    <row r="4772" spans="1:8" x14ac:dyDescent="0.3">
      <c r="A4772" t="s">
        <v>13437</v>
      </c>
      <c r="B4772" t="s">
        <v>28991</v>
      </c>
      <c r="C4772" t="s">
        <v>24217</v>
      </c>
      <c r="D4772" t="s">
        <v>22</v>
      </c>
      <c r="E4772" t="s">
        <v>13438</v>
      </c>
      <c r="F4772">
        <v>41</v>
      </c>
      <c r="G4772" t="s">
        <v>109</v>
      </c>
      <c r="H4772" t="s">
        <v>9788</v>
      </c>
    </row>
    <row r="4773" spans="1:8" x14ac:dyDescent="0.3">
      <c r="A4773" t="s">
        <v>13439</v>
      </c>
      <c r="B4773" t="s">
        <v>28992</v>
      </c>
      <c r="C4773" t="s">
        <v>24217</v>
      </c>
      <c r="D4773" t="s">
        <v>22</v>
      </c>
      <c r="E4773" t="s">
        <v>13440</v>
      </c>
      <c r="F4773">
        <v>42</v>
      </c>
      <c r="G4773" t="s">
        <v>31</v>
      </c>
      <c r="H4773" t="s">
        <v>31</v>
      </c>
    </row>
    <row r="4774" spans="1:8" x14ac:dyDescent="0.3">
      <c r="A4774" t="s">
        <v>13441</v>
      </c>
      <c r="B4774" t="s">
        <v>28993</v>
      </c>
      <c r="C4774" t="s">
        <v>24217</v>
      </c>
      <c r="D4774" t="s">
        <v>22</v>
      </c>
      <c r="E4774" t="s">
        <v>13442</v>
      </c>
      <c r="F4774">
        <v>44</v>
      </c>
      <c r="G4774" t="s">
        <v>31</v>
      </c>
      <c r="H4774" t="s">
        <v>31</v>
      </c>
    </row>
    <row r="4775" spans="1:8" x14ac:dyDescent="0.3">
      <c r="A4775" t="s">
        <v>13443</v>
      </c>
      <c r="B4775" t="s">
        <v>28994</v>
      </c>
      <c r="C4775" t="s">
        <v>24217</v>
      </c>
      <c r="D4775" t="s">
        <v>22</v>
      </c>
      <c r="E4775" t="s">
        <v>4899</v>
      </c>
      <c r="F4775">
        <v>43</v>
      </c>
      <c r="G4775" t="s">
        <v>109</v>
      </c>
      <c r="H4775" t="s">
        <v>9788</v>
      </c>
    </row>
    <row r="4776" spans="1:8" x14ac:dyDescent="0.3">
      <c r="A4776" t="s">
        <v>13444</v>
      </c>
      <c r="B4776" t="s">
        <v>28995</v>
      </c>
      <c r="C4776" t="s">
        <v>24217</v>
      </c>
      <c r="D4776" t="s">
        <v>22</v>
      </c>
      <c r="E4776" t="s">
        <v>2134</v>
      </c>
      <c r="F4776">
        <v>54</v>
      </c>
      <c r="G4776" t="s">
        <v>88</v>
      </c>
      <c r="H4776" t="s">
        <v>12065</v>
      </c>
    </row>
    <row r="4777" spans="1:8" x14ac:dyDescent="0.3">
      <c r="A4777" t="s">
        <v>13445</v>
      </c>
      <c r="B4777" t="s">
        <v>28996</v>
      </c>
      <c r="C4777" t="s">
        <v>24217</v>
      </c>
      <c r="D4777" t="s">
        <v>11</v>
      </c>
      <c r="E4777" t="s">
        <v>13446</v>
      </c>
      <c r="F4777">
        <v>40</v>
      </c>
      <c r="G4777" t="s">
        <v>46</v>
      </c>
      <c r="H4777" t="s">
        <v>46</v>
      </c>
    </row>
    <row r="4778" spans="1:8" x14ac:dyDescent="0.3">
      <c r="A4778" t="s">
        <v>13447</v>
      </c>
      <c r="B4778" t="s">
        <v>28997</v>
      </c>
      <c r="C4778" t="s">
        <v>24217</v>
      </c>
      <c r="D4778" t="s">
        <v>22</v>
      </c>
      <c r="E4778" t="s">
        <v>13448</v>
      </c>
      <c r="F4778">
        <v>40</v>
      </c>
      <c r="G4778" t="s">
        <v>109</v>
      </c>
      <c r="H4778" t="s">
        <v>9788</v>
      </c>
    </row>
    <row r="4779" spans="1:8" x14ac:dyDescent="0.3">
      <c r="A4779" t="s">
        <v>13449</v>
      </c>
      <c r="B4779" t="s">
        <v>28998</v>
      </c>
      <c r="C4779" t="s">
        <v>24217</v>
      </c>
      <c r="D4779" t="s">
        <v>11</v>
      </c>
      <c r="E4779" t="s">
        <v>13450</v>
      </c>
      <c r="F4779">
        <v>43</v>
      </c>
      <c r="G4779" t="s">
        <v>172</v>
      </c>
      <c r="H4779" t="s">
        <v>12099</v>
      </c>
    </row>
    <row r="4780" spans="1:8" x14ac:dyDescent="0.3">
      <c r="A4780" t="s">
        <v>13451</v>
      </c>
      <c r="B4780" t="s">
        <v>28999</v>
      </c>
      <c r="C4780" t="s">
        <v>24217</v>
      </c>
      <c r="D4780" t="s">
        <v>22</v>
      </c>
      <c r="E4780" t="s">
        <v>13247</v>
      </c>
      <c r="F4780" t="e">
        <v>#VALUE!</v>
      </c>
    </row>
    <row r="4781" spans="1:8" x14ac:dyDescent="0.3">
      <c r="A4781" t="s">
        <v>13452</v>
      </c>
      <c r="B4781" t="s">
        <v>29000</v>
      </c>
      <c r="C4781" t="s">
        <v>24217</v>
      </c>
      <c r="D4781" t="s">
        <v>22</v>
      </c>
      <c r="E4781" t="s">
        <v>13200</v>
      </c>
      <c r="F4781">
        <v>43</v>
      </c>
      <c r="G4781" t="s">
        <v>31</v>
      </c>
      <c r="H4781" t="s">
        <v>31</v>
      </c>
    </row>
    <row r="4782" spans="1:8" x14ac:dyDescent="0.3">
      <c r="A4782" t="s">
        <v>13453</v>
      </c>
      <c r="B4782" t="s">
        <v>29001</v>
      </c>
      <c r="C4782" t="s">
        <v>24217</v>
      </c>
      <c r="D4782" t="s">
        <v>22</v>
      </c>
      <c r="E4782" t="s">
        <v>13454</v>
      </c>
      <c r="F4782">
        <v>37</v>
      </c>
      <c r="G4782" t="s">
        <v>109</v>
      </c>
      <c r="H4782" t="s">
        <v>9788</v>
      </c>
    </row>
    <row r="4783" spans="1:8" x14ac:dyDescent="0.3">
      <c r="A4783" t="s">
        <v>13455</v>
      </c>
      <c r="B4783" t="s">
        <v>29002</v>
      </c>
      <c r="C4783" t="s">
        <v>24217</v>
      </c>
      <c r="D4783" t="s">
        <v>22</v>
      </c>
      <c r="E4783" t="s">
        <v>13247</v>
      </c>
      <c r="F4783" t="e">
        <v>#VALUE!</v>
      </c>
    </row>
    <row r="4784" spans="1:8" x14ac:dyDescent="0.3">
      <c r="A4784" t="s">
        <v>13456</v>
      </c>
      <c r="B4784" t="s">
        <v>29003</v>
      </c>
      <c r="C4784" t="s">
        <v>24217</v>
      </c>
      <c r="D4784" t="s">
        <v>22</v>
      </c>
      <c r="E4784" t="s">
        <v>13457</v>
      </c>
      <c r="F4784">
        <v>38</v>
      </c>
      <c r="G4784" t="s">
        <v>31</v>
      </c>
      <c r="H4784" t="s">
        <v>31</v>
      </c>
    </row>
    <row r="4785" spans="1:8" x14ac:dyDescent="0.3">
      <c r="A4785" t="s">
        <v>13458</v>
      </c>
      <c r="B4785" t="s">
        <v>29004</v>
      </c>
      <c r="C4785" t="s">
        <v>24217</v>
      </c>
      <c r="D4785" t="s">
        <v>22</v>
      </c>
      <c r="E4785" t="s">
        <v>13459</v>
      </c>
      <c r="F4785">
        <v>50</v>
      </c>
      <c r="G4785" t="s">
        <v>31</v>
      </c>
      <c r="H4785" t="s">
        <v>31</v>
      </c>
    </row>
    <row r="4786" spans="1:8" x14ac:dyDescent="0.3">
      <c r="A4786" t="s">
        <v>13460</v>
      </c>
      <c r="B4786" t="s">
        <v>29005</v>
      </c>
      <c r="C4786" t="s">
        <v>24217</v>
      </c>
      <c r="D4786" t="s">
        <v>22</v>
      </c>
      <c r="E4786" t="s">
        <v>13247</v>
      </c>
      <c r="F4786" t="e">
        <v>#VALUE!</v>
      </c>
    </row>
    <row r="4787" spans="1:8" x14ac:dyDescent="0.3">
      <c r="A4787" t="s">
        <v>13461</v>
      </c>
      <c r="B4787" t="s">
        <v>29006</v>
      </c>
      <c r="C4787" t="s">
        <v>24217</v>
      </c>
      <c r="D4787" t="s">
        <v>22</v>
      </c>
      <c r="E4787" t="s">
        <v>2655</v>
      </c>
      <c r="F4787">
        <v>42</v>
      </c>
      <c r="G4787" t="s">
        <v>31</v>
      </c>
      <c r="H4787" t="s">
        <v>31</v>
      </c>
    </row>
    <row r="4788" spans="1:8" x14ac:dyDescent="0.3">
      <c r="A4788" t="s">
        <v>13462</v>
      </c>
      <c r="B4788" t="s">
        <v>29007</v>
      </c>
      <c r="C4788" t="s">
        <v>24217</v>
      </c>
      <c r="D4788" t="s">
        <v>22</v>
      </c>
      <c r="E4788" t="s">
        <v>13247</v>
      </c>
      <c r="F4788" t="e">
        <v>#VALUE!</v>
      </c>
    </row>
    <row r="4789" spans="1:8" x14ac:dyDescent="0.3">
      <c r="A4789" t="s">
        <v>13463</v>
      </c>
      <c r="B4789" t="s">
        <v>29008</v>
      </c>
      <c r="C4789" t="s">
        <v>24217</v>
      </c>
      <c r="D4789" t="s">
        <v>22</v>
      </c>
      <c r="E4789" t="s">
        <v>3839</v>
      </c>
      <c r="F4789">
        <v>47</v>
      </c>
      <c r="G4789" t="s">
        <v>172</v>
      </c>
      <c r="H4789" t="s">
        <v>12099</v>
      </c>
    </row>
    <row r="4790" spans="1:8" x14ac:dyDescent="0.3">
      <c r="A4790" t="s">
        <v>13464</v>
      </c>
      <c r="B4790" t="s">
        <v>29009</v>
      </c>
      <c r="C4790" t="s">
        <v>24217</v>
      </c>
      <c r="D4790" t="s">
        <v>11</v>
      </c>
      <c r="E4790" t="s">
        <v>13465</v>
      </c>
      <c r="F4790">
        <v>47</v>
      </c>
      <c r="G4790" t="s">
        <v>109</v>
      </c>
      <c r="H4790" t="s">
        <v>9788</v>
      </c>
    </row>
    <row r="4791" spans="1:8" x14ac:dyDescent="0.3">
      <c r="A4791" t="s">
        <v>13466</v>
      </c>
      <c r="B4791" t="s">
        <v>29010</v>
      </c>
      <c r="C4791" t="s">
        <v>24217</v>
      </c>
      <c r="D4791" t="s">
        <v>22</v>
      </c>
      <c r="E4791" t="s">
        <v>13467</v>
      </c>
      <c r="F4791">
        <v>44</v>
      </c>
      <c r="G4791" t="s">
        <v>109</v>
      </c>
      <c r="H4791" t="s">
        <v>9788</v>
      </c>
    </row>
    <row r="4792" spans="1:8" x14ac:dyDescent="0.3">
      <c r="A4792" t="s">
        <v>13468</v>
      </c>
      <c r="B4792" t="s">
        <v>29011</v>
      </c>
      <c r="C4792" t="s">
        <v>24217</v>
      </c>
      <c r="D4792" t="s">
        <v>22</v>
      </c>
      <c r="E4792" t="s">
        <v>293</v>
      </c>
      <c r="F4792">
        <v>53</v>
      </c>
      <c r="G4792" t="s">
        <v>109</v>
      </c>
      <c r="H4792" t="s">
        <v>9788</v>
      </c>
    </row>
    <row r="4793" spans="1:8" x14ac:dyDescent="0.3">
      <c r="A4793" t="s">
        <v>13469</v>
      </c>
      <c r="B4793" t="s">
        <v>29012</v>
      </c>
      <c r="C4793" t="s">
        <v>24217</v>
      </c>
      <c r="D4793" t="s">
        <v>22</v>
      </c>
      <c r="E4793" t="s">
        <v>4888</v>
      </c>
      <c r="F4793">
        <v>44</v>
      </c>
      <c r="G4793" t="s">
        <v>109</v>
      </c>
      <c r="H4793" t="s">
        <v>9788</v>
      </c>
    </row>
    <row r="4794" spans="1:8" x14ac:dyDescent="0.3">
      <c r="A4794" t="s">
        <v>13470</v>
      </c>
      <c r="B4794" t="s">
        <v>29013</v>
      </c>
      <c r="C4794" t="s">
        <v>24217</v>
      </c>
      <c r="D4794" t="s">
        <v>22</v>
      </c>
      <c r="E4794" t="s">
        <v>2239</v>
      </c>
      <c r="F4794">
        <v>42</v>
      </c>
      <c r="G4794" t="s">
        <v>109</v>
      </c>
      <c r="H4794" t="s">
        <v>9788</v>
      </c>
    </row>
    <row r="4795" spans="1:8" x14ac:dyDescent="0.3">
      <c r="A4795" t="s">
        <v>13471</v>
      </c>
      <c r="B4795" t="s">
        <v>29014</v>
      </c>
      <c r="C4795" t="s">
        <v>24217</v>
      </c>
      <c r="D4795" t="s">
        <v>22</v>
      </c>
      <c r="E4795" t="s">
        <v>13472</v>
      </c>
      <c r="F4795">
        <v>38</v>
      </c>
      <c r="G4795" t="s">
        <v>109</v>
      </c>
      <c r="H4795" t="s">
        <v>9788</v>
      </c>
    </row>
    <row r="4796" spans="1:8" x14ac:dyDescent="0.3">
      <c r="A4796" t="s">
        <v>13473</v>
      </c>
      <c r="B4796" t="s">
        <v>29015</v>
      </c>
      <c r="C4796" t="s">
        <v>24217</v>
      </c>
      <c r="D4796" t="s">
        <v>22</v>
      </c>
      <c r="E4796" t="s">
        <v>13474</v>
      </c>
      <c r="F4796">
        <v>45</v>
      </c>
      <c r="G4796" t="s">
        <v>109</v>
      </c>
      <c r="H4796" t="s">
        <v>9788</v>
      </c>
    </row>
    <row r="4797" spans="1:8" x14ac:dyDescent="0.3">
      <c r="A4797" t="s">
        <v>13475</v>
      </c>
      <c r="B4797" t="s">
        <v>29016</v>
      </c>
      <c r="C4797" t="s">
        <v>24217</v>
      </c>
      <c r="D4797" t="s">
        <v>22</v>
      </c>
      <c r="E4797" t="s">
        <v>13247</v>
      </c>
      <c r="F4797" t="e">
        <v>#VALUE!</v>
      </c>
    </row>
    <row r="4798" spans="1:8" x14ac:dyDescent="0.3">
      <c r="A4798" t="s">
        <v>13476</v>
      </c>
      <c r="B4798" t="s">
        <v>29017</v>
      </c>
      <c r="C4798" t="s">
        <v>24217</v>
      </c>
      <c r="D4798" t="s">
        <v>22</v>
      </c>
      <c r="E4798" t="s">
        <v>13247</v>
      </c>
      <c r="F4798" t="e">
        <v>#VALUE!</v>
      </c>
    </row>
    <row r="4799" spans="1:8" x14ac:dyDescent="0.3">
      <c r="A4799" t="s">
        <v>13477</v>
      </c>
      <c r="B4799" t="s">
        <v>29018</v>
      </c>
      <c r="C4799" t="s">
        <v>24217</v>
      </c>
      <c r="D4799" t="s">
        <v>11</v>
      </c>
      <c r="E4799" t="s">
        <v>702</v>
      </c>
      <c r="F4799">
        <v>48</v>
      </c>
      <c r="G4799" t="s">
        <v>109</v>
      </c>
      <c r="H4799" t="s">
        <v>9788</v>
      </c>
    </row>
    <row r="4800" spans="1:8" x14ac:dyDescent="0.3">
      <c r="A4800" t="s">
        <v>13478</v>
      </c>
      <c r="B4800" t="s">
        <v>29019</v>
      </c>
      <c r="C4800" t="s">
        <v>24217</v>
      </c>
      <c r="D4800" t="s">
        <v>22</v>
      </c>
      <c r="E4800" t="s">
        <v>13247</v>
      </c>
      <c r="F4800" t="e">
        <v>#VALUE!</v>
      </c>
    </row>
    <row r="4801" spans="1:8" x14ac:dyDescent="0.3">
      <c r="A4801" t="s">
        <v>13479</v>
      </c>
      <c r="B4801" t="s">
        <v>29020</v>
      </c>
      <c r="C4801" t="s">
        <v>24217</v>
      </c>
      <c r="D4801" t="s">
        <v>22</v>
      </c>
      <c r="E4801" t="s">
        <v>13480</v>
      </c>
      <c r="F4801">
        <v>54</v>
      </c>
      <c r="G4801" t="s">
        <v>16</v>
      </c>
      <c r="H4801" t="s">
        <v>9785</v>
      </c>
    </row>
    <row r="4802" spans="1:8" x14ac:dyDescent="0.3">
      <c r="A4802" t="s">
        <v>13481</v>
      </c>
      <c r="B4802" t="s">
        <v>29021</v>
      </c>
      <c r="C4802" t="s">
        <v>24217</v>
      </c>
      <c r="D4802" t="s">
        <v>22</v>
      </c>
      <c r="E4802" t="s">
        <v>13482</v>
      </c>
      <c r="F4802">
        <v>40</v>
      </c>
      <c r="G4802" t="s">
        <v>109</v>
      </c>
      <c r="H4802" t="s">
        <v>9788</v>
      </c>
    </row>
    <row r="4803" spans="1:8" x14ac:dyDescent="0.3">
      <c r="A4803" t="s">
        <v>13483</v>
      </c>
      <c r="B4803" t="s">
        <v>29022</v>
      </c>
      <c r="C4803" t="s">
        <v>24217</v>
      </c>
      <c r="D4803" t="s">
        <v>11</v>
      </c>
      <c r="E4803" t="s">
        <v>13484</v>
      </c>
      <c r="F4803">
        <v>42</v>
      </c>
      <c r="G4803" t="s">
        <v>109</v>
      </c>
      <c r="H4803" t="s">
        <v>9788</v>
      </c>
    </row>
    <row r="4804" spans="1:8" x14ac:dyDescent="0.3">
      <c r="A4804" t="s">
        <v>13485</v>
      </c>
      <c r="B4804" t="s">
        <v>29023</v>
      </c>
      <c r="C4804" t="s">
        <v>24217</v>
      </c>
      <c r="D4804" t="s">
        <v>22</v>
      </c>
      <c r="E4804" t="s">
        <v>13247</v>
      </c>
      <c r="F4804" t="e">
        <v>#VALUE!</v>
      </c>
    </row>
    <row r="4805" spans="1:8" x14ac:dyDescent="0.3">
      <c r="A4805" t="s">
        <v>13486</v>
      </c>
      <c r="B4805" t="s">
        <v>29024</v>
      </c>
      <c r="C4805" t="s">
        <v>24217</v>
      </c>
      <c r="D4805" t="s">
        <v>22</v>
      </c>
      <c r="E4805" t="s">
        <v>4449</v>
      </c>
      <c r="F4805">
        <v>48</v>
      </c>
      <c r="G4805" t="s">
        <v>109</v>
      </c>
      <c r="H4805" t="s">
        <v>9788</v>
      </c>
    </row>
    <row r="4806" spans="1:8" x14ac:dyDescent="0.3">
      <c r="A4806" t="s">
        <v>13487</v>
      </c>
      <c r="B4806" t="s">
        <v>29025</v>
      </c>
      <c r="C4806" t="s">
        <v>24217</v>
      </c>
      <c r="D4806" t="s">
        <v>22</v>
      </c>
      <c r="E4806" t="s">
        <v>1630</v>
      </c>
      <c r="F4806">
        <v>44</v>
      </c>
      <c r="G4806" t="s">
        <v>109</v>
      </c>
      <c r="H4806" t="s">
        <v>9788</v>
      </c>
    </row>
    <row r="4807" spans="1:8" x14ac:dyDescent="0.3">
      <c r="A4807" t="s">
        <v>13488</v>
      </c>
      <c r="B4807" t="s">
        <v>29026</v>
      </c>
      <c r="C4807" t="s">
        <v>24217</v>
      </c>
      <c r="D4807" t="s">
        <v>22</v>
      </c>
      <c r="E4807" t="s">
        <v>1794</v>
      </c>
      <c r="F4807">
        <v>43</v>
      </c>
      <c r="G4807" t="s">
        <v>109</v>
      </c>
      <c r="H4807" t="s">
        <v>9788</v>
      </c>
    </row>
    <row r="4808" spans="1:8" x14ac:dyDescent="0.3">
      <c r="A4808" t="s">
        <v>13489</v>
      </c>
      <c r="B4808" t="s">
        <v>29027</v>
      </c>
      <c r="C4808" t="s">
        <v>24217</v>
      </c>
      <c r="D4808" t="s">
        <v>22</v>
      </c>
      <c r="E4808" t="s">
        <v>13247</v>
      </c>
      <c r="F4808" t="e">
        <v>#VALUE!</v>
      </c>
    </row>
    <row r="4809" spans="1:8" x14ac:dyDescent="0.3">
      <c r="A4809" t="s">
        <v>13490</v>
      </c>
      <c r="B4809" t="s">
        <v>29028</v>
      </c>
      <c r="C4809" t="s">
        <v>24217</v>
      </c>
      <c r="D4809" t="s">
        <v>22</v>
      </c>
      <c r="E4809" t="s">
        <v>13247</v>
      </c>
      <c r="F4809" t="e">
        <v>#VALUE!</v>
      </c>
    </row>
    <row r="4810" spans="1:8" x14ac:dyDescent="0.3">
      <c r="A4810" t="s">
        <v>13491</v>
      </c>
      <c r="B4810" t="s">
        <v>29029</v>
      </c>
      <c r="C4810" t="s">
        <v>24217</v>
      </c>
      <c r="D4810" t="s">
        <v>11</v>
      </c>
      <c r="E4810" t="s">
        <v>13492</v>
      </c>
      <c r="F4810">
        <v>44</v>
      </c>
      <c r="G4810" t="s">
        <v>46</v>
      </c>
      <c r="H4810" t="s">
        <v>46</v>
      </c>
    </row>
    <row r="4811" spans="1:8" x14ac:dyDescent="0.3">
      <c r="A4811" t="s">
        <v>13493</v>
      </c>
      <c r="B4811" t="s">
        <v>29030</v>
      </c>
      <c r="C4811" t="s">
        <v>24217</v>
      </c>
      <c r="D4811" t="s">
        <v>22</v>
      </c>
      <c r="E4811" t="s">
        <v>13494</v>
      </c>
      <c r="F4811">
        <v>33</v>
      </c>
      <c r="G4811" t="s">
        <v>31</v>
      </c>
      <c r="H4811" t="s">
        <v>31</v>
      </c>
    </row>
    <row r="4812" spans="1:8" x14ac:dyDescent="0.3">
      <c r="A4812" t="s">
        <v>13495</v>
      </c>
      <c r="B4812" t="s">
        <v>29031</v>
      </c>
      <c r="C4812" t="s">
        <v>24217</v>
      </c>
      <c r="D4812" t="s">
        <v>22</v>
      </c>
      <c r="E4812" t="s">
        <v>13496</v>
      </c>
      <c r="F4812">
        <v>49</v>
      </c>
      <c r="G4812" t="s">
        <v>31</v>
      </c>
      <c r="H4812" t="s">
        <v>31</v>
      </c>
    </row>
    <row r="4813" spans="1:8" x14ac:dyDescent="0.3">
      <c r="A4813" t="s">
        <v>13497</v>
      </c>
      <c r="B4813" t="s">
        <v>29032</v>
      </c>
      <c r="C4813" t="s">
        <v>24217</v>
      </c>
      <c r="D4813" t="s">
        <v>22</v>
      </c>
      <c r="E4813" t="s">
        <v>13498</v>
      </c>
      <c r="F4813">
        <v>49</v>
      </c>
      <c r="G4813" t="s">
        <v>109</v>
      </c>
      <c r="H4813" t="s">
        <v>9788</v>
      </c>
    </row>
    <row r="4814" spans="1:8" x14ac:dyDescent="0.3">
      <c r="A4814" t="s">
        <v>13499</v>
      </c>
      <c r="B4814" t="s">
        <v>29033</v>
      </c>
      <c r="C4814" t="s">
        <v>24217</v>
      </c>
      <c r="D4814" t="s">
        <v>22</v>
      </c>
      <c r="E4814" t="s">
        <v>13500</v>
      </c>
      <c r="F4814">
        <v>43</v>
      </c>
      <c r="G4814" t="s">
        <v>109</v>
      </c>
      <c r="H4814" t="s">
        <v>9788</v>
      </c>
    </row>
    <row r="4815" spans="1:8" x14ac:dyDescent="0.3">
      <c r="A4815" t="s">
        <v>13501</v>
      </c>
      <c r="B4815" t="s">
        <v>29034</v>
      </c>
      <c r="C4815" t="s">
        <v>24217</v>
      </c>
      <c r="D4815" t="s">
        <v>22</v>
      </c>
      <c r="E4815" t="s">
        <v>13247</v>
      </c>
      <c r="F4815" t="e">
        <v>#VALUE!</v>
      </c>
    </row>
    <row r="4816" spans="1:8" x14ac:dyDescent="0.3">
      <c r="A4816" t="s">
        <v>13502</v>
      </c>
      <c r="B4816" t="s">
        <v>29035</v>
      </c>
      <c r="C4816" t="s">
        <v>24217</v>
      </c>
      <c r="D4816" t="s">
        <v>22</v>
      </c>
      <c r="E4816" t="s">
        <v>13503</v>
      </c>
      <c r="F4816">
        <v>31</v>
      </c>
      <c r="G4816" t="s">
        <v>31</v>
      </c>
      <c r="H4816" t="s">
        <v>31</v>
      </c>
    </row>
    <row r="4817" spans="1:9" x14ac:dyDescent="0.3">
      <c r="A4817" t="s">
        <v>13504</v>
      </c>
      <c r="B4817" t="s">
        <v>29036</v>
      </c>
      <c r="C4817" t="s">
        <v>24217</v>
      </c>
      <c r="D4817" t="s">
        <v>22</v>
      </c>
      <c r="E4817" t="s">
        <v>13505</v>
      </c>
      <c r="F4817">
        <v>44</v>
      </c>
      <c r="G4817" t="s">
        <v>109</v>
      </c>
      <c r="H4817" t="s">
        <v>9788</v>
      </c>
    </row>
    <row r="4818" spans="1:9" x14ac:dyDescent="0.3">
      <c r="A4818" t="s">
        <v>13506</v>
      </c>
      <c r="B4818" t="s">
        <v>29037</v>
      </c>
      <c r="C4818" t="s">
        <v>24217</v>
      </c>
      <c r="D4818" t="s">
        <v>22</v>
      </c>
      <c r="E4818" t="s">
        <v>13247</v>
      </c>
      <c r="F4818" t="e">
        <v>#VALUE!</v>
      </c>
    </row>
    <row r="4819" spans="1:9" x14ac:dyDescent="0.3">
      <c r="A4819" t="s">
        <v>13507</v>
      </c>
      <c r="B4819" t="s">
        <v>29038</v>
      </c>
      <c r="C4819" t="s">
        <v>24217</v>
      </c>
      <c r="D4819" t="s">
        <v>22</v>
      </c>
      <c r="E4819" t="s">
        <v>13508</v>
      </c>
      <c r="F4819">
        <v>44</v>
      </c>
      <c r="G4819" t="s">
        <v>109</v>
      </c>
      <c r="H4819" t="s">
        <v>9788</v>
      </c>
    </row>
    <row r="4820" spans="1:9" x14ac:dyDescent="0.3">
      <c r="A4820" t="s">
        <v>13509</v>
      </c>
      <c r="B4820" t="s">
        <v>29039</v>
      </c>
      <c r="C4820" t="s">
        <v>24217</v>
      </c>
      <c r="D4820" t="s">
        <v>22</v>
      </c>
      <c r="E4820" t="s">
        <v>13510</v>
      </c>
      <c r="F4820">
        <v>49</v>
      </c>
      <c r="G4820" t="s">
        <v>109</v>
      </c>
      <c r="H4820" t="s">
        <v>9788</v>
      </c>
    </row>
    <row r="4821" spans="1:9" x14ac:dyDescent="0.3">
      <c r="A4821" t="s">
        <v>13511</v>
      </c>
      <c r="B4821" t="s">
        <v>29040</v>
      </c>
      <c r="C4821" t="s">
        <v>24217</v>
      </c>
      <c r="D4821" t="s">
        <v>22</v>
      </c>
      <c r="E4821" t="s">
        <v>7998</v>
      </c>
      <c r="F4821">
        <v>46</v>
      </c>
      <c r="G4821" t="s">
        <v>109</v>
      </c>
      <c r="H4821" t="s">
        <v>9788</v>
      </c>
    </row>
    <row r="4822" spans="1:9" x14ac:dyDescent="0.3">
      <c r="A4822" t="s">
        <v>13512</v>
      </c>
      <c r="B4822" t="s">
        <v>29041</v>
      </c>
      <c r="C4822" t="s">
        <v>24217</v>
      </c>
      <c r="D4822" t="s">
        <v>22</v>
      </c>
      <c r="E4822" t="s">
        <v>13247</v>
      </c>
      <c r="F4822" t="e">
        <v>#VALUE!</v>
      </c>
    </row>
    <row r="4823" spans="1:9" x14ac:dyDescent="0.3">
      <c r="A4823" t="s">
        <v>13513</v>
      </c>
      <c r="B4823" t="s">
        <v>29042</v>
      </c>
      <c r="C4823" t="s">
        <v>24217</v>
      </c>
      <c r="D4823" t="s">
        <v>22</v>
      </c>
      <c r="E4823" t="s">
        <v>13247</v>
      </c>
      <c r="F4823" t="e">
        <v>#VALUE!</v>
      </c>
    </row>
    <row r="4824" spans="1:9" x14ac:dyDescent="0.3">
      <c r="A4824" t="s">
        <v>13514</v>
      </c>
      <c r="B4824" t="s">
        <v>29043</v>
      </c>
      <c r="C4824" t="s">
        <v>24217</v>
      </c>
      <c r="D4824" t="s">
        <v>22</v>
      </c>
      <c r="E4824" t="s">
        <v>13247</v>
      </c>
      <c r="F4824" t="e">
        <v>#VALUE!</v>
      </c>
    </row>
    <row r="4825" spans="1:9" x14ac:dyDescent="0.3">
      <c r="A4825" t="s">
        <v>13515</v>
      </c>
      <c r="B4825" t="s">
        <v>29044</v>
      </c>
      <c r="C4825" t="s">
        <v>24217</v>
      </c>
      <c r="D4825" t="s">
        <v>22</v>
      </c>
      <c r="E4825" t="s">
        <v>13516</v>
      </c>
      <c r="F4825">
        <v>45</v>
      </c>
      <c r="G4825" t="s">
        <v>31</v>
      </c>
      <c r="H4825" t="s">
        <v>31</v>
      </c>
    </row>
    <row r="4826" spans="1:9" x14ac:dyDescent="0.3">
      <c r="A4826" t="s">
        <v>13517</v>
      </c>
      <c r="B4826" t="s">
        <v>29045</v>
      </c>
      <c r="C4826" t="s">
        <v>24217</v>
      </c>
      <c r="D4826" t="s">
        <v>22</v>
      </c>
      <c r="E4826" t="s">
        <v>13518</v>
      </c>
      <c r="F4826">
        <v>37</v>
      </c>
      <c r="G4826" t="s">
        <v>109</v>
      </c>
      <c r="H4826" t="s">
        <v>9788</v>
      </c>
    </row>
    <row r="4827" spans="1:9" x14ac:dyDescent="0.3">
      <c r="A4827" t="s">
        <v>13519</v>
      </c>
      <c r="B4827" t="s">
        <v>29046</v>
      </c>
      <c r="C4827" t="s">
        <v>24217</v>
      </c>
      <c r="D4827" t="s">
        <v>22</v>
      </c>
      <c r="E4827" t="s">
        <v>13247</v>
      </c>
      <c r="F4827" t="e">
        <v>#VALUE!</v>
      </c>
    </row>
    <row r="4828" spans="1:9" x14ac:dyDescent="0.3">
      <c r="A4828" t="s">
        <v>13520</v>
      </c>
      <c r="B4828" t="s">
        <v>29047</v>
      </c>
      <c r="C4828" t="s">
        <v>24217</v>
      </c>
      <c r="D4828" t="s">
        <v>11</v>
      </c>
      <c r="E4828" t="s">
        <v>3744</v>
      </c>
      <c r="F4828">
        <v>49</v>
      </c>
      <c r="G4828" t="s">
        <v>109</v>
      </c>
      <c r="H4828" t="s">
        <v>9788</v>
      </c>
    </row>
    <row r="4829" spans="1:9" x14ac:dyDescent="0.3">
      <c r="A4829" t="s">
        <v>13521</v>
      </c>
      <c r="B4829" t="s">
        <v>29048</v>
      </c>
      <c r="C4829" t="s">
        <v>24217</v>
      </c>
      <c r="D4829" t="s">
        <v>11</v>
      </c>
      <c r="E4829" t="s">
        <v>9210</v>
      </c>
      <c r="F4829">
        <v>51</v>
      </c>
      <c r="G4829" t="s">
        <v>109</v>
      </c>
      <c r="H4829" t="s">
        <v>9788</v>
      </c>
    </row>
    <row r="4830" spans="1:9" x14ac:dyDescent="0.3">
      <c r="A4830" t="s">
        <v>13522</v>
      </c>
      <c r="B4830" t="s">
        <v>29049</v>
      </c>
      <c r="C4830" t="s">
        <v>24217</v>
      </c>
      <c r="D4830" t="s">
        <v>384</v>
      </c>
      <c r="E4830" t="s">
        <v>13247</v>
      </c>
      <c r="F4830" t="e">
        <v>#VALUE!</v>
      </c>
    </row>
    <row r="4831" spans="1:9" x14ac:dyDescent="0.3">
      <c r="A4831" t="s">
        <v>13523</v>
      </c>
      <c r="B4831" t="s">
        <v>29050</v>
      </c>
      <c r="C4831" t="s">
        <v>20486</v>
      </c>
      <c r="D4831" t="s">
        <v>22</v>
      </c>
      <c r="E4831" t="s">
        <v>4725</v>
      </c>
      <c r="F4831">
        <v>44</v>
      </c>
      <c r="G4831" t="s">
        <v>172</v>
      </c>
      <c r="H4831" t="s">
        <v>12099</v>
      </c>
      <c r="I4831" t="s">
        <v>110</v>
      </c>
    </row>
    <row r="4832" spans="1:9" x14ac:dyDescent="0.3">
      <c r="A4832" t="s">
        <v>13524</v>
      </c>
      <c r="B4832" t="s">
        <v>29051</v>
      </c>
      <c r="C4832" t="s">
        <v>24217</v>
      </c>
      <c r="D4832" t="s">
        <v>22</v>
      </c>
      <c r="E4832" t="s">
        <v>8253</v>
      </c>
      <c r="F4832">
        <v>56</v>
      </c>
      <c r="G4832" t="s">
        <v>155</v>
      </c>
      <c r="H4832" t="s">
        <v>9791</v>
      </c>
    </row>
    <row r="4833" spans="1:10" x14ac:dyDescent="0.3">
      <c r="A4833" t="s">
        <v>13525</v>
      </c>
      <c r="B4833" t="s">
        <v>29052</v>
      </c>
      <c r="C4833" t="s">
        <v>20490</v>
      </c>
      <c r="D4833" t="s">
        <v>11</v>
      </c>
      <c r="E4833" t="s">
        <v>5882</v>
      </c>
      <c r="F4833">
        <v>27</v>
      </c>
      <c r="G4833" t="s">
        <v>1200</v>
      </c>
      <c r="H4833" t="s">
        <v>9788</v>
      </c>
      <c r="I4833" t="s">
        <v>17</v>
      </c>
    </row>
    <row r="4834" spans="1:10" x14ac:dyDescent="0.3">
      <c r="A4834" t="s">
        <v>13526</v>
      </c>
      <c r="B4834" t="s">
        <v>29053</v>
      </c>
      <c r="C4834" t="s">
        <v>20488</v>
      </c>
      <c r="D4834" t="s">
        <v>22</v>
      </c>
      <c r="E4834" t="s">
        <v>13527</v>
      </c>
      <c r="F4834">
        <v>56</v>
      </c>
      <c r="G4834" t="s">
        <v>46</v>
      </c>
      <c r="H4834" t="s">
        <v>46</v>
      </c>
      <c r="I4834" t="s">
        <v>1575</v>
      </c>
      <c r="J4834" t="s">
        <v>1575</v>
      </c>
    </row>
    <row r="4835" spans="1:10" x14ac:dyDescent="0.3">
      <c r="A4835" t="s">
        <v>13528</v>
      </c>
      <c r="B4835" t="s">
        <v>29054</v>
      </c>
      <c r="C4835" t="s">
        <v>20486</v>
      </c>
      <c r="D4835" t="s">
        <v>22</v>
      </c>
      <c r="E4835" t="s">
        <v>13529</v>
      </c>
      <c r="F4835">
        <v>33</v>
      </c>
      <c r="G4835" t="s">
        <v>31</v>
      </c>
      <c r="H4835" t="s">
        <v>31</v>
      </c>
      <c r="I4835" t="s">
        <v>201</v>
      </c>
      <c r="J4835" t="s">
        <v>13530</v>
      </c>
    </row>
    <row r="4836" spans="1:10" x14ac:dyDescent="0.3">
      <c r="A4836" t="s">
        <v>13531</v>
      </c>
      <c r="B4836" t="s">
        <v>29055</v>
      </c>
      <c r="C4836" t="s">
        <v>20487</v>
      </c>
      <c r="D4836" t="s">
        <v>22</v>
      </c>
      <c r="E4836" t="s">
        <v>946</v>
      </c>
      <c r="F4836">
        <v>58</v>
      </c>
      <c r="G4836" t="s">
        <v>46</v>
      </c>
      <c r="H4836" t="s">
        <v>46</v>
      </c>
      <c r="I4836" t="s">
        <v>228</v>
      </c>
      <c r="J4836" t="s">
        <v>13532</v>
      </c>
    </row>
    <row r="4837" spans="1:10" x14ac:dyDescent="0.3">
      <c r="A4837" t="s">
        <v>13533</v>
      </c>
      <c r="B4837" t="s">
        <v>29056</v>
      </c>
      <c r="C4837" t="s">
        <v>20491</v>
      </c>
      <c r="D4837" t="s">
        <v>22</v>
      </c>
      <c r="E4837" t="s">
        <v>13534</v>
      </c>
      <c r="F4837">
        <v>58</v>
      </c>
      <c r="G4837" t="s">
        <v>46</v>
      </c>
      <c r="H4837" t="s">
        <v>46</v>
      </c>
      <c r="I4837" t="s">
        <v>228</v>
      </c>
      <c r="J4837" t="s">
        <v>13535</v>
      </c>
    </row>
    <row r="4838" spans="1:10" x14ac:dyDescent="0.3">
      <c r="A4838" t="s">
        <v>13536</v>
      </c>
      <c r="B4838" t="s">
        <v>29057</v>
      </c>
      <c r="C4838" t="s">
        <v>20486</v>
      </c>
      <c r="D4838" t="s">
        <v>22</v>
      </c>
      <c r="E4838" t="s">
        <v>3187</v>
      </c>
      <c r="F4838">
        <v>53</v>
      </c>
      <c r="G4838" t="s">
        <v>109</v>
      </c>
      <c r="H4838" t="s">
        <v>9788</v>
      </c>
      <c r="I4838" t="s">
        <v>201</v>
      </c>
      <c r="J4838" t="s">
        <v>13537</v>
      </c>
    </row>
    <row r="4839" spans="1:10" x14ac:dyDescent="0.3">
      <c r="A4839" t="s">
        <v>13538</v>
      </c>
      <c r="B4839" t="s">
        <v>29058</v>
      </c>
      <c r="C4839" t="s">
        <v>20486</v>
      </c>
      <c r="D4839" t="s">
        <v>11</v>
      </c>
      <c r="E4839" t="s">
        <v>13539</v>
      </c>
      <c r="F4839">
        <v>40</v>
      </c>
      <c r="G4839" t="s">
        <v>109</v>
      </c>
      <c r="H4839" t="s">
        <v>9788</v>
      </c>
      <c r="I4839" t="s">
        <v>201</v>
      </c>
      <c r="J4839" t="s">
        <v>13537</v>
      </c>
    </row>
    <row r="4840" spans="1:10" x14ac:dyDescent="0.3">
      <c r="A4840" t="s">
        <v>13540</v>
      </c>
      <c r="B4840" t="s">
        <v>29059</v>
      </c>
      <c r="C4840" t="s">
        <v>20487</v>
      </c>
      <c r="D4840" t="s">
        <v>22</v>
      </c>
      <c r="E4840" t="s">
        <v>13541</v>
      </c>
      <c r="F4840">
        <v>28</v>
      </c>
      <c r="G4840" t="s">
        <v>955</v>
      </c>
      <c r="H4840" t="s">
        <v>9788</v>
      </c>
      <c r="J4840" t="s">
        <v>12127</v>
      </c>
    </row>
    <row r="4841" spans="1:10" x14ac:dyDescent="0.3">
      <c r="A4841" t="s">
        <v>13542</v>
      </c>
      <c r="B4841" t="s">
        <v>29060</v>
      </c>
      <c r="C4841" t="s">
        <v>20487</v>
      </c>
      <c r="D4841" t="s">
        <v>22</v>
      </c>
      <c r="E4841" t="s">
        <v>13543</v>
      </c>
      <c r="F4841">
        <v>42</v>
      </c>
      <c r="G4841" t="s">
        <v>31</v>
      </c>
      <c r="H4841" t="s">
        <v>31</v>
      </c>
    </row>
    <row r="4842" spans="1:10" x14ac:dyDescent="0.3">
      <c r="A4842" t="s">
        <v>13544</v>
      </c>
      <c r="B4842" t="s">
        <v>29061</v>
      </c>
      <c r="C4842" t="s">
        <v>20486</v>
      </c>
      <c r="D4842" t="s">
        <v>22</v>
      </c>
      <c r="E4842" t="s">
        <v>13545</v>
      </c>
      <c r="F4842">
        <v>49</v>
      </c>
      <c r="G4842" t="s">
        <v>46</v>
      </c>
      <c r="H4842" t="s">
        <v>46</v>
      </c>
      <c r="I4842" t="s">
        <v>12232</v>
      </c>
      <c r="J4842" t="s">
        <v>13546</v>
      </c>
    </row>
    <row r="4843" spans="1:10" x14ac:dyDescent="0.3">
      <c r="A4843" t="s">
        <v>13547</v>
      </c>
      <c r="B4843" t="s">
        <v>29062</v>
      </c>
      <c r="C4843" t="s">
        <v>24217</v>
      </c>
      <c r="D4843" t="s">
        <v>11</v>
      </c>
      <c r="E4843" t="s">
        <v>13548</v>
      </c>
      <c r="F4843">
        <v>40</v>
      </c>
      <c r="H4843" t="s">
        <v>9785</v>
      </c>
      <c r="I4843" t="s">
        <v>441</v>
      </c>
      <c r="J4843" t="s">
        <v>13549</v>
      </c>
    </row>
    <row r="4844" spans="1:10" x14ac:dyDescent="0.3">
      <c r="A4844" t="s">
        <v>13550</v>
      </c>
      <c r="B4844" t="s">
        <v>29063</v>
      </c>
      <c r="C4844" t="s">
        <v>20487</v>
      </c>
      <c r="D4844" t="s">
        <v>22</v>
      </c>
      <c r="E4844" t="s">
        <v>13551</v>
      </c>
      <c r="F4844">
        <v>56</v>
      </c>
      <c r="G4844" t="s">
        <v>1439</v>
      </c>
      <c r="H4844" t="s">
        <v>46</v>
      </c>
      <c r="I4844" t="s">
        <v>13552</v>
      </c>
    </row>
    <row r="4845" spans="1:10" x14ac:dyDescent="0.3">
      <c r="A4845" t="s">
        <v>13553</v>
      </c>
      <c r="B4845" t="s">
        <v>29064</v>
      </c>
      <c r="C4845" t="s">
        <v>24217</v>
      </c>
      <c r="D4845" t="s">
        <v>22</v>
      </c>
      <c r="E4845" t="s">
        <v>7147</v>
      </c>
      <c r="F4845">
        <v>41</v>
      </c>
    </row>
    <row r="4846" spans="1:10" x14ac:dyDescent="0.3">
      <c r="A4846" t="s">
        <v>13554</v>
      </c>
      <c r="B4846" t="s">
        <v>29065</v>
      </c>
      <c r="C4846" t="s">
        <v>20486</v>
      </c>
      <c r="D4846" t="s">
        <v>11</v>
      </c>
      <c r="E4846" t="s">
        <v>8291</v>
      </c>
      <c r="F4846">
        <v>54</v>
      </c>
      <c r="G4846" t="s">
        <v>1226</v>
      </c>
      <c r="H4846" t="s">
        <v>9791</v>
      </c>
      <c r="I4846" t="s">
        <v>7125</v>
      </c>
    </row>
    <row r="4847" spans="1:10" x14ac:dyDescent="0.3">
      <c r="A4847" t="s">
        <v>13555</v>
      </c>
      <c r="B4847" t="s">
        <v>29066</v>
      </c>
      <c r="C4847" t="s">
        <v>20486</v>
      </c>
      <c r="D4847" t="s">
        <v>22</v>
      </c>
      <c r="E4847" t="s">
        <v>13556</v>
      </c>
      <c r="F4847">
        <v>43</v>
      </c>
      <c r="G4847" t="s">
        <v>155</v>
      </c>
      <c r="H4847" t="s">
        <v>9791</v>
      </c>
    </row>
    <row r="4848" spans="1:10" x14ac:dyDescent="0.3">
      <c r="A4848" t="s">
        <v>13557</v>
      </c>
      <c r="B4848" t="s">
        <v>29067</v>
      </c>
      <c r="C4848" t="s">
        <v>20488</v>
      </c>
      <c r="D4848" t="s">
        <v>22</v>
      </c>
      <c r="E4848" t="s">
        <v>5072</v>
      </c>
      <c r="F4848">
        <v>49</v>
      </c>
      <c r="G4848" t="s">
        <v>46</v>
      </c>
      <c r="H4848" t="s">
        <v>46</v>
      </c>
      <c r="I4848" t="s">
        <v>1828</v>
      </c>
      <c r="J4848" t="s">
        <v>13558</v>
      </c>
    </row>
    <row r="4849" spans="1:10" x14ac:dyDescent="0.3">
      <c r="A4849" t="s">
        <v>13559</v>
      </c>
      <c r="B4849" t="s">
        <v>29068</v>
      </c>
      <c r="C4849" t="s">
        <v>20487</v>
      </c>
      <c r="D4849" t="s">
        <v>11</v>
      </c>
      <c r="E4849" t="s">
        <v>2035</v>
      </c>
      <c r="F4849">
        <v>46</v>
      </c>
      <c r="G4849" t="s">
        <v>46</v>
      </c>
      <c r="H4849" t="s">
        <v>46</v>
      </c>
      <c r="I4849" t="s">
        <v>3820</v>
      </c>
    </row>
    <row r="4850" spans="1:10" x14ac:dyDescent="0.3">
      <c r="A4850" t="s">
        <v>13560</v>
      </c>
      <c r="B4850" t="s">
        <v>29069</v>
      </c>
      <c r="C4850" t="s">
        <v>20491</v>
      </c>
      <c r="D4850" t="s">
        <v>22</v>
      </c>
      <c r="E4850" t="s">
        <v>6082</v>
      </c>
      <c r="F4850">
        <v>51</v>
      </c>
      <c r="G4850" t="s">
        <v>46</v>
      </c>
      <c r="H4850" t="s">
        <v>46</v>
      </c>
      <c r="I4850" t="s">
        <v>13561</v>
      </c>
    </row>
    <row r="4851" spans="1:10" x14ac:dyDescent="0.3">
      <c r="A4851" t="s">
        <v>13562</v>
      </c>
      <c r="B4851" t="s">
        <v>29070</v>
      </c>
      <c r="C4851" t="s">
        <v>20488</v>
      </c>
      <c r="D4851" t="s">
        <v>22</v>
      </c>
      <c r="E4851" t="s">
        <v>13563</v>
      </c>
      <c r="F4851">
        <v>52</v>
      </c>
      <c r="G4851" t="s">
        <v>46</v>
      </c>
      <c r="H4851" t="s">
        <v>46</v>
      </c>
      <c r="I4851" t="s">
        <v>13564</v>
      </c>
      <c r="J4851" t="s">
        <v>13565</v>
      </c>
    </row>
    <row r="4852" spans="1:10" x14ac:dyDescent="0.3">
      <c r="A4852" t="s">
        <v>13566</v>
      </c>
      <c r="B4852" t="s">
        <v>29071</v>
      </c>
      <c r="C4852" t="s">
        <v>20488</v>
      </c>
      <c r="D4852" t="s">
        <v>22</v>
      </c>
      <c r="E4852" t="s">
        <v>3257</v>
      </c>
      <c r="F4852">
        <v>58</v>
      </c>
      <c r="G4852" t="s">
        <v>31</v>
      </c>
      <c r="H4852" t="s">
        <v>31</v>
      </c>
      <c r="I4852" t="s">
        <v>33</v>
      </c>
      <c r="J4852" t="s">
        <v>33</v>
      </c>
    </row>
    <row r="4853" spans="1:10" x14ac:dyDescent="0.3">
      <c r="A4853" t="s">
        <v>13567</v>
      </c>
      <c r="B4853" t="s">
        <v>29072</v>
      </c>
      <c r="C4853" t="s">
        <v>20486</v>
      </c>
      <c r="D4853" t="s">
        <v>11</v>
      </c>
      <c r="E4853" t="s">
        <v>8644</v>
      </c>
      <c r="F4853">
        <v>31</v>
      </c>
      <c r="G4853" t="s">
        <v>109</v>
      </c>
      <c r="H4853" t="s">
        <v>9788</v>
      </c>
      <c r="J4853" t="s">
        <v>13568</v>
      </c>
    </row>
    <row r="4854" spans="1:10" x14ac:dyDescent="0.3">
      <c r="A4854" t="s">
        <v>13569</v>
      </c>
      <c r="B4854" t="s">
        <v>29073</v>
      </c>
      <c r="C4854" t="s">
        <v>20487</v>
      </c>
      <c r="D4854" t="s">
        <v>22</v>
      </c>
      <c r="E4854" t="s">
        <v>13570</v>
      </c>
      <c r="F4854">
        <v>34</v>
      </c>
      <c r="G4854" t="s">
        <v>46</v>
      </c>
      <c r="H4854" t="s">
        <v>46</v>
      </c>
      <c r="I4854" t="s">
        <v>13571</v>
      </c>
    </row>
    <row r="4855" spans="1:10" x14ac:dyDescent="0.3">
      <c r="A4855" t="s">
        <v>13572</v>
      </c>
      <c r="B4855" t="s">
        <v>29074</v>
      </c>
      <c r="C4855" t="s">
        <v>20487</v>
      </c>
      <c r="D4855" t="s">
        <v>11</v>
      </c>
      <c r="E4855" t="s">
        <v>7140</v>
      </c>
      <c r="F4855">
        <v>57</v>
      </c>
      <c r="G4855" t="s">
        <v>46</v>
      </c>
      <c r="H4855" t="s">
        <v>46</v>
      </c>
    </row>
    <row r="4856" spans="1:10" x14ac:dyDescent="0.3">
      <c r="A4856" t="s">
        <v>13575</v>
      </c>
      <c r="B4856" t="s">
        <v>29075</v>
      </c>
      <c r="C4856" t="s">
        <v>24217</v>
      </c>
      <c r="D4856" t="s">
        <v>22</v>
      </c>
      <c r="E4856" t="s">
        <v>13576</v>
      </c>
      <c r="F4856">
        <v>40</v>
      </c>
    </row>
    <row r="4857" spans="1:10" x14ac:dyDescent="0.3">
      <c r="A4857" t="s">
        <v>13577</v>
      </c>
      <c r="B4857" t="s">
        <v>29076</v>
      </c>
      <c r="C4857" t="s">
        <v>20487</v>
      </c>
      <c r="D4857" t="s">
        <v>22</v>
      </c>
      <c r="E4857" t="s">
        <v>13578</v>
      </c>
      <c r="F4857">
        <v>51</v>
      </c>
      <c r="G4857" t="s">
        <v>1820</v>
      </c>
      <c r="H4857" t="s">
        <v>46</v>
      </c>
      <c r="I4857" t="s">
        <v>228</v>
      </c>
      <c r="J4857" t="s">
        <v>1479</v>
      </c>
    </row>
    <row r="4858" spans="1:10" x14ac:dyDescent="0.3">
      <c r="A4858" t="s">
        <v>13579</v>
      </c>
      <c r="B4858" t="s">
        <v>29077</v>
      </c>
      <c r="C4858" t="s">
        <v>20486</v>
      </c>
      <c r="D4858" t="s">
        <v>11</v>
      </c>
      <c r="E4858" t="s">
        <v>13580</v>
      </c>
      <c r="F4858">
        <v>28</v>
      </c>
      <c r="G4858" t="s">
        <v>46</v>
      </c>
      <c r="H4858" t="s">
        <v>46</v>
      </c>
      <c r="I4858" t="s">
        <v>228</v>
      </c>
      <c r="J4858" t="s">
        <v>13581</v>
      </c>
    </row>
    <row r="4859" spans="1:10" x14ac:dyDescent="0.3">
      <c r="A4859" t="s">
        <v>13582</v>
      </c>
      <c r="B4859" t="s">
        <v>29078</v>
      </c>
      <c r="C4859" t="s">
        <v>24217</v>
      </c>
      <c r="D4859" t="s">
        <v>22</v>
      </c>
      <c r="E4859" t="s">
        <v>13583</v>
      </c>
      <c r="F4859">
        <v>49</v>
      </c>
    </row>
    <row r="4860" spans="1:10" x14ac:dyDescent="0.3">
      <c r="A4860" t="s">
        <v>13584</v>
      </c>
      <c r="B4860" t="s">
        <v>29079</v>
      </c>
      <c r="C4860" t="s">
        <v>20486</v>
      </c>
      <c r="D4860" t="s">
        <v>22</v>
      </c>
      <c r="E4860" t="s">
        <v>13585</v>
      </c>
      <c r="F4860">
        <v>45</v>
      </c>
      <c r="G4860" t="s">
        <v>16</v>
      </c>
      <c r="H4860" t="s">
        <v>9785</v>
      </c>
      <c r="I4860" t="s">
        <v>17</v>
      </c>
      <c r="J4860" t="s">
        <v>13586</v>
      </c>
    </row>
    <row r="4861" spans="1:10" x14ac:dyDescent="0.3">
      <c r="A4861" t="s">
        <v>13587</v>
      </c>
      <c r="B4861" t="s">
        <v>29080</v>
      </c>
      <c r="C4861" t="s">
        <v>20487</v>
      </c>
      <c r="D4861" t="s">
        <v>11</v>
      </c>
      <c r="E4861" t="s">
        <v>13588</v>
      </c>
      <c r="F4861">
        <v>30</v>
      </c>
      <c r="G4861" t="s">
        <v>133</v>
      </c>
      <c r="H4861" t="s">
        <v>9789</v>
      </c>
      <c r="I4861" t="s">
        <v>1527</v>
      </c>
    </row>
    <row r="4862" spans="1:10" x14ac:dyDescent="0.3">
      <c r="A4862" t="s">
        <v>13589</v>
      </c>
      <c r="B4862" t="s">
        <v>29081</v>
      </c>
      <c r="C4862" t="s">
        <v>20487</v>
      </c>
      <c r="D4862" t="s">
        <v>22</v>
      </c>
      <c r="E4862" t="s">
        <v>2281</v>
      </c>
      <c r="F4862">
        <v>56</v>
      </c>
      <c r="G4862" t="s">
        <v>172</v>
      </c>
      <c r="H4862" t="s">
        <v>9785</v>
      </c>
      <c r="I4862" t="s">
        <v>441</v>
      </c>
      <c r="J4862" t="s">
        <v>13590</v>
      </c>
    </row>
    <row r="4863" spans="1:10" x14ac:dyDescent="0.3">
      <c r="A4863" t="s">
        <v>13591</v>
      </c>
      <c r="B4863" t="s">
        <v>29082</v>
      </c>
      <c r="C4863" t="s">
        <v>20486</v>
      </c>
      <c r="D4863" t="s">
        <v>11</v>
      </c>
      <c r="E4863" t="s">
        <v>13592</v>
      </c>
      <c r="F4863">
        <v>21</v>
      </c>
      <c r="G4863" t="s">
        <v>109</v>
      </c>
      <c r="H4863" t="s">
        <v>9788</v>
      </c>
      <c r="I4863" t="s">
        <v>228</v>
      </c>
      <c r="J4863" t="s">
        <v>13593</v>
      </c>
    </row>
    <row r="4864" spans="1:10" x14ac:dyDescent="0.3">
      <c r="A4864" t="s">
        <v>13594</v>
      </c>
      <c r="B4864" t="s">
        <v>29083</v>
      </c>
      <c r="C4864" t="s">
        <v>20490</v>
      </c>
      <c r="D4864" t="s">
        <v>11</v>
      </c>
      <c r="E4864" t="s">
        <v>13595</v>
      </c>
      <c r="F4864">
        <v>65</v>
      </c>
      <c r="G4864" t="s">
        <v>13</v>
      </c>
      <c r="H4864" t="s">
        <v>13</v>
      </c>
    </row>
    <row r="4865" spans="1:10" x14ac:dyDescent="0.3">
      <c r="A4865" t="s">
        <v>13596</v>
      </c>
      <c r="B4865" t="s">
        <v>29084</v>
      </c>
      <c r="C4865" t="s">
        <v>20486</v>
      </c>
      <c r="D4865" t="s">
        <v>11</v>
      </c>
      <c r="E4865" t="s">
        <v>13597</v>
      </c>
      <c r="F4865">
        <v>23</v>
      </c>
      <c r="G4865" t="s">
        <v>109</v>
      </c>
      <c r="H4865" t="s">
        <v>9788</v>
      </c>
      <c r="I4865" t="s">
        <v>228</v>
      </c>
      <c r="J4865" t="s">
        <v>3793</v>
      </c>
    </row>
    <row r="4866" spans="1:10" x14ac:dyDescent="0.3">
      <c r="A4866" t="s">
        <v>13598</v>
      </c>
      <c r="B4866" t="s">
        <v>29085</v>
      </c>
      <c r="C4866" t="s">
        <v>20486</v>
      </c>
      <c r="D4866" t="s">
        <v>11</v>
      </c>
      <c r="E4866" t="s">
        <v>13599</v>
      </c>
      <c r="F4866">
        <v>22</v>
      </c>
      <c r="G4866" t="s">
        <v>109</v>
      </c>
      <c r="H4866" t="s">
        <v>9788</v>
      </c>
      <c r="I4866" t="s">
        <v>228</v>
      </c>
      <c r="J4866" t="s">
        <v>3793</v>
      </c>
    </row>
    <row r="4867" spans="1:10" x14ac:dyDescent="0.3">
      <c r="A4867" t="s">
        <v>13600</v>
      </c>
      <c r="B4867" t="s">
        <v>29086</v>
      </c>
      <c r="C4867" t="s">
        <v>20486</v>
      </c>
      <c r="D4867" t="s">
        <v>22</v>
      </c>
      <c r="E4867" t="s">
        <v>13601</v>
      </c>
      <c r="F4867">
        <v>62</v>
      </c>
      <c r="G4867" t="s">
        <v>46</v>
      </c>
      <c r="H4867" t="s">
        <v>46</v>
      </c>
    </row>
    <row r="4868" spans="1:10" x14ac:dyDescent="0.3">
      <c r="A4868" t="s">
        <v>13602</v>
      </c>
      <c r="B4868" t="s">
        <v>29087</v>
      </c>
      <c r="C4868" t="s">
        <v>20486</v>
      </c>
      <c r="D4868" t="s">
        <v>22</v>
      </c>
      <c r="E4868" t="s">
        <v>13603</v>
      </c>
      <c r="F4868">
        <v>54</v>
      </c>
      <c r="G4868" t="s">
        <v>243</v>
      </c>
      <c r="H4868" t="s">
        <v>243</v>
      </c>
    </row>
    <row r="4869" spans="1:10" x14ac:dyDescent="0.3">
      <c r="A4869" t="s">
        <v>13604</v>
      </c>
      <c r="B4869" t="s">
        <v>29088</v>
      </c>
      <c r="C4869" t="s">
        <v>20486</v>
      </c>
      <c r="D4869" t="s">
        <v>22</v>
      </c>
      <c r="E4869" t="s">
        <v>13153</v>
      </c>
      <c r="F4869">
        <v>50</v>
      </c>
      <c r="G4869" t="s">
        <v>243</v>
      </c>
      <c r="H4869" t="s">
        <v>243</v>
      </c>
    </row>
    <row r="4870" spans="1:10" x14ac:dyDescent="0.3">
      <c r="A4870" t="s">
        <v>13605</v>
      </c>
      <c r="B4870" t="s">
        <v>29089</v>
      </c>
      <c r="C4870" t="s">
        <v>20490</v>
      </c>
      <c r="D4870" t="s">
        <v>22</v>
      </c>
      <c r="E4870" t="s">
        <v>13606</v>
      </c>
      <c r="F4870">
        <v>30</v>
      </c>
      <c r="G4870" t="s">
        <v>1200</v>
      </c>
      <c r="H4870" t="s">
        <v>9788</v>
      </c>
      <c r="I4870" t="s">
        <v>110</v>
      </c>
      <c r="J4870" t="s">
        <v>13607</v>
      </c>
    </row>
    <row r="4871" spans="1:10" x14ac:dyDescent="0.3">
      <c r="A4871" t="s">
        <v>13608</v>
      </c>
      <c r="B4871" t="s">
        <v>29090</v>
      </c>
      <c r="C4871" t="s">
        <v>20491</v>
      </c>
      <c r="D4871" t="s">
        <v>11</v>
      </c>
      <c r="E4871" t="s">
        <v>13609</v>
      </c>
      <c r="F4871">
        <v>42</v>
      </c>
      <c r="G4871" t="s">
        <v>133</v>
      </c>
      <c r="H4871" t="s">
        <v>9789</v>
      </c>
      <c r="I4871" t="s">
        <v>1972</v>
      </c>
      <c r="J4871" t="s">
        <v>13610</v>
      </c>
    </row>
    <row r="4872" spans="1:10" x14ac:dyDescent="0.3">
      <c r="A4872" t="s">
        <v>13611</v>
      </c>
      <c r="B4872" t="s">
        <v>29091</v>
      </c>
      <c r="C4872" t="s">
        <v>20488</v>
      </c>
      <c r="D4872" t="s">
        <v>11</v>
      </c>
      <c r="E4872" t="s">
        <v>13612</v>
      </c>
      <c r="F4872">
        <v>64</v>
      </c>
      <c r="G4872" t="s">
        <v>46</v>
      </c>
      <c r="H4872" t="s">
        <v>46</v>
      </c>
      <c r="I4872" t="s">
        <v>4556</v>
      </c>
      <c r="J4872" t="s">
        <v>6884</v>
      </c>
    </row>
    <row r="4873" spans="1:10" x14ac:dyDescent="0.3">
      <c r="A4873" t="s">
        <v>13613</v>
      </c>
      <c r="B4873" t="s">
        <v>29092</v>
      </c>
      <c r="C4873" t="s">
        <v>20488</v>
      </c>
      <c r="D4873" t="s">
        <v>22</v>
      </c>
      <c r="E4873" t="s">
        <v>13614</v>
      </c>
      <c r="F4873">
        <v>57</v>
      </c>
      <c r="G4873" t="s">
        <v>46</v>
      </c>
      <c r="H4873" t="s">
        <v>46</v>
      </c>
      <c r="I4873" t="s">
        <v>1558</v>
      </c>
      <c r="J4873" t="s">
        <v>13615</v>
      </c>
    </row>
    <row r="4874" spans="1:10" x14ac:dyDescent="0.3">
      <c r="A4874" t="s">
        <v>13616</v>
      </c>
      <c r="B4874" t="s">
        <v>29093</v>
      </c>
      <c r="C4874" t="s">
        <v>20487</v>
      </c>
      <c r="D4874" t="s">
        <v>11</v>
      </c>
      <c r="E4874" t="s">
        <v>13617</v>
      </c>
      <c r="F4874">
        <v>26</v>
      </c>
      <c r="G4874" t="s">
        <v>109</v>
      </c>
      <c r="H4874" t="s">
        <v>9788</v>
      </c>
      <c r="I4874" t="s">
        <v>1534</v>
      </c>
      <c r="J4874" t="s">
        <v>13618</v>
      </c>
    </row>
    <row r="4875" spans="1:10" x14ac:dyDescent="0.3">
      <c r="A4875" t="s">
        <v>13619</v>
      </c>
      <c r="B4875" t="s">
        <v>29094</v>
      </c>
      <c r="C4875" t="s">
        <v>20486</v>
      </c>
      <c r="D4875" t="s">
        <v>22</v>
      </c>
      <c r="E4875" t="s">
        <v>13620</v>
      </c>
      <c r="F4875">
        <v>25</v>
      </c>
      <c r="G4875" t="s">
        <v>109</v>
      </c>
      <c r="H4875" t="s">
        <v>9788</v>
      </c>
      <c r="I4875" t="s">
        <v>8693</v>
      </c>
      <c r="J4875" t="s">
        <v>13621</v>
      </c>
    </row>
    <row r="4876" spans="1:10" x14ac:dyDescent="0.3">
      <c r="A4876" t="s">
        <v>13623</v>
      </c>
      <c r="B4876" t="s">
        <v>29095</v>
      </c>
      <c r="C4876" t="s">
        <v>20486</v>
      </c>
      <c r="D4876" t="s">
        <v>22</v>
      </c>
      <c r="E4876" t="s">
        <v>7423</v>
      </c>
      <c r="F4876">
        <v>32</v>
      </c>
      <c r="G4876" t="s">
        <v>172</v>
      </c>
      <c r="H4876" t="s">
        <v>12099</v>
      </c>
      <c r="I4876" t="s">
        <v>110</v>
      </c>
      <c r="J4876" t="s">
        <v>13624</v>
      </c>
    </row>
    <row r="4877" spans="1:10" x14ac:dyDescent="0.3">
      <c r="A4877" t="s">
        <v>13625</v>
      </c>
      <c r="B4877" t="s">
        <v>29096</v>
      </c>
      <c r="C4877" t="s">
        <v>20486</v>
      </c>
      <c r="D4877" t="s">
        <v>11</v>
      </c>
      <c r="E4877" t="s">
        <v>9615</v>
      </c>
      <c r="F4877">
        <v>17</v>
      </c>
      <c r="G4877" t="s">
        <v>337</v>
      </c>
      <c r="H4877" t="s">
        <v>337</v>
      </c>
      <c r="J4877" t="s">
        <v>13626</v>
      </c>
    </row>
    <row r="4878" spans="1:10" x14ac:dyDescent="0.3">
      <c r="A4878" t="s">
        <v>13627</v>
      </c>
      <c r="B4878" t="s">
        <v>29097</v>
      </c>
      <c r="C4878" t="s">
        <v>20489</v>
      </c>
      <c r="D4878" t="s">
        <v>22</v>
      </c>
      <c r="E4878" t="s">
        <v>8052</v>
      </c>
      <c r="F4878">
        <v>42</v>
      </c>
      <c r="G4878" t="s">
        <v>370</v>
      </c>
      <c r="H4878" t="s">
        <v>46</v>
      </c>
      <c r="I4878" t="s">
        <v>13238</v>
      </c>
      <c r="J4878" t="s">
        <v>12984</v>
      </c>
    </row>
    <row r="4879" spans="1:10" x14ac:dyDescent="0.3">
      <c r="A4879" t="s">
        <v>13628</v>
      </c>
      <c r="B4879" t="s">
        <v>29098</v>
      </c>
      <c r="C4879" t="s">
        <v>20486</v>
      </c>
      <c r="D4879" t="s">
        <v>22</v>
      </c>
      <c r="E4879" t="s">
        <v>2424</v>
      </c>
      <c r="F4879">
        <v>48</v>
      </c>
      <c r="G4879" t="s">
        <v>46</v>
      </c>
      <c r="H4879" t="s">
        <v>46</v>
      </c>
      <c r="I4879" t="s">
        <v>228</v>
      </c>
      <c r="J4879" t="s">
        <v>13629</v>
      </c>
    </row>
    <row r="4880" spans="1:10" x14ac:dyDescent="0.3">
      <c r="A4880" t="s">
        <v>13630</v>
      </c>
      <c r="B4880" t="s">
        <v>29099</v>
      </c>
      <c r="C4880" t="s">
        <v>20486</v>
      </c>
      <c r="D4880" t="s">
        <v>22</v>
      </c>
      <c r="E4880" t="s">
        <v>13631</v>
      </c>
      <c r="F4880">
        <v>25</v>
      </c>
      <c r="G4880" t="s">
        <v>109</v>
      </c>
      <c r="H4880" t="s">
        <v>9788</v>
      </c>
      <c r="I4880" t="s">
        <v>228</v>
      </c>
      <c r="J4880" t="s">
        <v>13632</v>
      </c>
    </row>
    <row r="4881" spans="1:10" x14ac:dyDescent="0.3">
      <c r="A4881" t="s">
        <v>13633</v>
      </c>
      <c r="B4881" t="s">
        <v>29100</v>
      </c>
      <c r="C4881" t="s">
        <v>20488</v>
      </c>
      <c r="D4881" t="s">
        <v>22</v>
      </c>
      <c r="E4881" t="s">
        <v>5247</v>
      </c>
      <c r="F4881">
        <v>37</v>
      </c>
      <c r="G4881" t="s">
        <v>46</v>
      </c>
      <c r="H4881" t="s">
        <v>46</v>
      </c>
      <c r="I4881" t="s">
        <v>228</v>
      </c>
      <c r="J4881" t="s">
        <v>13634</v>
      </c>
    </row>
    <row r="4882" spans="1:10" x14ac:dyDescent="0.3">
      <c r="A4882" t="s">
        <v>13635</v>
      </c>
      <c r="B4882" t="s">
        <v>29101</v>
      </c>
      <c r="C4882" t="s">
        <v>20487</v>
      </c>
      <c r="D4882" t="s">
        <v>22</v>
      </c>
      <c r="E4882" t="s">
        <v>8674</v>
      </c>
      <c r="F4882">
        <v>49</v>
      </c>
      <c r="G4882" t="s">
        <v>172</v>
      </c>
      <c r="H4882" t="s">
        <v>9785</v>
      </c>
      <c r="I4882" t="s">
        <v>441</v>
      </c>
      <c r="J4882" t="s">
        <v>4066</v>
      </c>
    </row>
    <row r="4883" spans="1:10" x14ac:dyDescent="0.3">
      <c r="A4883" t="s">
        <v>13636</v>
      </c>
      <c r="B4883" t="s">
        <v>29102</v>
      </c>
      <c r="C4883" t="s">
        <v>20488</v>
      </c>
      <c r="D4883" t="s">
        <v>22</v>
      </c>
      <c r="E4883" t="s">
        <v>7024</v>
      </c>
      <c r="F4883">
        <v>43</v>
      </c>
      <c r="G4883" t="s">
        <v>46</v>
      </c>
      <c r="H4883" t="s">
        <v>46</v>
      </c>
      <c r="I4883" t="s">
        <v>228</v>
      </c>
      <c r="J4883" t="s">
        <v>13637</v>
      </c>
    </row>
    <row r="4884" spans="1:10" x14ac:dyDescent="0.3">
      <c r="A4884" t="s">
        <v>13638</v>
      </c>
      <c r="B4884" t="s">
        <v>29103</v>
      </c>
      <c r="C4884" t="s">
        <v>20489</v>
      </c>
      <c r="D4884" t="s">
        <v>22</v>
      </c>
      <c r="E4884" t="s">
        <v>13639</v>
      </c>
      <c r="F4884">
        <v>59</v>
      </c>
      <c r="G4884" t="s">
        <v>370</v>
      </c>
      <c r="H4884" t="s">
        <v>46</v>
      </c>
      <c r="I4884" t="s">
        <v>228</v>
      </c>
      <c r="J4884" t="s">
        <v>14354</v>
      </c>
    </row>
    <row r="4885" spans="1:10" x14ac:dyDescent="0.3">
      <c r="A4885" t="s">
        <v>13640</v>
      </c>
      <c r="B4885" t="s">
        <v>29104</v>
      </c>
      <c r="C4885" t="s">
        <v>20486</v>
      </c>
      <c r="D4885" t="s">
        <v>11</v>
      </c>
      <c r="E4885" t="s">
        <v>13641</v>
      </c>
      <c r="F4885">
        <v>46</v>
      </c>
      <c r="G4885" t="s">
        <v>172</v>
      </c>
      <c r="H4885" t="s">
        <v>12099</v>
      </c>
      <c r="I4885" t="s">
        <v>1121</v>
      </c>
      <c r="J4885" t="s">
        <v>13642</v>
      </c>
    </row>
    <row r="4886" spans="1:10" x14ac:dyDescent="0.3">
      <c r="A4886" t="s">
        <v>13643</v>
      </c>
      <c r="B4886" t="s">
        <v>29105</v>
      </c>
      <c r="C4886" t="s">
        <v>20486</v>
      </c>
      <c r="D4886" t="s">
        <v>22</v>
      </c>
      <c r="E4886" t="s">
        <v>13644</v>
      </c>
      <c r="F4886">
        <v>55</v>
      </c>
      <c r="G4886" t="s">
        <v>2418</v>
      </c>
      <c r="H4886" t="s">
        <v>9787</v>
      </c>
      <c r="I4886" t="s">
        <v>2808</v>
      </c>
      <c r="J4886" t="s">
        <v>13645</v>
      </c>
    </row>
    <row r="4887" spans="1:10" x14ac:dyDescent="0.3">
      <c r="A4887" t="s">
        <v>13646</v>
      </c>
      <c r="B4887" t="s">
        <v>29106</v>
      </c>
      <c r="C4887" t="s">
        <v>20486</v>
      </c>
      <c r="D4887" t="s">
        <v>11</v>
      </c>
      <c r="E4887" t="s">
        <v>13647</v>
      </c>
      <c r="F4887">
        <v>46</v>
      </c>
      <c r="G4887" t="s">
        <v>46</v>
      </c>
      <c r="H4887" t="s">
        <v>46</v>
      </c>
      <c r="I4887" t="s">
        <v>13648</v>
      </c>
    </row>
    <row r="4888" spans="1:10" x14ac:dyDescent="0.3">
      <c r="A4888" t="s">
        <v>13649</v>
      </c>
      <c r="B4888" t="s">
        <v>29107</v>
      </c>
      <c r="C4888" t="s">
        <v>20487</v>
      </c>
      <c r="D4888" t="s">
        <v>22</v>
      </c>
      <c r="E4888" t="s">
        <v>13650</v>
      </c>
      <c r="F4888">
        <v>42</v>
      </c>
      <c r="G4888" t="s">
        <v>46</v>
      </c>
      <c r="H4888" t="s">
        <v>46</v>
      </c>
      <c r="I4888" t="s">
        <v>228</v>
      </c>
      <c r="J4888" t="s">
        <v>13651</v>
      </c>
    </row>
    <row r="4889" spans="1:10" x14ac:dyDescent="0.3">
      <c r="A4889" t="s">
        <v>13652</v>
      </c>
      <c r="B4889" t="s">
        <v>29108</v>
      </c>
      <c r="C4889" t="s">
        <v>20491</v>
      </c>
      <c r="D4889" t="s">
        <v>22</v>
      </c>
      <c r="E4889" t="s">
        <v>13653</v>
      </c>
      <c r="F4889">
        <v>37</v>
      </c>
      <c r="G4889" t="s">
        <v>370</v>
      </c>
      <c r="H4889" t="s">
        <v>46</v>
      </c>
      <c r="I4889" t="s">
        <v>228</v>
      </c>
      <c r="J4889" t="s">
        <v>13654</v>
      </c>
    </row>
    <row r="4890" spans="1:10" x14ac:dyDescent="0.3">
      <c r="A4890" t="s">
        <v>13655</v>
      </c>
      <c r="B4890" t="s">
        <v>29109</v>
      </c>
      <c r="C4890" t="s">
        <v>20491</v>
      </c>
      <c r="D4890" t="s">
        <v>22</v>
      </c>
      <c r="E4890" t="s">
        <v>13656</v>
      </c>
      <c r="F4890">
        <v>29</v>
      </c>
      <c r="G4890" t="s">
        <v>370</v>
      </c>
      <c r="H4890" t="s">
        <v>46</v>
      </c>
      <c r="I4890" t="s">
        <v>228</v>
      </c>
      <c r="J4890" t="s">
        <v>13657</v>
      </c>
    </row>
    <row r="4891" spans="1:10" x14ac:dyDescent="0.3">
      <c r="A4891" t="s">
        <v>13658</v>
      </c>
      <c r="B4891" t="s">
        <v>29110</v>
      </c>
      <c r="C4891" t="s">
        <v>20491</v>
      </c>
      <c r="D4891" t="s">
        <v>22</v>
      </c>
      <c r="E4891" t="s">
        <v>13659</v>
      </c>
      <c r="F4891">
        <v>37</v>
      </c>
      <c r="G4891" t="s">
        <v>109</v>
      </c>
      <c r="H4891" t="s">
        <v>9788</v>
      </c>
      <c r="J4891" t="s">
        <v>13660</v>
      </c>
    </row>
    <row r="4892" spans="1:10" x14ac:dyDescent="0.3">
      <c r="A4892" t="s">
        <v>13661</v>
      </c>
      <c r="B4892" t="s">
        <v>29111</v>
      </c>
      <c r="C4892" t="s">
        <v>20486</v>
      </c>
      <c r="D4892" t="s">
        <v>22</v>
      </c>
      <c r="E4892" t="s">
        <v>1819</v>
      </c>
      <c r="F4892">
        <v>57</v>
      </c>
      <c r="G4892" t="s">
        <v>46</v>
      </c>
      <c r="H4892" t="s">
        <v>46</v>
      </c>
      <c r="I4892" t="s">
        <v>228</v>
      </c>
      <c r="J4892" t="s">
        <v>13209</v>
      </c>
    </row>
    <row r="4893" spans="1:10" x14ac:dyDescent="0.3">
      <c r="A4893" t="s">
        <v>13662</v>
      </c>
      <c r="B4893" t="s">
        <v>29112</v>
      </c>
      <c r="C4893" t="s">
        <v>20486</v>
      </c>
      <c r="D4893" t="s">
        <v>22</v>
      </c>
      <c r="E4893" t="s">
        <v>13663</v>
      </c>
      <c r="F4893">
        <v>28</v>
      </c>
      <c r="G4893" t="s">
        <v>109</v>
      </c>
      <c r="H4893" t="s">
        <v>9788</v>
      </c>
      <c r="I4893" t="s">
        <v>110</v>
      </c>
      <c r="J4893" t="s">
        <v>13664</v>
      </c>
    </row>
    <row r="4894" spans="1:10" x14ac:dyDescent="0.3">
      <c r="A4894" t="s">
        <v>13665</v>
      </c>
      <c r="B4894" t="s">
        <v>29113</v>
      </c>
      <c r="C4894" t="s">
        <v>20488</v>
      </c>
      <c r="D4894" t="s">
        <v>22</v>
      </c>
      <c r="E4894" t="s">
        <v>7294</v>
      </c>
      <c r="F4894">
        <v>28</v>
      </c>
      <c r="G4894" t="s">
        <v>46</v>
      </c>
      <c r="H4894" t="s">
        <v>46</v>
      </c>
      <c r="I4894" t="s">
        <v>13666</v>
      </c>
      <c r="J4894" t="s">
        <v>13667</v>
      </c>
    </row>
    <row r="4895" spans="1:10" x14ac:dyDescent="0.3">
      <c r="A4895" t="s">
        <v>13668</v>
      </c>
      <c r="B4895" t="s">
        <v>29114</v>
      </c>
      <c r="C4895" t="s">
        <v>20487</v>
      </c>
      <c r="D4895" t="s">
        <v>22</v>
      </c>
      <c r="E4895" t="s">
        <v>13669</v>
      </c>
      <c r="F4895">
        <v>50</v>
      </c>
      <c r="G4895" t="s">
        <v>46</v>
      </c>
      <c r="H4895" t="s">
        <v>46</v>
      </c>
      <c r="I4895" t="s">
        <v>12616</v>
      </c>
      <c r="J4895" t="s">
        <v>13670</v>
      </c>
    </row>
    <row r="4896" spans="1:10" x14ac:dyDescent="0.3">
      <c r="A4896" t="s">
        <v>13671</v>
      </c>
      <c r="B4896" t="s">
        <v>29115</v>
      </c>
      <c r="C4896" t="s">
        <v>20488</v>
      </c>
      <c r="D4896" t="s">
        <v>11</v>
      </c>
      <c r="E4896" t="s">
        <v>9302</v>
      </c>
      <c r="F4896">
        <v>41</v>
      </c>
      <c r="G4896" t="s">
        <v>46</v>
      </c>
      <c r="H4896" t="s">
        <v>46</v>
      </c>
      <c r="I4896" t="s">
        <v>110</v>
      </c>
      <c r="J4896" t="s">
        <v>13672</v>
      </c>
    </row>
    <row r="4897" spans="1:10" x14ac:dyDescent="0.3">
      <c r="A4897" t="s">
        <v>13673</v>
      </c>
      <c r="B4897" t="s">
        <v>29116</v>
      </c>
      <c r="C4897" t="s">
        <v>20487</v>
      </c>
      <c r="D4897" t="s">
        <v>22</v>
      </c>
      <c r="E4897" t="s">
        <v>13674</v>
      </c>
      <c r="F4897">
        <v>29</v>
      </c>
      <c r="G4897" t="s">
        <v>46</v>
      </c>
      <c r="H4897" t="s">
        <v>46</v>
      </c>
      <c r="I4897" t="s">
        <v>12109</v>
      </c>
      <c r="J4897" t="s">
        <v>13675</v>
      </c>
    </row>
    <row r="4898" spans="1:10" x14ac:dyDescent="0.3">
      <c r="A4898" t="s">
        <v>13676</v>
      </c>
      <c r="B4898" t="s">
        <v>29117</v>
      </c>
      <c r="C4898" t="s">
        <v>20486</v>
      </c>
      <c r="D4898" t="s">
        <v>22</v>
      </c>
      <c r="E4898" t="s">
        <v>8919</v>
      </c>
      <c r="F4898">
        <v>47</v>
      </c>
      <c r="G4898" t="s">
        <v>172</v>
      </c>
      <c r="H4898" t="s">
        <v>12099</v>
      </c>
      <c r="I4898" t="s">
        <v>377</v>
      </c>
      <c r="J4898" t="s">
        <v>13677</v>
      </c>
    </row>
    <row r="4899" spans="1:10" x14ac:dyDescent="0.3">
      <c r="A4899" t="s">
        <v>13678</v>
      </c>
      <c r="B4899" t="s">
        <v>29118</v>
      </c>
      <c r="C4899" t="s">
        <v>20486</v>
      </c>
      <c r="D4899" t="s">
        <v>22</v>
      </c>
      <c r="E4899" t="s">
        <v>9168</v>
      </c>
      <c r="F4899">
        <v>53</v>
      </c>
      <c r="G4899" t="s">
        <v>31</v>
      </c>
      <c r="H4899" t="s">
        <v>31</v>
      </c>
    </row>
    <row r="4900" spans="1:10" x14ac:dyDescent="0.3">
      <c r="A4900" t="s">
        <v>13679</v>
      </c>
      <c r="B4900" t="s">
        <v>29119</v>
      </c>
      <c r="C4900" t="s">
        <v>20490</v>
      </c>
      <c r="D4900" t="s">
        <v>22</v>
      </c>
      <c r="E4900" t="s">
        <v>13680</v>
      </c>
      <c r="F4900">
        <v>56</v>
      </c>
      <c r="G4900" t="s">
        <v>46</v>
      </c>
      <c r="H4900" t="s">
        <v>46</v>
      </c>
      <c r="I4900" t="s">
        <v>228</v>
      </c>
      <c r="J4900" t="s">
        <v>13681</v>
      </c>
    </row>
    <row r="4901" spans="1:10" x14ac:dyDescent="0.3">
      <c r="A4901" t="s">
        <v>13682</v>
      </c>
      <c r="B4901" t="s">
        <v>29120</v>
      </c>
      <c r="C4901" t="s">
        <v>20486</v>
      </c>
      <c r="D4901" t="s">
        <v>11</v>
      </c>
      <c r="E4901" t="s">
        <v>13683</v>
      </c>
      <c r="F4901">
        <v>43</v>
      </c>
      <c r="G4901" t="s">
        <v>46</v>
      </c>
      <c r="H4901" t="s">
        <v>46</v>
      </c>
      <c r="I4901" t="s">
        <v>1703</v>
      </c>
    </row>
    <row r="4902" spans="1:10" x14ac:dyDescent="0.3">
      <c r="A4902" t="s">
        <v>13684</v>
      </c>
      <c r="B4902" t="s">
        <v>29121</v>
      </c>
      <c r="C4902" t="s">
        <v>20486</v>
      </c>
      <c r="D4902" t="s">
        <v>11</v>
      </c>
      <c r="E4902" t="s">
        <v>13685</v>
      </c>
      <c r="F4902">
        <v>62</v>
      </c>
      <c r="G4902" t="s">
        <v>46</v>
      </c>
      <c r="H4902" t="s">
        <v>46</v>
      </c>
      <c r="I4902" t="s">
        <v>13686</v>
      </c>
    </row>
    <row r="4903" spans="1:10" x14ac:dyDescent="0.3">
      <c r="A4903" t="s">
        <v>13687</v>
      </c>
      <c r="B4903" t="s">
        <v>29122</v>
      </c>
      <c r="C4903" t="s">
        <v>20487</v>
      </c>
      <c r="D4903" t="s">
        <v>11</v>
      </c>
      <c r="E4903" t="s">
        <v>752</v>
      </c>
      <c r="F4903">
        <v>63</v>
      </c>
      <c r="G4903" t="s">
        <v>46</v>
      </c>
      <c r="H4903" t="s">
        <v>46</v>
      </c>
      <c r="I4903" t="s">
        <v>228</v>
      </c>
      <c r="J4903" t="s">
        <v>13688</v>
      </c>
    </row>
    <row r="4904" spans="1:10" x14ac:dyDescent="0.3">
      <c r="A4904" t="s">
        <v>13689</v>
      </c>
      <c r="B4904" t="s">
        <v>29123</v>
      </c>
      <c r="C4904" t="s">
        <v>20487</v>
      </c>
      <c r="D4904" t="s">
        <v>22</v>
      </c>
      <c r="E4904" t="s">
        <v>1286</v>
      </c>
      <c r="F4904">
        <v>56</v>
      </c>
      <c r="G4904" t="s">
        <v>46</v>
      </c>
      <c r="H4904" t="s">
        <v>46</v>
      </c>
      <c r="I4904" t="s">
        <v>228</v>
      </c>
      <c r="J4904" t="s">
        <v>13688</v>
      </c>
    </row>
    <row r="4905" spans="1:10" x14ac:dyDescent="0.3">
      <c r="A4905" t="s">
        <v>13690</v>
      </c>
      <c r="B4905" t="s">
        <v>29124</v>
      </c>
      <c r="C4905" t="s">
        <v>20491</v>
      </c>
      <c r="D4905" t="s">
        <v>11</v>
      </c>
      <c r="E4905" t="s">
        <v>13691</v>
      </c>
      <c r="F4905">
        <v>46</v>
      </c>
      <c r="G4905" t="s">
        <v>16</v>
      </c>
      <c r="H4905" t="s">
        <v>9785</v>
      </c>
      <c r="I4905" t="s">
        <v>17</v>
      </c>
      <c r="J4905" t="s">
        <v>9049</v>
      </c>
    </row>
    <row r="4906" spans="1:10" x14ac:dyDescent="0.3">
      <c r="A4906" t="s">
        <v>13693</v>
      </c>
      <c r="B4906" t="s">
        <v>29125</v>
      </c>
      <c r="C4906" t="s">
        <v>20486</v>
      </c>
      <c r="D4906" t="s">
        <v>22</v>
      </c>
      <c r="E4906" t="s">
        <v>13694</v>
      </c>
      <c r="F4906">
        <v>60</v>
      </c>
      <c r="G4906" t="s">
        <v>46</v>
      </c>
      <c r="H4906" t="s">
        <v>46</v>
      </c>
      <c r="I4906" t="s">
        <v>220</v>
      </c>
      <c r="J4906" t="s">
        <v>13695</v>
      </c>
    </row>
    <row r="4907" spans="1:10" x14ac:dyDescent="0.3">
      <c r="A4907" t="s">
        <v>13696</v>
      </c>
      <c r="B4907" t="s">
        <v>29126</v>
      </c>
      <c r="C4907" t="s">
        <v>20488</v>
      </c>
      <c r="D4907" t="s">
        <v>22</v>
      </c>
      <c r="E4907" t="s">
        <v>2747</v>
      </c>
      <c r="F4907">
        <v>60</v>
      </c>
      <c r="G4907" t="s">
        <v>46</v>
      </c>
      <c r="H4907" t="s">
        <v>46</v>
      </c>
      <c r="I4907" t="s">
        <v>220</v>
      </c>
      <c r="J4907" t="s">
        <v>220</v>
      </c>
    </row>
    <row r="4908" spans="1:10" x14ac:dyDescent="0.3">
      <c r="A4908" t="s">
        <v>13697</v>
      </c>
      <c r="B4908" t="s">
        <v>29127</v>
      </c>
      <c r="C4908" t="s">
        <v>20486</v>
      </c>
      <c r="D4908" t="s">
        <v>22</v>
      </c>
      <c r="E4908" t="s">
        <v>13698</v>
      </c>
      <c r="F4908">
        <v>55</v>
      </c>
      <c r="G4908" t="s">
        <v>109</v>
      </c>
      <c r="H4908" t="s">
        <v>9788</v>
      </c>
      <c r="J4908" t="s">
        <v>13622</v>
      </c>
    </row>
    <row r="4909" spans="1:10" x14ac:dyDescent="0.3">
      <c r="A4909" t="s">
        <v>13699</v>
      </c>
      <c r="B4909" t="s">
        <v>29128</v>
      </c>
      <c r="C4909" t="s">
        <v>20486</v>
      </c>
      <c r="D4909" t="s">
        <v>11</v>
      </c>
      <c r="E4909" t="s">
        <v>13700</v>
      </c>
      <c r="F4909">
        <v>19</v>
      </c>
      <c r="G4909" t="s">
        <v>109</v>
      </c>
      <c r="H4909" t="s">
        <v>9788</v>
      </c>
    </row>
    <row r="4910" spans="1:10" x14ac:dyDescent="0.3">
      <c r="A4910" t="s">
        <v>13701</v>
      </c>
      <c r="B4910" t="s">
        <v>29129</v>
      </c>
      <c r="C4910" t="s">
        <v>24217</v>
      </c>
      <c r="D4910" t="s">
        <v>22</v>
      </c>
      <c r="E4910" t="s">
        <v>890</v>
      </c>
      <c r="F4910">
        <v>44</v>
      </c>
    </row>
    <row r="4911" spans="1:10" x14ac:dyDescent="0.3">
      <c r="A4911" t="s">
        <v>13702</v>
      </c>
      <c r="B4911" t="s">
        <v>29130</v>
      </c>
      <c r="C4911" t="s">
        <v>20486</v>
      </c>
      <c r="D4911" t="s">
        <v>22</v>
      </c>
      <c r="E4911" t="s">
        <v>6910</v>
      </c>
      <c r="F4911">
        <v>32</v>
      </c>
      <c r="G4911" t="s">
        <v>172</v>
      </c>
      <c r="H4911" t="s">
        <v>12099</v>
      </c>
      <c r="I4911" t="s">
        <v>13703</v>
      </c>
      <c r="J4911" t="s">
        <v>13704</v>
      </c>
    </row>
    <row r="4912" spans="1:10" x14ac:dyDescent="0.3">
      <c r="A4912" t="s">
        <v>13705</v>
      </c>
      <c r="B4912" t="s">
        <v>29131</v>
      </c>
      <c r="C4912" t="s">
        <v>20487</v>
      </c>
      <c r="D4912" t="s">
        <v>22</v>
      </c>
      <c r="E4912" t="s">
        <v>13706</v>
      </c>
      <c r="F4912">
        <v>36</v>
      </c>
      <c r="G4912" t="s">
        <v>16</v>
      </c>
      <c r="H4912" t="s">
        <v>9785</v>
      </c>
      <c r="I4912" t="s">
        <v>13707</v>
      </c>
      <c r="J4912" t="s">
        <v>13708</v>
      </c>
    </row>
    <row r="4913" spans="1:10" x14ac:dyDescent="0.3">
      <c r="A4913" t="s">
        <v>13709</v>
      </c>
      <c r="B4913" t="s">
        <v>29132</v>
      </c>
      <c r="C4913" t="s">
        <v>20487</v>
      </c>
      <c r="D4913" t="s">
        <v>22</v>
      </c>
      <c r="E4913" t="s">
        <v>13710</v>
      </c>
      <c r="F4913">
        <v>59</v>
      </c>
      <c r="G4913" t="s">
        <v>172</v>
      </c>
      <c r="H4913" t="s">
        <v>9785</v>
      </c>
      <c r="I4913" t="s">
        <v>441</v>
      </c>
      <c r="J4913" t="s">
        <v>13708</v>
      </c>
    </row>
    <row r="4914" spans="1:10" x14ac:dyDescent="0.3">
      <c r="A4914" t="s">
        <v>13711</v>
      </c>
      <c r="B4914" t="s">
        <v>29133</v>
      </c>
      <c r="C4914" t="s">
        <v>20489</v>
      </c>
      <c r="D4914" t="s">
        <v>22</v>
      </c>
      <c r="E4914" t="s">
        <v>13712</v>
      </c>
      <c r="F4914">
        <v>58</v>
      </c>
      <c r="G4914" t="s">
        <v>370</v>
      </c>
      <c r="H4914" t="s">
        <v>46</v>
      </c>
      <c r="I4914" t="s">
        <v>228</v>
      </c>
      <c r="J4914" t="s">
        <v>12984</v>
      </c>
    </row>
    <row r="4915" spans="1:10" x14ac:dyDescent="0.3">
      <c r="A4915" t="s">
        <v>13713</v>
      </c>
      <c r="B4915" t="s">
        <v>29134</v>
      </c>
      <c r="C4915" t="s">
        <v>20486</v>
      </c>
      <c r="D4915" t="s">
        <v>22</v>
      </c>
      <c r="E4915" t="s">
        <v>13714</v>
      </c>
      <c r="F4915">
        <v>31</v>
      </c>
      <c r="G4915" t="s">
        <v>109</v>
      </c>
      <c r="H4915" t="s">
        <v>9788</v>
      </c>
      <c r="I4915" t="s">
        <v>139</v>
      </c>
      <c r="J4915" t="s">
        <v>13715</v>
      </c>
    </row>
    <row r="4916" spans="1:10" x14ac:dyDescent="0.3">
      <c r="A4916" t="s">
        <v>13716</v>
      </c>
      <c r="B4916" t="s">
        <v>29135</v>
      </c>
      <c r="C4916" t="s">
        <v>20486</v>
      </c>
      <c r="D4916" t="s">
        <v>22</v>
      </c>
      <c r="E4916" t="s">
        <v>7044</v>
      </c>
      <c r="F4916">
        <v>52</v>
      </c>
      <c r="G4916" t="s">
        <v>16</v>
      </c>
      <c r="H4916" t="s">
        <v>9785</v>
      </c>
      <c r="I4916" t="s">
        <v>17</v>
      </c>
      <c r="J4916" t="s">
        <v>13717</v>
      </c>
    </row>
    <row r="4917" spans="1:10" x14ac:dyDescent="0.3">
      <c r="A4917" t="s">
        <v>13718</v>
      </c>
      <c r="B4917" t="s">
        <v>29136</v>
      </c>
      <c r="C4917" t="s">
        <v>20486</v>
      </c>
      <c r="D4917" t="s">
        <v>11</v>
      </c>
      <c r="E4917" t="s">
        <v>6245</v>
      </c>
      <c r="F4917">
        <v>59</v>
      </c>
      <c r="G4917" t="s">
        <v>46</v>
      </c>
      <c r="H4917" t="s">
        <v>46</v>
      </c>
    </row>
    <row r="4918" spans="1:10" x14ac:dyDescent="0.3">
      <c r="A4918" t="s">
        <v>13719</v>
      </c>
      <c r="B4918" t="s">
        <v>29137</v>
      </c>
      <c r="C4918" t="s">
        <v>20486</v>
      </c>
      <c r="D4918" t="s">
        <v>22</v>
      </c>
      <c r="E4918" t="s">
        <v>1694</v>
      </c>
      <c r="F4918">
        <v>65</v>
      </c>
      <c r="G4918" t="s">
        <v>46</v>
      </c>
      <c r="H4918" t="s">
        <v>46</v>
      </c>
      <c r="I4918" t="s">
        <v>228</v>
      </c>
      <c r="J4918" t="s">
        <v>12969</v>
      </c>
    </row>
    <row r="4919" spans="1:10" x14ac:dyDescent="0.3">
      <c r="A4919" t="s">
        <v>13720</v>
      </c>
      <c r="B4919" t="s">
        <v>29138</v>
      </c>
      <c r="C4919" t="s">
        <v>20488</v>
      </c>
      <c r="D4919" t="s">
        <v>22</v>
      </c>
      <c r="E4919" t="s">
        <v>13721</v>
      </c>
      <c r="F4919">
        <v>29</v>
      </c>
      <c r="G4919" t="s">
        <v>31</v>
      </c>
      <c r="H4919" t="s">
        <v>31</v>
      </c>
    </row>
    <row r="4920" spans="1:10" x14ac:dyDescent="0.3">
      <c r="A4920" t="s">
        <v>13722</v>
      </c>
      <c r="B4920" t="s">
        <v>29139</v>
      </c>
      <c r="C4920" t="s">
        <v>20491</v>
      </c>
      <c r="D4920" t="s">
        <v>22</v>
      </c>
      <c r="E4920" t="s">
        <v>13723</v>
      </c>
      <c r="F4920">
        <v>40</v>
      </c>
      <c r="G4920" t="s">
        <v>46</v>
      </c>
      <c r="H4920" t="s">
        <v>46</v>
      </c>
      <c r="I4920" t="s">
        <v>228</v>
      </c>
      <c r="J4920" t="s">
        <v>13724</v>
      </c>
    </row>
    <row r="4921" spans="1:10" x14ac:dyDescent="0.3">
      <c r="A4921" t="s">
        <v>13725</v>
      </c>
      <c r="B4921" t="s">
        <v>29140</v>
      </c>
      <c r="C4921" t="s">
        <v>20491</v>
      </c>
      <c r="D4921" t="s">
        <v>22</v>
      </c>
      <c r="E4921" t="s">
        <v>13726</v>
      </c>
      <c r="F4921">
        <v>46</v>
      </c>
      <c r="G4921" t="s">
        <v>46</v>
      </c>
      <c r="H4921" t="s">
        <v>46</v>
      </c>
      <c r="I4921" t="s">
        <v>228</v>
      </c>
      <c r="J4921" t="s">
        <v>13727</v>
      </c>
    </row>
    <row r="4922" spans="1:10" x14ac:dyDescent="0.3">
      <c r="A4922" t="s">
        <v>13728</v>
      </c>
      <c r="B4922" t="s">
        <v>29141</v>
      </c>
      <c r="C4922" t="s">
        <v>20486</v>
      </c>
      <c r="D4922" t="s">
        <v>22</v>
      </c>
      <c r="E4922" t="s">
        <v>4676</v>
      </c>
      <c r="F4922">
        <v>49</v>
      </c>
      <c r="G4922" t="s">
        <v>109</v>
      </c>
      <c r="H4922" t="s">
        <v>9788</v>
      </c>
      <c r="I4922" t="s">
        <v>12116</v>
      </c>
      <c r="J4922" t="s">
        <v>12117</v>
      </c>
    </row>
    <row r="4923" spans="1:10" x14ac:dyDescent="0.3">
      <c r="A4923" t="s">
        <v>13729</v>
      </c>
      <c r="B4923" t="s">
        <v>29142</v>
      </c>
      <c r="C4923" t="s">
        <v>20486</v>
      </c>
      <c r="D4923" t="s">
        <v>22</v>
      </c>
      <c r="E4923" t="s">
        <v>13730</v>
      </c>
      <c r="F4923">
        <v>29</v>
      </c>
      <c r="G4923" t="s">
        <v>109</v>
      </c>
      <c r="H4923" t="s">
        <v>9788</v>
      </c>
      <c r="I4923" t="s">
        <v>139</v>
      </c>
      <c r="J4923" t="s">
        <v>12117</v>
      </c>
    </row>
    <row r="4924" spans="1:10" x14ac:dyDescent="0.3">
      <c r="A4924" t="s">
        <v>13731</v>
      </c>
      <c r="B4924" t="s">
        <v>29143</v>
      </c>
      <c r="C4924" t="s">
        <v>20486</v>
      </c>
      <c r="D4924" t="s">
        <v>22</v>
      </c>
      <c r="E4924" t="s">
        <v>2380</v>
      </c>
      <c r="F4924">
        <v>66</v>
      </c>
    </row>
    <row r="4925" spans="1:10" x14ac:dyDescent="0.3">
      <c r="A4925" t="s">
        <v>13732</v>
      </c>
      <c r="B4925" t="s">
        <v>29144</v>
      </c>
      <c r="C4925" t="s">
        <v>20486</v>
      </c>
      <c r="D4925" t="s">
        <v>22</v>
      </c>
      <c r="E4925" t="s">
        <v>6178</v>
      </c>
      <c r="F4925">
        <v>47</v>
      </c>
      <c r="G4925" t="s">
        <v>16</v>
      </c>
      <c r="H4925" t="s">
        <v>9785</v>
      </c>
      <c r="I4925" t="s">
        <v>17</v>
      </c>
      <c r="J4925" t="s">
        <v>1497</v>
      </c>
    </row>
    <row r="4926" spans="1:10" x14ac:dyDescent="0.3">
      <c r="A4926" t="s">
        <v>13733</v>
      </c>
      <c r="B4926" t="s">
        <v>29145</v>
      </c>
      <c r="C4926" t="s">
        <v>20486</v>
      </c>
      <c r="D4926" t="s">
        <v>11</v>
      </c>
      <c r="E4926" t="s">
        <v>13734</v>
      </c>
      <c r="F4926">
        <v>61</v>
      </c>
      <c r="G4926" t="s">
        <v>46</v>
      </c>
      <c r="H4926" t="s">
        <v>46</v>
      </c>
      <c r="I4926" t="s">
        <v>13735</v>
      </c>
      <c r="J4926" t="s">
        <v>13736</v>
      </c>
    </row>
    <row r="4927" spans="1:10" x14ac:dyDescent="0.3">
      <c r="A4927" t="s">
        <v>13737</v>
      </c>
      <c r="B4927" t="s">
        <v>29146</v>
      </c>
      <c r="C4927" t="s">
        <v>20491</v>
      </c>
      <c r="D4927" t="s">
        <v>22</v>
      </c>
      <c r="E4927" t="s">
        <v>13738</v>
      </c>
      <c r="F4927">
        <v>51</v>
      </c>
      <c r="G4927" t="s">
        <v>46</v>
      </c>
      <c r="H4927" t="s">
        <v>46</v>
      </c>
      <c r="I4927" t="s">
        <v>13739</v>
      </c>
      <c r="J4927" t="s">
        <v>13739</v>
      </c>
    </row>
    <row r="4928" spans="1:10" x14ac:dyDescent="0.3">
      <c r="A4928" t="s">
        <v>13741</v>
      </c>
      <c r="B4928" t="s">
        <v>29147</v>
      </c>
      <c r="C4928" t="s">
        <v>20491</v>
      </c>
      <c r="D4928" t="s">
        <v>11</v>
      </c>
      <c r="E4928" t="s">
        <v>13742</v>
      </c>
      <c r="F4928">
        <v>22</v>
      </c>
      <c r="G4928" t="s">
        <v>46</v>
      </c>
      <c r="H4928" t="s">
        <v>46</v>
      </c>
      <c r="I4928" t="s">
        <v>13739</v>
      </c>
    </row>
    <row r="4929" spans="1:10" x14ac:dyDescent="0.3">
      <c r="A4929" t="s">
        <v>13743</v>
      </c>
      <c r="B4929" t="s">
        <v>29148</v>
      </c>
      <c r="C4929" t="s">
        <v>20490</v>
      </c>
      <c r="D4929" t="s">
        <v>11</v>
      </c>
      <c r="E4929" t="s">
        <v>2648</v>
      </c>
      <c r="F4929">
        <v>60</v>
      </c>
      <c r="G4929" t="s">
        <v>109</v>
      </c>
      <c r="H4929" t="s">
        <v>9788</v>
      </c>
      <c r="I4929" t="s">
        <v>12945</v>
      </c>
    </row>
    <row r="4930" spans="1:10" x14ac:dyDescent="0.3">
      <c r="A4930" t="s">
        <v>13744</v>
      </c>
      <c r="B4930" t="s">
        <v>29149</v>
      </c>
      <c r="C4930" t="s">
        <v>20486</v>
      </c>
      <c r="D4930" t="s">
        <v>22</v>
      </c>
      <c r="E4930" t="s">
        <v>13745</v>
      </c>
      <c r="F4930">
        <v>67</v>
      </c>
      <c r="G4930" t="s">
        <v>46</v>
      </c>
      <c r="H4930" t="s">
        <v>46</v>
      </c>
      <c r="I4930" t="s">
        <v>13746</v>
      </c>
      <c r="J4930" t="s">
        <v>9459</v>
      </c>
    </row>
    <row r="4931" spans="1:10" x14ac:dyDescent="0.3">
      <c r="A4931" t="s">
        <v>13747</v>
      </c>
      <c r="B4931" t="s">
        <v>29150</v>
      </c>
      <c r="C4931" t="s">
        <v>20486</v>
      </c>
      <c r="D4931" t="s">
        <v>22</v>
      </c>
      <c r="E4931" t="s">
        <v>4417</v>
      </c>
      <c r="F4931">
        <v>57</v>
      </c>
      <c r="G4931" t="s">
        <v>46</v>
      </c>
      <c r="H4931" t="s">
        <v>46</v>
      </c>
      <c r="I4931" t="s">
        <v>228</v>
      </c>
      <c r="J4931" t="s">
        <v>13748</v>
      </c>
    </row>
    <row r="4932" spans="1:10" x14ac:dyDescent="0.3">
      <c r="A4932" t="s">
        <v>13749</v>
      </c>
      <c r="B4932" t="s">
        <v>29151</v>
      </c>
      <c r="C4932" t="s">
        <v>20488</v>
      </c>
      <c r="D4932" t="s">
        <v>11</v>
      </c>
      <c r="E4932" t="s">
        <v>13750</v>
      </c>
      <c r="F4932">
        <v>33</v>
      </c>
      <c r="G4932" t="s">
        <v>109</v>
      </c>
      <c r="H4932" t="s">
        <v>9788</v>
      </c>
      <c r="I4932" t="s">
        <v>441</v>
      </c>
      <c r="J4932" t="s">
        <v>1987</v>
      </c>
    </row>
    <row r="4933" spans="1:10" x14ac:dyDescent="0.3">
      <c r="A4933" t="s">
        <v>13751</v>
      </c>
      <c r="B4933" t="s">
        <v>29152</v>
      </c>
      <c r="C4933" t="s">
        <v>20487</v>
      </c>
      <c r="D4933" t="s">
        <v>11</v>
      </c>
      <c r="E4933" t="s">
        <v>3138</v>
      </c>
      <c r="F4933">
        <v>45</v>
      </c>
      <c r="G4933" t="s">
        <v>46</v>
      </c>
      <c r="H4933" t="s">
        <v>46</v>
      </c>
      <c r="I4933" t="s">
        <v>13752</v>
      </c>
      <c r="J4933" t="s">
        <v>13753</v>
      </c>
    </row>
    <row r="4934" spans="1:10" x14ac:dyDescent="0.3">
      <c r="A4934" t="s">
        <v>13754</v>
      </c>
      <c r="B4934" t="s">
        <v>29153</v>
      </c>
      <c r="C4934" t="s">
        <v>20486</v>
      </c>
      <c r="D4934" t="s">
        <v>22</v>
      </c>
      <c r="E4934" t="s">
        <v>13755</v>
      </c>
      <c r="F4934">
        <v>20</v>
      </c>
      <c r="G4934" t="s">
        <v>109</v>
      </c>
      <c r="H4934" t="s">
        <v>9788</v>
      </c>
      <c r="I4934" t="s">
        <v>4629</v>
      </c>
      <c r="J4934" t="s">
        <v>13756</v>
      </c>
    </row>
    <row r="4935" spans="1:10" x14ac:dyDescent="0.3">
      <c r="A4935" t="s">
        <v>13757</v>
      </c>
      <c r="B4935" t="s">
        <v>29154</v>
      </c>
      <c r="C4935" t="s">
        <v>20487</v>
      </c>
      <c r="D4935" t="s">
        <v>22</v>
      </c>
      <c r="E4935" t="s">
        <v>13758</v>
      </c>
      <c r="F4935">
        <v>40</v>
      </c>
      <c r="G4935" t="s">
        <v>109</v>
      </c>
      <c r="H4935" t="s">
        <v>9788</v>
      </c>
      <c r="J4935" t="s">
        <v>13759</v>
      </c>
    </row>
    <row r="4936" spans="1:10" x14ac:dyDescent="0.3">
      <c r="A4936" t="s">
        <v>13760</v>
      </c>
      <c r="B4936" t="s">
        <v>29155</v>
      </c>
      <c r="C4936" t="s">
        <v>20491</v>
      </c>
      <c r="D4936" t="s">
        <v>22</v>
      </c>
      <c r="E4936" t="s">
        <v>13761</v>
      </c>
      <c r="F4936">
        <v>47</v>
      </c>
      <c r="G4936" t="s">
        <v>172</v>
      </c>
      <c r="H4936" t="s">
        <v>12099</v>
      </c>
      <c r="I4936" t="s">
        <v>1074</v>
      </c>
      <c r="J4936" t="s">
        <v>13762</v>
      </c>
    </row>
    <row r="4937" spans="1:10" x14ac:dyDescent="0.3">
      <c r="A4937" t="s">
        <v>13763</v>
      </c>
      <c r="B4937" t="s">
        <v>29156</v>
      </c>
      <c r="C4937" t="s">
        <v>20486</v>
      </c>
      <c r="D4937" t="s">
        <v>22</v>
      </c>
      <c r="E4937" t="s">
        <v>13764</v>
      </c>
      <c r="F4937">
        <v>41</v>
      </c>
      <c r="G4937" t="s">
        <v>109</v>
      </c>
      <c r="H4937" t="s">
        <v>9788</v>
      </c>
      <c r="I4937" t="s">
        <v>13765</v>
      </c>
    </row>
    <row r="4938" spans="1:10" x14ac:dyDescent="0.3">
      <c r="A4938" t="s">
        <v>13766</v>
      </c>
      <c r="B4938" t="s">
        <v>29157</v>
      </c>
      <c r="C4938" t="s">
        <v>20491</v>
      </c>
      <c r="D4938" t="s">
        <v>22</v>
      </c>
      <c r="E4938" t="s">
        <v>12658</v>
      </c>
      <c r="F4938">
        <v>31</v>
      </c>
      <c r="G4938" t="s">
        <v>109</v>
      </c>
      <c r="H4938" t="s">
        <v>9788</v>
      </c>
      <c r="I4938" t="s">
        <v>3184</v>
      </c>
      <c r="J4938" t="s">
        <v>13767</v>
      </c>
    </row>
    <row r="4939" spans="1:10" x14ac:dyDescent="0.3">
      <c r="A4939" t="s">
        <v>13768</v>
      </c>
      <c r="B4939" t="s">
        <v>29158</v>
      </c>
      <c r="C4939" t="s">
        <v>20487</v>
      </c>
      <c r="D4939" t="s">
        <v>22</v>
      </c>
      <c r="E4939" t="s">
        <v>9621</v>
      </c>
      <c r="F4939">
        <v>19</v>
      </c>
      <c r="G4939" t="s">
        <v>31</v>
      </c>
      <c r="H4939" t="s">
        <v>31</v>
      </c>
    </row>
    <row r="4940" spans="1:10" x14ac:dyDescent="0.3">
      <c r="A4940" t="s">
        <v>13769</v>
      </c>
      <c r="B4940" t="s">
        <v>29159</v>
      </c>
      <c r="C4940" t="s">
        <v>20486</v>
      </c>
      <c r="D4940" t="s">
        <v>22</v>
      </c>
      <c r="E4940" t="s">
        <v>6591</v>
      </c>
      <c r="F4940">
        <v>35</v>
      </c>
      <c r="G4940" t="s">
        <v>16</v>
      </c>
      <c r="H4940" t="s">
        <v>9785</v>
      </c>
      <c r="I4940" t="s">
        <v>17</v>
      </c>
      <c r="J4940" t="s">
        <v>13770</v>
      </c>
    </row>
    <row r="4941" spans="1:10" x14ac:dyDescent="0.3">
      <c r="A4941" t="s">
        <v>13771</v>
      </c>
      <c r="B4941" t="s">
        <v>29160</v>
      </c>
      <c r="C4941" t="s">
        <v>20488</v>
      </c>
      <c r="D4941" t="s">
        <v>22</v>
      </c>
      <c r="E4941" t="s">
        <v>13772</v>
      </c>
      <c r="F4941">
        <v>53</v>
      </c>
      <c r="G4941" t="s">
        <v>46</v>
      </c>
      <c r="H4941" t="s">
        <v>46</v>
      </c>
      <c r="I4941" t="s">
        <v>228</v>
      </c>
      <c r="J4941" t="s">
        <v>14355</v>
      </c>
    </row>
    <row r="4942" spans="1:10" x14ac:dyDescent="0.3">
      <c r="A4942" t="s">
        <v>13773</v>
      </c>
      <c r="B4942" t="s">
        <v>29161</v>
      </c>
      <c r="C4942" t="s">
        <v>20490</v>
      </c>
      <c r="D4942" t="s">
        <v>22</v>
      </c>
      <c r="E4942" t="s">
        <v>4616</v>
      </c>
      <c r="F4942">
        <v>60</v>
      </c>
      <c r="G4942" t="s">
        <v>370</v>
      </c>
      <c r="H4942" t="s">
        <v>46</v>
      </c>
      <c r="I4942" t="s">
        <v>908</v>
      </c>
    </row>
    <row r="4943" spans="1:10" x14ac:dyDescent="0.3">
      <c r="A4943" t="s">
        <v>13774</v>
      </c>
      <c r="B4943" t="s">
        <v>29162</v>
      </c>
      <c r="C4943" t="s">
        <v>20490</v>
      </c>
      <c r="D4943" t="s">
        <v>22</v>
      </c>
      <c r="E4943" t="s">
        <v>13775</v>
      </c>
      <c r="F4943">
        <v>53</v>
      </c>
      <c r="G4943" t="s">
        <v>370</v>
      </c>
      <c r="H4943" t="s">
        <v>46</v>
      </c>
      <c r="I4943" t="s">
        <v>149</v>
      </c>
    </row>
    <row r="4944" spans="1:10" x14ac:dyDescent="0.3">
      <c r="A4944" t="s">
        <v>13776</v>
      </c>
      <c r="B4944" t="s">
        <v>29163</v>
      </c>
      <c r="C4944" t="s">
        <v>20489</v>
      </c>
      <c r="D4944" t="s">
        <v>22</v>
      </c>
      <c r="E4944" t="s">
        <v>13777</v>
      </c>
      <c r="F4944">
        <v>44</v>
      </c>
      <c r="G4944" t="s">
        <v>370</v>
      </c>
      <c r="H4944" t="s">
        <v>46</v>
      </c>
      <c r="I4944" t="s">
        <v>13778</v>
      </c>
      <c r="J4944" t="s">
        <v>1197</v>
      </c>
    </row>
    <row r="4945" spans="1:10" x14ac:dyDescent="0.3">
      <c r="A4945" t="s">
        <v>13779</v>
      </c>
      <c r="B4945" t="s">
        <v>29164</v>
      </c>
      <c r="C4945" t="s">
        <v>20486</v>
      </c>
      <c r="D4945" t="s">
        <v>11</v>
      </c>
      <c r="E4945" t="s">
        <v>1976</v>
      </c>
      <c r="F4945">
        <v>24</v>
      </c>
      <c r="G4945" t="s">
        <v>109</v>
      </c>
      <c r="H4945" t="s">
        <v>9788</v>
      </c>
    </row>
    <row r="4946" spans="1:10" x14ac:dyDescent="0.3">
      <c r="A4946" t="s">
        <v>13780</v>
      </c>
      <c r="B4946" t="s">
        <v>29165</v>
      </c>
      <c r="C4946" t="s">
        <v>20490</v>
      </c>
      <c r="D4946" t="s">
        <v>22</v>
      </c>
      <c r="E4946" t="s">
        <v>6074</v>
      </c>
      <c r="F4946">
        <v>44</v>
      </c>
      <c r="G4946" t="s">
        <v>133</v>
      </c>
      <c r="H4946" t="s">
        <v>9789</v>
      </c>
    </row>
    <row r="4947" spans="1:10" x14ac:dyDescent="0.3">
      <c r="A4947" t="s">
        <v>13781</v>
      </c>
      <c r="B4947" t="s">
        <v>29166</v>
      </c>
      <c r="C4947" t="s">
        <v>20487</v>
      </c>
      <c r="D4947" t="s">
        <v>11</v>
      </c>
      <c r="E4947" t="s">
        <v>13782</v>
      </c>
      <c r="F4947">
        <v>33</v>
      </c>
      <c r="G4947" t="s">
        <v>46</v>
      </c>
      <c r="H4947" t="s">
        <v>46</v>
      </c>
      <c r="I4947" t="s">
        <v>1828</v>
      </c>
      <c r="J4947" t="s">
        <v>13571</v>
      </c>
    </row>
    <row r="4948" spans="1:10" x14ac:dyDescent="0.3">
      <c r="A4948" t="s">
        <v>13783</v>
      </c>
      <c r="B4948" t="s">
        <v>29167</v>
      </c>
      <c r="C4948" t="s">
        <v>20490</v>
      </c>
      <c r="D4948" t="s">
        <v>22</v>
      </c>
      <c r="E4948" t="s">
        <v>13784</v>
      </c>
      <c r="F4948">
        <v>44</v>
      </c>
      <c r="G4948" t="s">
        <v>109</v>
      </c>
      <c r="H4948" t="s">
        <v>9788</v>
      </c>
      <c r="I4948" t="s">
        <v>17</v>
      </c>
    </row>
    <row r="4949" spans="1:10" x14ac:dyDescent="0.3">
      <c r="A4949" t="s">
        <v>13785</v>
      </c>
      <c r="B4949" t="s">
        <v>29168</v>
      </c>
      <c r="C4949" t="s">
        <v>20486</v>
      </c>
      <c r="D4949" t="s">
        <v>22</v>
      </c>
      <c r="E4949" t="s">
        <v>13786</v>
      </c>
      <c r="F4949">
        <v>27</v>
      </c>
      <c r="G4949" t="s">
        <v>109</v>
      </c>
      <c r="H4949" t="s">
        <v>9788</v>
      </c>
      <c r="J4949" t="s">
        <v>13787</v>
      </c>
    </row>
    <row r="4950" spans="1:10" x14ac:dyDescent="0.3">
      <c r="A4950" t="s">
        <v>13788</v>
      </c>
      <c r="B4950" t="s">
        <v>29169</v>
      </c>
      <c r="C4950" t="s">
        <v>20486</v>
      </c>
      <c r="D4950" t="s">
        <v>11</v>
      </c>
      <c r="E4950" t="s">
        <v>13789</v>
      </c>
      <c r="F4950">
        <v>20</v>
      </c>
      <c r="G4950" t="s">
        <v>109</v>
      </c>
      <c r="H4950" t="s">
        <v>9788</v>
      </c>
      <c r="J4950" t="s">
        <v>13790</v>
      </c>
    </row>
    <row r="4951" spans="1:10" x14ac:dyDescent="0.3">
      <c r="A4951" t="s">
        <v>13791</v>
      </c>
      <c r="B4951" t="s">
        <v>29170</v>
      </c>
      <c r="C4951" t="s">
        <v>20486</v>
      </c>
      <c r="D4951" t="s">
        <v>11</v>
      </c>
      <c r="E4951" t="s">
        <v>13792</v>
      </c>
      <c r="F4951">
        <v>31</v>
      </c>
      <c r="G4951" t="s">
        <v>46</v>
      </c>
      <c r="H4951" t="s">
        <v>46</v>
      </c>
      <c r="I4951" t="s">
        <v>13793</v>
      </c>
    </row>
    <row r="4952" spans="1:10" x14ac:dyDescent="0.3">
      <c r="A4952" t="s">
        <v>13794</v>
      </c>
      <c r="B4952" t="s">
        <v>29171</v>
      </c>
      <c r="C4952" t="s">
        <v>20487</v>
      </c>
      <c r="D4952" t="s">
        <v>11</v>
      </c>
      <c r="E4952" t="s">
        <v>9608</v>
      </c>
      <c r="F4952">
        <v>18</v>
      </c>
      <c r="G4952" t="s">
        <v>337</v>
      </c>
      <c r="H4952" t="s">
        <v>337</v>
      </c>
    </row>
    <row r="4953" spans="1:10" x14ac:dyDescent="0.3">
      <c r="A4953" t="s">
        <v>13795</v>
      </c>
      <c r="B4953" t="s">
        <v>29172</v>
      </c>
      <c r="C4953" t="s">
        <v>20491</v>
      </c>
      <c r="D4953" t="s">
        <v>11</v>
      </c>
      <c r="E4953" t="s">
        <v>13796</v>
      </c>
      <c r="F4953">
        <v>36</v>
      </c>
      <c r="G4953" t="s">
        <v>109</v>
      </c>
      <c r="H4953" t="s">
        <v>9788</v>
      </c>
      <c r="I4953" t="s">
        <v>13797</v>
      </c>
      <c r="J4953" t="s">
        <v>13798</v>
      </c>
    </row>
    <row r="4954" spans="1:10" x14ac:dyDescent="0.3">
      <c r="A4954" t="s">
        <v>13799</v>
      </c>
      <c r="B4954" t="s">
        <v>29173</v>
      </c>
      <c r="C4954" t="s">
        <v>20487</v>
      </c>
      <c r="D4954" t="s">
        <v>22</v>
      </c>
      <c r="E4954" t="s">
        <v>1633</v>
      </c>
      <c r="F4954">
        <v>47</v>
      </c>
      <c r="G4954" t="s">
        <v>172</v>
      </c>
      <c r="H4954" t="s">
        <v>9785</v>
      </c>
      <c r="I4954" t="s">
        <v>441</v>
      </c>
      <c r="J4954" t="s">
        <v>1634</v>
      </c>
    </row>
    <row r="4955" spans="1:10" x14ac:dyDescent="0.3">
      <c r="A4955" t="s">
        <v>13800</v>
      </c>
      <c r="B4955" t="s">
        <v>29174</v>
      </c>
      <c r="C4955" t="s">
        <v>20488</v>
      </c>
      <c r="D4955" t="s">
        <v>22</v>
      </c>
      <c r="E4955" t="s">
        <v>13801</v>
      </c>
      <c r="F4955">
        <v>35</v>
      </c>
      <c r="G4955" t="s">
        <v>31</v>
      </c>
      <c r="H4955" t="s">
        <v>31</v>
      </c>
      <c r="I4955" t="s">
        <v>33</v>
      </c>
      <c r="J4955" t="s">
        <v>384</v>
      </c>
    </row>
    <row r="4956" spans="1:10" x14ac:dyDescent="0.3">
      <c r="A4956" t="s">
        <v>13802</v>
      </c>
      <c r="B4956" t="s">
        <v>29175</v>
      </c>
      <c r="C4956" t="s">
        <v>20489</v>
      </c>
      <c r="D4956" t="s">
        <v>22</v>
      </c>
      <c r="E4956" t="s">
        <v>4960</v>
      </c>
      <c r="F4956">
        <v>55</v>
      </c>
      <c r="G4956" t="s">
        <v>370</v>
      </c>
      <c r="H4956" t="s">
        <v>46</v>
      </c>
      <c r="I4956" t="s">
        <v>228</v>
      </c>
      <c r="J4956" t="s">
        <v>14356</v>
      </c>
    </row>
    <row r="4957" spans="1:10" x14ac:dyDescent="0.3">
      <c r="A4957" t="s">
        <v>13803</v>
      </c>
      <c r="B4957" t="s">
        <v>29176</v>
      </c>
      <c r="C4957" t="s">
        <v>20489</v>
      </c>
      <c r="D4957" t="s">
        <v>22</v>
      </c>
      <c r="E4957" t="s">
        <v>1738</v>
      </c>
      <c r="F4957">
        <v>63</v>
      </c>
      <c r="G4957" t="s">
        <v>31</v>
      </c>
      <c r="H4957" t="s">
        <v>31</v>
      </c>
    </row>
    <row r="4958" spans="1:10" x14ac:dyDescent="0.3">
      <c r="A4958" t="s">
        <v>13804</v>
      </c>
      <c r="B4958" t="s">
        <v>29177</v>
      </c>
      <c r="C4958" t="s">
        <v>20487</v>
      </c>
      <c r="D4958" t="s">
        <v>22</v>
      </c>
      <c r="E4958" t="s">
        <v>6535</v>
      </c>
      <c r="F4958">
        <v>43</v>
      </c>
      <c r="G4958" t="s">
        <v>109</v>
      </c>
      <c r="H4958" t="s">
        <v>9785</v>
      </c>
      <c r="I4958" t="s">
        <v>441</v>
      </c>
      <c r="J4958" t="s">
        <v>13805</v>
      </c>
    </row>
    <row r="4959" spans="1:10" x14ac:dyDescent="0.3">
      <c r="A4959" t="s">
        <v>13806</v>
      </c>
      <c r="B4959" t="s">
        <v>29178</v>
      </c>
      <c r="C4959" t="s">
        <v>20487</v>
      </c>
      <c r="D4959" t="s">
        <v>11</v>
      </c>
      <c r="E4959" t="s">
        <v>3215</v>
      </c>
      <c r="F4959">
        <v>37</v>
      </c>
      <c r="G4959" t="s">
        <v>109</v>
      </c>
      <c r="H4959" t="s">
        <v>9785</v>
      </c>
      <c r="I4959" t="s">
        <v>441</v>
      </c>
      <c r="J4959" t="s">
        <v>13805</v>
      </c>
    </row>
    <row r="4960" spans="1:10" x14ac:dyDescent="0.3">
      <c r="A4960" t="s">
        <v>13807</v>
      </c>
      <c r="B4960" t="s">
        <v>29179</v>
      </c>
      <c r="C4960" t="s">
        <v>20488</v>
      </c>
      <c r="D4960" t="s">
        <v>11</v>
      </c>
      <c r="E4960" t="s">
        <v>5390</v>
      </c>
      <c r="F4960">
        <v>59</v>
      </c>
      <c r="G4960" t="s">
        <v>46</v>
      </c>
      <c r="H4960" t="s">
        <v>46</v>
      </c>
      <c r="I4960" t="s">
        <v>228</v>
      </c>
      <c r="J4960" t="s">
        <v>5816</v>
      </c>
    </row>
    <row r="4961" spans="1:10" x14ac:dyDescent="0.3">
      <c r="A4961" t="s">
        <v>13808</v>
      </c>
      <c r="B4961" t="s">
        <v>29180</v>
      </c>
      <c r="C4961" t="s">
        <v>20486</v>
      </c>
      <c r="D4961" t="s">
        <v>22</v>
      </c>
      <c r="E4961" t="s">
        <v>13809</v>
      </c>
      <c r="F4961">
        <v>38</v>
      </c>
      <c r="G4961" t="s">
        <v>46</v>
      </c>
      <c r="H4961" t="s">
        <v>46</v>
      </c>
      <c r="I4961" t="s">
        <v>13810</v>
      </c>
    </row>
    <row r="4962" spans="1:10" x14ac:dyDescent="0.3">
      <c r="A4962" t="s">
        <v>13811</v>
      </c>
      <c r="B4962" t="s">
        <v>29181</v>
      </c>
      <c r="C4962" t="s">
        <v>20486</v>
      </c>
      <c r="D4962" t="s">
        <v>22</v>
      </c>
      <c r="E4962" t="s">
        <v>4180</v>
      </c>
      <c r="F4962">
        <v>59</v>
      </c>
      <c r="G4962" t="s">
        <v>46</v>
      </c>
      <c r="H4962" t="s">
        <v>46</v>
      </c>
      <c r="I4962" t="s">
        <v>228</v>
      </c>
      <c r="J4962" t="s">
        <v>13812</v>
      </c>
    </row>
    <row r="4963" spans="1:10" x14ac:dyDescent="0.3">
      <c r="A4963" t="s">
        <v>13813</v>
      </c>
      <c r="B4963" t="s">
        <v>29182</v>
      </c>
      <c r="C4963" t="s">
        <v>20488</v>
      </c>
      <c r="D4963" t="s">
        <v>22</v>
      </c>
      <c r="E4963" t="s">
        <v>1301</v>
      </c>
      <c r="F4963">
        <v>40</v>
      </c>
      <c r="G4963" t="s">
        <v>16</v>
      </c>
      <c r="H4963" t="s">
        <v>9785</v>
      </c>
      <c r="I4963" t="s">
        <v>17</v>
      </c>
      <c r="J4963" t="s">
        <v>7755</v>
      </c>
    </row>
    <row r="4964" spans="1:10" x14ac:dyDescent="0.3">
      <c r="A4964" t="s">
        <v>13814</v>
      </c>
      <c r="B4964" t="s">
        <v>29183</v>
      </c>
      <c r="C4964" t="s">
        <v>20491</v>
      </c>
      <c r="D4964" t="s">
        <v>22</v>
      </c>
      <c r="E4964" t="s">
        <v>9753</v>
      </c>
      <c r="F4964">
        <v>25</v>
      </c>
      <c r="G4964" t="s">
        <v>109</v>
      </c>
      <c r="H4964" t="s">
        <v>9788</v>
      </c>
    </row>
    <row r="4965" spans="1:10" x14ac:dyDescent="0.3">
      <c r="A4965" t="s">
        <v>13815</v>
      </c>
      <c r="B4965" t="s">
        <v>29184</v>
      </c>
      <c r="C4965" t="s">
        <v>20491</v>
      </c>
      <c r="D4965" t="s">
        <v>11</v>
      </c>
      <c r="E4965" t="s">
        <v>13816</v>
      </c>
      <c r="F4965">
        <v>18</v>
      </c>
      <c r="G4965" t="s">
        <v>243</v>
      </c>
      <c r="H4965" t="s">
        <v>243</v>
      </c>
    </row>
    <row r="4966" spans="1:10" x14ac:dyDescent="0.3">
      <c r="A4966" t="s">
        <v>13817</v>
      </c>
      <c r="B4966" t="s">
        <v>29185</v>
      </c>
      <c r="C4966" t="s">
        <v>20486</v>
      </c>
      <c r="D4966" t="s">
        <v>22</v>
      </c>
      <c r="E4966" t="s">
        <v>7238</v>
      </c>
      <c r="F4966">
        <v>28</v>
      </c>
      <c r="G4966" t="s">
        <v>109</v>
      </c>
      <c r="H4966" t="s">
        <v>9788</v>
      </c>
      <c r="I4966" t="s">
        <v>228</v>
      </c>
      <c r="J4966" t="s">
        <v>13185</v>
      </c>
    </row>
    <row r="4967" spans="1:10" x14ac:dyDescent="0.3">
      <c r="A4967" t="s">
        <v>13818</v>
      </c>
      <c r="B4967" t="s">
        <v>29186</v>
      </c>
      <c r="C4967" t="s">
        <v>20490</v>
      </c>
      <c r="D4967" t="s">
        <v>11</v>
      </c>
      <c r="E4967" t="s">
        <v>2008</v>
      </c>
      <c r="F4967">
        <v>30</v>
      </c>
      <c r="G4967" t="s">
        <v>109</v>
      </c>
      <c r="H4967" t="s">
        <v>9788</v>
      </c>
      <c r="I4967" t="s">
        <v>17</v>
      </c>
      <c r="J4967" t="s">
        <v>13819</v>
      </c>
    </row>
    <row r="4968" spans="1:10" x14ac:dyDescent="0.3">
      <c r="A4968" t="s">
        <v>13820</v>
      </c>
      <c r="B4968" t="s">
        <v>29187</v>
      </c>
      <c r="C4968" t="s">
        <v>20486</v>
      </c>
      <c r="D4968" t="s">
        <v>11</v>
      </c>
      <c r="E4968" t="s">
        <v>13821</v>
      </c>
      <c r="F4968">
        <v>63</v>
      </c>
      <c r="G4968" t="s">
        <v>109</v>
      </c>
      <c r="H4968" t="s">
        <v>46</v>
      </c>
      <c r="I4968" t="s">
        <v>18846</v>
      </c>
      <c r="J4968" t="s">
        <v>13822</v>
      </c>
    </row>
    <row r="4969" spans="1:10" x14ac:dyDescent="0.3">
      <c r="A4969" t="s">
        <v>13823</v>
      </c>
      <c r="B4969" t="s">
        <v>29188</v>
      </c>
      <c r="C4969" t="s">
        <v>20486</v>
      </c>
      <c r="D4969" t="s">
        <v>22</v>
      </c>
      <c r="E4969" t="s">
        <v>13824</v>
      </c>
      <c r="F4969">
        <v>32</v>
      </c>
      <c r="G4969" t="s">
        <v>109</v>
      </c>
      <c r="H4969" t="s">
        <v>9788</v>
      </c>
      <c r="J4969" t="s">
        <v>13825</v>
      </c>
    </row>
    <row r="4970" spans="1:10" x14ac:dyDescent="0.3">
      <c r="A4970" t="s">
        <v>13826</v>
      </c>
      <c r="B4970" t="s">
        <v>29189</v>
      </c>
      <c r="C4970" t="s">
        <v>20488</v>
      </c>
      <c r="D4970" t="s">
        <v>22</v>
      </c>
      <c r="E4970" t="s">
        <v>4484</v>
      </c>
      <c r="F4970">
        <v>34</v>
      </c>
      <c r="G4970" t="s">
        <v>16</v>
      </c>
      <c r="H4970" t="s">
        <v>9785</v>
      </c>
      <c r="I4970" t="s">
        <v>17</v>
      </c>
      <c r="J4970" t="s">
        <v>7755</v>
      </c>
    </row>
    <row r="4971" spans="1:10" x14ac:dyDescent="0.3">
      <c r="A4971" t="s">
        <v>13827</v>
      </c>
      <c r="B4971" t="s">
        <v>29190</v>
      </c>
      <c r="C4971" t="s">
        <v>20488</v>
      </c>
      <c r="D4971" t="s">
        <v>22</v>
      </c>
      <c r="E4971" t="s">
        <v>13828</v>
      </c>
      <c r="F4971">
        <v>27</v>
      </c>
      <c r="G4971" t="s">
        <v>16</v>
      </c>
      <c r="H4971" t="s">
        <v>9785</v>
      </c>
      <c r="I4971" t="s">
        <v>17</v>
      </c>
      <c r="J4971" t="s">
        <v>7755</v>
      </c>
    </row>
    <row r="4972" spans="1:10" x14ac:dyDescent="0.3">
      <c r="A4972" t="s">
        <v>13829</v>
      </c>
      <c r="B4972" t="s">
        <v>29191</v>
      </c>
      <c r="C4972" t="s">
        <v>20488</v>
      </c>
      <c r="D4972" t="s">
        <v>22</v>
      </c>
      <c r="E4972" t="s">
        <v>13830</v>
      </c>
      <c r="F4972">
        <v>26</v>
      </c>
      <c r="G4972" t="s">
        <v>16</v>
      </c>
      <c r="H4972" t="s">
        <v>9785</v>
      </c>
      <c r="I4972" t="s">
        <v>17</v>
      </c>
      <c r="J4972" t="s">
        <v>7755</v>
      </c>
    </row>
    <row r="4973" spans="1:10" x14ac:dyDescent="0.3">
      <c r="A4973" t="s">
        <v>13831</v>
      </c>
      <c r="B4973" t="s">
        <v>29192</v>
      </c>
      <c r="C4973" t="s">
        <v>20486</v>
      </c>
      <c r="D4973" t="s">
        <v>22</v>
      </c>
      <c r="E4973" t="s">
        <v>13832</v>
      </c>
      <c r="F4973">
        <v>24</v>
      </c>
      <c r="G4973" t="s">
        <v>540</v>
      </c>
      <c r="H4973" t="s">
        <v>9788</v>
      </c>
      <c r="I4973" t="s">
        <v>18847</v>
      </c>
      <c r="J4973" t="s">
        <v>13834</v>
      </c>
    </row>
    <row r="4974" spans="1:10" x14ac:dyDescent="0.3">
      <c r="A4974" t="s">
        <v>13835</v>
      </c>
      <c r="B4974" t="s">
        <v>29193</v>
      </c>
      <c r="C4974" t="s">
        <v>20491</v>
      </c>
      <c r="D4974" t="s">
        <v>11</v>
      </c>
      <c r="E4974" t="s">
        <v>13836</v>
      </c>
      <c r="F4974">
        <v>25</v>
      </c>
      <c r="G4974" t="s">
        <v>16</v>
      </c>
      <c r="H4974" t="s">
        <v>9785</v>
      </c>
      <c r="I4974" t="s">
        <v>13837</v>
      </c>
      <c r="J4974" t="s">
        <v>1788</v>
      </c>
    </row>
    <row r="4975" spans="1:10" x14ac:dyDescent="0.3">
      <c r="A4975" t="s">
        <v>13838</v>
      </c>
      <c r="B4975" t="s">
        <v>29194</v>
      </c>
      <c r="C4975" t="s">
        <v>20491</v>
      </c>
      <c r="D4975" t="s">
        <v>22</v>
      </c>
      <c r="E4975" t="s">
        <v>13839</v>
      </c>
      <c r="F4975">
        <v>19</v>
      </c>
      <c r="G4975" t="s">
        <v>337</v>
      </c>
      <c r="H4975" t="s">
        <v>337</v>
      </c>
    </row>
    <row r="4976" spans="1:10" x14ac:dyDescent="0.3">
      <c r="A4976" t="s">
        <v>13840</v>
      </c>
      <c r="B4976" t="s">
        <v>29195</v>
      </c>
      <c r="C4976" t="s">
        <v>20486</v>
      </c>
      <c r="D4976" t="s">
        <v>11</v>
      </c>
      <c r="E4976" t="s">
        <v>13841</v>
      </c>
      <c r="F4976">
        <v>30</v>
      </c>
      <c r="G4976" t="s">
        <v>109</v>
      </c>
      <c r="H4976" t="s">
        <v>9788</v>
      </c>
      <c r="I4976" t="s">
        <v>13842</v>
      </c>
      <c r="J4976" t="s">
        <v>13843</v>
      </c>
    </row>
    <row r="4977" spans="1:10" x14ac:dyDescent="0.3">
      <c r="A4977" t="s">
        <v>13844</v>
      </c>
      <c r="B4977" t="s">
        <v>29196</v>
      </c>
      <c r="C4977" t="s">
        <v>20486</v>
      </c>
      <c r="D4977" t="s">
        <v>22</v>
      </c>
      <c r="E4977" t="s">
        <v>13845</v>
      </c>
      <c r="F4977">
        <v>53</v>
      </c>
      <c r="G4977" t="s">
        <v>46</v>
      </c>
      <c r="H4977" t="s">
        <v>46</v>
      </c>
      <c r="I4977" t="s">
        <v>228</v>
      </c>
      <c r="J4977" t="s">
        <v>13846</v>
      </c>
    </row>
    <row r="4978" spans="1:10" x14ac:dyDescent="0.3">
      <c r="A4978" t="s">
        <v>13847</v>
      </c>
      <c r="B4978" t="s">
        <v>29197</v>
      </c>
      <c r="C4978" t="s">
        <v>20487</v>
      </c>
      <c r="D4978" t="s">
        <v>11</v>
      </c>
      <c r="E4978" t="s">
        <v>13848</v>
      </c>
      <c r="F4978">
        <v>23</v>
      </c>
      <c r="G4978" t="s">
        <v>133</v>
      </c>
      <c r="H4978" t="s">
        <v>9789</v>
      </c>
      <c r="I4978" t="s">
        <v>13849</v>
      </c>
    </row>
    <row r="4979" spans="1:10" x14ac:dyDescent="0.3">
      <c r="A4979" t="s">
        <v>13850</v>
      </c>
      <c r="B4979" t="s">
        <v>29198</v>
      </c>
      <c r="C4979" t="s">
        <v>20488</v>
      </c>
      <c r="D4979" t="s">
        <v>22</v>
      </c>
      <c r="E4979" t="s">
        <v>7999</v>
      </c>
      <c r="F4979">
        <v>57</v>
      </c>
      <c r="G4979" t="s">
        <v>46</v>
      </c>
      <c r="H4979" t="s">
        <v>46</v>
      </c>
      <c r="I4979" t="s">
        <v>1703</v>
      </c>
    </row>
    <row r="4980" spans="1:10" x14ac:dyDescent="0.3">
      <c r="A4980" t="s">
        <v>13851</v>
      </c>
      <c r="B4980" t="s">
        <v>29199</v>
      </c>
      <c r="C4980" t="s">
        <v>20487</v>
      </c>
      <c r="D4980" t="s">
        <v>22</v>
      </c>
      <c r="E4980" t="s">
        <v>8881</v>
      </c>
      <c r="F4980">
        <v>38</v>
      </c>
      <c r="G4980" t="s">
        <v>31</v>
      </c>
      <c r="H4980" t="s">
        <v>31</v>
      </c>
    </row>
    <row r="4981" spans="1:10" x14ac:dyDescent="0.3">
      <c r="A4981" t="s">
        <v>13852</v>
      </c>
      <c r="B4981" t="s">
        <v>29200</v>
      </c>
      <c r="C4981" t="s">
        <v>20488</v>
      </c>
      <c r="D4981" t="s">
        <v>11</v>
      </c>
      <c r="E4981" t="s">
        <v>8340</v>
      </c>
      <c r="F4981">
        <v>35</v>
      </c>
      <c r="G4981" t="s">
        <v>46</v>
      </c>
      <c r="H4981" t="s">
        <v>46</v>
      </c>
      <c r="I4981" t="s">
        <v>4846</v>
      </c>
    </row>
    <row r="4982" spans="1:10" x14ac:dyDescent="0.3">
      <c r="A4982" t="s">
        <v>13853</v>
      </c>
      <c r="B4982" t="s">
        <v>29201</v>
      </c>
      <c r="C4982" t="s">
        <v>20486</v>
      </c>
      <c r="D4982" t="s">
        <v>11</v>
      </c>
      <c r="E4982" t="s">
        <v>13854</v>
      </c>
      <c r="F4982">
        <v>22</v>
      </c>
      <c r="G4982" t="s">
        <v>337</v>
      </c>
      <c r="H4982" t="s">
        <v>337</v>
      </c>
      <c r="J4982" t="s">
        <v>13855</v>
      </c>
    </row>
    <row r="4983" spans="1:10" x14ac:dyDescent="0.3">
      <c r="A4983" t="s">
        <v>13856</v>
      </c>
      <c r="B4983" t="s">
        <v>29202</v>
      </c>
      <c r="C4983" t="s">
        <v>20486</v>
      </c>
      <c r="D4983" t="s">
        <v>22</v>
      </c>
      <c r="E4983" t="s">
        <v>1500</v>
      </c>
      <c r="F4983">
        <v>72</v>
      </c>
      <c r="G4983" t="s">
        <v>46</v>
      </c>
      <c r="H4983" t="s">
        <v>46</v>
      </c>
      <c r="I4983" t="s">
        <v>9228</v>
      </c>
      <c r="J4983" t="s">
        <v>13857</v>
      </c>
    </row>
    <row r="4984" spans="1:10" x14ac:dyDescent="0.3">
      <c r="A4984" t="s">
        <v>13858</v>
      </c>
      <c r="B4984" t="s">
        <v>29203</v>
      </c>
      <c r="C4984" t="s">
        <v>20486</v>
      </c>
      <c r="D4984" t="s">
        <v>11</v>
      </c>
      <c r="E4984" t="s">
        <v>8594</v>
      </c>
      <c r="F4984">
        <v>27</v>
      </c>
      <c r="G4984" t="s">
        <v>109</v>
      </c>
      <c r="H4984" t="s">
        <v>9788</v>
      </c>
      <c r="I4984" t="s">
        <v>17</v>
      </c>
      <c r="J4984" t="s">
        <v>12157</v>
      </c>
    </row>
    <row r="4985" spans="1:10" x14ac:dyDescent="0.3">
      <c r="A4985" t="s">
        <v>13859</v>
      </c>
      <c r="B4985" t="s">
        <v>29204</v>
      </c>
      <c r="C4985" t="s">
        <v>20486</v>
      </c>
      <c r="D4985" t="s">
        <v>11</v>
      </c>
      <c r="E4985" t="s">
        <v>12967</v>
      </c>
      <c r="F4985">
        <v>28</v>
      </c>
      <c r="G4985" t="s">
        <v>46</v>
      </c>
      <c r="H4985" t="s">
        <v>46</v>
      </c>
      <c r="I4985" t="s">
        <v>228</v>
      </c>
      <c r="J4985" t="s">
        <v>13860</v>
      </c>
    </row>
    <row r="4986" spans="1:10" x14ac:dyDescent="0.3">
      <c r="A4986" t="s">
        <v>13861</v>
      </c>
      <c r="B4986" t="s">
        <v>29205</v>
      </c>
      <c r="C4986" t="s">
        <v>20486</v>
      </c>
      <c r="D4986" t="s">
        <v>11</v>
      </c>
      <c r="E4986" t="s">
        <v>3755</v>
      </c>
      <c r="F4986">
        <v>39</v>
      </c>
      <c r="G4986" t="s">
        <v>46</v>
      </c>
      <c r="H4986" t="s">
        <v>46</v>
      </c>
      <c r="I4986" t="s">
        <v>13862</v>
      </c>
      <c r="J4986" t="s">
        <v>13863</v>
      </c>
    </row>
    <row r="4987" spans="1:10" x14ac:dyDescent="0.3">
      <c r="A4987" t="s">
        <v>13864</v>
      </c>
      <c r="B4987" t="s">
        <v>29206</v>
      </c>
      <c r="C4987" t="s">
        <v>20487</v>
      </c>
      <c r="D4987" t="s">
        <v>22</v>
      </c>
      <c r="E4987" t="s">
        <v>1389</v>
      </c>
      <c r="F4987">
        <v>48</v>
      </c>
      <c r="G4987" t="s">
        <v>46</v>
      </c>
      <c r="H4987" t="s">
        <v>46</v>
      </c>
      <c r="I4987" t="s">
        <v>74</v>
      </c>
      <c r="J4987" t="s">
        <v>13865</v>
      </c>
    </row>
    <row r="4988" spans="1:10" x14ac:dyDescent="0.3">
      <c r="A4988" t="s">
        <v>13866</v>
      </c>
      <c r="B4988" t="s">
        <v>29207</v>
      </c>
      <c r="C4988" t="s">
        <v>20486</v>
      </c>
      <c r="D4988" t="s">
        <v>22</v>
      </c>
      <c r="E4988" t="s">
        <v>13867</v>
      </c>
      <c r="F4988">
        <v>37</v>
      </c>
      <c r="G4988" t="s">
        <v>172</v>
      </c>
      <c r="H4988" t="s">
        <v>12099</v>
      </c>
      <c r="I4988" t="s">
        <v>110</v>
      </c>
      <c r="J4988" t="s">
        <v>13868</v>
      </c>
    </row>
    <row r="4989" spans="1:10" x14ac:dyDescent="0.3">
      <c r="A4989" t="s">
        <v>13869</v>
      </c>
      <c r="B4989" t="s">
        <v>29208</v>
      </c>
      <c r="C4989" t="s">
        <v>20489</v>
      </c>
      <c r="D4989" t="s">
        <v>22</v>
      </c>
      <c r="E4989" t="s">
        <v>13870</v>
      </c>
      <c r="F4989">
        <v>29</v>
      </c>
      <c r="G4989" t="s">
        <v>109</v>
      </c>
      <c r="H4989" t="s">
        <v>9788</v>
      </c>
      <c r="I4989" t="s">
        <v>2466</v>
      </c>
    </row>
    <row r="4990" spans="1:10" x14ac:dyDescent="0.3">
      <c r="A4990" t="s">
        <v>13871</v>
      </c>
      <c r="B4990" t="s">
        <v>29209</v>
      </c>
      <c r="C4990" t="s">
        <v>20486</v>
      </c>
      <c r="D4990" t="s">
        <v>22</v>
      </c>
      <c r="E4990" t="s">
        <v>5312</v>
      </c>
      <c r="F4990">
        <v>36</v>
      </c>
      <c r="G4990" t="s">
        <v>109</v>
      </c>
      <c r="H4990" t="s">
        <v>9788</v>
      </c>
      <c r="J4990" t="s">
        <v>13872</v>
      </c>
    </row>
    <row r="4991" spans="1:10" x14ac:dyDescent="0.3">
      <c r="A4991" t="s">
        <v>13873</v>
      </c>
      <c r="B4991" t="s">
        <v>29210</v>
      </c>
      <c r="C4991" t="s">
        <v>20486</v>
      </c>
      <c r="D4991" t="s">
        <v>22</v>
      </c>
      <c r="E4991" t="s">
        <v>13874</v>
      </c>
      <c r="F4991">
        <v>28</v>
      </c>
      <c r="G4991" t="s">
        <v>109</v>
      </c>
      <c r="H4991" t="s">
        <v>9788</v>
      </c>
      <c r="J4991" t="s">
        <v>13872</v>
      </c>
    </row>
    <row r="4992" spans="1:10" x14ac:dyDescent="0.3">
      <c r="A4992" t="s">
        <v>13875</v>
      </c>
      <c r="B4992" t="s">
        <v>29211</v>
      </c>
      <c r="C4992" t="s">
        <v>20488</v>
      </c>
      <c r="D4992" t="s">
        <v>11</v>
      </c>
      <c r="E4992" t="s">
        <v>9607</v>
      </c>
      <c r="F4992">
        <v>28</v>
      </c>
      <c r="G4992" t="s">
        <v>46</v>
      </c>
      <c r="H4992" t="s">
        <v>46</v>
      </c>
    </row>
    <row r="4993" spans="1:10" x14ac:dyDescent="0.3">
      <c r="A4993" t="s">
        <v>13876</v>
      </c>
      <c r="B4993" t="s">
        <v>29212</v>
      </c>
      <c r="C4993" t="s">
        <v>20488</v>
      </c>
      <c r="D4993" t="s">
        <v>22</v>
      </c>
      <c r="E4993" t="s">
        <v>13877</v>
      </c>
      <c r="F4993">
        <v>31</v>
      </c>
      <c r="G4993" t="s">
        <v>16</v>
      </c>
      <c r="H4993" t="s">
        <v>9785</v>
      </c>
      <c r="I4993" t="s">
        <v>17</v>
      </c>
      <c r="J4993" t="s">
        <v>13878</v>
      </c>
    </row>
    <row r="4994" spans="1:10" x14ac:dyDescent="0.3">
      <c r="A4994" t="s">
        <v>13879</v>
      </c>
      <c r="B4994" t="s">
        <v>29213</v>
      </c>
      <c r="C4994" t="s">
        <v>20487</v>
      </c>
      <c r="D4994" t="s">
        <v>22</v>
      </c>
      <c r="E4994" t="s">
        <v>13880</v>
      </c>
      <c r="F4994">
        <v>42</v>
      </c>
      <c r="G4994" t="s">
        <v>5098</v>
      </c>
      <c r="H4994" t="s">
        <v>9785</v>
      </c>
      <c r="J4994" t="s">
        <v>13881</v>
      </c>
    </row>
    <row r="4995" spans="1:10" x14ac:dyDescent="0.3">
      <c r="A4995" t="s">
        <v>13882</v>
      </c>
      <c r="B4995" t="s">
        <v>29214</v>
      </c>
      <c r="C4995" t="s">
        <v>20490</v>
      </c>
      <c r="D4995" t="s">
        <v>11</v>
      </c>
      <c r="E4995" t="s">
        <v>7131</v>
      </c>
      <c r="F4995">
        <v>51</v>
      </c>
      <c r="G4995" t="s">
        <v>46</v>
      </c>
      <c r="H4995" t="s">
        <v>46</v>
      </c>
      <c r="I4995" t="s">
        <v>18848</v>
      </c>
    </row>
    <row r="4996" spans="1:10" x14ac:dyDescent="0.3">
      <c r="A4996" t="s">
        <v>13883</v>
      </c>
      <c r="B4996" t="s">
        <v>29215</v>
      </c>
      <c r="C4996" t="s">
        <v>20491</v>
      </c>
      <c r="D4996" t="s">
        <v>22</v>
      </c>
      <c r="E4996" t="s">
        <v>13884</v>
      </c>
      <c r="F4996">
        <v>18</v>
      </c>
      <c r="G4996" t="s">
        <v>46</v>
      </c>
      <c r="H4996" t="s">
        <v>46</v>
      </c>
      <c r="I4996" t="s">
        <v>228</v>
      </c>
    </row>
    <row r="4997" spans="1:10" x14ac:dyDescent="0.3">
      <c r="A4997" t="s">
        <v>13885</v>
      </c>
      <c r="B4997" t="s">
        <v>29216</v>
      </c>
      <c r="C4997" t="s">
        <v>20486</v>
      </c>
      <c r="D4997" t="s">
        <v>11</v>
      </c>
      <c r="E4997" t="s">
        <v>1275</v>
      </c>
      <c r="F4997">
        <v>65</v>
      </c>
      <c r="G4997" t="s">
        <v>46</v>
      </c>
      <c r="H4997" t="s">
        <v>46</v>
      </c>
    </row>
    <row r="4998" spans="1:10" x14ac:dyDescent="0.3">
      <c r="A4998" t="s">
        <v>13886</v>
      </c>
      <c r="B4998" t="s">
        <v>29217</v>
      </c>
      <c r="C4998" t="s">
        <v>20490</v>
      </c>
      <c r="D4998" t="s">
        <v>22</v>
      </c>
      <c r="E4998" t="s">
        <v>13887</v>
      </c>
      <c r="F4998">
        <v>28</v>
      </c>
      <c r="G4998" t="s">
        <v>213</v>
      </c>
      <c r="H4998" t="s">
        <v>12065</v>
      </c>
      <c r="I4998" t="s">
        <v>110</v>
      </c>
    </row>
    <row r="4999" spans="1:10" x14ac:dyDescent="0.3">
      <c r="A4999" t="s">
        <v>13888</v>
      </c>
      <c r="B4999" t="s">
        <v>29218</v>
      </c>
      <c r="C4999" t="s">
        <v>20486</v>
      </c>
      <c r="D4999" t="s">
        <v>22</v>
      </c>
      <c r="E4999" t="s">
        <v>2968</v>
      </c>
      <c r="F4999">
        <v>43</v>
      </c>
      <c r="G4999" t="s">
        <v>109</v>
      </c>
      <c r="H4999" t="s">
        <v>9788</v>
      </c>
      <c r="I4999" t="s">
        <v>12719</v>
      </c>
      <c r="J4999" t="s">
        <v>13622</v>
      </c>
    </row>
    <row r="5000" spans="1:10" x14ac:dyDescent="0.3">
      <c r="A5000" t="s">
        <v>13890</v>
      </c>
      <c r="B5000" t="s">
        <v>29219</v>
      </c>
      <c r="C5000" t="s">
        <v>20488</v>
      </c>
      <c r="D5000" t="s">
        <v>22</v>
      </c>
      <c r="E5000" t="s">
        <v>13891</v>
      </c>
      <c r="F5000">
        <v>54</v>
      </c>
      <c r="G5000" t="s">
        <v>46</v>
      </c>
      <c r="H5000" t="s">
        <v>46</v>
      </c>
      <c r="I5000" t="s">
        <v>6217</v>
      </c>
      <c r="J5000" t="s">
        <v>13892</v>
      </c>
    </row>
    <row r="5001" spans="1:10" x14ac:dyDescent="0.3">
      <c r="A5001" t="s">
        <v>13893</v>
      </c>
      <c r="B5001" t="s">
        <v>29220</v>
      </c>
      <c r="C5001" t="s">
        <v>20491</v>
      </c>
      <c r="D5001" t="s">
        <v>22</v>
      </c>
      <c r="E5001" t="s">
        <v>1441</v>
      </c>
      <c r="F5001">
        <v>51</v>
      </c>
      <c r="G5001" t="s">
        <v>5098</v>
      </c>
      <c r="H5001" t="s">
        <v>9785</v>
      </c>
      <c r="I5001" t="s">
        <v>17</v>
      </c>
      <c r="J5001" t="s">
        <v>13894</v>
      </c>
    </row>
    <row r="5002" spans="1:10" x14ac:dyDescent="0.3">
      <c r="A5002" t="s">
        <v>13895</v>
      </c>
      <c r="B5002" t="s">
        <v>29221</v>
      </c>
      <c r="C5002" t="s">
        <v>20488</v>
      </c>
      <c r="D5002" t="s">
        <v>22</v>
      </c>
      <c r="E5002" t="s">
        <v>7432</v>
      </c>
      <c r="F5002">
        <v>40</v>
      </c>
      <c r="G5002" t="s">
        <v>109</v>
      </c>
      <c r="H5002" t="s">
        <v>9788</v>
      </c>
      <c r="I5002" t="s">
        <v>2466</v>
      </c>
      <c r="J5002" t="s">
        <v>14357</v>
      </c>
    </row>
    <row r="5003" spans="1:10" x14ac:dyDescent="0.3">
      <c r="A5003" t="s">
        <v>13897</v>
      </c>
      <c r="B5003" t="s">
        <v>29222</v>
      </c>
      <c r="C5003" t="s">
        <v>20491</v>
      </c>
      <c r="D5003" t="s">
        <v>22</v>
      </c>
      <c r="E5003" t="s">
        <v>13898</v>
      </c>
      <c r="F5003">
        <v>47</v>
      </c>
      <c r="G5003" t="s">
        <v>370</v>
      </c>
      <c r="H5003" t="s">
        <v>46</v>
      </c>
      <c r="I5003" t="s">
        <v>228</v>
      </c>
      <c r="J5003" t="s">
        <v>13899</v>
      </c>
    </row>
    <row r="5004" spans="1:10" x14ac:dyDescent="0.3">
      <c r="A5004" t="s">
        <v>13900</v>
      </c>
      <c r="B5004" t="s">
        <v>29223</v>
      </c>
      <c r="C5004" t="s">
        <v>20491</v>
      </c>
      <c r="D5004" t="s">
        <v>22</v>
      </c>
      <c r="E5004" t="s">
        <v>13901</v>
      </c>
      <c r="F5004">
        <v>59</v>
      </c>
      <c r="G5004" t="s">
        <v>370</v>
      </c>
      <c r="H5004" t="s">
        <v>46</v>
      </c>
      <c r="I5004" t="s">
        <v>228</v>
      </c>
      <c r="J5004" t="s">
        <v>13902</v>
      </c>
    </row>
    <row r="5005" spans="1:10" x14ac:dyDescent="0.3">
      <c r="A5005" t="s">
        <v>13903</v>
      </c>
      <c r="B5005" t="s">
        <v>29224</v>
      </c>
      <c r="C5005" t="s">
        <v>20491</v>
      </c>
      <c r="D5005" t="s">
        <v>11</v>
      </c>
      <c r="E5005" t="s">
        <v>13904</v>
      </c>
      <c r="F5005">
        <v>31</v>
      </c>
      <c r="G5005" t="s">
        <v>370</v>
      </c>
      <c r="H5005" t="s">
        <v>46</v>
      </c>
      <c r="I5005" t="s">
        <v>13905</v>
      </c>
    </row>
    <row r="5006" spans="1:10" x14ac:dyDescent="0.3">
      <c r="A5006" t="s">
        <v>13906</v>
      </c>
      <c r="B5006" t="s">
        <v>29225</v>
      </c>
      <c r="C5006" t="s">
        <v>20491</v>
      </c>
      <c r="D5006" t="s">
        <v>22</v>
      </c>
      <c r="E5006" t="s">
        <v>13907</v>
      </c>
      <c r="F5006">
        <v>21</v>
      </c>
      <c r="G5006" t="s">
        <v>46</v>
      </c>
      <c r="H5006" t="s">
        <v>46</v>
      </c>
      <c r="I5006" t="s">
        <v>8457</v>
      </c>
      <c r="J5006" t="s">
        <v>13908</v>
      </c>
    </row>
    <row r="5007" spans="1:10" x14ac:dyDescent="0.3">
      <c r="A5007" t="s">
        <v>13909</v>
      </c>
      <c r="B5007" t="s">
        <v>29226</v>
      </c>
      <c r="C5007" t="s">
        <v>20486</v>
      </c>
      <c r="D5007" t="s">
        <v>22</v>
      </c>
      <c r="E5007" t="s">
        <v>244</v>
      </c>
      <c r="F5007">
        <v>57</v>
      </c>
      <c r="G5007" t="s">
        <v>46</v>
      </c>
      <c r="H5007" t="s">
        <v>46</v>
      </c>
      <c r="J5007" t="s">
        <v>13910</v>
      </c>
    </row>
    <row r="5008" spans="1:10" x14ac:dyDescent="0.3">
      <c r="A5008" t="s">
        <v>13911</v>
      </c>
      <c r="B5008" t="s">
        <v>29227</v>
      </c>
      <c r="C5008" t="s">
        <v>20488</v>
      </c>
      <c r="D5008" t="s">
        <v>22</v>
      </c>
      <c r="E5008" t="s">
        <v>13912</v>
      </c>
      <c r="F5008">
        <v>45</v>
      </c>
      <c r="G5008" t="s">
        <v>172</v>
      </c>
      <c r="H5008" t="s">
        <v>12099</v>
      </c>
    </row>
    <row r="5009" spans="1:10" x14ac:dyDescent="0.3">
      <c r="A5009" t="s">
        <v>13913</v>
      </c>
      <c r="B5009" t="s">
        <v>29228</v>
      </c>
      <c r="C5009" t="s">
        <v>20490</v>
      </c>
      <c r="D5009" t="s">
        <v>22</v>
      </c>
      <c r="E5009" t="s">
        <v>13914</v>
      </c>
      <c r="F5009">
        <v>44</v>
      </c>
      <c r="G5009" t="s">
        <v>370</v>
      </c>
      <c r="H5009" t="s">
        <v>46</v>
      </c>
      <c r="I5009" t="s">
        <v>13915</v>
      </c>
    </row>
    <row r="5010" spans="1:10" x14ac:dyDescent="0.3">
      <c r="A5010" t="s">
        <v>13916</v>
      </c>
      <c r="B5010" t="s">
        <v>29229</v>
      </c>
      <c r="C5010" t="s">
        <v>20490</v>
      </c>
      <c r="D5010" t="s">
        <v>22</v>
      </c>
      <c r="E5010" t="s">
        <v>338</v>
      </c>
      <c r="F5010">
        <v>53</v>
      </c>
      <c r="G5010" t="s">
        <v>109</v>
      </c>
      <c r="H5010" t="s">
        <v>9788</v>
      </c>
      <c r="I5010" t="s">
        <v>17</v>
      </c>
      <c r="J5010" t="s">
        <v>339</v>
      </c>
    </row>
    <row r="5011" spans="1:10" x14ac:dyDescent="0.3">
      <c r="A5011" t="s">
        <v>13917</v>
      </c>
      <c r="B5011" t="s">
        <v>29230</v>
      </c>
      <c r="C5011" t="s">
        <v>20486</v>
      </c>
      <c r="D5011" t="s">
        <v>22</v>
      </c>
      <c r="E5011" t="s">
        <v>4490</v>
      </c>
      <c r="F5011">
        <v>39</v>
      </c>
      <c r="G5011" t="s">
        <v>46</v>
      </c>
      <c r="H5011" t="s">
        <v>46</v>
      </c>
      <c r="I5011" t="s">
        <v>13918</v>
      </c>
      <c r="J5011" t="s">
        <v>13919</v>
      </c>
    </row>
    <row r="5012" spans="1:10" x14ac:dyDescent="0.3">
      <c r="A5012" t="s">
        <v>13920</v>
      </c>
      <c r="B5012" t="s">
        <v>29231</v>
      </c>
      <c r="C5012" t="s">
        <v>20491</v>
      </c>
      <c r="D5012" t="s">
        <v>22</v>
      </c>
      <c r="E5012" t="s">
        <v>13921</v>
      </c>
      <c r="F5012">
        <v>42</v>
      </c>
      <c r="G5012" t="s">
        <v>109</v>
      </c>
      <c r="H5012" t="s">
        <v>9788</v>
      </c>
      <c r="J5012" t="s">
        <v>13922</v>
      </c>
    </row>
    <row r="5013" spans="1:10" x14ac:dyDescent="0.3">
      <c r="A5013" t="s">
        <v>13923</v>
      </c>
      <c r="B5013" t="s">
        <v>29232</v>
      </c>
      <c r="C5013" t="s">
        <v>20491</v>
      </c>
      <c r="D5013" t="s">
        <v>11</v>
      </c>
      <c r="E5013" t="s">
        <v>13924</v>
      </c>
      <c r="F5013">
        <v>29</v>
      </c>
      <c r="G5013" t="s">
        <v>109</v>
      </c>
      <c r="H5013" t="s">
        <v>9788</v>
      </c>
      <c r="J5013" t="s">
        <v>13925</v>
      </c>
    </row>
    <row r="5014" spans="1:10" x14ac:dyDescent="0.3">
      <c r="A5014" t="s">
        <v>13926</v>
      </c>
      <c r="B5014" t="s">
        <v>29233</v>
      </c>
      <c r="C5014" t="s">
        <v>20487</v>
      </c>
      <c r="D5014" t="s">
        <v>11</v>
      </c>
      <c r="E5014" t="s">
        <v>8160</v>
      </c>
      <c r="F5014">
        <v>35</v>
      </c>
      <c r="G5014" t="s">
        <v>109</v>
      </c>
      <c r="H5014" t="s">
        <v>9788</v>
      </c>
      <c r="I5014" t="s">
        <v>1145</v>
      </c>
      <c r="J5014" t="s">
        <v>2639</v>
      </c>
    </row>
    <row r="5015" spans="1:10" x14ac:dyDescent="0.3">
      <c r="A5015" t="s">
        <v>13927</v>
      </c>
      <c r="B5015" t="s">
        <v>29234</v>
      </c>
      <c r="C5015" t="s">
        <v>20486</v>
      </c>
      <c r="D5015" t="s">
        <v>11</v>
      </c>
      <c r="E5015" t="s">
        <v>13928</v>
      </c>
      <c r="F5015">
        <v>48</v>
      </c>
      <c r="G5015" t="s">
        <v>46</v>
      </c>
      <c r="H5015" t="s">
        <v>46</v>
      </c>
      <c r="I5015" t="s">
        <v>220</v>
      </c>
    </row>
    <row r="5016" spans="1:10" x14ac:dyDescent="0.3">
      <c r="A5016" t="s">
        <v>13929</v>
      </c>
      <c r="B5016" t="s">
        <v>29235</v>
      </c>
      <c r="C5016" t="s">
        <v>20486</v>
      </c>
      <c r="D5016" t="s">
        <v>22</v>
      </c>
      <c r="E5016" t="s">
        <v>13930</v>
      </c>
      <c r="F5016">
        <v>45</v>
      </c>
      <c r="G5016" t="s">
        <v>2418</v>
      </c>
      <c r="H5016" t="s">
        <v>9787</v>
      </c>
      <c r="I5016" t="s">
        <v>1074</v>
      </c>
      <c r="J5016" t="s">
        <v>13931</v>
      </c>
    </row>
    <row r="5017" spans="1:10" x14ac:dyDescent="0.3">
      <c r="A5017" t="s">
        <v>13932</v>
      </c>
      <c r="B5017" t="s">
        <v>29236</v>
      </c>
      <c r="C5017" t="s">
        <v>20488</v>
      </c>
      <c r="D5017" t="s">
        <v>22</v>
      </c>
      <c r="E5017" t="s">
        <v>13933</v>
      </c>
      <c r="F5017">
        <v>38</v>
      </c>
      <c r="G5017" t="s">
        <v>31</v>
      </c>
      <c r="H5017" t="s">
        <v>31</v>
      </c>
    </row>
    <row r="5018" spans="1:10" x14ac:dyDescent="0.3">
      <c r="A5018" t="s">
        <v>13934</v>
      </c>
      <c r="B5018" t="s">
        <v>29237</v>
      </c>
      <c r="C5018" t="s">
        <v>20486</v>
      </c>
      <c r="D5018" t="s">
        <v>22</v>
      </c>
      <c r="E5018" t="s">
        <v>13935</v>
      </c>
      <c r="F5018">
        <v>37</v>
      </c>
      <c r="G5018" t="s">
        <v>109</v>
      </c>
      <c r="H5018" t="s">
        <v>9788</v>
      </c>
      <c r="I5018" t="s">
        <v>1074</v>
      </c>
      <c r="J5018" t="s">
        <v>25</v>
      </c>
    </row>
    <row r="5019" spans="1:10" x14ac:dyDescent="0.3">
      <c r="A5019" t="s">
        <v>13936</v>
      </c>
      <c r="B5019" t="s">
        <v>29238</v>
      </c>
      <c r="C5019" t="s">
        <v>20487</v>
      </c>
      <c r="D5019" t="s">
        <v>11</v>
      </c>
      <c r="E5019" t="s">
        <v>13937</v>
      </c>
      <c r="F5019">
        <v>20</v>
      </c>
      <c r="G5019" t="s">
        <v>337</v>
      </c>
      <c r="H5019" t="s">
        <v>337</v>
      </c>
    </row>
    <row r="5020" spans="1:10" x14ac:dyDescent="0.3">
      <c r="A5020" t="s">
        <v>13938</v>
      </c>
      <c r="B5020" t="s">
        <v>29239</v>
      </c>
      <c r="C5020" t="s">
        <v>20486</v>
      </c>
      <c r="D5020" t="s">
        <v>22</v>
      </c>
      <c r="E5020" t="s">
        <v>5511</v>
      </c>
      <c r="F5020">
        <v>48</v>
      </c>
      <c r="G5020" t="s">
        <v>31</v>
      </c>
      <c r="H5020" t="s">
        <v>31</v>
      </c>
    </row>
    <row r="5021" spans="1:10" x14ac:dyDescent="0.3">
      <c r="A5021" t="s">
        <v>13939</v>
      </c>
      <c r="B5021" t="s">
        <v>29240</v>
      </c>
      <c r="C5021" t="s">
        <v>20491</v>
      </c>
      <c r="D5021" t="s">
        <v>22</v>
      </c>
      <c r="E5021" t="s">
        <v>13940</v>
      </c>
      <c r="F5021">
        <v>27</v>
      </c>
      <c r="G5021" t="s">
        <v>1439</v>
      </c>
      <c r="H5021" t="s">
        <v>46</v>
      </c>
    </row>
    <row r="5022" spans="1:10" x14ac:dyDescent="0.3">
      <c r="A5022" t="s">
        <v>13941</v>
      </c>
      <c r="B5022" t="s">
        <v>29241</v>
      </c>
      <c r="C5022" t="s">
        <v>20486</v>
      </c>
      <c r="D5022" t="s">
        <v>22</v>
      </c>
      <c r="E5022" t="s">
        <v>2790</v>
      </c>
      <c r="F5022">
        <v>49</v>
      </c>
      <c r="G5022" t="s">
        <v>31</v>
      </c>
      <c r="H5022" t="s">
        <v>31</v>
      </c>
    </row>
    <row r="5023" spans="1:10" x14ac:dyDescent="0.3">
      <c r="A5023" t="s">
        <v>13942</v>
      </c>
      <c r="B5023" t="s">
        <v>29242</v>
      </c>
      <c r="C5023" t="s">
        <v>20486</v>
      </c>
      <c r="D5023" t="s">
        <v>22</v>
      </c>
      <c r="E5023" t="s">
        <v>13943</v>
      </c>
      <c r="F5023">
        <v>54</v>
      </c>
      <c r="G5023" t="s">
        <v>16</v>
      </c>
      <c r="H5023" t="s">
        <v>9785</v>
      </c>
      <c r="I5023" t="s">
        <v>1074</v>
      </c>
      <c r="J5023" t="s">
        <v>13944</v>
      </c>
    </row>
    <row r="5024" spans="1:10" x14ac:dyDescent="0.3">
      <c r="A5024" t="s">
        <v>13945</v>
      </c>
      <c r="B5024" t="s">
        <v>29243</v>
      </c>
      <c r="C5024" t="s">
        <v>20486</v>
      </c>
      <c r="D5024" t="s">
        <v>22</v>
      </c>
      <c r="E5024" t="s">
        <v>13946</v>
      </c>
      <c r="F5024">
        <v>36</v>
      </c>
      <c r="G5024" t="s">
        <v>46</v>
      </c>
      <c r="H5024" t="s">
        <v>46</v>
      </c>
      <c r="I5024" t="s">
        <v>9228</v>
      </c>
      <c r="J5024" t="s">
        <v>13947</v>
      </c>
    </row>
    <row r="5025" spans="1:10" x14ac:dyDescent="0.3">
      <c r="A5025" t="s">
        <v>13948</v>
      </c>
      <c r="B5025" t="s">
        <v>29244</v>
      </c>
      <c r="C5025" t="s">
        <v>20486</v>
      </c>
      <c r="D5025" t="s">
        <v>22</v>
      </c>
      <c r="E5025" t="s">
        <v>13949</v>
      </c>
      <c r="F5025">
        <v>35</v>
      </c>
      <c r="G5025" t="s">
        <v>46</v>
      </c>
      <c r="H5025" t="s">
        <v>46</v>
      </c>
      <c r="I5025" t="s">
        <v>9228</v>
      </c>
      <c r="J5025" t="s">
        <v>13950</v>
      </c>
    </row>
    <row r="5026" spans="1:10" x14ac:dyDescent="0.3">
      <c r="A5026" t="s">
        <v>13951</v>
      </c>
      <c r="B5026" t="s">
        <v>29245</v>
      </c>
      <c r="C5026" t="s">
        <v>20486</v>
      </c>
      <c r="D5026" t="s">
        <v>22</v>
      </c>
      <c r="E5026" t="s">
        <v>2519</v>
      </c>
      <c r="F5026">
        <v>49</v>
      </c>
      <c r="G5026" t="s">
        <v>46</v>
      </c>
      <c r="H5026" t="s">
        <v>46</v>
      </c>
      <c r="I5026" t="s">
        <v>1074</v>
      </c>
      <c r="J5026" t="s">
        <v>13952</v>
      </c>
    </row>
    <row r="5027" spans="1:10" x14ac:dyDescent="0.3">
      <c r="A5027" t="s">
        <v>13953</v>
      </c>
      <c r="B5027" t="s">
        <v>29246</v>
      </c>
      <c r="C5027" t="s">
        <v>20486</v>
      </c>
      <c r="D5027" t="s">
        <v>22</v>
      </c>
      <c r="E5027" t="s">
        <v>13954</v>
      </c>
      <c r="F5027">
        <v>20</v>
      </c>
      <c r="G5027" t="s">
        <v>16</v>
      </c>
      <c r="H5027" t="s">
        <v>9785</v>
      </c>
      <c r="I5027" t="s">
        <v>1074</v>
      </c>
      <c r="J5027" t="s">
        <v>9132</v>
      </c>
    </row>
    <row r="5028" spans="1:10" x14ac:dyDescent="0.3">
      <c r="A5028" t="s">
        <v>13955</v>
      </c>
      <c r="B5028" t="s">
        <v>29247</v>
      </c>
      <c r="C5028" t="s">
        <v>20486</v>
      </c>
      <c r="D5028" t="s">
        <v>22</v>
      </c>
      <c r="E5028" t="s">
        <v>13956</v>
      </c>
      <c r="F5028">
        <v>25</v>
      </c>
      <c r="G5028" t="s">
        <v>31</v>
      </c>
      <c r="H5028" t="s">
        <v>243</v>
      </c>
    </row>
    <row r="5029" spans="1:10" x14ac:dyDescent="0.3">
      <c r="A5029" t="s">
        <v>13957</v>
      </c>
      <c r="B5029" t="s">
        <v>29248</v>
      </c>
      <c r="C5029" t="s">
        <v>20486</v>
      </c>
      <c r="D5029" t="s">
        <v>22</v>
      </c>
      <c r="E5029" t="s">
        <v>13958</v>
      </c>
      <c r="F5029">
        <v>42</v>
      </c>
      <c r="G5029" t="s">
        <v>31</v>
      </c>
      <c r="H5029" t="s">
        <v>46</v>
      </c>
      <c r="I5029" t="s">
        <v>18849</v>
      </c>
      <c r="J5029" t="s">
        <v>13959</v>
      </c>
    </row>
    <row r="5030" spans="1:10" x14ac:dyDescent="0.3">
      <c r="A5030" t="s">
        <v>13960</v>
      </c>
      <c r="B5030" t="s">
        <v>29249</v>
      </c>
      <c r="C5030" t="s">
        <v>20491</v>
      </c>
      <c r="D5030" t="s">
        <v>11</v>
      </c>
      <c r="E5030" t="s">
        <v>13961</v>
      </c>
      <c r="F5030">
        <v>17</v>
      </c>
      <c r="G5030" t="s">
        <v>243</v>
      </c>
      <c r="H5030" t="s">
        <v>243</v>
      </c>
    </row>
    <row r="5031" spans="1:10" x14ac:dyDescent="0.3">
      <c r="A5031" t="s">
        <v>13962</v>
      </c>
      <c r="B5031" t="s">
        <v>29250</v>
      </c>
      <c r="C5031" t="s">
        <v>20491</v>
      </c>
      <c r="D5031" t="s">
        <v>22</v>
      </c>
      <c r="E5031" t="s">
        <v>13963</v>
      </c>
      <c r="F5031">
        <v>22</v>
      </c>
      <c r="G5031" t="s">
        <v>109</v>
      </c>
      <c r="H5031" t="s">
        <v>9788</v>
      </c>
      <c r="J5031" t="s">
        <v>13964</v>
      </c>
    </row>
    <row r="5032" spans="1:10" x14ac:dyDescent="0.3">
      <c r="A5032" t="s">
        <v>13965</v>
      </c>
      <c r="B5032" t="s">
        <v>29251</v>
      </c>
      <c r="C5032" t="s">
        <v>20488</v>
      </c>
      <c r="D5032" t="s">
        <v>11</v>
      </c>
      <c r="E5032" t="s">
        <v>13966</v>
      </c>
      <c r="F5032">
        <v>35</v>
      </c>
      <c r="G5032" t="s">
        <v>109</v>
      </c>
      <c r="H5032" t="s">
        <v>9788</v>
      </c>
      <c r="I5032" t="s">
        <v>13967</v>
      </c>
      <c r="J5032" t="s">
        <v>13968</v>
      </c>
    </row>
    <row r="5033" spans="1:10" x14ac:dyDescent="0.3">
      <c r="A5033" t="s">
        <v>13969</v>
      </c>
      <c r="B5033" t="s">
        <v>29252</v>
      </c>
      <c r="C5033" t="s">
        <v>20491</v>
      </c>
      <c r="D5033" t="s">
        <v>22</v>
      </c>
      <c r="E5033" t="s">
        <v>13970</v>
      </c>
      <c r="F5033">
        <v>30</v>
      </c>
      <c r="G5033" t="s">
        <v>109</v>
      </c>
      <c r="H5033" t="s">
        <v>9788</v>
      </c>
      <c r="J5033" t="s">
        <v>13971</v>
      </c>
    </row>
    <row r="5034" spans="1:10" x14ac:dyDescent="0.3">
      <c r="A5034" t="s">
        <v>13972</v>
      </c>
      <c r="B5034" t="s">
        <v>29253</v>
      </c>
      <c r="C5034" t="s">
        <v>20491</v>
      </c>
      <c r="D5034" t="s">
        <v>11</v>
      </c>
      <c r="E5034" t="s">
        <v>13973</v>
      </c>
      <c r="F5034">
        <v>57</v>
      </c>
      <c r="G5034" t="s">
        <v>46</v>
      </c>
      <c r="H5034" t="s">
        <v>46</v>
      </c>
      <c r="J5034" t="s">
        <v>13974</v>
      </c>
    </row>
    <row r="5035" spans="1:10" x14ac:dyDescent="0.3">
      <c r="A5035" t="s">
        <v>13975</v>
      </c>
      <c r="B5035" t="s">
        <v>29254</v>
      </c>
      <c r="C5035" t="s">
        <v>20491</v>
      </c>
      <c r="D5035" t="s">
        <v>11</v>
      </c>
      <c r="E5035" t="s">
        <v>13976</v>
      </c>
      <c r="F5035">
        <v>20</v>
      </c>
      <c r="G5035" t="s">
        <v>109</v>
      </c>
      <c r="H5035" t="s">
        <v>9788</v>
      </c>
      <c r="J5035" t="s">
        <v>13977</v>
      </c>
    </row>
    <row r="5036" spans="1:10" x14ac:dyDescent="0.3">
      <c r="A5036" t="s">
        <v>13978</v>
      </c>
      <c r="B5036" t="s">
        <v>29255</v>
      </c>
      <c r="C5036" t="s">
        <v>20486</v>
      </c>
      <c r="D5036" t="s">
        <v>11</v>
      </c>
      <c r="E5036" t="s">
        <v>13979</v>
      </c>
      <c r="F5036">
        <v>48</v>
      </c>
      <c r="G5036" t="s">
        <v>109</v>
      </c>
      <c r="H5036" t="s">
        <v>9788</v>
      </c>
      <c r="J5036" t="s">
        <v>7527</v>
      </c>
    </row>
    <row r="5037" spans="1:10" x14ac:dyDescent="0.3">
      <c r="A5037" t="s">
        <v>13980</v>
      </c>
      <c r="B5037" t="s">
        <v>29256</v>
      </c>
      <c r="C5037" t="s">
        <v>20486</v>
      </c>
      <c r="D5037" t="s">
        <v>22</v>
      </c>
      <c r="E5037" t="s">
        <v>13981</v>
      </c>
      <c r="F5037">
        <v>32</v>
      </c>
      <c r="G5037" t="s">
        <v>1200</v>
      </c>
      <c r="H5037" t="s">
        <v>12099</v>
      </c>
      <c r="I5037" t="s">
        <v>18850</v>
      </c>
      <c r="J5037" t="s">
        <v>13982</v>
      </c>
    </row>
    <row r="5038" spans="1:10" x14ac:dyDescent="0.3">
      <c r="A5038" t="s">
        <v>13983</v>
      </c>
      <c r="B5038" t="s">
        <v>29257</v>
      </c>
      <c r="C5038" t="s">
        <v>20486</v>
      </c>
      <c r="D5038" t="s">
        <v>11</v>
      </c>
      <c r="E5038" t="s">
        <v>13984</v>
      </c>
      <c r="F5038">
        <v>29</v>
      </c>
      <c r="G5038" t="s">
        <v>109</v>
      </c>
      <c r="H5038" t="s">
        <v>9788</v>
      </c>
      <c r="I5038" t="s">
        <v>13985</v>
      </c>
      <c r="J5038" t="s">
        <v>13985</v>
      </c>
    </row>
    <row r="5039" spans="1:10" x14ac:dyDescent="0.3">
      <c r="A5039" t="s">
        <v>13986</v>
      </c>
      <c r="B5039" t="s">
        <v>29258</v>
      </c>
      <c r="C5039" t="s">
        <v>20487</v>
      </c>
      <c r="D5039" t="s">
        <v>11</v>
      </c>
      <c r="E5039" t="s">
        <v>13987</v>
      </c>
      <c r="F5039">
        <v>23</v>
      </c>
      <c r="G5039" t="s">
        <v>337</v>
      </c>
      <c r="H5039" t="s">
        <v>337</v>
      </c>
    </row>
    <row r="5040" spans="1:10" x14ac:dyDescent="0.3">
      <c r="A5040" t="s">
        <v>13988</v>
      </c>
      <c r="B5040" t="s">
        <v>29259</v>
      </c>
      <c r="C5040" t="s">
        <v>20491</v>
      </c>
      <c r="D5040" t="s">
        <v>22</v>
      </c>
      <c r="E5040" t="s">
        <v>5672</v>
      </c>
      <c r="F5040">
        <v>22</v>
      </c>
      <c r="G5040" t="s">
        <v>370</v>
      </c>
      <c r="H5040" t="s">
        <v>46</v>
      </c>
      <c r="I5040" t="s">
        <v>228</v>
      </c>
      <c r="J5040" t="s">
        <v>13989</v>
      </c>
    </row>
    <row r="5041" spans="1:10" x14ac:dyDescent="0.3">
      <c r="A5041" t="s">
        <v>13990</v>
      </c>
      <c r="B5041" t="s">
        <v>29260</v>
      </c>
      <c r="C5041" t="s">
        <v>20491</v>
      </c>
      <c r="D5041" t="s">
        <v>22</v>
      </c>
      <c r="E5041" t="s">
        <v>13991</v>
      </c>
      <c r="F5041">
        <v>28</v>
      </c>
      <c r="G5041" t="s">
        <v>370</v>
      </c>
      <c r="H5041" t="s">
        <v>46</v>
      </c>
      <c r="J5041" t="s">
        <v>5341</v>
      </c>
    </row>
    <row r="5042" spans="1:10" x14ac:dyDescent="0.3">
      <c r="A5042" t="s">
        <v>13992</v>
      </c>
      <c r="B5042" t="s">
        <v>29261</v>
      </c>
      <c r="C5042" t="s">
        <v>20491</v>
      </c>
      <c r="D5042" t="s">
        <v>11</v>
      </c>
      <c r="E5042" t="s">
        <v>13993</v>
      </c>
      <c r="F5042">
        <v>21</v>
      </c>
      <c r="G5042" t="s">
        <v>109</v>
      </c>
      <c r="H5042" t="s">
        <v>9788</v>
      </c>
      <c r="J5042" t="s">
        <v>13994</v>
      </c>
    </row>
    <row r="5043" spans="1:10" x14ac:dyDescent="0.3">
      <c r="A5043" t="s">
        <v>13995</v>
      </c>
      <c r="B5043" t="s">
        <v>29262</v>
      </c>
      <c r="C5043" t="s">
        <v>20487</v>
      </c>
      <c r="D5043" t="s">
        <v>11</v>
      </c>
      <c r="E5043" t="s">
        <v>13996</v>
      </c>
      <c r="F5043">
        <v>19</v>
      </c>
      <c r="G5043" t="s">
        <v>337</v>
      </c>
      <c r="H5043" t="s">
        <v>337</v>
      </c>
    </row>
    <row r="5044" spans="1:10" x14ac:dyDescent="0.3">
      <c r="A5044" t="s">
        <v>13997</v>
      </c>
      <c r="B5044" t="s">
        <v>29263</v>
      </c>
      <c r="C5044" t="s">
        <v>20488</v>
      </c>
      <c r="D5044" t="s">
        <v>11</v>
      </c>
      <c r="E5044" t="s">
        <v>13998</v>
      </c>
      <c r="F5044">
        <v>25</v>
      </c>
      <c r="G5044" t="s">
        <v>243</v>
      </c>
    </row>
    <row r="5045" spans="1:10" x14ac:dyDescent="0.3">
      <c r="A5045" t="s">
        <v>13999</v>
      </c>
      <c r="B5045" t="s">
        <v>29264</v>
      </c>
      <c r="C5045" t="s">
        <v>20491</v>
      </c>
      <c r="D5045" t="s">
        <v>11</v>
      </c>
      <c r="E5045" t="s">
        <v>14000</v>
      </c>
      <c r="F5045">
        <v>60</v>
      </c>
      <c r="G5045" t="s">
        <v>370</v>
      </c>
      <c r="H5045" t="s">
        <v>46</v>
      </c>
      <c r="J5045" t="s">
        <v>14001</v>
      </c>
    </row>
    <row r="5046" spans="1:10" x14ac:dyDescent="0.3">
      <c r="A5046" t="s">
        <v>14002</v>
      </c>
      <c r="B5046" t="s">
        <v>29265</v>
      </c>
      <c r="C5046" t="s">
        <v>20486</v>
      </c>
      <c r="D5046" t="s">
        <v>22</v>
      </c>
      <c r="E5046" t="s">
        <v>14003</v>
      </c>
      <c r="F5046">
        <v>21</v>
      </c>
      <c r="G5046" t="s">
        <v>31</v>
      </c>
      <c r="H5046" t="s">
        <v>31</v>
      </c>
    </row>
    <row r="5047" spans="1:10" x14ac:dyDescent="0.3">
      <c r="A5047" t="s">
        <v>14004</v>
      </c>
      <c r="B5047" t="s">
        <v>29266</v>
      </c>
      <c r="C5047" t="s">
        <v>20486</v>
      </c>
      <c r="D5047" t="s">
        <v>22</v>
      </c>
      <c r="E5047" t="s">
        <v>323</v>
      </c>
      <c r="F5047">
        <v>60</v>
      </c>
      <c r="G5047" t="s">
        <v>46</v>
      </c>
      <c r="H5047" t="s">
        <v>46</v>
      </c>
      <c r="I5047" t="s">
        <v>9228</v>
      </c>
      <c r="J5047" t="s">
        <v>14005</v>
      </c>
    </row>
    <row r="5048" spans="1:10" x14ac:dyDescent="0.3">
      <c r="A5048" t="s">
        <v>14006</v>
      </c>
      <c r="B5048" t="s">
        <v>29267</v>
      </c>
      <c r="C5048" t="s">
        <v>20490</v>
      </c>
      <c r="D5048" t="s">
        <v>22</v>
      </c>
      <c r="E5048" t="s">
        <v>14007</v>
      </c>
      <c r="F5048">
        <v>70</v>
      </c>
      <c r="G5048" t="s">
        <v>13</v>
      </c>
      <c r="H5048" t="s">
        <v>13</v>
      </c>
      <c r="I5048" t="s">
        <v>101</v>
      </c>
    </row>
    <row r="5049" spans="1:10" x14ac:dyDescent="0.3">
      <c r="A5049" t="s">
        <v>14008</v>
      </c>
      <c r="B5049" t="s">
        <v>29268</v>
      </c>
      <c r="C5049" t="s">
        <v>20490</v>
      </c>
      <c r="D5049" t="s">
        <v>11</v>
      </c>
      <c r="E5049" t="s">
        <v>5974</v>
      </c>
      <c r="F5049">
        <v>40</v>
      </c>
      <c r="G5049" t="s">
        <v>133</v>
      </c>
      <c r="H5049" t="s">
        <v>9789</v>
      </c>
    </row>
    <row r="5050" spans="1:10" x14ac:dyDescent="0.3">
      <c r="A5050" t="s">
        <v>14009</v>
      </c>
      <c r="B5050" t="s">
        <v>29269</v>
      </c>
      <c r="C5050" t="s">
        <v>20486</v>
      </c>
      <c r="D5050" t="s">
        <v>22</v>
      </c>
      <c r="E5050" t="s">
        <v>14010</v>
      </c>
      <c r="F5050">
        <v>35</v>
      </c>
      <c r="G5050" t="s">
        <v>109</v>
      </c>
      <c r="H5050" t="s">
        <v>9788</v>
      </c>
      <c r="J5050" t="s">
        <v>14011</v>
      </c>
    </row>
    <row r="5051" spans="1:10" x14ac:dyDescent="0.3">
      <c r="A5051" t="s">
        <v>14012</v>
      </c>
      <c r="B5051" t="s">
        <v>29270</v>
      </c>
      <c r="C5051" t="s">
        <v>20488</v>
      </c>
      <c r="D5051" t="s">
        <v>22</v>
      </c>
      <c r="E5051" t="s">
        <v>9543</v>
      </c>
      <c r="F5051">
        <v>33</v>
      </c>
      <c r="G5051" t="s">
        <v>109</v>
      </c>
      <c r="H5051" t="s">
        <v>9788</v>
      </c>
      <c r="I5051" t="s">
        <v>110</v>
      </c>
      <c r="J5051" t="s">
        <v>14013</v>
      </c>
    </row>
    <row r="5052" spans="1:10" x14ac:dyDescent="0.3">
      <c r="A5052" t="s">
        <v>14014</v>
      </c>
      <c r="B5052" t="s">
        <v>29271</v>
      </c>
      <c r="C5052" t="s">
        <v>20491</v>
      </c>
      <c r="D5052" t="s">
        <v>22</v>
      </c>
      <c r="E5052" t="s">
        <v>6291</v>
      </c>
      <c r="F5052">
        <v>50</v>
      </c>
      <c r="G5052" t="s">
        <v>46</v>
      </c>
      <c r="H5052" t="s">
        <v>46</v>
      </c>
      <c r="I5052" t="s">
        <v>1388</v>
      </c>
    </row>
    <row r="5053" spans="1:10" x14ac:dyDescent="0.3">
      <c r="A5053" t="s">
        <v>14015</v>
      </c>
      <c r="B5053" t="s">
        <v>29272</v>
      </c>
      <c r="C5053" t="s">
        <v>20486</v>
      </c>
      <c r="D5053" t="s">
        <v>22</v>
      </c>
      <c r="E5053" t="s">
        <v>13397</v>
      </c>
      <c r="F5053">
        <v>39</v>
      </c>
      <c r="G5053" t="s">
        <v>1200</v>
      </c>
      <c r="H5053" t="s">
        <v>12099</v>
      </c>
      <c r="I5053" t="s">
        <v>18851</v>
      </c>
      <c r="J5053" t="s">
        <v>14016</v>
      </c>
    </row>
    <row r="5054" spans="1:10" x14ac:dyDescent="0.3">
      <c r="A5054" t="s">
        <v>14017</v>
      </c>
      <c r="B5054" t="s">
        <v>29273</v>
      </c>
      <c r="C5054" t="s">
        <v>20491</v>
      </c>
      <c r="D5054" t="s">
        <v>22</v>
      </c>
      <c r="E5054" t="s">
        <v>14018</v>
      </c>
      <c r="F5054">
        <v>43</v>
      </c>
      <c r="G5054" t="s">
        <v>46</v>
      </c>
      <c r="H5054" t="s">
        <v>46</v>
      </c>
      <c r="I5054" t="s">
        <v>228</v>
      </c>
      <c r="J5054" t="s">
        <v>14019</v>
      </c>
    </row>
    <row r="5055" spans="1:10" x14ac:dyDescent="0.3">
      <c r="A5055" t="s">
        <v>14020</v>
      </c>
      <c r="B5055" t="s">
        <v>29274</v>
      </c>
      <c r="C5055" t="s">
        <v>20491</v>
      </c>
      <c r="D5055" t="s">
        <v>22</v>
      </c>
      <c r="E5055" t="s">
        <v>14021</v>
      </c>
      <c r="F5055">
        <v>36</v>
      </c>
      <c r="G5055" t="s">
        <v>46</v>
      </c>
      <c r="H5055" t="s">
        <v>46</v>
      </c>
      <c r="J5055" t="s">
        <v>14022</v>
      </c>
    </row>
    <row r="5056" spans="1:10" x14ac:dyDescent="0.3">
      <c r="A5056" t="s">
        <v>14023</v>
      </c>
      <c r="B5056" t="s">
        <v>29275</v>
      </c>
      <c r="C5056" t="s">
        <v>20486</v>
      </c>
      <c r="D5056" t="s">
        <v>22</v>
      </c>
      <c r="E5056" t="s">
        <v>14024</v>
      </c>
      <c r="F5056">
        <v>53</v>
      </c>
      <c r="G5056" t="s">
        <v>31</v>
      </c>
      <c r="H5056" t="s">
        <v>31</v>
      </c>
    </row>
    <row r="5057" spans="1:10" x14ac:dyDescent="0.3">
      <c r="A5057" t="s">
        <v>14025</v>
      </c>
      <c r="B5057" t="s">
        <v>29276</v>
      </c>
      <c r="C5057" t="s">
        <v>20486</v>
      </c>
      <c r="D5057" t="s">
        <v>22</v>
      </c>
      <c r="E5057" t="s">
        <v>14026</v>
      </c>
      <c r="F5057">
        <v>25</v>
      </c>
      <c r="G5057" t="s">
        <v>109</v>
      </c>
      <c r="H5057" t="s">
        <v>9788</v>
      </c>
      <c r="J5057" t="s">
        <v>14027</v>
      </c>
    </row>
    <row r="5058" spans="1:10" x14ac:dyDescent="0.3">
      <c r="A5058" t="s">
        <v>14028</v>
      </c>
      <c r="B5058" t="s">
        <v>29277</v>
      </c>
      <c r="C5058" t="s">
        <v>20486</v>
      </c>
      <c r="D5058" t="s">
        <v>22</v>
      </c>
      <c r="E5058" t="s">
        <v>14029</v>
      </c>
      <c r="F5058">
        <v>49</v>
      </c>
      <c r="G5058" t="s">
        <v>31</v>
      </c>
      <c r="H5058" t="s">
        <v>31</v>
      </c>
    </row>
    <row r="5059" spans="1:10" x14ac:dyDescent="0.3">
      <c r="A5059" t="s">
        <v>14030</v>
      </c>
      <c r="B5059" t="s">
        <v>29278</v>
      </c>
      <c r="C5059" t="s">
        <v>20490</v>
      </c>
      <c r="D5059" t="s">
        <v>22</v>
      </c>
      <c r="E5059" t="s">
        <v>3860</v>
      </c>
      <c r="F5059">
        <v>56</v>
      </c>
      <c r="G5059" t="s">
        <v>133</v>
      </c>
      <c r="H5059" t="s">
        <v>9789</v>
      </c>
      <c r="I5059" t="s">
        <v>32</v>
      </c>
    </row>
    <row r="5060" spans="1:10" x14ac:dyDescent="0.3">
      <c r="A5060" t="s">
        <v>14031</v>
      </c>
      <c r="B5060" t="s">
        <v>29279</v>
      </c>
      <c r="C5060" t="s">
        <v>20490</v>
      </c>
      <c r="D5060" t="s">
        <v>22</v>
      </c>
      <c r="E5060" t="s">
        <v>9768</v>
      </c>
      <c r="F5060">
        <v>19</v>
      </c>
      <c r="G5060" t="s">
        <v>337</v>
      </c>
      <c r="H5060" t="s">
        <v>337</v>
      </c>
    </row>
    <row r="5061" spans="1:10" x14ac:dyDescent="0.3">
      <c r="A5061" t="s">
        <v>14032</v>
      </c>
      <c r="B5061" t="s">
        <v>29280</v>
      </c>
      <c r="C5061" t="s">
        <v>20487</v>
      </c>
      <c r="D5061" t="s">
        <v>11</v>
      </c>
      <c r="E5061" t="s">
        <v>9373</v>
      </c>
      <c r="F5061">
        <v>42</v>
      </c>
      <c r="G5061" t="s">
        <v>109</v>
      </c>
      <c r="H5061" t="s">
        <v>9788</v>
      </c>
      <c r="I5061" t="s">
        <v>14033</v>
      </c>
    </row>
    <row r="5062" spans="1:10" x14ac:dyDescent="0.3">
      <c r="A5062" t="s">
        <v>14034</v>
      </c>
      <c r="B5062" t="s">
        <v>29281</v>
      </c>
      <c r="C5062" t="s">
        <v>20488</v>
      </c>
      <c r="D5062" t="s">
        <v>22</v>
      </c>
      <c r="E5062" t="s">
        <v>14035</v>
      </c>
      <c r="F5062">
        <v>39</v>
      </c>
      <c r="G5062" t="s">
        <v>31</v>
      </c>
      <c r="H5062" t="s">
        <v>31</v>
      </c>
    </row>
    <row r="5063" spans="1:10" x14ac:dyDescent="0.3">
      <c r="A5063" t="s">
        <v>14036</v>
      </c>
      <c r="B5063" t="s">
        <v>29282</v>
      </c>
      <c r="C5063" t="s">
        <v>20487</v>
      </c>
      <c r="D5063" t="s">
        <v>22</v>
      </c>
      <c r="E5063" t="s">
        <v>467</v>
      </c>
      <c r="F5063">
        <v>63</v>
      </c>
      <c r="G5063" t="s">
        <v>46</v>
      </c>
      <c r="H5063" t="s">
        <v>46</v>
      </c>
      <c r="I5063" t="s">
        <v>149</v>
      </c>
    </row>
    <row r="5064" spans="1:10" x14ac:dyDescent="0.3">
      <c r="A5064" t="s">
        <v>14037</v>
      </c>
      <c r="B5064" t="s">
        <v>29283</v>
      </c>
      <c r="C5064" t="s">
        <v>20487</v>
      </c>
      <c r="D5064" t="s">
        <v>22</v>
      </c>
      <c r="E5064" t="s">
        <v>7589</v>
      </c>
      <c r="F5064">
        <v>27</v>
      </c>
      <c r="G5064" t="s">
        <v>109</v>
      </c>
      <c r="H5064" t="s">
        <v>9788</v>
      </c>
      <c r="J5064" t="s">
        <v>14038</v>
      </c>
    </row>
    <row r="5065" spans="1:10" x14ac:dyDescent="0.3">
      <c r="A5065" t="s">
        <v>14039</v>
      </c>
      <c r="B5065" t="s">
        <v>29284</v>
      </c>
      <c r="C5065" t="s">
        <v>20486</v>
      </c>
      <c r="D5065" t="s">
        <v>22</v>
      </c>
      <c r="E5065" t="s">
        <v>14040</v>
      </c>
      <c r="F5065">
        <v>32</v>
      </c>
      <c r="G5065" t="s">
        <v>1200</v>
      </c>
      <c r="H5065" t="s">
        <v>9788</v>
      </c>
      <c r="I5065" t="s">
        <v>14041</v>
      </c>
    </row>
    <row r="5066" spans="1:10" x14ac:dyDescent="0.3">
      <c r="A5066" t="s">
        <v>14042</v>
      </c>
      <c r="B5066" t="s">
        <v>29285</v>
      </c>
      <c r="C5066" t="s">
        <v>20489</v>
      </c>
      <c r="D5066" t="s">
        <v>22</v>
      </c>
      <c r="E5066" t="s">
        <v>14043</v>
      </c>
      <c r="F5066">
        <v>33</v>
      </c>
      <c r="G5066" t="s">
        <v>370</v>
      </c>
      <c r="H5066" t="s">
        <v>46</v>
      </c>
      <c r="I5066" t="s">
        <v>14044</v>
      </c>
    </row>
    <row r="5067" spans="1:10" x14ac:dyDescent="0.3">
      <c r="A5067" t="s">
        <v>14045</v>
      </c>
      <c r="B5067" t="s">
        <v>29286</v>
      </c>
      <c r="C5067" t="s">
        <v>20486</v>
      </c>
      <c r="D5067" t="s">
        <v>22</v>
      </c>
      <c r="E5067" t="s">
        <v>14046</v>
      </c>
      <c r="F5067">
        <v>37</v>
      </c>
      <c r="G5067" t="s">
        <v>955</v>
      </c>
      <c r="H5067" t="s">
        <v>9788</v>
      </c>
      <c r="I5067" t="s">
        <v>4629</v>
      </c>
      <c r="J5067" t="s">
        <v>14047</v>
      </c>
    </row>
    <row r="5068" spans="1:10" x14ac:dyDescent="0.3">
      <c r="A5068" t="s">
        <v>14048</v>
      </c>
      <c r="B5068" t="s">
        <v>29287</v>
      </c>
      <c r="C5068" t="s">
        <v>20488</v>
      </c>
      <c r="D5068" t="s">
        <v>11</v>
      </c>
      <c r="E5068" t="s">
        <v>14049</v>
      </c>
      <c r="F5068">
        <v>34</v>
      </c>
      <c r="G5068" t="s">
        <v>46</v>
      </c>
      <c r="H5068" t="s">
        <v>46</v>
      </c>
      <c r="I5068" t="s">
        <v>228</v>
      </c>
      <c r="J5068" t="s">
        <v>14050</v>
      </c>
    </row>
    <row r="5069" spans="1:10" x14ac:dyDescent="0.3">
      <c r="A5069" t="s">
        <v>14051</v>
      </c>
      <c r="B5069" t="s">
        <v>29288</v>
      </c>
      <c r="C5069" t="s">
        <v>20488</v>
      </c>
      <c r="D5069" t="s">
        <v>22</v>
      </c>
      <c r="E5069" t="s">
        <v>657</v>
      </c>
      <c r="F5069">
        <v>52</v>
      </c>
      <c r="G5069" t="s">
        <v>16</v>
      </c>
      <c r="H5069" t="s">
        <v>9785</v>
      </c>
      <c r="I5069" t="s">
        <v>441</v>
      </c>
      <c r="J5069" t="s">
        <v>14358</v>
      </c>
    </row>
    <row r="5070" spans="1:10" x14ac:dyDescent="0.3">
      <c r="A5070" t="s">
        <v>14052</v>
      </c>
      <c r="B5070" t="s">
        <v>29289</v>
      </c>
      <c r="C5070" t="s">
        <v>20491</v>
      </c>
      <c r="D5070" t="s">
        <v>11</v>
      </c>
      <c r="E5070" t="s">
        <v>14053</v>
      </c>
      <c r="F5070">
        <v>37</v>
      </c>
      <c r="G5070" t="s">
        <v>46</v>
      </c>
      <c r="H5070" t="s">
        <v>46</v>
      </c>
      <c r="I5070" t="s">
        <v>14054</v>
      </c>
      <c r="J5070" t="s">
        <v>14055</v>
      </c>
    </row>
    <row r="5071" spans="1:10" x14ac:dyDescent="0.3">
      <c r="A5071" t="s">
        <v>14056</v>
      </c>
      <c r="B5071" t="s">
        <v>29290</v>
      </c>
      <c r="C5071" t="s">
        <v>20490</v>
      </c>
      <c r="D5071" t="s">
        <v>22</v>
      </c>
      <c r="E5071" t="s">
        <v>14057</v>
      </c>
      <c r="F5071">
        <v>44</v>
      </c>
      <c r="G5071" t="s">
        <v>109</v>
      </c>
      <c r="H5071" t="s">
        <v>9788</v>
      </c>
      <c r="I5071" t="s">
        <v>14058</v>
      </c>
      <c r="J5071" t="s">
        <v>14059</v>
      </c>
    </row>
    <row r="5072" spans="1:10" x14ac:dyDescent="0.3">
      <c r="A5072" t="s">
        <v>14060</v>
      </c>
      <c r="B5072" t="s">
        <v>29291</v>
      </c>
      <c r="C5072" t="s">
        <v>20486</v>
      </c>
      <c r="D5072" t="s">
        <v>11</v>
      </c>
      <c r="E5072" t="s">
        <v>14061</v>
      </c>
      <c r="F5072">
        <v>43</v>
      </c>
      <c r="G5072" t="s">
        <v>109</v>
      </c>
      <c r="H5072" t="s">
        <v>9788</v>
      </c>
      <c r="I5072" t="s">
        <v>14062</v>
      </c>
      <c r="J5072" t="s">
        <v>14063</v>
      </c>
    </row>
    <row r="5073" spans="1:10" x14ac:dyDescent="0.3">
      <c r="A5073" t="s">
        <v>14064</v>
      </c>
      <c r="B5073" t="s">
        <v>29292</v>
      </c>
      <c r="C5073" t="s">
        <v>20487</v>
      </c>
      <c r="D5073" t="s">
        <v>22</v>
      </c>
      <c r="E5073" t="s">
        <v>14065</v>
      </c>
      <c r="F5073">
        <v>49</v>
      </c>
      <c r="G5073" t="s">
        <v>109</v>
      </c>
      <c r="H5073" t="s">
        <v>9788</v>
      </c>
      <c r="J5073" t="s">
        <v>14066</v>
      </c>
    </row>
    <row r="5074" spans="1:10" x14ac:dyDescent="0.3">
      <c r="A5074" t="s">
        <v>14067</v>
      </c>
      <c r="B5074" t="s">
        <v>29293</v>
      </c>
      <c r="C5074" t="s">
        <v>20486</v>
      </c>
      <c r="D5074" t="s">
        <v>11</v>
      </c>
      <c r="E5074" t="s">
        <v>14068</v>
      </c>
      <c r="F5074">
        <v>33</v>
      </c>
      <c r="G5074" t="s">
        <v>109</v>
      </c>
      <c r="H5074" t="s">
        <v>9788</v>
      </c>
      <c r="J5074" t="s">
        <v>9516</v>
      </c>
    </row>
    <row r="5075" spans="1:10" x14ac:dyDescent="0.3">
      <c r="A5075" t="s">
        <v>14069</v>
      </c>
      <c r="B5075" t="s">
        <v>29294</v>
      </c>
      <c r="C5075" t="s">
        <v>20487</v>
      </c>
      <c r="D5075" t="s">
        <v>22</v>
      </c>
      <c r="E5075" t="s">
        <v>14070</v>
      </c>
      <c r="F5075">
        <v>32</v>
      </c>
      <c r="G5075" t="s">
        <v>46</v>
      </c>
      <c r="H5075" t="s">
        <v>46</v>
      </c>
      <c r="I5075" t="s">
        <v>1388</v>
      </c>
    </row>
    <row r="5076" spans="1:10" x14ac:dyDescent="0.3">
      <c r="A5076" t="s">
        <v>14071</v>
      </c>
      <c r="B5076" t="s">
        <v>29295</v>
      </c>
      <c r="C5076" t="s">
        <v>20487</v>
      </c>
      <c r="D5076" t="s">
        <v>22</v>
      </c>
      <c r="E5076" t="s">
        <v>14072</v>
      </c>
      <c r="F5076">
        <v>46</v>
      </c>
      <c r="G5076" t="s">
        <v>172</v>
      </c>
      <c r="H5076" t="s">
        <v>12099</v>
      </c>
      <c r="J5076" t="s">
        <v>14073</v>
      </c>
    </row>
    <row r="5077" spans="1:10" x14ac:dyDescent="0.3">
      <c r="A5077" t="s">
        <v>14074</v>
      </c>
      <c r="B5077" t="s">
        <v>29296</v>
      </c>
      <c r="C5077" t="s">
        <v>20486</v>
      </c>
      <c r="D5077" t="s">
        <v>11</v>
      </c>
      <c r="E5077" t="s">
        <v>14075</v>
      </c>
      <c r="F5077">
        <v>22</v>
      </c>
      <c r="G5077" t="s">
        <v>337</v>
      </c>
      <c r="H5077" t="s">
        <v>337</v>
      </c>
    </row>
    <row r="5078" spans="1:10" x14ac:dyDescent="0.3">
      <c r="A5078" t="s">
        <v>14076</v>
      </c>
      <c r="B5078" t="s">
        <v>29297</v>
      </c>
      <c r="C5078" t="s">
        <v>20487</v>
      </c>
      <c r="D5078" t="s">
        <v>11</v>
      </c>
      <c r="E5078" t="s">
        <v>14077</v>
      </c>
      <c r="F5078">
        <v>23</v>
      </c>
      <c r="G5078" t="s">
        <v>109</v>
      </c>
      <c r="H5078" t="s">
        <v>9788</v>
      </c>
      <c r="I5078" t="s">
        <v>481</v>
      </c>
      <c r="J5078" t="s">
        <v>14078</v>
      </c>
    </row>
    <row r="5079" spans="1:10" x14ac:dyDescent="0.3">
      <c r="A5079" t="s">
        <v>14079</v>
      </c>
      <c r="B5079" t="s">
        <v>29298</v>
      </c>
      <c r="C5079" t="s">
        <v>20488</v>
      </c>
      <c r="D5079" t="s">
        <v>22</v>
      </c>
      <c r="E5079" t="s">
        <v>6619</v>
      </c>
      <c r="F5079">
        <v>43</v>
      </c>
      <c r="G5079" t="s">
        <v>46</v>
      </c>
      <c r="H5079" t="s">
        <v>46</v>
      </c>
      <c r="I5079" t="s">
        <v>228</v>
      </c>
      <c r="J5079" t="s">
        <v>14080</v>
      </c>
    </row>
    <row r="5080" spans="1:10" x14ac:dyDescent="0.3">
      <c r="A5080" t="s">
        <v>14081</v>
      </c>
      <c r="B5080" t="s">
        <v>29299</v>
      </c>
      <c r="C5080" t="s">
        <v>20486</v>
      </c>
      <c r="D5080" t="s">
        <v>22</v>
      </c>
      <c r="E5080" t="s">
        <v>6517</v>
      </c>
      <c r="F5080">
        <v>43</v>
      </c>
      <c r="G5080" t="s">
        <v>109</v>
      </c>
      <c r="H5080" t="s">
        <v>9788</v>
      </c>
      <c r="I5080" t="s">
        <v>228</v>
      </c>
      <c r="J5080" t="s">
        <v>14082</v>
      </c>
    </row>
    <row r="5081" spans="1:10" x14ac:dyDescent="0.3">
      <c r="A5081" t="s">
        <v>14083</v>
      </c>
      <c r="B5081" t="s">
        <v>29300</v>
      </c>
      <c r="C5081" t="s">
        <v>20486</v>
      </c>
      <c r="D5081" t="s">
        <v>22</v>
      </c>
      <c r="E5081" t="s">
        <v>14084</v>
      </c>
      <c r="F5081">
        <v>55</v>
      </c>
      <c r="G5081" t="s">
        <v>31</v>
      </c>
      <c r="H5081" t="s">
        <v>31</v>
      </c>
    </row>
    <row r="5082" spans="1:10" x14ac:dyDescent="0.3">
      <c r="A5082" t="s">
        <v>14085</v>
      </c>
      <c r="B5082" t="s">
        <v>29301</v>
      </c>
      <c r="C5082" t="s">
        <v>20491</v>
      </c>
      <c r="D5082" t="s">
        <v>11</v>
      </c>
      <c r="E5082" t="s">
        <v>14086</v>
      </c>
      <c r="F5082">
        <v>48</v>
      </c>
      <c r="G5082" t="s">
        <v>109</v>
      </c>
      <c r="H5082" t="s">
        <v>9788</v>
      </c>
      <c r="I5082" t="s">
        <v>1859</v>
      </c>
      <c r="J5082" t="s">
        <v>14087</v>
      </c>
    </row>
    <row r="5083" spans="1:10" x14ac:dyDescent="0.3">
      <c r="A5083" t="s">
        <v>14088</v>
      </c>
      <c r="B5083" t="s">
        <v>29302</v>
      </c>
      <c r="C5083" t="s">
        <v>20491</v>
      </c>
      <c r="D5083" t="s">
        <v>22</v>
      </c>
      <c r="E5083" t="s">
        <v>14089</v>
      </c>
      <c r="F5083">
        <v>46</v>
      </c>
      <c r="G5083" t="s">
        <v>46</v>
      </c>
      <c r="H5083" t="s">
        <v>46</v>
      </c>
      <c r="I5083" t="s">
        <v>14090</v>
      </c>
    </row>
    <row r="5084" spans="1:10" x14ac:dyDescent="0.3">
      <c r="A5084" t="s">
        <v>14091</v>
      </c>
      <c r="B5084" t="s">
        <v>29303</v>
      </c>
      <c r="C5084" t="s">
        <v>20486</v>
      </c>
      <c r="D5084" t="s">
        <v>22</v>
      </c>
      <c r="E5084" t="s">
        <v>14092</v>
      </c>
      <c r="F5084">
        <v>36</v>
      </c>
      <c r="G5084" t="s">
        <v>109</v>
      </c>
      <c r="H5084" t="s">
        <v>9788</v>
      </c>
      <c r="J5084" t="s">
        <v>14093</v>
      </c>
    </row>
    <row r="5085" spans="1:10" x14ac:dyDescent="0.3">
      <c r="A5085" t="s">
        <v>14094</v>
      </c>
      <c r="B5085" t="s">
        <v>29304</v>
      </c>
      <c r="C5085" t="s">
        <v>20488</v>
      </c>
      <c r="D5085" t="s">
        <v>11</v>
      </c>
      <c r="E5085" t="s">
        <v>14095</v>
      </c>
      <c r="F5085">
        <v>66</v>
      </c>
      <c r="G5085" t="s">
        <v>13</v>
      </c>
      <c r="H5085" t="s">
        <v>13</v>
      </c>
    </row>
    <row r="5086" spans="1:10" x14ac:dyDescent="0.3">
      <c r="A5086" t="s">
        <v>14096</v>
      </c>
      <c r="B5086" t="s">
        <v>29305</v>
      </c>
      <c r="C5086" t="s">
        <v>20486</v>
      </c>
      <c r="D5086" t="s">
        <v>22</v>
      </c>
      <c r="E5086" t="s">
        <v>8328</v>
      </c>
      <c r="F5086">
        <v>45</v>
      </c>
      <c r="G5086" t="s">
        <v>46</v>
      </c>
      <c r="H5086" t="s">
        <v>46</v>
      </c>
    </row>
    <row r="5087" spans="1:10" x14ac:dyDescent="0.3">
      <c r="A5087" t="s">
        <v>14097</v>
      </c>
      <c r="B5087" t="s">
        <v>29306</v>
      </c>
      <c r="C5087" t="s">
        <v>20486</v>
      </c>
      <c r="D5087" t="s">
        <v>22</v>
      </c>
      <c r="E5087" t="s">
        <v>3968</v>
      </c>
      <c r="F5087">
        <v>48</v>
      </c>
      <c r="G5087" t="s">
        <v>31</v>
      </c>
      <c r="H5087" t="s">
        <v>31</v>
      </c>
    </row>
    <row r="5088" spans="1:10" x14ac:dyDescent="0.3">
      <c r="A5088" t="s">
        <v>14098</v>
      </c>
      <c r="B5088" t="s">
        <v>29307</v>
      </c>
      <c r="C5088" t="s">
        <v>20486</v>
      </c>
      <c r="D5088" t="s">
        <v>22</v>
      </c>
      <c r="E5088" t="s">
        <v>14099</v>
      </c>
      <c r="F5088">
        <v>24</v>
      </c>
      <c r="G5088" t="s">
        <v>46</v>
      </c>
      <c r="H5088" t="s">
        <v>46</v>
      </c>
      <c r="J5088" t="s">
        <v>14100</v>
      </c>
    </row>
    <row r="5089" spans="1:10" x14ac:dyDescent="0.3">
      <c r="A5089" t="s">
        <v>14101</v>
      </c>
      <c r="B5089" t="s">
        <v>29308</v>
      </c>
      <c r="C5089" t="s">
        <v>20489</v>
      </c>
      <c r="D5089" t="s">
        <v>11</v>
      </c>
      <c r="E5089" t="s">
        <v>6774</v>
      </c>
      <c r="F5089">
        <v>37</v>
      </c>
      <c r="G5089" t="s">
        <v>46</v>
      </c>
      <c r="H5089" t="s">
        <v>46</v>
      </c>
      <c r="I5089" t="s">
        <v>228</v>
      </c>
      <c r="J5089" t="s">
        <v>14102</v>
      </c>
    </row>
    <row r="5090" spans="1:10" x14ac:dyDescent="0.3">
      <c r="A5090" t="s">
        <v>14104</v>
      </c>
      <c r="B5090" t="s">
        <v>29309</v>
      </c>
      <c r="C5090" t="s">
        <v>20487</v>
      </c>
      <c r="D5090" t="s">
        <v>22</v>
      </c>
      <c r="E5090" t="s">
        <v>13041</v>
      </c>
      <c r="F5090">
        <v>65</v>
      </c>
      <c r="G5090" t="s">
        <v>109</v>
      </c>
      <c r="H5090" t="s">
        <v>9788</v>
      </c>
      <c r="J5090" t="s">
        <v>14066</v>
      </c>
    </row>
    <row r="5091" spans="1:10" x14ac:dyDescent="0.3">
      <c r="A5091" t="s">
        <v>14105</v>
      </c>
      <c r="B5091" t="s">
        <v>29310</v>
      </c>
      <c r="C5091" t="s">
        <v>20490</v>
      </c>
      <c r="D5091" t="s">
        <v>11</v>
      </c>
      <c r="E5091" t="s">
        <v>14106</v>
      </c>
      <c r="F5091">
        <v>47</v>
      </c>
      <c r="G5091" t="s">
        <v>109</v>
      </c>
      <c r="H5091" t="s">
        <v>9788</v>
      </c>
    </row>
    <row r="5092" spans="1:10" x14ac:dyDescent="0.3">
      <c r="A5092" t="s">
        <v>14107</v>
      </c>
      <c r="B5092" t="s">
        <v>29311</v>
      </c>
      <c r="C5092" t="s">
        <v>20491</v>
      </c>
      <c r="D5092" t="s">
        <v>22</v>
      </c>
      <c r="E5092" t="s">
        <v>8259</v>
      </c>
      <c r="F5092">
        <v>61</v>
      </c>
      <c r="G5092" t="s">
        <v>46</v>
      </c>
      <c r="H5092" t="s">
        <v>46</v>
      </c>
      <c r="I5092" t="s">
        <v>228</v>
      </c>
    </row>
    <row r="5093" spans="1:10" x14ac:dyDescent="0.3">
      <c r="A5093" t="s">
        <v>14108</v>
      </c>
      <c r="B5093" t="s">
        <v>29312</v>
      </c>
      <c r="C5093" t="s">
        <v>20488</v>
      </c>
      <c r="D5093" t="s">
        <v>22</v>
      </c>
      <c r="E5093" t="s">
        <v>14109</v>
      </c>
      <c r="F5093">
        <v>27</v>
      </c>
      <c r="G5093" t="s">
        <v>31</v>
      </c>
      <c r="H5093" t="s">
        <v>31</v>
      </c>
      <c r="J5093" t="s">
        <v>14110</v>
      </c>
    </row>
    <row r="5094" spans="1:10" x14ac:dyDescent="0.3">
      <c r="A5094" t="s">
        <v>14111</v>
      </c>
      <c r="B5094" t="s">
        <v>29313</v>
      </c>
      <c r="C5094" t="s">
        <v>20487</v>
      </c>
      <c r="D5094" t="s">
        <v>22</v>
      </c>
      <c r="E5094" t="s">
        <v>14112</v>
      </c>
      <c r="F5094">
        <v>32</v>
      </c>
      <c r="G5094" t="s">
        <v>31</v>
      </c>
      <c r="H5094" t="s">
        <v>31</v>
      </c>
    </row>
    <row r="5095" spans="1:10" x14ac:dyDescent="0.3">
      <c r="A5095" t="s">
        <v>14113</v>
      </c>
      <c r="B5095" t="s">
        <v>29314</v>
      </c>
      <c r="C5095" t="s">
        <v>20486</v>
      </c>
      <c r="D5095" t="s">
        <v>22</v>
      </c>
      <c r="E5095" t="s">
        <v>14099</v>
      </c>
      <c r="F5095">
        <v>24</v>
      </c>
      <c r="G5095" t="s">
        <v>109</v>
      </c>
      <c r="H5095" t="s">
        <v>9788</v>
      </c>
    </row>
    <row r="5096" spans="1:10" x14ac:dyDescent="0.3">
      <c r="A5096" t="s">
        <v>14114</v>
      </c>
      <c r="B5096" t="s">
        <v>29315</v>
      </c>
      <c r="C5096" t="s">
        <v>20489</v>
      </c>
      <c r="D5096" t="s">
        <v>22</v>
      </c>
      <c r="E5096" t="s">
        <v>14115</v>
      </c>
      <c r="F5096">
        <v>59</v>
      </c>
      <c r="G5096" t="s">
        <v>31</v>
      </c>
      <c r="H5096" t="s">
        <v>31</v>
      </c>
    </row>
    <row r="5097" spans="1:10" x14ac:dyDescent="0.3">
      <c r="A5097" t="s">
        <v>14116</v>
      </c>
      <c r="B5097" t="s">
        <v>29316</v>
      </c>
      <c r="C5097" t="s">
        <v>20486</v>
      </c>
      <c r="D5097" t="s">
        <v>22</v>
      </c>
      <c r="E5097" t="s">
        <v>14117</v>
      </c>
      <c r="F5097">
        <v>38</v>
      </c>
      <c r="G5097" t="s">
        <v>109</v>
      </c>
      <c r="H5097" t="s">
        <v>9788</v>
      </c>
      <c r="I5097" t="s">
        <v>14118</v>
      </c>
    </row>
    <row r="5098" spans="1:10" x14ac:dyDescent="0.3">
      <c r="A5098" t="s">
        <v>14119</v>
      </c>
      <c r="B5098" t="s">
        <v>29317</v>
      </c>
      <c r="C5098" t="s">
        <v>20486</v>
      </c>
      <c r="D5098" t="s">
        <v>22</v>
      </c>
      <c r="E5098" t="s">
        <v>5346</v>
      </c>
      <c r="F5098">
        <v>47</v>
      </c>
      <c r="G5098" t="s">
        <v>31</v>
      </c>
      <c r="H5098" t="s">
        <v>31</v>
      </c>
      <c r="I5098" t="s">
        <v>384</v>
      </c>
      <c r="J5098" t="s">
        <v>384</v>
      </c>
    </row>
    <row r="5099" spans="1:10" x14ac:dyDescent="0.3">
      <c r="A5099" t="s">
        <v>14120</v>
      </c>
      <c r="B5099" t="s">
        <v>29318</v>
      </c>
      <c r="C5099" t="s">
        <v>20487</v>
      </c>
      <c r="D5099" t="s">
        <v>11</v>
      </c>
      <c r="E5099" t="s">
        <v>14121</v>
      </c>
      <c r="F5099">
        <v>25</v>
      </c>
      <c r="G5099" t="s">
        <v>1331</v>
      </c>
      <c r="H5099" t="s">
        <v>9789</v>
      </c>
    </row>
    <row r="5100" spans="1:10" x14ac:dyDescent="0.3">
      <c r="A5100" t="s">
        <v>14122</v>
      </c>
      <c r="B5100" t="s">
        <v>29319</v>
      </c>
      <c r="C5100" t="s">
        <v>20486</v>
      </c>
      <c r="D5100" t="s">
        <v>22</v>
      </c>
      <c r="E5100" t="s">
        <v>14123</v>
      </c>
      <c r="F5100">
        <v>26</v>
      </c>
      <c r="G5100" t="s">
        <v>109</v>
      </c>
      <c r="H5100" t="s">
        <v>9788</v>
      </c>
      <c r="J5100" t="s">
        <v>14124</v>
      </c>
    </row>
    <row r="5101" spans="1:10" x14ac:dyDescent="0.3">
      <c r="A5101" t="s">
        <v>14125</v>
      </c>
      <c r="B5101" t="s">
        <v>29320</v>
      </c>
      <c r="C5101" t="s">
        <v>20486</v>
      </c>
      <c r="D5101" t="s">
        <v>22</v>
      </c>
      <c r="E5101" t="s">
        <v>5280</v>
      </c>
      <c r="F5101">
        <v>40</v>
      </c>
    </row>
    <row r="5102" spans="1:10" x14ac:dyDescent="0.3">
      <c r="A5102" t="s">
        <v>14126</v>
      </c>
      <c r="B5102" t="s">
        <v>29321</v>
      </c>
      <c r="C5102" t="s">
        <v>20488</v>
      </c>
      <c r="D5102" t="s">
        <v>11</v>
      </c>
      <c r="E5102" t="s">
        <v>14127</v>
      </c>
      <c r="F5102">
        <v>37</v>
      </c>
      <c r="G5102" t="s">
        <v>46</v>
      </c>
      <c r="H5102" t="s">
        <v>46</v>
      </c>
      <c r="I5102" t="s">
        <v>3978</v>
      </c>
      <c r="J5102" t="s">
        <v>6884</v>
      </c>
    </row>
    <row r="5103" spans="1:10" x14ac:dyDescent="0.3">
      <c r="A5103" t="s">
        <v>14128</v>
      </c>
      <c r="B5103" t="s">
        <v>29322</v>
      </c>
      <c r="C5103" t="s">
        <v>20488</v>
      </c>
      <c r="D5103" t="s">
        <v>22</v>
      </c>
      <c r="E5103" t="s">
        <v>2438</v>
      </c>
      <c r="F5103">
        <v>42</v>
      </c>
      <c r="G5103" t="s">
        <v>109</v>
      </c>
      <c r="H5103" t="s">
        <v>9788</v>
      </c>
      <c r="I5103" t="s">
        <v>1074</v>
      </c>
      <c r="J5103" t="s">
        <v>14129</v>
      </c>
    </row>
    <row r="5104" spans="1:10" x14ac:dyDescent="0.3">
      <c r="A5104" t="s">
        <v>14130</v>
      </c>
      <c r="B5104" t="s">
        <v>29323</v>
      </c>
      <c r="C5104" t="s">
        <v>20490</v>
      </c>
      <c r="D5104" t="s">
        <v>22</v>
      </c>
      <c r="E5104" t="s">
        <v>14131</v>
      </c>
      <c r="F5104">
        <v>19</v>
      </c>
      <c r="G5104" t="s">
        <v>31</v>
      </c>
      <c r="H5104" t="s">
        <v>31</v>
      </c>
    </row>
    <row r="5105" spans="1:10" x14ac:dyDescent="0.3">
      <c r="A5105" t="s">
        <v>14132</v>
      </c>
      <c r="B5105" t="s">
        <v>29324</v>
      </c>
      <c r="C5105" t="s">
        <v>20490</v>
      </c>
      <c r="D5105" t="s">
        <v>22</v>
      </c>
      <c r="E5105" t="s">
        <v>14133</v>
      </c>
      <c r="F5105">
        <v>22</v>
      </c>
      <c r="G5105" t="s">
        <v>109</v>
      </c>
      <c r="H5105" t="s">
        <v>9788</v>
      </c>
    </row>
    <row r="5106" spans="1:10" x14ac:dyDescent="0.3">
      <c r="A5106" t="s">
        <v>14134</v>
      </c>
      <c r="B5106" t="s">
        <v>29325</v>
      </c>
      <c r="C5106" t="s">
        <v>20486</v>
      </c>
      <c r="D5106" t="s">
        <v>22</v>
      </c>
      <c r="E5106" t="s">
        <v>6875</v>
      </c>
      <c r="F5106">
        <v>53</v>
      </c>
      <c r="G5106" t="s">
        <v>46</v>
      </c>
      <c r="H5106" t="s">
        <v>46</v>
      </c>
    </row>
    <row r="5107" spans="1:10" x14ac:dyDescent="0.3">
      <c r="A5107" t="s">
        <v>14135</v>
      </c>
      <c r="B5107" t="s">
        <v>29326</v>
      </c>
      <c r="C5107" t="s">
        <v>20486</v>
      </c>
      <c r="D5107" t="s">
        <v>22</v>
      </c>
      <c r="E5107" t="s">
        <v>14136</v>
      </c>
      <c r="F5107">
        <v>58</v>
      </c>
      <c r="G5107" t="s">
        <v>31</v>
      </c>
      <c r="H5107" t="s">
        <v>31</v>
      </c>
    </row>
    <row r="5108" spans="1:10" x14ac:dyDescent="0.3">
      <c r="A5108" t="s">
        <v>14137</v>
      </c>
      <c r="B5108" t="s">
        <v>29327</v>
      </c>
      <c r="C5108" t="s">
        <v>20486</v>
      </c>
      <c r="D5108" t="s">
        <v>11</v>
      </c>
      <c r="E5108" t="s">
        <v>14138</v>
      </c>
      <c r="F5108">
        <v>25</v>
      </c>
      <c r="G5108" t="s">
        <v>109</v>
      </c>
      <c r="H5108" t="s">
        <v>9788</v>
      </c>
      <c r="I5108" t="s">
        <v>228</v>
      </c>
      <c r="J5108" t="s">
        <v>14027</v>
      </c>
    </row>
    <row r="5109" spans="1:10" x14ac:dyDescent="0.3">
      <c r="A5109" t="s">
        <v>14139</v>
      </c>
      <c r="B5109" t="s">
        <v>29328</v>
      </c>
      <c r="C5109" t="s">
        <v>20486</v>
      </c>
      <c r="D5109" t="s">
        <v>22</v>
      </c>
      <c r="E5109" t="s">
        <v>3904</v>
      </c>
      <c r="F5109">
        <v>30</v>
      </c>
      <c r="G5109" t="s">
        <v>31</v>
      </c>
      <c r="H5109" t="s">
        <v>31</v>
      </c>
    </row>
    <row r="5110" spans="1:10" x14ac:dyDescent="0.3">
      <c r="A5110" t="s">
        <v>14140</v>
      </c>
      <c r="B5110" t="s">
        <v>29329</v>
      </c>
      <c r="C5110" t="s">
        <v>20486</v>
      </c>
      <c r="D5110" t="s">
        <v>22</v>
      </c>
      <c r="E5110" t="s">
        <v>14141</v>
      </c>
      <c r="F5110">
        <v>43</v>
      </c>
      <c r="G5110" t="s">
        <v>16</v>
      </c>
      <c r="H5110" t="s">
        <v>9785</v>
      </c>
      <c r="I5110" t="s">
        <v>8693</v>
      </c>
      <c r="J5110" t="s">
        <v>14142</v>
      </c>
    </row>
    <row r="5111" spans="1:10" x14ac:dyDescent="0.3">
      <c r="A5111" t="s">
        <v>14143</v>
      </c>
      <c r="B5111" t="s">
        <v>29330</v>
      </c>
      <c r="C5111" t="s">
        <v>20488</v>
      </c>
      <c r="D5111" t="s">
        <v>22</v>
      </c>
      <c r="E5111" t="s">
        <v>14144</v>
      </c>
      <c r="F5111">
        <v>40</v>
      </c>
      <c r="G5111" t="s">
        <v>31</v>
      </c>
      <c r="H5111" t="s">
        <v>31</v>
      </c>
    </row>
    <row r="5112" spans="1:10" x14ac:dyDescent="0.3">
      <c r="A5112" t="s">
        <v>14145</v>
      </c>
      <c r="B5112" t="s">
        <v>29331</v>
      </c>
      <c r="C5112" t="s">
        <v>20489</v>
      </c>
      <c r="D5112" t="s">
        <v>11</v>
      </c>
      <c r="E5112" t="s">
        <v>14146</v>
      </c>
      <c r="F5112">
        <v>44</v>
      </c>
      <c r="G5112" t="s">
        <v>109</v>
      </c>
      <c r="H5112" t="s">
        <v>9788</v>
      </c>
      <c r="I5112" t="s">
        <v>8163</v>
      </c>
      <c r="J5112" t="s">
        <v>14147</v>
      </c>
    </row>
    <row r="5113" spans="1:10" x14ac:dyDescent="0.3">
      <c r="A5113" t="s">
        <v>14148</v>
      </c>
      <c r="B5113" t="s">
        <v>29332</v>
      </c>
      <c r="C5113" t="s">
        <v>20490</v>
      </c>
      <c r="D5113" t="s">
        <v>11</v>
      </c>
      <c r="E5113" t="s">
        <v>14149</v>
      </c>
      <c r="F5113">
        <v>60</v>
      </c>
      <c r="G5113" t="s">
        <v>133</v>
      </c>
      <c r="H5113" t="s">
        <v>9789</v>
      </c>
    </row>
    <row r="5114" spans="1:10" x14ac:dyDescent="0.3">
      <c r="A5114" t="s">
        <v>14150</v>
      </c>
      <c r="B5114" t="s">
        <v>29333</v>
      </c>
      <c r="C5114" t="s">
        <v>20487</v>
      </c>
      <c r="D5114" t="s">
        <v>22</v>
      </c>
      <c r="E5114" t="s">
        <v>6746</v>
      </c>
      <c r="F5114">
        <v>43</v>
      </c>
      <c r="G5114" t="s">
        <v>109</v>
      </c>
      <c r="H5114" t="s">
        <v>9788</v>
      </c>
      <c r="J5114" t="s">
        <v>14066</v>
      </c>
    </row>
    <row r="5115" spans="1:10" x14ac:dyDescent="0.3">
      <c r="A5115" t="s">
        <v>14151</v>
      </c>
      <c r="B5115" t="s">
        <v>29334</v>
      </c>
      <c r="C5115" t="s">
        <v>20490</v>
      </c>
      <c r="D5115" t="s">
        <v>22</v>
      </c>
      <c r="E5115" t="s">
        <v>14152</v>
      </c>
      <c r="F5115">
        <v>50</v>
      </c>
      <c r="G5115" t="s">
        <v>133</v>
      </c>
      <c r="H5115" t="s">
        <v>9789</v>
      </c>
    </row>
    <row r="5116" spans="1:10" x14ac:dyDescent="0.3">
      <c r="A5116" t="s">
        <v>14153</v>
      </c>
      <c r="B5116" t="s">
        <v>29335</v>
      </c>
      <c r="C5116" t="s">
        <v>20487</v>
      </c>
      <c r="D5116" t="s">
        <v>22</v>
      </c>
      <c r="E5116" t="s">
        <v>14154</v>
      </c>
      <c r="F5116">
        <v>47</v>
      </c>
      <c r="G5116" t="s">
        <v>109</v>
      </c>
      <c r="H5116" t="s">
        <v>9788</v>
      </c>
      <c r="I5116" t="s">
        <v>14155</v>
      </c>
      <c r="J5116" t="s">
        <v>14066</v>
      </c>
    </row>
    <row r="5117" spans="1:10" x14ac:dyDescent="0.3">
      <c r="A5117" t="s">
        <v>14156</v>
      </c>
      <c r="B5117" t="s">
        <v>29336</v>
      </c>
      <c r="C5117" t="s">
        <v>20487</v>
      </c>
      <c r="D5117" t="s">
        <v>22</v>
      </c>
      <c r="E5117" t="s">
        <v>14157</v>
      </c>
      <c r="F5117">
        <v>47</v>
      </c>
      <c r="G5117" t="s">
        <v>109</v>
      </c>
      <c r="H5117" t="s">
        <v>9788</v>
      </c>
      <c r="J5117" t="s">
        <v>14066</v>
      </c>
    </row>
    <row r="5118" spans="1:10" x14ac:dyDescent="0.3">
      <c r="A5118" t="s">
        <v>14158</v>
      </c>
      <c r="B5118" t="s">
        <v>29337</v>
      </c>
      <c r="C5118" t="s">
        <v>20487</v>
      </c>
      <c r="D5118" t="s">
        <v>22</v>
      </c>
      <c r="E5118" t="s">
        <v>14159</v>
      </c>
      <c r="F5118">
        <v>39</v>
      </c>
      <c r="G5118" t="s">
        <v>109</v>
      </c>
      <c r="H5118" t="s">
        <v>9788</v>
      </c>
      <c r="J5118" t="s">
        <v>14066</v>
      </c>
    </row>
    <row r="5119" spans="1:10" x14ac:dyDescent="0.3">
      <c r="A5119" t="s">
        <v>14160</v>
      </c>
      <c r="B5119" t="s">
        <v>29338</v>
      </c>
      <c r="C5119" t="s">
        <v>20487</v>
      </c>
      <c r="D5119" t="s">
        <v>22</v>
      </c>
      <c r="E5119" t="s">
        <v>13041</v>
      </c>
      <c r="F5119">
        <v>65</v>
      </c>
      <c r="G5119" t="s">
        <v>109</v>
      </c>
      <c r="H5119" t="s">
        <v>9788</v>
      </c>
      <c r="J5119" t="s">
        <v>14066</v>
      </c>
    </row>
    <row r="5120" spans="1:10" x14ac:dyDescent="0.3">
      <c r="A5120" t="s">
        <v>14161</v>
      </c>
      <c r="B5120" t="s">
        <v>29339</v>
      </c>
      <c r="C5120" t="s">
        <v>20487</v>
      </c>
      <c r="D5120" t="s">
        <v>22</v>
      </c>
      <c r="E5120" t="s">
        <v>3970</v>
      </c>
      <c r="F5120">
        <v>47</v>
      </c>
      <c r="G5120" t="s">
        <v>109</v>
      </c>
      <c r="H5120" t="s">
        <v>9788</v>
      </c>
      <c r="J5120" t="s">
        <v>14066</v>
      </c>
    </row>
    <row r="5121" spans="1:10" x14ac:dyDescent="0.3">
      <c r="A5121" t="s">
        <v>14162</v>
      </c>
      <c r="B5121" t="s">
        <v>29340</v>
      </c>
      <c r="C5121" t="s">
        <v>20486</v>
      </c>
      <c r="D5121" t="s">
        <v>11</v>
      </c>
      <c r="E5121" t="s">
        <v>8579</v>
      </c>
      <c r="F5121">
        <v>32</v>
      </c>
    </row>
    <row r="5122" spans="1:10" x14ac:dyDescent="0.3">
      <c r="A5122" t="s">
        <v>14163</v>
      </c>
      <c r="B5122" t="s">
        <v>29341</v>
      </c>
      <c r="C5122" t="s">
        <v>20491</v>
      </c>
      <c r="D5122" t="s">
        <v>22</v>
      </c>
      <c r="E5122" t="s">
        <v>14164</v>
      </c>
      <c r="F5122">
        <v>73</v>
      </c>
      <c r="G5122" t="s">
        <v>46</v>
      </c>
      <c r="H5122" t="s">
        <v>46</v>
      </c>
    </row>
    <row r="5123" spans="1:10" x14ac:dyDescent="0.3">
      <c r="A5123" t="s">
        <v>14165</v>
      </c>
      <c r="B5123" t="s">
        <v>29342</v>
      </c>
      <c r="C5123" t="s">
        <v>20486</v>
      </c>
      <c r="D5123" t="s">
        <v>22</v>
      </c>
      <c r="E5123" t="s">
        <v>14166</v>
      </c>
      <c r="F5123">
        <v>32</v>
      </c>
      <c r="G5123" t="s">
        <v>109</v>
      </c>
      <c r="H5123" t="s">
        <v>46</v>
      </c>
      <c r="I5123" t="s">
        <v>18852</v>
      </c>
      <c r="J5123" t="s">
        <v>14167</v>
      </c>
    </row>
    <row r="5124" spans="1:10" x14ac:dyDescent="0.3">
      <c r="A5124" t="s">
        <v>14168</v>
      </c>
      <c r="B5124" t="s">
        <v>29343</v>
      </c>
      <c r="C5124" t="s">
        <v>20487</v>
      </c>
      <c r="D5124" t="s">
        <v>22</v>
      </c>
      <c r="E5124" t="s">
        <v>14169</v>
      </c>
      <c r="F5124">
        <v>32</v>
      </c>
      <c r="G5124" t="s">
        <v>31</v>
      </c>
      <c r="H5124" t="s">
        <v>31</v>
      </c>
    </row>
    <row r="5125" spans="1:10" x14ac:dyDescent="0.3">
      <c r="A5125" t="s">
        <v>14170</v>
      </c>
      <c r="B5125" t="s">
        <v>29344</v>
      </c>
      <c r="C5125" t="s">
        <v>20491</v>
      </c>
      <c r="D5125" t="s">
        <v>22</v>
      </c>
      <c r="E5125" t="s">
        <v>14171</v>
      </c>
      <c r="F5125">
        <v>41</v>
      </c>
      <c r="G5125" t="s">
        <v>1439</v>
      </c>
      <c r="H5125" t="s">
        <v>46</v>
      </c>
      <c r="I5125" t="s">
        <v>228</v>
      </c>
    </row>
    <row r="5126" spans="1:10" x14ac:dyDescent="0.3">
      <c r="A5126" t="s">
        <v>14172</v>
      </c>
      <c r="B5126" t="s">
        <v>29345</v>
      </c>
      <c r="C5126" t="s">
        <v>20491</v>
      </c>
      <c r="D5126" t="s">
        <v>22</v>
      </c>
      <c r="E5126" t="s">
        <v>12930</v>
      </c>
      <c r="F5126">
        <v>47</v>
      </c>
      <c r="G5126" t="s">
        <v>46</v>
      </c>
      <c r="H5126" t="s">
        <v>46</v>
      </c>
    </row>
    <row r="5127" spans="1:10" x14ac:dyDescent="0.3">
      <c r="A5127" t="s">
        <v>14173</v>
      </c>
      <c r="B5127" t="s">
        <v>29346</v>
      </c>
      <c r="C5127" t="s">
        <v>20491</v>
      </c>
      <c r="D5127" t="s">
        <v>22</v>
      </c>
      <c r="E5127" t="s">
        <v>14174</v>
      </c>
      <c r="F5127">
        <v>63</v>
      </c>
      <c r="G5127" t="s">
        <v>46</v>
      </c>
      <c r="H5127" t="s">
        <v>46</v>
      </c>
    </row>
    <row r="5128" spans="1:10" x14ac:dyDescent="0.3">
      <c r="A5128" t="s">
        <v>14175</v>
      </c>
      <c r="B5128" t="s">
        <v>29347</v>
      </c>
      <c r="C5128" t="s">
        <v>20488</v>
      </c>
      <c r="D5128" t="s">
        <v>22</v>
      </c>
      <c r="E5128" t="s">
        <v>14176</v>
      </c>
      <c r="F5128">
        <v>40</v>
      </c>
      <c r="G5128" t="s">
        <v>16</v>
      </c>
      <c r="H5128" t="s">
        <v>9785</v>
      </c>
      <c r="I5128" t="s">
        <v>17</v>
      </c>
      <c r="J5128" t="s">
        <v>14177</v>
      </c>
    </row>
    <row r="5129" spans="1:10" x14ac:dyDescent="0.3">
      <c r="A5129" t="s">
        <v>14178</v>
      </c>
      <c r="B5129" t="s">
        <v>29348</v>
      </c>
      <c r="C5129" t="s">
        <v>20489</v>
      </c>
      <c r="D5129" t="s">
        <v>22</v>
      </c>
      <c r="E5129" t="s">
        <v>3317</v>
      </c>
      <c r="F5129">
        <v>37</v>
      </c>
      <c r="G5129" t="s">
        <v>370</v>
      </c>
      <c r="H5129" t="s">
        <v>46</v>
      </c>
    </row>
    <row r="5130" spans="1:10" x14ac:dyDescent="0.3">
      <c r="A5130" t="s">
        <v>14179</v>
      </c>
      <c r="B5130" t="s">
        <v>29349</v>
      </c>
      <c r="C5130" t="s">
        <v>20487</v>
      </c>
      <c r="D5130" t="s">
        <v>11</v>
      </c>
      <c r="E5130" t="s">
        <v>3592</v>
      </c>
      <c r="F5130">
        <v>41</v>
      </c>
      <c r="G5130" t="s">
        <v>1331</v>
      </c>
      <c r="H5130" t="s">
        <v>9789</v>
      </c>
    </row>
    <row r="5131" spans="1:10" x14ac:dyDescent="0.3">
      <c r="A5131" t="s">
        <v>14180</v>
      </c>
      <c r="B5131" t="s">
        <v>29350</v>
      </c>
      <c r="C5131" t="s">
        <v>20488</v>
      </c>
      <c r="D5131" t="s">
        <v>22</v>
      </c>
      <c r="E5131" t="s">
        <v>14181</v>
      </c>
      <c r="F5131">
        <v>28</v>
      </c>
      <c r="G5131" t="s">
        <v>46</v>
      </c>
      <c r="H5131" t="s">
        <v>46</v>
      </c>
      <c r="J5131" t="s">
        <v>14182</v>
      </c>
    </row>
    <row r="5132" spans="1:10" x14ac:dyDescent="0.3">
      <c r="A5132" t="s">
        <v>14183</v>
      </c>
      <c r="B5132" t="s">
        <v>29351</v>
      </c>
      <c r="C5132" t="s">
        <v>20489</v>
      </c>
      <c r="D5132" t="s">
        <v>22</v>
      </c>
      <c r="E5132" t="s">
        <v>8175</v>
      </c>
      <c r="F5132">
        <v>38</v>
      </c>
      <c r="G5132" t="s">
        <v>46</v>
      </c>
      <c r="H5132" t="s">
        <v>46</v>
      </c>
      <c r="I5132" t="s">
        <v>228</v>
      </c>
      <c r="J5132" t="s">
        <v>14184</v>
      </c>
    </row>
    <row r="5133" spans="1:10" x14ac:dyDescent="0.3">
      <c r="A5133" t="s">
        <v>14185</v>
      </c>
      <c r="B5133" t="s">
        <v>29352</v>
      </c>
      <c r="C5133" t="s">
        <v>20486</v>
      </c>
      <c r="D5133" t="s">
        <v>11</v>
      </c>
      <c r="E5133" t="s">
        <v>3008</v>
      </c>
      <c r="F5133">
        <v>45</v>
      </c>
      <c r="G5133" t="s">
        <v>109</v>
      </c>
      <c r="H5133" t="s">
        <v>9788</v>
      </c>
      <c r="I5133" t="s">
        <v>14186</v>
      </c>
      <c r="J5133" t="s">
        <v>14187</v>
      </c>
    </row>
    <row r="5134" spans="1:10" x14ac:dyDescent="0.3">
      <c r="A5134" t="s">
        <v>14188</v>
      </c>
      <c r="B5134" t="s">
        <v>29353</v>
      </c>
      <c r="C5134" t="s">
        <v>20486</v>
      </c>
      <c r="D5134" t="s">
        <v>22</v>
      </c>
      <c r="E5134" t="s">
        <v>14189</v>
      </c>
      <c r="F5134">
        <v>23</v>
      </c>
      <c r="G5134" t="s">
        <v>109</v>
      </c>
      <c r="H5134" t="s">
        <v>9788</v>
      </c>
      <c r="I5134" t="s">
        <v>4629</v>
      </c>
      <c r="J5134" t="s">
        <v>225</v>
      </c>
    </row>
    <row r="5135" spans="1:10" x14ac:dyDescent="0.3">
      <c r="A5135" t="s">
        <v>14190</v>
      </c>
      <c r="B5135" t="s">
        <v>29354</v>
      </c>
      <c r="C5135" t="s">
        <v>20487</v>
      </c>
      <c r="D5135" t="s">
        <v>22</v>
      </c>
      <c r="E5135" t="s">
        <v>14191</v>
      </c>
      <c r="F5135">
        <v>45</v>
      </c>
      <c r="G5135" t="s">
        <v>31</v>
      </c>
      <c r="H5135" t="s">
        <v>31</v>
      </c>
    </row>
    <row r="5136" spans="1:10" x14ac:dyDescent="0.3">
      <c r="A5136" t="s">
        <v>14192</v>
      </c>
      <c r="B5136" t="s">
        <v>29355</v>
      </c>
      <c r="C5136" t="s">
        <v>20489</v>
      </c>
      <c r="D5136" t="s">
        <v>22</v>
      </c>
      <c r="E5136" t="s">
        <v>14193</v>
      </c>
      <c r="F5136">
        <v>64</v>
      </c>
      <c r="G5136" t="s">
        <v>31</v>
      </c>
      <c r="H5136" t="s">
        <v>31</v>
      </c>
    </row>
    <row r="5137" spans="1:10" x14ac:dyDescent="0.3">
      <c r="A5137" t="s">
        <v>14194</v>
      </c>
      <c r="B5137" t="s">
        <v>29356</v>
      </c>
      <c r="C5137" t="s">
        <v>20489</v>
      </c>
      <c r="D5137" t="s">
        <v>22</v>
      </c>
      <c r="E5137" t="s">
        <v>14195</v>
      </c>
      <c r="F5137">
        <v>29</v>
      </c>
      <c r="G5137" t="s">
        <v>46</v>
      </c>
      <c r="H5137" t="s">
        <v>46</v>
      </c>
      <c r="I5137" t="s">
        <v>228</v>
      </c>
    </row>
    <row r="5138" spans="1:10" x14ac:dyDescent="0.3">
      <c r="A5138" t="s">
        <v>14196</v>
      </c>
      <c r="B5138" t="s">
        <v>29357</v>
      </c>
      <c r="C5138" t="s">
        <v>20488</v>
      </c>
      <c r="D5138" t="s">
        <v>11</v>
      </c>
      <c r="E5138" t="s">
        <v>14197</v>
      </c>
      <c r="F5138">
        <v>24</v>
      </c>
      <c r="G5138" t="s">
        <v>109</v>
      </c>
      <c r="H5138" t="s">
        <v>9788</v>
      </c>
      <c r="I5138" t="s">
        <v>8163</v>
      </c>
      <c r="J5138" t="s">
        <v>14198</v>
      </c>
    </row>
    <row r="5139" spans="1:10" x14ac:dyDescent="0.3">
      <c r="A5139" t="s">
        <v>14199</v>
      </c>
      <c r="B5139" t="s">
        <v>29358</v>
      </c>
      <c r="C5139" t="s">
        <v>20487</v>
      </c>
      <c r="D5139" t="s">
        <v>22</v>
      </c>
      <c r="E5139" t="s">
        <v>14200</v>
      </c>
      <c r="F5139">
        <v>38</v>
      </c>
      <c r="G5139" t="s">
        <v>46</v>
      </c>
      <c r="H5139" t="s">
        <v>46</v>
      </c>
      <c r="I5139" t="s">
        <v>74</v>
      </c>
      <c r="J5139" t="s">
        <v>14201</v>
      </c>
    </row>
    <row r="5140" spans="1:10" x14ac:dyDescent="0.3">
      <c r="A5140" t="s">
        <v>14202</v>
      </c>
      <c r="B5140" t="s">
        <v>29359</v>
      </c>
      <c r="C5140" t="s">
        <v>20490</v>
      </c>
      <c r="D5140" t="s">
        <v>22</v>
      </c>
      <c r="E5140" t="s">
        <v>14203</v>
      </c>
      <c r="F5140">
        <v>40</v>
      </c>
      <c r="G5140" t="s">
        <v>31</v>
      </c>
      <c r="H5140" t="s">
        <v>31</v>
      </c>
    </row>
    <row r="5141" spans="1:10" x14ac:dyDescent="0.3">
      <c r="A5141" t="s">
        <v>14204</v>
      </c>
      <c r="B5141" t="s">
        <v>29360</v>
      </c>
      <c r="C5141" t="s">
        <v>20486</v>
      </c>
      <c r="D5141" t="s">
        <v>11</v>
      </c>
      <c r="E5141" t="s">
        <v>14205</v>
      </c>
      <c r="F5141">
        <v>39</v>
      </c>
      <c r="G5141" t="s">
        <v>46</v>
      </c>
      <c r="H5141" t="s">
        <v>46</v>
      </c>
      <c r="I5141" t="s">
        <v>1968</v>
      </c>
      <c r="J5141" t="s">
        <v>14206</v>
      </c>
    </row>
    <row r="5142" spans="1:10" x14ac:dyDescent="0.3">
      <c r="A5142" t="s">
        <v>14207</v>
      </c>
      <c r="B5142" t="s">
        <v>29361</v>
      </c>
      <c r="C5142" t="s">
        <v>20491</v>
      </c>
      <c r="D5142" t="s">
        <v>11</v>
      </c>
      <c r="E5142" t="s">
        <v>14208</v>
      </c>
      <c r="F5142">
        <v>51</v>
      </c>
      <c r="G5142" t="s">
        <v>46</v>
      </c>
      <c r="H5142" t="s">
        <v>46</v>
      </c>
    </row>
    <row r="5143" spans="1:10" x14ac:dyDescent="0.3">
      <c r="A5143" t="s">
        <v>14209</v>
      </c>
      <c r="B5143" t="s">
        <v>29362</v>
      </c>
      <c r="C5143" t="s">
        <v>20489</v>
      </c>
      <c r="D5143" t="s">
        <v>22</v>
      </c>
      <c r="E5143" t="s">
        <v>1753</v>
      </c>
      <c r="F5143">
        <v>51</v>
      </c>
      <c r="G5143" t="s">
        <v>1130</v>
      </c>
      <c r="H5143" t="s">
        <v>9789</v>
      </c>
      <c r="I5143" t="s">
        <v>4556</v>
      </c>
    </row>
    <row r="5144" spans="1:10" x14ac:dyDescent="0.3">
      <c r="A5144" t="s">
        <v>14210</v>
      </c>
      <c r="B5144" t="s">
        <v>29363</v>
      </c>
      <c r="C5144" t="s">
        <v>20486</v>
      </c>
      <c r="D5144" t="s">
        <v>11</v>
      </c>
      <c r="E5144" t="s">
        <v>14211</v>
      </c>
      <c r="F5144">
        <v>18</v>
      </c>
      <c r="G5144" t="s">
        <v>337</v>
      </c>
      <c r="H5144" t="s">
        <v>337</v>
      </c>
    </row>
    <row r="5145" spans="1:10" x14ac:dyDescent="0.3">
      <c r="A5145" t="s">
        <v>14212</v>
      </c>
      <c r="B5145" t="s">
        <v>29364</v>
      </c>
      <c r="C5145" t="s">
        <v>20486</v>
      </c>
      <c r="D5145" t="s">
        <v>22</v>
      </c>
      <c r="E5145" t="s">
        <v>14213</v>
      </c>
      <c r="F5145">
        <v>51</v>
      </c>
      <c r="G5145" t="s">
        <v>46</v>
      </c>
      <c r="H5145" t="s">
        <v>46</v>
      </c>
      <c r="I5145" t="s">
        <v>220</v>
      </c>
      <c r="J5145" t="s">
        <v>4105</v>
      </c>
    </row>
    <row r="5146" spans="1:10" x14ac:dyDescent="0.3">
      <c r="A5146" t="s">
        <v>14214</v>
      </c>
      <c r="B5146" t="s">
        <v>29365</v>
      </c>
      <c r="C5146" t="s">
        <v>20491</v>
      </c>
      <c r="D5146" t="s">
        <v>22</v>
      </c>
      <c r="E5146" t="s">
        <v>14215</v>
      </c>
      <c r="F5146">
        <v>41</v>
      </c>
      <c r="G5146" t="s">
        <v>109</v>
      </c>
      <c r="H5146" t="s">
        <v>9788</v>
      </c>
    </row>
    <row r="5147" spans="1:10" x14ac:dyDescent="0.3">
      <c r="A5147" t="s">
        <v>14216</v>
      </c>
      <c r="B5147" t="s">
        <v>29366</v>
      </c>
      <c r="C5147" t="s">
        <v>20489</v>
      </c>
      <c r="D5147" t="s">
        <v>22</v>
      </c>
      <c r="E5147" t="s">
        <v>14217</v>
      </c>
      <c r="F5147">
        <v>25</v>
      </c>
      <c r="G5147" t="s">
        <v>109</v>
      </c>
      <c r="H5147" t="s">
        <v>9788</v>
      </c>
      <c r="J5147" t="s">
        <v>14218</v>
      </c>
    </row>
    <row r="5148" spans="1:10" x14ac:dyDescent="0.3">
      <c r="A5148" t="s">
        <v>14219</v>
      </c>
      <c r="B5148" t="s">
        <v>29367</v>
      </c>
      <c r="C5148" t="s">
        <v>20491</v>
      </c>
      <c r="D5148" t="s">
        <v>11</v>
      </c>
      <c r="E5148" t="s">
        <v>14220</v>
      </c>
      <c r="F5148">
        <v>23</v>
      </c>
      <c r="G5148" t="s">
        <v>46</v>
      </c>
      <c r="H5148" t="s">
        <v>46</v>
      </c>
    </row>
    <row r="5149" spans="1:10" x14ac:dyDescent="0.3">
      <c r="A5149" t="s">
        <v>14221</v>
      </c>
      <c r="B5149" t="s">
        <v>29368</v>
      </c>
      <c r="C5149" t="s">
        <v>20486</v>
      </c>
      <c r="D5149" t="s">
        <v>22</v>
      </c>
      <c r="E5149" t="s">
        <v>14222</v>
      </c>
      <c r="F5149">
        <v>33</v>
      </c>
      <c r="G5149" t="s">
        <v>46</v>
      </c>
      <c r="H5149" t="s">
        <v>46</v>
      </c>
      <c r="I5149" t="s">
        <v>228</v>
      </c>
      <c r="J5149" t="s">
        <v>14223</v>
      </c>
    </row>
    <row r="5150" spans="1:10" x14ac:dyDescent="0.3">
      <c r="A5150" t="s">
        <v>14224</v>
      </c>
      <c r="B5150" t="s">
        <v>29369</v>
      </c>
      <c r="C5150" t="s">
        <v>20488</v>
      </c>
      <c r="D5150" t="s">
        <v>11</v>
      </c>
      <c r="E5150" t="s">
        <v>14225</v>
      </c>
      <c r="F5150">
        <v>26</v>
      </c>
      <c r="G5150" t="s">
        <v>46</v>
      </c>
      <c r="H5150" t="s">
        <v>46</v>
      </c>
      <c r="I5150" t="s">
        <v>14226</v>
      </c>
      <c r="J5150" t="s">
        <v>14227</v>
      </c>
    </row>
    <row r="5151" spans="1:10" x14ac:dyDescent="0.3">
      <c r="A5151" t="s">
        <v>14228</v>
      </c>
      <c r="B5151" t="s">
        <v>29370</v>
      </c>
      <c r="C5151" t="s">
        <v>20486</v>
      </c>
      <c r="D5151" t="s">
        <v>11</v>
      </c>
      <c r="E5151" t="s">
        <v>14229</v>
      </c>
      <c r="F5151">
        <v>20</v>
      </c>
      <c r="G5151" t="s">
        <v>109</v>
      </c>
      <c r="H5151" t="s">
        <v>9788</v>
      </c>
    </row>
    <row r="5152" spans="1:10" x14ac:dyDescent="0.3">
      <c r="A5152" t="s">
        <v>14230</v>
      </c>
      <c r="B5152" t="s">
        <v>29371</v>
      </c>
      <c r="C5152" t="s">
        <v>20487</v>
      </c>
      <c r="D5152" t="s">
        <v>22</v>
      </c>
      <c r="E5152" t="s">
        <v>3602</v>
      </c>
      <c r="F5152">
        <v>45</v>
      </c>
      <c r="G5152" t="s">
        <v>109</v>
      </c>
      <c r="H5152" t="s">
        <v>9788</v>
      </c>
      <c r="J5152" t="s">
        <v>14066</v>
      </c>
    </row>
    <row r="5153" spans="1:10" x14ac:dyDescent="0.3">
      <c r="A5153" t="s">
        <v>14233</v>
      </c>
      <c r="B5153" t="s">
        <v>29372</v>
      </c>
      <c r="C5153" t="s">
        <v>20487</v>
      </c>
      <c r="D5153" t="s">
        <v>22</v>
      </c>
      <c r="E5153" t="s">
        <v>3651</v>
      </c>
      <c r="F5153">
        <v>50</v>
      </c>
      <c r="G5153" t="s">
        <v>109</v>
      </c>
      <c r="H5153" t="s">
        <v>9788</v>
      </c>
      <c r="J5153" t="s">
        <v>14066</v>
      </c>
    </row>
    <row r="5154" spans="1:10" x14ac:dyDescent="0.3">
      <c r="A5154" t="s">
        <v>14234</v>
      </c>
      <c r="B5154" t="s">
        <v>29373</v>
      </c>
      <c r="C5154" t="s">
        <v>20486</v>
      </c>
      <c r="D5154" t="s">
        <v>22</v>
      </c>
      <c r="E5154" t="s">
        <v>14235</v>
      </c>
      <c r="F5154">
        <v>34</v>
      </c>
      <c r="G5154" t="s">
        <v>46</v>
      </c>
      <c r="H5154" t="s">
        <v>46</v>
      </c>
      <c r="J5154" t="s">
        <v>4105</v>
      </c>
    </row>
    <row r="5155" spans="1:10" x14ac:dyDescent="0.3">
      <c r="A5155" t="s">
        <v>14236</v>
      </c>
      <c r="B5155" t="s">
        <v>29374</v>
      </c>
      <c r="C5155" t="s">
        <v>20486</v>
      </c>
      <c r="D5155" t="s">
        <v>22</v>
      </c>
      <c r="E5155" t="s">
        <v>14237</v>
      </c>
      <c r="F5155">
        <v>20</v>
      </c>
      <c r="G5155" t="s">
        <v>337</v>
      </c>
      <c r="H5155" t="s">
        <v>337</v>
      </c>
    </row>
    <row r="5156" spans="1:10" x14ac:dyDescent="0.3">
      <c r="A5156" t="s">
        <v>14238</v>
      </c>
      <c r="B5156" t="s">
        <v>29375</v>
      </c>
      <c r="C5156" t="s">
        <v>20486</v>
      </c>
      <c r="D5156" t="s">
        <v>22</v>
      </c>
      <c r="E5156" t="s">
        <v>9605</v>
      </c>
      <c r="F5156">
        <v>21</v>
      </c>
      <c r="G5156" t="s">
        <v>109</v>
      </c>
      <c r="H5156" t="s">
        <v>9788</v>
      </c>
      <c r="J5156" t="s">
        <v>14239</v>
      </c>
    </row>
    <row r="5157" spans="1:10" x14ac:dyDescent="0.3">
      <c r="A5157" t="s">
        <v>14240</v>
      </c>
      <c r="B5157" t="s">
        <v>29376</v>
      </c>
      <c r="C5157" t="s">
        <v>20486</v>
      </c>
      <c r="D5157" t="s">
        <v>11</v>
      </c>
      <c r="E5157" t="s">
        <v>13574</v>
      </c>
      <c r="F5157">
        <v>57</v>
      </c>
      <c r="G5157" t="s">
        <v>1331</v>
      </c>
      <c r="H5157" t="s">
        <v>9789</v>
      </c>
    </row>
    <row r="5158" spans="1:10" x14ac:dyDescent="0.3">
      <c r="A5158" t="s">
        <v>14241</v>
      </c>
      <c r="B5158" t="s">
        <v>29377</v>
      </c>
      <c r="C5158" t="s">
        <v>20486</v>
      </c>
      <c r="D5158" t="s">
        <v>11</v>
      </c>
      <c r="E5158" t="s">
        <v>14242</v>
      </c>
      <c r="F5158">
        <v>25</v>
      </c>
      <c r="G5158" t="s">
        <v>109</v>
      </c>
      <c r="H5158" t="s">
        <v>9788</v>
      </c>
      <c r="J5158" t="s">
        <v>4612</v>
      </c>
    </row>
    <row r="5159" spans="1:10" x14ac:dyDescent="0.3">
      <c r="A5159" t="s">
        <v>14243</v>
      </c>
      <c r="B5159" t="s">
        <v>29378</v>
      </c>
      <c r="C5159" t="s">
        <v>20491</v>
      </c>
      <c r="D5159" t="s">
        <v>22</v>
      </c>
      <c r="E5159" t="s">
        <v>14244</v>
      </c>
      <c r="F5159">
        <v>33</v>
      </c>
      <c r="G5159" t="s">
        <v>540</v>
      </c>
      <c r="H5159" t="s">
        <v>12074</v>
      </c>
      <c r="I5159" t="s">
        <v>3378</v>
      </c>
      <c r="J5159" t="s">
        <v>14245</v>
      </c>
    </row>
    <row r="5160" spans="1:10" x14ac:dyDescent="0.3">
      <c r="A5160" t="s">
        <v>14246</v>
      </c>
      <c r="B5160" t="s">
        <v>29379</v>
      </c>
      <c r="C5160" t="s">
        <v>20491</v>
      </c>
      <c r="D5160" t="s">
        <v>22</v>
      </c>
      <c r="E5160" t="s">
        <v>6458</v>
      </c>
      <c r="F5160">
        <v>49</v>
      </c>
      <c r="G5160" t="s">
        <v>31</v>
      </c>
      <c r="H5160" t="s">
        <v>31</v>
      </c>
    </row>
    <row r="5161" spans="1:10" x14ac:dyDescent="0.3">
      <c r="A5161" t="s">
        <v>14247</v>
      </c>
      <c r="B5161" t="s">
        <v>29380</v>
      </c>
      <c r="C5161" t="s">
        <v>20487</v>
      </c>
      <c r="D5161" t="s">
        <v>11</v>
      </c>
      <c r="E5161" t="s">
        <v>14248</v>
      </c>
      <c r="F5161">
        <v>32</v>
      </c>
      <c r="G5161" t="s">
        <v>109</v>
      </c>
      <c r="H5161" t="s">
        <v>9788</v>
      </c>
      <c r="J5161" t="s">
        <v>832</v>
      </c>
    </row>
    <row r="5162" spans="1:10" x14ac:dyDescent="0.3">
      <c r="A5162" t="s">
        <v>14249</v>
      </c>
      <c r="B5162" t="s">
        <v>29381</v>
      </c>
      <c r="C5162" t="s">
        <v>20491</v>
      </c>
      <c r="D5162" t="s">
        <v>11</v>
      </c>
      <c r="E5162" t="s">
        <v>14250</v>
      </c>
      <c r="F5162">
        <v>35</v>
      </c>
      <c r="G5162" t="s">
        <v>133</v>
      </c>
      <c r="H5162" t="s">
        <v>9789</v>
      </c>
    </row>
    <row r="5163" spans="1:10" x14ac:dyDescent="0.3">
      <c r="A5163" t="s">
        <v>14251</v>
      </c>
      <c r="B5163" t="s">
        <v>29382</v>
      </c>
      <c r="C5163" t="s">
        <v>20488</v>
      </c>
      <c r="D5163" t="s">
        <v>11</v>
      </c>
      <c r="E5163" t="s">
        <v>8317</v>
      </c>
      <c r="F5163">
        <v>46</v>
      </c>
      <c r="G5163" t="s">
        <v>46</v>
      </c>
      <c r="H5163" t="s">
        <v>46</v>
      </c>
      <c r="I5163" t="s">
        <v>1074</v>
      </c>
      <c r="J5163" t="s">
        <v>14252</v>
      </c>
    </row>
    <row r="5164" spans="1:10" x14ac:dyDescent="0.3">
      <c r="A5164" t="s">
        <v>14253</v>
      </c>
      <c r="B5164" t="s">
        <v>29383</v>
      </c>
      <c r="C5164" t="s">
        <v>20486</v>
      </c>
      <c r="D5164" t="s">
        <v>22</v>
      </c>
      <c r="E5164" t="s">
        <v>4513</v>
      </c>
      <c r="F5164">
        <v>43</v>
      </c>
      <c r="G5164" t="s">
        <v>531</v>
      </c>
      <c r="H5164" t="s">
        <v>46</v>
      </c>
      <c r="I5164" t="s">
        <v>1412</v>
      </c>
    </row>
    <row r="5165" spans="1:10" x14ac:dyDescent="0.3">
      <c r="A5165" t="s">
        <v>14254</v>
      </c>
      <c r="B5165" t="s">
        <v>29384</v>
      </c>
      <c r="C5165" t="s">
        <v>20489</v>
      </c>
      <c r="D5165" t="s">
        <v>11</v>
      </c>
      <c r="E5165" t="s">
        <v>5214</v>
      </c>
      <c r="F5165">
        <v>54</v>
      </c>
      <c r="G5165" t="s">
        <v>370</v>
      </c>
      <c r="H5165" t="s">
        <v>46</v>
      </c>
      <c r="I5165" t="s">
        <v>14255</v>
      </c>
      <c r="J5165" t="s">
        <v>12984</v>
      </c>
    </row>
    <row r="5166" spans="1:10" x14ac:dyDescent="0.3">
      <c r="A5166" t="s">
        <v>14256</v>
      </c>
      <c r="B5166" t="s">
        <v>29385</v>
      </c>
      <c r="C5166" t="s">
        <v>20487</v>
      </c>
      <c r="D5166" t="s">
        <v>11</v>
      </c>
      <c r="E5166" t="s">
        <v>4434</v>
      </c>
      <c r="F5166">
        <v>22</v>
      </c>
      <c r="G5166" t="s">
        <v>337</v>
      </c>
      <c r="H5166" t="s">
        <v>337</v>
      </c>
    </row>
    <row r="5167" spans="1:10" x14ac:dyDescent="0.3">
      <c r="A5167" t="s">
        <v>14257</v>
      </c>
      <c r="B5167" t="s">
        <v>29386</v>
      </c>
      <c r="C5167" t="s">
        <v>20486</v>
      </c>
      <c r="D5167" t="s">
        <v>22</v>
      </c>
      <c r="E5167" t="s">
        <v>12837</v>
      </c>
      <c r="F5167">
        <v>44</v>
      </c>
      <c r="G5167" t="s">
        <v>46</v>
      </c>
      <c r="H5167" t="s">
        <v>46</v>
      </c>
      <c r="I5167" t="s">
        <v>14258</v>
      </c>
      <c r="J5167" t="s">
        <v>14259</v>
      </c>
    </row>
    <row r="5168" spans="1:10" x14ac:dyDescent="0.3">
      <c r="A5168" t="s">
        <v>14260</v>
      </c>
      <c r="B5168" t="s">
        <v>29387</v>
      </c>
      <c r="C5168" t="s">
        <v>20489</v>
      </c>
      <c r="D5168" t="s">
        <v>22</v>
      </c>
      <c r="E5168" t="s">
        <v>14261</v>
      </c>
      <c r="F5168">
        <v>24</v>
      </c>
      <c r="G5168" t="s">
        <v>109</v>
      </c>
      <c r="H5168" t="s">
        <v>9788</v>
      </c>
      <c r="J5168" t="s">
        <v>5395</v>
      </c>
    </row>
    <row r="5169" spans="1:10" x14ac:dyDescent="0.3">
      <c r="A5169" t="s">
        <v>14262</v>
      </c>
      <c r="B5169" t="s">
        <v>29388</v>
      </c>
      <c r="C5169" t="s">
        <v>20490</v>
      </c>
      <c r="D5169" t="s">
        <v>11</v>
      </c>
      <c r="E5169" t="s">
        <v>14263</v>
      </c>
      <c r="F5169">
        <v>60</v>
      </c>
      <c r="G5169" t="s">
        <v>13</v>
      </c>
      <c r="H5169" t="s">
        <v>13</v>
      </c>
      <c r="I5169" t="s">
        <v>2384</v>
      </c>
    </row>
    <row r="5170" spans="1:10" x14ac:dyDescent="0.3">
      <c r="A5170" t="s">
        <v>14264</v>
      </c>
      <c r="B5170" t="s">
        <v>29389</v>
      </c>
      <c r="C5170" t="s">
        <v>20488</v>
      </c>
      <c r="D5170" t="s">
        <v>22</v>
      </c>
      <c r="E5170" t="s">
        <v>14265</v>
      </c>
      <c r="F5170">
        <v>30</v>
      </c>
      <c r="G5170" t="s">
        <v>31</v>
      </c>
      <c r="H5170" t="s">
        <v>31</v>
      </c>
    </row>
    <row r="5171" spans="1:10" x14ac:dyDescent="0.3">
      <c r="A5171" t="s">
        <v>14266</v>
      </c>
      <c r="B5171" t="s">
        <v>29390</v>
      </c>
      <c r="C5171" t="s">
        <v>20488</v>
      </c>
      <c r="D5171" t="s">
        <v>22</v>
      </c>
      <c r="E5171" t="s">
        <v>14267</v>
      </c>
      <c r="F5171">
        <v>42</v>
      </c>
      <c r="G5171" t="s">
        <v>46</v>
      </c>
      <c r="H5171" t="s">
        <v>46</v>
      </c>
      <c r="I5171" t="s">
        <v>228</v>
      </c>
      <c r="J5171" t="s">
        <v>14268</v>
      </c>
    </row>
    <row r="5172" spans="1:10" x14ac:dyDescent="0.3">
      <c r="A5172" t="s">
        <v>14269</v>
      </c>
      <c r="B5172" t="s">
        <v>29391</v>
      </c>
      <c r="C5172" t="s">
        <v>20487</v>
      </c>
      <c r="D5172" t="s">
        <v>22</v>
      </c>
      <c r="E5172" t="s">
        <v>1380</v>
      </c>
      <c r="F5172">
        <v>43</v>
      </c>
      <c r="G5172" t="s">
        <v>46</v>
      </c>
      <c r="H5172" t="s">
        <v>46</v>
      </c>
      <c r="I5172" t="s">
        <v>14270</v>
      </c>
    </row>
    <row r="5173" spans="1:10" x14ac:dyDescent="0.3">
      <c r="A5173" t="s">
        <v>14271</v>
      </c>
      <c r="B5173" t="s">
        <v>29392</v>
      </c>
      <c r="C5173" t="s">
        <v>20491</v>
      </c>
      <c r="D5173" t="s">
        <v>11</v>
      </c>
      <c r="E5173" t="s">
        <v>14272</v>
      </c>
      <c r="F5173">
        <v>39</v>
      </c>
      <c r="G5173" t="s">
        <v>109</v>
      </c>
      <c r="H5173" t="s">
        <v>9788</v>
      </c>
      <c r="I5173" t="s">
        <v>228</v>
      </c>
      <c r="J5173" t="s">
        <v>14273</v>
      </c>
    </row>
    <row r="5174" spans="1:10" x14ac:dyDescent="0.3">
      <c r="A5174" t="s">
        <v>14274</v>
      </c>
      <c r="B5174" t="s">
        <v>29393</v>
      </c>
      <c r="C5174" t="s">
        <v>20488</v>
      </c>
      <c r="D5174" t="s">
        <v>11</v>
      </c>
      <c r="E5174" t="s">
        <v>3993</v>
      </c>
      <c r="F5174">
        <v>45</v>
      </c>
      <c r="G5174" t="s">
        <v>46</v>
      </c>
      <c r="H5174" t="s">
        <v>46</v>
      </c>
      <c r="I5174" t="s">
        <v>4695</v>
      </c>
    </row>
    <row r="5175" spans="1:10" x14ac:dyDescent="0.3">
      <c r="A5175" t="s">
        <v>14275</v>
      </c>
      <c r="B5175" t="s">
        <v>29394</v>
      </c>
      <c r="C5175" t="s">
        <v>20488</v>
      </c>
      <c r="D5175" t="s">
        <v>11</v>
      </c>
      <c r="E5175" t="s">
        <v>14276</v>
      </c>
      <c r="F5175">
        <v>60</v>
      </c>
      <c r="G5175" t="s">
        <v>370</v>
      </c>
      <c r="H5175" t="s">
        <v>46</v>
      </c>
      <c r="I5175" t="s">
        <v>3384</v>
      </c>
    </row>
    <row r="5176" spans="1:10" x14ac:dyDescent="0.3">
      <c r="A5176" t="s">
        <v>14277</v>
      </c>
      <c r="B5176" t="s">
        <v>29395</v>
      </c>
      <c r="C5176" t="s">
        <v>20486</v>
      </c>
      <c r="D5176" t="s">
        <v>22</v>
      </c>
      <c r="E5176" t="s">
        <v>14278</v>
      </c>
      <c r="F5176">
        <v>38</v>
      </c>
    </row>
    <row r="5177" spans="1:10" x14ac:dyDescent="0.3">
      <c r="A5177" t="s">
        <v>14279</v>
      </c>
      <c r="B5177" t="s">
        <v>29396</v>
      </c>
      <c r="C5177" t="s">
        <v>20486</v>
      </c>
      <c r="D5177" t="s">
        <v>22</v>
      </c>
      <c r="E5177" t="s">
        <v>14280</v>
      </c>
      <c r="F5177">
        <v>55</v>
      </c>
      <c r="G5177" t="s">
        <v>46</v>
      </c>
      <c r="H5177" t="s">
        <v>46</v>
      </c>
    </row>
    <row r="5178" spans="1:10" x14ac:dyDescent="0.3">
      <c r="A5178" t="s">
        <v>14281</v>
      </c>
      <c r="B5178" t="s">
        <v>29397</v>
      </c>
      <c r="C5178" t="s">
        <v>20488</v>
      </c>
      <c r="D5178" t="s">
        <v>11</v>
      </c>
      <c r="E5178" t="s">
        <v>14282</v>
      </c>
      <c r="F5178">
        <v>24</v>
      </c>
      <c r="G5178" t="s">
        <v>109</v>
      </c>
      <c r="H5178" t="s">
        <v>9788</v>
      </c>
      <c r="I5178" t="s">
        <v>228</v>
      </c>
      <c r="J5178" t="s">
        <v>3793</v>
      </c>
    </row>
    <row r="5179" spans="1:10" x14ac:dyDescent="0.3">
      <c r="A5179" t="s">
        <v>14283</v>
      </c>
      <c r="B5179" t="s">
        <v>29398</v>
      </c>
      <c r="C5179" t="s">
        <v>20486</v>
      </c>
      <c r="D5179" t="s">
        <v>22</v>
      </c>
      <c r="E5179" t="s">
        <v>4490</v>
      </c>
      <c r="F5179">
        <v>39</v>
      </c>
      <c r="G5179" t="s">
        <v>46</v>
      </c>
      <c r="H5179" t="s">
        <v>46</v>
      </c>
    </row>
    <row r="5180" spans="1:10" x14ac:dyDescent="0.3">
      <c r="A5180" t="s">
        <v>14359</v>
      </c>
      <c r="B5180" t="s">
        <v>29399</v>
      </c>
      <c r="C5180" t="s">
        <v>20490</v>
      </c>
      <c r="D5180" t="s">
        <v>22</v>
      </c>
      <c r="E5180" t="s">
        <v>14360</v>
      </c>
      <c r="F5180">
        <v>17</v>
      </c>
      <c r="G5180" t="s">
        <v>337</v>
      </c>
      <c r="H5180" t="s">
        <v>337</v>
      </c>
    </row>
    <row r="5181" spans="1:10" x14ac:dyDescent="0.3">
      <c r="A5181" t="s">
        <v>14361</v>
      </c>
      <c r="B5181" t="s">
        <v>29400</v>
      </c>
      <c r="C5181" t="s">
        <v>20486</v>
      </c>
      <c r="D5181" t="s">
        <v>11</v>
      </c>
      <c r="E5181" t="s">
        <v>14362</v>
      </c>
      <c r="F5181">
        <v>70</v>
      </c>
      <c r="G5181" t="s">
        <v>46</v>
      </c>
      <c r="H5181" t="s">
        <v>46</v>
      </c>
      <c r="I5181" t="s">
        <v>1412</v>
      </c>
    </row>
    <row r="5182" spans="1:10" x14ac:dyDescent="0.3">
      <c r="A5182" t="s">
        <v>14363</v>
      </c>
      <c r="B5182" t="s">
        <v>29401</v>
      </c>
      <c r="C5182" t="s">
        <v>20490</v>
      </c>
      <c r="D5182" t="s">
        <v>22</v>
      </c>
      <c r="E5182" t="s">
        <v>14364</v>
      </c>
      <c r="F5182">
        <v>25</v>
      </c>
      <c r="G5182" t="s">
        <v>133</v>
      </c>
      <c r="H5182" t="s">
        <v>9789</v>
      </c>
      <c r="I5182" t="s">
        <v>14365</v>
      </c>
      <c r="J5182" t="s">
        <v>14366</v>
      </c>
    </row>
    <row r="5183" spans="1:10" x14ac:dyDescent="0.3">
      <c r="A5183" t="s">
        <v>14367</v>
      </c>
      <c r="B5183" t="s">
        <v>29402</v>
      </c>
      <c r="C5183" t="s">
        <v>20487</v>
      </c>
      <c r="D5183" t="s">
        <v>22</v>
      </c>
      <c r="E5183" t="s">
        <v>9302</v>
      </c>
      <c r="F5183">
        <v>41</v>
      </c>
      <c r="G5183" t="s">
        <v>172</v>
      </c>
      <c r="H5183" t="s">
        <v>9785</v>
      </c>
      <c r="I5183" t="s">
        <v>441</v>
      </c>
      <c r="J5183" t="s">
        <v>4066</v>
      </c>
    </row>
    <row r="5184" spans="1:10" x14ac:dyDescent="0.3">
      <c r="A5184" t="s">
        <v>14368</v>
      </c>
      <c r="B5184" t="s">
        <v>29403</v>
      </c>
      <c r="C5184" t="s">
        <v>20486</v>
      </c>
      <c r="D5184" t="s">
        <v>22</v>
      </c>
      <c r="E5184" t="s">
        <v>14369</v>
      </c>
      <c r="F5184">
        <v>43</v>
      </c>
      <c r="G5184" t="s">
        <v>109</v>
      </c>
      <c r="H5184" t="s">
        <v>9788</v>
      </c>
      <c r="I5184" t="s">
        <v>14370</v>
      </c>
    </row>
    <row r="5185" spans="1:10" x14ac:dyDescent="0.3">
      <c r="A5185" t="s">
        <v>14371</v>
      </c>
      <c r="B5185" t="s">
        <v>29404</v>
      </c>
      <c r="C5185" t="s">
        <v>20489</v>
      </c>
      <c r="D5185" t="s">
        <v>22</v>
      </c>
      <c r="E5185" t="s">
        <v>14372</v>
      </c>
      <c r="F5185">
        <v>70</v>
      </c>
      <c r="G5185" t="s">
        <v>13</v>
      </c>
      <c r="H5185" t="s">
        <v>13</v>
      </c>
      <c r="I5185" t="s">
        <v>17</v>
      </c>
    </row>
    <row r="5186" spans="1:10" x14ac:dyDescent="0.3">
      <c r="A5186" t="s">
        <v>14373</v>
      </c>
      <c r="B5186" t="s">
        <v>29405</v>
      </c>
      <c r="C5186" t="s">
        <v>20491</v>
      </c>
      <c r="D5186" t="s">
        <v>22</v>
      </c>
      <c r="E5186" t="s">
        <v>14374</v>
      </c>
      <c r="F5186">
        <v>65</v>
      </c>
      <c r="G5186" t="s">
        <v>46</v>
      </c>
      <c r="H5186" t="s">
        <v>46</v>
      </c>
    </row>
    <row r="5187" spans="1:10" x14ac:dyDescent="0.3">
      <c r="A5187" t="s">
        <v>14375</v>
      </c>
      <c r="B5187" t="s">
        <v>29406</v>
      </c>
      <c r="C5187" t="s">
        <v>20491</v>
      </c>
      <c r="D5187" t="s">
        <v>22</v>
      </c>
      <c r="E5187" t="s">
        <v>14376</v>
      </c>
      <c r="F5187">
        <v>43</v>
      </c>
      <c r="G5187" t="s">
        <v>155</v>
      </c>
      <c r="H5187" t="s">
        <v>9791</v>
      </c>
    </row>
    <row r="5188" spans="1:10" x14ac:dyDescent="0.3">
      <c r="A5188" t="s">
        <v>14377</v>
      </c>
      <c r="B5188" t="s">
        <v>29407</v>
      </c>
      <c r="C5188" t="s">
        <v>20488</v>
      </c>
      <c r="D5188" t="s">
        <v>11</v>
      </c>
      <c r="E5188" t="s">
        <v>14378</v>
      </c>
      <c r="F5188">
        <v>26</v>
      </c>
      <c r="G5188" t="s">
        <v>109</v>
      </c>
      <c r="H5188" t="s">
        <v>9788</v>
      </c>
      <c r="I5188" t="s">
        <v>228</v>
      </c>
      <c r="J5188" t="s">
        <v>3793</v>
      </c>
    </row>
    <row r="5189" spans="1:10" x14ac:dyDescent="0.3">
      <c r="A5189" t="s">
        <v>14379</v>
      </c>
      <c r="B5189" t="s">
        <v>29408</v>
      </c>
      <c r="C5189" t="s">
        <v>20486</v>
      </c>
      <c r="D5189" t="s">
        <v>22</v>
      </c>
      <c r="E5189" t="s">
        <v>14380</v>
      </c>
      <c r="F5189">
        <v>57</v>
      </c>
      <c r="G5189" t="s">
        <v>31</v>
      </c>
      <c r="H5189" t="s">
        <v>9789</v>
      </c>
      <c r="I5189" t="s">
        <v>22149</v>
      </c>
    </row>
    <row r="5190" spans="1:10" x14ac:dyDescent="0.3">
      <c r="A5190" t="s">
        <v>14381</v>
      </c>
      <c r="B5190" t="s">
        <v>29409</v>
      </c>
      <c r="C5190" t="s">
        <v>20488</v>
      </c>
      <c r="D5190" t="s">
        <v>22</v>
      </c>
      <c r="E5190" t="s">
        <v>14382</v>
      </c>
      <c r="F5190">
        <v>56</v>
      </c>
      <c r="G5190" t="s">
        <v>31</v>
      </c>
      <c r="H5190" t="s">
        <v>31</v>
      </c>
      <c r="I5190" t="s">
        <v>1269</v>
      </c>
    </row>
    <row r="5191" spans="1:10" x14ac:dyDescent="0.3">
      <c r="A5191" t="s">
        <v>14383</v>
      </c>
      <c r="B5191" t="s">
        <v>29410</v>
      </c>
      <c r="C5191" t="s">
        <v>20487</v>
      </c>
      <c r="D5191" t="s">
        <v>22</v>
      </c>
      <c r="E5191" t="s">
        <v>14384</v>
      </c>
      <c r="F5191">
        <v>51</v>
      </c>
      <c r="G5191" t="s">
        <v>109</v>
      </c>
      <c r="H5191" t="s">
        <v>9788</v>
      </c>
      <c r="I5191" t="s">
        <v>14385</v>
      </c>
      <c r="J5191" t="s">
        <v>14386</v>
      </c>
    </row>
    <row r="5192" spans="1:10" x14ac:dyDescent="0.3">
      <c r="A5192" t="s">
        <v>14387</v>
      </c>
      <c r="B5192" t="s">
        <v>29411</v>
      </c>
      <c r="C5192" t="s">
        <v>20488</v>
      </c>
      <c r="D5192" t="s">
        <v>22</v>
      </c>
      <c r="E5192" t="s">
        <v>14388</v>
      </c>
      <c r="F5192">
        <v>36</v>
      </c>
      <c r="G5192" t="s">
        <v>370</v>
      </c>
      <c r="H5192" t="s">
        <v>46</v>
      </c>
      <c r="J5192" t="s">
        <v>14389</v>
      </c>
    </row>
    <row r="5193" spans="1:10" x14ac:dyDescent="0.3">
      <c r="A5193" t="s">
        <v>14390</v>
      </c>
      <c r="B5193" t="s">
        <v>29412</v>
      </c>
      <c r="C5193" t="s">
        <v>20486</v>
      </c>
      <c r="D5193" t="s">
        <v>22</v>
      </c>
      <c r="E5193" t="s">
        <v>14391</v>
      </c>
      <c r="F5193">
        <v>60</v>
      </c>
      <c r="G5193" t="s">
        <v>243</v>
      </c>
      <c r="H5193" t="s">
        <v>46</v>
      </c>
      <c r="I5193" t="s">
        <v>14392</v>
      </c>
    </row>
    <row r="5194" spans="1:10" x14ac:dyDescent="0.3">
      <c r="A5194" t="s">
        <v>14393</v>
      </c>
      <c r="B5194" t="s">
        <v>29413</v>
      </c>
      <c r="C5194" t="s">
        <v>20486</v>
      </c>
      <c r="D5194" t="s">
        <v>22</v>
      </c>
      <c r="E5194" t="s">
        <v>3413</v>
      </c>
      <c r="F5194">
        <v>49</v>
      </c>
      <c r="G5194" t="s">
        <v>31</v>
      </c>
      <c r="H5194" t="s">
        <v>46</v>
      </c>
      <c r="I5194" t="s">
        <v>201</v>
      </c>
    </row>
    <row r="5195" spans="1:10" x14ac:dyDescent="0.3">
      <c r="A5195" t="s">
        <v>14394</v>
      </c>
      <c r="B5195" t="s">
        <v>29414</v>
      </c>
      <c r="C5195" t="s">
        <v>20486</v>
      </c>
      <c r="D5195" t="s">
        <v>22</v>
      </c>
      <c r="E5195" t="s">
        <v>14395</v>
      </c>
      <c r="F5195">
        <v>51</v>
      </c>
      <c r="G5195" t="s">
        <v>46</v>
      </c>
      <c r="H5195" t="s">
        <v>46</v>
      </c>
      <c r="I5195" t="s">
        <v>14396</v>
      </c>
    </row>
    <row r="5196" spans="1:10" x14ac:dyDescent="0.3">
      <c r="A5196" t="s">
        <v>14397</v>
      </c>
      <c r="B5196" t="s">
        <v>29415</v>
      </c>
      <c r="C5196" t="s">
        <v>20486</v>
      </c>
      <c r="D5196" t="s">
        <v>22</v>
      </c>
      <c r="E5196" t="s">
        <v>2869</v>
      </c>
      <c r="F5196">
        <v>49</v>
      </c>
      <c r="G5196" t="s">
        <v>46</v>
      </c>
      <c r="H5196" t="s">
        <v>46</v>
      </c>
      <c r="I5196" t="s">
        <v>220</v>
      </c>
    </row>
    <row r="5197" spans="1:10" x14ac:dyDescent="0.3">
      <c r="A5197" t="s">
        <v>14398</v>
      </c>
      <c r="B5197" t="s">
        <v>29416</v>
      </c>
      <c r="C5197" t="s">
        <v>20491</v>
      </c>
      <c r="D5197" t="s">
        <v>22</v>
      </c>
      <c r="E5197" t="s">
        <v>14399</v>
      </c>
      <c r="F5197">
        <v>42</v>
      </c>
      <c r="G5197" t="s">
        <v>16</v>
      </c>
      <c r="H5197" t="s">
        <v>9785</v>
      </c>
    </row>
    <row r="5198" spans="1:10" x14ac:dyDescent="0.3">
      <c r="A5198" t="s">
        <v>14400</v>
      </c>
      <c r="B5198" t="s">
        <v>29417</v>
      </c>
      <c r="C5198" t="s">
        <v>20486</v>
      </c>
      <c r="D5198" t="s">
        <v>11</v>
      </c>
      <c r="E5198" t="s">
        <v>14401</v>
      </c>
      <c r="F5198">
        <v>25</v>
      </c>
      <c r="G5198" t="s">
        <v>109</v>
      </c>
      <c r="H5198" t="s">
        <v>9788</v>
      </c>
      <c r="I5198" t="s">
        <v>14402</v>
      </c>
      <c r="J5198" t="s">
        <v>22150</v>
      </c>
    </row>
    <row r="5199" spans="1:10" x14ac:dyDescent="0.3">
      <c r="A5199" t="s">
        <v>14403</v>
      </c>
      <c r="B5199" t="s">
        <v>29418</v>
      </c>
      <c r="C5199" t="s">
        <v>20490</v>
      </c>
      <c r="D5199" t="s">
        <v>22</v>
      </c>
      <c r="E5199" t="s">
        <v>14404</v>
      </c>
      <c r="F5199">
        <v>23</v>
      </c>
      <c r="G5199" t="s">
        <v>46</v>
      </c>
      <c r="H5199" t="s">
        <v>46</v>
      </c>
    </row>
    <row r="5200" spans="1:10" x14ac:dyDescent="0.3">
      <c r="A5200" t="s">
        <v>14405</v>
      </c>
      <c r="B5200" t="s">
        <v>29419</v>
      </c>
      <c r="C5200" t="s">
        <v>20491</v>
      </c>
      <c r="D5200" t="s">
        <v>11</v>
      </c>
      <c r="E5200" t="s">
        <v>14406</v>
      </c>
      <c r="F5200">
        <v>50</v>
      </c>
      <c r="G5200" t="s">
        <v>14407</v>
      </c>
      <c r="H5200" t="s">
        <v>12074</v>
      </c>
    </row>
    <row r="5201" spans="1:10" x14ac:dyDescent="0.3">
      <c r="A5201" t="s">
        <v>14408</v>
      </c>
      <c r="B5201" t="s">
        <v>29420</v>
      </c>
      <c r="C5201" t="s">
        <v>20486</v>
      </c>
      <c r="D5201" t="s">
        <v>11</v>
      </c>
      <c r="E5201" t="s">
        <v>14409</v>
      </c>
      <c r="F5201">
        <v>23</v>
      </c>
      <c r="G5201" t="s">
        <v>109</v>
      </c>
      <c r="H5201" t="s">
        <v>9788</v>
      </c>
      <c r="I5201" t="s">
        <v>14410</v>
      </c>
    </row>
    <row r="5202" spans="1:10" x14ac:dyDescent="0.3">
      <c r="A5202" t="s">
        <v>14411</v>
      </c>
      <c r="B5202" t="s">
        <v>29421</v>
      </c>
      <c r="C5202" t="s">
        <v>20489</v>
      </c>
      <c r="D5202" t="s">
        <v>22</v>
      </c>
      <c r="E5202" t="s">
        <v>14412</v>
      </c>
      <c r="F5202">
        <v>59</v>
      </c>
      <c r="G5202" t="s">
        <v>370</v>
      </c>
      <c r="H5202" t="s">
        <v>46</v>
      </c>
      <c r="I5202" t="s">
        <v>1248</v>
      </c>
      <c r="J5202" t="s">
        <v>14413</v>
      </c>
    </row>
    <row r="5203" spans="1:10" x14ac:dyDescent="0.3">
      <c r="A5203" t="s">
        <v>14414</v>
      </c>
      <c r="B5203" t="s">
        <v>29422</v>
      </c>
      <c r="C5203" t="s">
        <v>20487</v>
      </c>
      <c r="D5203" t="s">
        <v>11</v>
      </c>
      <c r="E5203" t="s">
        <v>14415</v>
      </c>
      <c r="F5203">
        <v>41</v>
      </c>
      <c r="G5203" t="s">
        <v>46</v>
      </c>
      <c r="H5203" t="s">
        <v>46</v>
      </c>
      <c r="I5203" t="s">
        <v>14416</v>
      </c>
    </row>
    <row r="5204" spans="1:10" x14ac:dyDescent="0.3">
      <c r="A5204" t="s">
        <v>14417</v>
      </c>
      <c r="B5204" t="s">
        <v>29423</v>
      </c>
      <c r="C5204" t="s">
        <v>20491</v>
      </c>
      <c r="D5204" t="s">
        <v>22</v>
      </c>
      <c r="E5204" t="s">
        <v>9368</v>
      </c>
      <c r="F5204">
        <v>39</v>
      </c>
      <c r="G5204" t="s">
        <v>31</v>
      </c>
      <c r="H5204" t="s">
        <v>31</v>
      </c>
    </row>
    <row r="5205" spans="1:10" x14ac:dyDescent="0.3">
      <c r="A5205" t="s">
        <v>14418</v>
      </c>
      <c r="B5205" t="s">
        <v>29424</v>
      </c>
      <c r="C5205" t="s">
        <v>20486</v>
      </c>
      <c r="D5205" t="s">
        <v>11</v>
      </c>
      <c r="E5205" t="s">
        <v>14419</v>
      </c>
      <c r="F5205">
        <v>53</v>
      </c>
      <c r="G5205" t="s">
        <v>172</v>
      </c>
      <c r="H5205" t="s">
        <v>12099</v>
      </c>
      <c r="I5205" t="s">
        <v>13131</v>
      </c>
    </row>
    <row r="5206" spans="1:10" x14ac:dyDescent="0.3">
      <c r="A5206" t="s">
        <v>14420</v>
      </c>
      <c r="B5206" t="s">
        <v>29425</v>
      </c>
      <c r="C5206" t="s">
        <v>20486</v>
      </c>
      <c r="D5206" t="s">
        <v>22</v>
      </c>
      <c r="E5206" t="s">
        <v>8802</v>
      </c>
      <c r="F5206">
        <v>50</v>
      </c>
      <c r="G5206" t="s">
        <v>46</v>
      </c>
      <c r="H5206" t="s">
        <v>46</v>
      </c>
      <c r="I5206" t="s">
        <v>149</v>
      </c>
    </row>
    <row r="5207" spans="1:10" x14ac:dyDescent="0.3">
      <c r="A5207" t="s">
        <v>14421</v>
      </c>
      <c r="B5207" t="s">
        <v>29426</v>
      </c>
      <c r="C5207" t="s">
        <v>20488</v>
      </c>
      <c r="D5207" t="s">
        <v>11</v>
      </c>
      <c r="E5207" t="s">
        <v>14422</v>
      </c>
      <c r="F5207">
        <v>36</v>
      </c>
      <c r="G5207" t="s">
        <v>46</v>
      </c>
      <c r="H5207" t="s">
        <v>46</v>
      </c>
      <c r="I5207" t="s">
        <v>228</v>
      </c>
    </row>
    <row r="5208" spans="1:10" x14ac:dyDescent="0.3">
      <c r="A5208" t="s">
        <v>14423</v>
      </c>
      <c r="B5208" t="s">
        <v>29427</v>
      </c>
      <c r="C5208" t="s">
        <v>20490</v>
      </c>
      <c r="D5208" t="s">
        <v>22</v>
      </c>
      <c r="E5208" t="s">
        <v>14424</v>
      </c>
      <c r="F5208">
        <v>59</v>
      </c>
      <c r="G5208" t="s">
        <v>13</v>
      </c>
      <c r="H5208" t="s">
        <v>243</v>
      </c>
      <c r="I5208" t="s">
        <v>18853</v>
      </c>
    </row>
    <row r="5209" spans="1:10" x14ac:dyDescent="0.3">
      <c r="A5209" t="s">
        <v>14425</v>
      </c>
      <c r="B5209" t="s">
        <v>29428</v>
      </c>
      <c r="C5209" t="s">
        <v>20486</v>
      </c>
      <c r="D5209" t="s">
        <v>22</v>
      </c>
      <c r="E5209" t="s">
        <v>14426</v>
      </c>
      <c r="F5209">
        <v>52</v>
      </c>
      <c r="G5209" t="s">
        <v>155</v>
      </c>
      <c r="H5209" t="s">
        <v>9791</v>
      </c>
      <c r="J5209" t="s">
        <v>25</v>
      </c>
    </row>
    <row r="5210" spans="1:10" x14ac:dyDescent="0.3">
      <c r="A5210" t="s">
        <v>14427</v>
      </c>
      <c r="B5210" t="s">
        <v>29429</v>
      </c>
      <c r="C5210" t="s">
        <v>20487</v>
      </c>
      <c r="D5210" t="s">
        <v>11</v>
      </c>
      <c r="E5210" t="s">
        <v>14428</v>
      </c>
      <c r="F5210">
        <v>35</v>
      </c>
      <c r="G5210" t="s">
        <v>46</v>
      </c>
      <c r="H5210" t="s">
        <v>46</v>
      </c>
      <c r="I5210" t="s">
        <v>14429</v>
      </c>
    </row>
    <row r="5211" spans="1:10" x14ac:dyDescent="0.3">
      <c r="A5211" t="s">
        <v>14430</v>
      </c>
      <c r="B5211" t="s">
        <v>29430</v>
      </c>
      <c r="C5211" t="s">
        <v>20487</v>
      </c>
      <c r="D5211" t="s">
        <v>11</v>
      </c>
      <c r="E5211" t="s">
        <v>14431</v>
      </c>
      <c r="F5211">
        <v>68</v>
      </c>
      <c r="G5211" t="s">
        <v>46</v>
      </c>
      <c r="H5211" t="s">
        <v>46</v>
      </c>
      <c r="I5211" t="s">
        <v>220</v>
      </c>
      <c r="J5211" t="s">
        <v>14432</v>
      </c>
    </row>
    <row r="5212" spans="1:10" x14ac:dyDescent="0.3">
      <c r="A5212" t="s">
        <v>14433</v>
      </c>
      <c r="B5212" t="s">
        <v>29431</v>
      </c>
      <c r="C5212" t="s">
        <v>20487</v>
      </c>
      <c r="D5212" t="s">
        <v>22</v>
      </c>
      <c r="E5212" t="s">
        <v>14434</v>
      </c>
      <c r="F5212">
        <v>36</v>
      </c>
      <c r="G5212" t="s">
        <v>109</v>
      </c>
      <c r="H5212" t="s">
        <v>9788</v>
      </c>
      <c r="J5212" t="s">
        <v>14435</v>
      </c>
    </row>
    <row r="5213" spans="1:10" x14ac:dyDescent="0.3">
      <c r="A5213" t="s">
        <v>14436</v>
      </c>
      <c r="B5213" t="s">
        <v>29432</v>
      </c>
      <c r="C5213" t="s">
        <v>20486</v>
      </c>
      <c r="D5213" t="s">
        <v>22</v>
      </c>
      <c r="E5213" t="s">
        <v>14437</v>
      </c>
      <c r="F5213">
        <v>41</v>
      </c>
      <c r="G5213" t="s">
        <v>109</v>
      </c>
      <c r="H5213" t="s">
        <v>9788</v>
      </c>
      <c r="J5213" t="s">
        <v>14438</v>
      </c>
    </row>
    <row r="5214" spans="1:10" x14ac:dyDescent="0.3">
      <c r="A5214" t="s">
        <v>14439</v>
      </c>
      <c r="B5214" t="s">
        <v>29433</v>
      </c>
      <c r="C5214" t="s">
        <v>20489</v>
      </c>
      <c r="D5214" t="s">
        <v>11</v>
      </c>
      <c r="E5214" t="s">
        <v>9524</v>
      </c>
      <c r="F5214">
        <v>44</v>
      </c>
      <c r="G5214" t="s">
        <v>109</v>
      </c>
      <c r="H5214" t="s">
        <v>9788</v>
      </c>
      <c r="I5214" t="s">
        <v>14339</v>
      </c>
    </row>
    <row r="5215" spans="1:10" x14ac:dyDescent="0.3">
      <c r="A5215" t="s">
        <v>14440</v>
      </c>
      <c r="B5215" t="s">
        <v>29434</v>
      </c>
      <c r="C5215" t="s">
        <v>20486</v>
      </c>
      <c r="D5215" t="s">
        <v>22</v>
      </c>
      <c r="E5215" t="s">
        <v>14441</v>
      </c>
      <c r="F5215">
        <v>54</v>
      </c>
      <c r="G5215" t="s">
        <v>155</v>
      </c>
      <c r="H5215" t="s">
        <v>9791</v>
      </c>
      <c r="J5215" t="s">
        <v>14442</v>
      </c>
    </row>
    <row r="5216" spans="1:10" x14ac:dyDescent="0.3">
      <c r="A5216" t="s">
        <v>14443</v>
      </c>
      <c r="B5216" t="s">
        <v>29435</v>
      </c>
      <c r="C5216" t="s">
        <v>20486</v>
      </c>
      <c r="D5216" t="s">
        <v>22</v>
      </c>
      <c r="E5216" t="s">
        <v>6878</v>
      </c>
      <c r="F5216">
        <v>30</v>
      </c>
      <c r="G5216" t="s">
        <v>16</v>
      </c>
      <c r="H5216" t="s">
        <v>9785</v>
      </c>
      <c r="I5216" t="s">
        <v>17</v>
      </c>
      <c r="J5216" t="s">
        <v>8200</v>
      </c>
    </row>
    <row r="5217" spans="1:10" x14ac:dyDescent="0.3">
      <c r="A5217" t="s">
        <v>14444</v>
      </c>
      <c r="B5217" t="s">
        <v>29436</v>
      </c>
      <c r="C5217" t="s">
        <v>20487</v>
      </c>
      <c r="D5217" t="s">
        <v>11</v>
      </c>
      <c r="E5217" t="s">
        <v>14445</v>
      </c>
      <c r="F5217">
        <v>49</v>
      </c>
      <c r="G5217" t="s">
        <v>109</v>
      </c>
      <c r="H5217" t="s">
        <v>9788</v>
      </c>
      <c r="I5217" t="s">
        <v>465</v>
      </c>
      <c r="J5217" t="s">
        <v>2639</v>
      </c>
    </row>
    <row r="5218" spans="1:10" x14ac:dyDescent="0.3">
      <c r="A5218" t="s">
        <v>14446</v>
      </c>
      <c r="B5218" t="s">
        <v>29437</v>
      </c>
      <c r="C5218" t="s">
        <v>20491</v>
      </c>
      <c r="D5218" t="s">
        <v>11</v>
      </c>
      <c r="E5218" t="s">
        <v>14447</v>
      </c>
      <c r="F5218">
        <v>42</v>
      </c>
      <c r="G5218" t="s">
        <v>109</v>
      </c>
      <c r="H5218" t="s">
        <v>9788</v>
      </c>
      <c r="I5218" t="s">
        <v>1145</v>
      </c>
      <c r="J5218" t="s">
        <v>14448</v>
      </c>
    </row>
    <row r="5219" spans="1:10" x14ac:dyDescent="0.3">
      <c r="A5219" t="s">
        <v>14449</v>
      </c>
      <c r="B5219" t="s">
        <v>29438</v>
      </c>
      <c r="C5219" t="s">
        <v>20486</v>
      </c>
      <c r="D5219" t="s">
        <v>11</v>
      </c>
      <c r="E5219" t="s">
        <v>14450</v>
      </c>
      <c r="F5219">
        <v>56</v>
      </c>
      <c r="G5219" t="s">
        <v>109</v>
      </c>
      <c r="H5219" t="s">
        <v>9788</v>
      </c>
      <c r="I5219" t="s">
        <v>1534</v>
      </c>
      <c r="J5219" t="s">
        <v>14451</v>
      </c>
    </row>
    <row r="5220" spans="1:10" x14ac:dyDescent="0.3">
      <c r="A5220" t="s">
        <v>14452</v>
      </c>
      <c r="B5220" t="s">
        <v>29439</v>
      </c>
      <c r="C5220" t="s">
        <v>20486</v>
      </c>
      <c r="D5220" t="s">
        <v>22</v>
      </c>
      <c r="E5220" t="s">
        <v>14453</v>
      </c>
      <c r="F5220">
        <v>49</v>
      </c>
      <c r="G5220" t="s">
        <v>46</v>
      </c>
      <c r="H5220" t="s">
        <v>46</v>
      </c>
      <c r="I5220" t="s">
        <v>14454</v>
      </c>
      <c r="J5220" t="s">
        <v>14455</v>
      </c>
    </row>
    <row r="5221" spans="1:10" x14ac:dyDescent="0.3">
      <c r="A5221" t="s">
        <v>14456</v>
      </c>
      <c r="B5221" t="s">
        <v>29440</v>
      </c>
      <c r="C5221" t="s">
        <v>20486</v>
      </c>
      <c r="D5221" t="s">
        <v>11</v>
      </c>
      <c r="E5221" t="s">
        <v>14457</v>
      </c>
      <c r="F5221">
        <v>56</v>
      </c>
      <c r="G5221" t="s">
        <v>109</v>
      </c>
      <c r="H5221" t="s">
        <v>9788</v>
      </c>
      <c r="I5221" t="s">
        <v>660</v>
      </c>
      <c r="J5221" t="s">
        <v>14458</v>
      </c>
    </row>
    <row r="5222" spans="1:10" x14ac:dyDescent="0.3">
      <c r="A5222" t="s">
        <v>14459</v>
      </c>
      <c r="B5222" t="s">
        <v>29441</v>
      </c>
      <c r="C5222" t="s">
        <v>20486</v>
      </c>
      <c r="D5222" t="s">
        <v>11</v>
      </c>
      <c r="E5222" t="s">
        <v>7591</v>
      </c>
      <c r="F5222">
        <v>41</v>
      </c>
      <c r="G5222" t="s">
        <v>46</v>
      </c>
      <c r="H5222" t="s">
        <v>46</v>
      </c>
      <c r="I5222" t="s">
        <v>14460</v>
      </c>
      <c r="J5222" t="s">
        <v>3369</v>
      </c>
    </row>
    <row r="5223" spans="1:10" x14ac:dyDescent="0.3">
      <c r="A5223" t="s">
        <v>14461</v>
      </c>
      <c r="B5223" t="s">
        <v>29442</v>
      </c>
      <c r="C5223" t="s">
        <v>20487</v>
      </c>
      <c r="D5223" t="s">
        <v>22</v>
      </c>
      <c r="E5223" t="s">
        <v>3699</v>
      </c>
      <c r="F5223">
        <v>46</v>
      </c>
      <c r="G5223" t="s">
        <v>540</v>
      </c>
      <c r="H5223" t="s">
        <v>12074</v>
      </c>
    </row>
    <row r="5224" spans="1:10" x14ac:dyDescent="0.3">
      <c r="A5224" t="s">
        <v>14462</v>
      </c>
      <c r="B5224" t="s">
        <v>29443</v>
      </c>
      <c r="C5224" t="s">
        <v>20486</v>
      </c>
      <c r="D5224" t="s">
        <v>11</v>
      </c>
      <c r="E5224" t="s">
        <v>6565</v>
      </c>
      <c r="F5224">
        <v>72</v>
      </c>
      <c r="G5224" t="s">
        <v>13</v>
      </c>
      <c r="H5224" t="s">
        <v>13</v>
      </c>
      <c r="I5224" t="s">
        <v>17</v>
      </c>
      <c r="J5224" t="s">
        <v>14463</v>
      </c>
    </row>
    <row r="5225" spans="1:10" x14ac:dyDescent="0.3">
      <c r="A5225" t="s">
        <v>14464</v>
      </c>
      <c r="B5225" t="s">
        <v>29444</v>
      </c>
      <c r="C5225" t="s">
        <v>20486</v>
      </c>
      <c r="D5225" t="s">
        <v>11</v>
      </c>
      <c r="E5225" t="s">
        <v>14465</v>
      </c>
      <c r="F5225">
        <v>28</v>
      </c>
      <c r="G5225" t="s">
        <v>109</v>
      </c>
      <c r="H5225" t="s">
        <v>9788</v>
      </c>
      <c r="J5225" t="s">
        <v>14466</v>
      </c>
    </row>
    <row r="5226" spans="1:10" x14ac:dyDescent="0.3">
      <c r="A5226" t="s">
        <v>14467</v>
      </c>
      <c r="B5226" t="s">
        <v>29445</v>
      </c>
      <c r="C5226" t="s">
        <v>20486</v>
      </c>
      <c r="D5226" t="s">
        <v>11</v>
      </c>
      <c r="E5226" t="s">
        <v>6078</v>
      </c>
      <c r="F5226">
        <v>27</v>
      </c>
      <c r="G5226" t="s">
        <v>109</v>
      </c>
      <c r="H5226" t="s">
        <v>9788</v>
      </c>
      <c r="J5226" t="s">
        <v>14468</v>
      </c>
    </row>
    <row r="5227" spans="1:10" x14ac:dyDescent="0.3">
      <c r="A5227" t="s">
        <v>14469</v>
      </c>
      <c r="B5227" t="s">
        <v>29446</v>
      </c>
      <c r="C5227" t="s">
        <v>20488</v>
      </c>
      <c r="D5227" t="s">
        <v>22</v>
      </c>
      <c r="E5227" t="s">
        <v>14470</v>
      </c>
      <c r="F5227">
        <v>46</v>
      </c>
      <c r="G5227" t="s">
        <v>16</v>
      </c>
      <c r="H5227" t="s">
        <v>9785</v>
      </c>
      <c r="I5227" t="s">
        <v>17</v>
      </c>
      <c r="J5227" t="s">
        <v>14471</v>
      </c>
    </row>
    <row r="5228" spans="1:10" x14ac:dyDescent="0.3">
      <c r="A5228" t="s">
        <v>14472</v>
      </c>
      <c r="B5228" t="s">
        <v>29447</v>
      </c>
      <c r="C5228" t="s">
        <v>20486</v>
      </c>
      <c r="D5228" t="s">
        <v>22</v>
      </c>
      <c r="E5228" t="s">
        <v>14473</v>
      </c>
      <c r="F5228">
        <v>41</v>
      </c>
      <c r="G5228" t="s">
        <v>31</v>
      </c>
      <c r="H5228" t="s">
        <v>31</v>
      </c>
    </row>
    <row r="5229" spans="1:10" x14ac:dyDescent="0.3">
      <c r="A5229" t="s">
        <v>14474</v>
      </c>
      <c r="B5229" t="s">
        <v>29448</v>
      </c>
      <c r="C5229" t="s">
        <v>20486</v>
      </c>
      <c r="D5229" t="s">
        <v>22</v>
      </c>
      <c r="E5229" t="s">
        <v>14475</v>
      </c>
      <c r="F5229">
        <v>41</v>
      </c>
      <c r="G5229" t="s">
        <v>31</v>
      </c>
      <c r="H5229" t="s">
        <v>31</v>
      </c>
    </row>
    <row r="5230" spans="1:10" x14ac:dyDescent="0.3">
      <c r="A5230" t="s">
        <v>14476</v>
      </c>
      <c r="B5230" t="s">
        <v>29449</v>
      </c>
      <c r="C5230" t="s">
        <v>20486</v>
      </c>
      <c r="D5230" t="s">
        <v>22</v>
      </c>
      <c r="E5230" t="s">
        <v>14477</v>
      </c>
      <c r="F5230">
        <v>58</v>
      </c>
      <c r="G5230" t="s">
        <v>31</v>
      </c>
      <c r="H5230" t="s">
        <v>31</v>
      </c>
    </row>
    <row r="5231" spans="1:10" x14ac:dyDescent="0.3">
      <c r="A5231" t="s">
        <v>14478</v>
      </c>
      <c r="B5231" t="s">
        <v>29450</v>
      </c>
      <c r="C5231" t="s">
        <v>20491</v>
      </c>
      <c r="D5231" t="s">
        <v>22</v>
      </c>
      <c r="E5231" t="s">
        <v>14479</v>
      </c>
      <c r="F5231">
        <v>43</v>
      </c>
      <c r="G5231" t="s">
        <v>46</v>
      </c>
      <c r="H5231" t="s">
        <v>46</v>
      </c>
    </row>
    <row r="5232" spans="1:10" x14ac:dyDescent="0.3">
      <c r="A5232" t="s">
        <v>14480</v>
      </c>
      <c r="B5232" t="s">
        <v>29451</v>
      </c>
      <c r="C5232" t="s">
        <v>20486</v>
      </c>
      <c r="D5232" t="s">
        <v>11</v>
      </c>
      <c r="E5232" t="s">
        <v>14481</v>
      </c>
      <c r="F5232">
        <v>51</v>
      </c>
      <c r="G5232" t="s">
        <v>109</v>
      </c>
      <c r="H5232" t="s">
        <v>9788</v>
      </c>
      <c r="I5232" t="s">
        <v>13918</v>
      </c>
      <c r="J5232" t="s">
        <v>14482</v>
      </c>
    </row>
    <row r="5233" spans="1:10" x14ac:dyDescent="0.3">
      <c r="A5233" t="s">
        <v>14483</v>
      </c>
      <c r="B5233" t="s">
        <v>29452</v>
      </c>
      <c r="C5233" t="s">
        <v>20488</v>
      </c>
      <c r="D5233" t="s">
        <v>22</v>
      </c>
      <c r="E5233" t="s">
        <v>7314</v>
      </c>
      <c r="F5233">
        <v>37</v>
      </c>
      <c r="G5233" t="s">
        <v>31</v>
      </c>
      <c r="H5233" t="s">
        <v>31</v>
      </c>
    </row>
    <row r="5234" spans="1:10" x14ac:dyDescent="0.3">
      <c r="A5234" t="s">
        <v>14484</v>
      </c>
      <c r="B5234" t="s">
        <v>29453</v>
      </c>
      <c r="C5234" t="s">
        <v>20486</v>
      </c>
      <c r="D5234" t="s">
        <v>11</v>
      </c>
      <c r="E5234" t="s">
        <v>3807</v>
      </c>
      <c r="F5234">
        <v>42</v>
      </c>
      <c r="G5234" t="s">
        <v>109</v>
      </c>
      <c r="H5234" t="s">
        <v>9788</v>
      </c>
      <c r="J5234" t="s">
        <v>14485</v>
      </c>
    </row>
    <row r="5235" spans="1:10" x14ac:dyDescent="0.3">
      <c r="A5235" t="s">
        <v>14486</v>
      </c>
      <c r="B5235" t="s">
        <v>29454</v>
      </c>
      <c r="C5235" t="s">
        <v>20491</v>
      </c>
      <c r="D5235" t="s">
        <v>22</v>
      </c>
      <c r="E5235" t="s">
        <v>14487</v>
      </c>
      <c r="F5235">
        <v>36</v>
      </c>
      <c r="G5235" t="s">
        <v>109</v>
      </c>
      <c r="H5235" t="s">
        <v>9788</v>
      </c>
      <c r="J5235" t="s">
        <v>14488</v>
      </c>
    </row>
    <row r="5236" spans="1:10" x14ac:dyDescent="0.3">
      <c r="A5236" t="s">
        <v>14489</v>
      </c>
      <c r="B5236" t="s">
        <v>29455</v>
      </c>
      <c r="C5236" t="s">
        <v>20487</v>
      </c>
      <c r="D5236" t="s">
        <v>22</v>
      </c>
      <c r="E5236" t="s">
        <v>14490</v>
      </c>
      <c r="F5236">
        <v>28</v>
      </c>
      <c r="G5236" t="s">
        <v>109</v>
      </c>
      <c r="H5236" t="s">
        <v>9788</v>
      </c>
      <c r="I5236" t="s">
        <v>3384</v>
      </c>
      <c r="J5236" t="s">
        <v>14491</v>
      </c>
    </row>
    <row r="5237" spans="1:10" x14ac:dyDescent="0.3">
      <c r="A5237" t="s">
        <v>14492</v>
      </c>
      <c r="B5237" t="s">
        <v>29456</v>
      </c>
      <c r="C5237" t="s">
        <v>20486</v>
      </c>
      <c r="D5237" t="s">
        <v>22</v>
      </c>
      <c r="E5237" t="s">
        <v>14493</v>
      </c>
      <c r="F5237">
        <v>48</v>
      </c>
      <c r="G5237" t="s">
        <v>109</v>
      </c>
      <c r="H5237" t="s">
        <v>9788</v>
      </c>
      <c r="J5237" t="s">
        <v>14494</v>
      </c>
    </row>
    <row r="5238" spans="1:10" x14ac:dyDescent="0.3">
      <c r="A5238" t="s">
        <v>14495</v>
      </c>
      <c r="B5238" t="s">
        <v>29457</v>
      </c>
      <c r="C5238" t="s">
        <v>20486</v>
      </c>
      <c r="D5238" t="s">
        <v>11</v>
      </c>
      <c r="E5238" t="s">
        <v>13189</v>
      </c>
      <c r="F5238">
        <v>25</v>
      </c>
      <c r="G5238" t="s">
        <v>109</v>
      </c>
      <c r="H5238" t="s">
        <v>9788</v>
      </c>
      <c r="I5238" t="s">
        <v>2466</v>
      </c>
      <c r="J5238" t="s">
        <v>18854</v>
      </c>
    </row>
    <row r="5239" spans="1:10" x14ac:dyDescent="0.3">
      <c r="A5239" t="s">
        <v>14496</v>
      </c>
      <c r="B5239" t="s">
        <v>29458</v>
      </c>
      <c r="C5239" t="s">
        <v>20486</v>
      </c>
      <c r="D5239" t="s">
        <v>11</v>
      </c>
      <c r="E5239" t="s">
        <v>14497</v>
      </c>
      <c r="F5239">
        <v>22</v>
      </c>
      <c r="H5239" t="s">
        <v>9788</v>
      </c>
    </row>
    <row r="5240" spans="1:10" x14ac:dyDescent="0.3">
      <c r="A5240" t="s">
        <v>14499</v>
      </c>
      <c r="B5240" t="s">
        <v>29459</v>
      </c>
      <c r="C5240" t="s">
        <v>20486</v>
      </c>
      <c r="D5240" t="s">
        <v>22</v>
      </c>
      <c r="E5240" t="s">
        <v>14500</v>
      </c>
      <c r="F5240">
        <v>23</v>
      </c>
      <c r="G5240" t="s">
        <v>243</v>
      </c>
      <c r="H5240" t="s">
        <v>243</v>
      </c>
    </row>
    <row r="5241" spans="1:10" x14ac:dyDescent="0.3">
      <c r="A5241" t="s">
        <v>14501</v>
      </c>
      <c r="B5241" t="s">
        <v>29460</v>
      </c>
      <c r="C5241" t="s">
        <v>20491</v>
      </c>
      <c r="D5241" t="s">
        <v>11</v>
      </c>
      <c r="E5241" t="s">
        <v>14502</v>
      </c>
      <c r="F5241">
        <v>34</v>
      </c>
      <c r="G5241" t="s">
        <v>46</v>
      </c>
      <c r="H5241" t="s">
        <v>46</v>
      </c>
      <c r="J5241" t="s">
        <v>14503</v>
      </c>
    </row>
    <row r="5242" spans="1:10" x14ac:dyDescent="0.3">
      <c r="A5242" t="s">
        <v>14504</v>
      </c>
      <c r="B5242" t="s">
        <v>29461</v>
      </c>
      <c r="C5242" t="s">
        <v>20491</v>
      </c>
      <c r="D5242" t="s">
        <v>22</v>
      </c>
      <c r="E5242" t="s">
        <v>14505</v>
      </c>
      <c r="F5242">
        <v>32</v>
      </c>
      <c r="G5242" t="s">
        <v>109</v>
      </c>
      <c r="H5242" t="s">
        <v>9788</v>
      </c>
      <c r="J5242" t="s">
        <v>14506</v>
      </c>
    </row>
    <row r="5243" spans="1:10" x14ac:dyDescent="0.3">
      <c r="A5243" t="s">
        <v>14507</v>
      </c>
      <c r="B5243" t="s">
        <v>29462</v>
      </c>
      <c r="C5243" t="s">
        <v>20488</v>
      </c>
      <c r="D5243" t="s">
        <v>22</v>
      </c>
      <c r="E5243" t="s">
        <v>14508</v>
      </c>
      <c r="F5243">
        <v>48</v>
      </c>
      <c r="G5243" t="s">
        <v>31</v>
      </c>
      <c r="H5243" t="s">
        <v>31</v>
      </c>
    </row>
    <row r="5244" spans="1:10" x14ac:dyDescent="0.3">
      <c r="A5244" t="s">
        <v>14509</v>
      </c>
      <c r="B5244" t="s">
        <v>29463</v>
      </c>
      <c r="C5244" t="s">
        <v>20486</v>
      </c>
      <c r="D5244" t="s">
        <v>11</v>
      </c>
      <c r="E5244" t="s">
        <v>14510</v>
      </c>
      <c r="F5244">
        <v>20</v>
      </c>
      <c r="G5244" t="s">
        <v>337</v>
      </c>
      <c r="H5244" t="s">
        <v>337</v>
      </c>
      <c r="J5244" t="s">
        <v>14511</v>
      </c>
    </row>
    <row r="5245" spans="1:10" x14ac:dyDescent="0.3">
      <c r="A5245" t="s">
        <v>14512</v>
      </c>
      <c r="B5245" t="s">
        <v>29464</v>
      </c>
      <c r="C5245" t="s">
        <v>20487</v>
      </c>
      <c r="D5245" t="s">
        <v>11</v>
      </c>
      <c r="E5245" t="s">
        <v>7480</v>
      </c>
      <c r="F5245">
        <v>31</v>
      </c>
      <c r="G5245" t="s">
        <v>46</v>
      </c>
      <c r="H5245" t="s">
        <v>46</v>
      </c>
      <c r="I5245" t="s">
        <v>220</v>
      </c>
    </row>
    <row r="5246" spans="1:10" x14ac:dyDescent="0.3">
      <c r="A5246" t="s">
        <v>14513</v>
      </c>
      <c r="B5246" t="s">
        <v>29465</v>
      </c>
      <c r="C5246" t="s">
        <v>20486</v>
      </c>
      <c r="D5246" t="s">
        <v>22</v>
      </c>
      <c r="E5246" t="s">
        <v>1738</v>
      </c>
      <c r="F5246">
        <v>63</v>
      </c>
      <c r="G5246" t="s">
        <v>46</v>
      </c>
      <c r="H5246" t="s">
        <v>46</v>
      </c>
      <c r="I5246" t="s">
        <v>14514</v>
      </c>
      <c r="J5246" t="s">
        <v>14515</v>
      </c>
    </row>
    <row r="5247" spans="1:10" x14ac:dyDescent="0.3">
      <c r="A5247" t="s">
        <v>14516</v>
      </c>
      <c r="B5247" t="s">
        <v>29466</v>
      </c>
      <c r="C5247" t="s">
        <v>20487</v>
      </c>
      <c r="D5247" t="s">
        <v>22</v>
      </c>
      <c r="E5247" t="s">
        <v>14159</v>
      </c>
      <c r="F5247">
        <v>39</v>
      </c>
      <c r="G5247" t="s">
        <v>46</v>
      </c>
      <c r="H5247" t="s">
        <v>46</v>
      </c>
      <c r="I5247" t="s">
        <v>220</v>
      </c>
    </row>
    <row r="5248" spans="1:10" x14ac:dyDescent="0.3">
      <c r="A5248" t="s">
        <v>14517</v>
      </c>
      <c r="B5248" t="s">
        <v>29467</v>
      </c>
      <c r="C5248" t="s">
        <v>20486</v>
      </c>
      <c r="D5248" t="s">
        <v>11</v>
      </c>
      <c r="E5248" t="s">
        <v>2346</v>
      </c>
      <c r="F5248">
        <v>60</v>
      </c>
      <c r="G5248" t="s">
        <v>109</v>
      </c>
      <c r="H5248" t="s">
        <v>9788</v>
      </c>
      <c r="J5248" t="s">
        <v>14518</v>
      </c>
    </row>
    <row r="5249" spans="1:10" x14ac:dyDescent="0.3">
      <c r="A5249" t="s">
        <v>14519</v>
      </c>
      <c r="B5249" t="s">
        <v>29468</v>
      </c>
      <c r="C5249" t="s">
        <v>20486</v>
      </c>
      <c r="D5249" t="s">
        <v>22</v>
      </c>
      <c r="E5249" t="s">
        <v>14520</v>
      </c>
      <c r="F5249">
        <v>52</v>
      </c>
      <c r="G5249" t="s">
        <v>31</v>
      </c>
      <c r="H5249" t="s">
        <v>31</v>
      </c>
    </row>
    <row r="5250" spans="1:10" x14ac:dyDescent="0.3">
      <c r="A5250" t="s">
        <v>14521</v>
      </c>
      <c r="B5250" t="s">
        <v>29469</v>
      </c>
      <c r="C5250" t="s">
        <v>20486</v>
      </c>
      <c r="D5250" t="s">
        <v>11</v>
      </c>
      <c r="E5250" t="s">
        <v>14522</v>
      </c>
      <c r="F5250">
        <v>41</v>
      </c>
      <c r="G5250" t="s">
        <v>109</v>
      </c>
      <c r="H5250" t="s">
        <v>9788</v>
      </c>
    </row>
    <row r="5251" spans="1:10" x14ac:dyDescent="0.3">
      <c r="A5251" t="s">
        <v>14523</v>
      </c>
      <c r="B5251" t="s">
        <v>29470</v>
      </c>
      <c r="C5251" t="s">
        <v>20486</v>
      </c>
      <c r="D5251" t="s">
        <v>22</v>
      </c>
      <c r="E5251" t="s">
        <v>14524</v>
      </c>
      <c r="F5251">
        <v>28</v>
      </c>
      <c r="G5251" t="s">
        <v>46</v>
      </c>
      <c r="H5251" t="s">
        <v>46</v>
      </c>
      <c r="I5251" t="s">
        <v>13918</v>
      </c>
      <c r="J5251" t="s">
        <v>14525</v>
      </c>
    </row>
    <row r="5252" spans="1:10" x14ac:dyDescent="0.3">
      <c r="A5252" t="s">
        <v>14526</v>
      </c>
      <c r="B5252" t="s">
        <v>29471</v>
      </c>
      <c r="C5252" t="s">
        <v>20489</v>
      </c>
      <c r="D5252" t="s">
        <v>22</v>
      </c>
      <c r="E5252" t="s">
        <v>14527</v>
      </c>
      <c r="F5252">
        <v>62</v>
      </c>
      <c r="G5252" t="s">
        <v>370</v>
      </c>
      <c r="H5252" t="s">
        <v>46</v>
      </c>
      <c r="I5252" t="s">
        <v>228</v>
      </c>
      <c r="J5252" t="s">
        <v>12984</v>
      </c>
    </row>
    <row r="5253" spans="1:10" x14ac:dyDescent="0.3">
      <c r="A5253" t="s">
        <v>14528</v>
      </c>
      <c r="B5253" t="s">
        <v>29472</v>
      </c>
      <c r="C5253" t="s">
        <v>20486</v>
      </c>
      <c r="D5253" t="s">
        <v>11</v>
      </c>
      <c r="E5253" t="s">
        <v>14529</v>
      </c>
      <c r="F5253">
        <v>24</v>
      </c>
      <c r="G5253" t="s">
        <v>46</v>
      </c>
      <c r="H5253" t="s">
        <v>46</v>
      </c>
      <c r="J5253" t="s">
        <v>14530</v>
      </c>
    </row>
    <row r="5254" spans="1:10" x14ac:dyDescent="0.3">
      <c r="A5254" t="s">
        <v>14531</v>
      </c>
      <c r="B5254" t="s">
        <v>29473</v>
      </c>
      <c r="C5254" t="s">
        <v>20486</v>
      </c>
      <c r="D5254" t="s">
        <v>11</v>
      </c>
      <c r="E5254" t="s">
        <v>14532</v>
      </c>
      <c r="F5254">
        <v>53</v>
      </c>
      <c r="G5254" t="s">
        <v>172</v>
      </c>
      <c r="H5254" t="s">
        <v>12099</v>
      </c>
      <c r="J5254" t="s">
        <v>14533</v>
      </c>
    </row>
    <row r="5255" spans="1:10" x14ac:dyDescent="0.3">
      <c r="A5255" t="s">
        <v>14534</v>
      </c>
      <c r="B5255" t="s">
        <v>29474</v>
      </c>
      <c r="C5255" t="s">
        <v>20488</v>
      </c>
      <c r="D5255" t="s">
        <v>22</v>
      </c>
      <c r="E5255" t="s">
        <v>14535</v>
      </c>
      <c r="F5255">
        <v>54</v>
      </c>
      <c r="G5255" t="s">
        <v>31</v>
      </c>
      <c r="H5255" t="s">
        <v>31</v>
      </c>
    </row>
    <row r="5256" spans="1:10" x14ac:dyDescent="0.3">
      <c r="A5256" t="s">
        <v>14536</v>
      </c>
      <c r="B5256" t="s">
        <v>29475</v>
      </c>
      <c r="C5256" t="s">
        <v>20488</v>
      </c>
      <c r="D5256" t="s">
        <v>22</v>
      </c>
      <c r="E5256" t="s">
        <v>12566</v>
      </c>
      <c r="F5256">
        <v>36</v>
      </c>
      <c r="G5256" t="s">
        <v>46</v>
      </c>
      <c r="H5256" t="s">
        <v>46</v>
      </c>
      <c r="I5256" t="s">
        <v>228</v>
      </c>
      <c r="J5256" t="s">
        <v>14537</v>
      </c>
    </row>
    <row r="5257" spans="1:10" x14ac:dyDescent="0.3">
      <c r="A5257" t="s">
        <v>14538</v>
      </c>
      <c r="B5257" t="s">
        <v>29476</v>
      </c>
      <c r="C5257" t="s">
        <v>20486</v>
      </c>
      <c r="D5257" t="s">
        <v>11</v>
      </c>
      <c r="E5257" t="s">
        <v>9177</v>
      </c>
      <c r="F5257">
        <v>30</v>
      </c>
      <c r="G5257" t="s">
        <v>109</v>
      </c>
      <c r="H5257" t="s">
        <v>9788</v>
      </c>
      <c r="I5257" t="s">
        <v>85</v>
      </c>
      <c r="J5257" t="s">
        <v>14319</v>
      </c>
    </row>
    <row r="5258" spans="1:10" x14ac:dyDescent="0.3">
      <c r="A5258" t="s">
        <v>14539</v>
      </c>
      <c r="B5258" t="s">
        <v>29477</v>
      </c>
      <c r="C5258" t="s">
        <v>20491</v>
      </c>
      <c r="D5258" t="s">
        <v>11</v>
      </c>
      <c r="E5258" t="s">
        <v>14540</v>
      </c>
      <c r="F5258">
        <v>33</v>
      </c>
      <c r="G5258" t="s">
        <v>109</v>
      </c>
      <c r="H5258" t="s">
        <v>9788</v>
      </c>
      <c r="I5258" t="s">
        <v>14541</v>
      </c>
      <c r="J5258" t="s">
        <v>14542</v>
      </c>
    </row>
    <row r="5259" spans="1:10" x14ac:dyDescent="0.3">
      <c r="A5259" t="s">
        <v>14543</v>
      </c>
      <c r="B5259" t="s">
        <v>29478</v>
      </c>
      <c r="C5259" t="s">
        <v>20486</v>
      </c>
      <c r="D5259" t="s">
        <v>22</v>
      </c>
      <c r="E5259" t="s">
        <v>14544</v>
      </c>
      <c r="F5259">
        <v>55</v>
      </c>
    </row>
    <row r="5260" spans="1:10" x14ac:dyDescent="0.3">
      <c r="A5260" t="s">
        <v>14545</v>
      </c>
      <c r="B5260" t="s">
        <v>29479</v>
      </c>
      <c r="C5260" t="s">
        <v>20488</v>
      </c>
      <c r="D5260" t="s">
        <v>22</v>
      </c>
      <c r="E5260" t="s">
        <v>14546</v>
      </c>
      <c r="F5260">
        <v>65</v>
      </c>
      <c r="G5260" t="s">
        <v>46</v>
      </c>
      <c r="H5260" t="s">
        <v>46</v>
      </c>
      <c r="I5260" t="s">
        <v>228</v>
      </c>
      <c r="J5260" t="s">
        <v>14547</v>
      </c>
    </row>
    <row r="5261" spans="1:10" x14ac:dyDescent="0.3">
      <c r="A5261" t="s">
        <v>14548</v>
      </c>
      <c r="B5261" t="s">
        <v>29480</v>
      </c>
      <c r="C5261" t="s">
        <v>20491</v>
      </c>
      <c r="D5261" t="s">
        <v>22</v>
      </c>
      <c r="E5261" t="s">
        <v>14549</v>
      </c>
      <c r="F5261">
        <v>54</v>
      </c>
      <c r="G5261" t="s">
        <v>14550</v>
      </c>
      <c r="H5261" t="s">
        <v>46</v>
      </c>
    </row>
    <row r="5262" spans="1:10" x14ac:dyDescent="0.3">
      <c r="A5262" t="s">
        <v>14551</v>
      </c>
      <c r="B5262" t="s">
        <v>29481</v>
      </c>
      <c r="C5262" t="s">
        <v>20489</v>
      </c>
      <c r="D5262" t="s">
        <v>22</v>
      </c>
      <c r="E5262" t="s">
        <v>14552</v>
      </c>
      <c r="F5262">
        <v>48</v>
      </c>
      <c r="G5262" t="s">
        <v>46</v>
      </c>
      <c r="H5262" t="s">
        <v>46</v>
      </c>
      <c r="I5262" t="s">
        <v>3103</v>
      </c>
      <c r="J5262" t="s">
        <v>14553</v>
      </c>
    </row>
    <row r="5263" spans="1:10" x14ac:dyDescent="0.3">
      <c r="A5263" t="s">
        <v>14554</v>
      </c>
      <c r="B5263" t="s">
        <v>29482</v>
      </c>
      <c r="C5263" t="s">
        <v>20488</v>
      </c>
      <c r="D5263" t="s">
        <v>22</v>
      </c>
      <c r="E5263" t="s">
        <v>14555</v>
      </c>
      <c r="F5263">
        <v>54</v>
      </c>
      <c r="G5263" t="s">
        <v>46</v>
      </c>
      <c r="H5263" t="s">
        <v>46</v>
      </c>
      <c r="I5263" t="s">
        <v>139</v>
      </c>
      <c r="J5263" t="s">
        <v>14556</v>
      </c>
    </row>
    <row r="5264" spans="1:10" x14ac:dyDescent="0.3">
      <c r="A5264" t="s">
        <v>14557</v>
      </c>
      <c r="B5264" t="s">
        <v>29483</v>
      </c>
      <c r="C5264" t="s">
        <v>20488</v>
      </c>
      <c r="D5264" t="s">
        <v>11</v>
      </c>
      <c r="E5264" t="s">
        <v>14558</v>
      </c>
      <c r="F5264">
        <v>62</v>
      </c>
      <c r="G5264" t="s">
        <v>13</v>
      </c>
      <c r="H5264" t="s">
        <v>13</v>
      </c>
    </row>
    <row r="5265" spans="1:10" x14ac:dyDescent="0.3">
      <c r="A5265" t="s">
        <v>14559</v>
      </c>
      <c r="B5265" t="s">
        <v>29484</v>
      </c>
      <c r="C5265" t="s">
        <v>20491</v>
      </c>
      <c r="D5265" t="s">
        <v>22</v>
      </c>
      <c r="E5265" t="s">
        <v>12810</v>
      </c>
      <c r="F5265">
        <v>44</v>
      </c>
      <c r="G5265" t="s">
        <v>46</v>
      </c>
      <c r="H5265" t="s">
        <v>46</v>
      </c>
      <c r="I5265" t="s">
        <v>12476</v>
      </c>
      <c r="J5265" t="s">
        <v>14560</v>
      </c>
    </row>
    <row r="5266" spans="1:10" x14ac:dyDescent="0.3">
      <c r="A5266" t="s">
        <v>14561</v>
      </c>
      <c r="B5266" t="s">
        <v>29485</v>
      </c>
      <c r="C5266" t="s">
        <v>20487</v>
      </c>
      <c r="D5266" t="s">
        <v>11</v>
      </c>
      <c r="E5266" t="s">
        <v>14562</v>
      </c>
      <c r="F5266">
        <v>50</v>
      </c>
      <c r="G5266" t="s">
        <v>109</v>
      </c>
      <c r="H5266" t="s">
        <v>9788</v>
      </c>
      <c r="I5266" t="s">
        <v>14563</v>
      </c>
    </row>
    <row r="5267" spans="1:10" x14ac:dyDescent="0.3">
      <c r="A5267" t="s">
        <v>14564</v>
      </c>
      <c r="B5267" t="s">
        <v>29486</v>
      </c>
      <c r="C5267" t="s">
        <v>20487</v>
      </c>
      <c r="D5267" t="s">
        <v>22</v>
      </c>
      <c r="E5267" t="s">
        <v>14565</v>
      </c>
      <c r="F5267">
        <v>58</v>
      </c>
      <c r="G5267" t="s">
        <v>172</v>
      </c>
      <c r="H5267" t="s">
        <v>12099</v>
      </c>
      <c r="I5267" t="s">
        <v>101</v>
      </c>
      <c r="J5267" t="s">
        <v>12189</v>
      </c>
    </row>
    <row r="5268" spans="1:10" x14ac:dyDescent="0.3">
      <c r="A5268" t="s">
        <v>14566</v>
      </c>
      <c r="B5268" t="s">
        <v>29487</v>
      </c>
      <c r="C5268" t="s">
        <v>20487</v>
      </c>
      <c r="D5268" t="s">
        <v>22</v>
      </c>
      <c r="E5268" t="s">
        <v>14567</v>
      </c>
      <c r="F5268">
        <v>40</v>
      </c>
      <c r="G5268" t="s">
        <v>31</v>
      </c>
      <c r="H5268" t="s">
        <v>31</v>
      </c>
    </row>
    <row r="5269" spans="1:10" x14ac:dyDescent="0.3">
      <c r="A5269" t="s">
        <v>14568</v>
      </c>
      <c r="B5269" t="s">
        <v>29488</v>
      </c>
      <c r="C5269" t="s">
        <v>20487</v>
      </c>
      <c r="D5269" t="s">
        <v>11</v>
      </c>
      <c r="E5269" t="s">
        <v>14569</v>
      </c>
      <c r="F5269">
        <v>41</v>
      </c>
      <c r="G5269" t="s">
        <v>109</v>
      </c>
      <c r="H5269" t="s">
        <v>9788</v>
      </c>
      <c r="I5269" t="s">
        <v>4482</v>
      </c>
      <c r="J5269" t="s">
        <v>14570</v>
      </c>
    </row>
    <row r="5270" spans="1:10" x14ac:dyDescent="0.3">
      <c r="A5270" t="s">
        <v>14571</v>
      </c>
      <c r="B5270" t="s">
        <v>29489</v>
      </c>
      <c r="C5270" t="s">
        <v>20488</v>
      </c>
      <c r="D5270" t="s">
        <v>22</v>
      </c>
      <c r="E5270" t="s">
        <v>14572</v>
      </c>
      <c r="F5270">
        <v>33</v>
      </c>
      <c r="G5270" t="s">
        <v>31</v>
      </c>
      <c r="H5270" t="s">
        <v>31</v>
      </c>
    </row>
    <row r="5271" spans="1:10" x14ac:dyDescent="0.3">
      <c r="A5271" t="s">
        <v>14573</v>
      </c>
      <c r="B5271" t="s">
        <v>29490</v>
      </c>
      <c r="C5271" t="s">
        <v>20487</v>
      </c>
      <c r="D5271" t="s">
        <v>22</v>
      </c>
      <c r="E5271" t="s">
        <v>14574</v>
      </c>
      <c r="F5271">
        <v>37</v>
      </c>
      <c r="G5271" t="s">
        <v>16</v>
      </c>
      <c r="H5271" t="s">
        <v>9785</v>
      </c>
      <c r="J5271" t="s">
        <v>4066</v>
      </c>
    </row>
    <row r="5272" spans="1:10" x14ac:dyDescent="0.3">
      <c r="A5272" t="s">
        <v>14575</v>
      </c>
      <c r="B5272" t="s">
        <v>29491</v>
      </c>
      <c r="C5272" t="s">
        <v>20488</v>
      </c>
      <c r="D5272" t="s">
        <v>22</v>
      </c>
      <c r="E5272" t="s">
        <v>14576</v>
      </c>
      <c r="F5272">
        <v>63</v>
      </c>
      <c r="G5272" t="s">
        <v>46</v>
      </c>
      <c r="H5272" t="s">
        <v>46</v>
      </c>
      <c r="I5272" t="s">
        <v>14577</v>
      </c>
      <c r="J5272" t="s">
        <v>14577</v>
      </c>
    </row>
    <row r="5273" spans="1:10" x14ac:dyDescent="0.3">
      <c r="A5273" t="s">
        <v>14578</v>
      </c>
      <c r="B5273" t="s">
        <v>29492</v>
      </c>
      <c r="C5273" t="s">
        <v>20486</v>
      </c>
      <c r="D5273" t="s">
        <v>11</v>
      </c>
      <c r="E5273" t="s">
        <v>14579</v>
      </c>
      <c r="F5273">
        <v>22</v>
      </c>
      <c r="G5273" t="s">
        <v>109</v>
      </c>
      <c r="H5273" t="s">
        <v>9788</v>
      </c>
      <c r="I5273" t="s">
        <v>228</v>
      </c>
      <c r="J5273" t="s">
        <v>13185</v>
      </c>
    </row>
    <row r="5274" spans="1:10" x14ac:dyDescent="0.3">
      <c r="A5274" t="s">
        <v>14580</v>
      </c>
      <c r="B5274" t="s">
        <v>29493</v>
      </c>
      <c r="C5274" t="s">
        <v>20486</v>
      </c>
      <c r="D5274" t="s">
        <v>22</v>
      </c>
      <c r="E5274" t="s">
        <v>14581</v>
      </c>
      <c r="F5274">
        <v>19</v>
      </c>
      <c r="G5274" t="s">
        <v>109</v>
      </c>
      <c r="H5274" t="s">
        <v>9788</v>
      </c>
      <c r="I5274" t="s">
        <v>228</v>
      </c>
      <c r="J5274" t="s">
        <v>13185</v>
      </c>
    </row>
    <row r="5275" spans="1:10" x14ac:dyDescent="0.3">
      <c r="A5275" t="s">
        <v>14582</v>
      </c>
      <c r="B5275" t="s">
        <v>29494</v>
      </c>
      <c r="C5275" t="s">
        <v>20486</v>
      </c>
      <c r="D5275" t="s">
        <v>11</v>
      </c>
      <c r="E5275" t="s">
        <v>14583</v>
      </c>
      <c r="F5275">
        <v>22</v>
      </c>
      <c r="G5275" t="s">
        <v>109</v>
      </c>
      <c r="H5275" t="s">
        <v>9788</v>
      </c>
      <c r="I5275" t="s">
        <v>228</v>
      </c>
      <c r="J5275" t="s">
        <v>13185</v>
      </c>
    </row>
    <row r="5276" spans="1:10" x14ac:dyDescent="0.3">
      <c r="A5276" t="s">
        <v>14584</v>
      </c>
      <c r="B5276" t="s">
        <v>29495</v>
      </c>
      <c r="C5276" t="s">
        <v>20486</v>
      </c>
      <c r="D5276" t="s">
        <v>11</v>
      </c>
      <c r="E5276" t="s">
        <v>14585</v>
      </c>
      <c r="F5276">
        <v>45</v>
      </c>
      <c r="G5276" t="s">
        <v>172</v>
      </c>
      <c r="H5276" t="s">
        <v>12099</v>
      </c>
      <c r="I5276" t="s">
        <v>17</v>
      </c>
      <c r="J5276" t="s">
        <v>14586</v>
      </c>
    </row>
    <row r="5277" spans="1:10" x14ac:dyDescent="0.3">
      <c r="A5277" t="s">
        <v>14587</v>
      </c>
      <c r="B5277" t="s">
        <v>29496</v>
      </c>
      <c r="C5277" t="s">
        <v>20486</v>
      </c>
      <c r="D5277" t="s">
        <v>11</v>
      </c>
      <c r="E5277" t="s">
        <v>14588</v>
      </c>
      <c r="F5277">
        <v>40</v>
      </c>
      <c r="G5277" t="s">
        <v>46</v>
      </c>
      <c r="H5277" t="s">
        <v>46</v>
      </c>
      <c r="I5277" t="s">
        <v>228</v>
      </c>
      <c r="J5277" t="s">
        <v>14589</v>
      </c>
    </row>
    <row r="5278" spans="1:10" x14ac:dyDescent="0.3">
      <c r="A5278" t="s">
        <v>14590</v>
      </c>
      <c r="B5278" t="s">
        <v>29497</v>
      </c>
      <c r="C5278" t="s">
        <v>20486</v>
      </c>
      <c r="D5278" t="s">
        <v>22</v>
      </c>
      <c r="E5278" t="s">
        <v>2739</v>
      </c>
      <c r="F5278">
        <v>23</v>
      </c>
      <c r="G5278" t="s">
        <v>177</v>
      </c>
      <c r="H5278" t="s">
        <v>12065</v>
      </c>
      <c r="I5278" t="s">
        <v>5194</v>
      </c>
      <c r="J5278" t="s">
        <v>14591</v>
      </c>
    </row>
    <row r="5279" spans="1:10" x14ac:dyDescent="0.3">
      <c r="A5279" t="s">
        <v>14592</v>
      </c>
      <c r="B5279" t="s">
        <v>29498</v>
      </c>
      <c r="C5279" t="s">
        <v>20486</v>
      </c>
      <c r="D5279" t="s">
        <v>11</v>
      </c>
      <c r="E5279" t="s">
        <v>14593</v>
      </c>
      <c r="F5279">
        <v>33</v>
      </c>
      <c r="G5279" t="s">
        <v>16</v>
      </c>
      <c r="H5279" t="s">
        <v>9785</v>
      </c>
      <c r="I5279" t="s">
        <v>17</v>
      </c>
      <c r="J5279" t="s">
        <v>14594</v>
      </c>
    </row>
    <row r="5280" spans="1:10" x14ac:dyDescent="0.3">
      <c r="A5280" t="s">
        <v>14595</v>
      </c>
      <c r="B5280" t="s">
        <v>29499</v>
      </c>
      <c r="C5280" t="s">
        <v>20486</v>
      </c>
      <c r="D5280" t="s">
        <v>22</v>
      </c>
      <c r="E5280" t="s">
        <v>14596</v>
      </c>
      <c r="F5280">
        <v>20</v>
      </c>
      <c r="G5280" t="s">
        <v>337</v>
      </c>
      <c r="H5280" t="s">
        <v>337</v>
      </c>
      <c r="J5280" t="s">
        <v>14597</v>
      </c>
    </row>
    <row r="5281" spans="1:10" x14ac:dyDescent="0.3">
      <c r="A5281" t="s">
        <v>14598</v>
      </c>
      <c r="B5281" t="s">
        <v>29500</v>
      </c>
      <c r="C5281" t="s">
        <v>20490</v>
      </c>
      <c r="D5281" t="s">
        <v>22</v>
      </c>
      <c r="E5281" t="s">
        <v>14599</v>
      </c>
      <c r="F5281">
        <v>40</v>
      </c>
      <c r="G5281" t="s">
        <v>31</v>
      </c>
      <c r="H5281" t="s">
        <v>243</v>
      </c>
    </row>
    <row r="5282" spans="1:10" x14ac:dyDescent="0.3">
      <c r="A5282" t="s">
        <v>14600</v>
      </c>
      <c r="B5282" t="s">
        <v>29501</v>
      </c>
      <c r="C5282" t="s">
        <v>20490</v>
      </c>
      <c r="D5282" t="s">
        <v>22</v>
      </c>
      <c r="E5282" t="s">
        <v>14601</v>
      </c>
      <c r="F5282">
        <v>55</v>
      </c>
      <c r="G5282" t="s">
        <v>133</v>
      </c>
      <c r="H5282" t="s">
        <v>9789</v>
      </c>
      <c r="I5282" t="s">
        <v>228</v>
      </c>
    </row>
    <row r="5283" spans="1:10" x14ac:dyDescent="0.3">
      <c r="A5283" t="s">
        <v>14602</v>
      </c>
      <c r="B5283" t="s">
        <v>29502</v>
      </c>
      <c r="C5283" t="s">
        <v>20488</v>
      </c>
      <c r="D5283" t="s">
        <v>22</v>
      </c>
      <c r="E5283" t="s">
        <v>14603</v>
      </c>
      <c r="F5283">
        <v>43</v>
      </c>
      <c r="G5283" t="s">
        <v>31</v>
      </c>
      <c r="H5283" t="s">
        <v>243</v>
      </c>
      <c r="I5283" t="s">
        <v>33</v>
      </c>
    </row>
    <row r="5284" spans="1:10" x14ac:dyDescent="0.3">
      <c r="A5284" t="s">
        <v>14604</v>
      </c>
      <c r="B5284" t="s">
        <v>29503</v>
      </c>
      <c r="C5284" t="s">
        <v>20487</v>
      </c>
      <c r="D5284" t="s">
        <v>22</v>
      </c>
      <c r="E5284" t="s">
        <v>14605</v>
      </c>
      <c r="F5284">
        <v>23</v>
      </c>
      <c r="G5284" t="s">
        <v>46</v>
      </c>
      <c r="H5284" t="s">
        <v>46</v>
      </c>
      <c r="I5284" t="s">
        <v>228</v>
      </c>
    </row>
    <row r="5285" spans="1:10" x14ac:dyDescent="0.3">
      <c r="A5285" t="s">
        <v>14606</v>
      </c>
      <c r="B5285" t="s">
        <v>29504</v>
      </c>
      <c r="C5285" t="s">
        <v>20488</v>
      </c>
      <c r="D5285" t="s">
        <v>22</v>
      </c>
      <c r="E5285" t="s">
        <v>14607</v>
      </c>
      <c r="F5285">
        <v>51</v>
      </c>
      <c r="G5285" t="s">
        <v>46</v>
      </c>
      <c r="H5285" t="s">
        <v>46</v>
      </c>
      <c r="I5285" t="s">
        <v>14608</v>
      </c>
    </row>
    <row r="5286" spans="1:10" x14ac:dyDescent="0.3">
      <c r="A5286" t="s">
        <v>14609</v>
      </c>
      <c r="B5286" t="s">
        <v>29505</v>
      </c>
      <c r="C5286" t="s">
        <v>20488</v>
      </c>
      <c r="D5286" t="s">
        <v>22</v>
      </c>
      <c r="E5286" t="s">
        <v>14610</v>
      </c>
      <c r="F5286">
        <v>30</v>
      </c>
      <c r="G5286" t="s">
        <v>16</v>
      </c>
      <c r="H5286" t="s">
        <v>9785</v>
      </c>
      <c r="I5286" t="s">
        <v>14611</v>
      </c>
    </row>
    <row r="5287" spans="1:10" x14ac:dyDescent="0.3">
      <c r="A5287" t="s">
        <v>14612</v>
      </c>
      <c r="B5287" t="s">
        <v>29506</v>
      </c>
      <c r="C5287" t="s">
        <v>20488</v>
      </c>
      <c r="D5287" t="s">
        <v>22</v>
      </c>
      <c r="E5287" t="s">
        <v>14613</v>
      </c>
      <c r="F5287">
        <v>35</v>
      </c>
      <c r="G5287" t="s">
        <v>46</v>
      </c>
      <c r="H5287" t="s">
        <v>46</v>
      </c>
    </row>
    <row r="5288" spans="1:10" x14ac:dyDescent="0.3">
      <c r="A5288" t="s">
        <v>14614</v>
      </c>
      <c r="B5288" t="s">
        <v>29507</v>
      </c>
      <c r="C5288" t="s">
        <v>20486</v>
      </c>
      <c r="D5288" t="s">
        <v>22</v>
      </c>
      <c r="E5288" t="s">
        <v>8912</v>
      </c>
      <c r="F5288">
        <v>35</v>
      </c>
      <c r="G5288" t="s">
        <v>109</v>
      </c>
      <c r="H5288" t="s">
        <v>9788</v>
      </c>
      <c r="I5288" t="s">
        <v>18855</v>
      </c>
      <c r="J5288" t="s">
        <v>14615</v>
      </c>
    </row>
    <row r="5289" spans="1:10" x14ac:dyDescent="0.3">
      <c r="A5289" t="s">
        <v>14616</v>
      </c>
      <c r="B5289" t="s">
        <v>29508</v>
      </c>
      <c r="C5289" t="s">
        <v>20488</v>
      </c>
      <c r="D5289" t="s">
        <v>22</v>
      </c>
      <c r="E5289" t="s">
        <v>14617</v>
      </c>
      <c r="F5289">
        <v>43</v>
      </c>
      <c r="G5289" t="s">
        <v>46</v>
      </c>
      <c r="H5289" t="s">
        <v>46</v>
      </c>
    </row>
    <row r="5290" spans="1:10" x14ac:dyDescent="0.3">
      <c r="A5290" t="s">
        <v>14618</v>
      </c>
      <c r="B5290" t="s">
        <v>29509</v>
      </c>
      <c r="C5290" t="s">
        <v>20486</v>
      </c>
      <c r="D5290" t="s">
        <v>11</v>
      </c>
      <c r="E5290" t="s">
        <v>14619</v>
      </c>
      <c r="F5290">
        <v>25</v>
      </c>
      <c r="G5290" t="s">
        <v>243</v>
      </c>
      <c r="H5290" t="s">
        <v>9788</v>
      </c>
      <c r="I5290" t="s">
        <v>1047</v>
      </c>
      <c r="J5290" t="s">
        <v>22151</v>
      </c>
    </row>
    <row r="5291" spans="1:10" x14ac:dyDescent="0.3">
      <c r="A5291" t="s">
        <v>14620</v>
      </c>
      <c r="B5291" t="s">
        <v>29510</v>
      </c>
      <c r="C5291" t="s">
        <v>20489</v>
      </c>
      <c r="D5291" t="s">
        <v>11</v>
      </c>
      <c r="E5291" t="s">
        <v>14621</v>
      </c>
      <c r="F5291">
        <v>63</v>
      </c>
      <c r="G5291" t="s">
        <v>370</v>
      </c>
      <c r="H5291" t="s">
        <v>46</v>
      </c>
      <c r="I5291" t="s">
        <v>13918</v>
      </c>
      <c r="J5291" t="s">
        <v>12984</v>
      </c>
    </row>
    <row r="5292" spans="1:10" x14ac:dyDescent="0.3">
      <c r="A5292" t="s">
        <v>14622</v>
      </c>
      <c r="B5292" t="s">
        <v>29511</v>
      </c>
      <c r="C5292" t="s">
        <v>20486</v>
      </c>
      <c r="D5292" t="s">
        <v>22</v>
      </c>
      <c r="E5292" t="s">
        <v>9008</v>
      </c>
      <c r="F5292">
        <v>39</v>
      </c>
      <c r="G5292" t="s">
        <v>109</v>
      </c>
      <c r="H5292" t="s">
        <v>9788</v>
      </c>
      <c r="I5292" t="s">
        <v>12371</v>
      </c>
      <c r="J5292" t="s">
        <v>14623</v>
      </c>
    </row>
    <row r="5293" spans="1:10" x14ac:dyDescent="0.3">
      <c r="A5293" t="s">
        <v>14624</v>
      </c>
      <c r="B5293" t="s">
        <v>29512</v>
      </c>
      <c r="C5293" t="s">
        <v>20491</v>
      </c>
      <c r="D5293" t="s">
        <v>22</v>
      </c>
      <c r="E5293" t="s">
        <v>14625</v>
      </c>
      <c r="F5293">
        <v>24</v>
      </c>
      <c r="G5293" t="s">
        <v>243</v>
      </c>
      <c r="H5293" t="s">
        <v>243</v>
      </c>
    </row>
    <row r="5294" spans="1:10" x14ac:dyDescent="0.3">
      <c r="A5294" t="s">
        <v>14626</v>
      </c>
      <c r="B5294" t="s">
        <v>29513</v>
      </c>
      <c r="C5294" t="s">
        <v>20491</v>
      </c>
      <c r="D5294" t="s">
        <v>11</v>
      </c>
      <c r="E5294" t="s">
        <v>14627</v>
      </c>
      <c r="F5294">
        <v>22</v>
      </c>
      <c r="G5294" t="s">
        <v>109</v>
      </c>
      <c r="H5294" t="s">
        <v>9788</v>
      </c>
      <c r="J5294" t="s">
        <v>14628</v>
      </c>
    </row>
    <row r="5295" spans="1:10" x14ac:dyDescent="0.3">
      <c r="A5295" t="s">
        <v>14629</v>
      </c>
      <c r="B5295" t="s">
        <v>29514</v>
      </c>
      <c r="C5295" t="s">
        <v>20486</v>
      </c>
      <c r="D5295" t="s">
        <v>11</v>
      </c>
      <c r="E5295" t="s">
        <v>13898</v>
      </c>
      <c r="F5295">
        <v>47</v>
      </c>
      <c r="G5295" t="s">
        <v>109</v>
      </c>
      <c r="H5295" t="s">
        <v>9788</v>
      </c>
      <c r="J5295" t="s">
        <v>14630</v>
      </c>
    </row>
    <row r="5296" spans="1:10" x14ac:dyDescent="0.3">
      <c r="A5296" t="s">
        <v>14631</v>
      </c>
      <c r="B5296" t="s">
        <v>29515</v>
      </c>
      <c r="C5296" t="s">
        <v>20486</v>
      </c>
      <c r="D5296" t="s">
        <v>11</v>
      </c>
      <c r="E5296" t="s">
        <v>14632</v>
      </c>
      <c r="F5296">
        <v>27</v>
      </c>
      <c r="G5296" t="s">
        <v>109</v>
      </c>
      <c r="H5296" t="s">
        <v>9788</v>
      </c>
      <c r="J5296" t="s">
        <v>14633</v>
      </c>
    </row>
    <row r="5297" spans="1:10" x14ac:dyDescent="0.3">
      <c r="A5297" t="s">
        <v>14634</v>
      </c>
      <c r="B5297" t="s">
        <v>29516</v>
      </c>
      <c r="C5297" t="s">
        <v>20486</v>
      </c>
      <c r="D5297" t="s">
        <v>11</v>
      </c>
      <c r="E5297" t="s">
        <v>14635</v>
      </c>
      <c r="F5297">
        <v>57</v>
      </c>
      <c r="G5297" t="s">
        <v>540</v>
      </c>
      <c r="H5297" t="s">
        <v>12074</v>
      </c>
      <c r="I5297" t="s">
        <v>3378</v>
      </c>
    </row>
    <row r="5298" spans="1:10" x14ac:dyDescent="0.3">
      <c r="A5298" t="s">
        <v>14636</v>
      </c>
      <c r="B5298" t="s">
        <v>29517</v>
      </c>
      <c r="C5298" t="s">
        <v>20488</v>
      </c>
      <c r="D5298" t="s">
        <v>11</v>
      </c>
      <c r="E5298" t="s">
        <v>14637</v>
      </c>
      <c r="F5298">
        <v>72</v>
      </c>
      <c r="G5298" t="s">
        <v>46</v>
      </c>
      <c r="H5298" t="s">
        <v>46</v>
      </c>
      <c r="I5298" t="s">
        <v>139</v>
      </c>
    </row>
    <row r="5299" spans="1:10" x14ac:dyDescent="0.3">
      <c r="A5299" t="s">
        <v>14638</v>
      </c>
      <c r="B5299" t="s">
        <v>29518</v>
      </c>
      <c r="C5299" t="s">
        <v>20491</v>
      </c>
      <c r="D5299" t="s">
        <v>22</v>
      </c>
      <c r="E5299" t="s">
        <v>14639</v>
      </c>
      <c r="F5299">
        <v>46</v>
      </c>
      <c r="G5299" t="s">
        <v>46</v>
      </c>
      <c r="H5299" t="s">
        <v>46</v>
      </c>
    </row>
    <row r="5300" spans="1:10" x14ac:dyDescent="0.3">
      <c r="A5300" t="s">
        <v>14640</v>
      </c>
      <c r="B5300" t="s">
        <v>29519</v>
      </c>
      <c r="C5300" t="s">
        <v>20488</v>
      </c>
      <c r="D5300" t="s">
        <v>11</v>
      </c>
      <c r="E5300" t="s">
        <v>14641</v>
      </c>
      <c r="F5300">
        <v>55</v>
      </c>
      <c r="G5300" t="s">
        <v>46</v>
      </c>
      <c r="H5300" t="s">
        <v>46</v>
      </c>
    </row>
    <row r="5301" spans="1:10" x14ac:dyDescent="0.3">
      <c r="A5301" t="s">
        <v>14642</v>
      </c>
      <c r="B5301" t="s">
        <v>29520</v>
      </c>
      <c r="C5301" t="s">
        <v>20487</v>
      </c>
      <c r="D5301" t="s">
        <v>22</v>
      </c>
      <c r="E5301" t="s">
        <v>14643</v>
      </c>
      <c r="F5301">
        <v>35</v>
      </c>
      <c r="G5301" t="s">
        <v>109</v>
      </c>
      <c r="H5301" t="s">
        <v>9788</v>
      </c>
      <c r="J5301" t="s">
        <v>14644</v>
      </c>
    </row>
    <row r="5302" spans="1:10" x14ac:dyDescent="0.3">
      <c r="A5302" t="s">
        <v>14645</v>
      </c>
      <c r="B5302" t="s">
        <v>29521</v>
      </c>
      <c r="C5302" t="s">
        <v>20486</v>
      </c>
      <c r="D5302" t="s">
        <v>11</v>
      </c>
      <c r="E5302" t="s">
        <v>14646</v>
      </c>
      <c r="F5302">
        <v>48</v>
      </c>
      <c r="G5302" t="s">
        <v>109</v>
      </c>
      <c r="H5302" t="s">
        <v>9788</v>
      </c>
      <c r="J5302" t="s">
        <v>14647</v>
      </c>
    </row>
    <row r="5303" spans="1:10" x14ac:dyDescent="0.3">
      <c r="A5303" t="s">
        <v>14648</v>
      </c>
      <c r="B5303" t="s">
        <v>29522</v>
      </c>
      <c r="C5303" t="s">
        <v>20486</v>
      </c>
      <c r="D5303" t="s">
        <v>22</v>
      </c>
      <c r="E5303" t="s">
        <v>14649</v>
      </c>
      <c r="F5303">
        <v>46</v>
      </c>
      <c r="G5303" t="s">
        <v>172</v>
      </c>
      <c r="H5303" t="s">
        <v>12099</v>
      </c>
      <c r="I5303" t="s">
        <v>110</v>
      </c>
      <c r="J5303" t="s">
        <v>14650</v>
      </c>
    </row>
    <row r="5304" spans="1:10" x14ac:dyDescent="0.3">
      <c r="A5304" t="s">
        <v>14651</v>
      </c>
      <c r="B5304" t="s">
        <v>29523</v>
      </c>
      <c r="C5304" t="s">
        <v>20491</v>
      </c>
      <c r="D5304" t="s">
        <v>22</v>
      </c>
      <c r="E5304" t="s">
        <v>14652</v>
      </c>
      <c r="F5304">
        <v>24</v>
      </c>
      <c r="G5304" t="s">
        <v>46</v>
      </c>
      <c r="H5304" t="s">
        <v>46</v>
      </c>
      <c r="I5304" t="s">
        <v>228</v>
      </c>
    </row>
    <row r="5305" spans="1:10" x14ac:dyDescent="0.3">
      <c r="A5305" t="s">
        <v>14653</v>
      </c>
      <c r="B5305" t="s">
        <v>29524</v>
      </c>
      <c r="C5305" t="s">
        <v>20486</v>
      </c>
      <c r="D5305" t="s">
        <v>22</v>
      </c>
      <c r="E5305" t="s">
        <v>14654</v>
      </c>
      <c r="F5305">
        <v>56</v>
      </c>
      <c r="G5305" t="s">
        <v>109</v>
      </c>
      <c r="H5305" t="s">
        <v>9788</v>
      </c>
      <c r="I5305" t="s">
        <v>377</v>
      </c>
      <c r="J5305" t="s">
        <v>14187</v>
      </c>
    </row>
    <row r="5306" spans="1:10" x14ac:dyDescent="0.3">
      <c r="A5306" t="s">
        <v>14655</v>
      </c>
      <c r="B5306" t="s">
        <v>29525</v>
      </c>
      <c r="C5306" t="s">
        <v>20487</v>
      </c>
      <c r="D5306" t="s">
        <v>22</v>
      </c>
      <c r="E5306" t="s">
        <v>14656</v>
      </c>
      <c r="F5306">
        <v>47</v>
      </c>
      <c r="G5306" t="s">
        <v>109</v>
      </c>
      <c r="H5306" t="s">
        <v>9788</v>
      </c>
      <c r="J5306" t="s">
        <v>14385</v>
      </c>
    </row>
    <row r="5307" spans="1:10" x14ac:dyDescent="0.3">
      <c r="A5307" t="s">
        <v>14657</v>
      </c>
      <c r="B5307" t="s">
        <v>29526</v>
      </c>
      <c r="C5307" t="s">
        <v>20489</v>
      </c>
      <c r="D5307" t="s">
        <v>22</v>
      </c>
      <c r="E5307" t="s">
        <v>14658</v>
      </c>
      <c r="F5307">
        <v>41</v>
      </c>
      <c r="G5307" t="s">
        <v>370</v>
      </c>
      <c r="H5307" t="s">
        <v>46</v>
      </c>
      <c r="I5307" t="s">
        <v>14659</v>
      </c>
      <c r="J5307" t="s">
        <v>12984</v>
      </c>
    </row>
    <row r="5308" spans="1:10" x14ac:dyDescent="0.3">
      <c r="A5308" t="s">
        <v>14660</v>
      </c>
      <c r="B5308" t="s">
        <v>29527</v>
      </c>
      <c r="C5308" t="s">
        <v>20486</v>
      </c>
      <c r="D5308" t="s">
        <v>22</v>
      </c>
      <c r="E5308" t="s">
        <v>495</v>
      </c>
      <c r="F5308">
        <v>45</v>
      </c>
      <c r="G5308" t="s">
        <v>31</v>
      </c>
      <c r="H5308" t="s">
        <v>31</v>
      </c>
    </row>
    <row r="5309" spans="1:10" x14ac:dyDescent="0.3">
      <c r="A5309" t="s">
        <v>14661</v>
      </c>
      <c r="B5309" t="s">
        <v>29528</v>
      </c>
      <c r="C5309" t="s">
        <v>20491</v>
      </c>
      <c r="D5309" t="s">
        <v>22</v>
      </c>
      <c r="E5309" t="s">
        <v>14662</v>
      </c>
      <c r="F5309">
        <v>34</v>
      </c>
      <c r="G5309" t="s">
        <v>109</v>
      </c>
      <c r="H5309" t="s">
        <v>9788</v>
      </c>
      <c r="I5309" t="s">
        <v>12471</v>
      </c>
      <c r="J5309" t="s">
        <v>14663</v>
      </c>
    </row>
    <row r="5310" spans="1:10" x14ac:dyDescent="0.3">
      <c r="A5310" t="s">
        <v>14664</v>
      </c>
      <c r="B5310" t="s">
        <v>29529</v>
      </c>
      <c r="C5310" t="s">
        <v>20486</v>
      </c>
      <c r="D5310" t="s">
        <v>11</v>
      </c>
      <c r="E5310" t="s">
        <v>14665</v>
      </c>
      <c r="F5310">
        <v>26</v>
      </c>
      <c r="G5310" t="s">
        <v>109</v>
      </c>
      <c r="H5310" t="s">
        <v>9788</v>
      </c>
      <c r="I5310" t="s">
        <v>377</v>
      </c>
      <c r="J5310" t="s">
        <v>14187</v>
      </c>
    </row>
    <row r="5311" spans="1:10" x14ac:dyDescent="0.3">
      <c r="A5311" t="s">
        <v>14666</v>
      </c>
      <c r="B5311" t="s">
        <v>29530</v>
      </c>
      <c r="C5311" t="s">
        <v>20486</v>
      </c>
      <c r="D5311" t="s">
        <v>22</v>
      </c>
      <c r="E5311" t="s">
        <v>3528</v>
      </c>
      <c r="F5311">
        <v>63</v>
      </c>
      <c r="G5311" t="s">
        <v>46</v>
      </c>
      <c r="H5311" t="s">
        <v>46</v>
      </c>
      <c r="I5311" t="s">
        <v>228</v>
      </c>
      <c r="J5311" t="s">
        <v>14667</v>
      </c>
    </row>
    <row r="5312" spans="1:10" x14ac:dyDescent="0.3">
      <c r="A5312" t="s">
        <v>14668</v>
      </c>
      <c r="B5312" t="s">
        <v>29531</v>
      </c>
      <c r="C5312" t="s">
        <v>20486</v>
      </c>
      <c r="D5312" t="s">
        <v>22</v>
      </c>
      <c r="E5312" t="s">
        <v>6549</v>
      </c>
      <c r="F5312">
        <v>36</v>
      </c>
      <c r="G5312" t="s">
        <v>109</v>
      </c>
      <c r="H5312" t="s">
        <v>9788</v>
      </c>
      <c r="I5312" t="s">
        <v>14669</v>
      </c>
      <c r="J5312" t="s">
        <v>14670</v>
      </c>
    </row>
    <row r="5313" spans="1:10" x14ac:dyDescent="0.3">
      <c r="A5313" t="s">
        <v>14671</v>
      </c>
      <c r="B5313" t="s">
        <v>29532</v>
      </c>
      <c r="C5313" t="s">
        <v>20489</v>
      </c>
      <c r="D5313" t="s">
        <v>22</v>
      </c>
      <c r="E5313" t="s">
        <v>14672</v>
      </c>
      <c r="F5313">
        <v>21</v>
      </c>
      <c r="G5313" t="s">
        <v>337</v>
      </c>
      <c r="H5313" t="s">
        <v>337</v>
      </c>
    </row>
    <row r="5314" spans="1:10" x14ac:dyDescent="0.3">
      <c r="A5314" t="s">
        <v>14673</v>
      </c>
      <c r="B5314" t="s">
        <v>29533</v>
      </c>
      <c r="C5314" t="s">
        <v>20489</v>
      </c>
      <c r="D5314" t="s">
        <v>11</v>
      </c>
      <c r="E5314" t="s">
        <v>14674</v>
      </c>
      <c r="F5314">
        <v>19</v>
      </c>
      <c r="G5314" t="s">
        <v>337</v>
      </c>
      <c r="H5314" t="s">
        <v>337</v>
      </c>
    </row>
    <row r="5315" spans="1:10" x14ac:dyDescent="0.3">
      <c r="A5315" t="s">
        <v>14675</v>
      </c>
      <c r="B5315" t="s">
        <v>29534</v>
      </c>
      <c r="C5315" t="s">
        <v>20489</v>
      </c>
      <c r="D5315" t="s">
        <v>22</v>
      </c>
      <c r="E5315" t="s">
        <v>14676</v>
      </c>
      <c r="F5315">
        <v>22</v>
      </c>
      <c r="G5315" t="s">
        <v>337</v>
      </c>
      <c r="H5315" t="s">
        <v>337</v>
      </c>
    </row>
    <row r="5316" spans="1:10" x14ac:dyDescent="0.3">
      <c r="A5316" t="s">
        <v>14677</v>
      </c>
      <c r="B5316" t="s">
        <v>29535</v>
      </c>
      <c r="C5316" t="s">
        <v>20489</v>
      </c>
      <c r="D5316" t="s">
        <v>22</v>
      </c>
      <c r="E5316" t="s">
        <v>14678</v>
      </c>
      <c r="F5316">
        <v>23</v>
      </c>
      <c r="G5316" t="s">
        <v>337</v>
      </c>
      <c r="H5316" t="s">
        <v>337</v>
      </c>
    </row>
    <row r="5317" spans="1:10" x14ac:dyDescent="0.3">
      <c r="A5317" t="s">
        <v>14679</v>
      </c>
      <c r="B5317" t="s">
        <v>29536</v>
      </c>
      <c r="C5317" t="s">
        <v>20491</v>
      </c>
      <c r="D5317" t="s">
        <v>22</v>
      </c>
      <c r="E5317" t="s">
        <v>14680</v>
      </c>
      <c r="F5317">
        <v>53</v>
      </c>
      <c r="G5317" t="s">
        <v>31</v>
      </c>
      <c r="H5317" t="s">
        <v>31</v>
      </c>
    </row>
    <row r="5318" spans="1:10" x14ac:dyDescent="0.3">
      <c r="A5318" t="s">
        <v>14681</v>
      </c>
      <c r="B5318" t="s">
        <v>29537</v>
      </c>
      <c r="C5318" t="s">
        <v>20486</v>
      </c>
      <c r="D5318" t="s">
        <v>11</v>
      </c>
      <c r="E5318" t="s">
        <v>14441</v>
      </c>
      <c r="F5318">
        <v>54</v>
      </c>
      <c r="G5318" t="s">
        <v>46</v>
      </c>
      <c r="H5318" t="s">
        <v>46</v>
      </c>
      <c r="I5318" t="s">
        <v>201</v>
      </c>
      <c r="J5318" t="s">
        <v>14682</v>
      </c>
    </row>
    <row r="5319" spans="1:10" x14ac:dyDescent="0.3">
      <c r="A5319" t="s">
        <v>14683</v>
      </c>
      <c r="B5319" t="s">
        <v>29538</v>
      </c>
      <c r="C5319" t="s">
        <v>20491</v>
      </c>
      <c r="D5319" t="s">
        <v>22</v>
      </c>
      <c r="E5319" t="s">
        <v>14684</v>
      </c>
      <c r="F5319">
        <v>25</v>
      </c>
      <c r="G5319" t="s">
        <v>109</v>
      </c>
      <c r="H5319" t="s">
        <v>9788</v>
      </c>
      <c r="J5319" t="s">
        <v>14685</v>
      </c>
    </row>
    <row r="5320" spans="1:10" x14ac:dyDescent="0.3">
      <c r="A5320" t="s">
        <v>14686</v>
      </c>
      <c r="B5320" t="s">
        <v>29539</v>
      </c>
      <c r="C5320" t="s">
        <v>20488</v>
      </c>
      <c r="D5320" t="s">
        <v>22</v>
      </c>
      <c r="E5320" t="s">
        <v>14687</v>
      </c>
      <c r="F5320">
        <v>56</v>
      </c>
      <c r="G5320" t="s">
        <v>46</v>
      </c>
      <c r="H5320" t="s">
        <v>46</v>
      </c>
      <c r="I5320" t="s">
        <v>14688</v>
      </c>
      <c r="J5320" t="s">
        <v>14689</v>
      </c>
    </row>
    <row r="5321" spans="1:10" x14ac:dyDescent="0.3">
      <c r="A5321" t="s">
        <v>14690</v>
      </c>
      <c r="B5321" t="s">
        <v>29540</v>
      </c>
      <c r="C5321" t="s">
        <v>20486</v>
      </c>
      <c r="D5321" t="s">
        <v>11</v>
      </c>
      <c r="E5321" t="s">
        <v>14691</v>
      </c>
      <c r="F5321">
        <v>22</v>
      </c>
      <c r="G5321" t="s">
        <v>337</v>
      </c>
      <c r="H5321" t="s">
        <v>337</v>
      </c>
      <c r="J5321" t="s">
        <v>18856</v>
      </c>
    </row>
    <row r="5322" spans="1:10" x14ac:dyDescent="0.3">
      <c r="A5322" t="s">
        <v>14692</v>
      </c>
      <c r="B5322" t="s">
        <v>29541</v>
      </c>
      <c r="C5322" t="s">
        <v>20491</v>
      </c>
      <c r="D5322" t="s">
        <v>22</v>
      </c>
      <c r="E5322" t="s">
        <v>14693</v>
      </c>
      <c r="F5322">
        <v>55</v>
      </c>
      <c r="G5322" t="s">
        <v>46</v>
      </c>
      <c r="H5322" t="s">
        <v>46</v>
      </c>
    </row>
    <row r="5323" spans="1:10" x14ac:dyDescent="0.3">
      <c r="A5323" t="s">
        <v>14694</v>
      </c>
      <c r="B5323" t="s">
        <v>29542</v>
      </c>
      <c r="C5323" t="s">
        <v>20489</v>
      </c>
      <c r="D5323" t="s">
        <v>22</v>
      </c>
      <c r="E5323" t="s">
        <v>14695</v>
      </c>
      <c r="F5323">
        <v>44</v>
      </c>
      <c r="G5323" t="s">
        <v>370</v>
      </c>
      <c r="H5323" t="s">
        <v>46</v>
      </c>
    </row>
    <row r="5324" spans="1:10" x14ac:dyDescent="0.3">
      <c r="A5324" t="s">
        <v>14696</v>
      </c>
      <c r="B5324" t="s">
        <v>29543</v>
      </c>
      <c r="C5324" t="s">
        <v>20489</v>
      </c>
      <c r="D5324" t="s">
        <v>22</v>
      </c>
      <c r="E5324" t="s">
        <v>14697</v>
      </c>
      <c r="F5324">
        <v>50</v>
      </c>
      <c r="G5324" t="s">
        <v>31</v>
      </c>
      <c r="H5324" t="s">
        <v>31</v>
      </c>
    </row>
    <row r="5325" spans="1:10" x14ac:dyDescent="0.3">
      <c r="A5325" t="s">
        <v>14698</v>
      </c>
      <c r="B5325" t="s">
        <v>29544</v>
      </c>
      <c r="C5325" t="s">
        <v>20486</v>
      </c>
      <c r="D5325" t="s">
        <v>22</v>
      </c>
      <c r="E5325" t="s">
        <v>7130</v>
      </c>
      <c r="F5325">
        <v>29</v>
      </c>
      <c r="G5325" t="s">
        <v>109</v>
      </c>
      <c r="H5325" t="s">
        <v>9788</v>
      </c>
      <c r="J5325" t="s">
        <v>7316</v>
      </c>
    </row>
    <row r="5326" spans="1:10" x14ac:dyDescent="0.3">
      <c r="A5326" t="s">
        <v>14699</v>
      </c>
      <c r="B5326" t="s">
        <v>29545</v>
      </c>
      <c r="C5326" t="s">
        <v>20486</v>
      </c>
      <c r="D5326" t="s">
        <v>22</v>
      </c>
      <c r="E5326" t="s">
        <v>14700</v>
      </c>
      <c r="F5326">
        <v>61</v>
      </c>
      <c r="G5326" t="s">
        <v>46</v>
      </c>
      <c r="H5326" t="s">
        <v>46</v>
      </c>
      <c r="I5326" t="s">
        <v>228</v>
      </c>
      <c r="J5326" t="s">
        <v>14701</v>
      </c>
    </row>
    <row r="5327" spans="1:10" x14ac:dyDescent="0.3">
      <c r="A5327" t="s">
        <v>14702</v>
      </c>
      <c r="B5327" t="s">
        <v>29546</v>
      </c>
      <c r="C5327" t="s">
        <v>20487</v>
      </c>
      <c r="D5327" t="s">
        <v>11</v>
      </c>
      <c r="E5327" t="s">
        <v>14703</v>
      </c>
      <c r="F5327">
        <v>43</v>
      </c>
      <c r="G5327" t="s">
        <v>1200</v>
      </c>
      <c r="H5327" t="s">
        <v>9788</v>
      </c>
      <c r="J5327" t="s">
        <v>14704</v>
      </c>
    </row>
    <row r="5328" spans="1:10" x14ac:dyDescent="0.3">
      <c r="A5328" t="s">
        <v>14705</v>
      </c>
      <c r="B5328" t="s">
        <v>29547</v>
      </c>
      <c r="C5328" t="s">
        <v>20486</v>
      </c>
      <c r="D5328" t="s">
        <v>11</v>
      </c>
      <c r="E5328" t="s">
        <v>14706</v>
      </c>
      <c r="F5328">
        <v>41</v>
      </c>
      <c r="G5328" t="s">
        <v>109</v>
      </c>
      <c r="H5328" t="s">
        <v>9788</v>
      </c>
      <c r="J5328" t="s">
        <v>14707</v>
      </c>
    </row>
    <row r="5329" spans="1:10" x14ac:dyDescent="0.3">
      <c r="A5329" t="s">
        <v>14708</v>
      </c>
      <c r="B5329" t="s">
        <v>29548</v>
      </c>
      <c r="C5329" t="s">
        <v>20486</v>
      </c>
      <c r="D5329" t="s">
        <v>22</v>
      </c>
      <c r="E5329" t="s">
        <v>3291</v>
      </c>
      <c r="F5329">
        <v>44</v>
      </c>
      <c r="G5329" t="s">
        <v>172</v>
      </c>
      <c r="H5329" t="s">
        <v>12099</v>
      </c>
      <c r="I5329" t="s">
        <v>1546</v>
      </c>
      <c r="J5329" t="s">
        <v>14709</v>
      </c>
    </row>
    <row r="5330" spans="1:10" x14ac:dyDescent="0.3">
      <c r="A5330" t="s">
        <v>14710</v>
      </c>
      <c r="B5330" t="s">
        <v>29549</v>
      </c>
      <c r="C5330" t="s">
        <v>20489</v>
      </c>
      <c r="D5330" t="s">
        <v>11</v>
      </c>
      <c r="E5330" t="s">
        <v>14711</v>
      </c>
      <c r="F5330">
        <v>51</v>
      </c>
      <c r="G5330" t="s">
        <v>109</v>
      </c>
      <c r="H5330" t="s">
        <v>9788</v>
      </c>
      <c r="I5330" t="s">
        <v>17</v>
      </c>
      <c r="J5330" t="s">
        <v>14712</v>
      </c>
    </row>
    <row r="5331" spans="1:10" x14ac:dyDescent="0.3">
      <c r="A5331" t="s">
        <v>14713</v>
      </c>
      <c r="B5331" t="s">
        <v>29550</v>
      </c>
      <c r="C5331" t="s">
        <v>20486</v>
      </c>
      <c r="D5331" t="s">
        <v>11</v>
      </c>
      <c r="E5331" t="s">
        <v>2820</v>
      </c>
      <c r="F5331">
        <v>43</v>
      </c>
      <c r="G5331" t="s">
        <v>109</v>
      </c>
      <c r="H5331" t="s">
        <v>9788</v>
      </c>
      <c r="I5331" t="s">
        <v>14714</v>
      </c>
      <c r="J5331" t="s">
        <v>14715</v>
      </c>
    </row>
    <row r="5332" spans="1:10" x14ac:dyDescent="0.3">
      <c r="A5332" t="s">
        <v>14717</v>
      </c>
      <c r="B5332" t="s">
        <v>29551</v>
      </c>
      <c r="C5332" t="s">
        <v>20489</v>
      </c>
      <c r="D5332" t="s">
        <v>22</v>
      </c>
      <c r="E5332" t="s">
        <v>14718</v>
      </c>
      <c r="F5332">
        <v>54</v>
      </c>
      <c r="G5332" t="s">
        <v>370</v>
      </c>
      <c r="H5332" t="s">
        <v>46</v>
      </c>
      <c r="I5332" t="s">
        <v>13918</v>
      </c>
      <c r="J5332" t="s">
        <v>14719</v>
      </c>
    </row>
    <row r="5333" spans="1:10" x14ac:dyDescent="0.3">
      <c r="A5333" t="s">
        <v>14720</v>
      </c>
      <c r="B5333" t="s">
        <v>29552</v>
      </c>
      <c r="C5333" t="s">
        <v>20488</v>
      </c>
      <c r="D5333" t="s">
        <v>22</v>
      </c>
      <c r="E5333" t="s">
        <v>14721</v>
      </c>
      <c r="F5333">
        <v>48</v>
      </c>
      <c r="G5333" t="s">
        <v>172</v>
      </c>
      <c r="H5333" t="s">
        <v>12099</v>
      </c>
      <c r="I5333" t="s">
        <v>1074</v>
      </c>
      <c r="J5333" t="s">
        <v>14722</v>
      </c>
    </row>
    <row r="5334" spans="1:10" x14ac:dyDescent="0.3">
      <c r="A5334" t="s">
        <v>14723</v>
      </c>
      <c r="B5334" t="s">
        <v>29553</v>
      </c>
      <c r="C5334" t="s">
        <v>20487</v>
      </c>
      <c r="D5334" t="s">
        <v>22</v>
      </c>
      <c r="E5334" t="s">
        <v>14724</v>
      </c>
      <c r="F5334">
        <v>40</v>
      </c>
      <c r="G5334" t="s">
        <v>172</v>
      </c>
      <c r="H5334" t="s">
        <v>12099</v>
      </c>
      <c r="I5334" t="s">
        <v>101</v>
      </c>
      <c r="J5334" t="s">
        <v>12189</v>
      </c>
    </row>
    <row r="5335" spans="1:10" x14ac:dyDescent="0.3">
      <c r="A5335" t="s">
        <v>14725</v>
      </c>
      <c r="B5335" t="s">
        <v>29554</v>
      </c>
      <c r="C5335" t="s">
        <v>20486</v>
      </c>
      <c r="D5335" t="s">
        <v>11</v>
      </c>
      <c r="E5335" t="s">
        <v>14726</v>
      </c>
      <c r="F5335">
        <v>56</v>
      </c>
    </row>
    <row r="5336" spans="1:10" x14ac:dyDescent="0.3">
      <c r="A5336" t="s">
        <v>14727</v>
      </c>
      <c r="B5336" t="s">
        <v>29555</v>
      </c>
      <c r="C5336" t="s">
        <v>20490</v>
      </c>
      <c r="D5336" t="s">
        <v>22</v>
      </c>
      <c r="E5336" t="s">
        <v>9477</v>
      </c>
      <c r="F5336">
        <v>51</v>
      </c>
      <c r="G5336" t="s">
        <v>133</v>
      </c>
      <c r="H5336" t="s">
        <v>9789</v>
      </c>
    </row>
    <row r="5337" spans="1:10" x14ac:dyDescent="0.3">
      <c r="A5337" t="s">
        <v>14728</v>
      </c>
      <c r="B5337" t="s">
        <v>29556</v>
      </c>
      <c r="C5337" t="s">
        <v>20491</v>
      </c>
      <c r="D5337" t="s">
        <v>22</v>
      </c>
      <c r="E5337" t="s">
        <v>14729</v>
      </c>
      <c r="F5337">
        <v>41</v>
      </c>
      <c r="G5337" t="s">
        <v>46</v>
      </c>
      <c r="H5337" t="s">
        <v>46</v>
      </c>
      <c r="I5337" t="s">
        <v>228</v>
      </c>
    </row>
    <row r="5338" spans="1:10" x14ac:dyDescent="0.3">
      <c r="A5338" t="s">
        <v>14730</v>
      </c>
      <c r="B5338" t="s">
        <v>29557</v>
      </c>
      <c r="C5338" t="s">
        <v>20490</v>
      </c>
      <c r="D5338" t="s">
        <v>11</v>
      </c>
      <c r="E5338" t="s">
        <v>4361</v>
      </c>
      <c r="F5338">
        <v>39</v>
      </c>
      <c r="G5338" t="s">
        <v>370</v>
      </c>
      <c r="H5338" t="s">
        <v>46</v>
      </c>
      <c r="I5338" t="s">
        <v>908</v>
      </c>
    </row>
    <row r="5339" spans="1:10" x14ac:dyDescent="0.3">
      <c r="A5339" t="s">
        <v>14731</v>
      </c>
      <c r="B5339" t="s">
        <v>29558</v>
      </c>
      <c r="C5339" t="s">
        <v>20486</v>
      </c>
      <c r="D5339" t="s">
        <v>11</v>
      </c>
      <c r="E5339" t="s">
        <v>9409</v>
      </c>
      <c r="F5339">
        <v>31</v>
      </c>
      <c r="G5339" t="s">
        <v>109</v>
      </c>
      <c r="H5339" t="s">
        <v>9787</v>
      </c>
      <c r="I5339" t="s">
        <v>18857</v>
      </c>
      <c r="J5339" t="s">
        <v>14732</v>
      </c>
    </row>
    <row r="5340" spans="1:10" x14ac:dyDescent="0.3">
      <c r="A5340" t="s">
        <v>14733</v>
      </c>
      <c r="B5340" t="s">
        <v>29559</v>
      </c>
      <c r="C5340" t="s">
        <v>20486</v>
      </c>
      <c r="D5340" t="s">
        <v>11</v>
      </c>
      <c r="E5340" t="s">
        <v>14734</v>
      </c>
      <c r="F5340">
        <v>40</v>
      </c>
      <c r="G5340" t="s">
        <v>109</v>
      </c>
      <c r="H5340" t="s">
        <v>9788</v>
      </c>
      <c r="I5340" t="s">
        <v>377</v>
      </c>
      <c r="J5340" t="s">
        <v>13787</v>
      </c>
    </row>
    <row r="5341" spans="1:10" x14ac:dyDescent="0.3">
      <c r="A5341" t="s">
        <v>14735</v>
      </c>
      <c r="B5341" t="s">
        <v>29560</v>
      </c>
      <c r="C5341" t="s">
        <v>20486</v>
      </c>
      <c r="D5341" t="s">
        <v>11</v>
      </c>
      <c r="E5341" t="s">
        <v>14736</v>
      </c>
      <c r="F5341">
        <v>32</v>
      </c>
      <c r="G5341" t="s">
        <v>133</v>
      </c>
      <c r="H5341" t="s">
        <v>9788</v>
      </c>
      <c r="I5341" t="s">
        <v>14737</v>
      </c>
    </row>
    <row r="5342" spans="1:10" x14ac:dyDescent="0.3">
      <c r="A5342" t="s">
        <v>14738</v>
      </c>
      <c r="B5342" t="s">
        <v>29561</v>
      </c>
      <c r="C5342" t="s">
        <v>20489</v>
      </c>
      <c r="D5342" t="s">
        <v>22</v>
      </c>
      <c r="E5342" t="s">
        <v>14739</v>
      </c>
      <c r="F5342">
        <v>39</v>
      </c>
      <c r="G5342" t="s">
        <v>370</v>
      </c>
      <c r="H5342" t="s">
        <v>46</v>
      </c>
      <c r="I5342" t="s">
        <v>13918</v>
      </c>
      <c r="J5342" t="s">
        <v>12984</v>
      </c>
    </row>
    <row r="5343" spans="1:10" x14ac:dyDescent="0.3">
      <c r="A5343" t="s">
        <v>14740</v>
      </c>
      <c r="B5343" t="s">
        <v>29562</v>
      </c>
      <c r="C5343" t="s">
        <v>20486</v>
      </c>
      <c r="D5343" t="s">
        <v>22</v>
      </c>
      <c r="E5343" t="s">
        <v>9738</v>
      </c>
      <c r="F5343">
        <v>18</v>
      </c>
      <c r="G5343" t="s">
        <v>337</v>
      </c>
      <c r="H5343" t="s">
        <v>337</v>
      </c>
      <c r="I5343" t="s">
        <v>17</v>
      </c>
      <c r="J5343" t="s">
        <v>14319</v>
      </c>
    </row>
    <row r="5344" spans="1:10" x14ac:dyDescent="0.3">
      <c r="A5344" t="s">
        <v>14741</v>
      </c>
      <c r="B5344" t="s">
        <v>29563</v>
      </c>
      <c r="C5344" t="s">
        <v>20486</v>
      </c>
      <c r="D5344" t="s">
        <v>22</v>
      </c>
      <c r="E5344" t="s">
        <v>14742</v>
      </c>
      <c r="F5344">
        <v>55</v>
      </c>
      <c r="G5344" t="s">
        <v>46</v>
      </c>
      <c r="H5344" t="s">
        <v>46</v>
      </c>
      <c r="I5344" t="s">
        <v>14743</v>
      </c>
      <c r="J5344" t="s">
        <v>14744</v>
      </c>
    </row>
    <row r="5345" spans="1:10" x14ac:dyDescent="0.3">
      <c r="A5345" t="s">
        <v>14745</v>
      </c>
      <c r="B5345" t="s">
        <v>29564</v>
      </c>
      <c r="C5345" t="s">
        <v>20486</v>
      </c>
      <c r="D5345" t="s">
        <v>22</v>
      </c>
      <c r="E5345" t="s">
        <v>14746</v>
      </c>
      <c r="F5345">
        <v>31</v>
      </c>
      <c r="G5345" t="s">
        <v>46</v>
      </c>
      <c r="H5345" t="s">
        <v>46</v>
      </c>
      <c r="I5345" t="s">
        <v>1388</v>
      </c>
      <c r="J5345" t="s">
        <v>14747</v>
      </c>
    </row>
    <row r="5346" spans="1:10" x14ac:dyDescent="0.3">
      <c r="A5346" t="s">
        <v>14748</v>
      </c>
      <c r="B5346" t="s">
        <v>29565</v>
      </c>
      <c r="C5346" t="s">
        <v>20486</v>
      </c>
      <c r="D5346" t="s">
        <v>11</v>
      </c>
      <c r="E5346" t="s">
        <v>14749</v>
      </c>
      <c r="F5346">
        <v>23</v>
      </c>
      <c r="G5346" t="s">
        <v>109</v>
      </c>
      <c r="H5346" t="s">
        <v>9788</v>
      </c>
      <c r="J5346" t="s">
        <v>14750</v>
      </c>
    </row>
    <row r="5347" spans="1:10" x14ac:dyDescent="0.3">
      <c r="A5347" t="s">
        <v>14751</v>
      </c>
      <c r="B5347" t="s">
        <v>29566</v>
      </c>
      <c r="C5347" t="s">
        <v>20490</v>
      </c>
      <c r="D5347" t="s">
        <v>22</v>
      </c>
      <c r="E5347" t="s">
        <v>14752</v>
      </c>
      <c r="F5347">
        <v>45</v>
      </c>
      <c r="G5347" t="s">
        <v>133</v>
      </c>
      <c r="H5347" t="s">
        <v>9789</v>
      </c>
      <c r="I5347" t="s">
        <v>237</v>
      </c>
    </row>
    <row r="5348" spans="1:10" x14ac:dyDescent="0.3">
      <c r="A5348" t="s">
        <v>14753</v>
      </c>
      <c r="B5348" t="s">
        <v>29567</v>
      </c>
      <c r="C5348" t="s">
        <v>20488</v>
      </c>
      <c r="D5348" t="s">
        <v>22</v>
      </c>
      <c r="E5348" t="s">
        <v>14754</v>
      </c>
      <c r="F5348">
        <v>39</v>
      </c>
      <c r="G5348" t="s">
        <v>16</v>
      </c>
      <c r="H5348" t="s">
        <v>9785</v>
      </c>
      <c r="I5348" t="s">
        <v>17</v>
      </c>
      <c r="J5348" t="s">
        <v>1987</v>
      </c>
    </row>
    <row r="5349" spans="1:10" x14ac:dyDescent="0.3">
      <c r="A5349" t="s">
        <v>14755</v>
      </c>
      <c r="B5349" t="s">
        <v>29568</v>
      </c>
      <c r="C5349" t="s">
        <v>20487</v>
      </c>
      <c r="D5349" t="s">
        <v>22</v>
      </c>
      <c r="E5349" t="s">
        <v>6485</v>
      </c>
      <c r="F5349">
        <v>47</v>
      </c>
      <c r="G5349" t="s">
        <v>172</v>
      </c>
      <c r="H5349" t="s">
        <v>12099</v>
      </c>
      <c r="I5349" t="s">
        <v>101</v>
      </c>
      <c r="J5349" t="s">
        <v>1624</v>
      </c>
    </row>
    <row r="5350" spans="1:10" x14ac:dyDescent="0.3">
      <c r="A5350" t="s">
        <v>14756</v>
      </c>
      <c r="B5350" t="s">
        <v>29569</v>
      </c>
      <c r="C5350" t="s">
        <v>20488</v>
      </c>
      <c r="D5350" t="s">
        <v>22</v>
      </c>
      <c r="E5350" t="s">
        <v>14757</v>
      </c>
      <c r="F5350">
        <v>56</v>
      </c>
      <c r="G5350" t="s">
        <v>16</v>
      </c>
      <c r="H5350" t="s">
        <v>9785</v>
      </c>
    </row>
    <row r="5351" spans="1:10" x14ac:dyDescent="0.3">
      <c r="A5351" t="s">
        <v>14758</v>
      </c>
      <c r="B5351" t="s">
        <v>29570</v>
      </c>
      <c r="C5351" t="s">
        <v>20486</v>
      </c>
      <c r="D5351" t="s">
        <v>22</v>
      </c>
      <c r="E5351" t="s">
        <v>9784</v>
      </c>
      <c r="F5351">
        <v>27</v>
      </c>
      <c r="G5351" t="s">
        <v>46</v>
      </c>
      <c r="H5351" t="s">
        <v>46</v>
      </c>
      <c r="I5351" t="s">
        <v>1828</v>
      </c>
      <c r="J5351" t="s">
        <v>14759</v>
      </c>
    </row>
    <row r="5352" spans="1:10" x14ac:dyDescent="0.3">
      <c r="A5352" t="s">
        <v>14760</v>
      </c>
      <c r="B5352" t="s">
        <v>29571</v>
      </c>
      <c r="C5352" t="s">
        <v>20490</v>
      </c>
      <c r="D5352" t="s">
        <v>11</v>
      </c>
      <c r="E5352" t="s">
        <v>14761</v>
      </c>
      <c r="F5352">
        <v>27</v>
      </c>
      <c r="G5352" t="s">
        <v>370</v>
      </c>
      <c r="H5352" t="s">
        <v>46</v>
      </c>
      <c r="I5352" t="s">
        <v>228</v>
      </c>
    </row>
    <row r="5353" spans="1:10" x14ac:dyDescent="0.3">
      <c r="A5353" t="s">
        <v>14762</v>
      </c>
      <c r="B5353" t="s">
        <v>29572</v>
      </c>
      <c r="C5353" t="s">
        <v>20486</v>
      </c>
      <c r="D5353" t="s">
        <v>11</v>
      </c>
      <c r="E5353" t="s">
        <v>14763</v>
      </c>
      <c r="F5353">
        <v>21</v>
      </c>
      <c r="G5353" t="s">
        <v>337</v>
      </c>
      <c r="H5353" t="s">
        <v>337</v>
      </c>
      <c r="J5353" t="s">
        <v>14764</v>
      </c>
    </row>
    <row r="5354" spans="1:10" x14ac:dyDescent="0.3">
      <c r="A5354" t="s">
        <v>14765</v>
      </c>
      <c r="B5354" t="s">
        <v>29573</v>
      </c>
      <c r="C5354" t="s">
        <v>20488</v>
      </c>
      <c r="D5354" t="s">
        <v>22</v>
      </c>
      <c r="E5354" t="s">
        <v>14766</v>
      </c>
      <c r="F5354">
        <v>32</v>
      </c>
      <c r="G5354" t="s">
        <v>46</v>
      </c>
      <c r="H5354" t="s">
        <v>46</v>
      </c>
      <c r="I5354" t="s">
        <v>228</v>
      </c>
    </row>
    <row r="5355" spans="1:10" x14ac:dyDescent="0.3">
      <c r="A5355" t="s">
        <v>14767</v>
      </c>
      <c r="B5355" t="s">
        <v>29574</v>
      </c>
      <c r="C5355" t="s">
        <v>20487</v>
      </c>
      <c r="D5355" t="s">
        <v>11</v>
      </c>
      <c r="E5355" t="s">
        <v>14768</v>
      </c>
      <c r="F5355">
        <v>52</v>
      </c>
      <c r="G5355" t="s">
        <v>109</v>
      </c>
      <c r="H5355" t="s">
        <v>9788</v>
      </c>
    </row>
    <row r="5356" spans="1:10" x14ac:dyDescent="0.3">
      <c r="A5356" t="s">
        <v>14769</v>
      </c>
      <c r="B5356" t="s">
        <v>29575</v>
      </c>
      <c r="C5356" t="s">
        <v>20487</v>
      </c>
      <c r="D5356" t="s">
        <v>22</v>
      </c>
      <c r="E5356" t="s">
        <v>14770</v>
      </c>
      <c r="F5356">
        <v>24</v>
      </c>
      <c r="G5356" t="s">
        <v>46</v>
      </c>
      <c r="H5356" t="s">
        <v>46</v>
      </c>
      <c r="I5356" t="s">
        <v>13094</v>
      </c>
    </row>
    <row r="5357" spans="1:10" x14ac:dyDescent="0.3">
      <c r="A5357" t="s">
        <v>14771</v>
      </c>
      <c r="B5357" t="s">
        <v>29576</v>
      </c>
      <c r="C5357" t="s">
        <v>20487</v>
      </c>
      <c r="D5357" t="s">
        <v>22</v>
      </c>
      <c r="E5357" t="s">
        <v>14772</v>
      </c>
      <c r="F5357">
        <v>49</v>
      </c>
      <c r="G5357" t="s">
        <v>31</v>
      </c>
      <c r="H5357" t="s">
        <v>31</v>
      </c>
    </row>
    <row r="5358" spans="1:10" x14ac:dyDescent="0.3">
      <c r="A5358" t="s">
        <v>14773</v>
      </c>
      <c r="B5358" t="s">
        <v>29577</v>
      </c>
      <c r="C5358" t="s">
        <v>20487</v>
      </c>
      <c r="D5358" t="s">
        <v>22</v>
      </c>
      <c r="E5358" t="s">
        <v>14774</v>
      </c>
      <c r="F5358">
        <v>45</v>
      </c>
      <c r="G5358" t="s">
        <v>31</v>
      </c>
      <c r="H5358" t="s">
        <v>31</v>
      </c>
    </row>
    <row r="5359" spans="1:10" x14ac:dyDescent="0.3">
      <c r="A5359" t="s">
        <v>14775</v>
      </c>
      <c r="B5359" t="s">
        <v>29578</v>
      </c>
      <c r="C5359" t="s">
        <v>20487</v>
      </c>
      <c r="D5359" t="s">
        <v>22</v>
      </c>
      <c r="E5359" t="s">
        <v>853</v>
      </c>
      <c r="F5359">
        <v>47</v>
      </c>
      <c r="G5359" t="s">
        <v>31</v>
      </c>
      <c r="H5359" t="s">
        <v>31</v>
      </c>
    </row>
    <row r="5360" spans="1:10" x14ac:dyDescent="0.3">
      <c r="A5360" t="s">
        <v>14776</v>
      </c>
      <c r="B5360" t="s">
        <v>29579</v>
      </c>
      <c r="C5360" t="s">
        <v>20486</v>
      </c>
      <c r="D5360" t="s">
        <v>22</v>
      </c>
      <c r="E5360" t="s">
        <v>9657</v>
      </c>
      <c r="F5360">
        <v>20</v>
      </c>
      <c r="G5360" t="s">
        <v>109</v>
      </c>
      <c r="H5360" t="s">
        <v>9788</v>
      </c>
      <c r="I5360" t="s">
        <v>14777</v>
      </c>
      <c r="J5360" t="s">
        <v>14778</v>
      </c>
    </row>
    <row r="5361" spans="1:10" x14ac:dyDescent="0.3">
      <c r="A5361" t="s">
        <v>14779</v>
      </c>
      <c r="B5361" t="s">
        <v>29580</v>
      </c>
      <c r="C5361" t="s">
        <v>20489</v>
      </c>
      <c r="D5361" t="s">
        <v>22</v>
      </c>
      <c r="E5361" t="s">
        <v>14780</v>
      </c>
      <c r="F5361">
        <v>59</v>
      </c>
      <c r="G5361" t="s">
        <v>370</v>
      </c>
      <c r="H5361" t="s">
        <v>46</v>
      </c>
      <c r="I5361" t="s">
        <v>228</v>
      </c>
      <c r="J5361" t="s">
        <v>14781</v>
      </c>
    </row>
    <row r="5362" spans="1:10" x14ac:dyDescent="0.3">
      <c r="A5362" t="s">
        <v>14783</v>
      </c>
      <c r="B5362" t="s">
        <v>29581</v>
      </c>
      <c r="C5362" t="s">
        <v>20489</v>
      </c>
      <c r="D5362" t="s">
        <v>22</v>
      </c>
      <c r="E5362" t="s">
        <v>14784</v>
      </c>
      <c r="F5362">
        <v>49</v>
      </c>
      <c r="G5362" t="s">
        <v>370</v>
      </c>
      <c r="H5362" t="s">
        <v>46</v>
      </c>
      <c r="I5362" t="s">
        <v>228</v>
      </c>
    </row>
    <row r="5363" spans="1:10" x14ac:dyDescent="0.3">
      <c r="A5363" t="s">
        <v>14785</v>
      </c>
      <c r="B5363" t="s">
        <v>29582</v>
      </c>
      <c r="C5363" t="s">
        <v>20489</v>
      </c>
      <c r="D5363" t="s">
        <v>22</v>
      </c>
      <c r="E5363" t="s">
        <v>14786</v>
      </c>
      <c r="F5363">
        <v>48</v>
      </c>
      <c r="G5363" t="s">
        <v>370</v>
      </c>
      <c r="H5363" t="s">
        <v>46</v>
      </c>
      <c r="I5363" t="s">
        <v>228</v>
      </c>
    </row>
    <row r="5364" spans="1:10" x14ac:dyDescent="0.3">
      <c r="A5364" t="s">
        <v>14788</v>
      </c>
      <c r="B5364" t="s">
        <v>29583</v>
      </c>
      <c r="C5364" t="s">
        <v>20490</v>
      </c>
      <c r="D5364" t="s">
        <v>22</v>
      </c>
      <c r="E5364" t="s">
        <v>14789</v>
      </c>
      <c r="F5364">
        <v>55</v>
      </c>
      <c r="G5364" t="s">
        <v>370</v>
      </c>
      <c r="H5364" t="s">
        <v>46</v>
      </c>
    </row>
    <row r="5365" spans="1:10" x14ac:dyDescent="0.3">
      <c r="A5365" t="s">
        <v>14790</v>
      </c>
      <c r="B5365" t="s">
        <v>29584</v>
      </c>
      <c r="C5365" t="s">
        <v>20490</v>
      </c>
      <c r="D5365" t="s">
        <v>22</v>
      </c>
      <c r="E5365" t="s">
        <v>14791</v>
      </c>
      <c r="F5365">
        <v>37</v>
      </c>
      <c r="G5365" t="s">
        <v>31</v>
      </c>
      <c r="H5365" t="s">
        <v>31</v>
      </c>
    </row>
    <row r="5366" spans="1:10" x14ac:dyDescent="0.3">
      <c r="A5366" t="s">
        <v>14792</v>
      </c>
      <c r="B5366" t="s">
        <v>29585</v>
      </c>
      <c r="C5366" t="s">
        <v>20489</v>
      </c>
      <c r="D5366" t="s">
        <v>22</v>
      </c>
      <c r="E5366" t="s">
        <v>14793</v>
      </c>
      <c r="F5366">
        <v>45</v>
      </c>
      <c r="G5366" t="s">
        <v>370</v>
      </c>
      <c r="H5366" t="s">
        <v>46</v>
      </c>
      <c r="I5366" t="s">
        <v>228</v>
      </c>
    </row>
    <row r="5367" spans="1:10" x14ac:dyDescent="0.3">
      <c r="A5367" t="s">
        <v>14794</v>
      </c>
      <c r="B5367" t="s">
        <v>29586</v>
      </c>
      <c r="C5367" t="s">
        <v>20489</v>
      </c>
      <c r="D5367" t="s">
        <v>22</v>
      </c>
      <c r="E5367" t="s">
        <v>14795</v>
      </c>
      <c r="F5367">
        <v>53</v>
      </c>
      <c r="G5367" t="s">
        <v>370</v>
      </c>
      <c r="H5367" t="s">
        <v>46</v>
      </c>
      <c r="I5367" t="s">
        <v>228</v>
      </c>
    </row>
    <row r="5368" spans="1:10" x14ac:dyDescent="0.3">
      <c r="A5368" t="s">
        <v>14796</v>
      </c>
      <c r="B5368" t="s">
        <v>29587</v>
      </c>
      <c r="C5368" t="s">
        <v>20489</v>
      </c>
      <c r="D5368" t="s">
        <v>22</v>
      </c>
      <c r="E5368" t="s">
        <v>14797</v>
      </c>
      <c r="F5368">
        <v>55</v>
      </c>
      <c r="G5368" t="s">
        <v>370</v>
      </c>
      <c r="H5368" t="s">
        <v>46</v>
      </c>
      <c r="I5368" t="s">
        <v>14798</v>
      </c>
    </row>
    <row r="5369" spans="1:10" x14ac:dyDescent="0.3">
      <c r="A5369" t="s">
        <v>14799</v>
      </c>
      <c r="B5369" t="s">
        <v>29588</v>
      </c>
      <c r="C5369" t="s">
        <v>20486</v>
      </c>
      <c r="D5369" t="s">
        <v>22</v>
      </c>
      <c r="E5369" t="s">
        <v>7945</v>
      </c>
      <c r="F5369">
        <v>43</v>
      </c>
      <c r="G5369" t="s">
        <v>31</v>
      </c>
      <c r="H5369" t="s">
        <v>31</v>
      </c>
    </row>
    <row r="5370" spans="1:10" x14ac:dyDescent="0.3">
      <c r="A5370" t="s">
        <v>14800</v>
      </c>
      <c r="B5370" t="s">
        <v>29589</v>
      </c>
      <c r="C5370" t="s">
        <v>20491</v>
      </c>
      <c r="D5370" t="s">
        <v>22</v>
      </c>
      <c r="E5370" t="s">
        <v>12765</v>
      </c>
      <c r="F5370">
        <v>63</v>
      </c>
      <c r="G5370" t="s">
        <v>24</v>
      </c>
      <c r="H5370" t="s">
        <v>9789</v>
      </c>
    </row>
    <row r="5371" spans="1:10" x14ac:dyDescent="0.3">
      <c r="A5371" t="s">
        <v>14801</v>
      </c>
      <c r="B5371" t="s">
        <v>29590</v>
      </c>
      <c r="C5371" t="s">
        <v>20486</v>
      </c>
      <c r="D5371" t="s">
        <v>22</v>
      </c>
      <c r="E5371" t="s">
        <v>14802</v>
      </c>
      <c r="F5371">
        <v>45</v>
      </c>
      <c r="G5371" t="s">
        <v>172</v>
      </c>
      <c r="H5371" t="s">
        <v>12099</v>
      </c>
      <c r="I5371" t="s">
        <v>17</v>
      </c>
      <c r="J5371" t="s">
        <v>14803</v>
      </c>
    </row>
    <row r="5372" spans="1:10" x14ac:dyDescent="0.3">
      <c r="A5372" t="s">
        <v>14805</v>
      </c>
      <c r="B5372" t="s">
        <v>29591</v>
      </c>
      <c r="C5372" t="s">
        <v>20488</v>
      </c>
      <c r="D5372" t="s">
        <v>22</v>
      </c>
      <c r="E5372" t="s">
        <v>1710</v>
      </c>
      <c r="F5372">
        <v>48</v>
      </c>
      <c r="G5372" t="s">
        <v>16</v>
      </c>
      <c r="H5372" t="s">
        <v>9785</v>
      </c>
      <c r="I5372" t="s">
        <v>17</v>
      </c>
      <c r="J5372" t="s">
        <v>14806</v>
      </c>
    </row>
    <row r="5373" spans="1:10" x14ac:dyDescent="0.3">
      <c r="A5373" t="s">
        <v>14807</v>
      </c>
      <c r="B5373" t="s">
        <v>29592</v>
      </c>
      <c r="C5373" t="s">
        <v>20488</v>
      </c>
      <c r="D5373" t="s">
        <v>22</v>
      </c>
      <c r="E5373" t="s">
        <v>14808</v>
      </c>
      <c r="F5373">
        <v>31</v>
      </c>
      <c r="G5373" t="s">
        <v>109</v>
      </c>
      <c r="H5373" t="s">
        <v>9788</v>
      </c>
      <c r="I5373" t="s">
        <v>1074</v>
      </c>
    </row>
    <row r="5374" spans="1:10" x14ac:dyDescent="0.3">
      <c r="A5374" t="s">
        <v>14809</v>
      </c>
      <c r="B5374" t="s">
        <v>29593</v>
      </c>
      <c r="C5374" t="s">
        <v>20486</v>
      </c>
      <c r="D5374" t="s">
        <v>22</v>
      </c>
      <c r="E5374" t="s">
        <v>9530</v>
      </c>
      <c r="F5374">
        <v>34</v>
      </c>
      <c r="G5374" t="s">
        <v>31</v>
      </c>
      <c r="H5374" t="s">
        <v>31</v>
      </c>
    </row>
    <row r="5375" spans="1:10" x14ac:dyDescent="0.3">
      <c r="A5375" t="s">
        <v>14810</v>
      </c>
      <c r="B5375" t="s">
        <v>29594</v>
      </c>
      <c r="C5375" t="s">
        <v>20490</v>
      </c>
      <c r="D5375" t="s">
        <v>22</v>
      </c>
      <c r="E5375" t="s">
        <v>3497</v>
      </c>
      <c r="F5375">
        <v>50</v>
      </c>
      <c r="G5375" t="s">
        <v>540</v>
      </c>
      <c r="H5375" t="s">
        <v>12074</v>
      </c>
    </row>
    <row r="5376" spans="1:10" x14ac:dyDescent="0.3">
      <c r="A5376" t="s">
        <v>14811</v>
      </c>
      <c r="B5376" t="s">
        <v>29595</v>
      </c>
      <c r="C5376" t="s">
        <v>20490</v>
      </c>
      <c r="D5376" t="s">
        <v>11</v>
      </c>
      <c r="E5376" t="s">
        <v>14812</v>
      </c>
      <c r="F5376">
        <v>59</v>
      </c>
      <c r="G5376" t="s">
        <v>540</v>
      </c>
      <c r="H5376" t="s">
        <v>12074</v>
      </c>
    </row>
    <row r="5377" spans="1:10" x14ac:dyDescent="0.3">
      <c r="A5377" t="s">
        <v>14813</v>
      </c>
      <c r="B5377" t="s">
        <v>29596</v>
      </c>
      <c r="C5377" t="s">
        <v>20490</v>
      </c>
      <c r="D5377" t="s">
        <v>22</v>
      </c>
      <c r="E5377" t="s">
        <v>18858</v>
      </c>
      <c r="F5377">
        <v>48</v>
      </c>
      <c r="G5377" t="s">
        <v>5373</v>
      </c>
      <c r="H5377" t="s">
        <v>12074</v>
      </c>
    </row>
    <row r="5378" spans="1:10" x14ac:dyDescent="0.3">
      <c r="A5378" t="s">
        <v>14814</v>
      </c>
      <c r="B5378" t="s">
        <v>29597</v>
      </c>
      <c r="C5378" t="s">
        <v>20490</v>
      </c>
      <c r="D5378" t="s">
        <v>22</v>
      </c>
      <c r="E5378" t="s">
        <v>14815</v>
      </c>
      <c r="F5378">
        <v>44</v>
      </c>
      <c r="G5378" t="s">
        <v>31</v>
      </c>
      <c r="H5378" t="s">
        <v>31</v>
      </c>
    </row>
    <row r="5379" spans="1:10" x14ac:dyDescent="0.3">
      <c r="A5379" t="s">
        <v>14816</v>
      </c>
      <c r="B5379" t="s">
        <v>29598</v>
      </c>
      <c r="C5379" t="s">
        <v>20490</v>
      </c>
      <c r="D5379" t="s">
        <v>11</v>
      </c>
      <c r="E5379" t="s">
        <v>14817</v>
      </c>
      <c r="F5379">
        <v>57</v>
      </c>
      <c r="G5379" t="s">
        <v>540</v>
      </c>
      <c r="H5379" t="s">
        <v>12074</v>
      </c>
    </row>
    <row r="5380" spans="1:10" x14ac:dyDescent="0.3">
      <c r="A5380" t="s">
        <v>14818</v>
      </c>
      <c r="B5380" t="s">
        <v>29599</v>
      </c>
      <c r="C5380" t="s">
        <v>20490</v>
      </c>
      <c r="D5380" t="s">
        <v>22</v>
      </c>
      <c r="E5380" t="s">
        <v>14819</v>
      </c>
      <c r="F5380">
        <v>56</v>
      </c>
      <c r="G5380" t="s">
        <v>243</v>
      </c>
      <c r="H5380" t="s">
        <v>243</v>
      </c>
    </row>
    <row r="5381" spans="1:10" x14ac:dyDescent="0.3">
      <c r="A5381" t="s">
        <v>14820</v>
      </c>
      <c r="B5381" t="s">
        <v>29600</v>
      </c>
      <c r="C5381" t="s">
        <v>20490</v>
      </c>
      <c r="D5381" t="s">
        <v>22</v>
      </c>
      <c r="E5381" t="s">
        <v>1436</v>
      </c>
      <c r="F5381">
        <v>69</v>
      </c>
      <c r="G5381" t="s">
        <v>31</v>
      </c>
      <c r="H5381" t="s">
        <v>31</v>
      </c>
    </row>
    <row r="5382" spans="1:10" x14ac:dyDescent="0.3">
      <c r="A5382" t="s">
        <v>14821</v>
      </c>
      <c r="B5382" t="s">
        <v>29601</v>
      </c>
      <c r="C5382" t="s">
        <v>20487</v>
      </c>
      <c r="D5382" t="s">
        <v>11</v>
      </c>
      <c r="E5382" t="s">
        <v>14822</v>
      </c>
      <c r="F5382">
        <v>56</v>
      </c>
      <c r="G5382" t="s">
        <v>109</v>
      </c>
      <c r="H5382" t="s">
        <v>9788</v>
      </c>
      <c r="I5382" t="s">
        <v>14823</v>
      </c>
      <c r="J5382" t="s">
        <v>14385</v>
      </c>
    </row>
    <row r="5383" spans="1:10" x14ac:dyDescent="0.3">
      <c r="A5383" t="s">
        <v>14824</v>
      </c>
      <c r="B5383" t="s">
        <v>29602</v>
      </c>
      <c r="C5383" t="s">
        <v>20491</v>
      </c>
      <c r="D5383" t="s">
        <v>22</v>
      </c>
      <c r="E5383" t="s">
        <v>14825</v>
      </c>
      <c r="F5383">
        <v>43</v>
      </c>
      <c r="G5383" t="s">
        <v>172</v>
      </c>
      <c r="H5383" t="s">
        <v>12099</v>
      </c>
      <c r="J5383" t="s">
        <v>14826</v>
      </c>
    </row>
    <row r="5384" spans="1:10" x14ac:dyDescent="0.3">
      <c r="A5384" t="s">
        <v>14827</v>
      </c>
      <c r="B5384" t="s">
        <v>29603</v>
      </c>
      <c r="C5384" t="s">
        <v>20491</v>
      </c>
      <c r="D5384" t="s">
        <v>22</v>
      </c>
      <c r="E5384" t="s">
        <v>14828</v>
      </c>
      <c r="F5384">
        <v>42</v>
      </c>
      <c r="G5384" t="s">
        <v>46</v>
      </c>
      <c r="H5384" t="s">
        <v>46</v>
      </c>
    </row>
    <row r="5385" spans="1:10" x14ac:dyDescent="0.3">
      <c r="A5385" t="s">
        <v>14829</v>
      </c>
      <c r="B5385" t="s">
        <v>29604</v>
      </c>
      <c r="C5385" t="s">
        <v>20486</v>
      </c>
      <c r="D5385" t="s">
        <v>22</v>
      </c>
      <c r="E5385" t="s">
        <v>7019</v>
      </c>
      <c r="F5385">
        <v>20</v>
      </c>
      <c r="G5385" t="s">
        <v>109</v>
      </c>
      <c r="H5385" t="s">
        <v>9788</v>
      </c>
      <c r="I5385" t="s">
        <v>12371</v>
      </c>
      <c r="J5385" t="s">
        <v>901</v>
      </c>
    </row>
    <row r="5386" spans="1:10" x14ac:dyDescent="0.3">
      <c r="A5386" t="s">
        <v>14830</v>
      </c>
      <c r="B5386" t="s">
        <v>29605</v>
      </c>
      <c r="C5386" t="s">
        <v>20486</v>
      </c>
      <c r="D5386" t="s">
        <v>22</v>
      </c>
      <c r="E5386" t="s">
        <v>5601</v>
      </c>
      <c r="F5386">
        <v>39</v>
      </c>
      <c r="G5386" t="s">
        <v>46</v>
      </c>
      <c r="H5386" t="s">
        <v>46</v>
      </c>
      <c r="I5386" t="s">
        <v>220</v>
      </c>
      <c r="J5386" t="s">
        <v>14831</v>
      </c>
    </row>
    <row r="5387" spans="1:10" x14ac:dyDescent="0.3">
      <c r="A5387" t="s">
        <v>14832</v>
      </c>
      <c r="B5387" t="s">
        <v>29606</v>
      </c>
      <c r="C5387" t="s">
        <v>20486</v>
      </c>
      <c r="D5387" t="s">
        <v>11</v>
      </c>
      <c r="E5387" t="s">
        <v>14833</v>
      </c>
      <c r="F5387">
        <v>59</v>
      </c>
      <c r="G5387" t="s">
        <v>46</v>
      </c>
      <c r="H5387" t="s">
        <v>46</v>
      </c>
      <c r="I5387" t="s">
        <v>14834</v>
      </c>
      <c r="J5387" t="s">
        <v>14835</v>
      </c>
    </row>
    <row r="5388" spans="1:10" x14ac:dyDescent="0.3">
      <c r="A5388" t="s">
        <v>14836</v>
      </c>
      <c r="B5388" t="s">
        <v>29607</v>
      </c>
      <c r="C5388" t="s">
        <v>20486</v>
      </c>
      <c r="D5388" t="s">
        <v>11</v>
      </c>
      <c r="E5388" t="s">
        <v>14837</v>
      </c>
      <c r="F5388">
        <v>51</v>
      </c>
      <c r="G5388" t="s">
        <v>46</v>
      </c>
      <c r="H5388" t="s">
        <v>46</v>
      </c>
      <c r="J5388" t="s">
        <v>14838</v>
      </c>
    </row>
    <row r="5389" spans="1:10" x14ac:dyDescent="0.3">
      <c r="A5389" t="s">
        <v>14839</v>
      </c>
      <c r="B5389" t="s">
        <v>29608</v>
      </c>
      <c r="C5389" t="s">
        <v>20487</v>
      </c>
      <c r="D5389" t="s">
        <v>11</v>
      </c>
      <c r="E5389" t="s">
        <v>14840</v>
      </c>
      <c r="F5389">
        <v>54</v>
      </c>
      <c r="G5389" t="s">
        <v>109</v>
      </c>
      <c r="H5389" t="s">
        <v>9788</v>
      </c>
      <c r="J5389" t="s">
        <v>14841</v>
      </c>
    </row>
    <row r="5390" spans="1:10" x14ac:dyDescent="0.3">
      <c r="A5390" t="s">
        <v>14842</v>
      </c>
      <c r="B5390" t="s">
        <v>29609</v>
      </c>
      <c r="C5390" t="s">
        <v>20489</v>
      </c>
      <c r="D5390" t="s">
        <v>11</v>
      </c>
      <c r="E5390" t="s">
        <v>14843</v>
      </c>
      <c r="F5390">
        <v>19</v>
      </c>
      <c r="G5390" t="s">
        <v>337</v>
      </c>
      <c r="H5390" t="s">
        <v>337</v>
      </c>
    </row>
    <row r="5391" spans="1:10" x14ac:dyDescent="0.3">
      <c r="A5391" t="s">
        <v>14844</v>
      </c>
      <c r="B5391" t="s">
        <v>29610</v>
      </c>
      <c r="C5391" t="s">
        <v>20491</v>
      </c>
      <c r="D5391" t="s">
        <v>22</v>
      </c>
      <c r="E5391" t="s">
        <v>14845</v>
      </c>
      <c r="F5391">
        <v>33</v>
      </c>
      <c r="G5391" t="s">
        <v>16</v>
      </c>
      <c r="H5391" t="s">
        <v>9785</v>
      </c>
      <c r="I5391" t="s">
        <v>8908</v>
      </c>
      <c r="J5391" t="s">
        <v>1788</v>
      </c>
    </row>
    <row r="5392" spans="1:10" x14ac:dyDescent="0.3">
      <c r="A5392" t="s">
        <v>14846</v>
      </c>
      <c r="B5392" t="s">
        <v>29611</v>
      </c>
      <c r="C5392" t="s">
        <v>20486</v>
      </c>
      <c r="D5392" t="s">
        <v>11</v>
      </c>
      <c r="E5392" t="s">
        <v>14847</v>
      </c>
      <c r="F5392">
        <v>37</v>
      </c>
      <c r="G5392" t="s">
        <v>46</v>
      </c>
      <c r="H5392" t="s">
        <v>46</v>
      </c>
      <c r="I5392" t="s">
        <v>14848</v>
      </c>
    </row>
    <row r="5393" spans="1:10" x14ac:dyDescent="0.3">
      <c r="A5393" t="s">
        <v>14849</v>
      </c>
      <c r="B5393" t="s">
        <v>29612</v>
      </c>
      <c r="C5393" t="s">
        <v>20486</v>
      </c>
      <c r="D5393" t="s">
        <v>11</v>
      </c>
      <c r="E5393" t="s">
        <v>14850</v>
      </c>
      <c r="F5393">
        <v>24</v>
      </c>
      <c r="G5393" t="s">
        <v>109</v>
      </c>
      <c r="H5393" t="s">
        <v>9788</v>
      </c>
      <c r="J5393" t="s">
        <v>14851</v>
      </c>
    </row>
    <row r="5394" spans="1:10" x14ac:dyDescent="0.3">
      <c r="A5394" t="s">
        <v>14852</v>
      </c>
      <c r="B5394" t="s">
        <v>29613</v>
      </c>
      <c r="C5394" t="s">
        <v>20489</v>
      </c>
      <c r="D5394" t="s">
        <v>22</v>
      </c>
      <c r="E5394" t="s">
        <v>14853</v>
      </c>
      <c r="F5394">
        <v>47</v>
      </c>
      <c r="G5394" t="s">
        <v>31</v>
      </c>
      <c r="H5394" t="s">
        <v>31</v>
      </c>
    </row>
    <row r="5395" spans="1:10" x14ac:dyDescent="0.3">
      <c r="A5395" t="s">
        <v>14854</v>
      </c>
      <c r="B5395" t="s">
        <v>29614</v>
      </c>
      <c r="C5395" t="s">
        <v>20490</v>
      </c>
      <c r="D5395" t="s">
        <v>22</v>
      </c>
      <c r="E5395" t="s">
        <v>14855</v>
      </c>
      <c r="F5395">
        <v>32</v>
      </c>
      <c r="G5395" t="s">
        <v>46</v>
      </c>
      <c r="H5395" t="s">
        <v>46</v>
      </c>
    </row>
    <row r="5396" spans="1:10" x14ac:dyDescent="0.3">
      <c r="A5396" t="s">
        <v>14856</v>
      </c>
      <c r="B5396" t="s">
        <v>29615</v>
      </c>
      <c r="C5396" t="s">
        <v>20490</v>
      </c>
      <c r="D5396" t="s">
        <v>11</v>
      </c>
      <c r="E5396" t="s">
        <v>14857</v>
      </c>
      <c r="F5396">
        <v>39</v>
      </c>
      <c r="G5396" t="s">
        <v>109</v>
      </c>
      <c r="H5396" t="s">
        <v>9788</v>
      </c>
    </row>
    <row r="5397" spans="1:10" x14ac:dyDescent="0.3">
      <c r="A5397" t="s">
        <v>14858</v>
      </c>
      <c r="B5397" t="s">
        <v>29616</v>
      </c>
      <c r="C5397" t="s">
        <v>20489</v>
      </c>
      <c r="D5397" t="s">
        <v>22</v>
      </c>
      <c r="E5397" t="s">
        <v>14859</v>
      </c>
      <c r="F5397">
        <v>22</v>
      </c>
      <c r="G5397" t="s">
        <v>31</v>
      </c>
      <c r="H5397" t="s">
        <v>31</v>
      </c>
    </row>
    <row r="5398" spans="1:10" x14ac:dyDescent="0.3">
      <c r="A5398" t="s">
        <v>14860</v>
      </c>
      <c r="B5398" t="s">
        <v>29617</v>
      </c>
      <c r="C5398" t="s">
        <v>20486</v>
      </c>
      <c r="D5398" t="s">
        <v>11</v>
      </c>
      <c r="E5398" t="s">
        <v>13896</v>
      </c>
      <c r="F5398">
        <v>40</v>
      </c>
      <c r="G5398" t="s">
        <v>109</v>
      </c>
      <c r="H5398" t="s">
        <v>9788</v>
      </c>
      <c r="I5398" t="s">
        <v>4885</v>
      </c>
      <c r="J5398" t="s">
        <v>14187</v>
      </c>
    </row>
    <row r="5399" spans="1:10" x14ac:dyDescent="0.3">
      <c r="A5399" t="s">
        <v>14861</v>
      </c>
      <c r="B5399" t="s">
        <v>29618</v>
      </c>
      <c r="C5399" t="s">
        <v>20486</v>
      </c>
      <c r="D5399" t="s">
        <v>22</v>
      </c>
      <c r="E5399" t="s">
        <v>14862</v>
      </c>
      <c r="F5399">
        <v>28</v>
      </c>
      <c r="G5399" t="s">
        <v>109</v>
      </c>
      <c r="H5399" t="s">
        <v>9788</v>
      </c>
      <c r="I5399" t="s">
        <v>377</v>
      </c>
      <c r="J5399" t="s">
        <v>14715</v>
      </c>
    </row>
    <row r="5400" spans="1:10" x14ac:dyDescent="0.3">
      <c r="A5400" t="s">
        <v>14863</v>
      </c>
      <c r="B5400" t="s">
        <v>29619</v>
      </c>
      <c r="C5400" t="s">
        <v>20486</v>
      </c>
      <c r="D5400" t="s">
        <v>22</v>
      </c>
      <c r="E5400" t="s">
        <v>14864</v>
      </c>
      <c r="F5400">
        <v>28</v>
      </c>
      <c r="G5400" t="s">
        <v>109</v>
      </c>
      <c r="H5400" t="s">
        <v>9788</v>
      </c>
      <c r="I5400" t="s">
        <v>377</v>
      </c>
      <c r="J5400" t="s">
        <v>14715</v>
      </c>
    </row>
    <row r="5401" spans="1:10" x14ac:dyDescent="0.3">
      <c r="A5401" t="s">
        <v>14865</v>
      </c>
      <c r="B5401" t="s">
        <v>29620</v>
      </c>
      <c r="C5401" t="s">
        <v>20486</v>
      </c>
      <c r="D5401" t="s">
        <v>11</v>
      </c>
      <c r="E5401" t="s">
        <v>14866</v>
      </c>
      <c r="F5401">
        <v>20</v>
      </c>
      <c r="G5401" t="s">
        <v>109</v>
      </c>
      <c r="H5401" t="s">
        <v>9788</v>
      </c>
      <c r="I5401" t="s">
        <v>377</v>
      </c>
      <c r="J5401" t="s">
        <v>14715</v>
      </c>
    </row>
    <row r="5402" spans="1:10" x14ac:dyDescent="0.3">
      <c r="A5402" t="s">
        <v>14867</v>
      </c>
      <c r="B5402" t="s">
        <v>29621</v>
      </c>
      <c r="C5402" t="s">
        <v>20489</v>
      </c>
      <c r="D5402" t="s">
        <v>22</v>
      </c>
      <c r="E5402" t="s">
        <v>14868</v>
      </c>
      <c r="F5402">
        <v>50</v>
      </c>
      <c r="G5402" t="s">
        <v>31</v>
      </c>
      <c r="H5402" t="s">
        <v>31</v>
      </c>
    </row>
    <row r="5403" spans="1:10" x14ac:dyDescent="0.3">
      <c r="A5403" t="s">
        <v>14869</v>
      </c>
      <c r="B5403" t="s">
        <v>29622</v>
      </c>
      <c r="C5403" t="s">
        <v>20491</v>
      </c>
      <c r="D5403" t="s">
        <v>22</v>
      </c>
      <c r="E5403" t="s">
        <v>14870</v>
      </c>
      <c r="F5403">
        <v>22</v>
      </c>
      <c r="G5403" t="s">
        <v>109</v>
      </c>
      <c r="H5403" t="s">
        <v>9788</v>
      </c>
    </row>
    <row r="5404" spans="1:10" x14ac:dyDescent="0.3">
      <c r="A5404" t="s">
        <v>14871</v>
      </c>
      <c r="B5404" t="s">
        <v>29623</v>
      </c>
      <c r="C5404" t="s">
        <v>20487</v>
      </c>
      <c r="D5404" t="s">
        <v>22</v>
      </c>
      <c r="E5404" t="s">
        <v>14872</v>
      </c>
      <c r="F5404">
        <v>29</v>
      </c>
      <c r="G5404" t="s">
        <v>46</v>
      </c>
      <c r="H5404" t="s">
        <v>46</v>
      </c>
      <c r="I5404" t="s">
        <v>14873</v>
      </c>
    </row>
    <row r="5405" spans="1:10" x14ac:dyDescent="0.3">
      <c r="A5405" t="s">
        <v>14874</v>
      </c>
      <c r="B5405" t="s">
        <v>29624</v>
      </c>
      <c r="C5405" t="s">
        <v>20486</v>
      </c>
      <c r="D5405" t="s">
        <v>22</v>
      </c>
      <c r="E5405" t="s">
        <v>14875</v>
      </c>
      <c r="F5405">
        <v>56</v>
      </c>
      <c r="G5405" t="s">
        <v>213</v>
      </c>
      <c r="H5405" t="s">
        <v>12065</v>
      </c>
    </row>
    <row r="5406" spans="1:10" x14ac:dyDescent="0.3">
      <c r="A5406" t="s">
        <v>14876</v>
      </c>
      <c r="B5406" t="s">
        <v>29625</v>
      </c>
      <c r="C5406" t="s">
        <v>20491</v>
      </c>
      <c r="D5406" t="s">
        <v>11</v>
      </c>
      <c r="E5406" t="s">
        <v>14877</v>
      </c>
      <c r="F5406">
        <v>53</v>
      </c>
      <c r="G5406" t="s">
        <v>46</v>
      </c>
      <c r="H5406" t="s">
        <v>46</v>
      </c>
      <c r="I5406" t="s">
        <v>14878</v>
      </c>
    </row>
    <row r="5407" spans="1:10" x14ac:dyDescent="0.3">
      <c r="A5407" t="s">
        <v>14879</v>
      </c>
      <c r="B5407" t="s">
        <v>29626</v>
      </c>
      <c r="C5407" t="s">
        <v>20491</v>
      </c>
      <c r="D5407" t="s">
        <v>22</v>
      </c>
      <c r="E5407" t="s">
        <v>14880</v>
      </c>
      <c r="F5407">
        <v>38</v>
      </c>
      <c r="G5407" t="s">
        <v>46</v>
      </c>
      <c r="H5407" t="s">
        <v>46</v>
      </c>
      <c r="I5407" t="s">
        <v>228</v>
      </c>
      <c r="J5407" t="s">
        <v>14881</v>
      </c>
    </row>
    <row r="5408" spans="1:10" x14ac:dyDescent="0.3">
      <c r="A5408" t="s">
        <v>14882</v>
      </c>
      <c r="B5408" t="s">
        <v>29627</v>
      </c>
      <c r="C5408" t="s">
        <v>20487</v>
      </c>
      <c r="D5408" t="s">
        <v>22</v>
      </c>
      <c r="E5408" t="s">
        <v>3968</v>
      </c>
      <c r="F5408">
        <v>48</v>
      </c>
      <c r="G5408" t="s">
        <v>31</v>
      </c>
      <c r="H5408" t="s">
        <v>31</v>
      </c>
    </row>
    <row r="5409" spans="1:10" x14ac:dyDescent="0.3">
      <c r="A5409" t="s">
        <v>14883</v>
      </c>
      <c r="B5409" t="s">
        <v>29628</v>
      </c>
      <c r="C5409" t="s">
        <v>20488</v>
      </c>
      <c r="D5409" t="s">
        <v>22</v>
      </c>
      <c r="E5409" t="s">
        <v>14884</v>
      </c>
      <c r="F5409">
        <v>23</v>
      </c>
      <c r="G5409" t="s">
        <v>177</v>
      </c>
      <c r="H5409" t="s">
        <v>12065</v>
      </c>
      <c r="I5409" t="s">
        <v>110</v>
      </c>
      <c r="J5409" t="s">
        <v>14885</v>
      </c>
    </row>
    <row r="5410" spans="1:10" x14ac:dyDescent="0.3">
      <c r="A5410" t="s">
        <v>14886</v>
      </c>
      <c r="B5410" t="s">
        <v>29629</v>
      </c>
      <c r="C5410" t="s">
        <v>20487</v>
      </c>
      <c r="D5410" t="s">
        <v>22</v>
      </c>
      <c r="E5410" t="s">
        <v>8801</v>
      </c>
      <c r="F5410">
        <v>34</v>
      </c>
      <c r="G5410" t="s">
        <v>46</v>
      </c>
      <c r="H5410" t="s">
        <v>46</v>
      </c>
      <c r="I5410" t="s">
        <v>14887</v>
      </c>
    </row>
    <row r="5411" spans="1:10" x14ac:dyDescent="0.3">
      <c r="A5411" t="s">
        <v>14888</v>
      </c>
      <c r="B5411" t="s">
        <v>29630</v>
      </c>
      <c r="C5411" t="s">
        <v>20487</v>
      </c>
      <c r="D5411" t="s">
        <v>22</v>
      </c>
      <c r="E5411" t="s">
        <v>14889</v>
      </c>
      <c r="F5411">
        <v>23</v>
      </c>
      <c r="G5411" t="s">
        <v>46</v>
      </c>
      <c r="H5411" t="s">
        <v>46</v>
      </c>
      <c r="J5411" t="s">
        <v>1828</v>
      </c>
    </row>
    <row r="5412" spans="1:10" x14ac:dyDescent="0.3">
      <c r="A5412" t="s">
        <v>14890</v>
      </c>
      <c r="B5412" t="s">
        <v>29631</v>
      </c>
      <c r="C5412" t="s">
        <v>20486</v>
      </c>
      <c r="D5412" t="s">
        <v>22</v>
      </c>
      <c r="E5412" t="s">
        <v>14891</v>
      </c>
      <c r="F5412">
        <v>54</v>
      </c>
      <c r="G5412" t="s">
        <v>172</v>
      </c>
      <c r="H5412" t="s">
        <v>12099</v>
      </c>
      <c r="J5412" t="s">
        <v>14892</v>
      </c>
    </row>
    <row r="5413" spans="1:10" x14ac:dyDescent="0.3">
      <c r="A5413" t="s">
        <v>14893</v>
      </c>
      <c r="B5413" t="s">
        <v>29632</v>
      </c>
      <c r="C5413" t="s">
        <v>20486</v>
      </c>
      <c r="D5413" t="s">
        <v>11</v>
      </c>
      <c r="E5413" t="s">
        <v>14894</v>
      </c>
      <c r="F5413">
        <v>51</v>
      </c>
      <c r="G5413" t="s">
        <v>109</v>
      </c>
      <c r="H5413" t="s">
        <v>9788</v>
      </c>
      <c r="J5413" t="s">
        <v>8172</v>
      </c>
    </row>
    <row r="5414" spans="1:10" x14ac:dyDescent="0.3">
      <c r="A5414" t="s">
        <v>14895</v>
      </c>
      <c r="B5414" t="s">
        <v>29633</v>
      </c>
      <c r="C5414" t="s">
        <v>20487</v>
      </c>
      <c r="D5414" t="s">
        <v>22</v>
      </c>
      <c r="E5414" t="s">
        <v>14896</v>
      </c>
      <c r="F5414">
        <v>33</v>
      </c>
      <c r="G5414" t="s">
        <v>109</v>
      </c>
      <c r="H5414" t="s">
        <v>9788</v>
      </c>
    </row>
    <row r="5415" spans="1:10" x14ac:dyDescent="0.3">
      <c r="A5415" t="s">
        <v>14897</v>
      </c>
      <c r="B5415" t="s">
        <v>29634</v>
      </c>
      <c r="C5415" t="s">
        <v>20488</v>
      </c>
      <c r="D5415" t="s">
        <v>22</v>
      </c>
      <c r="E5415" t="s">
        <v>14898</v>
      </c>
      <c r="F5415">
        <v>40</v>
      </c>
      <c r="G5415" t="s">
        <v>46</v>
      </c>
      <c r="H5415" t="s">
        <v>46</v>
      </c>
      <c r="I5415" t="s">
        <v>228</v>
      </c>
    </row>
    <row r="5416" spans="1:10" x14ac:dyDescent="0.3">
      <c r="A5416" t="s">
        <v>14899</v>
      </c>
      <c r="B5416" t="s">
        <v>29635</v>
      </c>
      <c r="C5416" t="s">
        <v>20488</v>
      </c>
      <c r="D5416" t="s">
        <v>22</v>
      </c>
      <c r="E5416" t="s">
        <v>14900</v>
      </c>
      <c r="F5416">
        <v>40</v>
      </c>
      <c r="G5416" t="s">
        <v>46</v>
      </c>
      <c r="H5416" t="s">
        <v>46</v>
      </c>
      <c r="I5416" t="s">
        <v>228</v>
      </c>
      <c r="J5416" t="s">
        <v>14901</v>
      </c>
    </row>
    <row r="5417" spans="1:10" x14ac:dyDescent="0.3">
      <c r="A5417" t="s">
        <v>14902</v>
      </c>
      <c r="B5417" t="s">
        <v>29636</v>
      </c>
      <c r="C5417" t="s">
        <v>20488</v>
      </c>
      <c r="D5417" t="s">
        <v>22</v>
      </c>
      <c r="E5417" t="s">
        <v>5089</v>
      </c>
      <c r="F5417">
        <v>42</v>
      </c>
      <c r="G5417" t="s">
        <v>109</v>
      </c>
      <c r="H5417" t="s">
        <v>9788</v>
      </c>
      <c r="I5417" t="s">
        <v>1074</v>
      </c>
      <c r="J5417" t="s">
        <v>14608</v>
      </c>
    </row>
    <row r="5418" spans="1:10" x14ac:dyDescent="0.3">
      <c r="A5418" t="s">
        <v>14903</v>
      </c>
      <c r="B5418" t="s">
        <v>29637</v>
      </c>
      <c r="C5418" t="s">
        <v>20486</v>
      </c>
      <c r="D5418" t="s">
        <v>11</v>
      </c>
      <c r="E5418" t="s">
        <v>14904</v>
      </c>
      <c r="F5418">
        <v>71</v>
      </c>
      <c r="G5418" t="s">
        <v>109</v>
      </c>
      <c r="H5418" t="s">
        <v>9788</v>
      </c>
    </row>
    <row r="5419" spans="1:10" x14ac:dyDescent="0.3">
      <c r="A5419" t="s">
        <v>14905</v>
      </c>
      <c r="B5419" t="s">
        <v>29638</v>
      </c>
      <c r="C5419" t="s">
        <v>20486</v>
      </c>
      <c r="D5419" t="s">
        <v>22</v>
      </c>
      <c r="E5419" t="s">
        <v>14906</v>
      </c>
      <c r="F5419">
        <v>63</v>
      </c>
      <c r="G5419" t="s">
        <v>31</v>
      </c>
      <c r="H5419" t="s">
        <v>31</v>
      </c>
    </row>
    <row r="5420" spans="1:10" x14ac:dyDescent="0.3">
      <c r="A5420" t="s">
        <v>14909</v>
      </c>
      <c r="B5420" t="s">
        <v>29639</v>
      </c>
      <c r="C5420" t="s">
        <v>20486</v>
      </c>
      <c r="D5420" t="s">
        <v>11</v>
      </c>
      <c r="E5420" t="s">
        <v>14910</v>
      </c>
      <c r="F5420">
        <v>30</v>
      </c>
      <c r="G5420" t="s">
        <v>46</v>
      </c>
      <c r="H5420" t="s">
        <v>46</v>
      </c>
      <c r="I5420" t="s">
        <v>14911</v>
      </c>
      <c r="J5420" t="s">
        <v>14912</v>
      </c>
    </row>
    <row r="5421" spans="1:10" x14ac:dyDescent="0.3">
      <c r="A5421" t="s">
        <v>14913</v>
      </c>
      <c r="B5421" t="s">
        <v>29640</v>
      </c>
      <c r="C5421" t="s">
        <v>20489</v>
      </c>
      <c r="D5421" t="s">
        <v>11</v>
      </c>
      <c r="E5421" t="s">
        <v>14914</v>
      </c>
      <c r="F5421">
        <v>48</v>
      </c>
      <c r="G5421" t="s">
        <v>109</v>
      </c>
      <c r="H5421" t="s">
        <v>9788</v>
      </c>
      <c r="J5421" t="s">
        <v>5395</v>
      </c>
    </row>
    <row r="5422" spans="1:10" x14ac:dyDescent="0.3">
      <c r="A5422" t="s">
        <v>14915</v>
      </c>
      <c r="B5422" t="s">
        <v>29641</v>
      </c>
      <c r="C5422" t="s">
        <v>20491</v>
      </c>
      <c r="D5422" t="s">
        <v>22</v>
      </c>
      <c r="E5422" t="s">
        <v>14916</v>
      </c>
      <c r="F5422">
        <v>28</v>
      </c>
      <c r="G5422" t="s">
        <v>46</v>
      </c>
      <c r="H5422" t="s">
        <v>46</v>
      </c>
      <c r="I5422" t="s">
        <v>14917</v>
      </c>
    </row>
    <row r="5423" spans="1:10" x14ac:dyDescent="0.3">
      <c r="A5423" t="s">
        <v>14918</v>
      </c>
      <c r="B5423" t="s">
        <v>29642</v>
      </c>
      <c r="C5423" t="s">
        <v>20490</v>
      </c>
      <c r="D5423" t="s">
        <v>11</v>
      </c>
      <c r="E5423" t="s">
        <v>14919</v>
      </c>
      <c r="F5423">
        <v>38</v>
      </c>
      <c r="G5423" t="s">
        <v>109</v>
      </c>
      <c r="H5423" t="s">
        <v>9788</v>
      </c>
      <c r="I5423" t="s">
        <v>14920</v>
      </c>
    </row>
    <row r="5424" spans="1:10" x14ac:dyDescent="0.3">
      <c r="A5424" t="s">
        <v>14921</v>
      </c>
      <c r="B5424" t="s">
        <v>29643</v>
      </c>
      <c r="C5424" t="s">
        <v>20491</v>
      </c>
      <c r="D5424" t="s">
        <v>22</v>
      </c>
      <c r="E5424" t="s">
        <v>12973</v>
      </c>
      <c r="F5424">
        <v>42</v>
      </c>
      <c r="G5424" t="s">
        <v>46</v>
      </c>
      <c r="H5424" t="s">
        <v>46</v>
      </c>
      <c r="I5424" t="s">
        <v>14922</v>
      </c>
    </row>
    <row r="5425" spans="1:10" x14ac:dyDescent="0.3">
      <c r="A5425" t="s">
        <v>14923</v>
      </c>
      <c r="B5425" t="s">
        <v>29644</v>
      </c>
      <c r="C5425" t="s">
        <v>20486</v>
      </c>
      <c r="D5425" t="s">
        <v>22</v>
      </c>
      <c r="E5425" t="s">
        <v>14924</v>
      </c>
      <c r="F5425">
        <v>42</v>
      </c>
      <c r="G5425" t="s">
        <v>46</v>
      </c>
      <c r="H5425" t="s">
        <v>46</v>
      </c>
      <c r="I5425" t="s">
        <v>201</v>
      </c>
      <c r="J5425" t="s">
        <v>18859</v>
      </c>
    </row>
    <row r="5426" spans="1:10" x14ac:dyDescent="0.3">
      <c r="A5426" t="s">
        <v>14925</v>
      </c>
      <c r="B5426" t="s">
        <v>29645</v>
      </c>
      <c r="C5426" t="s">
        <v>20486</v>
      </c>
      <c r="D5426" t="s">
        <v>22</v>
      </c>
      <c r="E5426" t="s">
        <v>4313</v>
      </c>
      <c r="F5426">
        <v>70</v>
      </c>
      <c r="G5426" t="s">
        <v>13</v>
      </c>
      <c r="H5426" t="s">
        <v>31</v>
      </c>
    </row>
    <row r="5427" spans="1:10" x14ac:dyDescent="0.3">
      <c r="A5427" t="s">
        <v>14926</v>
      </c>
      <c r="B5427" t="s">
        <v>29646</v>
      </c>
      <c r="C5427" t="s">
        <v>20490</v>
      </c>
      <c r="D5427" t="s">
        <v>22</v>
      </c>
      <c r="E5427" t="s">
        <v>5736</v>
      </c>
      <c r="F5427">
        <v>55</v>
      </c>
      <c r="G5427" t="s">
        <v>109</v>
      </c>
      <c r="H5427" t="s">
        <v>9788</v>
      </c>
      <c r="I5427" t="s">
        <v>228</v>
      </c>
      <c r="J5427" t="s">
        <v>14927</v>
      </c>
    </row>
    <row r="5428" spans="1:10" x14ac:dyDescent="0.3">
      <c r="A5428" t="s">
        <v>14928</v>
      </c>
      <c r="B5428" t="s">
        <v>29647</v>
      </c>
      <c r="C5428" t="s">
        <v>20486</v>
      </c>
      <c r="D5428" t="s">
        <v>11</v>
      </c>
      <c r="E5428" t="s">
        <v>14929</v>
      </c>
      <c r="F5428">
        <v>28</v>
      </c>
      <c r="G5428" t="s">
        <v>109</v>
      </c>
      <c r="H5428" t="s">
        <v>9788</v>
      </c>
      <c r="J5428" t="s">
        <v>14930</v>
      </c>
    </row>
    <row r="5429" spans="1:10" x14ac:dyDescent="0.3">
      <c r="A5429" t="s">
        <v>14931</v>
      </c>
      <c r="B5429" t="s">
        <v>29648</v>
      </c>
      <c r="C5429" t="s">
        <v>20488</v>
      </c>
      <c r="D5429" t="s">
        <v>22</v>
      </c>
      <c r="E5429" t="s">
        <v>14932</v>
      </c>
      <c r="F5429">
        <v>59</v>
      </c>
      <c r="G5429" t="s">
        <v>16</v>
      </c>
      <c r="H5429" t="s">
        <v>9785</v>
      </c>
      <c r="I5429" t="s">
        <v>17</v>
      </c>
      <c r="J5429" t="s">
        <v>1987</v>
      </c>
    </row>
    <row r="5430" spans="1:10" x14ac:dyDescent="0.3">
      <c r="A5430" t="s">
        <v>14933</v>
      </c>
      <c r="B5430" t="s">
        <v>29649</v>
      </c>
      <c r="C5430" t="s">
        <v>20491</v>
      </c>
      <c r="D5430" t="s">
        <v>11</v>
      </c>
      <c r="E5430" t="s">
        <v>14934</v>
      </c>
      <c r="F5430">
        <v>50</v>
      </c>
      <c r="G5430" t="s">
        <v>172</v>
      </c>
      <c r="H5430" t="s">
        <v>12099</v>
      </c>
      <c r="I5430" t="s">
        <v>173</v>
      </c>
      <c r="J5430" t="s">
        <v>5641</v>
      </c>
    </row>
    <row r="5431" spans="1:10" x14ac:dyDescent="0.3">
      <c r="A5431" t="s">
        <v>14935</v>
      </c>
      <c r="B5431" t="s">
        <v>29650</v>
      </c>
      <c r="C5431" t="s">
        <v>20487</v>
      </c>
      <c r="D5431" t="s">
        <v>22</v>
      </c>
      <c r="E5431" t="s">
        <v>2327</v>
      </c>
      <c r="F5431">
        <v>51</v>
      </c>
      <c r="G5431" t="s">
        <v>172</v>
      </c>
      <c r="H5431" t="s">
        <v>12099</v>
      </c>
      <c r="I5431" t="s">
        <v>14936</v>
      </c>
      <c r="J5431" t="s">
        <v>14937</v>
      </c>
    </row>
    <row r="5432" spans="1:10" x14ac:dyDescent="0.3">
      <c r="A5432" t="s">
        <v>14938</v>
      </c>
      <c r="B5432" t="s">
        <v>29651</v>
      </c>
      <c r="C5432" t="s">
        <v>20488</v>
      </c>
      <c r="D5432" t="s">
        <v>11</v>
      </c>
      <c r="E5432" t="s">
        <v>9784</v>
      </c>
      <c r="F5432">
        <v>27</v>
      </c>
      <c r="G5432" t="s">
        <v>109</v>
      </c>
      <c r="H5432" t="s">
        <v>9788</v>
      </c>
    </row>
    <row r="5433" spans="1:10" x14ac:dyDescent="0.3">
      <c r="A5433" t="s">
        <v>14939</v>
      </c>
      <c r="B5433" t="s">
        <v>29652</v>
      </c>
      <c r="C5433" t="s">
        <v>20487</v>
      </c>
      <c r="D5433" t="s">
        <v>22</v>
      </c>
      <c r="E5433" t="s">
        <v>831</v>
      </c>
      <c r="F5433">
        <v>47</v>
      </c>
      <c r="G5433" t="s">
        <v>24</v>
      </c>
      <c r="H5433" t="s">
        <v>9789</v>
      </c>
    </row>
    <row r="5434" spans="1:10" x14ac:dyDescent="0.3">
      <c r="A5434" t="s">
        <v>14940</v>
      </c>
      <c r="B5434" t="s">
        <v>29653</v>
      </c>
      <c r="C5434" t="s">
        <v>20486</v>
      </c>
      <c r="D5434" t="s">
        <v>11</v>
      </c>
      <c r="E5434" t="s">
        <v>13880</v>
      </c>
      <c r="F5434">
        <v>42</v>
      </c>
      <c r="G5434" t="s">
        <v>109</v>
      </c>
      <c r="H5434" t="s">
        <v>9788</v>
      </c>
      <c r="I5434" t="s">
        <v>1534</v>
      </c>
      <c r="J5434" t="s">
        <v>14941</v>
      </c>
    </row>
    <row r="5435" spans="1:10" x14ac:dyDescent="0.3">
      <c r="A5435" t="s">
        <v>14942</v>
      </c>
      <c r="B5435" t="s">
        <v>29654</v>
      </c>
      <c r="C5435" t="s">
        <v>20488</v>
      </c>
      <c r="D5435" t="s">
        <v>22</v>
      </c>
      <c r="E5435" t="s">
        <v>14943</v>
      </c>
      <c r="F5435">
        <v>33</v>
      </c>
      <c r="G5435" t="s">
        <v>16</v>
      </c>
      <c r="H5435" t="s">
        <v>9785</v>
      </c>
      <c r="I5435" t="s">
        <v>17</v>
      </c>
      <c r="J5435" t="s">
        <v>1987</v>
      </c>
    </row>
    <row r="5436" spans="1:10" x14ac:dyDescent="0.3">
      <c r="A5436" t="s">
        <v>14944</v>
      </c>
      <c r="B5436" t="s">
        <v>29655</v>
      </c>
      <c r="C5436" t="s">
        <v>20488</v>
      </c>
      <c r="D5436" t="s">
        <v>22</v>
      </c>
      <c r="E5436" t="s">
        <v>1316</v>
      </c>
      <c r="F5436">
        <v>30</v>
      </c>
      <c r="G5436" t="s">
        <v>109</v>
      </c>
      <c r="H5436" t="s">
        <v>9788</v>
      </c>
      <c r="I5436" t="s">
        <v>139</v>
      </c>
      <c r="J5436" t="s">
        <v>12808</v>
      </c>
    </row>
    <row r="5437" spans="1:10" x14ac:dyDescent="0.3">
      <c r="A5437" t="s">
        <v>14945</v>
      </c>
      <c r="B5437" t="s">
        <v>29656</v>
      </c>
      <c r="C5437" t="s">
        <v>20491</v>
      </c>
      <c r="D5437" t="s">
        <v>11</v>
      </c>
      <c r="E5437" t="s">
        <v>9707</v>
      </c>
      <c r="F5437">
        <v>30</v>
      </c>
      <c r="G5437" t="s">
        <v>109</v>
      </c>
      <c r="H5437" t="s">
        <v>9788</v>
      </c>
      <c r="I5437" t="s">
        <v>14946</v>
      </c>
      <c r="J5437" t="s">
        <v>14946</v>
      </c>
    </row>
    <row r="5438" spans="1:10" x14ac:dyDescent="0.3">
      <c r="A5438" t="s">
        <v>14947</v>
      </c>
      <c r="B5438" t="s">
        <v>29657</v>
      </c>
      <c r="C5438" t="s">
        <v>20491</v>
      </c>
      <c r="D5438" t="s">
        <v>22</v>
      </c>
      <c r="E5438" t="s">
        <v>1316</v>
      </c>
      <c r="F5438">
        <v>30</v>
      </c>
      <c r="G5438" t="s">
        <v>109</v>
      </c>
      <c r="H5438" t="s">
        <v>9788</v>
      </c>
      <c r="J5438" t="s">
        <v>13964</v>
      </c>
    </row>
    <row r="5439" spans="1:10" x14ac:dyDescent="0.3">
      <c r="A5439" t="s">
        <v>14948</v>
      </c>
      <c r="B5439" t="s">
        <v>29658</v>
      </c>
      <c r="C5439" t="s">
        <v>20486</v>
      </c>
      <c r="D5439" t="s">
        <v>22</v>
      </c>
      <c r="E5439" t="s">
        <v>3879</v>
      </c>
      <c r="F5439">
        <v>52</v>
      </c>
      <c r="G5439" t="s">
        <v>109</v>
      </c>
      <c r="H5439" t="s">
        <v>9788</v>
      </c>
      <c r="J5439" t="s">
        <v>13765</v>
      </c>
    </row>
    <row r="5440" spans="1:10" x14ac:dyDescent="0.3">
      <c r="A5440" t="s">
        <v>14949</v>
      </c>
      <c r="B5440" t="s">
        <v>29659</v>
      </c>
      <c r="C5440" t="s">
        <v>20487</v>
      </c>
      <c r="D5440" t="s">
        <v>22</v>
      </c>
      <c r="E5440" t="s">
        <v>14950</v>
      </c>
      <c r="F5440">
        <v>54</v>
      </c>
      <c r="G5440" t="s">
        <v>24</v>
      </c>
      <c r="H5440" t="s">
        <v>9789</v>
      </c>
    </row>
    <row r="5441" spans="1:10" x14ac:dyDescent="0.3">
      <c r="A5441" t="s">
        <v>14951</v>
      </c>
      <c r="B5441" t="s">
        <v>29660</v>
      </c>
      <c r="C5441" t="s">
        <v>20491</v>
      </c>
      <c r="D5441" t="s">
        <v>22</v>
      </c>
      <c r="E5441" t="s">
        <v>14952</v>
      </c>
      <c r="F5441">
        <v>19</v>
      </c>
      <c r="G5441" t="s">
        <v>109</v>
      </c>
      <c r="H5441" t="s">
        <v>9788</v>
      </c>
      <c r="I5441" t="s">
        <v>231</v>
      </c>
      <c r="J5441" t="s">
        <v>14953</v>
      </c>
    </row>
    <row r="5442" spans="1:10" x14ac:dyDescent="0.3">
      <c r="A5442" t="s">
        <v>14954</v>
      </c>
      <c r="B5442" t="s">
        <v>29661</v>
      </c>
      <c r="C5442" t="s">
        <v>20487</v>
      </c>
      <c r="D5442" t="s">
        <v>11</v>
      </c>
      <c r="E5442" t="s">
        <v>14955</v>
      </c>
      <c r="F5442">
        <v>44</v>
      </c>
      <c r="G5442" t="s">
        <v>46</v>
      </c>
      <c r="H5442" t="s">
        <v>46</v>
      </c>
      <c r="I5442" t="s">
        <v>220</v>
      </c>
      <c r="J5442" t="s">
        <v>14956</v>
      </c>
    </row>
    <row r="5443" spans="1:10" x14ac:dyDescent="0.3">
      <c r="A5443" t="s">
        <v>14957</v>
      </c>
      <c r="B5443" t="s">
        <v>29662</v>
      </c>
      <c r="C5443" t="s">
        <v>20487</v>
      </c>
      <c r="D5443" t="s">
        <v>22</v>
      </c>
      <c r="E5443" t="s">
        <v>14958</v>
      </c>
      <c r="F5443">
        <v>55</v>
      </c>
      <c r="G5443" t="s">
        <v>46</v>
      </c>
      <c r="H5443" t="s">
        <v>46</v>
      </c>
      <c r="I5443" t="s">
        <v>838</v>
      </c>
    </row>
    <row r="5444" spans="1:10" x14ac:dyDescent="0.3">
      <c r="A5444" t="s">
        <v>14959</v>
      </c>
      <c r="B5444" t="s">
        <v>29663</v>
      </c>
      <c r="C5444" t="s">
        <v>20489</v>
      </c>
      <c r="D5444" t="s">
        <v>11</v>
      </c>
      <c r="E5444" t="s">
        <v>14960</v>
      </c>
      <c r="F5444">
        <v>72</v>
      </c>
      <c r="G5444" t="s">
        <v>13</v>
      </c>
      <c r="H5444" t="s">
        <v>13</v>
      </c>
    </row>
    <row r="5445" spans="1:10" x14ac:dyDescent="0.3">
      <c r="A5445" t="s">
        <v>14961</v>
      </c>
      <c r="B5445" t="s">
        <v>29664</v>
      </c>
      <c r="C5445" t="s">
        <v>20486</v>
      </c>
      <c r="D5445" t="s">
        <v>22</v>
      </c>
      <c r="E5445" t="s">
        <v>606</v>
      </c>
      <c r="F5445">
        <v>48</v>
      </c>
      <c r="G5445" t="s">
        <v>109</v>
      </c>
      <c r="H5445" t="s">
        <v>9788</v>
      </c>
      <c r="J5445" t="s">
        <v>14962</v>
      </c>
    </row>
    <row r="5446" spans="1:10" x14ac:dyDescent="0.3">
      <c r="A5446" t="s">
        <v>14963</v>
      </c>
      <c r="B5446" t="s">
        <v>29665</v>
      </c>
      <c r="C5446" t="s">
        <v>20486</v>
      </c>
      <c r="D5446" t="s">
        <v>11</v>
      </c>
      <c r="E5446" t="s">
        <v>14964</v>
      </c>
      <c r="F5446">
        <v>52</v>
      </c>
      <c r="G5446" t="s">
        <v>109</v>
      </c>
      <c r="H5446" t="s">
        <v>9788</v>
      </c>
      <c r="J5446" t="s">
        <v>14965</v>
      </c>
    </row>
    <row r="5447" spans="1:10" x14ac:dyDescent="0.3">
      <c r="A5447" t="s">
        <v>14966</v>
      </c>
      <c r="B5447" t="s">
        <v>29666</v>
      </c>
      <c r="C5447" t="s">
        <v>20486</v>
      </c>
      <c r="D5447" t="s">
        <v>22</v>
      </c>
      <c r="E5447" t="s">
        <v>14967</v>
      </c>
      <c r="F5447">
        <v>27</v>
      </c>
      <c r="G5447" t="s">
        <v>109</v>
      </c>
      <c r="H5447" t="s">
        <v>9788</v>
      </c>
      <c r="I5447" t="s">
        <v>12602</v>
      </c>
      <c r="J5447" t="s">
        <v>14498</v>
      </c>
    </row>
    <row r="5448" spans="1:10" x14ac:dyDescent="0.3">
      <c r="A5448" t="s">
        <v>14968</v>
      </c>
      <c r="B5448" t="s">
        <v>29667</v>
      </c>
      <c r="C5448" t="s">
        <v>20491</v>
      </c>
      <c r="D5448" t="s">
        <v>22</v>
      </c>
      <c r="E5448" t="s">
        <v>14969</v>
      </c>
      <c r="F5448">
        <v>42</v>
      </c>
      <c r="G5448" t="s">
        <v>109</v>
      </c>
      <c r="H5448" t="s">
        <v>9788</v>
      </c>
      <c r="J5448" t="s">
        <v>14970</v>
      </c>
    </row>
    <row r="5449" spans="1:10" x14ac:dyDescent="0.3">
      <c r="A5449" t="s">
        <v>14971</v>
      </c>
      <c r="B5449" t="s">
        <v>29668</v>
      </c>
      <c r="C5449" t="s">
        <v>20486</v>
      </c>
      <c r="D5449" t="s">
        <v>11</v>
      </c>
      <c r="E5449" t="s">
        <v>2922</v>
      </c>
      <c r="F5449">
        <v>43</v>
      </c>
      <c r="G5449" t="s">
        <v>172</v>
      </c>
      <c r="H5449" t="s">
        <v>12099</v>
      </c>
      <c r="I5449" t="s">
        <v>8693</v>
      </c>
      <c r="J5449" t="s">
        <v>7735</v>
      </c>
    </row>
    <row r="5450" spans="1:10" x14ac:dyDescent="0.3">
      <c r="A5450" t="s">
        <v>14972</v>
      </c>
      <c r="B5450" t="s">
        <v>29669</v>
      </c>
      <c r="C5450" t="s">
        <v>20486</v>
      </c>
      <c r="D5450" t="s">
        <v>22</v>
      </c>
      <c r="E5450" t="s">
        <v>14973</v>
      </c>
      <c r="F5450">
        <v>22</v>
      </c>
      <c r="G5450" t="s">
        <v>109</v>
      </c>
      <c r="H5450" t="s">
        <v>9788</v>
      </c>
      <c r="I5450" t="s">
        <v>12371</v>
      </c>
      <c r="J5450" t="s">
        <v>901</v>
      </c>
    </row>
    <row r="5451" spans="1:10" x14ac:dyDescent="0.3">
      <c r="A5451" t="s">
        <v>14974</v>
      </c>
      <c r="B5451" t="s">
        <v>29670</v>
      </c>
      <c r="C5451" t="s">
        <v>20486</v>
      </c>
      <c r="D5451" t="s">
        <v>11</v>
      </c>
      <c r="E5451" t="s">
        <v>14975</v>
      </c>
      <c r="F5451">
        <v>22</v>
      </c>
      <c r="G5451" t="s">
        <v>109</v>
      </c>
      <c r="H5451" t="s">
        <v>9788</v>
      </c>
      <c r="I5451" t="s">
        <v>12371</v>
      </c>
      <c r="J5451" t="s">
        <v>901</v>
      </c>
    </row>
    <row r="5452" spans="1:10" x14ac:dyDescent="0.3">
      <c r="A5452" t="s">
        <v>14976</v>
      </c>
      <c r="B5452" t="s">
        <v>29671</v>
      </c>
      <c r="C5452" t="s">
        <v>20488</v>
      </c>
      <c r="D5452" t="s">
        <v>22</v>
      </c>
      <c r="E5452" t="s">
        <v>14977</v>
      </c>
      <c r="F5452">
        <v>48</v>
      </c>
      <c r="G5452" t="s">
        <v>46</v>
      </c>
      <c r="H5452" t="s">
        <v>46</v>
      </c>
      <c r="I5452" t="s">
        <v>139</v>
      </c>
      <c r="J5452" t="s">
        <v>14978</v>
      </c>
    </row>
    <row r="5453" spans="1:10" x14ac:dyDescent="0.3">
      <c r="A5453" t="s">
        <v>14979</v>
      </c>
      <c r="B5453" t="s">
        <v>29672</v>
      </c>
      <c r="C5453" t="s">
        <v>20486</v>
      </c>
      <c r="D5453" t="s">
        <v>22</v>
      </c>
      <c r="E5453" t="s">
        <v>14980</v>
      </c>
      <c r="F5453">
        <v>36</v>
      </c>
      <c r="G5453" t="s">
        <v>109</v>
      </c>
      <c r="H5453" t="s">
        <v>9788</v>
      </c>
      <c r="I5453" t="s">
        <v>12371</v>
      </c>
      <c r="J5453" t="s">
        <v>1091</v>
      </c>
    </row>
    <row r="5454" spans="1:10" x14ac:dyDescent="0.3">
      <c r="A5454" t="s">
        <v>14981</v>
      </c>
      <c r="B5454" t="s">
        <v>29673</v>
      </c>
      <c r="C5454" t="s">
        <v>20486</v>
      </c>
      <c r="D5454" t="s">
        <v>11</v>
      </c>
      <c r="E5454" t="s">
        <v>7073</v>
      </c>
      <c r="F5454">
        <v>33</v>
      </c>
      <c r="G5454" t="s">
        <v>46</v>
      </c>
      <c r="H5454" t="s">
        <v>46</v>
      </c>
      <c r="I5454" t="s">
        <v>228</v>
      </c>
      <c r="J5454" t="s">
        <v>18860</v>
      </c>
    </row>
    <row r="5455" spans="1:10" x14ac:dyDescent="0.3">
      <c r="A5455" t="s">
        <v>14982</v>
      </c>
      <c r="B5455" t="s">
        <v>29674</v>
      </c>
      <c r="C5455" t="s">
        <v>20487</v>
      </c>
      <c r="D5455" t="s">
        <v>11</v>
      </c>
      <c r="E5455" t="s">
        <v>14983</v>
      </c>
      <c r="F5455">
        <v>37</v>
      </c>
      <c r="G5455" t="s">
        <v>46</v>
      </c>
      <c r="H5455" t="s">
        <v>46</v>
      </c>
      <c r="J5455" t="s">
        <v>14984</v>
      </c>
    </row>
    <row r="5456" spans="1:10" x14ac:dyDescent="0.3">
      <c r="A5456" t="s">
        <v>14985</v>
      </c>
      <c r="B5456" t="s">
        <v>29675</v>
      </c>
      <c r="C5456" t="s">
        <v>20487</v>
      </c>
      <c r="D5456" t="s">
        <v>22</v>
      </c>
      <c r="E5456" t="s">
        <v>14986</v>
      </c>
      <c r="F5456">
        <v>59</v>
      </c>
      <c r="G5456" t="s">
        <v>46</v>
      </c>
      <c r="H5456" t="s">
        <v>46</v>
      </c>
      <c r="I5456" t="s">
        <v>1412</v>
      </c>
      <c r="J5456" t="s">
        <v>14987</v>
      </c>
    </row>
    <row r="5457" spans="1:10" x14ac:dyDescent="0.3">
      <c r="A5457" t="s">
        <v>14988</v>
      </c>
      <c r="B5457" t="s">
        <v>29676</v>
      </c>
      <c r="C5457" t="s">
        <v>20486</v>
      </c>
      <c r="D5457" t="s">
        <v>22</v>
      </c>
      <c r="E5457" t="s">
        <v>14989</v>
      </c>
      <c r="F5457">
        <v>36</v>
      </c>
      <c r="G5457" t="s">
        <v>46</v>
      </c>
      <c r="H5457" t="s">
        <v>46</v>
      </c>
      <c r="I5457" t="s">
        <v>14990</v>
      </c>
      <c r="J5457" t="s">
        <v>384</v>
      </c>
    </row>
    <row r="5458" spans="1:10" x14ac:dyDescent="0.3">
      <c r="A5458" t="s">
        <v>14991</v>
      </c>
      <c r="B5458" t="s">
        <v>29677</v>
      </c>
      <c r="C5458" t="s">
        <v>20491</v>
      </c>
      <c r="D5458" t="s">
        <v>22</v>
      </c>
      <c r="E5458" t="s">
        <v>14992</v>
      </c>
      <c r="F5458">
        <v>34</v>
      </c>
      <c r="G5458" t="s">
        <v>177</v>
      </c>
      <c r="H5458" t="s">
        <v>12065</v>
      </c>
    </row>
    <row r="5459" spans="1:10" x14ac:dyDescent="0.3">
      <c r="A5459" t="s">
        <v>14993</v>
      </c>
      <c r="B5459" t="s">
        <v>29678</v>
      </c>
      <c r="C5459" t="s">
        <v>20486</v>
      </c>
      <c r="D5459" t="s">
        <v>22</v>
      </c>
      <c r="E5459" t="s">
        <v>14994</v>
      </c>
      <c r="F5459">
        <v>43</v>
      </c>
      <c r="G5459" t="s">
        <v>46</v>
      </c>
      <c r="H5459" t="s">
        <v>46</v>
      </c>
      <c r="I5459" t="s">
        <v>3000</v>
      </c>
      <c r="J5459" t="s">
        <v>4768</v>
      </c>
    </row>
    <row r="5460" spans="1:10" x14ac:dyDescent="0.3">
      <c r="A5460" t="s">
        <v>14995</v>
      </c>
      <c r="B5460" t="s">
        <v>29679</v>
      </c>
      <c r="C5460" t="s">
        <v>20491</v>
      </c>
      <c r="D5460" t="s">
        <v>22</v>
      </c>
      <c r="E5460" t="s">
        <v>14996</v>
      </c>
      <c r="F5460">
        <v>39</v>
      </c>
      <c r="G5460" t="s">
        <v>172</v>
      </c>
      <c r="H5460" t="s">
        <v>12099</v>
      </c>
      <c r="I5460" t="s">
        <v>110</v>
      </c>
      <c r="J5460" t="s">
        <v>7351</v>
      </c>
    </row>
    <row r="5461" spans="1:10" x14ac:dyDescent="0.3">
      <c r="A5461" t="s">
        <v>14997</v>
      </c>
      <c r="B5461" t="s">
        <v>29680</v>
      </c>
      <c r="C5461" t="s">
        <v>20486</v>
      </c>
      <c r="D5461" t="s">
        <v>11</v>
      </c>
      <c r="E5461" t="s">
        <v>14998</v>
      </c>
      <c r="F5461">
        <v>24</v>
      </c>
      <c r="G5461" t="s">
        <v>109</v>
      </c>
      <c r="H5461" t="s">
        <v>9788</v>
      </c>
      <c r="I5461" t="s">
        <v>13918</v>
      </c>
      <c r="J5461" t="s">
        <v>8647</v>
      </c>
    </row>
    <row r="5462" spans="1:10" x14ac:dyDescent="0.3">
      <c r="A5462" t="s">
        <v>14999</v>
      </c>
      <c r="B5462" t="s">
        <v>29681</v>
      </c>
      <c r="C5462" t="s">
        <v>20486</v>
      </c>
      <c r="D5462" t="s">
        <v>11</v>
      </c>
      <c r="E5462" t="s">
        <v>15000</v>
      </c>
      <c r="F5462">
        <v>30</v>
      </c>
      <c r="G5462" t="s">
        <v>109</v>
      </c>
      <c r="H5462" t="s">
        <v>9788</v>
      </c>
      <c r="I5462" t="s">
        <v>228</v>
      </c>
      <c r="J5462" t="s">
        <v>8647</v>
      </c>
    </row>
    <row r="5463" spans="1:10" x14ac:dyDescent="0.3">
      <c r="A5463" t="s">
        <v>15001</v>
      </c>
      <c r="B5463" t="s">
        <v>29682</v>
      </c>
      <c r="C5463" t="s">
        <v>20486</v>
      </c>
      <c r="D5463" t="s">
        <v>11</v>
      </c>
      <c r="E5463" t="s">
        <v>9688</v>
      </c>
      <c r="F5463">
        <v>19</v>
      </c>
      <c r="G5463" t="s">
        <v>109</v>
      </c>
      <c r="H5463" t="s">
        <v>9788</v>
      </c>
      <c r="I5463" t="s">
        <v>13918</v>
      </c>
      <c r="J5463" t="s">
        <v>8647</v>
      </c>
    </row>
    <row r="5464" spans="1:10" x14ac:dyDescent="0.3">
      <c r="A5464" t="s">
        <v>15002</v>
      </c>
      <c r="B5464" t="s">
        <v>29683</v>
      </c>
      <c r="C5464" t="s">
        <v>20486</v>
      </c>
      <c r="D5464" t="s">
        <v>22</v>
      </c>
      <c r="E5464" t="s">
        <v>15003</v>
      </c>
      <c r="F5464">
        <v>42</v>
      </c>
      <c r="G5464" t="s">
        <v>172</v>
      </c>
      <c r="H5464" t="s">
        <v>12099</v>
      </c>
      <c r="I5464" t="s">
        <v>1546</v>
      </c>
      <c r="J5464" t="s">
        <v>15004</v>
      </c>
    </row>
    <row r="5465" spans="1:10" x14ac:dyDescent="0.3">
      <c r="A5465" t="s">
        <v>15005</v>
      </c>
      <c r="B5465" t="s">
        <v>29684</v>
      </c>
      <c r="C5465" t="s">
        <v>20490</v>
      </c>
      <c r="D5465" t="s">
        <v>22</v>
      </c>
      <c r="E5465" t="s">
        <v>4858</v>
      </c>
      <c r="F5465">
        <v>56</v>
      </c>
      <c r="G5465" t="s">
        <v>31</v>
      </c>
      <c r="H5465" t="s">
        <v>243</v>
      </c>
    </row>
    <row r="5466" spans="1:10" x14ac:dyDescent="0.3">
      <c r="A5466" t="s">
        <v>15006</v>
      </c>
      <c r="B5466" t="s">
        <v>29685</v>
      </c>
      <c r="C5466" t="s">
        <v>20491</v>
      </c>
      <c r="D5466" t="s">
        <v>22</v>
      </c>
      <c r="E5466" t="s">
        <v>15007</v>
      </c>
      <c r="F5466">
        <v>37</v>
      </c>
      <c r="G5466" t="s">
        <v>109</v>
      </c>
      <c r="H5466" t="s">
        <v>9788</v>
      </c>
      <c r="I5466" t="s">
        <v>228</v>
      </c>
      <c r="J5466" t="s">
        <v>14970</v>
      </c>
    </row>
    <row r="5467" spans="1:10" x14ac:dyDescent="0.3">
      <c r="A5467" t="s">
        <v>15008</v>
      </c>
      <c r="B5467" t="s">
        <v>29686</v>
      </c>
      <c r="C5467" t="s">
        <v>20491</v>
      </c>
      <c r="D5467" t="s">
        <v>22</v>
      </c>
      <c r="E5467" t="s">
        <v>3703</v>
      </c>
      <c r="F5467">
        <v>35</v>
      </c>
      <c r="G5467" t="s">
        <v>109</v>
      </c>
      <c r="H5467" t="s">
        <v>9788</v>
      </c>
      <c r="J5467" t="s">
        <v>14970</v>
      </c>
    </row>
    <row r="5468" spans="1:10" x14ac:dyDescent="0.3">
      <c r="A5468" t="s">
        <v>15009</v>
      </c>
      <c r="B5468" t="s">
        <v>29687</v>
      </c>
      <c r="C5468" t="s">
        <v>20491</v>
      </c>
      <c r="D5468" t="s">
        <v>22</v>
      </c>
      <c r="E5468" t="s">
        <v>15010</v>
      </c>
      <c r="F5468">
        <v>22</v>
      </c>
      <c r="G5468" t="s">
        <v>109</v>
      </c>
      <c r="H5468" t="s">
        <v>9788</v>
      </c>
      <c r="I5468" t="s">
        <v>1074</v>
      </c>
      <c r="J5468" t="s">
        <v>14628</v>
      </c>
    </row>
    <row r="5469" spans="1:10" x14ac:dyDescent="0.3">
      <c r="A5469" t="s">
        <v>15011</v>
      </c>
      <c r="B5469" t="s">
        <v>29688</v>
      </c>
      <c r="C5469" t="s">
        <v>20486</v>
      </c>
      <c r="D5469" t="s">
        <v>22</v>
      </c>
      <c r="E5469" t="s">
        <v>15012</v>
      </c>
      <c r="F5469">
        <v>33</v>
      </c>
      <c r="G5469" t="s">
        <v>109</v>
      </c>
      <c r="H5469" t="s">
        <v>9788</v>
      </c>
      <c r="I5469" t="s">
        <v>12371</v>
      </c>
      <c r="J5469" t="s">
        <v>15013</v>
      </c>
    </row>
    <row r="5470" spans="1:10" x14ac:dyDescent="0.3">
      <c r="A5470" t="s">
        <v>15014</v>
      </c>
      <c r="B5470" t="s">
        <v>29689</v>
      </c>
      <c r="C5470" t="s">
        <v>20488</v>
      </c>
      <c r="D5470" t="s">
        <v>22</v>
      </c>
      <c r="E5470" t="s">
        <v>15015</v>
      </c>
      <c r="F5470">
        <v>58</v>
      </c>
      <c r="G5470" t="s">
        <v>31</v>
      </c>
      <c r="H5470" t="s">
        <v>31</v>
      </c>
    </row>
    <row r="5471" spans="1:10" x14ac:dyDescent="0.3">
      <c r="A5471" t="s">
        <v>15016</v>
      </c>
      <c r="B5471" t="s">
        <v>29690</v>
      </c>
      <c r="C5471" t="s">
        <v>20487</v>
      </c>
      <c r="D5471" t="s">
        <v>22</v>
      </c>
      <c r="E5471" t="s">
        <v>15017</v>
      </c>
      <c r="F5471">
        <v>82</v>
      </c>
      <c r="G5471" t="s">
        <v>172</v>
      </c>
      <c r="H5471" t="s">
        <v>12099</v>
      </c>
      <c r="I5471" t="s">
        <v>198</v>
      </c>
    </row>
    <row r="5472" spans="1:10" x14ac:dyDescent="0.3">
      <c r="A5472" t="s">
        <v>15018</v>
      </c>
      <c r="B5472" t="s">
        <v>29691</v>
      </c>
      <c r="C5472" t="s">
        <v>20488</v>
      </c>
      <c r="D5472" t="s">
        <v>22</v>
      </c>
      <c r="E5472" t="s">
        <v>15019</v>
      </c>
      <c r="F5472">
        <v>41</v>
      </c>
      <c r="G5472" t="s">
        <v>172</v>
      </c>
      <c r="H5472" t="s">
        <v>12099</v>
      </c>
      <c r="I5472" t="s">
        <v>3978</v>
      </c>
      <c r="J5472" t="s">
        <v>14722</v>
      </c>
    </row>
    <row r="5473" spans="1:10" x14ac:dyDescent="0.3">
      <c r="A5473" t="s">
        <v>15020</v>
      </c>
      <c r="B5473" t="s">
        <v>29692</v>
      </c>
      <c r="C5473" t="s">
        <v>20486</v>
      </c>
      <c r="D5473" t="s">
        <v>22</v>
      </c>
      <c r="E5473" t="s">
        <v>15021</v>
      </c>
      <c r="F5473">
        <v>50</v>
      </c>
      <c r="G5473" t="s">
        <v>46</v>
      </c>
      <c r="H5473" t="s">
        <v>46</v>
      </c>
      <c r="I5473" t="s">
        <v>228</v>
      </c>
      <c r="J5473" t="s">
        <v>15022</v>
      </c>
    </row>
    <row r="5474" spans="1:10" x14ac:dyDescent="0.3">
      <c r="A5474" t="s">
        <v>15023</v>
      </c>
      <c r="B5474" t="s">
        <v>29693</v>
      </c>
      <c r="C5474" t="s">
        <v>20488</v>
      </c>
      <c r="D5474" t="s">
        <v>22</v>
      </c>
      <c r="E5474" t="s">
        <v>15024</v>
      </c>
      <c r="F5474">
        <v>51</v>
      </c>
      <c r="G5474" t="s">
        <v>31</v>
      </c>
      <c r="H5474" t="s">
        <v>31</v>
      </c>
    </row>
    <row r="5475" spans="1:10" x14ac:dyDescent="0.3">
      <c r="A5475" t="s">
        <v>15025</v>
      </c>
      <c r="B5475" t="s">
        <v>29694</v>
      </c>
      <c r="C5475" t="s">
        <v>20490</v>
      </c>
      <c r="D5475" t="s">
        <v>22</v>
      </c>
      <c r="E5475" t="s">
        <v>15026</v>
      </c>
      <c r="F5475">
        <v>43</v>
      </c>
      <c r="G5475" t="s">
        <v>46</v>
      </c>
      <c r="H5475" t="s">
        <v>46</v>
      </c>
      <c r="I5475" t="s">
        <v>15027</v>
      </c>
    </row>
    <row r="5476" spans="1:10" x14ac:dyDescent="0.3">
      <c r="A5476" t="s">
        <v>15028</v>
      </c>
      <c r="B5476" t="s">
        <v>29695</v>
      </c>
      <c r="C5476" t="s">
        <v>20486</v>
      </c>
      <c r="D5476" t="s">
        <v>22</v>
      </c>
      <c r="E5476" t="s">
        <v>15029</v>
      </c>
      <c r="F5476">
        <v>68</v>
      </c>
      <c r="G5476" t="s">
        <v>46</v>
      </c>
      <c r="H5476" t="s">
        <v>46</v>
      </c>
      <c r="I5476" t="s">
        <v>201</v>
      </c>
      <c r="J5476" t="s">
        <v>15030</v>
      </c>
    </row>
    <row r="5477" spans="1:10" x14ac:dyDescent="0.3">
      <c r="A5477" t="s">
        <v>15031</v>
      </c>
      <c r="B5477" t="s">
        <v>29696</v>
      </c>
      <c r="C5477" t="s">
        <v>20488</v>
      </c>
      <c r="D5477" t="s">
        <v>22</v>
      </c>
      <c r="E5477" t="s">
        <v>7873</v>
      </c>
      <c r="F5477">
        <v>44</v>
      </c>
      <c r="G5477" t="s">
        <v>16</v>
      </c>
      <c r="H5477" t="s">
        <v>9785</v>
      </c>
      <c r="I5477" t="s">
        <v>17</v>
      </c>
      <c r="J5477" t="s">
        <v>1987</v>
      </c>
    </row>
    <row r="5478" spans="1:10" x14ac:dyDescent="0.3">
      <c r="A5478" t="s">
        <v>15032</v>
      </c>
      <c r="B5478" t="s">
        <v>29697</v>
      </c>
      <c r="C5478" t="s">
        <v>20487</v>
      </c>
      <c r="D5478" t="s">
        <v>22</v>
      </c>
      <c r="E5478" t="s">
        <v>15033</v>
      </c>
      <c r="F5478">
        <v>49</v>
      </c>
      <c r="G5478" t="s">
        <v>109</v>
      </c>
      <c r="H5478" t="s">
        <v>9788</v>
      </c>
    </row>
    <row r="5479" spans="1:10" x14ac:dyDescent="0.3">
      <c r="A5479" t="s">
        <v>15034</v>
      </c>
      <c r="B5479" t="s">
        <v>29698</v>
      </c>
      <c r="C5479" t="s">
        <v>20487</v>
      </c>
      <c r="D5479" t="s">
        <v>11</v>
      </c>
      <c r="E5479" t="s">
        <v>15035</v>
      </c>
      <c r="F5479">
        <v>42</v>
      </c>
      <c r="G5479" t="s">
        <v>46</v>
      </c>
      <c r="H5479" t="s">
        <v>46</v>
      </c>
      <c r="I5479" t="s">
        <v>12762</v>
      </c>
    </row>
    <row r="5480" spans="1:10" x14ac:dyDescent="0.3">
      <c r="A5480" t="s">
        <v>15036</v>
      </c>
      <c r="B5480" t="s">
        <v>29699</v>
      </c>
      <c r="C5480" t="s">
        <v>20488</v>
      </c>
      <c r="D5480" t="s">
        <v>22</v>
      </c>
      <c r="E5480" t="s">
        <v>15037</v>
      </c>
      <c r="F5480">
        <v>35</v>
      </c>
      <c r="G5480" t="s">
        <v>31</v>
      </c>
      <c r="H5480" t="s">
        <v>31</v>
      </c>
    </row>
    <row r="5481" spans="1:10" x14ac:dyDescent="0.3">
      <c r="A5481" t="s">
        <v>15038</v>
      </c>
      <c r="B5481" t="s">
        <v>29700</v>
      </c>
      <c r="C5481" t="s">
        <v>20491</v>
      </c>
      <c r="D5481" t="s">
        <v>11</v>
      </c>
      <c r="E5481" t="s">
        <v>15039</v>
      </c>
      <c r="F5481">
        <v>22</v>
      </c>
      <c r="G5481" t="s">
        <v>109</v>
      </c>
      <c r="H5481" t="s">
        <v>9788</v>
      </c>
      <c r="J5481" t="s">
        <v>14628</v>
      </c>
    </row>
    <row r="5482" spans="1:10" x14ac:dyDescent="0.3">
      <c r="A5482" t="s">
        <v>15040</v>
      </c>
      <c r="B5482" t="s">
        <v>29701</v>
      </c>
      <c r="C5482" t="s">
        <v>20491</v>
      </c>
      <c r="D5482" t="s">
        <v>11</v>
      </c>
      <c r="E5482" t="s">
        <v>15041</v>
      </c>
      <c r="F5482">
        <v>23</v>
      </c>
      <c r="G5482" t="s">
        <v>109</v>
      </c>
      <c r="H5482" t="s">
        <v>9788</v>
      </c>
      <c r="I5482" t="s">
        <v>15042</v>
      </c>
      <c r="J5482" t="s">
        <v>14628</v>
      </c>
    </row>
    <row r="5483" spans="1:10" x14ac:dyDescent="0.3">
      <c r="A5483" t="s">
        <v>15043</v>
      </c>
      <c r="B5483" t="s">
        <v>29702</v>
      </c>
      <c r="C5483" t="s">
        <v>20489</v>
      </c>
      <c r="D5483" t="s">
        <v>22</v>
      </c>
      <c r="E5483" t="s">
        <v>15044</v>
      </c>
      <c r="F5483">
        <v>48</v>
      </c>
      <c r="G5483" t="s">
        <v>370</v>
      </c>
      <c r="H5483" t="s">
        <v>46</v>
      </c>
      <c r="I5483" t="s">
        <v>15045</v>
      </c>
    </row>
    <row r="5484" spans="1:10" x14ac:dyDescent="0.3">
      <c r="A5484" t="s">
        <v>15046</v>
      </c>
      <c r="B5484" t="s">
        <v>29703</v>
      </c>
      <c r="C5484" t="s">
        <v>20489</v>
      </c>
      <c r="D5484" t="s">
        <v>22</v>
      </c>
      <c r="E5484" t="s">
        <v>15047</v>
      </c>
      <c r="F5484">
        <v>51</v>
      </c>
      <c r="G5484" t="s">
        <v>370</v>
      </c>
      <c r="H5484" t="s">
        <v>46</v>
      </c>
      <c r="I5484" t="s">
        <v>228</v>
      </c>
    </row>
    <row r="5485" spans="1:10" x14ac:dyDescent="0.3">
      <c r="A5485" t="s">
        <v>15048</v>
      </c>
      <c r="B5485" t="s">
        <v>29704</v>
      </c>
      <c r="C5485" t="s">
        <v>20489</v>
      </c>
      <c r="D5485" t="s">
        <v>22</v>
      </c>
      <c r="E5485" t="s">
        <v>15049</v>
      </c>
      <c r="F5485">
        <v>67</v>
      </c>
      <c r="G5485" t="s">
        <v>370</v>
      </c>
      <c r="H5485" t="s">
        <v>46</v>
      </c>
      <c r="I5485" t="s">
        <v>15050</v>
      </c>
    </row>
    <row r="5486" spans="1:10" x14ac:dyDescent="0.3">
      <c r="A5486" t="s">
        <v>15051</v>
      </c>
      <c r="B5486" t="s">
        <v>29705</v>
      </c>
      <c r="C5486" t="s">
        <v>20487</v>
      </c>
      <c r="D5486" t="s">
        <v>22</v>
      </c>
      <c r="E5486" t="s">
        <v>15052</v>
      </c>
      <c r="F5486">
        <v>65</v>
      </c>
      <c r="G5486" t="s">
        <v>31</v>
      </c>
      <c r="H5486" t="s">
        <v>31</v>
      </c>
    </row>
    <row r="5487" spans="1:10" x14ac:dyDescent="0.3">
      <c r="A5487" t="s">
        <v>15053</v>
      </c>
      <c r="B5487" t="s">
        <v>29706</v>
      </c>
      <c r="C5487" t="s">
        <v>20489</v>
      </c>
      <c r="D5487" t="s">
        <v>22</v>
      </c>
      <c r="E5487" t="s">
        <v>7567</v>
      </c>
      <c r="F5487">
        <v>46</v>
      </c>
      <c r="G5487" t="s">
        <v>46</v>
      </c>
      <c r="H5487" t="s">
        <v>46</v>
      </c>
      <c r="I5487" t="s">
        <v>219</v>
      </c>
    </row>
    <row r="5488" spans="1:10" x14ac:dyDescent="0.3">
      <c r="A5488" t="s">
        <v>15054</v>
      </c>
      <c r="B5488" t="s">
        <v>29707</v>
      </c>
      <c r="C5488" t="s">
        <v>20488</v>
      </c>
      <c r="D5488" t="s">
        <v>22</v>
      </c>
      <c r="E5488" t="s">
        <v>5603</v>
      </c>
      <c r="F5488">
        <v>47</v>
      </c>
      <c r="G5488" t="s">
        <v>370</v>
      </c>
      <c r="H5488" t="s">
        <v>46</v>
      </c>
      <c r="I5488" t="s">
        <v>139</v>
      </c>
      <c r="J5488" t="s">
        <v>15055</v>
      </c>
    </row>
    <row r="5489" spans="1:10" x14ac:dyDescent="0.3">
      <c r="A5489" t="s">
        <v>15056</v>
      </c>
      <c r="B5489" t="s">
        <v>29708</v>
      </c>
      <c r="C5489" t="s">
        <v>20486</v>
      </c>
      <c r="D5489" t="s">
        <v>11</v>
      </c>
      <c r="E5489" t="s">
        <v>15057</v>
      </c>
      <c r="F5489">
        <v>31</v>
      </c>
      <c r="G5489" t="s">
        <v>46</v>
      </c>
      <c r="H5489" t="s">
        <v>46</v>
      </c>
      <c r="I5489" t="s">
        <v>228</v>
      </c>
      <c r="J5489" t="s">
        <v>15058</v>
      </c>
    </row>
    <row r="5490" spans="1:10" x14ac:dyDescent="0.3">
      <c r="A5490" t="s">
        <v>15059</v>
      </c>
      <c r="B5490" t="s">
        <v>29709</v>
      </c>
      <c r="C5490" t="s">
        <v>20490</v>
      </c>
      <c r="D5490" t="s">
        <v>11</v>
      </c>
      <c r="E5490" t="s">
        <v>7250</v>
      </c>
      <c r="F5490">
        <v>54</v>
      </c>
      <c r="G5490" t="s">
        <v>133</v>
      </c>
      <c r="H5490" t="s">
        <v>9789</v>
      </c>
    </row>
    <row r="5491" spans="1:10" x14ac:dyDescent="0.3">
      <c r="A5491" t="s">
        <v>15060</v>
      </c>
      <c r="B5491" t="s">
        <v>29710</v>
      </c>
      <c r="C5491" t="s">
        <v>20489</v>
      </c>
      <c r="D5491" t="s">
        <v>22</v>
      </c>
      <c r="E5491" t="s">
        <v>15061</v>
      </c>
      <c r="F5491">
        <v>55</v>
      </c>
      <c r="G5491" t="s">
        <v>370</v>
      </c>
      <c r="H5491" t="s">
        <v>46</v>
      </c>
      <c r="I5491" t="s">
        <v>15062</v>
      </c>
    </row>
    <row r="5492" spans="1:10" x14ac:dyDescent="0.3">
      <c r="A5492" t="s">
        <v>15063</v>
      </c>
      <c r="B5492" t="s">
        <v>29711</v>
      </c>
      <c r="C5492" t="s">
        <v>20486</v>
      </c>
      <c r="D5492" t="s">
        <v>22</v>
      </c>
      <c r="E5492" t="s">
        <v>9782</v>
      </c>
      <c r="F5492">
        <v>24</v>
      </c>
      <c r="G5492" t="s">
        <v>109</v>
      </c>
      <c r="H5492" t="s">
        <v>9788</v>
      </c>
      <c r="I5492" t="s">
        <v>12602</v>
      </c>
      <c r="J5492" t="s">
        <v>14498</v>
      </c>
    </row>
    <row r="5493" spans="1:10" x14ac:dyDescent="0.3">
      <c r="A5493" t="s">
        <v>15064</v>
      </c>
      <c r="B5493" t="s">
        <v>29712</v>
      </c>
      <c r="C5493" t="s">
        <v>20486</v>
      </c>
      <c r="D5493" t="s">
        <v>22</v>
      </c>
      <c r="E5493" t="s">
        <v>15065</v>
      </c>
      <c r="F5493">
        <v>33</v>
      </c>
      <c r="G5493" t="s">
        <v>16</v>
      </c>
      <c r="H5493" t="s">
        <v>9785</v>
      </c>
      <c r="I5493" t="s">
        <v>8693</v>
      </c>
      <c r="J5493" t="s">
        <v>15066</v>
      </c>
    </row>
    <row r="5494" spans="1:10" x14ac:dyDescent="0.3">
      <c r="A5494" t="s">
        <v>15067</v>
      </c>
      <c r="B5494" t="s">
        <v>29713</v>
      </c>
      <c r="C5494" t="s">
        <v>20486</v>
      </c>
      <c r="D5494" t="s">
        <v>22</v>
      </c>
      <c r="E5494" t="s">
        <v>15068</v>
      </c>
      <c r="F5494">
        <v>59</v>
      </c>
      <c r="G5494" t="s">
        <v>46</v>
      </c>
      <c r="H5494" t="s">
        <v>46</v>
      </c>
      <c r="I5494" t="s">
        <v>201</v>
      </c>
      <c r="J5494" t="s">
        <v>15069</v>
      </c>
    </row>
    <row r="5495" spans="1:10" x14ac:dyDescent="0.3">
      <c r="A5495" t="s">
        <v>15070</v>
      </c>
      <c r="B5495" t="s">
        <v>29714</v>
      </c>
      <c r="C5495" t="s">
        <v>20489</v>
      </c>
      <c r="D5495" t="s">
        <v>22</v>
      </c>
      <c r="E5495" t="s">
        <v>15071</v>
      </c>
      <c r="F5495">
        <v>26</v>
      </c>
      <c r="G5495" t="s">
        <v>46</v>
      </c>
      <c r="H5495" t="s">
        <v>46</v>
      </c>
      <c r="I5495" t="s">
        <v>15072</v>
      </c>
      <c r="J5495" t="s">
        <v>15073</v>
      </c>
    </row>
    <row r="5496" spans="1:10" x14ac:dyDescent="0.3">
      <c r="A5496" t="s">
        <v>15074</v>
      </c>
      <c r="B5496" t="s">
        <v>29715</v>
      </c>
      <c r="C5496" t="s">
        <v>20491</v>
      </c>
      <c r="D5496" t="s">
        <v>22</v>
      </c>
      <c r="E5496" t="s">
        <v>7935</v>
      </c>
      <c r="F5496">
        <v>43</v>
      </c>
      <c r="G5496" t="s">
        <v>46</v>
      </c>
      <c r="H5496" t="s">
        <v>46</v>
      </c>
      <c r="I5496" t="s">
        <v>15075</v>
      </c>
    </row>
    <row r="5497" spans="1:10" x14ac:dyDescent="0.3">
      <c r="A5497" t="s">
        <v>15076</v>
      </c>
      <c r="B5497" t="s">
        <v>29716</v>
      </c>
      <c r="C5497" t="s">
        <v>20487</v>
      </c>
      <c r="D5497" t="s">
        <v>22</v>
      </c>
      <c r="E5497" t="s">
        <v>15077</v>
      </c>
      <c r="F5497">
        <v>45</v>
      </c>
      <c r="G5497" t="s">
        <v>16</v>
      </c>
      <c r="H5497" t="s">
        <v>9785</v>
      </c>
      <c r="J5497" t="s">
        <v>15078</v>
      </c>
    </row>
    <row r="5498" spans="1:10" x14ac:dyDescent="0.3">
      <c r="A5498" t="s">
        <v>15079</v>
      </c>
      <c r="B5498" t="s">
        <v>29717</v>
      </c>
      <c r="C5498" t="s">
        <v>20491</v>
      </c>
      <c r="D5498" t="s">
        <v>22</v>
      </c>
      <c r="E5498" t="s">
        <v>15080</v>
      </c>
      <c r="F5498">
        <v>24</v>
      </c>
      <c r="G5498" t="s">
        <v>109</v>
      </c>
      <c r="H5498" t="s">
        <v>9788</v>
      </c>
      <c r="I5498" t="s">
        <v>1074</v>
      </c>
      <c r="J5498" t="s">
        <v>15081</v>
      </c>
    </row>
    <row r="5499" spans="1:10" x14ac:dyDescent="0.3">
      <c r="A5499" t="s">
        <v>15082</v>
      </c>
      <c r="B5499" t="s">
        <v>29718</v>
      </c>
      <c r="C5499" t="s">
        <v>20486</v>
      </c>
      <c r="D5499" t="s">
        <v>22</v>
      </c>
      <c r="E5499" t="s">
        <v>15083</v>
      </c>
      <c r="F5499">
        <v>33</v>
      </c>
      <c r="G5499" t="s">
        <v>31</v>
      </c>
      <c r="H5499" t="s">
        <v>31</v>
      </c>
    </row>
    <row r="5500" spans="1:10" x14ac:dyDescent="0.3">
      <c r="A5500" t="s">
        <v>15084</v>
      </c>
      <c r="B5500" t="s">
        <v>29719</v>
      </c>
      <c r="C5500" t="s">
        <v>20488</v>
      </c>
      <c r="D5500" t="s">
        <v>22</v>
      </c>
      <c r="E5500" t="s">
        <v>13336</v>
      </c>
      <c r="F5500">
        <v>42</v>
      </c>
      <c r="G5500" t="s">
        <v>109</v>
      </c>
      <c r="H5500" t="s">
        <v>9788</v>
      </c>
      <c r="I5500" t="s">
        <v>1074</v>
      </c>
      <c r="J5500" t="s">
        <v>15085</v>
      </c>
    </row>
    <row r="5501" spans="1:10" x14ac:dyDescent="0.3">
      <c r="A5501" t="s">
        <v>15086</v>
      </c>
      <c r="B5501" t="s">
        <v>29720</v>
      </c>
      <c r="C5501" t="s">
        <v>20487</v>
      </c>
      <c r="D5501" t="s">
        <v>22</v>
      </c>
      <c r="E5501" t="s">
        <v>5882</v>
      </c>
      <c r="F5501">
        <v>27</v>
      </c>
      <c r="G5501" t="s">
        <v>109</v>
      </c>
      <c r="H5501" t="s">
        <v>9788</v>
      </c>
      <c r="I5501" t="s">
        <v>481</v>
      </c>
      <c r="J5501" t="s">
        <v>15087</v>
      </c>
    </row>
    <row r="5502" spans="1:10" x14ac:dyDescent="0.3">
      <c r="A5502" t="s">
        <v>15088</v>
      </c>
      <c r="B5502" t="s">
        <v>29721</v>
      </c>
      <c r="C5502" t="s">
        <v>20486</v>
      </c>
      <c r="D5502" t="s">
        <v>11</v>
      </c>
      <c r="E5502" t="s">
        <v>15089</v>
      </c>
      <c r="F5502">
        <v>22</v>
      </c>
      <c r="G5502" t="s">
        <v>109</v>
      </c>
      <c r="H5502" t="s">
        <v>9788</v>
      </c>
      <c r="I5502" t="s">
        <v>228</v>
      </c>
      <c r="J5502" t="s">
        <v>13185</v>
      </c>
    </row>
    <row r="5503" spans="1:10" x14ac:dyDescent="0.3">
      <c r="A5503" t="s">
        <v>15090</v>
      </c>
      <c r="B5503" t="s">
        <v>29722</v>
      </c>
      <c r="C5503" t="s">
        <v>20486</v>
      </c>
      <c r="D5503" t="s">
        <v>11</v>
      </c>
      <c r="E5503" t="s">
        <v>9639</v>
      </c>
      <c r="F5503">
        <v>20</v>
      </c>
      <c r="G5503" t="s">
        <v>109</v>
      </c>
      <c r="H5503" t="s">
        <v>9788</v>
      </c>
      <c r="I5503" t="s">
        <v>228</v>
      </c>
      <c r="J5503" t="s">
        <v>13185</v>
      </c>
    </row>
    <row r="5504" spans="1:10" x14ac:dyDescent="0.3">
      <c r="A5504" t="s">
        <v>15091</v>
      </c>
      <c r="B5504" t="s">
        <v>29723</v>
      </c>
      <c r="C5504" t="s">
        <v>20486</v>
      </c>
      <c r="D5504" t="s">
        <v>22</v>
      </c>
      <c r="E5504" t="s">
        <v>15092</v>
      </c>
      <c r="F5504">
        <v>46</v>
      </c>
      <c r="G5504" t="s">
        <v>172</v>
      </c>
      <c r="H5504" t="s">
        <v>12099</v>
      </c>
      <c r="J5504" t="s">
        <v>7104</v>
      </c>
    </row>
    <row r="5505" spans="1:10" x14ac:dyDescent="0.3">
      <c r="A5505" t="s">
        <v>15093</v>
      </c>
      <c r="B5505" t="s">
        <v>29724</v>
      </c>
      <c r="C5505" t="s">
        <v>20491</v>
      </c>
      <c r="D5505" t="s">
        <v>22</v>
      </c>
      <c r="E5505" t="s">
        <v>15094</v>
      </c>
      <c r="F5505">
        <v>29</v>
      </c>
      <c r="G5505" t="s">
        <v>31</v>
      </c>
      <c r="H5505" t="s">
        <v>31</v>
      </c>
    </row>
    <row r="5506" spans="1:10" x14ac:dyDescent="0.3">
      <c r="A5506" t="s">
        <v>15095</v>
      </c>
      <c r="B5506" t="s">
        <v>29725</v>
      </c>
      <c r="C5506" t="s">
        <v>20488</v>
      </c>
      <c r="D5506" t="s">
        <v>22</v>
      </c>
      <c r="E5506" t="s">
        <v>15096</v>
      </c>
      <c r="F5506">
        <v>20</v>
      </c>
      <c r="G5506" t="s">
        <v>109</v>
      </c>
      <c r="H5506" t="s">
        <v>9788</v>
      </c>
      <c r="I5506" t="s">
        <v>228</v>
      </c>
      <c r="J5506" t="s">
        <v>3793</v>
      </c>
    </row>
    <row r="5507" spans="1:10" x14ac:dyDescent="0.3">
      <c r="A5507" t="s">
        <v>15097</v>
      </c>
      <c r="B5507" t="s">
        <v>29726</v>
      </c>
      <c r="C5507" t="s">
        <v>20486</v>
      </c>
      <c r="D5507" t="s">
        <v>11</v>
      </c>
      <c r="E5507" t="s">
        <v>6753</v>
      </c>
      <c r="F5507">
        <v>37</v>
      </c>
      <c r="G5507" t="s">
        <v>46</v>
      </c>
      <c r="H5507" t="s">
        <v>46</v>
      </c>
      <c r="I5507" t="s">
        <v>228</v>
      </c>
      <c r="J5507" t="s">
        <v>15098</v>
      </c>
    </row>
    <row r="5508" spans="1:10" x14ac:dyDescent="0.3">
      <c r="A5508" t="s">
        <v>15099</v>
      </c>
      <c r="B5508" t="s">
        <v>29727</v>
      </c>
      <c r="C5508" t="s">
        <v>20486</v>
      </c>
      <c r="D5508" t="s">
        <v>11</v>
      </c>
      <c r="E5508" t="s">
        <v>15100</v>
      </c>
      <c r="F5508">
        <v>22</v>
      </c>
      <c r="G5508" t="s">
        <v>1820</v>
      </c>
      <c r="H5508" t="s">
        <v>46</v>
      </c>
      <c r="I5508" t="s">
        <v>228</v>
      </c>
      <c r="J5508" t="s">
        <v>3793</v>
      </c>
    </row>
    <row r="5509" spans="1:10" x14ac:dyDescent="0.3">
      <c r="A5509" t="s">
        <v>15101</v>
      </c>
      <c r="B5509" t="s">
        <v>29728</v>
      </c>
      <c r="C5509" t="s">
        <v>20486</v>
      </c>
      <c r="D5509" t="s">
        <v>11</v>
      </c>
      <c r="E5509" t="s">
        <v>878</v>
      </c>
      <c r="F5509">
        <v>62</v>
      </c>
      <c r="G5509" t="s">
        <v>46</v>
      </c>
      <c r="H5509" t="s">
        <v>46</v>
      </c>
      <c r="I5509" t="s">
        <v>15102</v>
      </c>
    </row>
    <row r="5510" spans="1:10" x14ac:dyDescent="0.3">
      <c r="A5510" t="s">
        <v>15103</v>
      </c>
      <c r="B5510" t="s">
        <v>29729</v>
      </c>
      <c r="C5510" t="s">
        <v>20486</v>
      </c>
      <c r="D5510" t="s">
        <v>22</v>
      </c>
      <c r="E5510" t="s">
        <v>5572</v>
      </c>
      <c r="F5510">
        <v>28</v>
      </c>
      <c r="G5510" t="s">
        <v>46</v>
      </c>
      <c r="H5510" t="s">
        <v>46</v>
      </c>
      <c r="I5510" t="s">
        <v>201</v>
      </c>
    </row>
    <row r="5511" spans="1:10" x14ac:dyDescent="0.3">
      <c r="A5511" t="s">
        <v>15104</v>
      </c>
      <c r="B5511" t="s">
        <v>29730</v>
      </c>
      <c r="C5511" t="s">
        <v>20491</v>
      </c>
      <c r="D5511" t="s">
        <v>11</v>
      </c>
      <c r="E5511" t="s">
        <v>8849</v>
      </c>
      <c r="F5511">
        <v>24</v>
      </c>
      <c r="G5511" t="s">
        <v>3473</v>
      </c>
      <c r="H5511" t="s">
        <v>9789</v>
      </c>
      <c r="J5511" t="s">
        <v>15105</v>
      </c>
    </row>
    <row r="5512" spans="1:10" x14ac:dyDescent="0.3">
      <c r="A5512" t="s">
        <v>15106</v>
      </c>
      <c r="B5512" t="s">
        <v>29731</v>
      </c>
      <c r="C5512" t="s">
        <v>20486</v>
      </c>
      <c r="D5512" t="s">
        <v>11</v>
      </c>
      <c r="E5512" t="s">
        <v>15107</v>
      </c>
      <c r="F5512">
        <v>32</v>
      </c>
      <c r="G5512" t="s">
        <v>109</v>
      </c>
      <c r="H5512" t="s">
        <v>9788</v>
      </c>
      <c r="J5512" t="s">
        <v>15108</v>
      </c>
    </row>
    <row r="5513" spans="1:10" x14ac:dyDescent="0.3">
      <c r="A5513" t="s">
        <v>15109</v>
      </c>
      <c r="B5513" t="s">
        <v>29732</v>
      </c>
      <c r="C5513" t="s">
        <v>20491</v>
      </c>
      <c r="D5513" t="s">
        <v>11</v>
      </c>
      <c r="E5513" t="s">
        <v>15110</v>
      </c>
      <c r="F5513">
        <v>23</v>
      </c>
      <c r="G5513" t="s">
        <v>46</v>
      </c>
      <c r="H5513" t="s">
        <v>46</v>
      </c>
      <c r="J5513" t="s">
        <v>15111</v>
      </c>
    </row>
    <row r="5514" spans="1:10" x14ac:dyDescent="0.3">
      <c r="A5514" t="s">
        <v>15112</v>
      </c>
      <c r="B5514" t="s">
        <v>29733</v>
      </c>
      <c r="C5514" t="s">
        <v>20487</v>
      </c>
      <c r="D5514" t="s">
        <v>11</v>
      </c>
      <c r="E5514" t="s">
        <v>15113</v>
      </c>
      <c r="F5514">
        <v>29</v>
      </c>
      <c r="G5514" t="s">
        <v>46</v>
      </c>
      <c r="H5514" t="s">
        <v>46</v>
      </c>
      <c r="I5514" t="s">
        <v>14823</v>
      </c>
    </row>
    <row r="5515" spans="1:10" x14ac:dyDescent="0.3">
      <c r="A5515" t="s">
        <v>15114</v>
      </c>
      <c r="B5515" t="s">
        <v>29734</v>
      </c>
      <c r="C5515" t="s">
        <v>20487</v>
      </c>
      <c r="D5515" t="s">
        <v>22</v>
      </c>
      <c r="E5515" t="s">
        <v>2182</v>
      </c>
      <c r="F5515">
        <v>39</v>
      </c>
      <c r="G5515" t="s">
        <v>109</v>
      </c>
      <c r="H5515" t="s">
        <v>9788</v>
      </c>
      <c r="J5515" t="s">
        <v>14066</v>
      </c>
    </row>
    <row r="5516" spans="1:10" x14ac:dyDescent="0.3">
      <c r="A5516" t="s">
        <v>15115</v>
      </c>
      <c r="B5516" t="s">
        <v>29735</v>
      </c>
      <c r="C5516" t="s">
        <v>20486</v>
      </c>
      <c r="D5516" t="s">
        <v>22</v>
      </c>
      <c r="E5516" t="s">
        <v>15116</v>
      </c>
      <c r="F5516">
        <v>48</v>
      </c>
      <c r="G5516" t="s">
        <v>46</v>
      </c>
      <c r="H5516" t="s">
        <v>46</v>
      </c>
      <c r="I5516" t="s">
        <v>201</v>
      </c>
      <c r="J5516" t="s">
        <v>15117</v>
      </c>
    </row>
    <row r="5517" spans="1:10" x14ac:dyDescent="0.3">
      <c r="A5517" t="s">
        <v>15118</v>
      </c>
      <c r="B5517" t="s">
        <v>29736</v>
      </c>
      <c r="C5517" t="s">
        <v>20486</v>
      </c>
      <c r="D5517" t="s">
        <v>11</v>
      </c>
      <c r="E5517" t="s">
        <v>15119</v>
      </c>
      <c r="F5517">
        <v>21</v>
      </c>
      <c r="G5517" t="s">
        <v>109</v>
      </c>
      <c r="H5517" t="s">
        <v>9788</v>
      </c>
      <c r="I5517" t="s">
        <v>228</v>
      </c>
      <c r="J5517" t="s">
        <v>15120</v>
      </c>
    </row>
    <row r="5518" spans="1:10" x14ac:dyDescent="0.3">
      <c r="A5518" t="s">
        <v>15121</v>
      </c>
      <c r="B5518" t="s">
        <v>29737</v>
      </c>
      <c r="C5518" t="s">
        <v>20486</v>
      </c>
      <c r="D5518" t="s">
        <v>11</v>
      </c>
      <c r="E5518" t="s">
        <v>15122</v>
      </c>
      <c r="F5518">
        <v>29</v>
      </c>
      <c r="G5518" t="s">
        <v>109</v>
      </c>
      <c r="H5518" t="s">
        <v>9788</v>
      </c>
      <c r="I5518" t="s">
        <v>779</v>
      </c>
      <c r="J5518" t="s">
        <v>15123</v>
      </c>
    </row>
    <row r="5519" spans="1:10" x14ac:dyDescent="0.3">
      <c r="A5519" t="s">
        <v>15124</v>
      </c>
      <c r="B5519" t="s">
        <v>29738</v>
      </c>
      <c r="C5519" t="s">
        <v>20486</v>
      </c>
      <c r="D5519" t="s">
        <v>22</v>
      </c>
      <c r="E5519" t="s">
        <v>15125</v>
      </c>
      <c r="F5519">
        <v>49</v>
      </c>
      <c r="G5519" t="s">
        <v>46</v>
      </c>
      <c r="H5519" t="s">
        <v>46</v>
      </c>
      <c r="I5519" t="s">
        <v>15126</v>
      </c>
      <c r="J5519" t="s">
        <v>3820</v>
      </c>
    </row>
    <row r="5520" spans="1:10" x14ac:dyDescent="0.3">
      <c r="A5520" t="s">
        <v>15127</v>
      </c>
      <c r="B5520" t="s">
        <v>29739</v>
      </c>
      <c r="C5520" t="s">
        <v>20486</v>
      </c>
      <c r="D5520" t="s">
        <v>22</v>
      </c>
      <c r="E5520" t="s">
        <v>2180</v>
      </c>
      <c r="F5520">
        <v>57</v>
      </c>
      <c r="G5520" t="s">
        <v>31</v>
      </c>
      <c r="H5520" t="s">
        <v>31</v>
      </c>
    </row>
    <row r="5521" spans="1:10" x14ac:dyDescent="0.3">
      <c r="A5521" t="s">
        <v>15128</v>
      </c>
      <c r="B5521" t="s">
        <v>29740</v>
      </c>
      <c r="C5521" t="s">
        <v>20486</v>
      </c>
      <c r="D5521" t="s">
        <v>22</v>
      </c>
      <c r="E5521" t="s">
        <v>6487</v>
      </c>
      <c r="F5521">
        <v>58</v>
      </c>
      <c r="G5521" t="s">
        <v>46</v>
      </c>
      <c r="H5521" t="s">
        <v>46</v>
      </c>
      <c r="I5521" t="s">
        <v>228</v>
      </c>
      <c r="J5521" t="s">
        <v>15129</v>
      </c>
    </row>
    <row r="5522" spans="1:10" x14ac:dyDescent="0.3">
      <c r="A5522" t="s">
        <v>15130</v>
      </c>
      <c r="B5522" t="s">
        <v>29741</v>
      </c>
      <c r="C5522" t="s">
        <v>20486</v>
      </c>
      <c r="D5522" t="s">
        <v>22</v>
      </c>
      <c r="E5522" t="s">
        <v>15131</v>
      </c>
      <c r="F5522">
        <v>35</v>
      </c>
      <c r="G5522" t="s">
        <v>46</v>
      </c>
      <c r="H5522" t="s">
        <v>46</v>
      </c>
    </row>
    <row r="5523" spans="1:10" x14ac:dyDescent="0.3">
      <c r="A5523" t="s">
        <v>15132</v>
      </c>
      <c r="B5523" t="s">
        <v>29742</v>
      </c>
      <c r="C5523" t="s">
        <v>20486</v>
      </c>
      <c r="D5523" t="s">
        <v>22</v>
      </c>
      <c r="E5523" t="s">
        <v>8594</v>
      </c>
      <c r="F5523">
        <v>27</v>
      </c>
      <c r="G5523" t="s">
        <v>31</v>
      </c>
      <c r="H5523" t="s">
        <v>31</v>
      </c>
    </row>
    <row r="5524" spans="1:10" x14ac:dyDescent="0.3">
      <c r="A5524" t="s">
        <v>15133</v>
      </c>
      <c r="B5524" t="s">
        <v>29743</v>
      </c>
      <c r="C5524" t="s">
        <v>20489</v>
      </c>
      <c r="D5524" t="s">
        <v>22</v>
      </c>
      <c r="E5524" t="s">
        <v>8181</v>
      </c>
      <c r="F5524">
        <v>66</v>
      </c>
      <c r="G5524" t="s">
        <v>370</v>
      </c>
      <c r="H5524" t="s">
        <v>46</v>
      </c>
      <c r="I5524" t="s">
        <v>228</v>
      </c>
      <c r="J5524" t="s">
        <v>15134</v>
      </c>
    </row>
    <row r="5525" spans="1:10" x14ac:dyDescent="0.3">
      <c r="A5525" t="s">
        <v>15135</v>
      </c>
      <c r="B5525" t="s">
        <v>29744</v>
      </c>
      <c r="C5525" t="s">
        <v>20486</v>
      </c>
      <c r="D5525" t="s">
        <v>22</v>
      </c>
      <c r="E5525" t="s">
        <v>15136</v>
      </c>
      <c r="F5525">
        <v>50</v>
      </c>
      <c r="G5525" t="s">
        <v>46</v>
      </c>
      <c r="H5525" t="s">
        <v>46</v>
      </c>
      <c r="I5525" t="s">
        <v>1276</v>
      </c>
      <c r="J5525" t="s">
        <v>1276</v>
      </c>
    </row>
    <row r="5526" spans="1:10" x14ac:dyDescent="0.3">
      <c r="A5526" t="s">
        <v>15137</v>
      </c>
      <c r="B5526" t="s">
        <v>29745</v>
      </c>
      <c r="C5526" t="s">
        <v>20486</v>
      </c>
      <c r="D5526" t="s">
        <v>22</v>
      </c>
      <c r="E5526" t="s">
        <v>15138</v>
      </c>
      <c r="F5526">
        <v>40</v>
      </c>
      <c r="G5526" t="s">
        <v>109</v>
      </c>
      <c r="H5526" t="s">
        <v>9788</v>
      </c>
      <c r="J5526" t="s">
        <v>15139</v>
      </c>
    </row>
    <row r="5527" spans="1:10" x14ac:dyDescent="0.3">
      <c r="A5527" t="s">
        <v>15140</v>
      </c>
      <c r="B5527" t="s">
        <v>29746</v>
      </c>
      <c r="C5527" t="s">
        <v>20486</v>
      </c>
      <c r="D5527" t="s">
        <v>22</v>
      </c>
      <c r="E5527" t="s">
        <v>2693</v>
      </c>
      <c r="F5527">
        <v>35</v>
      </c>
      <c r="G5527" t="s">
        <v>109</v>
      </c>
      <c r="H5527" t="s">
        <v>9788</v>
      </c>
      <c r="J5527" t="s">
        <v>15141</v>
      </c>
    </row>
    <row r="5528" spans="1:10" x14ac:dyDescent="0.3">
      <c r="A5528" t="s">
        <v>15142</v>
      </c>
      <c r="B5528" t="s">
        <v>29747</v>
      </c>
      <c r="C5528" t="s">
        <v>20488</v>
      </c>
      <c r="D5528" t="s">
        <v>22</v>
      </c>
      <c r="E5528" t="s">
        <v>2740</v>
      </c>
      <c r="F5528">
        <v>43</v>
      </c>
      <c r="G5528" t="s">
        <v>31</v>
      </c>
      <c r="H5528" t="s">
        <v>31</v>
      </c>
    </row>
    <row r="5529" spans="1:10" x14ac:dyDescent="0.3">
      <c r="A5529" t="s">
        <v>15143</v>
      </c>
      <c r="B5529" t="s">
        <v>29748</v>
      </c>
      <c r="C5529" t="s">
        <v>20491</v>
      </c>
      <c r="D5529" t="s">
        <v>11</v>
      </c>
      <c r="E5529" t="s">
        <v>15144</v>
      </c>
      <c r="F5529">
        <v>30</v>
      </c>
      <c r="G5529" t="s">
        <v>46</v>
      </c>
      <c r="H5529" t="s">
        <v>46</v>
      </c>
    </row>
    <row r="5530" spans="1:10" x14ac:dyDescent="0.3">
      <c r="A5530" t="s">
        <v>15145</v>
      </c>
      <c r="B5530" t="s">
        <v>29749</v>
      </c>
      <c r="C5530" t="s">
        <v>20489</v>
      </c>
      <c r="D5530" t="s">
        <v>22</v>
      </c>
      <c r="E5530" t="s">
        <v>4062</v>
      </c>
      <c r="F5530">
        <v>48</v>
      </c>
      <c r="G5530" t="s">
        <v>370</v>
      </c>
      <c r="H5530" t="s">
        <v>46</v>
      </c>
      <c r="I5530" t="s">
        <v>228</v>
      </c>
    </row>
    <row r="5531" spans="1:10" x14ac:dyDescent="0.3">
      <c r="A5531" t="s">
        <v>15146</v>
      </c>
      <c r="B5531" t="s">
        <v>29750</v>
      </c>
      <c r="C5531" t="s">
        <v>20491</v>
      </c>
      <c r="D5531" t="s">
        <v>22</v>
      </c>
      <c r="E5531" t="s">
        <v>5489</v>
      </c>
      <c r="F5531">
        <v>52</v>
      </c>
      <c r="G5531" t="s">
        <v>46</v>
      </c>
      <c r="H5531" t="s">
        <v>46</v>
      </c>
      <c r="I5531" t="s">
        <v>1558</v>
      </c>
    </row>
    <row r="5532" spans="1:10" x14ac:dyDescent="0.3">
      <c r="A5532" t="s">
        <v>15147</v>
      </c>
      <c r="B5532" t="s">
        <v>29751</v>
      </c>
      <c r="C5532" t="s">
        <v>20491</v>
      </c>
      <c r="D5532" t="s">
        <v>22</v>
      </c>
      <c r="E5532" t="s">
        <v>7559</v>
      </c>
      <c r="F5532">
        <v>68</v>
      </c>
      <c r="G5532" t="s">
        <v>46</v>
      </c>
      <c r="H5532" t="s">
        <v>46</v>
      </c>
      <c r="I5532" t="s">
        <v>228</v>
      </c>
      <c r="J5532" t="s">
        <v>15148</v>
      </c>
    </row>
    <row r="5533" spans="1:10" x14ac:dyDescent="0.3">
      <c r="A5533" t="s">
        <v>15149</v>
      </c>
      <c r="B5533" t="s">
        <v>29752</v>
      </c>
      <c r="C5533" t="s">
        <v>20487</v>
      </c>
      <c r="D5533" t="s">
        <v>22</v>
      </c>
      <c r="E5533" t="s">
        <v>15150</v>
      </c>
      <c r="F5533">
        <v>32</v>
      </c>
      <c r="G5533" t="s">
        <v>46</v>
      </c>
      <c r="H5533" t="s">
        <v>46</v>
      </c>
      <c r="I5533" t="s">
        <v>1828</v>
      </c>
      <c r="J5533" t="s">
        <v>15151</v>
      </c>
    </row>
    <row r="5534" spans="1:10" x14ac:dyDescent="0.3">
      <c r="A5534" t="s">
        <v>15152</v>
      </c>
      <c r="B5534" t="s">
        <v>29753</v>
      </c>
      <c r="C5534" t="s">
        <v>20491</v>
      </c>
      <c r="D5534" t="s">
        <v>22</v>
      </c>
      <c r="E5534" t="s">
        <v>15153</v>
      </c>
      <c r="F5534">
        <v>55</v>
      </c>
      <c r="G5534" t="s">
        <v>46</v>
      </c>
      <c r="H5534" t="s">
        <v>46</v>
      </c>
      <c r="I5534" t="s">
        <v>15154</v>
      </c>
      <c r="J5534" t="s">
        <v>15155</v>
      </c>
    </row>
    <row r="5535" spans="1:10" x14ac:dyDescent="0.3">
      <c r="A5535" t="s">
        <v>15156</v>
      </c>
      <c r="B5535" t="s">
        <v>29754</v>
      </c>
      <c r="C5535" t="s">
        <v>20486</v>
      </c>
      <c r="D5535" t="s">
        <v>22</v>
      </c>
      <c r="E5535" t="s">
        <v>15157</v>
      </c>
      <c r="F5535">
        <v>25</v>
      </c>
      <c r="G5535" t="s">
        <v>109</v>
      </c>
      <c r="H5535" t="s">
        <v>9788</v>
      </c>
      <c r="J5535" t="s">
        <v>15158</v>
      </c>
    </row>
    <row r="5536" spans="1:10" x14ac:dyDescent="0.3">
      <c r="A5536" t="s">
        <v>15159</v>
      </c>
      <c r="B5536" t="s">
        <v>29755</v>
      </c>
      <c r="C5536" t="s">
        <v>20488</v>
      </c>
      <c r="D5536" t="s">
        <v>11</v>
      </c>
      <c r="E5536" t="s">
        <v>14884</v>
      </c>
      <c r="F5536">
        <v>23</v>
      </c>
      <c r="G5536" t="s">
        <v>46</v>
      </c>
      <c r="H5536" t="s">
        <v>46</v>
      </c>
      <c r="I5536" t="s">
        <v>139</v>
      </c>
      <c r="J5536" t="s">
        <v>6579</v>
      </c>
    </row>
    <row r="5537" spans="1:10" x14ac:dyDescent="0.3">
      <c r="A5537" t="s">
        <v>15160</v>
      </c>
      <c r="B5537" t="s">
        <v>29756</v>
      </c>
      <c r="C5537" t="s">
        <v>20486</v>
      </c>
      <c r="D5537" t="s">
        <v>11</v>
      </c>
      <c r="E5537" t="s">
        <v>15161</v>
      </c>
      <c r="F5537">
        <v>55</v>
      </c>
      <c r="G5537" t="s">
        <v>46</v>
      </c>
      <c r="H5537" t="s">
        <v>46</v>
      </c>
      <c r="I5537" t="s">
        <v>228</v>
      </c>
      <c r="J5537" t="s">
        <v>15162</v>
      </c>
    </row>
    <row r="5538" spans="1:10" x14ac:dyDescent="0.3">
      <c r="A5538" t="s">
        <v>15163</v>
      </c>
      <c r="B5538" t="s">
        <v>29757</v>
      </c>
      <c r="C5538" t="s">
        <v>20487</v>
      </c>
      <c r="D5538" t="s">
        <v>11</v>
      </c>
      <c r="E5538" t="s">
        <v>15164</v>
      </c>
      <c r="F5538">
        <v>49</v>
      </c>
      <c r="G5538" t="s">
        <v>540</v>
      </c>
      <c r="H5538" t="s">
        <v>12074</v>
      </c>
    </row>
    <row r="5539" spans="1:10" x14ac:dyDescent="0.3">
      <c r="A5539" t="s">
        <v>15165</v>
      </c>
      <c r="B5539" t="s">
        <v>29758</v>
      </c>
      <c r="C5539" t="s">
        <v>20491</v>
      </c>
      <c r="D5539" t="s">
        <v>11</v>
      </c>
      <c r="E5539" t="s">
        <v>15166</v>
      </c>
      <c r="F5539">
        <v>31</v>
      </c>
      <c r="G5539" t="s">
        <v>46</v>
      </c>
      <c r="H5539" t="s">
        <v>46</v>
      </c>
      <c r="I5539" t="s">
        <v>15167</v>
      </c>
      <c r="J5539" t="s">
        <v>15168</v>
      </c>
    </row>
    <row r="5540" spans="1:10" x14ac:dyDescent="0.3">
      <c r="A5540" t="s">
        <v>15169</v>
      </c>
      <c r="B5540" t="s">
        <v>29759</v>
      </c>
      <c r="C5540" t="s">
        <v>20489</v>
      </c>
      <c r="D5540" t="s">
        <v>22</v>
      </c>
      <c r="E5540" t="s">
        <v>15170</v>
      </c>
      <c r="F5540">
        <v>56</v>
      </c>
      <c r="G5540" t="s">
        <v>370</v>
      </c>
      <c r="H5540" t="s">
        <v>46</v>
      </c>
      <c r="I5540" t="s">
        <v>228</v>
      </c>
      <c r="J5540" t="s">
        <v>15134</v>
      </c>
    </row>
    <row r="5541" spans="1:10" x14ac:dyDescent="0.3">
      <c r="A5541" t="s">
        <v>15171</v>
      </c>
      <c r="B5541" t="s">
        <v>29760</v>
      </c>
      <c r="C5541" t="s">
        <v>20488</v>
      </c>
      <c r="D5541" t="s">
        <v>22</v>
      </c>
      <c r="E5541" t="s">
        <v>15172</v>
      </c>
      <c r="F5541">
        <v>37</v>
      </c>
      <c r="G5541" t="s">
        <v>31</v>
      </c>
      <c r="H5541" t="s">
        <v>31</v>
      </c>
      <c r="I5541" t="s">
        <v>139</v>
      </c>
      <c r="J5541" t="s">
        <v>15173</v>
      </c>
    </row>
    <row r="5542" spans="1:10" x14ac:dyDescent="0.3">
      <c r="A5542" t="s">
        <v>15174</v>
      </c>
      <c r="B5542" t="s">
        <v>29761</v>
      </c>
      <c r="C5542" t="s">
        <v>20489</v>
      </c>
      <c r="D5542" t="s">
        <v>22</v>
      </c>
      <c r="E5542" t="s">
        <v>15175</v>
      </c>
      <c r="F5542">
        <v>58</v>
      </c>
      <c r="G5542" t="s">
        <v>370</v>
      </c>
      <c r="H5542" t="s">
        <v>46</v>
      </c>
      <c r="I5542" t="s">
        <v>228</v>
      </c>
      <c r="J5542" t="s">
        <v>15134</v>
      </c>
    </row>
    <row r="5543" spans="1:10" x14ac:dyDescent="0.3">
      <c r="A5543" t="s">
        <v>15176</v>
      </c>
      <c r="B5543" t="s">
        <v>29762</v>
      </c>
      <c r="C5543" t="s">
        <v>20489</v>
      </c>
      <c r="D5543" t="s">
        <v>22</v>
      </c>
      <c r="E5543" t="s">
        <v>15177</v>
      </c>
      <c r="F5543">
        <v>54</v>
      </c>
      <c r="G5543" t="s">
        <v>370</v>
      </c>
      <c r="H5543" t="s">
        <v>46</v>
      </c>
      <c r="I5543" t="s">
        <v>228</v>
      </c>
      <c r="J5543" t="s">
        <v>15134</v>
      </c>
    </row>
    <row r="5544" spans="1:10" x14ac:dyDescent="0.3">
      <c r="A5544" t="s">
        <v>15178</v>
      </c>
      <c r="B5544" t="s">
        <v>29763</v>
      </c>
      <c r="C5544" t="s">
        <v>20487</v>
      </c>
      <c r="D5544" t="s">
        <v>22</v>
      </c>
      <c r="E5544" t="s">
        <v>15179</v>
      </c>
      <c r="F5544">
        <v>59</v>
      </c>
      <c r="G5544" t="s">
        <v>46</v>
      </c>
      <c r="H5544" t="s">
        <v>46</v>
      </c>
      <c r="I5544" t="s">
        <v>220</v>
      </c>
      <c r="J5544" t="s">
        <v>13182</v>
      </c>
    </row>
    <row r="5545" spans="1:10" x14ac:dyDescent="0.3">
      <c r="A5545" t="s">
        <v>15180</v>
      </c>
      <c r="B5545" t="s">
        <v>29764</v>
      </c>
      <c r="C5545" t="s">
        <v>20486</v>
      </c>
      <c r="D5545" t="s">
        <v>22</v>
      </c>
      <c r="E5545" t="s">
        <v>15181</v>
      </c>
      <c r="F5545">
        <v>31</v>
      </c>
      <c r="G5545" t="s">
        <v>109</v>
      </c>
      <c r="H5545" t="s">
        <v>9788</v>
      </c>
      <c r="I5545" t="s">
        <v>15182</v>
      </c>
      <c r="J5545" t="s">
        <v>15183</v>
      </c>
    </row>
    <row r="5546" spans="1:10" x14ac:dyDescent="0.3">
      <c r="A5546" t="s">
        <v>15184</v>
      </c>
      <c r="B5546" t="s">
        <v>29765</v>
      </c>
      <c r="C5546" t="s">
        <v>20488</v>
      </c>
      <c r="D5546" t="s">
        <v>22</v>
      </c>
      <c r="E5546" t="s">
        <v>2465</v>
      </c>
      <c r="F5546">
        <v>47</v>
      </c>
      <c r="G5546" t="s">
        <v>16</v>
      </c>
      <c r="H5546" t="s">
        <v>9785</v>
      </c>
      <c r="I5546" t="s">
        <v>17</v>
      </c>
      <c r="J5546" t="s">
        <v>15185</v>
      </c>
    </row>
    <row r="5547" spans="1:10" x14ac:dyDescent="0.3">
      <c r="A5547" t="s">
        <v>15186</v>
      </c>
      <c r="B5547" t="s">
        <v>29766</v>
      </c>
      <c r="C5547" t="s">
        <v>20486</v>
      </c>
      <c r="D5547" t="s">
        <v>22</v>
      </c>
      <c r="E5547" t="s">
        <v>15187</v>
      </c>
      <c r="F5547">
        <v>51</v>
      </c>
      <c r="G5547" t="s">
        <v>31</v>
      </c>
      <c r="H5547" t="s">
        <v>31</v>
      </c>
    </row>
    <row r="5548" spans="1:10" x14ac:dyDescent="0.3">
      <c r="A5548" t="s">
        <v>15188</v>
      </c>
      <c r="B5548" t="s">
        <v>29767</v>
      </c>
      <c r="C5548" t="s">
        <v>20488</v>
      </c>
      <c r="D5548" t="s">
        <v>22</v>
      </c>
      <c r="E5548" t="s">
        <v>1702</v>
      </c>
      <c r="F5548">
        <v>53</v>
      </c>
      <c r="G5548" t="s">
        <v>31</v>
      </c>
      <c r="H5548" t="s">
        <v>31</v>
      </c>
    </row>
    <row r="5549" spans="1:10" x14ac:dyDescent="0.3">
      <c r="A5549" t="s">
        <v>15189</v>
      </c>
      <c r="B5549" t="s">
        <v>29768</v>
      </c>
      <c r="C5549" t="s">
        <v>20488</v>
      </c>
      <c r="D5549" t="s">
        <v>11</v>
      </c>
      <c r="E5549" t="s">
        <v>15190</v>
      </c>
      <c r="F5549">
        <v>59</v>
      </c>
      <c r="G5549" t="s">
        <v>46</v>
      </c>
      <c r="H5549" t="s">
        <v>46</v>
      </c>
    </row>
    <row r="5550" spans="1:10" x14ac:dyDescent="0.3">
      <c r="A5550" t="s">
        <v>15191</v>
      </c>
      <c r="B5550" t="s">
        <v>29769</v>
      </c>
      <c r="C5550" t="s">
        <v>20486</v>
      </c>
      <c r="D5550" t="s">
        <v>11</v>
      </c>
      <c r="E5550" t="s">
        <v>15192</v>
      </c>
      <c r="F5550">
        <v>50</v>
      </c>
      <c r="G5550" t="s">
        <v>46</v>
      </c>
      <c r="H5550" t="s">
        <v>46</v>
      </c>
      <c r="I5550" t="s">
        <v>201</v>
      </c>
      <c r="J5550" t="s">
        <v>18861</v>
      </c>
    </row>
    <row r="5551" spans="1:10" x14ac:dyDescent="0.3">
      <c r="A5551" t="s">
        <v>15193</v>
      </c>
      <c r="B5551" t="s">
        <v>29770</v>
      </c>
      <c r="C5551" t="s">
        <v>20491</v>
      </c>
      <c r="D5551" t="s">
        <v>22</v>
      </c>
      <c r="E5551" t="s">
        <v>15194</v>
      </c>
      <c r="F5551">
        <v>34</v>
      </c>
      <c r="G5551" t="s">
        <v>31</v>
      </c>
      <c r="H5551" t="s">
        <v>31</v>
      </c>
    </row>
    <row r="5552" spans="1:10" x14ac:dyDescent="0.3">
      <c r="A5552" t="s">
        <v>15195</v>
      </c>
      <c r="B5552" t="s">
        <v>29771</v>
      </c>
      <c r="C5552" t="s">
        <v>20486</v>
      </c>
      <c r="D5552" t="s">
        <v>22</v>
      </c>
      <c r="E5552" t="s">
        <v>15196</v>
      </c>
      <c r="F5552">
        <v>29</v>
      </c>
      <c r="G5552" t="s">
        <v>16</v>
      </c>
      <c r="H5552" t="s">
        <v>9785</v>
      </c>
      <c r="I5552" t="s">
        <v>8693</v>
      </c>
      <c r="J5552" t="s">
        <v>15197</v>
      </c>
    </row>
    <row r="5553" spans="1:10" x14ac:dyDescent="0.3">
      <c r="A5553" t="s">
        <v>15198</v>
      </c>
      <c r="B5553" t="s">
        <v>29772</v>
      </c>
      <c r="C5553" t="s">
        <v>20491</v>
      </c>
      <c r="D5553" t="s">
        <v>11</v>
      </c>
      <c r="E5553" t="s">
        <v>15199</v>
      </c>
      <c r="F5553">
        <v>30</v>
      </c>
      <c r="G5553" t="s">
        <v>109</v>
      </c>
      <c r="H5553" t="s">
        <v>9788</v>
      </c>
      <c r="J5553" t="s">
        <v>15200</v>
      </c>
    </row>
    <row r="5554" spans="1:10" x14ac:dyDescent="0.3">
      <c r="A5554" t="s">
        <v>15201</v>
      </c>
      <c r="B5554" t="s">
        <v>29773</v>
      </c>
      <c r="C5554" t="s">
        <v>20489</v>
      </c>
      <c r="D5554" t="s">
        <v>22</v>
      </c>
      <c r="E5554" t="s">
        <v>1487</v>
      </c>
      <c r="F5554">
        <v>56</v>
      </c>
      <c r="G5554" t="s">
        <v>370</v>
      </c>
      <c r="H5554" t="s">
        <v>46</v>
      </c>
      <c r="I5554" t="s">
        <v>15202</v>
      </c>
      <c r="J5554" t="s">
        <v>15134</v>
      </c>
    </row>
    <row r="5555" spans="1:10" x14ac:dyDescent="0.3">
      <c r="A5555" t="s">
        <v>15203</v>
      </c>
      <c r="B5555" t="s">
        <v>29774</v>
      </c>
      <c r="C5555" t="s">
        <v>20486</v>
      </c>
      <c r="D5555" t="s">
        <v>11</v>
      </c>
      <c r="E5555" t="s">
        <v>15204</v>
      </c>
      <c r="F5555">
        <v>26</v>
      </c>
      <c r="G5555" t="s">
        <v>109</v>
      </c>
      <c r="H5555" t="s">
        <v>9788</v>
      </c>
      <c r="I5555" t="s">
        <v>4885</v>
      </c>
      <c r="J5555" t="s">
        <v>13787</v>
      </c>
    </row>
    <row r="5556" spans="1:10" x14ac:dyDescent="0.3">
      <c r="A5556" t="s">
        <v>15205</v>
      </c>
      <c r="B5556" t="s">
        <v>29775</v>
      </c>
      <c r="C5556" t="s">
        <v>20486</v>
      </c>
      <c r="D5556" t="s">
        <v>11</v>
      </c>
      <c r="E5556" t="s">
        <v>15206</v>
      </c>
      <c r="F5556">
        <v>21</v>
      </c>
      <c r="G5556" t="s">
        <v>109</v>
      </c>
      <c r="H5556" t="s">
        <v>9788</v>
      </c>
      <c r="I5556" t="s">
        <v>4885</v>
      </c>
      <c r="J5556" t="s">
        <v>13787</v>
      </c>
    </row>
    <row r="5557" spans="1:10" x14ac:dyDescent="0.3">
      <c r="A5557" t="s">
        <v>15207</v>
      </c>
      <c r="B5557" t="s">
        <v>29776</v>
      </c>
      <c r="C5557" t="s">
        <v>20486</v>
      </c>
      <c r="D5557" t="s">
        <v>11</v>
      </c>
      <c r="E5557" t="s">
        <v>15208</v>
      </c>
      <c r="F5557">
        <v>28</v>
      </c>
      <c r="G5557" t="s">
        <v>109</v>
      </c>
      <c r="H5557" t="s">
        <v>9788</v>
      </c>
      <c r="I5557" t="s">
        <v>15209</v>
      </c>
      <c r="J5557" t="s">
        <v>13790</v>
      </c>
    </row>
    <row r="5558" spans="1:10" x14ac:dyDescent="0.3">
      <c r="A5558" t="s">
        <v>15210</v>
      </c>
      <c r="B5558" t="s">
        <v>29777</v>
      </c>
      <c r="C5558" t="s">
        <v>20486</v>
      </c>
      <c r="D5558" t="s">
        <v>11</v>
      </c>
      <c r="E5558" t="s">
        <v>13139</v>
      </c>
      <c r="F5558">
        <v>30</v>
      </c>
      <c r="G5558" t="s">
        <v>109</v>
      </c>
      <c r="H5558" t="s">
        <v>9788</v>
      </c>
      <c r="J5558" t="s">
        <v>15211</v>
      </c>
    </row>
    <row r="5559" spans="1:10" x14ac:dyDescent="0.3">
      <c r="A5559" t="s">
        <v>15212</v>
      </c>
      <c r="B5559" t="s">
        <v>29778</v>
      </c>
      <c r="C5559" t="s">
        <v>20486</v>
      </c>
      <c r="D5559" t="s">
        <v>22</v>
      </c>
      <c r="E5559" t="s">
        <v>15213</v>
      </c>
      <c r="F5559">
        <v>42</v>
      </c>
      <c r="G5559" t="s">
        <v>46</v>
      </c>
      <c r="H5559" t="s">
        <v>46</v>
      </c>
      <c r="I5559" t="s">
        <v>15214</v>
      </c>
      <c r="J5559" t="s">
        <v>18862</v>
      </c>
    </row>
    <row r="5560" spans="1:10" x14ac:dyDescent="0.3">
      <c r="A5560" t="s">
        <v>15215</v>
      </c>
      <c r="B5560" t="s">
        <v>29779</v>
      </c>
      <c r="C5560" t="s">
        <v>20487</v>
      </c>
      <c r="D5560" t="s">
        <v>22</v>
      </c>
      <c r="E5560" t="s">
        <v>15216</v>
      </c>
      <c r="F5560">
        <v>48</v>
      </c>
      <c r="G5560" t="s">
        <v>46</v>
      </c>
      <c r="H5560" t="s">
        <v>46</v>
      </c>
      <c r="I5560" t="s">
        <v>149</v>
      </c>
    </row>
    <row r="5561" spans="1:10" x14ac:dyDescent="0.3">
      <c r="A5561" t="s">
        <v>15217</v>
      </c>
      <c r="B5561" t="s">
        <v>29780</v>
      </c>
      <c r="C5561" t="s">
        <v>20489</v>
      </c>
      <c r="D5561" t="s">
        <v>22</v>
      </c>
      <c r="E5561" t="s">
        <v>15218</v>
      </c>
      <c r="F5561">
        <v>50</v>
      </c>
      <c r="G5561" t="s">
        <v>370</v>
      </c>
      <c r="H5561" t="s">
        <v>46</v>
      </c>
      <c r="I5561" t="s">
        <v>228</v>
      </c>
      <c r="J5561" t="s">
        <v>15134</v>
      </c>
    </row>
    <row r="5562" spans="1:10" x14ac:dyDescent="0.3">
      <c r="A5562" t="s">
        <v>15219</v>
      </c>
      <c r="B5562" t="s">
        <v>29781</v>
      </c>
      <c r="C5562" t="s">
        <v>20486</v>
      </c>
      <c r="D5562" t="s">
        <v>11</v>
      </c>
      <c r="E5562" t="s">
        <v>15220</v>
      </c>
      <c r="F5562">
        <v>26</v>
      </c>
      <c r="G5562" t="s">
        <v>109</v>
      </c>
      <c r="H5562" t="s">
        <v>9788</v>
      </c>
      <c r="J5562" t="s">
        <v>15221</v>
      </c>
    </row>
    <row r="5563" spans="1:10" x14ac:dyDescent="0.3">
      <c r="A5563" t="s">
        <v>15222</v>
      </c>
      <c r="B5563" t="s">
        <v>29782</v>
      </c>
      <c r="C5563" t="s">
        <v>20486</v>
      </c>
      <c r="D5563" t="s">
        <v>11</v>
      </c>
      <c r="E5563" t="s">
        <v>15223</v>
      </c>
      <c r="F5563">
        <v>21</v>
      </c>
      <c r="G5563" t="s">
        <v>109</v>
      </c>
      <c r="H5563" t="s">
        <v>9788</v>
      </c>
      <c r="I5563" t="s">
        <v>228</v>
      </c>
      <c r="J5563" t="s">
        <v>13185</v>
      </c>
    </row>
    <row r="5564" spans="1:10" x14ac:dyDescent="0.3">
      <c r="A5564" t="s">
        <v>15224</v>
      </c>
      <c r="B5564" t="s">
        <v>29783</v>
      </c>
      <c r="C5564" t="s">
        <v>20486</v>
      </c>
      <c r="D5564" t="s">
        <v>11</v>
      </c>
      <c r="E5564" t="s">
        <v>15225</v>
      </c>
      <c r="F5564">
        <v>21</v>
      </c>
      <c r="G5564" t="s">
        <v>109</v>
      </c>
      <c r="H5564" t="s">
        <v>9788</v>
      </c>
      <c r="I5564" t="s">
        <v>228</v>
      </c>
      <c r="J5564" t="s">
        <v>13185</v>
      </c>
    </row>
    <row r="5565" spans="1:10" x14ac:dyDescent="0.3">
      <c r="A5565" t="s">
        <v>15226</v>
      </c>
      <c r="B5565" t="s">
        <v>29784</v>
      </c>
      <c r="C5565" t="s">
        <v>20491</v>
      </c>
      <c r="D5565" t="s">
        <v>11</v>
      </c>
      <c r="E5565" t="s">
        <v>15227</v>
      </c>
      <c r="F5565">
        <v>29</v>
      </c>
      <c r="G5565" t="s">
        <v>1439</v>
      </c>
      <c r="H5565" t="s">
        <v>46</v>
      </c>
      <c r="I5565" t="s">
        <v>15228</v>
      </c>
    </row>
    <row r="5566" spans="1:10" x14ac:dyDescent="0.3">
      <c r="A5566" t="s">
        <v>15229</v>
      </c>
      <c r="B5566" t="s">
        <v>29785</v>
      </c>
      <c r="C5566" t="s">
        <v>20489</v>
      </c>
      <c r="D5566" t="s">
        <v>22</v>
      </c>
      <c r="E5566" t="s">
        <v>15230</v>
      </c>
      <c r="F5566">
        <v>24</v>
      </c>
      <c r="G5566" t="s">
        <v>370</v>
      </c>
      <c r="H5566" t="s">
        <v>46</v>
      </c>
      <c r="I5566" t="s">
        <v>15231</v>
      </c>
    </row>
    <row r="5567" spans="1:10" x14ac:dyDescent="0.3">
      <c r="A5567" t="s">
        <v>15232</v>
      </c>
      <c r="B5567" t="s">
        <v>29786</v>
      </c>
      <c r="C5567" t="s">
        <v>20486</v>
      </c>
      <c r="D5567" t="s">
        <v>11</v>
      </c>
      <c r="E5567" t="s">
        <v>15233</v>
      </c>
      <c r="F5567">
        <v>43</v>
      </c>
      <c r="G5567" t="s">
        <v>109</v>
      </c>
      <c r="H5567" t="s">
        <v>9788</v>
      </c>
      <c r="J5567" t="s">
        <v>15234</v>
      </c>
    </row>
    <row r="5568" spans="1:10" x14ac:dyDescent="0.3">
      <c r="A5568" t="s">
        <v>15235</v>
      </c>
      <c r="B5568" t="s">
        <v>29787</v>
      </c>
      <c r="C5568" t="s">
        <v>20486</v>
      </c>
      <c r="D5568" t="s">
        <v>11</v>
      </c>
      <c r="E5568" t="s">
        <v>15236</v>
      </c>
      <c r="F5568">
        <v>16</v>
      </c>
      <c r="G5568" t="s">
        <v>337</v>
      </c>
      <c r="H5568" t="s">
        <v>337</v>
      </c>
    </row>
    <row r="5569" spans="1:10" x14ac:dyDescent="0.3">
      <c r="A5569" t="s">
        <v>15237</v>
      </c>
      <c r="B5569" t="s">
        <v>29788</v>
      </c>
      <c r="C5569" t="s">
        <v>20486</v>
      </c>
      <c r="D5569" t="s">
        <v>22</v>
      </c>
      <c r="E5569" t="s">
        <v>15238</v>
      </c>
      <c r="F5569">
        <v>21</v>
      </c>
      <c r="G5569" t="s">
        <v>109</v>
      </c>
      <c r="H5569" t="s">
        <v>9788</v>
      </c>
      <c r="J5569" t="s">
        <v>15239</v>
      </c>
    </row>
    <row r="5570" spans="1:10" x14ac:dyDescent="0.3">
      <c r="A5570" t="s">
        <v>15240</v>
      </c>
      <c r="B5570" t="s">
        <v>29789</v>
      </c>
      <c r="C5570" t="s">
        <v>20491</v>
      </c>
      <c r="D5570" t="s">
        <v>22</v>
      </c>
      <c r="E5570" t="s">
        <v>15241</v>
      </c>
      <c r="F5570">
        <v>27</v>
      </c>
      <c r="G5570" t="s">
        <v>46</v>
      </c>
      <c r="H5570" t="s">
        <v>46</v>
      </c>
      <c r="I5570" t="s">
        <v>15242</v>
      </c>
      <c r="J5570" t="s">
        <v>15243</v>
      </c>
    </row>
    <row r="5571" spans="1:10" x14ac:dyDescent="0.3">
      <c r="A5571" t="s">
        <v>15244</v>
      </c>
      <c r="B5571" t="s">
        <v>29790</v>
      </c>
      <c r="C5571" t="s">
        <v>20486</v>
      </c>
      <c r="D5571" t="s">
        <v>11</v>
      </c>
      <c r="E5571" t="s">
        <v>7346</v>
      </c>
      <c r="F5571">
        <v>36</v>
      </c>
      <c r="G5571" t="s">
        <v>109</v>
      </c>
      <c r="H5571" t="s">
        <v>9788</v>
      </c>
      <c r="I5571" t="s">
        <v>1047</v>
      </c>
      <c r="J5571" t="s">
        <v>4556</v>
      </c>
    </row>
    <row r="5572" spans="1:10" x14ac:dyDescent="0.3">
      <c r="A5572" t="s">
        <v>15245</v>
      </c>
      <c r="B5572" t="s">
        <v>29791</v>
      </c>
      <c r="C5572" t="s">
        <v>20489</v>
      </c>
      <c r="D5572" t="s">
        <v>22</v>
      </c>
      <c r="E5572" t="s">
        <v>13338</v>
      </c>
      <c r="F5572">
        <v>50</v>
      </c>
      <c r="G5572" t="s">
        <v>370</v>
      </c>
      <c r="H5572" t="s">
        <v>46</v>
      </c>
      <c r="I5572" t="s">
        <v>228</v>
      </c>
      <c r="J5572" t="s">
        <v>15134</v>
      </c>
    </row>
    <row r="5573" spans="1:10" x14ac:dyDescent="0.3">
      <c r="A5573" t="s">
        <v>15246</v>
      </c>
      <c r="B5573" t="s">
        <v>29792</v>
      </c>
      <c r="C5573" t="s">
        <v>20489</v>
      </c>
      <c r="D5573" t="s">
        <v>22</v>
      </c>
      <c r="E5573" t="s">
        <v>15247</v>
      </c>
      <c r="F5573">
        <v>50</v>
      </c>
      <c r="G5573" t="s">
        <v>370</v>
      </c>
      <c r="H5573" t="s">
        <v>46</v>
      </c>
      <c r="I5573" t="s">
        <v>228</v>
      </c>
      <c r="J5573" t="s">
        <v>15134</v>
      </c>
    </row>
    <row r="5574" spans="1:10" x14ac:dyDescent="0.3">
      <c r="A5574" t="s">
        <v>15248</v>
      </c>
      <c r="B5574" t="s">
        <v>29793</v>
      </c>
      <c r="C5574" t="s">
        <v>20491</v>
      </c>
      <c r="D5574" t="s">
        <v>22</v>
      </c>
      <c r="E5574" t="s">
        <v>15249</v>
      </c>
      <c r="F5574">
        <v>39</v>
      </c>
      <c r="G5574" t="s">
        <v>46</v>
      </c>
      <c r="H5574" t="s">
        <v>46</v>
      </c>
      <c r="I5574" t="s">
        <v>228</v>
      </c>
    </row>
    <row r="5575" spans="1:10" x14ac:dyDescent="0.3">
      <c r="A5575" t="s">
        <v>15250</v>
      </c>
      <c r="B5575" t="s">
        <v>29794</v>
      </c>
      <c r="C5575" t="s">
        <v>20487</v>
      </c>
      <c r="D5575" t="s">
        <v>11</v>
      </c>
      <c r="E5575" t="s">
        <v>15251</v>
      </c>
      <c r="F5575">
        <v>71</v>
      </c>
      <c r="G5575" t="s">
        <v>13</v>
      </c>
      <c r="H5575" t="s">
        <v>13</v>
      </c>
      <c r="J5575" t="s">
        <v>15252</v>
      </c>
    </row>
    <row r="5576" spans="1:10" x14ac:dyDescent="0.3">
      <c r="A5576" t="s">
        <v>15253</v>
      </c>
      <c r="B5576" t="s">
        <v>29795</v>
      </c>
      <c r="C5576" t="s">
        <v>20490</v>
      </c>
      <c r="D5576" t="s">
        <v>11</v>
      </c>
      <c r="E5576" t="s">
        <v>15254</v>
      </c>
      <c r="F5576">
        <v>23</v>
      </c>
      <c r="G5576" t="s">
        <v>46</v>
      </c>
      <c r="H5576" t="s">
        <v>46</v>
      </c>
    </row>
    <row r="5577" spans="1:10" x14ac:dyDescent="0.3">
      <c r="A5577" t="s">
        <v>15255</v>
      </c>
      <c r="B5577" t="s">
        <v>29796</v>
      </c>
      <c r="C5577" t="s">
        <v>20486</v>
      </c>
      <c r="D5577" t="s">
        <v>11</v>
      </c>
      <c r="E5577" t="s">
        <v>15256</v>
      </c>
      <c r="F5577">
        <v>29</v>
      </c>
      <c r="G5577" t="s">
        <v>109</v>
      </c>
      <c r="H5577" t="s">
        <v>9788</v>
      </c>
      <c r="I5577" t="s">
        <v>228</v>
      </c>
      <c r="J5577" t="s">
        <v>3793</v>
      </c>
    </row>
    <row r="5578" spans="1:10" x14ac:dyDescent="0.3">
      <c r="A5578" t="s">
        <v>15257</v>
      </c>
      <c r="B5578" t="s">
        <v>29797</v>
      </c>
      <c r="C5578" t="s">
        <v>20487</v>
      </c>
      <c r="D5578" t="s">
        <v>11</v>
      </c>
      <c r="E5578" t="s">
        <v>15258</v>
      </c>
      <c r="F5578">
        <v>45</v>
      </c>
      <c r="G5578" t="s">
        <v>2055</v>
      </c>
      <c r="H5578" t="s">
        <v>9789</v>
      </c>
    </row>
    <row r="5579" spans="1:10" x14ac:dyDescent="0.3">
      <c r="A5579" t="s">
        <v>15259</v>
      </c>
      <c r="B5579" t="s">
        <v>29798</v>
      </c>
      <c r="C5579" t="s">
        <v>20488</v>
      </c>
      <c r="D5579" t="s">
        <v>11</v>
      </c>
      <c r="E5579" t="s">
        <v>8162</v>
      </c>
      <c r="F5579">
        <v>52</v>
      </c>
      <c r="G5579" t="s">
        <v>46</v>
      </c>
      <c r="H5579" t="s">
        <v>46</v>
      </c>
      <c r="I5579" t="s">
        <v>1074</v>
      </c>
      <c r="J5579" t="s">
        <v>15260</v>
      </c>
    </row>
    <row r="5580" spans="1:10" x14ac:dyDescent="0.3">
      <c r="A5580" t="s">
        <v>15261</v>
      </c>
      <c r="B5580" t="s">
        <v>29799</v>
      </c>
      <c r="C5580" t="s">
        <v>20489</v>
      </c>
      <c r="D5580" t="s">
        <v>11</v>
      </c>
      <c r="E5580" t="s">
        <v>15262</v>
      </c>
      <c r="F5580">
        <v>19</v>
      </c>
      <c r="G5580" t="s">
        <v>109</v>
      </c>
      <c r="H5580" t="s">
        <v>9788</v>
      </c>
    </row>
    <row r="5581" spans="1:10" x14ac:dyDescent="0.3">
      <c r="A5581" t="s">
        <v>15263</v>
      </c>
      <c r="B5581" t="s">
        <v>29800</v>
      </c>
      <c r="C5581" t="s">
        <v>20486</v>
      </c>
      <c r="D5581" t="s">
        <v>22</v>
      </c>
      <c r="E5581" t="s">
        <v>748</v>
      </c>
      <c r="F5581">
        <v>55</v>
      </c>
      <c r="G5581" t="s">
        <v>31</v>
      </c>
      <c r="H5581" t="s">
        <v>31</v>
      </c>
    </row>
    <row r="5582" spans="1:10" x14ac:dyDescent="0.3">
      <c r="A5582" t="s">
        <v>15264</v>
      </c>
      <c r="B5582" t="s">
        <v>29801</v>
      </c>
      <c r="C5582" t="s">
        <v>20487</v>
      </c>
      <c r="D5582" t="s">
        <v>22</v>
      </c>
      <c r="E5582" t="s">
        <v>6111</v>
      </c>
      <c r="F5582">
        <v>37</v>
      </c>
      <c r="G5582" t="s">
        <v>46</v>
      </c>
      <c r="H5582" t="s">
        <v>46</v>
      </c>
      <c r="I5582" t="s">
        <v>220</v>
      </c>
    </row>
    <row r="5583" spans="1:10" x14ac:dyDescent="0.3">
      <c r="A5583" t="s">
        <v>15265</v>
      </c>
      <c r="B5583" t="s">
        <v>29802</v>
      </c>
      <c r="C5583" t="s">
        <v>20490</v>
      </c>
      <c r="D5583" t="s">
        <v>22</v>
      </c>
      <c r="E5583" t="s">
        <v>2371</v>
      </c>
      <c r="F5583">
        <v>60</v>
      </c>
      <c r="G5583" t="s">
        <v>370</v>
      </c>
      <c r="H5583" t="s">
        <v>46</v>
      </c>
      <c r="I5583" t="s">
        <v>228</v>
      </c>
    </row>
    <row r="5584" spans="1:10" x14ac:dyDescent="0.3">
      <c r="A5584" t="s">
        <v>15266</v>
      </c>
      <c r="B5584" t="s">
        <v>29803</v>
      </c>
      <c r="C5584" t="s">
        <v>20488</v>
      </c>
      <c r="D5584" t="s">
        <v>11</v>
      </c>
      <c r="E5584" t="s">
        <v>8347</v>
      </c>
      <c r="F5584">
        <v>30</v>
      </c>
      <c r="G5584" t="s">
        <v>46</v>
      </c>
      <c r="H5584" t="s">
        <v>46</v>
      </c>
      <c r="I5584" t="s">
        <v>220</v>
      </c>
      <c r="J5584" t="s">
        <v>14556</v>
      </c>
    </row>
    <row r="5585" spans="1:10" x14ac:dyDescent="0.3">
      <c r="A5585" t="s">
        <v>15267</v>
      </c>
      <c r="B5585" t="s">
        <v>29804</v>
      </c>
      <c r="C5585" t="s">
        <v>20486</v>
      </c>
      <c r="D5585" t="s">
        <v>22</v>
      </c>
      <c r="E5585" t="s">
        <v>15268</v>
      </c>
      <c r="F5585">
        <v>42</v>
      </c>
      <c r="G5585" t="s">
        <v>31</v>
      </c>
      <c r="H5585" t="s">
        <v>31</v>
      </c>
      <c r="I5585" t="s">
        <v>12719</v>
      </c>
      <c r="J5585" t="s">
        <v>15269</v>
      </c>
    </row>
    <row r="5586" spans="1:10" x14ac:dyDescent="0.3">
      <c r="A5586" t="s">
        <v>15270</v>
      </c>
      <c r="B5586" t="s">
        <v>29805</v>
      </c>
      <c r="C5586" t="s">
        <v>20486</v>
      </c>
      <c r="D5586" t="s">
        <v>22</v>
      </c>
      <c r="E5586" t="s">
        <v>7804</v>
      </c>
      <c r="F5586">
        <v>29</v>
      </c>
      <c r="G5586" t="s">
        <v>243</v>
      </c>
      <c r="H5586" t="s">
        <v>243</v>
      </c>
      <c r="I5586" t="s">
        <v>3763</v>
      </c>
    </row>
    <row r="5587" spans="1:10" x14ac:dyDescent="0.3">
      <c r="A5587" t="s">
        <v>15271</v>
      </c>
      <c r="B5587" t="s">
        <v>29806</v>
      </c>
      <c r="C5587" t="s">
        <v>20491</v>
      </c>
      <c r="D5587" t="s">
        <v>22</v>
      </c>
      <c r="E5587" t="s">
        <v>15272</v>
      </c>
      <c r="F5587">
        <v>38</v>
      </c>
      <c r="G5587" t="s">
        <v>109</v>
      </c>
      <c r="H5587" t="s">
        <v>9788</v>
      </c>
      <c r="I5587" t="s">
        <v>15273</v>
      </c>
      <c r="J5587" t="s">
        <v>15273</v>
      </c>
    </row>
    <row r="5588" spans="1:10" x14ac:dyDescent="0.3">
      <c r="A5588" t="s">
        <v>15274</v>
      </c>
      <c r="B5588" t="s">
        <v>29807</v>
      </c>
      <c r="C5588" t="s">
        <v>20489</v>
      </c>
      <c r="D5588" t="s">
        <v>22</v>
      </c>
      <c r="E5588" t="s">
        <v>581</v>
      </c>
      <c r="F5588">
        <v>70</v>
      </c>
      <c r="G5588" t="s">
        <v>13</v>
      </c>
      <c r="H5588" t="s">
        <v>13</v>
      </c>
      <c r="I5588" t="s">
        <v>17</v>
      </c>
    </row>
    <row r="5589" spans="1:10" x14ac:dyDescent="0.3">
      <c r="A5589" t="s">
        <v>15275</v>
      </c>
      <c r="B5589" t="s">
        <v>29808</v>
      </c>
      <c r="C5589" t="s">
        <v>20487</v>
      </c>
      <c r="D5589" t="s">
        <v>22</v>
      </c>
      <c r="E5589" t="s">
        <v>2790</v>
      </c>
      <c r="F5589">
        <v>49</v>
      </c>
      <c r="G5589" t="s">
        <v>31</v>
      </c>
      <c r="H5589" t="s">
        <v>31</v>
      </c>
    </row>
    <row r="5590" spans="1:10" x14ac:dyDescent="0.3">
      <c r="A5590" t="s">
        <v>15276</v>
      </c>
      <c r="B5590" t="s">
        <v>29809</v>
      </c>
      <c r="C5590" t="s">
        <v>20489</v>
      </c>
      <c r="D5590" t="s">
        <v>22</v>
      </c>
      <c r="E5590" t="s">
        <v>15277</v>
      </c>
      <c r="F5590">
        <v>52</v>
      </c>
      <c r="G5590" t="s">
        <v>370</v>
      </c>
      <c r="H5590" t="s">
        <v>46</v>
      </c>
      <c r="I5590" t="s">
        <v>228</v>
      </c>
      <c r="J5590" t="s">
        <v>15278</v>
      </c>
    </row>
    <row r="5591" spans="1:10" x14ac:dyDescent="0.3">
      <c r="A5591" t="s">
        <v>15279</v>
      </c>
      <c r="B5591" t="s">
        <v>29810</v>
      </c>
      <c r="C5591" t="s">
        <v>20491</v>
      </c>
      <c r="D5591" t="s">
        <v>11</v>
      </c>
      <c r="E5591" t="s">
        <v>308</v>
      </c>
      <c r="F5591">
        <v>34</v>
      </c>
      <c r="G5591" t="s">
        <v>109</v>
      </c>
      <c r="H5591" t="s">
        <v>9788</v>
      </c>
      <c r="I5591" t="s">
        <v>15280</v>
      </c>
      <c r="J5591" t="s">
        <v>15280</v>
      </c>
    </row>
    <row r="5592" spans="1:10" x14ac:dyDescent="0.3">
      <c r="A5592" t="s">
        <v>15281</v>
      </c>
      <c r="B5592" t="s">
        <v>29811</v>
      </c>
      <c r="C5592" t="s">
        <v>20487</v>
      </c>
      <c r="D5592" t="s">
        <v>22</v>
      </c>
      <c r="E5592" t="s">
        <v>15282</v>
      </c>
      <c r="F5592">
        <v>44</v>
      </c>
      <c r="G5592" t="s">
        <v>540</v>
      </c>
      <c r="H5592" t="s">
        <v>12074</v>
      </c>
    </row>
    <row r="5593" spans="1:10" x14ac:dyDescent="0.3">
      <c r="A5593" t="s">
        <v>15283</v>
      </c>
      <c r="B5593" t="s">
        <v>29812</v>
      </c>
      <c r="C5593" t="s">
        <v>20490</v>
      </c>
      <c r="D5593" t="s">
        <v>11</v>
      </c>
      <c r="E5593" t="s">
        <v>2248</v>
      </c>
      <c r="F5593">
        <v>43</v>
      </c>
      <c r="G5593" t="s">
        <v>370</v>
      </c>
      <c r="H5593" t="s">
        <v>46</v>
      </c>
      <c r="I5593" t="s">
        <v>228</v>
      </c>
    </row>
    <row r="5594" spans="1:10" x14ac:dyDescent="0.3">
      <c r="A5594" t="s">
        <v>15284</v>
      </c>
      <c r="B5594" t="s">
        <v>29813</v>
      </c>
      <c r="C5594" t="s">
        <v>20487</v>
      </c>
      <c r="D5594" t="s">
        <v>22</v>
      </c>
      <c r="E5594" t="s">
        <v>15285</v>
      </c>
      <c r="F5594">
        <v>17</v>
      </c>
      <c r="G5594" t="s">
        <v>337</v>
      </c>
      <c r="H5594" t="s">
        <v>337</v>
      </c>
    </row>
    <row r="5595" spans="1:10" x14ac:dyDescent="0.3">
      <c r="A5595" t="s">
        <v>15286</v>
      </c>
      <c r="B5595" t="s">
        <v>29814</v>
      </c>
      <c r="C5595" t="s">
        <v>20489</v>
      </c>
      <c r="D5595" t="s">
        <v>22</v>
      </c>
      <c r="E5595" t="s">
        <v>15287</v>
      </c>
      <c r="F5595">
        <v>49</v>
      </c>
      <c r="G5595" t="s">
        <v>370</v>
      </c>
      <c r="H5595" t="s">
        <v>46</v>
      </c>
      <c r="I5595" t="s">
        <v>228</v>
      </c>
    </row>
    <row r="5596" spans="1:10" x14ac:dyDescent="0.3">
      <c r="A5596" t="s">
        <v>15288</v>
      </c>
      <c r="B5596" t="s">
        <v>29815</v>
      </c>
      <c r="C5596" t="s">
        <v>20486</v>
      </c>
      <c r="D5596" t="s">
        <v>22</v>
      </c>
      <c r="E5596" t="s">
        <v>15289</v>
      </c>
      <c r="F5596">
        <v>38</v>
      </c>
      <c r="G5596" t="s">
        <v>109</v>
      </c>
      <c r="H5596" t="s">
        <v>9788</v>
      </c>
      <c r="J5596" t="s">
        <v>15290</v>
      </c>
    </row>
    <row r="5597" spans="1:10" x14ac:dyDescent="0.3">
      <c r="A5597" t="s">
        <v>15291</v>
      </c>
      <c r="B5597" t="s">
        <v>29816</v>
      </c>
      <c r="C5597" t="s">
        <v>20486</v>
      </c>
      <c r="D5597" t="s">
        <v>11</v>
      </c>
      <c r="E5597" t="s">
        <v>15292</v>
      </c>
      <c r="F5597">
        <v>20</v>
      </c>
      <c r="G5597" t="s">
        <v>337</v>
      </c>
      <c r="H5597" t="s">
        <v>337</v>
      </c>
      <c r="I5597" t="s">
        <v>15293</v>
      </c>
      <c r="J5597" t="s">
        <v>15294</v>
      </c>
    </row>
    <row r="5598" spans="1:10" x14ac:dyDescent="0.3">
      <c r="A5598" t="s">
        <v>15295</v>
      </c>
      <c r="B5598" t="s">
        <v>29817</v>
      </c>
      <c r="C5598" t="s">
        <v>20488</v>
      </c>
      <c r="D5598" t="s">
        <v>11</v>
      </c>
      <c r="E5598" t="s">
        <v>2165</v>
      </c>
      <c r="F5598">
        <v>38</v>
      </c>
      <c r="G5598" t="s">
        <v>46</v>
      </c>
      <c r="H5598" t="s">
        <v>46</v>
      </c>
      <c r="I5598" t="s">
        <v>228</v>
      </c>
      <c r="J5598" t="s">
        <v>15296</v>
      </c>
    </row>
    <row r="5599" spans="1:10" x14ac:dyDescent="0.3">
      <c r="A5599" t="s">
        <v>15297</v>
      </c>
      <c r="B5599" t="s">
        <v>29818</v>
      </c>
      <c r="C5599" t="s">
        <v>20486</v>
      </c>
      <c r="D5599" t="s">
        <v>22</v>
      </c>
      <c r="E5599" t="s">
        <v>15298</v>
      </c>
      <c r="F5599">
        <v>35</v>
      </c>
      <c r="G5599" t="s">
        <v>46</v>
      </c>
      <c r="H5599" t="s">
        <v>46</v>
      </c>
      <c r="I5599" t="s">
        <v>441</v>
      </c>
      <c r="J5599" t="s">
        <v>15299</v>
      </c>
    </row>
    <row r="5600" spans="1:10" x14ac:dyDescent="0.3">
      <c r="A5600" t="s">
        <v>15300</v>
      </c>
      <c r="B5600" t="s">
        <v>29819</v>
      </c>
      <c r="C5600" t="s">
        <v>20488</v>
      </c>
      <c r="D5600" t="s">
        <v>22</v>
      </c>
      <c r="E5600" t="s">
        <v>15301</v>
      </c>
      <c r="F5600">
        <v>28</v>
      </c>
      <c r="G5600" t="s">
        <v>109</v>
      </c>
      <c r="H5600" t="s">
        <v>9788</v>
      </c>
      <c r="I5600" t="s">
        <v>1074</v>
      </c>
      <c r="J5600" t="s">
        <v>15302</v>
      </c>
    </row>
    <row r="5601" spans="1:10" x14ac:dyDescent="0.3">
      <c r="A5601" t="s">
        <v>15303</v>
      </c>
      <c r="B5601" t="s">
        <v>29820</v>
      </c>
      <c r="C5601" t="s">
        <v>20490</v>
      </c>
      <c r="D5601" t="s">
        <v>11</v>
      </c>
      <c r="E5601" t="s">
        <v>7371</v>
      </c>
      <c r="F5601">
        <v>30</v>
      </c>
      <c r="G5601" t="s">
        <v>109</v>
      </c>
      <c r="H5601" t="s">
        <v>9788</v>
      </c>
    </row>
    <row r="5602" spans="1:10" x14ac:dyDescent="0.3">
      <c r="A5602" t="s">
        <v>15304</v>
      </c>
      <c r="B5602" t="s">
        <v>29821</v>
      </c>
      <c r="C5602" t="s">
        <v>20486</v>
      </c>
      <c r="D5602" t="s">
        <v>22</v>
      </c>
      <c r="E5602" t="s">
        <v>15305</v>
      </c>
      <c r="F5602">
        <v>59</v>
      </c>
      <c r="G5602" t="s">
        <v>109</v>
      </c>
      <c r="H5602" t="s">
        <v>9788</v>
      </c>
      <c r="I5602" t="s">
        <v>201</v>
      </c>
      <c r="J5602" t="s">
        <v>15306</v>
      </c>
    </row>
    <row r="5603" spans="1:10" x14ac:dyDescent="0.3">
      <c r="A5603" t="s">
        <v>15307</v>
      </c>
      <c r="B5603" t="s">
        <v>29822</v>
      </c>
      <c r="C5603" t="s">
        <v>20486</v>
      </c>
      <c r="D5603" t="s">
        <v>11</v>
      </c>
      <c r="E5603" t="s">
        <v>15308</v>
      </c>
      <c r="F5603">
        <v>25</v>
      </c>
      <c r="G5603" t="s">
        <v>109</v>
      </c>
      <c r="H5603" t="s">
        <v>9788</v>
      </c>
      <c r="J5603" t="s">
        <v>13083</v>
      </c>
    </row>
    <row r="5604" spans="1:10" x14ac:dyDescent="0.3">
      <c r="A5604" t="s">
        <v>15309</v>
      </c>
      <c r="B5604" t="s">
        <v>29823</v>
      </c>
      <c r="C5604" t="s">
        <v>20486</v>
      </c>
      <c r="D5604" t="s">
        <v>11</v>
      </c>
      <c r="E5604" t="s">
        <v>15310</v>
      </c>
      <c r="F5604">
        <v>25</v>
      </c>
      <c r="G5604" t="s">
        <v>109</v>
      </c>
      <c r="H5604" t="s">
        <v>9788</v>
      </c>
      <c r="J5604" t="s">
        <v>13083</v>
      </c>
    </row>
    <row r="5605" spans="1:10" x14ac:dyDescent="0.3">
      <c r="A5605" t="s">
        <v>15311</v>
      </c>
      <c r="B5605" t="s">
        <v>29824</v>
      </c>
      <c r="C5605" t="s">
        <v>20486</v>
      </c>
      <c r="D5605" t="s">
        <v>22</v>
      </c>
      <c r="E5605" t="s">
        <v>15312</v>
      </c>
      <c r="F5605">
        <v>19</v>
      </c>
      <c r="G5605" t="s">
        <v>337</v>
      </c>
      <c r="H5605" t="s">
        <v>337</v>
      </c>
      <c r="I5605" t="s">
        <v>1047</v>
      </c>
      <c r="J5605" t="s">
        <v>6276</v>
      </c>
    </row>
    <row r="5606" spans="1:10" x14ac:dyDescent="0.3">
      <c r="A5606" t="s">
        <v>15313</v>
      </c>
      <c r="B5606" t="s">
        <v>29825</v>
      </c>
      <c r="C5606" t="s">
        <v>20488</v>
      </c>
      <c r="D5606" t="s">
        <v>11</v>
      </c>
      <c r="E5606" t="s">
        <v>15314</v>
      </c>
      <c r="F5606">
        <v>18</v>
      </c>
      <c r="G5606" t="s">
        <v>337</v>
      </c>
      <c r="H5606" t="s">
        <v>337</v>
      </c>
    </row>
    <row r="5607" spans="1:10" x14ac:dyDescent="0.3">
      <c r="A5607" t="s">
        <v>15315</v>
      </c>
      <c r="B5607" t="s">
        <v>29826</v>
      </c>
      <c r="C5607" t="s">
        <v>20486</v>
      </c>
      <c r="D5607" t="s">
        <v>11</v>
      </c>
      <c r="E5607" t="s">
        <v>8538</v>
      </c>
      <c r="F5607">
        <v>47</v>
      </c>
      <c r="G5607" t="s">
        <v>46</v>
      </c>
      <c r="H5607" t="s">
        <v>46</v>
      </c>
      <c r="I5607" t="s">
        <v>15316</v>
      </c>
      <c r="J5607" t="s">
        <v>15317</v>
      </c>
    </row>
    <row r="5608" spans="1:10" x14ac:dyDescent="0.3">
      <c r="A5608" t="s">
        <v>15318</v>
      </c>
      <c r="B5608" t="s">
        <v>29827</v>
      </c>
      <c r="C5608" t="s">
        <v>20490</v>
      </c>
      <c r="D5608" t="s">
        <v>11</v>
      </c>
      <c r="E5608" t="s">
        <v>15319</v>
      </c>
      <c r="F5608">
        <v>55</v>
      </c>
      <c r="G5608" t="s">
        <v>370</v>
      </c>
      <c r="H5608" t="s">
        <v>46</v>
      </c>
    </row>
    <row r="5609" spans="1:10" x14ac:dyDescent="0.3">
      <c r="A5609" t="s">
        <v>15320</v>
      </c>
      <c r="B5609" t="s">
        <v>29828</v>
      </c>
      <c r="C5609" t="s">
        <v>20486</v>
      </c>
      <c r="D5609" t="s">
        <v>22</v>
      </c>
      <c r="E5609" t="s">
        <v>4944</v>
      </c>
      <c r="F5609">
        <v>50</v>
      </c>
      <c r="G5609" t="s">
        <v>31</v>
      </c>
      <c r="H5609" t="s">
        <v>31</v>
      </c>
      <c r="I5609" t="s">
        <v>201</v>
      </c>
      <c r="J5609" t="s">
        <v>1190</v>
      </c>
    </row>
    <row r="5610" spans="1:10" x14ac:dyDescent="0.3">
      <c r="A5610" t="s">
        <v>15321</v>
      </c>
      <c r="B5610" t="s">
        <v>29829</v>
      </c>
      <c r="C5610" t="s">
        <v>20489</v>
      </c>
      <c r="D5610" t="s">
        <v>22</v>
      </c>
      <c r="E5610" t="s">
        <v>15322</v>
      </c>
      <c r="F5610">
        <v>34</v>
      </c>
      <c r="G5610" t="s">
        <v>16</v>
      </c>
      <c r="H5610" t="s">
        <v>9785</v>
      </c>
      <c r="I5610" t="s">
        <v>17</v>
      </c>
      <c r="J5610" t="s">
        <v>642</v>
      </c>
    </row>
    <row r="5611" spans="1:10" x14ac:dyDescent="0.3">
      <c r="A5611" t="s">
        <v>15323</v>
      </c>
      <c r="B5611" t="s">
        <v>29830</v>
      </c>
      <c r="C5611" t="s">
        <v>20486</v>
      </c>
      <c r="D5611" t="s">
        <v>11</v>
      </c>
      <c r="E5611" t="s">
        <v>15324</v>
      </c>
      <c r="F5611">
        <v>31</v>
      </c>
      <c r="G5611" t="s">
        <v>46</v>
      </c>
      <c r="H5611" t="s">
        <v>46</v>
      </c>
      <c r="I5611" t="s">
        <v>3978</v>
      </c>
      <c r="J5611" t="s">
        <v>15325</v>
      </c>
    </row>
    <row r="5612" spans="1:10" x14ac:dyDescent="0.3">
      <c r="A5612" t="s">
        <v>15326</v>
      </c>
      <c r="B5612" t="s">
        <v>29831</v>
      </c>
      <c r="C5612" t="s">
        <v>20486</v>
      </c>
      <c r="D5612" t="s">
        <v>11</v>
      </c>
      <c r="E5612" t="s">
        <v>15327</v>
      </c>
      <c r="F5612">
        <v>21</v>
      </c>
      <c r="G5612" t="s">
        <v>337</v>
      </c>
      <c r="H5612" t="s">
        <v>337</v>
      </c>
      <c r="I5612" t="s">
        <v>1047</v>
      </c>
      <c r="J5612" t="s">
        <v>15328</v>
      </c>
    </row>
    <row r="5613" spans="1:10" x14ac:dyDescent="0.3">
      <c r="A5613" t="s">
        <v>15329</v>
      </c>
      <c r="B5613" t="s">
        <v>29832</v>
      </c>
      <c r="C5613" t="s">
        <v>20486</v>
      </c>
      <c r="D5613" t="s">
        <v>22</v>
      </c>
      <c r="E5613" t="s">
        <v>15330</v>
      </c>
      <c r="F5613">
        <v>50</v>
      </c>
      <c r="G5613" t="s">
        <v>46</v>
      </c>
      <c r="H5613" t="s">
        <v>46</v>
      </c>
      <c r="I5613" t="s">
        <v>15331</v>
      </c>
    </row>
    <row r="5614" spans="1:10" x14ac:dyDescent="0.3">
      <c r="A5614" t="s">
        <v>15332</v>
      </c>
      <c r="B5614" t="s">
        <v>29833</v>
      </c>
      <c r="C5614" t="s">
        <v>20486</v>
      </c>
      <c r="D5614" t="s">
        <v>22</v>
      </c>
      <c r="E5614" t="s">
        <v>13275</v>
      </c>
      <c r="F5614">
        <v>45</v>
      </c>
      <c r="G5614" t="s">
        <v>46</v>
      </c>
      <c r="H5614" t="s">
        <v>46</v>
      </c>
      <c r="I5614" t="s">
        <v>15333</v>
      </c>
      <c r="J5614" t="s">
        <v>15334</v>
      </c>
    </row>
    <row r="5615" spans="1:10" x14ac:dyDescent="0.3">
      <c r="A5615" t="s">
        <v>18863</v>
      </c>
      <c r="B5615" t="s">
        <v>29834</v>
      </c>
      <c r="C5615" t="s">
        <v>20486</v>
      </c>
      <c r="D5615" t="s">
        <v>22</v>
      </c>
      <c r="E5615" t="s">
        <v>6914</v>
      </c>
      <c r="F5615">
        <v>52</v>
      </c>
      <c r="G5615" t="s">
        <v>5098</v>
      </c>
      <c r="H5615" t="s">
        <v>9785</v>
      </c>
      <c r="I5615" t="s">
        <v>8693</v>
      </c>
      <c r="J5615" t="s">
        <v>18864</v>
      </c>
    </row>
    <row r="5616" spans="1:10" x14ac:dyDescent="0.3">
      <c r="A5616" t="s">
        <v>18865</v>
      </c>
      <c r="B5616" t="s">
        <v>29835</v>
      </c>
      <c r="C5616" t="s">
        <v>20486</v>
      </c>
      <c r="D5616" t="s">
        <v>11</v>
      </c>
      <c r="E5616" t="s">
        <v>18866</v>
      </c>
      <c r="F5616">
        <v>34</v>
      </c>
      <c r="G5616" t="s">
        <v>109</v>
      </c>
      <c r="H5616" t="s">
        <v>9788</v>
      </c>
      <c r="I5616" t="s">
        <v>228</v>
      </c>
      <c r="J5616" t="s">
        <v>6276</v>
      </c>
    </row>
    <row r="5617" spans="1:10" x14ac:dyDescent="0.3">
      <c r="A5617" t="s">
        <v>18867</v>
      </c>
      <c r="B5617" t="s">
        <v>29836</v>
      </c>
      <c r="C5617" t="s">
        <v>20491</v>
      </c>
      <c r="D5617" t="s">
        <v>11</v>
      </c>
      <c r="E5617" t="s">
        <v>14282</v>
      </c>
      <c r="F5617">
        <v>24</v>
      </c>
      <c r="G5617" t="s">
        <v>109</v>
      </c>
      <c r="H5617" t="s">
        <v>9788</v>
      </c>
      <c r="J5617" t="s">
        <v>18868</v>
      </c>
    </row>
    <row r="5618" spans="1:10" x14ac:dyDescent="0.3">
      <c r="A5618" t="s">
        <v>18869</v>
      </c>
      <c r="B5618" t="s">
        <v>29837</v>
      </c>
      <c r="C5618" t="s">
        <v>20486</v>
      </c>
      <c r="D5618" t="s">
        <v>22</v>
      </c>
      <c r="E5618" t="s">
        <v>18870</v>
      </c>
      <c r="F5618">
        <v>59</v>
      </c>
      <c r="G5618" t="s">
        <v>155</v>
      </c>
      <c r="H5618" t="s">
        <v>9791</v>
      </c>
      <c r="I5618" t="s">
        <v>18871</v>
      </c>
      <c r="J5618" t="s">
        <v>25</v>
      </c>
    </row>
    <row r="5619" spans="1:10" x14ac:dyDescent="0.3">
      <c r="A5619" t="s">
        <v>18872</v>
      </c>
      <c r="B5619" t="s">
        <v>29838</v>
      </c>
      <c r="C5619" t="s">
        <v>20486</v>
      </c>
      <c r="D5619" t="s">
        <v>22</v>
      </c>
      <c r="E5619" t="s">
        <v>18873</v>
      </c>
      <c r="F5619">
        <v>25</v>
      </c>
      <c r="G5619" t="s">
        <v>109</v>
      </c>
      <c r="H5619" t="s">
        <v>9788</v>
      </c>
      <c r="I5619" t="s">
        <v>5194</v>
      </c>
      <c r="J5619" t="s">
        <v>18874</v>
      </c>
    </row>
    <row r="5620" spans="1:10" x14ac:dyDescent="0.3">
      <c r="A5620" t="s">
        <v>18876</v>
      </c>
      <c r="B5620" t="s">
        <v>29839</v>
      </c>
      <c r="C5620" t="s">
        <v>20486</v>
      </c>
      <c r="D5620" t="s">
        <v>11</v>
      </c>
      <c r="E5620" t="s">
        <v>18877</v>
      </c>
      <c r="F5620">
        <v>24</v>
      </c>
      <c r="G5620" t="s">
        <v>337</v>
      </c>
      <c r="H5620" t="s">
        <v>9788</v>
      </c>
      <c r="I5620" t="s">
        <v>1047</v>
      </c>
      <c r="J5620" t="s">
        <v>13593</v>
      </c>
    </row>
    <row r="5621" spans="1:10" x14ac:dyDescent="0.3">
      <c r="A5621" t="s">
        <v>18878</v>
      </c>
      <c r="B5621" t="s">
        <v>29840</v>
      </c>
      <c r="C5621" t="s">
        <v>20486</v>
      </c>
      <c r="D5621" t="s">
        <v>11</v>
      </c>
      <c r="E5621" t="s">
        <v>18879</v>
      </c>
      <c r="F5621">
        <v>23</v>
      </c>
      <c r="G5621" t="s">
        <v>46</v>
      </c>
      <c r="H5621" t="s">
        <v>46</v>
      </c>
      <c r="J5621" t="s">
        <v>18880</v>
      </c>
    </row>
    <row r="5622" spans="1:10" x14ac:dyDescent="0.3">
      <c r="A5622" t="s">
        <v>18881</v>
      </c>
      <c r="B5622" t="s">
        <v>29841</v>
      </c>
      <c r="C5622" t="s">
        <v>20486</v>
      </c>
      <c r="D5622" t="s">
        <v>11</v>
      </c>
      <c r="E5622" t="s">
        <v>18882</v>
      </c>
      <c r="F5622">
        <v>19</v>
      </c>
      <c r="G5622" t="s">
        <v>337</v>
      </c>
      <c r="H5622" t="s">
        <v>9789</v>
      </c>
      <c r="I5622" t="s">
        <v>18883</v>
      </c>
      <c r="J5622" t="s">
        <v>18884</v>
      </c>
    </row>
    <row r="5623" spans="1:10" x14ac:dyDescent="0.3">
      <c r="A5623" t="s">
        <v>18885</v>
      </c>
      <c r="B5623" t="s">
        <v>29842</v>
      </c>
      <c r="C5623" t="s">
        <v>20488</v>
      </c>
      <c r="D5623" t="s">
        <v>22</v>
      </c>
      <c r="E5623" t="s">
        <v>18886</v>
      </c>
      <c r="F5623">
        <v>20</v>
      </c>
      <c r="G5623" t="s">
        <v>109</v>
      </c>
      <c r="H5623" t="s">
        <v>9788</v>
      </c>
      <c r="I5623" t="s">
        <v>228</v>
      </c>
      <c r="J5623" t="s">
        <v>3793</v>
      </c>
    </row>
    <row r="5624" spans="1:10" x14ac:dyDescent="0.3">
      <c r="A5624" t="s">
        <v>18887</v>
      </c>
      <c r="B5624" t="s">
        <v>29843</v>
      </c>
      <c r="C5624" t="s">
        <v>20491</v>
      </c>
      <c r="D5624" t="s">
        <v>22</v>
      </c>
      <c r="E5624" t="s">
        <v>12973</v>
      </c>
      <c r="F5624">
        <v>42</v>
      </c>
      <c r="G5624" t="s">
        <v>109</v>
      </c>
      <c r="H5624" t="s">
        <v>9788</v>
      </c>
    </row>
    <row r="5625" spans="1:10" x14ac:dyDescent="0.3">
      <c r="A5625" t="s">
        <v>18888</v>
      </c>
      <c r="B5625" t="s">
        <v>29844</v>
      </c>
      <c r="C5625" t="s">
        <v>20487</v>
      </c>
      <c r="D5625" t="s">
        <v>11</v>
      </c>
      <c r="E5625" t="s">
        <v>2205</v>
      </c>
      <c r="F5625">
        <v>47</v>
      </c>
      <c r="G5625" t="s">
        <v>16</v>
      </c>
      <c r="H5625" t="s">
        <v>9785</v>
      </c>
      <c r="I5625" t="s">
        <v>18889</v>
      </c>
      <c r="J5625" t="s">
        <v>18890</v>
      </c>
    </row>
    <row r="5626" spans="1:10" x14ac:dyDescent="0.3">
      <c r="A5626" t="s">
        <v>18891</v>
      </c>
      <c r="B5626" t="s">
        <v>29845</v>
      </c>
      <c r="C5626" t="s">
        <v>20489</v>
      </c>
      <c r="D5626" t="s">
        <v>11</v>
      </c>
      <c r="E5626" t="s">
        <v>925</v>
      </c>
      <c r="F5626">
        <v>59</v>
      </c>
      <c r="G5626" t="s">
        <v>4295</v>
      </c>
      <c r="H5626" t="s">
        <v>9789</v>
      </c>
      <c r="I5626" t="s">
        <v>18892</v>
      </c>
    </row>
    <row r="5627" spans="1:10" x14ac:dyDescent="0.3">
      <c r="A5627" t="s">
        <v>18893</v>
      </c>
      <c r="B5627" t="s">
        <v>29846</v>
      </c>
      <c r="C5627" t="s">
        <v>20487</v>
      </c>
      <c r="D5627" t="s">
        <v>11</v>
      </c>
      <c r="E5627" t="s">
        <v>18894</v>
      </c>
      <c r="F5627">
        <v>31</v>
      </c>
      <c r="G5627" t="s">
        <v>46</v>
      </c>
      <c r="H5627" t="s">
        <v>46</v>
      </c>
      <c r="I5627" t="s">
        <v>228</v>
      </c>
      <c r="J5627" t="s">
        <v>18895</v>
      </c>
    </row>
    <row r="5628" spans="1:10" x14ac:dyDescent="0.3">
      <c r="A5628" t="s">
        <v>18896</v>
      </c>
      <c r="B5628" t="s">
        <v>29847</v>
      </c>
      <c r="C5628" t="s">
        <v>20487</v>
      </c>
      <c r="D5628" t="s">
        <v>22</v>
      </c>
      <c r="E5628" t="s">
        <v>18897</v>
      </c>
      <c r="F5628">
        <v>41</v>
      </c>
      <c r="G5628" t="s">
        <v>31</v>
      </c>
      <c r="H5628" t="s">
        <v>31</v>
      </c>
    </row>
    <row r="5629" spans="1:10" x14ac:dyDescent="0.3">
      <c r="A5629" t="s">
        <v>18898</v>
      </c>
      <c r="B5629" t="s">
        <v>29848</v>
      </c>
      <c r="C5629" t="s">
        <v>20486</v>
      </c>
      <c r="D5629" t="s">
        <v>22</v>
      </c>
      <c r="E5629" t="s">
        <v>13796</v>
      </c>
      <c r="F5629">
        <v>36</v>
      </c>
      <c r="G5629" t="s">
        <v>31</v>
      </c>
      <c r="H5629" t="s">
        <v>46</v>
      </c>
      <c r="I5629" t="s">
        <v>201</v>
      </c>
      <c r="J5629" t="s">
        <v>18899</v>
      </c>
    </row>
    <row r="5630" spans="1:10" x14ac:dyDescent="0.3">
      <c r="A5630" t="s">
        <v>18900</v>
      </c>
      <c r="B5630" t="s">
        <v>29849</v>
      </c>
      <c r="C5630" t="s">
        <v>20486</v>
      </c>
      <c r="D5630" t="s">
        <v>22</v>
      </c>
      <c r="E5630" t="s">
        <v>18901</v>
      </c>
      <c r="F5630">
        <v>33</v>
      </c>
      <c r="G5630" t="s">
        <v>31</v>
      </c>
      <c r="H5630" t="s">
        <v>46</v>
      </c>
      <c r="I5630" t="s">
        <v>18902</v>
      </c>
      <c r="J5630" t="s">
        <v>18903</v>
      </c>
    </row>
    <row r="5631" spans="1:10" x14ac:dyDescent="0.3">
      <c r="A5631" t="s">
        <v>18904</v>
      </c>
      <c r="B5631" t="s">
        <v>29850</v>
      </c>
      <c r="C5631" t="s">
        <v>20488</v>
      </c>
      <c r="D5631" t="s">
        <v>22</v>
      </c>
      <c r="E5631" t="s">
        <v>18905</v>
      </c>
      <c r="F5631">
        <v>57</v>
      </c>
      <c r="G5631" t="s">
        <v>31</v>
      </c>
      <c r="H5631" t="s">
        <v>31</v>
      </c>
    </row>
    <row r="5632" spans="1:10" x14ac:dyDescent="0.3">
      <c r="A5632" t="s">
        <v>18906</v>
      </c>
      <c r="B5632" t="s">
        <v>29851</v>
      </c>
      <c r="C5632" t="s">
        <v>20486</v>
      </c>
      <c r="D5632" t="s">
        <v>22</v>
      </c>
      <c r="E5632" t="s">
        <v>801</v>
      </c>
      <c r="F5632">
        <v>48</v>
      </c>
      <c r="G5632" t="s">
        <v>46</v>
      </c>
      <c r="H5632" t="s">
        <v>31</v>
      </c>
      <c r="I5632" t="s">
        <v>3763</v>
      </c>
    </row>
    <row r="5633" spans="1:10" x14ac:dyDescent="0.3">
      <c r="A5633" t="s">
        <v>18907</v>
      </c>
      <c r="B5633" t="s">
        <v>29852</v>
      </c>
      <c r="C5633" t="s">
        <v>20486</v>
      </c>
      <c r="D5633" t="s">
        <v>22</v>
      </c>
      <c r="E5633" t="s">
        <v>18908</v>
      </c>
      <c r="F5633">
        <v>51</v>
      </c>
      <c r="G5633" t="s">
        <v>46</v>
      </c>
      <c r="H5633" t="s">
        <v>46</v>
      </c>
      <c r="I5633" t="s">
        <v>228</v>
      </c>
    </row>
    <row r="5634" spans="1:10" x14ac:dyDescent="0.3">
      <c r="A5634" t="s">
        <v>18909</v>
      </c>
      <c r="B5634" t="s">
        <v>29853</v>
      </c>
      <c r="C5634" t="s">
        <v>20489</v>
      </c>
      <c r="D5634" t="s">
        <v>11</v>
      </c>
      <c r="E5634" t="s">
        <v>18910</v>
      </c>
      <c r="F5634">
        <v>71</v>
      </c>
      <c r="G5634" t="s">
        <v>46</v>
      </c>
      <c r="H5634" t="s">
        <v>46</v>
      </c>
      <c r="I5634" t="s">
        <v>220</v>
      </c>
    </row>
    <row r="5635" spans="1:10" x14ac:dyDescent="0.3">
      <c r="A5635" t="s">
        <v>18911</v>
      </c>
      <c r="B5635" t="s">
        <v>29854</v>
      </c>
      <c r="C5635" t="s">
        <v>20487</v>
      </c>
      <c r="D5635" t="s">
        <v>11</v>
      </c>
      <c r="E5635" t="s">
        <v>18912</v>
      </c>
      <c r="F5635">
        <v>39</v>
      </c>
      <c r="G5635" t="s">
        <v>4685</v>
      </c>
      <c r="H5635" t="s">
        <v>12099</v>
      </c>
      <c r="J5635" t="s">
        <v>18913</v>
      </c>
    </row>
    <row r="5636" spans="1:10" x14ac:dyDescent="0.3">
      <c r="A5636" t="s">
        <v>18914</v>
      </c>
      <c r="B5636" t="s">
        <v>29855</v>
      </c>
      <c r="C5636" t="s">
        <v>20490</v>
      </c>
      <c r="D5636" t="s">
        <v>22</v>
      </c>
      <c r="E5636" t="s">
        <v>18915</v>
      </c>
      <c r="F5636">
        <v>32</v>
      </c>
      <c r="G5636" t="s">
        <v>370</v>
      </c>
      <c r="H5636" t="s">
        <v>46</v>
      </c>
      <c r="I5636" t="s">
        <v>228</v>
      </c>
    </row>
    <row r="5637" spans="1:10" x14ac:dyDescent="0.3">
      <c r="A5637" t="s">
        <v>18916</v>
      </c>
      <c r="B5637" t="s">
        <v>29856</v>
      </c>
      <c r="C5637" t="s">
        <v>20491</v>
      </c>
      <c r="D5637" t="s">
        <v>22</v>
      </c>
      <c r="E5637" t="s">
        <v>18917</v>
      </c>
      <c r="F5637">
        <v>33</v>
      </c>
      <c r="G5637" t="s">
        <v>16</v>
      </c>
      <c r="H5637" t="s">
        <v>9785</v>
      </c>
      <c r="J5637" t="s">
        <v>18918</v>
      </c>
    </row>
    <row r="5638" spans="1:10" x14ac:dyDescent="0.3">
      <c r="A5638" t="s">
        <v>18919</v>
      </c>
      <c r="B5638" t="s">
        <v>29857</v>
      </c>
      <c r="C5638" t="s">
        <v>20488</v>
      </c>
      <c r="D5638" t="s">
        <v>22</v>
      </c>
      <c r="E5638" t="s">
        <v>18920</v>
      </c>
      <c r="F5638">
        <v>56</v>
      </c>
      <c r="G5638" t="s">
        <v>31</v>
      </c>
      <c r="H5638" t="s">
        <v>31</v>
      </c>
    </row>
    <row r="5639" spans="1:10" x14ac:dyDescent="0.3">
      <c r="A5639" t="s">
        <v>18921</v>
      </c>
      <c r="B5639" t="s">
        <v>29858</v>
      </c>
      <c r="C5639" t="s">
        <v>20486</v>
      </c>
      <c r="D5639" t="s">
        <v>11</v>
      </c>
      <c r="E5639" t="s">
        <v>18922</v>
      </c>
      <c r="F5639">
        <v>40</v>
      </c>
      <c r="G5639" t="s">
        <v>172</v>
      </c>
      <c r="H5639" t="s">
        <v>12099</v>
      </c>
      <c r="J5639" t="s">
        <v>18923</v>
      </c>
    </row>
    <row r="5640" spans="1:10" x14ac:dyDescent="0.3">
      <c r="A5640" t="s">
        <v>18924</v>
      </c>
      <c r="B5640" t="s">
        <v>29859</v>
      </c>
      <c r="C5640" t="s">
        <v>20488</v>
      </c>
      <c r="D5640" t="s">
        <v>22</v>
      </c>
      <c r="E5640" t="s">
        <v>14802</v>
      </c>
      <c r="F5640">
        <v>45</v>
      </c>
      <c r="G5640" t="s">
        <v>16</v>
      </c>
      <c r="H5640" t="s">
        <v>9785</v>
      </c>
      <c r="I5640" t="s">
        <v>8908</v>
      </c>
      <c r="J5640" t="s">
        <v>18925</v>
      </c>
    </row>
    <row r="5641" spans="1:10" x14ac:dyDescent="0.3">
      <c r="A5641" t="s">
        <v>18926</v>
      </c>
      <c r="B5641" t="s">
        <v>29860</v>
      </c>
      <c r="C5641" t="s">
        <v>20486</v>
      </c>
      <c r="D5641" t="s">
        <v>22</v>
      </c>
      <c r="E5641" t="s">
        <v>18927</v>
      </c>
      <c r="F5641">
        <v>49</v>
      </c>
      <c r="G5641" t="s">
        <v>46</v>
      </c>
      <c r="H5641" t="s">
        <v>46</v>
      </c>
      <c r="I5641" t="s">
        <v>228</v>
      </c>
      <c r="J5641" t="s">
        <v>18928</v>
      </c>
    </row>
    <row r="5642" spans="1:10" x14ac:dyDescent="0.3">
      <c r="A5642" t="s">
        <v>18929</v>
      </c>
      <c r="B5642" t="s">
        <v>29861</v>
      </c>
      <c r="C5642" t="s">
        <v>20486</v>
      </c>
      <c r="D5642" t="s">
        <v>22</v>
      </c>
      <c r="E5642" t="s">
        <v>990</v>
      </c>
      <c r="F5642">
        <v>47</v>
      </c>
      <c r="G5642" t="s">
        <v>46</v>
      </c>
      <c r="H5642" t="s">
        <v>46</v>
      </c>
      <c r="J5642" t="s">
        <v>18930</v>
      </c>
    </row>
    <row r="5643" spans="1:10" x14ac:dyDescent="0.3">
      <c r="A5643" t="s">
        <v>18931</v>
      </c>
      <c r="B5643" t="s">
        <v>29862</v>
      </c>
      <c r="C5643" t="s">
        <v>20487</v>
      </c>
      <c r="D5643" t="s">
        <v>22</v>
      </c>
      <c r="E5643" t="s">
        <v>18932</v>
      </c>
      <c r="F5643">
        <v>41</v>
      </c>
      <c r="G5643" t="s">
        <v>31</v>
      </c>
      <c r="H5643" t="s">
        <v>31</v>
      </c>
    </row>
    <row r="5644" spans="1:10" x14ac:dyDescent="0.3">
      <c r="A5644" t="s">
        <v>18933</v>
      </c>
      <c r="B5644" t="s">
        <v>29863</v>
      </c>
      <c r="C5644" t="s">
        <v>20486</v>
      </c>
      <c r="D5644" t="s">
        <v>22</v>
      </c>
      <c r="E5644" t="s">
        <v>2426</v>
      </c>
      <c r="F5644">
        <v>52</v>
      </c>
      <c r="G5644" t="s">
        <v>31</v>
      </c>
      <c r="H5644" t="s">
        <v>31</v>
      </c>
    </row>
    <row r="5645" spans="1:10" x14ac:dyDescent="0.3">
      <c r="A5645" t="s">
        <v>18934</v>
      </c>
      <c r="B5645" t="s">
        <v>29864</v>
      </c>
      <c r="C5645" t="s">
        <v>20489</v>
      </c>
      <c r="D5645" t="s">
        <v>22</v>
      </c>
      <c r="E5645" t="s">
        <v>18935</v>
      </c>
      <c r="F5645">
        <v>45</v>
      </c>
      <c r="G5645" t="s">
        <v>370</v>
      </c>
      <c r="H5645" t="s">
        <v>46</v>
      </c>
      <c r="I5645" t="s">
        <v>228</v>
      </c>
    </row>
    <row r="5646" spans="1:10" x14ac:dyDescent="0.3">
      <c r="A5646" t="s">
        <v>18936</v>
      </c>
      <c r="B5646" t="s">
        <v>29865</v>
      </c>
      <c r="C5646" t="s">
        <v>20491</v>
      </c>
      <c r="D5646" t="s">
        <v>11</v>
      </c>
      <c r="E5646" t="s">
        <v>7973</v>
      </c>
      <c r="F5646">
        <v>39</v>
      </c>
      <c r="G5646" t="s">
        <v>4295</v>
      </c>
      <c r="H5646" t="s">
        <v>46</v>
      </c>
      <c r="I5646" t="s">
        <v>3103</v>
      </c>
      <c r="J5646" t="s">
        <v>18937</v>
      </c>
    </row>
    <row r="5647" spans="1:10" x14ac:dyDescent="0.3">
      <c r="A5647" t="s">
        <v>18938</v>
      </c>
      <c r="B5647" t="s">
        <v>29866</v>
      </c>
      <c r="C5647" t="s">
        <v>20486</v>
      </c>
      <c r="D5647" t="s">
        <v>22</v>
      </c>
      <c r="E5647" t="s">
        <v>4661</v>
      </c>
      <c r="F5647">
        <v>30</v>
      </c>
      <c r="G5647" t="s">
        <v>31</v>
      </c>
      <c r="H5647" t="s">
        <v>46</v>
      </c>
      <c r="I5647" t="s">
        <v>201</v>
      </c>
      <c r="J5647" t="s">
        <v>18939</v>
      </c>
    </row>
    <row r="5648" spans="1:10" x14ac:dyDescent="0.3">
      <c r="A5648" t="s">
        <v>18940</v>
      </c>
      <c r="B5648" t="s">
        <v>29867</v>
      </c>
      <c r="C5648" t="s">
        <v>20487</v>
      </c>
      <c r="D5648" t="s">
        <v>11</v>
      </c>
      <c r="E5648" t="s">
        <v>18941</v>
      </c>
      <c r="F5648">
        <v>40</v>
      </c>
      <c r="G5648" t="s">
        <v>46</v>
      </c>
      <c r="H5648" t="s">
        <v>46</v>
      </c>
      <c r="I5648" t="s">
        <v>228</v>
      </c>
      <c r="J5648" t="s">
        <v>18942</v>
      </c>
    </row>
    <row r="5649" spans="1:10" x14ac:dyDescent="0.3">
      <c r="A5649" t="s">
        <v>18943</v>
      </c>
      <c r="B5649" t="s">
        <v>29868</v>
      </c>
      <c r="C5649" t="s">
        <v>20487</v>
      </c>
      <c r="D5649" t="s">
        <v>22</v>
      </c>
      <c r="E5649" t="s">
        <v>18944</v>
      </c>
      <c r="F5649">
        <v>44</v>
      </c>
      <c r="G5649" t="s">
        <v>24</v>
      </c>
      <c r="H5649" t="s">
        <v>9789</v>
      </c>
    </row>
    <row r="5650" spans="1:10" x14ac:dyDescent="0.3">
      <c r="A5650" t="s">
        <v>18945</v>
      </c>
      <c r="B5650" t="s">
        <v>29869</v>
      </c>
      <c r="C5650" t="s">
        <v>20487</v>
      </c>
      <c r="D5650" t="s">
        <v>22</v>
      </c>
      <c r="E5650" t="s">
        <v>18946</v>
      </c>
      <c r="F5650">
        <v>43</v>
      </c>
      <c r="G5650" t="s">
        <v>46</v>
      </c>
      <c r="H5650" t="s">
        <v>46</v>
      </c>
      <c r="I5650" t="s">
        <v>228</v>
      </c>
      <c r="J5650" t="s">
        <v>2216</v>
      </c>
    </row>
    <row r="5651" spans="1:10" x14ac:dyDescent="0.3">
      <c r="A5651" t="s">
        <v>18947</v>
      </c>
      <c r="B5651" t="s">
        <v>29870</v>
      </c>
      <c r="C5651" t="s">
        <v>20489</v>
      </c>
      <c r="D5651" t="s">
        <v>22</v>
      </c>
      <c r="E5651" t="s">
        <v>18948</v>
      </c>
      <c r="F5651">
        <v>53</v>
      </c>
      <c r="G5651" t="s">
        <v>370</v>
      </c>
      <c r="H5651" t="s">
        <v>46</v>
      </c>
      <c r="I5651" t="s">
        <v>228</v>
      </c>
    </row>
    <row r="5652" spans="1:10" x14ac:dyDescent="0.3">
      <c r="A5652" t="s">
        <v>18949</v>
      </c>
      <c r="B5652" t="s">
        <v>29871</v>
      </c>
      <c r="C5652" t="s">
        <v>20489</v>
      </c>
      <c r="D5652" t="s">
        <v>22</v>
      </c>
      <c r="E5652" t="s">
        <v>6776</v>
      </c>
      <c r="F5652">
        <v>46</v>
      </c>
      <c r="G5652" t="s">
        <v>46</v>
      </c>
      <c r="H5652" t="s">
        <v>46</v>
      </c>
    </row>
    <row r="5653" spans="1:10" x14ac:dyDescent="0.3">
      <c r="A5653" t="s">
        <v>18950</v>
      </c>
      <c r="B5653" t="s">
        <v>29872</v>
      </c>
      <c r="C5653" t="s">
        <v>20489</v>
      </c>
      <c r="D5653" t="s">
        <v>22</v>
      </c>
      <c r="E5653" t="s">
        <v>18951</v>
      </c>
      <c r="F5653">
        <v>45</v>
      </c>
      <c r="G5653" t="s">
        <v>46</v>
      </c>
      <c r="H5653" t="s">
        <v>46</v>
      </c>
    </row>
    <row r="5654" spans="1:10" x14ac:dyDescent="0.3">
      <c r="A5654" t="s">
        <v>18952</v>
      </c>
      <c r="B5654" t="s">
        <v>29873</v>
      </c>
      <c r="C5654" t="s">
        <v>20489</v>
      </c>
      <c r="D5654" t="s">
        <v>22</v>
      </c>
      <c r="E5654" t="s">
        <v>18953</v>
      </c>
      <c r="F5654">
        <v>50</v>
      </c>
      <c r="G5654" t="s">
        <v>370</v>
      </c>
      <c r="H5654" t="s">
        <v>46</v>
      </c>
      <c r="I5654" t="s">
        <v>228</v>
      </c>
    </row>
    <row r="5655" spans="1:10" x14ac:dyDescent="0.3">
      <c r="A5655" t="s">
        <v>18954</v>
      </c>
      <c r="B5655" t="s">
        <v>29874</v>
      </c>
      <c r="C5655" t="s">
        <v>20491</v>
      </c>
      <c r="D5655" t="s">
        <v>11</v>
      </c>
      <c r="E5655" t="s">
        <v>18955</v>
      </c>
      <c r="F5655">
        <v>26</v>
      </c>
    </row>
    <row r="5656" spans="1:10" x14ac:dyDescent="0.3">
      <c r="A5656" t="s">
        <v>18956</v>
      </c>
      <c r="B5656" t="s">
        <v>29875</v>
      </c>
      <c r="C5656" t="s">
        <v>20489</v>
      </c>
      <c r="D5656" t="s">
        <v>22</v>
      </c>
      <c r="E5656" t="s">
        <v>18957</v>
      </c>
      <c r="F5656">
        <v>54</v>
      </c>
      <c r="G5656" t="s">
        <v>370</v>
      </c>
      <c r="H5656" t="s">
        <v>46</v>
      </c>
      <c r="I5656" t="s">
        <v>228</v>
      </c>
    </row>
    <row r="5657" spans="1:10" x14ac:dyDescent="0.3">
      <c r="A5657" t="s">
        <v>18958</v>
      </c>
      <c r="B5657" t="s">
        <v>29876</v>
      </c>
      <c r="C5657" t="s">
        <v>20489</v>
      </c>
      <c r="D5657" t="s">
        <v>22</v>
      </c>
      <c r="E5657" t="s">
        <v>18959</v>
      </c>
      <c r="F5657">
        <v>49</v>
      </c>
      <c r="G5657" t="s">
        <v>370</v>
      </c>
      <c r="H5657" t="s">
        <v>46</v>
      </c>
      <c r="I5657" t="s">
        <v>228</v>
      </c>
    </row>
    <row r="5658" spans="1:10" x14ac:dyDescent="0.3">
      <c r="A5658" t="s">
        <v>18960</v>
      </c>
      <c r="B5658" t="s">
        <v>29877</v>
      </c>
      <c r="C5658" t="s">
        <v>20487</v>
      </c>
      <c r="D5658" t="s">
        <v>11</v>
      </c>
      <c r="E5658" t="s">
        <v>18961</v>
      </c>
      <c r="F5658">
        <v>53</v>
      </c>
      <c r="G5658" t="s">
        <v>46</v>
      </c>
      <c r="H5658" t="s">
        <v>46</v>
      </c>
      <c r="I5658" t="s">
        <v>3103</v>
      </c>
    </row>
    <row r="5659" spans="1:10" x14ac:dyDescent="0.3">
      <c r="A5659" t="s">
        <v>18962</v>
      </c>
      <c r="B5659" t="s">
        <v>29878</v>
      </c>
      <c r="C5659" t="s">
        <v>20487</v>
      </c>
      <c r="D5659" t="s">
        <v>22</v>
      </c>
      <c r="E5659" t="s">
        <v>7385</v>
      </c>
      <c r="F5659">
        <v>55</v>
      </c>
      <c r="G5659" t="s">
        <v>46</v>
      </c>
      <c r="H5659" t="s">
        <v>46</v>
      </c>
    </row>
    <row r="5660" spans="1:10" x14ac:dyDescent="0.3">
      <c r="A5660" t="s">
        <v>18963</v>
      </c>
      <c r="B5660" t="s">
        <v>29879</v>
      </c>
      <c r="C5660" t="s">
        <v>20488</v>
      </c>
      <c r="D5660" t="s">
        <v>22</v>
      </c>
      <c r="E5660" t="s">
        <v>18964</v>
      </c>
      <c r="F5660">
        <v>38</v>
      </c>
      <c r="G5660" t="s">
        <v>46</v>
      </c>
      <c r="H5660" t="s">
        <v>46</v>
      </c>
      <c r="I5660" t="s">
        <v>139</v>
      </c>
      <c r="J5660" t="s">
        <v>18965</v>
      </c>
    </row>
    <row r="5661" spans="1:10" x14ac:dyDescent="0.3">
      <c r="A5661" t="s">
        <v>18966</v>
      </c>
      <c r="B5661" t="s">
        <v>29880</v>
      </c>
      <c r="C5661" t="s">
        <v>20487</v>
      </c>
      <c r="D5661" t="s">
        <v>11</v>
      </c>
      <c r="E5661" t="s">
        <v>18967</v>
      </c>
      <c r="F5661">
        <v>36</v>
      </c>
      <c r="G5661" t="s">
        <v>1331</v>
      </c>
      <c r="H5661" t="s">
        <v>9789</v>
      </c>
    </row>
    <row r="5662" spans="1:10" x14ac:dyDescent="0.3">
      <c r="A5662" t="s">
        <v>18968</v>
      </c>
      <c r="B5662" t="s">
        <v>29881</v>
      </c>
      <c r="C5662" t="s">
        <v>20491</v>
      </c>
      <c r="D5662" t="s">
        <v>22</v>
      </c>
      <c r="E5662" t="s">
        <v>18969</v>
      </c>
      <c r="F5662">
        <v>40</v>
      </c>
      <c r="G5662" t="s">
        <v>46</v>
      </c>
      <c r="H5662" t="s">
        <v>46</v>
      </c>
      <c r="I5662" t="s">
        <v>228</v>
      </c>
      <c r="J5662" t="s">
        <v>18970</v>
      </c>
    </row>
    <row r="5663" spans="1:10" x14ac:dyDescent="0.3">
      <c r="A5663" t="s">
        <v>18971</v>
      </c>
      <c r="B5663" t="s">
        <v>29882</v>
      </c>
      <c r="C5663" t="s">
        <v>20486</v>
      </c>
      <c r="D5663" t="s">
        <v>22</v>
      </c>
      <c r="E5663" t="s">
        <v>7809</v>
      </c>
      <c r="F5663">
        <v>51</v>
      </c>
      <c r="G5663" t="s">
        <v>172</v>
      </c>
      <c r="H5663" t="s">
        <v>12099</v>
      </c>
      <c r="I5663" t="s">
        <v>8693</v>
      </c>
      <c r="J5663" t="s">
        <v>7568</v>
      </c>
    </row>
    <row r="5664" spans="1:10" x14ac:dyDescent="0.3">
      <c r="A5664" t="s">
        <v>18972</v>
      </c>
      <c r="B5664" t="s">
        <v>29883</v>
      </c>
      <c r="C5664" t="s">
        <v>20486</v>
      </c>
      <c r="D5664" t="s">
        <v>22</v>
      </c>
      <c r="E5664" t="s">
        <v>18973</v>
      </c>
      <c r="F5664">
        <v>64</v>
      </c>
      <c r="G5664" t="s">
        <v>31</v>
      </c>
      <c r="H5664" t="s">
        <v>46</v>
      </c>
      <c r="I5664" t="s">
        <v>201</v>
      </c>
      <c r="J5664" t="s">
        <v>18974</v>
      </c>
    </row>
    <row r="5665" spans="1:10" x14ac:dyDescent="0.3">
      <c r="A5665" t="s">
        <v>18975</v>
      </c>
      <c r="B5665" t="s">
        <v>29884</v>
      </c>
      <c r="C5665" t="s">
        <v>20489</v>
      </c>
      <c r="D5665" t="s">
        <v>22</v>
      </c>
      <c r="E5665" t="s">
        <v>18976</v>
      </c>
      <c r="F5665">
        <v>44</v>
      </c>
      <c r="G5665" t="s">
        <v>370</v>
      </c>
      <c r="H5665" t="s">
        <v>46</v>
      </c>
      <c r="I5665" t="s">
        <v>228</v>
      </c>
    </row>
    <row r="5666" spans="1:10" x14ac:dyDescent="0.3">
      <c r="A5666" t="s">
        <v>18977</v>
      </c>
      <c r="B5666" t="s">
        <v>29885</v>
      </c>
      <c r="C5666" t="s">
        <v>20491</v>
      </c>
      <c r="D5666" t="s">
        <v>11</v>
      </c>
      <c r="E5666" t="s">
        <v>18978</v>
      </c>
      <c r="F5666">
        <v>47</v>
      </c>
      <c r="G5666" t="s">
        <v>109</v>
      </c>
      <c r="H5666" t="s">
        <v>9788</v>
      </c>
      <c r="J5666" t="s">
        <v>7989</v>
      </c>
    </row>
    <row r="5667" spans="1:10" x14ac:dyDescent="0.3">
      <c r="A5667" t="s">
        <v>18979</v>
      </c>
      <c r="B5667" t="s">
        <v>29886</v>
      </c>
      <c r="C5667" t="s">
        <v>20491</v>
      </c>
      <c r="D5667" t="s">
        <v>22</v>
      </c>
      <c r="E5667" t="s">
        <v>18980</v>
      </c>
      <c r="F5667">
        <v>39</v>
      </c>
      <c r="G5667" t="s">
        <v>46</v>
      </c>
      <c r="H5667" t="s">
        <v>46</v>
      </c>
      <c r="J5667" t="s">
        <v>18981</v>
      </c>
    </row>
    <row r="5668" spans="1:10" x14ac:dyDescent="0.3">
      <c r="A5668" t="s">
        <v>18982</v>
      </c>
      <c r="B5668" t="s">
        <v>29887</v>
      </c>
      <c r="C5668" t="s">
        <v>20488</v>
      </c>
      <c r="D5668" t="s">
        <v>22</v>
      </c>
      <c r="E5668" t="s">
        <v>18983</v>
      </c>
      <c r="F5668">
        <v>33</v>
      </c>
      <c r="G5668" t="s">
        <v>16</v>
      </c>
      <c r="H5668" t="s">
        <v>9785</v>
      </c>
      <c r="I5668" t="s">
        <v>17</v>
      </c>
      <c r="J5668" t="s">
        <v>15185</v>
      </c>
    </row>
    <row r="5669" spans="1:10" x14ac:dyDescent="0.3">
      <c r="A5669" t="s">
        <v>18984</v>
      </c>
      <c r="B5669" t="s">
        <v>29888</v>
      </c>
      <c r="C5669" t="s">
        <v>20490</v>
      </c>
      <c r="D5669" t="s">
        <v>22</v>
      </c>
      <c r="E5669" t="s">
        <v>18985</v>
      </c>
      <c r="F5669">
        <v>25</v>
      </c>
      <c r="G5669" t="s">
        <v>109</v>
      </c>
      <c r="H5669" t="s">
        <v>9788</v>
      </c>
      <c r="I5669" t="s">
        <v>4629</v>
      </c>
      <c r="J5669" t="s">
        <v>225</v>
      </c>
    </row>
    <row r="5670" spans="1:10" x14ac:dyDescent="0.3">
      <c r="A5670" t="s">
        <v>18986</v>
      </c>
      <c r="B5670" t="s">
        <v>29889</v>
      </c>
      <c r="C5670" t="s">
        <v>20486</v>
      </c>
      <c r="D5670" t="s">
        <v>22</v>
      </c>
      <c r="E5670" t="s">
        <v>18987</v>
      </c>
      <c r="F5670">
        <v>20</v>
      </c>
      <c r="G5670" t="s">
        <v>337</v>
      </c>
      <c r="H5670" t="s">
        <v>9788</v>
      </c>
      <c r="I5670" t="s">
        <v>18988</v>
      </c>
      <c r="J5670" t="s">
        <v>18989</v>
      </c>
    </row>
    <row r="5671" spans="1:10" x14ac:dyDescent="0.3">
      <c r="A5671" t="s">
        <v>18990</v>
      </c>
      <c r="B5671" t="s">
        <v>29890</v>
      </c>
      <c r="C5671" t="s">
        <v>20487</v>
      </c>
      <c r="D5671" t="s">
        <v>22</v>
      </c>
      <c r="E5671" t="s">
        <v>3699</v>
      </c>
      <c r="F5671">
        <v>46</v>
      </c>
      <c r="G5671" t="s">
        <v>109</v>
      </c>
      <c r="H5671" t="s">
        <v>18991</v>
      </c>
      <c r="J5671" t="s">
        <v>14066</v>
      </c>
    </row>
    <row r="5672" spans="1:10" x14ac:dyDescent="0.3">
      <c r="A5672" t="s">
        <v>18992</v>
      </c>
      <c r="B5672" t="s">
        <v>29891</v>
      </c>
      <c r="C5672" t="s">
        <v>20486</v>
      </c>
      <c r="D5672" t="s">
        <v>11</v>
      </c>
      <c r="E5672" t="s">
        <v>18993</v>
      </c>
      <c r="F5672">
        <v>44</v>
      </c>
      <c r="G5672" t="s">
        <v>109</v>
      </c>
      <c r="H5672" t="s">
        <v>9788</v>
      </c>
    </row>
    <row r="5673" spans="1:10" x14ac:dyDescent="0.3">
      <c r="A5673" t="s">
        <v>18994</v>
      </c>
      <c r="B5673" t="s">
        <v>29892</v>
      </c>
      <c r="C5673" t="s">
        <v>20486</v>
      </c>
      <c r="D5673" t="s">
        <v>11</v>
      </c>
      <c r="E5673" t="s">
        <v>18995</v>
      </c>
      <c r="F5673">
        <v>17</v>
      </c>
      <c r="G5673" t="s">
        <v>337</v>
      </c>
      <c r="H5673" t="s">
        <v>337</v>
      </c>
    </row>
    <row r="5674" spans="1:10" x14ac:dyDescent="0.3">
      <c r="A5674" t="s">
        <v>18996</v>
      </c>
      <c r="B5674" t="s">
        <v>29893</v>
      </c>
      <c r="C5674" t="s">
        <v>20487</v>
      </c>
      <c r="D5674" t="s">
        <v>22</v>
      </c>
      <c r="E5674" t="s">
        <v>18997</v>
      </c>
      <c r="F5674">
        <v>53</v>
      </c>
      <c r="G5674" t="s">
        <v>46</v>
      </c>
      <c r="H5674" t="s">
        <v>46</v>
      </c>
      <c r="I5674" t="s">
        <v>1703</v>
      </c>
    </row>
    <row r="5675" spans="1:10" x14ac:dyDescent="0.3">
      <c r="A5675" t="s">
        <v>18998</v>
      </c>
      <c r="B5675" t="s">
        <v>29894</v>
      </c>
      <c r="C5675" t="s">
        <v>20487</v>
      </c>
      <c r="D5675" t="s">
        <v>22</v>
      </c>
      <c r="E5675" t="s">
        <v>18999</v>
      </c>
      <c r="F5675">
        <v>42</v>
      </c>
      <c r="G5675" t="s">
        <v>109</v>
      </c>
      <c r="H5675" t="s">
        <v>9788</v>
      </c>
      <c r="J5675" t="s">
        <v>14066</v>
      </c>
    </row>
    <row r="5676" spans="1:10" x14ac:dyDescent="0.3">
      <c r="A5676" t="s">
        <v>19000</v>
      </c>
      <c r="B5676" t="s">
        <v>29895</v>
      </c>
      <c r="C5676" t="s">
        <v>20488</v>
      </c>
      <c r="D5676" t="s">
        <v>11</v>
      </c>
      <c r="E5676" t="s">
        <v>19001</v>
      </c>
      <c r="F5676">
        <v>57</v>
      </c>
      <c r="G5676" t="s">
        <v>46</v>
      </c>
      <c r="H5676" t="s">
        <v>46</v>
      </c>
      <c r="I5676" t="s">
        <v>19002</v>
      </c>
    </row>
    <row r="5677" spans="1:10" x14ac:dyDescent="0.3">
      <c r="A5677" t="s">
        <v>19003</v>
      </c>
      <c r="B5677" t="s">
        <v>29896</v>
      </c>
      <c r="C5677" t="s">
        <v>20486</v>
      </c>
      <c r="D5677" t="s">
        <v>11</v>
      </c>
      <c r="E5677" t="s">
        <v>19004</v>
      </c>
      <c r="F5677">
        <v>40</v>
      </c>
      <c r="G5677" t="s">
        <v>109</v>
      </c>
      <c r="H5677" t="s">
        <v>9788</v>
      </c>
    </row>
    <row r="5678" spans="1:10" x14ac:dyDescent="0.3">
      <c r="A5678" t="s">
        <v>19005</v>
      </c>
      <c r="B5678" t="s">
        <v>29897</v>
      </c>
      <c r="C5678" t="s">
        <v>20488</v>
      </c>
      <c r="D5678" t="s">
        <v>11</v>
      </c>
      <c r="E5678" t="s">
        <v>19006</v>
      </c>
      <c r="F5678">
        <v>57</v>
      </c>
      <c r="G5678" t="s">
        <v>46</v>
      </c>
      <c r="H5678" t="s">
        <v>9788</v>
      </c>
      <c r="I5678" t="s">
        <v>5095</v>
      </c>
    </row>
    <row r="5679" spans="1:10" x14ac:dyDescent="0.3">
      <c r="A5679" t="s">
        <v>19007</v>
      </c>
      <c r="B5679" t="s">
        <v>29898</v>
      </c>
      <c r="C5679" t="s">
        <v>20488</v>
      </c>
      <c r="D5679" t="s">
        <v>22</v>
      </c>
      <c r="E5679" t="s">
        <v>2226</v>
      </c>
      <c r="F5679">
        <v>47</v>
      </c>
      <c r="G5679" t="s">
        <v>31</v>
      </c>
      <c r="H5679" t="s">
        <v>31</v>
      </c>
    </row>
    <row r="5680" spans="1:10" x14ac:dyDescent="0.3">
      <c r="A5680" t="s">
        <v>19008</v>
      </c>
      <c r="B5680" t="s">
        <v>29899</v>
      </c>
      <c r="C5680" t="s">
        <v>20490</v>
      </c>
      <c r="D5680" t="s">
        <v>22</v>
      </c>
      <c r="E5680" t="s">
        <v>2590</v>
      </c>
      <c r="F5680">
        <v>29</v>
      </c>
      <c r="G5680" t="s">
        <v>109</v>
      </c>
      <c r="H5680" t="s">
        <v>9788</v>
      </c>
      <c r="J5680" t="s">
        <v>19009</v>
      </c>
    </row>
    <row r="5681" spans="1:10" x14ac:dyDescent="0.3">
      <c r="A5681" t="s">
        <v>19010</v>
      </c>
      <c r="B5681" t="s">
        <v>29900</v>
      </c>
      <c r="C5681" t="s">
        <v>20486</v>
      </c>
      <c r="D5681" t="s">
        <v>11</v>
      </c>
      <c r="E5681" t="s">
        <v>19011</v>
      </c>
      <c r="F5681">
        <v>36</v>
      </c>
      <c r="G5681" t="s">
        <v>46</v>
      </c>
      <c r="H5681" t="s">
        <v>9788</v>
      </c>
      <c r="I5681" t="s">
        <v>1047</v>
      </c>
      <c r="J5681" t="s">
        <v>19012</v>
      </c>
    </row>
    <row r="5682" spans="1:10" x14ac:dyDescent="0.3">
      <c r="A5682" t="s">
        <v>19013</v>
      </c>
      <c r="B5682" t="s">
        <v>29901</v>
      </c>
      <c r="C5682" t="s">
        <v>20486</v>
      </c>
      <c r="D5682" t="s">
        <v>11</v>
      </c>
      <c r="E5682" t="s">
        <v>19014</v>
      </c>
      <c r="F5682">
        <v>29</v>
      </c>
      <c r="G5682" t="s">
        <v>46</v>
      </c>
      <c r="H5682" t="s">
        <v>46</v>
      </c>
      <c r="I5682" t="s">
        <v>228</v>
      </c>
      <c r="J5682" t="s">
        <v>19015</v>
      </c>
    </row>
    <row r="5683" spans="1:10" x14ac:dyDescent="0.3">
      <c r="A5683" t="s">
        <v>19016</v>
      </c>
      <c r="B5683" t="s">
        <v>29902</v>
      </c>
      <c r="C5683" t="s">
        <v>20486</v>
      </c>
      <c r="D5683" t="s">
        <v>22</v>
      </c>
      <c r="E5683" t="s">
        <v>19017</v>
      </c>
      <c r="F5683">
        <v>67</v>
      </c>
      <c r="G5683" t="s">
        <v>243</v>
      </c>
      <c r="H5683" t="s">
        <v>46</v>
      </c>
      <c r="I5683" t="s">
        <v>201</v>
      </c>
      <c r="J5683" t="s">
        <v>19018</v>
      </c>
    </row>
    <row r="5684" spans="1:10" x14ac:dyDescent="0.3">
      <c r="A5684" t="s">
        <v>19019</v>
      </c>
      <c r="B5684" t="s">
        <v>29903</v>
      </c>
      <c r="C5684" t="s">
        <v>20487</v>
      </c>
      <c r="D5684" t="s">
        <v>22</v>
      </c>
      <c r="E5684" t="s">
        <v>1573</v>
      </c>
      <c r="F5684">
        <v>73</v>
      </c>
      <c r="G5684" t="s">
        <v>46</v>
      </c>
      <c r="H5684" t="s">
        <v>46</v>
      </c>
      <c r="I5684" t="s">
        <v>228</v>
      </c>
      <c r="J5684" t="s">
        <v>19020</v>
      </c>
    </row>
    <row r="5685" spans="1:10" x14ac:dyDescent="0.3">
      <c r="A5685" t="s">
        <v>19021</v>
      </c>
      <c r="B5685" t="s">
        <v>29904</v>
      </c>
      <c r="C5685" t="s">
        <v>20490</v>
      </c>
      <c r="D5685" t="s">
        <v>11</v>
      </c>
      <c r="E5685" t="s">
        <v>9248</v>
      </c>
      <c r="F5685">
        <v>37</v>
      </c>
      <c r="G5685" t="s">
        <v>133</v>
      </c>
      <c r="H5685" t="s">
        <v>9789</v>
      </c>
      <c r="I5685" t="s">
        <v>6884</v>
      </c>
    </row>
    <row r="5686" spans="1:10" x14ac:dyDescent="0.3">
      <c r="A5686" t="s">
        <v>19022</v>
      </c>
      <c r="B5686" t="s">
        <v>29905</v>
      </c>
      <c r="C5686" t="s">
        <v>20486</v>
      </c>
      <c r="D5686" t="s">
        <v>22</v>
      </c>
      <c r="E5686" t="s">
        <v>19023</v>
      </c>
      <c r="F5686">
        <v>19</v>
      </c>
      <c r="G5686" t="s">
        <v>337</v>
      </c>
      <c r="H5686" t="s">
        <v>9788</v>
      </c>
      <c r="I5686" t="s">
        <v>1047</v>
      </c>
      <c r="J5686" t="s">
        <v>19024</v>
      </c>
    </row>
    <row r="5687" spans="1:10" x14ac:dyDescent="0.3">
      <c r="A5687" t="s">
        <v>19025</v>
      </c>
      <c r="B5687" t="s">
        <v>29906</v>
      </c>
      <c r="C5687" t="s">
        <v>20488</v>
      </c>
      <c r="D5687" t="s">
        <v>22</v>
      </c>
      <c r="E5687" t="s">
        <v>19026</v>
      </c>
      <c r="F5687">
        <v>40</v>
      </c>
      <c r="G5687" t="s">
        <v>31</v>
      </c>
      <c r="H5687" t="s">
        <v>9789</v>
      </c>
      <c r="I5687" t="s">
        <v>3043</v>
      </c>
    </row>
    <row r="5688" spans="1:10" x14ac:dyDescent="0.3">
      <c r="A5688" t="s">
        <v>19027</v>
      </c>
      <c r="B5688" t="s">
        <v>29907</v>
      </c>
      <c r="C5688" t="s">
        <v>20488</v>
      </c>
      <c r="D5688" t="s">
        <v>11</v>
      </c>
      <c r="E5688" t="s">
        <v>13381</v>
      </c>
      <c r="F5688">
        <v>47</v>
      </c>
      <c r="G5688" t="s">
        <v>109</v>
      </c>
      <c r="H5688" t="s">
        <v>9788</v>
      </c>
    </row>
    <row r="5689" spans="1:10" x14ac:dyDescent="0.3">
      <c r="A5689" t="s">
        <v>19028</v>
      </c>
      <c r="B5689" t="s">
        <v>29908</v>
      </c>
      <c r="C5689" t="s">
        <v>20486</v>
      </c>
      <c r="D5689" t="s">
        <v>22</v>
      </c>
      <c r="E5689" t="s">
        <v>6458</v>
      </c>
      <c r="F5689">
        <v>49</v>
      </c>
      <c r="G5689" t="s">
        <v>31</v>
      </c>
      <c r="H5689" t="s">
        <v>9788</v>
      </c>
      <c r="I5689" t="s">
        <v>19029</v>
      </c>
      <c r="J5689" t="s">
        <v>19030</v>
      </c>
    </row>
    <row r="5690" spans="1:10" x14ac:dyDescent="0.3">
      <c r="A5690" t="s">
        <v>19031</v>
      </c>
      <c r="B5690" t="s">
        <v>29909</v>
      </c>
      <c r="C5690" t="s">
        <v>20486</v>
      </c>
      <c r="D5690" t="s">
        <v>22</v>
      </c>
      <c r="E5690" t="s">
        <v>6007</v>
      </c>
      <c r="F5690">
        <v>68</v>
      </c>
      <c r="G5690" t="s">
        <v>31</v>
      </c>
      <c r="H5690" t="s">
        <v>46</v>
      </c>
      <c r="I5690" t="s">
        <v>201</v>
      </c>
      <c r="J5690" t="s">
        <v>19032</v>
      </c>
    </row>
    <row r="5691" spans="1:10" x14ac:dyDescent="0.3">
      <c r="A5691" t="s">
        <v>19033</v>
      </c>
      <c r="B5691" t="s">
        <v>29910</v>
      </c>
      <c r="C5691" t="s">
        <v>20486</v>
      </c>
      <c r="D5691" t="s">
        <v>22</v>
      </c>
      <c r="E5691" t="s">
        <v>13375</v>
      </c>
      <c r="F5691">
        <v>55</v>
      </c>
      <c r="G5691" t="s">
        <v>31</v>
      </c>
      <c r="H5691" t="s">
        <v>9788</v>
      </c>
      <c r="I5691" t="s">
        <v>19029</v>
      </c>
      <c r="J5691" t="s">
        <v>19034</v>
      </c>
    </row>
    <row r="5692" spans="1:10" x14ac:dyDescent="0.3">
      <c r="A5692" t="s">
        <v>19035</v>
      </c>
      <c r="B5692" t="s">
        <v>29911</v>
      </c>
      <c r="C5692" t="s">
        <v>20486</v>
      </c>
      <c r="D5692" t="s">
        <v>11</v>
      </c>
      <c r="E5692" t="s">
        <v>1430</v>
      </c>
      <c r="F5692">
        <v>26</v>
      </c>
      <c r="G5692" t="s">
        <v>109</v>
      </c>
      <c r="H5692" t="s">
        <v>9788</v>
      </c>
      <c r="J5692" t="s">
        <v>8499</v>
      </c>
    </row>
    <row r="5693" spans="1:10" x14ac:dyDescent="0.3">
      <c r="A5693" t="s">
        <v>19036</v>
      </c>
      <c r="B5693" t="s">
        <v>29912</v>
      </c>
      <c r="C5693" t="s">
        <v>20487</v>
      </c>
      <c r="D5693" t="s">
        <v>11</v>
      </c>
      <c r="E5693" t="s">
        <v>19037</v>
      </c>
      <c r="F5693">
        <v>31</v>
      </c>
      <c r="G5693" t="s">
        <v>46</v>
      </c>
      <c r="H5693" t="s">
        <v>46</v>
      </c>
      <c r="I5693" t="s">
        <v>220</v>
      </c>
      <c r="J5693" t="s">
        <v>19038</v>
      </c>
    </row>
    <row r="5694" spans="1:10" x14ac:dyDescent="0.3">
      <c r="A5694" t="s">
        <v>19039</v>
      </c>
      <c r="B5694" t="s">
        <v>29913</v>
      </c>
      <c r="C5694" t="s">
        <v>20486</v>
      </c>
      <c r="D5694" t="s">
        <v>22</v>
      </c>
      <c r="E5694" t="s">
        <v>2968</v>
      </c>
      <c r="F5694">
        <v>43</v>
      </c>
      <c r="G5694" t="s">
        <v>540</v>
      </c>
      <c r="H5694" t="s">
        <v>9789</v>
      </c>
      <c r="I5694" t="s">
        <v>19040</v>
      </c>
    </row>
    <row r="5695" spans="1:10" x14ac:dyDescent="0.3">
      <c r="A5695" t="s">
        <v>19041</v>
      </c>
      <c r="B5695" t="s">
        <v>29914</v>
      </c>
      <c r="C5695" t="s">
        <v>20491</v>
      </c>
      <c r="D5695" t="s">
        <v>22</v>
      </c>
      <c r="E5695" t="s">
        <v>19042</v>
      </c>
      <c r="F5695">
        <v>26</v>
      </c>
      <c r="G5695" t="s">
        <v>109</v>
      </c>
      <c r="H5695" t="s">
        <v>9788</v>
      </c>
    </row>
    <row r="5696" spans="1:10" x14ac:dyDescent="0.3">
      <c r="A5696" t="s">
        <v>19043</v>
      </c>
      <c r="B5696" t="s">
        <v>29915</v>
      </c>
      <c r="C5696" t="s">
        <v>20487</v>
      </c>
      <c r="D5696" t="s">
        <v>22</v>
      </c>
      <c r="E5696" t="s">
        <v>19044</v>
      </c>
      <c r="F5696">
        <v>38</v>
      </c>
      <c r="G5696" t="s">
        <v>46</v>
      </c>
      <c r="H5696" t="s">
        <v>46</v>
      </c>
      <c r="J5696" t="s">
        <v>19045</v>
      </c>
    </row>
    <row r="5697" spans="1:10" x14ac:dyDescent="0.3">
      <c r="A5697" t="s">
        <v>19046</v>
      </c>
      <c r="B5697" t="s">
        <v>29916</v>
      </c>
      <c r="C5697" t="s">
        <v>20487</v>
      </c>
      <c r="D5697" t="s">
        <v>22</v>
      </c>
      <c r="E5697" t="s">
        <v>19047</v>
      </c>
      <c r="F5697">
        <v>30</v>
      </c>
      <c r="G5697" t="s">
        <v>46</v>
      </c>
      <c r="H5697" t="s">
        <v>46</v>
      </c>
      <c r="I5697" t="s">
        <v>1828</v>
      </c>
    </row>
    <row r="5698" spans="1:10" x14ac:dyDescent="0.3">
      <c r="A5698" t="s">
        <v>19048</v>
      </c>
      <c r="B5698" t="s">
        <v>29917</v>
      </c>
      <c r="C5698" t="s">
        <v>20490</v>
      </c>
      <c r="D5698" t="s">
        <v>22</v>
      </c>
      <c r="E5698" t="s">
        <v>19049</v>
      </c>
      <c r="F5698">
        <v>46</v>
      </c>
      <c r="G5698" t="s">
        <v>109</v>
      </c>
      <c r="H5698" t="s">
        <v>9788</v>
      </c>
      <c r="J5698" t="s">
        <v>19050</v>
      </c>
    </row>
    <row r="5699" spans="1:10" x14ac:dyDescent="0.3">
      <c r="A5699" t="s">
        <v>19051</v>
      </c>
      <c r="B5699" t="s">
        <v>29918</v>
      </c>
      <c r="C5699" t="s">
        <v>20488</v>
      </c>
      <c r="D5699" t="s">
        <v>22</v>
      </c>
      <c r="E5699" t="s">
        <v>18951</v>
      </c>
      <c r="F5699">
        <v>45</v>
      </c>
      <c r="G5699" t="s">
        <v>31</v>
      </c>
      <c r="H5699" t="s">
        <v>31</v>
      </c>
    </row>
    <row r="5700" spans="1:10" x14ac:dyDescent="0.3">
      <c r="A5700" t="s">
        <v>19052</v>
      </c>
      <c r="B5700" t="s">
        <v>29919</v>
      </c>
      <c r="C5700" t="s">
        <v>20487</v>
      </c>
      <c r="D5700" t="s">
        <v>22</v>
      </c>
      <c r="E5700" t="s">
        <v>19053</v>
      </c>
      <c r="F5700">
        <v>33</v>
      </c>
      <c r="G5700" t="s">
        <v>31</v>
      </c>
      <c r="H5700" t="s">
        <v>31</v>
      </c>
    </row>
    <row r="5701" spans="1:10" x14ac:dyDescent="0.3">
      <c r="A5701" t="s">
        <v>19054</v>
      </c>
      <c r="B5701" t="s">
        <v>29920</v>
      </c>
      <c r="C5701" t="s">
        <v>20486</v>
      </c>
      <c r="D5701" t="s">
        <v>11</v>
      </c>
      <c r="E5701" t="s">
        <v>19055</v>
      </c>
      <c r="F5701">
        <v>49</v>
      </c>
      <c r="G5701" t="s">
        <v>109</v>
      </c>
      <c r="H5701" t="s">
        <v>46</v>
      </c>
      <c r="I5701" t="s">
        <v>201</v>
      </c>
      <c r="J5701" t="s">
        <v>19056</v>
      </c>
    </row>
    <row r="5702" spans="1:10" x14ac:dyDescent="0.3">
      <c r="A5702" t="s">
        <v>19057</v>
      </c>
      <c r="B5702" t="s">
        <v>29921</v>
      </c>
      <c r="C5702" t="s">
        <v>20491</v>
      </c>
      <c r="D5702" t="s">
        <v>22</v>
      </c>
      <c r="E5702" t="s">
        <v>19058</v>
      </c>
      <c r="F5702">
        <v>47</v>
      </c>
      <c r="G5702" t="s">
        <v>46</v>
      </c>
      <c r="H5702" t="s">
        <v>46</v>
      </c>
    </row>
    <row r="5703" spans="1:10" x14ac:dyDescent="0.3">
      <c r="A5703" t="s">
        <v>19059</v>
      </c>
      <c r="B5703" t="s">
        <v>29922</v>
      </c>
      <c r="C5703" t="s">
        <v>20486</v>
      </c>
      <c r="D5703" t="s">
        <v>11</v>
      </c>
      <c r="E5703" t="s">
        <v>19060</v>
      </c>
      <c r="F5703">
        <v>29</v>
      </c>
      <c r="G5703" t="s">
        <v>109</v>
      </c>
      <c r="H5703" t="s">
        <v>9788</v>
      </c>
      <c r="J5703" t="s">
        <v>19061</v>
      </c>
    </row>
    <row r="5704" spans="1:10" x14ac:dyDescent="0.3">
      <c r="A5704" t="s">
        <v>19062</v>
      </c>
      <c r="B5704" t="s">
        <v>29923</v>
      </c>
      <c r="C5704" t="s">
        <v>20490</v>
      </c>
      <c r="D5704" t="s">
        <v>11</v>
      </c>
      <c r="E5704" t="s">
        <v>8984</v>
      </c>
      <c r="F5704">
        <v>54</v>
      </c>
      <c r="G5704" t="s">
        <v>109</v>
      </c>
      <c r="H5704" t="s">
        <v>9788</v>
      </c>
      <c r="J5704" t="s">
        <v>1795</v>
      </c>
    </row>
    <row r="5705" spans="1:10" x14ac:dyDescent="0.3">
      <c r="A5705" t="s">
        <v>19063</v>
      </c>
      <c r="B5705" t="s">
        <v>29924</v>
      </c>
      <c r="C5705" t="s">
        <v>20490</v>
      </c>
      <c r="D5705" t="s">
        <v>22</v>
      </c>
      <c r="E5705" t="s">
        <v>19064</v>
      </c>
      <c r="F5705">
        <v>27</v>
      </c>
      <c r="G5705" t="s">
        <v>109</v>
      </c>
      <c r="H5705" t="s">
        <v>9788</v>
      </c>
      <c r="J5705" t="s">
        <v>19065</v>
      </c>
    </row>
    <row r="5706" spans="1:10" x14ac:dyDescent="0.3">
      <c r="A5706" t="s">
        <v>19066</v>
      </c>
      <c r="B5706" t="s">
        <v>29925</v>
      </c>
      <c r="C5706" t="s">
        <v>20490</v>
      </c>
      <c r="D5706" t="s">
        <v>22</v>
      </c>
      <c r="E5706" t="s">
        <v>7062</v>
      </c>
      <c r="F5706">
        <v>59</v>
      </c>
      <c r="G5706" t="s">
        <v>155</v>
      </c>
      <c r="H5706" t="s">
        <v>9791</v>
      </c>
    </row>
    <row r="5707" spans="1:10" x14ac:dyDescent="0.3">
      <c r="A5707" t="s">
        <v>19067</v>
      </c>
      <c r="B5707" t="s">
        <v>29926</v>
      </c>
      <c r="C5707" t="s">
        <v>20487</v>
      </c>
      <c r="D5707" t="s">
        <v>22</v>
      </c>
      <c r="E5707" t="s">
        <v>19068</v>
      </c>
      <c r="F5707">
        <v>58</v>
      </c>
      <c r="G5707" t="s">
        <v>46</v>
      </c>
      <c r="H5707" t="s">
        <v>46</v>
      </c>
      <c r="I5707" t="s">
        <v>220</v>
      </c>
    </row>
    <row r="5708" spans="1:10" x14ac:dyDescent="0.3">
      <c r="A5708" t="s">
        <v>19069</v>
      </c>
      <c r="B5708" t="s">
        <v>29927</v>
      </c>
      <c r="C5708" t="s">
        <v>20488</v>
      </c>
      <c r="D5708" t="s">
        <v>22</v>
      </c>
      <c r="E5708" t="s">
        <v>8944</v>
      </c>
      <c r="F5708">
        <v>35</v>
      </c>
      <c r="G5708" t="s">
        <v>109</v>
      </c>
      <c r="H5708" t="s">
        <v>9788</v>
      </c>
      <c r="J5708" t="s">
        <v>19070</v>
      </c>
    </row>
    <row r="5709" spans="1:10" x14ac:dyDescent="0.3">
      <c r="A5709" t="s">
        <v>19071</v>
      </c>
      <c r="B5709" t="s">
        <v>29928</v>
      </c>
      <c r="C5709" t="s">
        <v>20491</v>
      </c>
      <c r="D5709" t="s">
        <v>11</v>
      </c>
      <c r="E5709" t="s">
        <v>19072</v>
      </c>
      <c r="F5709">
        <v>37</v>
      </c>
      <c r="G5709" t="s">
        <v>1439</v>
      </c>
      <c r="H5709" t="s">
        <v>46</v>
      </c>
    </row>
    <row r="5710" spans="1:10" x14ac:dyDescent="0.3">
      <c r="A5710" t="s">
        <v>19073</v>
      </c>
      <c r="B5710" t="s">
        <v>29929</v>
      </c>
      <c r="C5710" t="s">
        <v>20487</v>
      </c>
      <c r="D5710" t="s">
        <v>22</v>
      </c>
      <c r="E5710" t="s">
        <v>19074</v>
      </c>
      <c r="F5710">
        <v>42</v>
      </c>
      <c r="G5710" t="s">
        <v>172</v>
      </c>
      <c r="H5710" t="s">
        <v>12065</v>
      </c>
      <c r="I5710" t="s">
        <v>101</v>
      </c>
      <c r="J5710" t="s">
        <v>1624</v>
      </c>
    </row>
    <row r="5711" spans="1:10" x14ac:dyDescent="0.3">
      <c r="A5711" t="s">
        <v>19075</v>
      </c>
      <c r="B5711" t="s">
        <v>29930</v>
      </c>
      <c r="C5711" t="s">
        <v>20486</v>
      </c>
      <c r="D5711" t="s">
        <v>22</v>
      </c>
      <c r="E5711" t="s">
        <v>19076</v>
      </c>
      <c r="F5711">
        <v>56</v>
      </c>
      <c r="G5711" t="s">
        <v>31</v>
      </c>
      <c r="H5711" t="s">
        <v>46</v>
      </c>
      <c r="I5711" t="s">
        <v>201</v>
      </c>
      <c r="J5711" t="s">
        <v>19077</v>
      </c>
    </row>
    <row r="5712" spans="1:10" x14ac:dyDescent="0.3">
      <c r="A5712" t="s">
        <v>19078</v>
      </c>
      <c r="B5712" t="s">
        <v>29931</v>
      </c>
      <c r="C5712" t="s">
        <v>20490</v>
      </c>
      <c r="D5712" t="s">
        <v>11</v>
      </c>
      <c r="E5712" t="s">
        <v>19079</v>
      </c>
      <c r="F5712">
        <v>43</v>
      </c>
      <c r="G5712" t="s">
        <v>109</v>
      </c>
      <c r="H5712" t="s">
        <v>9788</v>
      </c>
      <c r="I5712" t="s">
        <v>1074</v>
      </c>
    </row>
    <row r="5713" spans="1:10" x14ac:dyDescent="0.3">
      <c r="A5713" t="s">
        <v>19080</v>
      </c>
      <c r="B5713" t="s">
        <v>29932</v>
      </c>
      <c r="C5713" t="s">
        <v>20491</v>
      </c>
      <c r="D5713" t="s">
        <v>11</v>
      </c>
      <c r="E5713" t="s">
        <v>19081</v>
      </c>
      <c r="F5713">
        <v>35</v>
      </c>
      <c r="G5713" t="s">
        <v>109</v>
      </c>
      <c r="H5713" t="s">
        <v>9788</v>
      </c>
      <c r="J5713" t="s">
        <v>19082</v>
      </c>
    </row>
    <row r="5714" spans="1:10" x14ac:dyDescent="0.3">
      <c r="A5714" t="s">
        <v>19083</v>
      </c>
      <c r="B5714" t="s">
        <v>29933</v>
      </c>
      <c r="C5714" t="s">
        <v>20486</v>
      </c>
      <c r="D5714" t="s">
        <v>22</v>
      </c>
      <c r="E5714" t="s">
        <v>2594</v>
      </c>
      <c r="F5714">
        <v>52</v>
      </c>
      <c r="G5714" t="s">
        <v>16</v>
      </c>
      <c r="H5714" t="s">
        <v>9785</v>
      </c>
      <c r="I5714" t="s">
        <v>17</v>
      </c>
      <c r="J5714" t="s">
        <v>6908</v>
      </c>
    </row>
    <row r="5715" spans="1:10" x14ac:dyDescent="0.3">
      <c r="A5715" t="s">
        <v>19084</v>
      </c>
      <c r="B5715" t="s">
        <v>29934</v>
      </c>
      <c r="C5715" t="s">
        <v>20486</v>
      </c>
      <c r="D5715" t="s">
        <v>11</v>
      </c>
      <c r="E5715" t="s">
        <v>19085</v>
      </c>
      <c r="F5715">
        <v>23</v>
      </c>
      <c r="G5715" t="s">
        <v>337</v>
      </c>
      <c r="H5715" t="s">
        <v>9788</v>
      </c>
      <c r="I5715" t="s">
        <v>1047</v>
      </c>
      <c r="J5715" t="s">
        <v>19086</v>
      </c>
    </row>
    <row r="5716" spans="1:10" x14ac:dyDescent="0.3">
      <c r="A5716" t="s">
        <v>19087</v>
      </c>
      <c r="B5716" t="s">
        <v>29935</v>
      </c>
      <c r="C5716" t="s">
        <v>20486</v>
      </c>
      <c r="D5716" t="s">
        <v>11</v>
      </c>
      <c r="E5716" t="s">
        <v>19088</v>
      </c>
      <c r="F5716">
        <v>58</v>
      </c>
      <c r="G5716" t="s">
        <v>109</v>
      </c>
      <c r="H5716" t="s">
        <v>13</v>
      </c>
      <c r="I5716" t="s">
        <v>765</v>
      </c>
    </row>
    <row r="5717" spans="1:10" x14ac:dyDescent="0.3">
      <c r="A5717" t="s">
        <v>19089</v>
      </c>
      <c r="B5717" t="s">
        <v>29936</v>
      </c>
      <c r="C5717" t="s">
        <v>20486</v>
      </c>
      <c r="D5717" t="s">
        <v>11</v>
      </c>
      <c r="E5717" t="s">
        <v>2191</v>
      </c>
      <c r="F5717">
        <v>25</v>
      </c>
      <c r="G5717" t="s">
        <v>133</v>
      </c>
      <c r="H5717" t="s">
        <v>9788</v>
      </c>
      <c r="I5717" t="s">
        <v>1047</v>
      </c>
      <c r="J5717" t="s">
        <v>19061</v>
      </c>
    </row>
    <row r="5718" spans="1:10" x14ac:dyDescent="0.3">
      <c r="A5718" t="s">
        <v>19090</v>
      </c>
      <c r="B5718" t="s">
        <v>29937</v>
      </c>
      <c r="C5718" t="s">
        <v>20486</v>
      </c>
      <c r="D5718" t="s">
        <v>22</v>
      </c>
      <c r="E5718" t="s">
        <v>19091</v>
      </c>
      <c r="F5718">
        <v>40</v>
      </c>
      <c r="G5718" t="s">
        <v>16</v>
      </c>
      <c r="H5718" t="s">
        <v>19092</v>
      </c>
      <c r="I5718" t="s">
        <v>17</v>
      </c>
      <c r="J5718" t="s">
        <v>19093</v>
      </c>
    </row>
    <row r="5719" spans="1:10" x14ac:dyDescent="0.3">
      <c r="A5719" t="s">
        <v>19094</v>
      </c>
      <c r="B5719" t="s">
        <v>29938</v>
      </c>
      <c r="C5719" t="s">
        <v>20491</v>
      </c>
      <c r="D5719" t="s">
        <v>22</v>
      </c>
      <c r="E5719" t="s">
        <v>4510</v>
      </c>
      <c r="F5719">
        <v>36</v>
      </c>
      <c r="G5719" t="s">
        <v>109</v>
      </c>
      <c r="H5719" t="s">
        <v>9788</v>
      </c>
      <c r="J5719" t="s">
        <v>14506</v>
      </c>
    </row>
    <row r="5720" spans="1:10" x14ac:dyDescent="0.3">
      <c r="A5720" t="s">
        <v>19095</v>
      </c>
      <c r="B5720" t="s">
        <v>29939</v>
      </c>
      <c r="C5720" t="s">
        <v>20486</v>
      </c>
      <c r="D5720" t="s">
        <v>22</v>
      </c>
      <c r="E5720" t="s">
        <v>19096</v>
      </c>
      <c r="F5720">
        <v>44</v>
      </c>
      <c r="G5720" t="s">
        <v>31</v>
      </c>
      <c r="H5720" t="s">
        <v>46</v>
      </c>
      <c r="I5720" t="s">
        <v>201</v>
      </c>
      <c r="J5720" t="s">
        <v>19097</v>
      </c>
    </row>
    <row r="5721" spans="1:10" x14ac:dyDescent="0.3">
      <c r="A5721" t="s">
        <v>19098</v>
      </c>
      <c r="B5721" t="s">
        <v>29940</v>
      </c>
      <c r="C5721" t="s">
        <v>20486</v>
      </c>
      <c r="D5721" t="s">
        <v>22</v>
      </c>
      <c r="E5721" t="s">
        <v>19099</v>
      </c>
      <c r="F5721">
        <v>19</v>
      </c>
      <c r="G5721" t="s">
        <v>337</v>
      </c>
      <c r="H5721" t="s">
        <v>337</v>
      </c>
    </row>
    <row r="5722" spans="1:10" x14ac:dyDescent="0.3">
      <c r="A5722" t="s">
        <v>19100</v>
      </c>
      <c r="B5722" t="s">
        <v>29941</v>
      </c>
      <c r="C5722" t="s">
        <v>20486</v>
      </c>
      <c r="D5722" t="s">
        <v>22</v>
      </c>
      <c r="E5722" t="s">
        <v>19101</v>
      </c>
      <c r="F5722">
        <v>19</v>
      </c>
      <c r="G5722" t="s">
        <v>337</v>
      </c>
      <c r="H5722" t="s">
        <v>46</v>
      </c>
      <c r="I5722" t="s">
        <v>201</v>
      </c>
      <c r="J5722" t="s">
        <v>19102</v>
      </c>
    </row>
    <row r="5723" spans="1:10" x14ac:dyDescent="0.3">
      <c r="A5723" t="s">
        <v>19103</v>
      </c>
      <c r="B5723" t="s">
        <v>29942</v>
      </c>
      <c r="C5723" t="s">
        <v>20486</v>
      </c>
      <c r="D5723" t="s">
        <v>11</v>
      </c>
      <c r="E5723" t="s">
        <v>19104</v>
      </c>
      <c r="F5723">
        <v>17</v>
      </c>
      <c r="G5723" t="s">
        <v>337</v>
      </c>
      <c r="H5723" t="s">
        <v>337</v>
      </c>
    </row>
    <row r="5724" spans="1:10" x14ac:dyDescent="0.3">
      <c r="A5724" t="s">
        <v>19105</v>
      </c>
      <c r="B5724" t="s">
        <v>29943</v>
      </c>
      <c r="C5724" t="s">
        <v>20488</v>
      </c>
      <c r="D5724" t="s">
        <v>22</v>
      </c>
      <c r="E5724" t="s">
        <v>1827</v>
      </c>
      <c r="F5724">
        <v>57</v>
      </c>
      <c r="G5724" t="s">
        <v>31</v>
      </c>
      <c r="H5724" t="s">
        <v>31</v>
      </c>
    </row>
    <row r="5725" spans="1:10" x14ac:dyDescent="0.3">
      <c r="A5725" t="s">
        <v>19106</v>
      </c>
      <c r="B5725" t="s">
        <v>29944</v>
      </c>
      <c r="C5725" t="s">
        <v>20486</v>
      </c>
      <c r="D5725" t="s">
        <v>22</v>
      </c>
      <c r="E5725" t="s">
        <v>19107</v>
      </c>
      <c r="F5725">
        <v>37</v>
      </c>
      <c r="G5725" t="s">
        <v>109</v>
      </c>
      <c r="H5725" t="s">
        <v>46</v>
      </c>
      <c r="I5725" t="s">
        <v>201</v>
      </c>
      <c r="J5725" t="s">
        <v>19108</v>
      </c>
    </row>
    <row r="5726" spans="1:10" x14ac:dyDescent="0.3">
      <c r="A5726" t="s">
        <v>19109</v>
      </c>
      <c r="B5726" t="s">
        <v>29945</v>
      </c>
      <c r="C5726" t="s">
        <v>20490</v>
      </c>
      <c r="D5726" t="s">
        <v>22</v>
      </c>
      <c r="E5726" t="s">
        <v>19110</v>
      </c>
      <c r="F5726">
        <v>62</v>
      </c>
      <c r="G5726" t="s">
        <v>13</v>
      </c>
      <c r="H5726" t="s">
        <v>13</v>
      </c>
      <c r="I5726" t="s">
        <v>441</v>
      </c>
    </row>
    <row r="5727" spans="1:10" x14ac:dyDescent="0.3">
      <c r="A5727" t="s">
        <v>19111</v>
      </c>
      <c r="B5727" t="s">
        <v>29946</v>
      </c>
      <c r="C5727" t="s">
        <v>20486</v>
      </c>
      <c r="D5727" t="s">
        <v>22</v>
      </c>
      <c r="E5727" t="s">
        <v>19112</v>
      </c>
      <c r="F5727">
        <v>31</v>
      </c>
      <c r="G5727" t="s">
        <v>109</v>
      </c>
      <c r="H5727" t="s">
        <v>46</v>
      </c>
      <c r="I5727" t="s">
        <v>201</v>
      </c>
      <c r="J5727" t="s">
        <v>19113</v>
      </c>
    </row>
    <row r="5728" spans="1:10" x14ac:dyDescent="0.3">
      <c r="A5728" t="s">
        <v>19114</v>
      </c>
      <c r="B5728" t="s">
        <v>29947</v>
      </c>
      <c r="C5728" t="s">
        <v>20488</v>
      </c>
      <c r="D5728" t="s">
        <v>22</v>
      </c>
      <c r="E5728" t="s">
        <v>19115</v>
      </c>
      <c r="F5728">
        <v>34</v>
      </c>
      <c r="G5728" t="s">
        <v>31</v>
      </c>
      <c r="H5728" t="s">
        <v>31</v>
      </c>
    </row>
    <row r="5729" spans="1:10" x14ac:dyDescent="0.3">
      <c r="A5729" t="s">
        <v>19116</v>
      </c>
      <c r="B5729" t="s">
        <v>29948</v>
      </c>
      <c r="C5729" t="s">
        <v>20488</v>
      </c>
      <c r="D5729" t="s">
        <v>22</v>
      </c>
      <c r="E5729" t="s">
        <v>14654</v>
      </c>
      <c r="F5729">
        <v>56</v>
      </c>
      <c r="G5729" t="s">
        <v>46</v>
      </c>
      <c r="H5729" t="s">
        <v>46</v>
      </c>
    </row>
    <row r="5730" spans="1:10" x14ac:dyDescent="0.3">
      <c r="A5730" t="s">
        <v>19117</v>
      </c>
      <c r="B5730" t="s">
        <v>29949</v>
      </c>
      <c r="C5730" t="s">
        <v>20486</v>
      </c>
      <c r="D5730" t="s">
        <v>22</v>
      </c>
      <c r="E5730" t="s">
        <v>14840</v>
      </c>
      <c r="F5730">
        <v>54</v>
      </c>
      <c r="G5730" t="s">
        <v>46</v>
      </c>
      <c r="H5730" t="s">
        <v>46</v>
      </c>
      <c r="I5730" t="s">
        <v>201</v>
      </c>
      <c r="J5730" t="s">
        <v>19118</v>
      </c>
    </row>
    <row r="5731" spans="1:10" x14ac:dyDescent="0.3">
      <c r="A5731" t="s">
        <v>19119</v>
      </c>
      <c r="B5731" t="s">
        <v>29950</v>
      </c>
      <c r="C5731" t="s">
        <v>20486</v>
      </c>
      <c r="D5731" t="s">
        <v>11</v>
      </c>
      <c r="E5731" t="s">
        <v>19120</v>
      </c>
      <c r="F5731">
        <v>25</v>
      </c>
      <c r="G5731" t="s">
        <v>337</v>
      </c>
      <c r="H5731" t="s">
        <v>9788</v>
      </c>
      <c r="I5731" t="s">
        <v>1047</v>
      </c>
      <c r="J5731" t="s">
        <v>19121</v>
      </c>
    </row>
    <row r="5732" spans="1:10" x14ac:dyDescent="0.3">
      <c r="A5732" t="s">
        <v>19122</v>
      </c>
      <c r="B5732" t="s">
        <v>29951</v>
      </c>
      <c r="C5732" t="s">
        <v>20491</v>
      </c>
      <c r="D5732" t="s">
        <v>11</v>
      </c>
      <c r="E5732" t="s">
        <v>19123</v>
      </c>
      <c r="F5732">
        <v>25</v>
      </c>
      <c r="G5732" t="s">
        <v>109</v>
      </c>
      <c r="H5732" t="s">
        <v>9788</v>
      </c>
      <c r="I5732" t="s">
        <v>7989</v>
      </c>
      <c r="J5732" t="s">
        <v>7989</v>
      </c>
    </row>
    <row r="5733" spans="1:10" x14ac:dyDescent="0.3">
      <c r="A5733" t="s">
        <v>19124</v>
      </c>
      <c r="B5733" t="s">
        <v>29952</v>
      </c>
      <c r="C5733" t="s">
        <v>20490</v>
      </c>
      <c r="D5733" t="s">
        <v>22</v>
      </c>
      <c r="E5733" t="s">
        <v>19125</v>
      </c>
      <c r="F5733">
        <v>22</v>
      </c>
      <c r="G5733" t="s">
        <v>109</v>
      </c>
      <c r="H5733" t="s">
        <v>9788</v>
      </c>
    </row>
    <row r="5734" spans="1:10" x14ac:dyDescent="0.3">
      <c r="A5734" t="s">
        <v>19126</v>
      </c>
      <c r="B5734" t="s">
        <v>29953</v>
      </c>
      <c r="C5734" t="s">
        <v>20487</v>
      </c>
      <c r="D5734" t="s">
        <v>22</v>
      </c>
      <c r="E5734" t="s">
        <v>1524</v>
      </c>
      <c r="F5734">
        <v>61</v>
      </c>
      <c r="G5734" t="s">
        <v>2055</v>
      </c>
      <c r="H5734" t="s">
        <v>12074</v>
      </c>
      <c r="I5734" t="s">
        <v>1269</v>
      </c>
    </row>
    <row r="5735" spans="1:10" x14ac:dyDescent="0.3">
      <c r="A5735" t="s">
        <v>19127</v>
      </c>
      <c r="B5735" t="s">
        <v>29954</v>
      </c>
      <c r="C5735" t="s">
        <v>20488</v>
      </c>
      <c r="D5735" t="s">
        <v>22</v>
      </c>
      <c r="E5735" t="s">
        <v>19128</v>
      </c>
      <c r="F5735">
        <v>32</v>
      </c>
      <c r="G5735" t="s">
        <v>31</v>
      </c>
      <c r="H5735" t="s">
        <v>31</v>
      </c>
    </row>
    <row r="5736" spans="1:10" x14ac:dyDescent="0.3">
      <c r="A5736" t="s">
        <v>19129</v>
      </c>
      <c r="B5736" t="s">
        <v>29955</v>
      </c>
      <c r="C5736" t="s">
        <v>20487</v>
      </c>
      <c r="D5736" t="s">
        <v>22</v>
      </c>
      <c r="E5736" t="s">
        <v>19130</v>
      </c>
      <c r="F5736">
        <v>37</v>
      </c>
      <c r="G5736" t="s">
        <v>540</v>
      </c>
      <c r="H5736" t="s">
        <v>12074</v>
      </c>
      <c r="I5736" t="s">
        <v>1269</v>
      </c>
    </row>
    <row r="5737" spans="1:10" x14ac:dyDescent="0.3">
      <c r="A5737" t="s">
        <v>19131</v>
      </c>
      <c r="B5737" t="s">
        <v>29956</v>
      </c>
      <c r="C5737" t="s">
        <v>20486</v>
      </c>
      <c r="D5737" t="s">
        <v>11</v>
      </c>
      <c r="E5737" t="s">
        <v>19132</v>
      </c>
      <c r="F5737">
        <v>27</v>
      </c>
      <c r="G5737" t="s">
        <v>337</v>
      </c>
      <c r="H5737" t="s">
        <v>9788</v>
      </c>
      <c r="I5737" t="s">
        <v>1047</v>
      </c>
      <c r="J5737" t="s">
        <v>19133</v>
      </c>
    </row>
    <row r="5738" spans="1:10" x14ac:dyDescent="0.3">
      <c r="A5738" t="s">
        <v>19134</v>
      </c>
      <c r="B5738" t="s">
        <v>29957</v>
      </c>
      <c r="C5738" t="s">
        <v>20487</v>
      </c>
      <c r="D5738" t="s">
        <v>22</v>
      </c>
      <c r="E5738" t="s">
        <v>2790</v>
      </c>
      <c r="F5738">
        <v>49</v>
      </c>
      <c r="G5738" t="s">
        <v>109</v>
      </c>
      <c r="H5738" t="s">
        <v>9788</v>
      </c>
      <c r="J5738" t="s">
        <v>14066</v>
      </c>
    </row>
    <row r="5739" spans="1:10" x14ac:dyDescent="0.3">
      <c r="A5739" t="s">
        <v>19135</v>
      </c>
      <c r="B5739" t="s">
        <v>29958</v>
      </c>
      <c r="C5739" t="s">
        <v>20489</v>
      </c>
      <c r="D5739" t="s">
        <v>22</v>
      </c>
      <c r="E5739" t="s">
        <v>19136</v>
      </c>
      <c r="F5739">
        <v>54</v>
      </c>
      <c r="G5739" t="s">
        <v>370</v>
      </c>
      <c r="H5739" t="s">
        <v>46</v>
      </c>
      <c r="I5739" t="s">
        <v>228</v>
      </c>
    </row>
    <row r="5740" spans="1:10" x14ac:dyDescent="0.3">
      <c r="A5740" t="s">
        <v>19137</v>
      </c>
      <c r="B5740" t="s">
        <v>29959</v>
      </c>
      <c r="C5740" t="s">
        <v>20489</v>
      </c>
      <c r="D5740" t="s">
        <v>22</v>
      </c>
      <c r="E5740" t="s">
        <v>19138</v>
      </c>
      <c r="F5740">
        <v>28</v>
      </c>
      <c r="G5740" t="s">
        <v>370</v>
      </c>
      <c r="H5740" t="s">
        <v>46</v>
      </c>
      <c r="I5740" t="s">
        <v>19139</v>
      </c>
    </row>
    <row r="5741" spans="1:10" x14ac:dyDescent="0.3">
      <c r="A5741" t="s">
        <v>19140</v>
      </c>
      <c r="B5741" t="s">
        <v>29960</v>
      </c>
      <c r="C5741" t="s">
        <v>20486</v>
      </c>
      <c r="D5741" t="s">
        <v>22</v>
      </c>
      <c r="E5741" t="s">
        <v>2587</v>
      </c>
      <c r="F5741">
        <v>47</v>
      </c>
      <c r="G5741" t="s">
        <v>109</v>
      </c>
      <c r="H5741" t="s">
        <v>9788</v>
      </c>
      <c r="J5741" t="s">
        <v>901</v>
      </c>
    </row>
    <row r="5742" spans="1:10" x14ac:dyDescent="0.3">
      <c r="A5742" t="s">
        <v>19141</v>
      </c>
      <c r="B5742" t="s">
        <v>29961</v>
      </c>
      <c r="C5742" t="s">
        <v>20488</v>
      </c>
      <c r="D5742" t="s">
        <v>22</v>
      </c>
      <c r="E5742" t="s">
        <v>19142</v>
      </c>
      <c r="F5742">
        <v>24</v>
      </c>
      <c r="G5742" t="s">
        <v>109</v>
      </c>
      <c r="H5742" t="s">
        <v>9788</v>
      </c>
      <c r="I5742" t="s">
        <v>17</v>
      </c>
      <c r="J5742" t="s">
        <v>19143</v>
      </c>
    </row>
    <row r="5743" spans="1:10" x14ac:dyDescent="0.3">
      <c r="A5743" t="s">
        <v>19144</v>
      </c>
      <c r="B5743" t="s">
        <v>29962</v>
      </c>
      <c r="C5743" t="s">
        <v>20489</v>
      </c>
      <c r="D5743" t="s">
        <v>11</v>
      </c>
      <c r="E5743" t="s">
        <v>19145</v>
      </c>
      <c r="F5743">
        <v>71</v>
      </c>
      <c r="G5743" t="s">
        <v>46</v>
      </c>
      <c r="H5743" t="s">
        <v>46</v>
      </c>
      <c r="I5743" t="s">
        <v>19146</v>
      </c>
    </row>
    <row r="5744" spans="1:10" x14ac:dyDescent="0.3">
      <c r="A5744" t="s">
        <v>19147</v>
      </c>
      <c r="B5744" t="s">
        <v>29963</v>
      </c>
      <c r="C5744" t="s">
        <v>20486</v>
      </c>
      <c r="D5744" t="s">
        <v>22</v>
      </c>
      <c r="E5744" t="s">
        <v>4379</v>
      </c>
      <c r="F5744">
        <v>43</v>
      </c>
      <c r="G5744" t="s">
        <v>31</v>
      </c>
      <c r="H5744" t="s">
        <v>9788</v>
      </c>
      <c r="I5744" t="s">
        <v>1047</v>
      </c>
      <c r="J5744" t="s">
        <v>19148</v>
      </c>
    </row>
    <row r="5745" spans="1:10" x14ac:dyDescent="0.3">
      <c r="A5745" t="s">
        <v>19149</v>
      </c>
      <c r="B5745" t="s">
        <v>29964</v>
      </c>
      <c r="C5745" t="s">
        <v>20488</v>
      </c>
      <c r="D5745" t="s">
        <v>11</v>
      </c>
      <c r="E5745" t="s">
        <v>19150</v>
      </c>
      <c r="F5745">
        <v>35</v>
      </c>
      <c r="G5745" t="s">
        <v>109</v>
      </c>
      <c r="H5745" t="s">
        <v>9788</v>
      </c>
      <c r="I5745" t="s">
        <v>12762</v>
      </c>
    </row>
    <row r="5746" spans="1:10" x14ac:dyDescent="0.3">
      <c r="A5746" t="s">
        <v>19151</v>
      </c>
      <c r="B5746" t="s">
        <v>29965</v>
      </c>
      <c r="C5746" t="s">
        <v>20487</v>
      </c>
      <c r="D5746" t="s">
        <v>22</v>
      </c>
      <c r="E5746" t="s">
        <v>5873</v>
      </c>
      <c r="F5746">
        <v>43</v>
      </c>
      <c r="G5746" t="s">
        <v>46</v>
      </c>
      <c r="H5746" t="s">
        <v>46</v>
      </c>
      <c r="I5746" t="s">
        <v>347</v>
      </c>
      <c r="J5746" t="s">
        <v>19152</v>
      </c>
    </row>
    <row r="5747" spans="1:10" x14ac:dyDescent="0.3">
      <c r="A5747" t="s">
        <v>19153</v>
      </c>
      <c r="B5747" t="s">
        <v>29966</v>
      </c>
      <c r="C5747" t="s">
        <v>20486</v>
      </c>
      <c r="D5747" t="s">
        <v>11</v>
      </c>
      <c r="E5747" t="s">
        <v>19154</v>
      </c>
      <c r="F5747">
        <v>28</v>
      </c>
      <c r="G5747" t="s">
        <v>337</v>
      </c>
      <c r="H5747" t="s">
        <v>337</v>
      </c>
    </row>
    <row r="5748" spans="1:10" x14ac:dyDescent="0.3">
      <c r="A5748" t="s">
        <v>19155</v>
      </c>
      <c r="B5748" t="s">
        <v>29967</v>
      </c>
      <c r="C5748" t="s">
        <v>20488</v>
      </c>
      <c r="D5748" t="s">
        <v>22</v>
      </c>
      <c r="E5748" t="s">
        <v>19156</v>
      </c>
      <c r="F5748">
        <v>54</v>
      </c>
      <c r="G5748" t="s">
        <v>46</v>
      </c>
      <c r="H5748" t="s">
        <v>46</v>
      </c>
      <c r="I5748" t="s">
        <v>19157</v>
      </c>
      <c r="J5748" t="s">
        <v>19158</v>
      </c>
    </row>
    <row r="5749" spans="1:10" x14ac:dyDescent="0.3">
      <c r="A5749" t="s">
        <v>19159</v>
      </c>
      <c r="B5749" t="s">
        <v>29968</v>
      </c>
      <c r="C5749" t="s">
        <v>20486</v>
      </c>
      <c r="D5749" t="s">
        <v>22</v>
      </c>
      <c r="E5749" t="s">
        <v>19160</v>
      </c>
      <c r="F5749">
        <v>32</v>
      </c>
      <c r="G5749" t="s">
        <v>243</v>
      </c>
      <c r="H5749" t="s">
        <v>46</v>
      </c>
      <c r="I5749" t="s">
        <v>201</v>
      </c>
      <c r="J5749" t="s">
        <v>19161</v>
      </c>
    </row>
    <row r="5750" spans="1:10" x14ac:dyDescent="0.3">
      <c r="A5750" t="s">
        <v>19162</v>
      </c>
      <c r="B5750" t="s">
        <v>29969</v>
      </c>
      <c r="C5750" t="s">
        <v>20486</v>
      </c>
      <c r="D5750" t="s">
        <v>22</v>
      </c>
      <c r="E5750" t="s">
        <v>19163</v>
      </c>
      <c r="F5750">
        <v>53</v>
      </c>
      <c r="G5750" t="s">
        <v>31</v>
      </c>
      <c r="H5750" t="s">
        <v>31</v>
      </c>
      <c r="I5750" t="s">
        <v>19164</v>
      </c>
      <c r="J5750" t="s">
        <v>19165</v>
      </c>
    </row>
    <row r="5751" spans="1:10" x14ac:dyDescent="0.3">
      <c r="A5751" t="s">
        <v>19166</v>
      </c>
      <c r="B5751" t="s">
        <v>29970</v>
      </c>
      <c r="C5751" t="s">
        <v>20488</v>
      </c>
      <c r="D5751" t="s">
        <v>11</v>
      </c>
      <c r="E5751" t="s">
        <v>19167</v>
      </c>
      <c r="F5751">
        <v>17</v>
      </c>
      <c r="G5751" t="s">
        <v>337</v>
      </c>
      <c r="H5751" t="s">
        <v>337</v>
      </c>
    </row>
    <row r="5752" spans="1:10" x14ac:dyDescent="0.3">
      <c r="A5752" t="s">
        <v>19168</v>
      </c>
      <c r="B5752" t="s">
        <v>29971</v>
      </c>
      <c r="C5752" t="s">
        <v>20486</v>
      </c>
      <c r="D5752" t="s">
        <v>11</v>
      </c>
      <c r="E5752" t="s">
        <v>6960</v>
      </c>
      <c r="F5752">
        <v>29</v>
      </c>
      <c r="G5752" t="s">
        <v>109</v>
      </c>
      <c r="H5752" t="s">
        <v>9788</v>
      </c>
      <c r="I5752" t="s">
        <v>201</v>
      </c>
      <c r="J5752" t="s">
        <v>15316</v>
      </c>
    </row>
    <row r="5753" spans="1:10" x14ac:dyDescent="0.3">
      <c r="A5753" t="s">
        <v>19169</v>
      </c>
      <c r="B5753" t="s">
        <v>29972</v>
      </c>
      <c r="C5753" t="s">
        <v>20487</v>
      </c>
      <c r="D5753" t="s">
        <v>11</v>
      </c>
      <c r="E5753" t="s">
        <v>19170</v>
      </c>
      <c r="F5753">
        <v>40</v>
      </c>
      <c r="G5753" t="s">
        <v>46</v>
      </c>
      <c r="H5753" t="s">
        <v>46</v>
      </c>
      <c r="I5753" t="s">
        <v>220</v>
      </c>
    </row>
    <row r="5754" spans="1:10" x14ac:dyDescent="0.3">
      <c r="A5754" t="s">
        <v>19171</v>
      </c>
      <c r="B5754" t="s">
        <v>29973</v>
      </c>
      <c r="C5754" t="s">
        <v>20486</v>
      </c>
      <c r="D5754" t="s">
        <v>22</v>
      </c>
      <c r="E5754" t="s">
        <v>19172</v>
      </c>
      <c r="F5754">
        <v>40</v>
      </c>
      <c r="G5754" t="s">
        <v>31</v>
      </c>
      <c r="H5754" t="s">
        <v>9788</v>
      </c>
      <c r="I5754" t="s">
        <v>1047</v>
      </c>
      <c r="J5754" t="s">
        <v>19173</v>
      </c>
    </row>
    <row r="5755" spans="1:10" x14ac:dyDescent="0.3">
      <c r="A5755" t="s">
        <v>19174</v>
      </c>
      <c r="B5755" t="s">
        <v>29974</v>
      </c>
      <c r="C5755" t="s">
        <v>20488</v>
      </c>
      <c r="D5755" t="s">
        <v>22</v>
      </c>
      <c r="E5755" t="s">
        <v>6020</v>
      </c>
      <c r="F5755">
        <v>34</v>
      </c>
      <c r="G5755" t="s">
        <v>46</v>
      </c>
      <c r="H5755" t="s">
        <v>46</v>
      </c>
      <c r="I5755" t="s">
        <v>74</v>
      </c>
    </row>
    <row r="5756" spans="1:10" x14ac:dyDescent="0.3">
      <c r="A5756" t="s">
        <v>19175</v>
      </c>
      <c r="B5756" t="s">
        <v>29975</v>
      </c>
      <c r="C5756" t="s">
        <v>20490</v>
      </c>
      <c r="D5756" t="s">
        <v>22</v>
      </c>
      <c r="E5756" t="s">
        <v>19176</v>
      </c>
      <c r="F5756">
        <v>18</v>
      </c>
      <c r="G5756" t="s">
        <v>337</v>
      </c>
      <c r="H5756" t="s">
        <v>337</v>
      </c>
    </row>
    <row r="5757" spans="1:10" x14ac:dyDescent="0.3">
      <c r="A5757" t="s">
        <v>19177</v>
      </c>
      <c r="B5757" t="s">
        <v>29976</v>
      </c>
      <c r="C5757" t="s">
        <v>20486</v>
      </c>
      <c r="D5757" t="s">
        <v>22</v>
      </c>
      <c r="E5757" t="s">
        <v>19178</v>
      </c>
      <c r="F5757">
        <v>18</v>
      </c>
      <c r="G5757" t="s">
        <v>337</v>
      </c>
      <c r="H5757" t="s">
        <v>337</v>
      </c>
    </row>
    <row r="5758" spans="1:10" x14ac:dyDescent="0.3">
      <c r="A5758" t="s">
        <v>19179</v>
      </c>
      <c r="B5758" t="s">
        <v>29977</v>
      </c>
      <c r="C5758" t="s">
        <v>20488</v>
      </c>
      <c r="D5758" t="s">
        <v>22</v>
      </c>
      <c r="E5758" t="s">
        <v>19180</v>
      </c>
      <c r="F5758">
        <v>50</v>
      </c>
      <c r="G5758" t="s">
        <v>31</v>
      </c>
      <c r="H5758" t="s">
        <v>31</v>
      </c>
    </row>
    <row r="5759" spans="1:10" x14ac:dyDescent="0.3">
      <c r="A5759" t="s">
        <v>19181</v>
      </c>
      <c r="B5759" t="s">
        <v>29978</v>
      </c>
      <c r="C5759" t="s">
        <v>20491</v>
      </c>
      <c r="D5759" t="s">
        <v>22</v>
      </c>
      <c r="E5759" t="s">
        <v>19182</v>
      </c>
      <c r="F5759">
        <v>42</v>
      </c>
      <c r="G5759" t="s">
        <v>109</v>
      </c>
      <c r="H5759" t="s">
        <v>9788</v>
      </c>
      <c r="J5759" t="s">
        <v>19183</v>
      </c>
    </row>
    <row r="5760" spans="1:10" x14ac:dyDescent="0.3">
      <c r="A5760" t="s">
        <v>19184</v>
      </c>
      <c r="B5760" t="s">
        <v>29979</v>
      </c>
      <c r="C5760" t="s">
        <v>20486</v>
      </c>
      <c r="D5760" t="s">
        <v>22</v>
      </c>
      <c r="E5760" t="s">
        <v>19185</v>
      </c>
      <c r="F5760">
        <v>35</v>
      </c>
      <c r="G5760" t="s">
        <v>109</v>
      </c>
      <c r="H5760" t="s">
        <v>9788</v>
      </c>
      <c r="I5760" t="s">
        <v>1047</v>
      </c>
      <c r="J5760" t="s">
        <v>19186</v>
      </c>
    </row>
    <row r="5761" spans="1:10" x14ac:dyDescent="0.3">
      <c r="A5761" t="s">
        <v>19187</v>
      </c>
      <c r="B5761" t="s">
        <v>29980</v>
      </c>
      <c r="C5761" t="s">
        <v>20486</v>
      </c>
      <c r="D5761" t="s">
        <v>11</v>
      </c>
      <c r="E5761" t="s">
        <v>19188</v>
      </c>
      <c r="F5761">
        <v>32</v>
      </c>
      <c r="G5761" t="s">
        <v>46</v>
      </c>
      <c r="H5761" t="s">
        <v>46</v>
      </c>
      <c r="I5761" t="s">
        <v>228</v>
      </c>
      <c r="J5761" t="s">
        <v>6276</v>
      </c>
    </row>
    <row r="5762" spans="1:10" x14ac:dyDescent="0.3">
      <c r="A5762" t="s">
        <v>19189</v>
      </c>
      <c r="B5762" t="s">
        <v>29981</v>
      </c>
      <c r="C5762" t="s">
        <v>20491</v>
      </c>
      <c r="D5762" t="s">
        <v>11</v>
      </c>
      <c r="E5762" t="s">
        <v>19190</v>
      </c>
      <c r="F5762">
        <v>30</v>
      </c>
      <c r="G5762" t="s">
        <v>109</v>
      </c>
      <c r="H5762" t="s">
        <v>9788</v>
      </c>
      <c r="I5762" t="s">
        <v>19191</v>
      </c>
      <c r="J5762" t="s">
        <v>19192</v>
      </c>
    </row>
    <row r="5763" spans="1:10" x14ac:dyDescent="0.3">
      <c r="A5763" t="s">
        <v>19193</v>
      </c>
      <c r="B5763" t="s">
        <v>29982</v>
      </c>
      <c r="C5763" t="s">
        <v>20487</v>
      </c>
      <c r="D5763" t="s">
        <v>22</v>
      </c>
      <c r="E5763" t="s">
        <v>9685</v>
      </c>
      <c r="F5763">
        <v>23</v>
      </c>
      <c r="G5763" t="s">
        <v>109</v>
      </c>
      <c r="H5763" t="s">
        <v>9788</v>
      </c>
      <c r="J5763" t="s">
        <v>19194</v>
      </c>
    </row>
    <row r="5764" spans="1:10" x14ac:dyDescent="0.3">
      <c r="A5764" t="s">
        <v>19195</v>
      </c>
      <c r="B5764" t="s">
        <v>29983</v>
      </c>
      <c r="C5764" t="s">
        <v>20487</v>
      </c>
      <c r="D5764" t="s">
        <v>22</v>
      </c>
      <c r="E5764" t="s">
        <v>19196</v>
      </c>
      <c r="F5764">
        <v>37</v>
      </c>
      <c r="G5764" t="s">
        <v>109</v>
      </c>
      <c r="H5764" t="s">
        <v>9788</v>
      </c>
      <c r="J5764" t="s">
        <v>19197</v>
      </c>
    </row>
    <row r="5765" spans="1:10" x14ac:dyDescent="0.3">
      <c r="A5765" t="s">
        <v>19198</v>
      </c>
      <c r="B5765" t="s">
        <v>29984</v>
      </c>
      <c r="C5765" t="s">
        <v>20488</v>
      </c>
      <c r="D5765" t="s">
        <v>22</v>
      </c>
      <c r="E5765" t="s">
        <v>14364</v>
      </c>
      <c r="F5765">
        <v>25</v>
      </c>
      <c r="G5765" t="s">
        <v>109</v>
      </c>
      <c r="H5765" t="s">
        <v>9788</v>
      </c>
      <c r="I5765" t="s">
        <v>139</v>
      </c>
      <c r="J5765" t="s">
        <v>9194</v>
      </c>
    </row>
    <row r="5766" spans="1:10" x14ac:dyDescent="0.3">
      <c r="A5766" t="s">
        <v>19199</v>
      </c>
      <c r="B5766" t="s">
        <v>29985</v>
      </c>
      <c r="C5766" t="s">
        <v>20488</v>
      </c>
      <c r="D5766" t="s">
        <v>11</v>
      </c>
      <c r="E5766" t="s">
        <v>19200</v>
      </c>
      <c r="F5766">
        <v>28</v>
      </c>
      <c r="G5766" t="s">
        <v>109</v>
      </c>
      <c r="H5766" t="s">
        <v>9788</v>
      </c>
      <c r="I5766" t="s">
        <v>228</v>
      </c>
      <c r="J5766" t="s">
        <v>8647</v>
      </c>
    </row>
    <row r="5767" spans="1:10" x14ac:dyDescent="0.3">
      <c r="A5767" t="s">
        <v>19201</v>
      </c>
      <c r="B5767" t="s">
        <v>29986</v>
      </c>
      <c r="C5767" t="s">
        <v>20486</v>
      </c>
      <c r="D5767" t="s">
        <v>22</v>
      </c>
      <c r="E5767" t="s">
        <v>19202</v>
      </c>
      <c r="F5767">
        <v>36</v>
      </c>
      <c r="G5767" t="s">
        <v>31</v>
      </c>
      <c r="H5767" t="s">
        <v>46</v>
      </c>
      <c r="I5767" t="s">
        <v>201</v>
      </c>
      <c r="J5767" t="s">
        <v>19203</v>
      </c>
    </row>
    <row r="5768" spans="1:10" x14ac:dyDescent="0.3">
      <c r="A5768" t="s">
        <v>19204</v>
      </c>
      <c r="B5768" t="s">
        <v>29987</v>
      </c>
      <c r="C5768" t="s">
        <v>20486</v>
      </c>
      <c r="D5768" t="s">
        <v>11</v>
      </c>
      <c r="E5768" t="s">
        <v>19205</v>
      </c>
      <c r="F5768">
        <v>69</v>
      </c>
      <c r="G5768" t="s">
        <v>13</v>
      </c>
      <c r="H5768" t="s">
        <v>13</v>
      </c>
      <c r="I5768" t="s">
        <v>198</v>
      </c>
      <c r="J5768" t="s">
        <v>19206</v>
      </c>
    </row>
    <row r="5769" spans="1:10" x14ac:dyDescent="0.3">
      <c r="A5769" t="s">
        <v>19207</v>
      </c>
      <c r="B5769" t="s">
        <v>29988</v>
      </c>
      <c r="C5769" t="s">
        <v>20487</v>
      </c>
      <c r="D5769" t="s">
        <v>22</v>
      </c>
      <c r="E5769" t="s">
        <v>19208</v>
      </c>
      <c r="F5769">
        <v>48</v>
      </c>
      <c r="G5769" t="s">
        <v>109</v>
      </c>
      <c r="H5769" t="s">
        <v>9788</v>
      </c>
      <c r="J5769" t="s">
        <v>14066</v>
      </c>
    </row>
    <row r="5770" spans="1:10" x14ac:dyDescent="0.3">
      <c r="A5770" t="s">
        <v>19209</v>
      </c>
      <c r="B5770" t="s">
        <v>29989</v>
      </c>
      <c r="C5770" t="s">
        <v>20487</v>
      </c>
      <c r="D5770" t="s">
        <v>22</v>
      </c>
      <c r="E5770" t="s">
        <v>14232</v>
      </c>
      <c r="F5770">
        <v>41</v>
      </c>
      <c r="G5770" t="s">
        <v>109</v>
      </c>
      <c r="H5770" t="s">
        <v>9788</v>
      </c>
      <c r="J5770" t="s">
        <v>14066</v>
      </c>
    </row>
    <row r="5771" spans="1:10" x14ac:dyDescent="0.3">
      <c r="A5771" t="s">
        <v>19210</v>
      </c>
      <c r="B5771" t="s">
        <v>29990</v>
      </c>
      <c r="C5771" t="s">
        <v>20487</v>
      </c>
      <c r="D5771" t="s">
        <v>22</v>
      </c>
      <c r="E5771" t="s">
        <v>8996</v>
      </c>
      <c r="F5771">
        <v>38</v>
      </c>
      <c r="G5771" t="s">
        <v>31</v>
      </c>
      <c r="H5771" t="s">
        <v>31</v>
      </c>
    </row>
    <row r="5772" spans="1:10" x14ac:dyDescent="0.3">
      <c r="A5772" t="s">
        <v>19211</v>
      </c>
      <c r="B5772" t="s">
        <v>29991</v>
      </c>
      <c r="C5772" t="s">
        <v>20487</v>
      </c>
      <c r="D5772" t="s">
        <v>22</v>
      </c>
      <c r="E5772" t="s">
        <v>3042</v>
      </c>
      <c r="F5772">
        <v>60</v>
      </c>
      <c r="G5772" t="s">
        <v>540</v>
      </c>
      <c r="H5772" t="s">
        <v>12074</v>
      </c>
    </row>
    <row r="5773" spans="1:10" x14ac:dyDescent="0.3">
      <c r="A5773" t="s">
        <v>19212</v>
      </c>
      <c r="B5773" t="s">
        <v>29992</v>
      </c>
      <c r="C5773" t="s">
        <v>20488</v>
      </c>
      <c r="D5773" t="s">
        <v>22</v>
      </c>
      <c r="E5773" t="s">
        <v>9261</v>
      </c>
      <c r="F5773">
        <v>39</v>
      </c>
      <c r="G5773" t="s">
        <v>31</v>
      </c>
      <c r="H5773" t="s">
        <v>31</v>
      </c>
    </row>
    <row r="5774" spans="1:10" x14ac:dyDescent="0.3">
      <c r="A5774" t="s">
        <v>19213</v>
      </c>
      <c r="B5774" t="s">
        <v>29993</v>
      </c>
      <c r="C5774" t="s">
        <v>20486</v>
      </c>
      <c r="D5774" t="s">
        <v>11</v>
      </c>
      <c r="E5774" t="s">
        <v>19214</v>
      </c>
      <c r="F5774">
        <v>31</v>
      </c>
      <c r="G5774" t="s">
        <v>109</v>
      </c>
      <c r="H5774" t="s">
        <v>9788</v>
      </c>
      <c r="I5774" t="s">
        <v>1047</v>
      </c>
      <c r="J5774" t="s">
        <v>19215</v>
      </c>
    </row>
    <row r="5775" spans="1:10" x14ac:dyDescent="0.3">
      <c r="A5775" t="s">
        <v>19216</v>
      </c>
      <c r="B5775" t="s">
        <v>29994</v>
      </c>
      <c r="C5775" t="s">
        <v>20487</v>
      </c>
      <c r="D5775" t="s">
        <v>22</v>
      </c>
      <c r="E5775" t="s">
        <v>3444</v>
      </c>
      <c r="F5775">
        <v>52</v>
      </c>
      <c r="G5775" t="s">
        <v>46</v>
      </c>
      <c r="H5775" t="s">
        <v>46</v>
      </c>
      <c r="I5775" t="s">
        <v>19217</v>
      </c>
      <c r="J5775" t="s">
        <v>19218</v>
      </c>
    </row>
    <row r="5776" spans="1:10" x14ac:dyDescent="0.3">
      <c r="A5776" t="s">
        <v>19219</v>
      </c>
      <c r="B5776" t="s">
        <v>29995</v>
      </c>
      <c r="C5776" t="s">
        <v>20487</v>
      </c>
      <c r="D5776" t="s">
        <v>11</v>
      </c>
      <c r="E5776" t="s">
        <v>837</v>
      </c>
      <c r="F5776">
        <v>56</v>
      </c>
      <c r="G5776" t="s">
        <v>1331</v>
      </c>
      <c r="H5776" t="s">
        <v>46</v>
      </c>
    </row>
    <row r="5777" spans="1:10" x14ac:dyDescent="0.3">
      <c r="A5777" t="s">
        <v>19220</v>
      </c>
      <c r="B5777" t="s">
        <v>29996</v>
      </c>
      <c r="C5777" t="s">
        <v>20486</v>
      </c>
      <c r="D5777" t="s">
        <v>11</v>
      </c>
      <c r="E5777" t="s">
        <v>22152</v>
      </c>
      <c r="F5777">
        <v>29</v>
      </c>
      <c r="G5777" t="s">
        <v>46</v>
      </c>
      <c r="H5777" t="s">
        <v>9788</v>
      </c>
      <c r="I5777" t="s">
        <v>22153</v>
      </c>
      <c r="J5777" t="s">
        <v>13787</v>
      </c>
    </row>
    <row r="5778" spans="1:10" x14ac:dyDescent="0.3">
      <c r="A5778" t="s">
        <v>19221</v>
      </c>
      <c r="B5778" t="s">
        <v>29997</v>
      </c>
      <c r="C5778" t="s">
        <v>20489</v>
      </c>
      <c r="D5778" t="s">
        <v>11</v>
      </c>
      <c r="E5778" t="s">
        <v>158</v>
      </c>
      <c r="F5778">
        <v>62</v>
      </c>
      <c r="G5778" t="s">
        <v>370</v>
      </c>
      <c r="H5778" t="s">
        <v>46</v>
      </c>
      <c r="I5778" t="s">
        <v>228</v>
      </c>
      <c r="J5778" t="s">
        <v>19222</v>
      </c>
    </row>
    <row r="5779" spans="1:10" x14ac:dyDescent="0.3">
      <c r="A5779" t="s">
        <v>19223</v>
      </c>
      <c r="B5779" t="s">
        <v>29998</v>
      </c>
      <c r="C5779" t="s">
        <v>20488</v>
      </c>
      <c r="D5779" t="s">
        <v>22</v>
      </c>
      <c r="E5779" t="s">
        <v>4402</v>
      </c>
      <c r="F5779">
        <v>36</v>
      </c>
      <c r="G5779" t="s">
        <v>31</v>
      </c>
      <c r="H5779" t="s">
        <v>31</v>
      </c>
    </row>
    <row r="5780" spans="1:10" x14ac:dyDescent="0.3">
      <c r="A5780" t="s">
        <v>19224</v>
      </c>
      <c r="B5780" t="s">
        <v>29999</v>
      </c>
      <c r="C5780" t="s">
        <v>20489</v>
      </c>
      <c r="D5780" t="s">
        <v>11</v>
      </c>
      <c r="E5780" t="s">
        <v>19225</v>
      </c>
      <c r="F5780">
        <v>43</v>
      </c>
      <c r="G5780" t="s">
        <v>370</v>
      </c>
      <c r="H5780" t="s">
        <v>46</v>
      </c>
      <c r="I5780" t="s">
        <v>228</v>
      </c>
      <c r="J5780" t="s">
        <v>19226</v>
      </c>
    </row>
    <row r="5781" spans="1:10" x14ac:dyDescent="0.3">
      <c r="A5781" t="s">
        <v>19227</v>
      </c>
      <c r="B5781" t="s">
        <v>30000</v>
      </c>
      <c r="C5781" t="s">
        <v>20489</v>
      </c>
      <c r="D5781" t="s">
        <v>22</v>
      </c>
      <c r="E5781" t="s">
        <v>19228</v>
      </c>
      <c r="F5781">
        <v>42</v>
      </c>
      <c r="G5781" t="s">
        <v>370</v>
      </c>
      <c r="H5781" t="s">
        <v>46</v>
      </c>
      <c r="I5781" t="s">
        <v>19229</v>
      </c>
    </row>
    <row r="5782" spans="1:10" x14ac:dyDescent="0.3">
      <c r="A5782" t="s">
        <v>19230</v>
      </c>
      <c r="B5782" t="s">
        <v>30001</v>
      </c>
      <c r="C5782" t="s">
        <v>20491</v>
      </c>
      <c r="D5782" t="s">
        <v>11</v>
      </c>
      <c r="E5782" t="s">
        <v>19231</v>
      </c>
      <c r="F5782">
        <v>23</v>
      </c>
      <c r="G5782" t="s">
        <v>46</v>
      </c>
      <c r="H5782" t="s">
        <v>46</v>
      </c>
      <c r="J5782" t="s">
        <v>19232</v>
      </c>
    </row>
    <row r="5783" spans="1:10" x14ac:dyDescent="0.3">
      <c r="A5783" t="s">
        <v>19233</v>
      </c>
      <c r="B5783" t="s">
        <v>30002</v>
      </c>
      <c r="C5783" t="s">
        <v>20487</v>
      </c>
      <c r="D5783" t="s">
        <v>11</v>
      </c>
      <c r="E5783" t="s">
        <v>4864</v>
      </c>
      <c r="F5783">
        <v>59</v>
      </c>
      <c r="G5783" t="s">
        <v>5373</v>
      </c>
      <c r="H5783" t="s">
        <v>12074</v>
      </c>
    </row>
    <row r="5784" spans="1:10" x14ac:dyDescent="0.3">
      <c r="A5784" t="s">
        <v>19234</v>
      </c>
      <c r="B5784" t="s">
        <v>30003</v>
      </c>
      <c r="C5784" t="s">
        <v>20490</v>
      </c>
      <c r="D5784" t="s">
        <v>22</v>
      </c>
      <c r="E5784" t="s">
        <v>19235</v>
      </c>
      <c r="F5784">
        <v>27</v>
      </c>
      <c r="G5784" t="s">
        <v>109</v>
      </c>
      <c r="H5784" t="s">
        <v>9788</v>
      </c>
      <c r="J5784" t="s">
        <v>19236</v>
      </c>
    </row>
    <row r="5785" spans="1:10" x14ac:dyDescent="0.3">
      <c r="A5785" t="s">
        <v>19237</v>
      </c>
      <c r="B5785" t="s">
        <v>30004</v>
      </c>
      <c r="C5785" t="s">
        <v>20488</v>
      </c>
      <c r="D5785" t="s">
        <v>11</v>
      </c>
      <c r="E5785" t="s">
        <v>19238</v>
      </c>
      <c r="F5785">
        <v>42</v>
      </c>
      <c r="G5785" t="s">
        <v>109</v>
      </c>
      <c r="H5785" t="s">
        <v>9788</v>
      </c>
      <c r="J5785" t="s">
        <v>19239</v>
      </c>
    </row>
    <row r="5786" spans="1:10" x14ac:dyDescent="0.3">
      <c r="A5786" t="s">
        <v>19240</v>
      </c>
      <c r="B5786" t="s">
        <v>30005</v>
      </c>
      <c r="C5786" t="s">
        <v>20490</v>
      </c>
      <c r="D5786" t="s">
        <v>11</v>
      </c>
      <c r="E5786" t="s">
        <v>19241</v>
      </c>
      <c r="F5786">
        <v>35</v>
      </c>
      <c r="G5786" t="s">
        <v>133</v>
      </c>
      <c r="H5786" t="s">
        <v>9789</v>
      </c>
      <c r="I5786" t="s">
        <v>19242</v>
      </c>
      <c r="J5786" t="s">
        <v>6884</v>
      </c>
    </row>
    <row r="5787" spans="1:10" x14ac:dyDescent="0.3">
      <c r="A5787" t="s">
        <v>19243</v>
      </c>
      <c r="B5787" t="s">
        <v>30006</v>
      </c>
      <c r="C5787" t="s">
        <v>20486</v>
      </c>
      <c r="D5787" t="s">
        <v>22</v>
      </c>
      <c r="E5787" t="s">
        <v>19244</v>
      </c>
      <c r="F5787">
        <v>28</v>
      </c>
      <c r="G5787" t="s">
        <v>31</v>
      </c>
      <c r="H5787" t="s">
        <v>9788</v>
      </c>
      <c r="I5787" t="s">
        <v>1047</v>
      </c>
      <c r="J5787" t="s">
        <v>19245</v>
      </c>
    </row>
    <row r="5788" spans="1:10" x14ac:dyDescent="0.3">
      <c r="A5788" t="s">
        <v>19246</v>
      </c>
      <c r="B5788" t="s">
        <v>30007</v>
      </c>
      <c r="C5788" t="s">
        <v>20486</v>
      </c>
      <c r="D5788" t="s">
        <v>11</v>
      </c>
      <c r="E5788" t="s">
        <v>19247</v>
      </c>
      <c r="F5788">
        <v>37</v>
      </c>
      <c r="G5788" t="s">
        <v>109</v>
      </c>
      <c r="H5788" t="s">
        <v>9788</v>
      </c>
      <c r="I5788" t="s">
        <v>1047</v>
      </c>
      <c r="J5788" t="s">
        <v>19248</v>
      </c>
    </row>
    <row r="5789" spans="1:10" x14ac:dyDescent="0.3">
      <c r="A5789" t="s">
        <v>19249</v>
      </c>
      <c r="B5789" t="s">
        <v>30008</v>
      </c>
      <c r="C5789" t="s">
        <v>20488</v>
      </c>
      <c r="D5789" t="s">
        <v>22</v>
      </c>
      <c r="E5789" t="s">
        <v>19250</v>
      </c>
      <c r="F5789">
        <v>49</v>
      </c>
      <c r="G5789" t="s">
        <v>31</v>
      </c>
      <c r="H5789" t="s">
        <v>46</v>
      </c>
      <c r="I5789" t="s">
        <v>149</v>
      </c>
      <c r="J5789" t="s">
        <v>19251</v>
      </c>
    </row>
    <row r="5790" spans="1:10" x14ac:dyDescent="0.3">
      <c r="A5790" t="s">
        <v>19252</v>
      </c>
      <c r="B5790" t="s">
        <v>30009</v>
      </c>
      <c r="C5790" t="s">
        <v>20486</v>
      </c>
      <c r="D5790" t="s">
        <v>11</v>
      </c>
      <c r="E5790" t="s">
        <v>19253</v>
      </c>
      <c r="F5790">
        <v>21</v>
      </c>
      <c r="G5790" t="s">
        <v>337</v>
      </c>
      <c r="H5790" t="s">
        <v>9788</v>
      </c>
      <c r="I5790" t="s">
        <v>1047</v>
      </c>
      <c r="J5790" t="s">
        <v>6276</v>
      </c>
    </row>
    <row r="5791" spans="1:10" x14ac:dyDescent="0.3">
      <c r="A5791" t="s">
        <v>19254</v>
      </c>
      <c r="B5791" t="s">
        <v>30010</v>
      </c>
      <c r="C5791" t="s">
        <v>20488</v>
      </c>
      <c r="D5791" t="s">
        <v>22</v>
      </c>
      <c r="E5791" t="s">
        <v>19255</v>
      </c>
      <c r="F5791">
        <v>61</v>
      </c>
      <c r="G5791" t="s">
        <v>46</v>
      </c>
      <c r="H5791" t="s">
        <v>46</v>
      </c>
      <c r="I5791" t="s">
        <v>6217</v>
      </c>
    </row>
    <row r="5792" spans="1:10" x14ac:dyDescent="0.3">
      <c r="A5792" t="s">
        <v>19256</v>
      </c>
      <c r="B5792" t="s">
        <v>30011</v>
      </c>
      <c r="C5792" t="s">
        <v>20486</v>
      </c>
      <c r="D5792" t="s">
        <v>11</v>
      </c>
      <c r="E5792" t="s">
        <v>861</v>
      </c>
      <c r="F5792">
        <v>59</v>
      </c>
      <c r="G5792" t="s">
        <v>16</v>
      </c>
      <c r="H5792" t="s">
        <v>9785</v>
      </c>
      <c r="I5792" t="s">
        <v>1047</v>
      </c>
      <c r="J5792" t="s">
        <v>19257</v>
      </c>
    </row>
    <row r="5793" spans="1:10" x14ac:dyDescent="0.3">
      <c r="A5793" t="s">
        <v>19258</v>
      </c>
      <c r="B5793" t="s">
        <v>30012</v>
      </c>
      <c r="C5793" t="s">
        <v>20486</v>
      </c>
      <c r="D5793" t="s">
        <v>22</v>
      </c>
      <c r="E5793" t="s">
        <v>19259</v>
      </c>
      <c r="F5793">
        <v>29</v>
      </c>
      <c r="G5793" t="s">
        <v>31</v>
      </c>
      <c r="H5793" t="s">
        <v>9788</v>
      </c>
      <c r="I5793" t="s">
        <v>1047</v>
      </c>
      <c r="J5793" t="s">
        <v>19260</v>
      </c>
    </row>
    <row r="5794" spans="1:10" x14ac:dyDescent="0.3">
      <c r="A5794" t="s">
        <v>19261</v>
      </c>
      <c r="B5794" t="s">
        <v>30013</v>
      </c>
      <c r="C5794" t="s">
        <v>20486</v>
      </c>
      <c r="D5794" t="s">
        <v>22</v>
      </c>
      <c r="E5794" t="s">
        <v>19262</v>
      </c>
      <c r="F5794">
        <v>53</v>
      </c>
      <c r="G5794" t="s">
        <v>31</v>
      </c>
      <c r="H5794" t="s">
        <v>31</v>
      </c>
    </row>
    <row r="5795" spans="1:10" x14ac:dyDescent="0.3">
      <c r="A5795" t="s">
        <v>19263</v>
      </c>
      <c r="B5795" t="s">
        <v>30014</v>
      </c>
      <c r="C5795" t="s">
        <v>20486</v>
      </c>
      <c r="D5795" t="s">
        <v>22</v>
      </c>
      <c r="E5795" t="s">
        <v>19264</v>
      </c>
      <c r="F5795">
        <v>35</v>
      </c>
      <c r="G5795" t="s">
        <v>172</v>
      </c>
      <c r="H5795" t="s">
        <v>12099</v>
      </c>
      <c r="I5795" t="s">
        <v>19265</v>
      </c>
      <c r="J5795" t="s">
        <v>19266</v>
      </c>
    </row>
    <row r="5796" spans="1:10" x14ac:dyDescent="0.3">
      <c r="A5796" t="s">
        <v>22154</v>
      </c>
      <c r="B5796" t="s">
        <v>30015</v>
      </c>
      <c r="C5796" t="s">
        <v>20489</v>
      </c>
      <c r="D5796" t="s">
        <v>22</v>
      </c>
      <c r="E5796" t="s">
        <v>22155</v>
      </c>
      <c r="F5796">
        <v>42</v>
      </c>
      <c r="G5796" t="s">
        <v>109</v>
      </c>
      <c r="H5796" t="s">
        <v>9788</v>
      </c>
    </row>
    <row r="5797" spans="1:10" x14ac:dyDescent="0.3">
      <c r="A5797" t="s">
        <v>22156</v>
      </c>
      <c r="B5797" t="s">
        <v>30016</v>
      </c>
      <c r="C5797" t="s">
        <v>20486</v>
      </c>
      <c r="D5797" t="s">
        <v>22</v>
      </c>
      <c r="E5797" t="s">
        <v>22157</v>
      </c>
      <c r="F5797">
        <v>46</v>
      </c>
      <c r="G5797" t="s">
        <v>243</v>
      </c>
      <c r="H5797" t="s">
        <v>9788</v>
      </c>
      <c r="I5797" t="s">
        <v>1047</v>
      </c>
    </row>
    <row r="5798" spans="1:10" x14ac:dyDescent="0.3">
      <c r="A5798" t="s">
        <v>22158</v>
      </c>
      <c r="B5798" t="s">
        <v>30017</v>
      </c>
      <c r="C5798" t="s">
        <v>20491</v>
      </c>
      <c r="D5798" t="s">
        <v>22</v>
      </c>
      <c r="E5798" t="s">
        <v>22159</v>
      </c>
      <c r="F5798">
        <v>47</v>
      </c>
      <c r="G5798" t="s">
        <v>16</v>
      </c>
      <c r="H5798" t="s">
        <v>9785</v>
      </c>
      <c r="I5798" t="s">
        <v>8908</v>
      </c>
      <c r="J5798" t="s">
        <v>22160</v>
      </c>
    </row>
    <row r="5799" spans="1:10" x14ac:dyDescent="0.3">
      <c r="A5799" t="s">
        <v>22161</v>
      </c>
      <c r="B5799" t="s">
        <v>30018</v>
      </c>
      <c r="C5799" t="s">
        <v>20486</v>
      </c>
      <c r="D5799" t="s">
        <v>22</v>
      </c>
      <c r="E5799" t="s">
        <v>22162</v>
      </c>
      <c r="F5799">
        <v>33</v>
      </c>
      <c r="H5799" t="s">
        <v>46</v>
      </c>
    </row>
    <row r="5800" spans="1:10" x14ac:dyDescent="0.3">
      <c r="A5800" t="s">
        <v>22163</v>
      </c>
      <c r="B5800" t="s">
        <v>30019</v>
      </c>
      <c r="C5800" t="s">
        <v>20486</v>
      </c>
      <c r="D5800" t="s">
        <v>22</v>
      </c>
      <c r="E5800" t="s">
        <v>22164</v>
      </c>
      <c r="F5800">
        <v>27</v>
      </c>
      <c r="G5800" t="s">
        <v>337</v>
      </c>
      <c r="H5800" t="s">
        <v>46</v>
      </c>
      <c r="I5800" t="s">
        <v>201</v>
      </c>
      <c r="J5800" t="s">
        <v>22165</v>
      </c>
    </row>
    <row r="5801" spans="1:10" x14ac:dyDescent="0.3">
      <c r="A5801" t="s">
        <v>22166</v>
      </c>
      <c r="B5801" t="s">
        <v>30020</v>
      </c>
      <c r="C5801" t="s">
        <v>20489</v>
      </c>
      <c r="D5801" t="s">
        <v>11</v>
      </c>
      <c r="E5801" t="s">
        <v>22167</v>
      </c>
      <c r="F5801">
        <v>28</v>
      </c>
      <c r="G5801" t="s">
        <v>243</v>
      </c>
    </row>
    <row r="5802" spans="1:10" x14ac:dyDescent="0.3">
      <c r="A5802" t="s">
        <v>22168</v>
      </c>
      <c r="B5802" t="s">
        <v>30021</v>
      </c>
      <c r="C5802" t="s">
        <v>20491</v>
      </c>
      <c r="D5802" t="s">
        <v>11</v>
      </c>
      <c r="E5802" t="s">
        <v>22169</v>
      </c>
      <c r="F5802">
        <v>31</v>
      </c>
      <c r="G5802" t="s">
        <v>109</v>
      </c>
      <c r="H5802" t="s">
        <v>9788</v>
      </c>
      <c r="I5802" t="s">
        <v>14118</v>
      </c>
    </row>
    <row r="5803" spans="1:10" x14ac:dyDescent="0.3">
      <c r="A5803" t="s">
        <v>22170</v>
      </c>
      <c r="B5803" t="s">
        <v>30022</v>
      </c>
      <c r="C5803" t="s">
        <v>20486</v>
      </c>
      <c r="D5803" t="s">
        <v>11</v>
      </c>
      <c r="E5803" t="s">
        <v>8935</v>
      </c>
      <c r="F5803">
        <v>30</v>
      </c>
      <c r="G5803" t="s">
        <v>109</v>
      </c>
      <c r="H5803" t="s">
        <v>9788</v>
      </c>
      <c r="J5803" t="s">
        <v>22171</v>
      </c>
    </row>
    <row r="5804" spans="1:10" x14ac:dyDescent="0.3">
      <c r="A5804" t="s">
        <v>22172</v>
      </c>
      <c r="B5804" t="s">
        <v>30023</v>
      </c>
      <c r="C5804" t="s">
        <v>20489</v>
      </c>
      <c r="D5804" t="s">
        <v>11</v>
      </c>
      <c r="E5804" t="s">
        <v>22173</v>
      </c>
      <c r="F5804">
        <v>50</v>
      </c>
      <c r="G5804" t="s">
        <v>109</v>
      </c>
      <c r="H5804" t="s">
        <v>9788</v>
      </c>
      <c r="I5804" t="s">
        <v>22174</v>
      </c>
      <c r="J5804" t="s">
        <v>22175</v>
      </c>
    </row>
    <row r="5805" spans="1:10" x14ac:dyDescent="0.3">
      <c r="A5805" t="s">
        <v>22176</v>
      </c>
      <c r="B5805" t="s">
        <v>30024</v>
      </c>
      <c r="C5805" t="s">
        <v>20491</v>
      </c>
      <c r="D5805" t="s">
        <v>11</v>
      </c>
      <c r="E5805" t="s">
        <v>22177</v>
      </c>
      <c r="F5805">
        <v>25</v>
      </c>
      <c r="G5805" t="s">
        <v>46</v>
      </c>
      <c r="H5805" t="s">
        <v>46</v>
      </c>
      <c r="I5805" t="s">
        <v>228</v>
      </c>
      <c r="J5805" t="s">
        <v>22178</v>
      </c>
    </row>
    <row r="5806" spans="1:10" x14ac:dyDescent="0.3">
      <c r="A5806" t="s">
        <v>22179</v>
      </c>
      <c r="B5806" t="s">
        <v>30025</v>
      </c>
      <c r="C5806" t="s">
        <v>20487</v>
      </c>
      <c r="D5806" t="s">
        <v>11</v>
      </c>
      <c r="E5806" t="s">
        <v>3723</v>
      </c>
      <c r="F5806">
        <v>45</v>
      </c>
      <c r="G5806" t="s">
        <v>370</v>
      </c>
      <c r="H5806" t="s">
        <v>46</v>
      </c>
    </row>
    <row r="5807" spans="1:10" x14ac:dyDescent="0.3">
      <c r="A5807" t="s">
        <v>22180</v>
      </c>
      <c r="B5807" t="s">
        <v>30026</v>
      </c>
      <c r="C5807" t="s">
        <v>20486</v>
      </c>
      <c r="D5807" t="s">
        <v>22</v>
      </c>
      <c r="E5807" t="s">
        <v>19202</v>
      </c>
      <c r="F5807">
        <v>36</v>
      </c>
      <c r="G5807" t="s">
        <v>46</v>
      </c>
      <c r="H5807" t="s">
        <v>46</v>
      </c>
    </row>
    <row r="5808" spans="1:10" x14ac:dyDescent="0.3">
      <c r="A5808" t="s">
        <v>22181</v>
      </c>
      <c r="B5808" t="s">
        <v>30027</v>
      </c>
      <c r="C5808" t="s">
        <v>20486</v>
      </c>
      <c r="D5808" t="s">
        <v>22</v>
      </c>
      <c r="E5808" t="s">
        <v>5624</v>
      </c>
      <c r="F5808">
        <v>42</v>
      </c>
      <c r="G5808" t="s">
        <v>109</v>
      </c>
      <c r="H5808" t="s">
        <v>9788</v>
      </c>
      <c r="I5808" t="s">
        <v>12371</v>
      </c>
      <c r="J5808" t="s">
        <v>901</v>
      </c>
    </row>
    <row r="5809" spans="1:8" x14ac:dyDescent="0.3">
      <c r="A5809" t="s">
        <v>22182</v>
      </c>
      <c r="B5809" t="s">
        <v>30028</v>
      </c>
      <c r="C5809" t="s">
        <v>20486</v>
      </c>
      <c r="D5809" t="s">
        <v>11</v>
      </c>
      <c r="E5809" t="s">
        <v>22183</v>
      </c>
      <c r="F5809">
        <v>35</v>
      </c>
      <c r="G5809" t="s">
        <v>109</v>
      </c>
      <c r="H5809" t="s">
        <v>9788</v>
      </c>
    </row>
  </sheetData>
  <sheetProtection formatCells="0" formatColumns="0" formatRows="0" insertColumns="0" insertRows="0" insertHyperlinks="0" deleteColumns="0" deleteRows="0" sort="0" autoFilter="0" pivotTables="0"/>
  <autoFilter ref="A4:J5808" xr:uid="{13C2E2EC-BEC7-4F39-A41B-8B2E76BD2142}"/>
  <mergeCells count="1">
    <mergeCell ref="A1:J1"/>
  </mergeCells>
  <phoneticPr fontId="15" type="noConversion"/>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4D081-F514-42FD-9980-82B5CD6E2732}">
  <sheetPr>
    <tabColor rgb="FF00B050"/>
  </sheetPr>
  <dimension ref="B1:X87"/>
  <sheetViews>
    <sheetView workbookViewId="0">
      <selection activeCell="D4" sqref="D4"/>
    </sheetView>
  </sheetViews>
  <sheetFormatPr defaultRowHeight="14.4" x14ac:dyDescent="0.3"/>
  <cols>
    <col min="1" max="1" width="3.109375" customWidth="1"/>
    <col min="2" max="2" width="6.5546875" bestFit="1" customWidth="1"/>
    <col min="3" max="3" width="25.88671875" customWidth="1"/>
    <col min="6" max="6" width="5.44140625" customWidth="1"/>
    <col min="7" max="7" width="1.88671875" customWidth="1"/>
    <col min="8" max="8" width="6.5546875" bestFit="1" customWidth="1"/>
    <col min="9" max="9" width="19.109375" customWidth="1"/>
    <col min="10" max="10" width="11.5546875" bestFit="1" customWidth="1"/>
    <col min="11" max="11" width="15.6640625" bestFit="1" customWidth="1"/>
    <col min="12" max="12" width="12.109375" bestFit="1" customWidth="1"/>
    <col min="13" max="13" width="16" customWidth="1"/>
    <col min="14" max="14" width="11.44140625" bestFit="1" customWidth="1"/>
    <col min="15" max="15" width="14.109375" bestFit="1" customWidth="1"/>
    <col min="16" max="16" width="7" bestFit="1" customWidth="1"/>
    <col min="17" max="17" width="11" customWidth="1"/>
    <col min="18" max="18" width="1.88671875" customWidth="1"/>
    <col min="19" max="19" width="6.6640625" customWidth="1"/>
    <col min="20" max="20" width="22.44140625" customWidth="1"/>
  </cols>
  <sheetData>
    <row r="1" spans="2:24" x14ac:dyDescent="0.3">
      <c r="G1" s="34"/>
      <c r="R1" s="34"/>
    </row>
    <row r="2" spans="2:24" x14ac:dyDescent="0.3">
      <c r="B2">
        <v>1</v>
      </c>
      <c r="C2" s="24" t="s">
        <v>10748</v>
      </c>
      <c r="G2" s="34"/>
      <c r="I2" s="24" t="s">
        <v>10754</v>
      </c>
      <c r="M2" s="24" t="s">
        <v>10755</v>
      </c>
      <c r="R2" s="34"/>
      <c r="T2" s="24" t="s">
        <v>12051</v>
      </c>
    </row>
    <row r="3" spans="2:24" x14ac:dyDescent="0.3">
      <c r="C3" s="3" t="s">
        <v>9795</v>
      </c>
      <c r="D3" s="3" t="s">
        <v>9796</v>
      </c>
      <c r="E3" s="3" t="s">
        <v>9803</v>
      </c>
      <c r="G3" s="34"/>
      <c r="I3" s="3" t="s">
        <v>9795</v>
      </c>
      <c r="J3" s="3" t="s">
        <v>9796</v>
      </c>
      <c r="K3" s="3" t="s">
        <v>9803</v>
      </c>
      <c r="M3" s="3" t="s">
        <v>9795</v>
      </c>
      <c r="N3" s="3" t="s">
        <v>9796</v>
      </c>
      <c r="O3" s="3" t="s">
        <v>9803</v>
      </c>
      <c r="R3" s="34"/>
      <c r="T3" s="3" t="s">
        <v>9795</v>
      </c>
      <c r="U3" s="3" t="s">
        <v>12052</v>
      </c>
      <c r="V3" s="3" t="s">
        <v>12053</v>
      </c>
      <c r="W3" s="3" t="s">
        <v>12054</v>
      </c>
      <c r="X3" s="3" t="s">
        <v>7419</v>
      </c>
    </row>
    <row r="4" spans="2:24" x14ac:dyDescent="0.3">
      <c r="C4" s="2" t="s">
        <v>9797</v>
      </c>
      <c r="D4" s="2">
        <f>COUNTIF('Data Angt'!$F$5:$F$5710,"&lt;17")</f>
        <v>9</v>
      </c>
      <c r="E4" s="4">
        <f>D4/$D$8</f>
        <v>1.5889830508474577E-3</v>
      </c>
      <c r="G4" s="34"/>
      <c r="I4" s="25" t="s">
        <v>10756</v>
      </c>
      <c r="J4" s="2">
        <f>COUNTIF(Pinjaman!$V$6:$V$1373,"&lt;24")</f>
        <v>30</v>
      </c>
      <c r="K4" s="4">
        <f>J4/$J$7</f>
        <v>2.1945866861741038E-2</v>
      </c>
      <c r="M4" s="32" t="s">
        <v>9828</v>
      </c>
      <c r="N4" s="2">
        <f>COUNTIF(Pinjaman!$W$6:$W$1373,M4)</f>
        <v>312</v>
      </c>
      <c r="O4" s="4">
        <f>N4/$N$10</f>
        <v>0.22807017543859648</v>
      </c>
      <c r="R4" s="34"/>
      <c r="T4" s="25" t="s">
        <v>10756</v>
      </c>
      <c r="U4" s="23">
        <f>COUNTIF(SSKA!$P$7:$P$466,"&lt;24")</f>
        <v>0</v>
      </c>
      <c r="V4" s="23">
        <f>COUNTIF(SJTA!$R$6:$R$331,"&lt;24")</f>
        <v>27</v>
      </c>
      <c r="W4" s="23">
        <f>COUNTIF(SPJ!$O$5:$O$136,"&lt;24")</f>
        <v>9</v>
      </c>
      <c r="X4" s="23">
        <f>COUNTIF(SMP!$O$6:$O$15,"&lt;24")</f>
        <v>0</v>
      </c>
    </row>
    <row r="5" spans="2:24" x14ac:dyDescent="0.3">
      <c r="C5" s="2" t="s">
        <v>9798</v>
      </c>
      <c r="D5" s="2">
        <f>COUNTIF('Data Angt'!$F$5:$F$5710,"&lt;24")-COUNTIF('Data Angt'!$F$5:$F$5710,"&lt;17")</f>
        <v>322</v>
      </c>
      <c r="E5" s="4">
        <f t="shared" ref="E5:E8" si="0">D5/$D$8</f>
        <v>5.6850282485875703E-2</v>
      </c>
      <c r="G5" s="34"/>
      <c r="I5" s="2" t="s">
        <v>9799</v>
      </c>
      <c r="J5" s="2">
        <f>COUNTIF(Pinjaman!$V$6:$V$1373,"&lt;=60")-COUNTIF(Pinjaman!$V$6:$V$1373,"&lt;24")</f>
        <v>1188</v>
      </c>
      <c r="K5" s="4">
        <f>J5/$J$7</f>
        <v>0.86905632772494512</v>
      </c>
      <c r="M5" s="32" t="s">
        <v>9830</v>
      </c>
      <c r="N5" s="2">
        <f>COUNTIF(Pinjaman!$W$6:$W$1373,M5)</f>
        <v>234</v>
      </c>
      <c r="O5" s="4">
        <f t="shared" ref="O5:O10" si="1">N5/$N$10</f>
        <v>0.17105263157894737</v>
      </c>
      <c r="R5" s="34"/>
      <c r="T5" s="2" t="s">
        <v>9799</v>
      </c>
      <c r="U5" s="23">
        <f>COUNTIF(SSKA!$P$7:$P$466,"&lt;=60")-COUNTIF(SSKA!$P$7:$P$466,"&lt;24")</f>
        <v>0</v>
      </c>
      <c r="V5" s="23">
        <f>COUNTIF(SJTA!$R$6:$R$331,"&lt;=60")-COUNTIF(SJTA!$R$6:$R$331,"&lt;24")</f>
        <v>215</v>
      </c>
      <c r="W5" s="23">
        <f>COUNTIF(SPJ!$O$5:$O$136,"&lt;=60")-COUNTIF(SPJ!$O$5:$O$136,"&lt;24")</f>
        <v>121</v>
      </c>
      <c r="X5" s="23">
        <f>COUNTIF(SMP!$O$6:$O$15,"&lt;=60")-COUNTIF(SMP!$O$6:$O$15,"&lt;24")</f>
        <v>8</v>
      </c>
    </row>
    <row r="6" spans="2:24" x14ac:dyDescent="0.3">
      <c r="C6" s="2" t="s">
        <v>9799</v>
      </c>
      <c r="D6" s="2">
        <f>COUNTIF('Data Angt'!$F$5:$F$5710,"&lt;=60")-COUNTIF('Data Angt'!$F$5:$F$5710,"&lt;24")</f>
        <v>4469</v>
      </c>
      <c r="E6" s="4">
        <f t="shared" si="0"/>
        <v>0.78901836158192096</v>
      </c>
      <c r="G6" s="34"/>
      <c r="I6" s="2" t="s">
        <v>9800</v>
      </c>
      <c r="J6" s="2">
        <f>COUNTIF(Pinjaman!$V$6:$V$1373,"&gt;60")</f>
        <v>149</v>
      </c>
      <c r="K6" s="4">
        <f>J6/$J$7</f>
        <v>0.10899780541331383</v>
      </c>
      <c r="M6" s="32" t="s">
        <v>17</v>
      </c>
      <c r="N6" s="2">
        <f>COUNTIF(Pinjaman!$W$6:$W$1373,M6)</f>
        <v>209</v>
      </c>
      <c r="O6" s="4">
        <f t="shared" si="1"/>
        <v>0.15277777777777779</v>
      </c>
      <c r="R6" s="34"/>
      <c r="T6" s="2" t="s">
        <v>9800</v>
      </c>
      <c r="U6" s="23">
        <f>COUNTIF(SSKA!$P$7:$P$466,"&gt;60")</f>
        <v>0</v>
      </c>
      <c r="V6" s="23">
        <f>COUNTIF(SJTA!$R$6:$R$331,"&gt;60")</f>
        <v>74</v>
      </c>
      <c r="W6" s="23">
        <f>COUNTIF(SPJ!$O$5:$O$136,"&gt;60")</f>
        <v>2</v>
      </c>
      <c r="X6" s="23">
        <f>COUNTIF(SMP!$O$6:$O$15,"&gt;60")</f>
        <v>2</v>
      </c>
    </row>
    <row r="7" spans="2:24" x14ac:dyDescent="0.3">
      <c r="C7" s="2" t="s">
        <v>9800</v>
      </c>
      <c r="D7" s="2">
        <f>COUNTIF('Data Angt'!$F$5:$F$5710,"&gt;60")</f>
        <v>864</v>
      </c>
      <c r="E7" s="4">
        <f t="shared" si="0"/>
        <v>0.15254237288135594</v>
      </c>
      <c r="G7" s="34"/>
      <c r="I7" s="2" t="s">
        <v>9801</v>
      </c>
      <c r="J7" s="2">
        <f>SUM(J4:J6)</f>
        <v>1367</v>
      </c>
      <c r="K7" s="4">
        <f>J7/$J$7</f>
        <v>1</v>
      </c>
      <c r="M7" s="32" t="s">
        <v>9834</v>
      </c>
      <c r="N7" s="2">
        <f>COUNTIF(Pinjaman!$W$6:$W$1373,M7)</f>
        <v>529</v>
      </c>
      <c r="O7" s="4">
        <f t="shared" si="1"/>
        <v>0.38669590643274854</v>
      </c>
      <c r="R7" s="34"/>
      <c r="T7" s="2" t="s">
        <v>9801</v>
      </c>
      <c r="U7" s="2">
        <f>SUM(U4:U6)</f>
        <v>0</v>
      </c>
      <c r="V7" s="2">
        <f>SUM(V4:V6)</f>
        <v>316</v>
      </c>
      <c r="W7" s="2">
        <f t="shared" ref="W7:X7" si="2">SUM(W4:W6)</f>
        <v>132</v>
      </c>
      <c r="X7" s="2">
        <f t="shared" si="2"/>
        <v>10</v>
      </c>
    </row>
    <row r="8" spans="2:24" x14ac:dyDescent="0.3">
      <c r="C8" s="2" t="s">
        <v>9801</v>
      </c>
      <c r="D8" s="2">
        <f>SUM(D4:D7)</f>
        <v>5664</v>
      </c>
      <c r="E8" s="4">
        <f t="shared" si="0"/>
        <v>1</v>
      </c>
      <c r="G8" s="34"/>
      <c r="M8" s="32" t="s">
        <v>110</v>
      </c>
      <c r="N8" s="2">
        <f>COUNTIF(Pinjaman!$W$6:$W$1373,M8)</f>
        <v>16</v>
      </c>
      <c r="O8" s="4">
        <f t="shared" si="1"/>
        <v>1.1695906432748537E-2</v>
      </c>
      <c r="R8" s="34"/>
    </row>
    <row r="9" spans="2:24" x14ac:dyDescent="0.3">
      <c r="D9" s="1">
        <f>D8-COUNTIF('Data Angt'!B5:B5710,"&lt;&gt;0")</f>
        <v>-42</v>
      </c>
      <c r="G9" s="34"/>
      <c r="K9" s="31"/>
      <c r="M9" s="32" t="s">
        <v>10744</v>
      </c>
      <c r="N9" s="2">
        <f>COUNTIF(Pinjaman!$W$6:$W$1373,0)</f>
        <v>68</v>
      </c>
      <c r="O9" s="4">
        <f t="shared" si="1"/>
        <v>4.9707602339181284E-2</v>
      </c>
      <c r="R9" s="34"/>
    </row>
    <row r="10" spans="2:24" x14ac:dyDescent="0.3">
      <c r="G10" s="34"/>
      <c r="K10" s="31"/>
      <c r="M10" s="33" t="s">
        <v>9805</v>
      </c>
      <c r="N10" s="2">
        <f>SUM(N4:N9)</f>
        <v>1368</v>
      </c>
      <c r="O10" s="4">
        <f t="shared" si="1"/>
        <v>1</v>
      </c>
      <c r="R10" s="34"/>
      <c r="T10" s="3" t="s">
        <v>9804</v>
      </c>
      <c r="U10" s="3" t="s">
        <v>12052</v>
      </c>
      <c r="V10" s="3" t="s">
        <v>12053</v>
      </c>
      <c r="W10" s="3" t="s">
        <v>12054</v>
      </c>
      <c r="X10" s="3" t="s">
        <v>7419</v>
      </c>
    </row>
    <row r="11" spans="2:24" x14ac:dyDescent="0.3">
      <c r="B11">
        <v>2</v>
      </c>
      <c r="C11" s="24" t="s">
        <v>10749</v>
      </c>
      <c r="G11" s="34"/>
      <c r="K11" s="31"/>
      <c r="R11" s="34"/>
      <c r="T11" s="2" t="s">
        <v>9788</v>
      </c>
      <c r="U11" s="23">
        <f>COUNTIF(SSKA!$Q$7:$Q$466,Rekap!$T11)</f>
        <v>0</v>
      </c>
      <c r="V11" s="23">
        <f>COUNTIF(SJTA!$S$6:$S$331,T11)</f>
        <v>71</v>
      </c>
      <c r="W11" s="23">
        <f>COUNTIF(SPJ!$P$5:$P$136,T11)</f>
        <v>33</v>
      </c>
      <c r="X11" s="23">
        <f>COUNTIF(SMP!$P$6:$P$15,T11)</f>
        <v>4</v>
      </c>
    </row>
    <row r="12" spans="2:24" x14ac:dyDescent="0.3">
      <c r="C12" s="3" t="s">
        <v>9804</v>
      </c>
      <c r="D12" s="3" t="s">
        <v>9796</v>
      </c>
      <c r="E12" s="3" t="s">
        <v>9803</v>
      </c>
      <c r="G12" s="34"/>
      <c r="R12" s="34"/>
      <c r="T12" s="2" t="s">
        <v>46</v>
      </c>
      <c r="U12" s="23">
        <f>COUNTIF(SSKA!$Q$7:$Q$466,Rekap!$T12)</f>
        <v>0</v>
      </c>
      <c r="V12" s="23">
        <f>COUNTIF(SJTA!$S$6:$S$331,T12)</f>
        <v>42</v>
      </c>
      <c r="W12" s="23">
        <f>COUNTIF(SPJ!$P$5:$P$136,T12)</f>
        <v>28</v>
      </c>
      <c r="X12" s="23">
        <f>COUNTIF(SMP!$P$6:$P$15,T12)</f>
        <v>2</v>
      </c>
    </row>
    <row r="13" spans="2:24" x14ac:dyDescent="0.3">
      <c r="C13" s="56" t="s">
        <v>9788</v>
      </c>
      <c r="D13" s="2">
        <f>COUNTIF('Data Angt'!$H$5:$H$5710,C13)</f>
        <v>1583</v>
      </c>
      <c r="E13" s="4">
        <f>D13/$D$27</f>
        <v>0.29533582089552241</v>
      </c>
      <c r="G13" s="34"/>
      <c r="I13" s="24" t="s">
        <v>10750</v>
      </c>
      <c r="R13" s="34"/>
      <c r="T13" s="2" t="s">
        <v>337</v>
      </c>
      <c r="U13" s="23">
        <f>COUNTIF(SSKA!$Q$7:$Q$466,Rekap!$T13)</f>
        <v>0</v>
      </c>
      <c r="V13" s="23">
        <f>COUNTIF(SJTA!$S$6:$S$331,T13)</f>
        <v>25</v>
      </c>
      <c r="W13" s="53">
        <f>COUNTIF(SPJ!$P$5:$P$136,T13)</f>
        <v>12</v>
      </c>
      <c r="X13" s="23">
        <f>COUNTIF(SMP!$P$6:$P$15,T13)</f>
        <v>0</v>
      </c>
    </row>
    <row r="14" spans="2:24" x14ac:dyDescent="0.3">
      <c r="C14" s="56" t="s">
        <v>46</v>
      </c>
      <c r="D14" s="2">
        <f>COUNTIF('Data Angt'!$H$5:$H$5710,C14)</f>
        <v>1339</v>
      </c>
      <c r="E14" s="4">
        <f>D14/$D$27</f>
        <v>0.24981343283582089</v>
      </c>
      <c r="G14" s="34"/>
      <c r="I14" s="3" t="s">
        <v>9786</v>
      </c>
      <c r="J14" s="22" t="s">
        <v>9828</v>
      </c>
      <c r="K14" s="22" t="s">
        <v>9830</v>
      </c>
      <c r="L14" s="22" t="s">
        <v>17</v>
      </c>
      <c r="M14" s="22" t="s">
        <v>9834</v>
      </c>
      <c r="N14" s="22" t="s">
        <v>110</v>
      </c>
      <c r="O14" s="22" t="s">
        <v>10744</v>
      </c>
      <c r="P14" s="22" t="s">
        <v>9801</v>
      </c>
      <c r="R14" s="34"/>
      <c r="T14" s="2" t="s">
        <v>31</v>
      </c>
      <c r="U14" s="53">
        <f>COUNTIF(SSKA!$Q$7:$Q$466,Rekap!$T14)</f>
        <v>0</v>
      </c>
      <c r="V14" s="23">
        <f>COUNTIF(SJTA!$S$6:$S$331,T14)</f>
        <v>39</v>
      </c>
      <c r="W14" s="23">
        <f>COUNTIF(SPJ!$P$5:$P$136,T14)</f>
        <v>22</v>
      </c>
      <c r="X14" s="23">
        <f>COUNTIF(SMP!$P$6:$P$15,T14)</f>
        <v>0</v>
      </c>
    </row>
    <row r="15" spans="2:24" x14ac:dyDescent="0.3">
      <c r="C15" s="56" t="s">
        <v>337</v>
      </c>
      <c r="D15" s="2">
        <f>COUNTIF('Data Angt'!$H$5:$H$5710,C15)</f>
        <v>229</v>
      </c>
      <c r="E15" s="4">
        <f>D15/$D$27</f>
        <v>4.2723880597014922E-2</v>
      </c>
      <c r="G15" s="34"/>
      <c r="I15" s="2" t="s">
        <v>9797</v>
      </c>
      <c r="J15" s="23">
        <f>COUNTIFS(Pinjaman!$W$6:$W$1373,J$14,Pinjaman!$V$6:$V$1373,"&lt;17")</f>
        <v>0</v>
      </c>
      <c r="K15" s="23">
        <f>COUNTIFS(Pinjaman!$W$6:$W$1373,K$14,Pinjaman!$V$6:$V$1373,"&lt;17")</f>
        <v>0</v>
      </c>
      <c r="L15" s="23">
        <f>COUNTIFS(Pinjaman!$W$6:$W$1373,L$14,Pinjaman!$V$6:$V$1373,"&lt;17")</f>
        <v>0</v>
      </c>
      <c r="M15" s="23">
        <f>COUNTIFS(Pinjaman!$W$6:$W$1373,M$14,Pinjaman!$V$6:$V$1373,"&lt;17")</f>
        <v>0</v>
      </c>
      <c r="N15" s="23">
        <f>COUNTIFS(Pinjaman!$W$6:$W$1373,N$14,Pinjaman!$V$6:$V$1373,"&lt;17")</f>
        <v>0</v>
      </c>
      <c r="O15" s="23">
        <f>COUNTIFS(Pinjaman!W6:W1373,0,Pinjaman!V6:V1373,"&lt;17")</f>
        <v>0</v>
      </c>
      <c r="P15" s="23">
        <f>SUM(J15:O15)</f>
        <v>0</v>
      </c>
      <c r="R15" s="34"/>
      <c r="T15" s="2" t="s">
        <v>9785</v>
      </c>
      <c r="U15" s="23">
        <f>COUNTIF(SSKA!$Q$7:$Q$466,Rekap!$T15)</f>
        <v>0</v>
      </c>
      <c r="V15" s="23">
        <f>COUNTIF(SJTA!$S$6:$S$331,T15)</f>
        <v>37</v>
      </c>
      <c r="W15" s="23">
        <f>COUNTIF(SPJ!$P$5:$P$136,T15)</f>
        <v>14</v>
      </c>
      <c r="X15" s="23">
        <f>COUNTIF(SMP!$P$6:$P$15,T15)</f>
        <v>1</v>
      </c>
    </row>
    <row r="16" spans="2:24" x14ac:dyDescent="0.3">
      <c r="C16" s="56" t="s">
        <v>31</v>
      </c>
      <c r="D16" s="2">
        <f>COUNTIF('Data Angt'!$H$5:$H$5710,C16)</f>
        <v>839</v>
      </c>
      <c r="E16" s="4">
        <f>D16/$D$27</f>
        <v>0.15652985074626866</v>
      </c>
      <c r="G16" s="34"/>
      <c r="I16" s="2" t="s">
        <v>9798</v>
      </c>
      <c r="J16" s="23">
        <f>COUNTIFS(Pinjaman!$W$6:$W$1373,J$14,Pinjaman!$V$6:$V$1373,"&lt;24")-COUNTIFS(Pinjaman!$W$6:$W$1373,J$14,Pinjaman!$V$6:$V$1373,"&lt;17")</f>
        <v>14</v>
      </c>
      <c r="K16" s="23">
        <f>COUNTIFS(Pinjaman!$W$6:$W$1373,K$14,Pinjaman!$V$6:$V$1373,"&lt;24")-COUNTIFS(Pinjaman!$W$6:$W$1373,K$14,Pinjaman!$V$6:$V$1373,"&lt;17")</f>
        <v>6</v>
      </c>
      <c r="L16" s="23">
        <f>COUNTIFS(Pinjaman!$W$6:$W$1373,L$14,Pinjaman!$V$6:$V$1373,"&lt;24")-COUNTIFS(Pinjaman!$W$6:$W$1373,L$14,Pinjaman!$V$6:$V$1373,"&lt;17")</f>
        <v>3</v>
      </c>
      <c r="M16" s="23">
        <f>COUNTIFS(Pinjaman!$W$6:$W$1373,M$14,Pinjaman!$V$6:$V$1373,"&lt;24")-COUNTIFS(Pinjaman!$W$6:$W$1373,M$14,Pinjaman!$V$6:$V$1373,"&lt;17")</f>
        <v>7</v>
      </c>
      <c r="N16" s="23">
        <f>COUNTIFS(Pinjaman!$W$6:$W$1373,N$14,Pinjaman!$V$6:$V$1373,"&lt;24")-COUNTIFS(Pinjaman!$W$6:$W$1373,N$14,Pinjaman!$V$6:$V$1373,"&lt;17")</f>
        <v>0</v>
      </c>
      <c r="O16" s="23">
        <f>COUNTIFS(Pinjaman!W6:W1373,0,Pinjaman!V6:V1373,"&lt;24")-COUNTIFS(Pinjaman!W6:W1373,0,Pinjaman!V6:V1373,"&lt;17")</f>
        <v>0</v>
      </c>
      <c r="P16" s="23">
        <f t="shared" ref="P16:P19" si="3">SUM(J16:O16)</f>
        <v>30</v>
      </c>
      <c r="R16" s="34"/>
      <c r="T16" s="2" t="s">
        <v>9789</v>
      </c>
      <c r="U16" s="23">
        <f>COUNTIF(SSKA!$Q$7:$Q$466,Rekap!$T16)</f>
        <v>0</v>
      </c>
      <c r="V16" s="23">
        <f>COUNTIF(SJTA!$S$6:$S$331,T16)</f>
        <v>17</v>
      </c>
      <c r="W16" s="23">
        <f>COUNTIF(SPJ!$P$5:$P$136,T16)</f>
        <v>4</v>
      </c>
      <c r="X16" s="23">
        <f>COUNTIF(SMP!$P$6:$P$15,T16)</f>
        <v>0</v>
      </c>
    </row>
    <row r="17" spans="2:24" x14ac:dyDescent="0.3">
      <c r="C17" s="56" t="s">
        <v>9785</v>
      </c>
      <c r="D17" s="2">
        <f>COUNTIF('Data Angt'!$H$5:$H$5710,C17)</f>
        <v>448</v>
      </c>
      <c r="E17" s="4">
        <f>D17/$D$27</f>
        <v>8.3582089552238809E-2</v>
      </c>
      <c r="G17" s="34"/>
      <c r="I17" s="2" t="s">
        <v>9799</v>
      </c>
      <c r="J17" s="23">
        <f>COUNTIFS(Pinjaman!$W$6:$W$1373,J$14,Pinjaman!$V$6:$V$1373,"&lt;=60")-COUNTIFS(Pinjaman!$W$6:$W$1373,J$14,Pinjaman!$V$6:$V$1373,"&lt;24")</f>
        <v>260</v>
      </c>
      <c r="K17" s="23">
        <f>COUNTIFS(Pinjaman!$W$6:$W$1373,K$14,Pinjaman!$V$6:$V$1373,"&lt;=60")-COUNTIFS(Pinjaman!$W$6:$W$1373,K$14,Pinjaman!$V$6:$V$1373,"&lt;24")</f>
        <v>198</v>
      </c>
      <c r="L17" s="23">
        <f>COUNTIFS(Pinjaman!$W$6:$W$1373,L$14,Pinjaman!$V$6:$V$1373,"&lt;=60")-COUNTIFS(Pinjaman!$W$6:$W$1373,L$14,Pinjaman!$V$6:$V$1373,"&lt;24")</f>
        <v>196</v>
      </c>
      <c r="M17" s="23">
        <f>COUNTIFS(Pinjaman!$W$6:$W$1373,M$14,Pinjaman!$V$6:$V$1373,"&lt;=60")-COUNTIFS(Pinjaman!$W$6:$W$1373,M$14,Pinjaman!$V$6:$V$1373,"&lt;24")</f>
        <v>464</v>
      </c>
      <c r="N17" s="23">
        <f>COUNTIFS(Pinjaman!$W$6:$W$1373,N$14,Pinjaman!$V$6:$V$1373,"&lt;=60")-COUNTIFS(Pinjaman!$W$6:$W$1373,N$14,Pinjaman!$V$6:$V$1373,"&lt;24")</f>
        <v>13</v>
      </c>
      <c r="O17" s="23">
        <f>COUNTIFS(Pinjaman!W6:W1373,0,Pinjaman!V6:V1373,"&lt;=60")-COUNTIFS(Pinjaman!W6:W1373,0,Pinjaman!V6:V1373,"&lt;24")</f>
        <v>57</v>
      </c>
      <c r="P17" s="23">
        <f t="shared" si="3"/>
        <v>1188</v>
      </c>
      <c r="R17" s="34"/>
      <c r="T17" s="2" t="s">
        <v>9790</v>
      </c>
      <c r="U17" s="23">
        <f>COUNTIF(SSKA!$Q$7:$Q$466,Rekap!$T17)</f>
        <v>0</v>
      </c>
      <c r="V17" s="23">
        <f>COUNTIF(SJTA!$S$6:$S$331,T17)</f>
        <v>0</v>
      </c>
      <c r="W17" s="23">
        <f>COUNTIF(SPJ!$P$5:$P$136,T17)</f>
        <v>0</v>
      </c>
      <c r="X17" s="23">
        <f>COUNTIF(SMP!$P$6:$P$15,T17)</f>
        <v>0</v>
      </c>
    </row>
    <row r="18" spans="2:24" x14ac:dyDescent="0.3">
      <c r="C18" s="56" t="s">
        <v>12065</v>
      </c>
      <c r="D18" s="2"/>
      <c r="E18" s="4"/>
      <c r="G18" s="34"/>
      <c r="I18" s="2" t="s">
        <v>9800</v>
      </c>
      <c r="J18" s="23">
        <f>COUNTIFS(Pinjaman!$W$6:$W$1373,J$14,Pinjaman!$V$6:$V$1373,"&gt;60")</f>
        <v>38</v>
      </c>
      <c r="K18" s="23">
        <f>COUNTIFS(Pinjaman!$W$6:$W$1373,K$14,Pinjaman!$V$6:$V$1373,"&gt;60")</f>
        <v>30</v>
      </c>
      <c r="L18" s="23">
        <f>COUNTIFS(Pinjaman!$W$6:$W$1373,L$14,Pinjaman!$V$6:$V$1373,"&gt;60")</f>
        <v>10</v>
      </c>
      <c r="M18" s="23">
        <f>COUNTIFS(Pinjaman!$W$6:$W$1373,M$14,Pinjaman!$V$6:$V$1373,"&gt;60")</f>
        <v>57</v>
      </c>
      <c r="N18" s="23">
        <f>COUNTIFS(Pinjaman!$W$6:$W$1373,N$14,Pinjaman!$V$6:$V$1373,"&gt;60")</f>
        <v>3</v>
      </c>
      <c r="O18" s="23">
        <f>COUNTIFS(Pinjaman!W6:W1373,0,Pinjaman!V6:V1373,"&gt;60")</f>
        <v>11</v>
      </c>
      <c r="P18" s="23">
        <f t="shared" si="3"/>
        <v>149</v>
      </c>
      <c r="R18" s="34"/>
      <c r="T18" s="2" t="s">
        <v>13</v>
      </c>
      <c r="U18" s="23">
        <f>COUNTIF(SSKA!$Q$7:$Q$466,Rekap!$T18)</f>
        <v>0</v>
      </c>
      <c r="V18" s="23">
        <f>COUNTIF(SJTA!$S$6:$S$331,T18)</f>
        <v>32</v>
      </c>
      <c r="W18" s="23">
        <f>COUNTIF(SPJ!$P$5:$P$136,T18)</f>
        <v>4</v>
      </c>
      <c r="X18" s="23">
        <f>COUNTIF(SMP!$P$6:$P$15,T18)</f>
        <v>1</v>
      </c>
    </row>
    <row r="19" spans="2:24" x14ac:dyDescent="0.3">
      <c r="C19" s="2" t="s">
        <v>9789</v>
      </c>
      <c r="D19" s="2">
        <f>COUNTIF('Data Angt'!$H$5:$H$5710,C19)</f>
        <v>245</v>
      </c>
      <c r="E19" s="4">
        <f t="shared" ref="E19:E27" si="4">D19/$D$27</f>
        <v>4.5708955223880597E-2</v>
      </c>
      <c r="G19" s="34"/>
      <c r="I19" s="2" t="s">
        <v>9801</v>
      </c>
      <c r="J19" s="23">
        <f>SUM(J15:J18)</f>
        <v>312</v>
      </c>
      <c r="K19" s="23">
        <f t="shared" ref="K19:O19" si="5">SUM(K15:K18)</f>
        <v>234</v>
      </c>
      <c r="L19" s="23">
        <f t="shared" si="5"/>
        <v>209</v>
      </c>
      <c r="M19" s="23">
        <f t="shared" si="5"/>
        <v>528</v>
      </c>
      <c r="N19" s="23">
        <f t="shared" si="5"/>
        <v>16</v>
      </c>
      <c r="O19" s="23">
        <f t="shared" si="5"/>
        <v>68</v>
      </c>
      <c r="P19" s="23">
        <f t="shared" si="3"/>
        <v>1367</v>
      </c>
      <c r="R19" s="34"/>
      <c r="T19" s="2" t="s">
        <v>9791</v>
      </c>
      <c r="U19" s="23">
        <f>COUNTIF(SSKA!$Q$7:$Q$466,Rekap!$T19)</f>
        <v>0</v>
      </c>
      <c r="V19" s="23">
        <f>COUNTIF(SJTA!$S$6:$S$331,T19)</f>
        <v>13</v>
      </c>
      <c r="W19" s="23">
        <f>COUNTIF(SPJ!$P$5:$P$136,T19)</f>
        <v>0</v>
      </c>
      <c r="X19" s="23">
        <f>COUNTIF(SMP!$P$6:$P$15,T19)</f>
        <v>0</v>
      </c>
    </row>
    <row r="20" spans="2:24" x14ac:dyDescent="0.3">
      <c r="C20" s="56" t="s">
        <v>9790</v>
      </c>
      <c r="D20" s="2">
        <f>COUNTIF('Data Angt'!$H$5:$H$5710,C20)</f>
        <v>0</v>
      </c>
      <c r="E20" s="4">
        <f t="shared" si="4"/>
        <v>0</v>
      </c>
      <c r="G20" s="34"/>
      <c r="R20" s="34"/>
      <c r="T20" s="2" t="s">
        <v>9793</v>
      </c>
      <c r="U20" s="23">
        <f>COUNTIF(SSKA!$Q$7:$Q$466,Rekap!$T20)</f>
        <v>0</v>
      </c>
      <c r="V20" s="23">
        <f>COUNTIF(SJTA!$S$6:$S$331,T20)</f>
        <v>0</v>
      </c>
      <c r="W20" s="23">
        <f>COUNTIF(SPJ!$P$5:$P$136,T20)</f>
        <v>0</v>
      </c>
      <c r="X20" s="23">
        <f>COUNTIF(SMP!$P$6:$P$15,T20)</f>
        <v>0</v>
      </c>
    </row>
    <row r="21" spans="2:24" x14ac:dyDescent="0.3">
      <c r="C21" s="56" t="s">
        <v>13</v>
      </c>
      <c r="D21" s="2">
        <f>COUNTIF('Data Angt'!$H$5:$H$5710,C21)</f>
        <v>221</v>
      </c>
      <c r="E21" s="4">
        <f t="shared" si="4"/>
        <v>4.1231343283582092E-2</v>
      </c>
      <c r="G21" s="34"/>
      <c r="O21" s="21"/>
      <c r="R21" s="34"/>
      <c r="T21" s="2" t="s">
        <v>9787</v>
      </c>
      <c r="U21" s="23">
        <f>COUNTIF(SSKA!$Q$7:$Q$466,Rekap!$T21)</f>
        <v>0</v>
      </c>
      <c r="V21" s="23">
        <f>COUNTIF(SJTA!$S$6:$S$331,T21)</f>
        <v>1</v>
      </c>
      <c r="W21" s="23">
        <f>COUNTIF(SPJ!$P$5:$P$136,T21)</f>
        <v>0</v>
      </c>
      <c r="X21" s="23">
        <f>COUNTIF(SMP!$P$6:$P$15,T21)</f>
        <v>0</v>
      </c>
    </row>
    <row r="22" spans="2:24" x14ac:dyDescent="0.3">
      <c r="C22" s="56" t="s">
        <v>9791</v>
      </c>
      <c r="D22" s="2">
        <f>COUNTIF('Data Angt'!$H$5:$H$5710,C22)</f>
        <v>53</v>
      </c>
      <c r="E22" s="4">
        <f t="shared" si="4"/>
        <v>9.8880597014925371E-3</v>
      </c>
      <c r="G22" s="34"/>
      <c r="I22" s="24" t="s">
        <v>10751</v>
      </c>
      <c r="R22" s="34"/>
      <c r="T22" s="2" t="s">
        <v>9794</v>
      </c>
      <c r="U22" s="23">
        <f>COUNTIF(SSKA!$Q$7:$Q$466,Rekap!$T22)</f>
        <v>0</v>
      </c>
      <c r="V22" s="23">
        <f>COUNTIF(SJTA!$S$6:$S$331,T22)</f>
        <v>5</v>
      </c>
      <c r="W22" s="23">
        <f>COUNTIF(SPJ!$P$5:$P$136,T22)</f>
        <v>1</v>
      </c>
      <c r="X22" s="23">
        <f>COUNTIF(SMP!$P$6:$P$15,T22)</f>
        <v>0</v>
      </c>
    </row>
    <row r="23" spans="2:24" x14ac:dyDescent="0.3">
      <c r="C23" s="56" t="s">
        <v>9793</v>
      </c>
      <c r="D23" s="2">
        <f>COUNTIF('Data Angt'!$H$5:$H$5710,C23)</f>
        <v>0</v>
      </c>
      <c r="E23" s="4">
        <f t="shared" si="4"/>
        <v>0</v>
      </c>
      <c r="G23" s="34"/>
      <c r="I23" s="3" t="s">
        <v>9804</v>
      </c>
      <c r="J23" s="22" t="s">
        <v>9828</v>
      </c>
      <c r="K23" s="22" t="s">
        <v>9830</v>
      </c>
      <c r="L23" s="22" t="s">
        <v>17</v>
      </c>
      <c r="M23" s="22" t="s">
        <v>9834</v>
      </c>
      <c r="N23" s="22" t="s">
        <v>110</v>
      </c>
      <c r="O23" s="22" t="s">
        <v>10744</v>
      </c>
      <c r="P23" s="22" t="s">
        <v>9801</v>
      </c>
      <c r="R23" s="34"/>
      <c r="T23" s="2" t="s">
        <v>9802</v>
      </c>
      <c r="U23" s="23">
        <f>COUNTIF(SSKA!$Q$7:$Q$466,0)</f>
        <v>0</v>
      </c>
      <c r="V23" s="23">
        <f>COUNTIF(SJTA!$S$6:$S$331,0)</f>
        <v>11</v>
      </c>
      <c r="W23" s="23">
        <f>COUNTIF(SPJ!$P$5:$P$136,0)</f>
        <v>1</v>
      </c>
      <c r="X23" s="23">
        <f>COUNTIF(SMP!$P$6:$P$15,0)</f>
        <v>0</v>
      </c>
    </row>
    <row r="24" spans="2:24" x14ac:dyDescent="0.3">
      <c r="C24" s="56" t="s">
        <v>9787</v>
      </c>
      <c r="D24" s="2">
        <f>COUNTIF('Data Angt'!$H$5:$H$5710,C24)</f>
        <v>20</v>
      </c>
      <c r="E24" s="4">
        <f t="shared" si="4"/>
        <v>3.7313432835820895E-3</v>
      </c>
      <c r="G24" s="34"/>
      <c r="I24" s="2" t="s">
        <v>9788</v>
      </c>
      <c r="J24" s="23">
        <f>COUNTIFS(Pinjaman!$W$6:$W$1373,J$23,Pinjaman!$X$6:$X$1373,$I24)</f>
        <v>110</v>
      </c>
      <c r="K24" s="23">
        <f>COUNTIFS(Pinjaman!$W$6:$W$1373,K$23,Pinjaman!$X$6:$X$1373,$I24)</f>
        <v>100</v>
      </c>
      <c r="L24" s="23">
        <f>COUNTIFS(Pinjaman!$W$6:$W$1373,L$23,Pinjaman!$X$6:$X$1373,$I24)</f>
        <v>58</v>
      </c>
      <c r="M24" s="23">
        <f>COUNTIFS(Pinjaman!$W$6:$W$1373,M$23,Pinjaman!$X$6:$X$1373,$I24)</f>
        <v>102</v>
      </c>
      <c r="N24" s="23">
        <f>COUNTIFS(Pinjaman!$W$6:$W$1373,N$23,Pinjaman!$X$6:$X$1373,$I24)</f>
        <v>5</v>
      </c>
      <c r="O24" s="23">
        <f>COUNTIFS(Pinjaman!$W$6:$W$1373,0,Pinjaman!$X$6:$X$1373,$I24)</f>
        <v>15</v>
      </c>
      <c r="P24" s="23">
        <f>SUM(J24:O24)</f>
        <v>390</v>
      </c>
      <c r="R24" s="34"/>
      <c r="T24" s="3" t="s">
        <v>9805</v>
      </c>
      <c r="U24" s="23">
        <f>SUM(U11:U23)</f>
        <v>0</v>
      </c>
      <c r="V24" s="23">
        <f t="shared" ref="V24:X24" si="6">SUM(V11:V23)</f>
        <v>293</v>
      </c>
      <c r="W24" s="23">
        <f t="shared" si="6"/>
        <v>119</v>
      </c>
      <c r="X24" s="23">
        <f t="shared" si="6"/>
        <v>8</v>
      </c>
    </row>
    <row r="25" spans="2:24" x14ac:dyDescent="0.3">
      <c r="C25" s="56" t="s">
        <v>9794</v>
      </c>
      <c r="D25" s="2">
        <f>COUNTIF('Data Angt'!$H$5:$H$5710,C25)</f>
        <v>86</v>
      </c>
      <c r="E25" s="4">
        <f t="shared" si="4"/>
        <v>1.6044776119402984E-2</v>
      </c>
      <c r="G25" s="34"/>
      <c r="I25" s="2" t="s">
        <v>46</v>
      </c>
      <c r="J25" s="23">
        <f>COUNTIFS(Pinjaman!$W$6:$W$1373,J$23,Pinjaman!$X$6:$X$1373,$I25)</f>
        <v>56</v>
      </c>
      <c r="K25" s="23">
        <f>COUNTIFS(Pinjaman!$W$6:$W$1373,K$23,Pinjaman!$X$6:$X$1373,$I25)</f>
        <v>41</v>
      </c>
      <c r="L25" s="23">
        <f>COUNTIFS(Pinjaman!$W$6:$W$1373,L$23,Pinjaman!$X$6:$X$1373,$I25)</f>
        <v>45</v>
      </c>
      <c r="M25" s="23">
        <f>COUNTIFS(Pinjaman!$W$6:$W$1373,M$23,Pinjaman!$X$6:$X$1373,$I25)</f>
        <v>241</v>
      </c>
      <c r="N25" s="23">
        <f>COUNTIFS(Pinjaman!$W$6:$W$1373,N$23,Pinjaman!$X$6:$X$1373,$I25)</f>
        <v>4</v>
      </c>
      <c r="O25" s="23">
        <f>COUNTIFS(Pinjaman!$W$6:$W$1373,0,Pinjaman!$X$6:$X$1373,$I25)</f>
        <v>27</v>
      </c>
      <c r="P25" s="23">
        <f t="shared" ref="P25" si="7">SUM(J25:O25)</f>
        <v>414</v>
      </c>
      <c r="R25" s="34"/>
    </row>
    <row r="26" spans="2:24" x14ac:dyDescent="0.3">
      <c r="C26" s="2" t="s">
        <v>9802</v>
      </c>
      <c r="D26" s="2">
        <f>COUNTIF('Data Angt'!$H$5:$H$5710,"")</f>
        <v>297</v>
      </c>
      <c r="E26" s="4">
        <f t="shared" si="4"/>
        <v>5.5410447761194033E-2</v>
      </c>
      <c r="G26" s="34"/>
      <c r="I26" s="2" t="s">
        <v>337</v>
      </c>
      <c r="J26" s="23">
        <f>COUNTIFS(Pinjaman!$W$6:$W$1373,J$23,Pinjaman!$X$6:$X$1373,$I26)</f>
        <v>4</v>
      </c>
      <c r="K26" s="23">
        <f>COUNTIFS(Pinjaman!$W$6:$W$1373,K$23,Pinjaman!$X$6:$X$1373,$I26)</f>
        <v>0</v>
      </c>
      <c r="L26" s="23">
        <f>COUNTIFS(Pinjaman!$W$6:$W$1373,L$23,Pinjaman!$X$6:$X$1373,$I26)</f>
        <v>1</v>
      </c>
      <c r="M26" s="23">
        <f>COUNTIFS(Pinjaman!$W$6:$W$1373,M$23,Pinjaman!$X$6:$X$1373,$I26)</f>
        <v>4</v>
      </c>
      <c r="N26" s="23">
        <f>COUNTIFS(Pinjaman!$W$6:$W$1373,N$23,Pinjaman!$X$6:$X$1373,$I26)</f>
        <v>0</v>
      </c>
      <c r="O26" s="23">
        <f>COUNTIFS(Pinjaman!$W$6:$W$1373,0,Pinjaman!$X$6:$X$1373,$I26)</f>
        <v>0</v>
      </c>
      <c r="P26" s="23">
        <f t="shared" ref="P26:P36" si="8">SUM(J26:O26)</f>
        <v>9</v>
      </c>
      <c r="R26" s="34"/>
      <c r="S26" s="3" t="s">
        <v>9795</v>
      </c>
      <c r="T26" s="3" t="s">
        <v>9804</v>
      </c>
      <c r="U26" s="3" t="s">
        <v>12052</v>
      </c>
      <c r="V26" s="3" t="s">
        <v>12053</v>
      </c>
      <c r="W26" s="3" t="s">
        <v>12054</v>
      </c>
      <c r="X26" s="3" t="s">
        <v>7419</v>
      </c>
    </row>
    <row r="27" spans="2:24" x14ac:dyDescent="0.3">
      <c r="C27" s="3" t="s">
        <v>9805</v>
      </c>
      <c r="D27" s="2">
        <f>SUM(D13:D26)</f>
        <v>5360</v>
      </c>
      <c r="E27" s="4">
        <f t="shared" si="4"/>
        <v>1</v>
      </c>
      <c r="G27" s="34"/>
      <c r="I27" s="2" t="s">
        <v>31</v>
      </c>
      <c r="J27" s="23">
        <f>COUNTIFS(Pinjaman!$W$6:$W$1373,J$23,Pinjaman!$X$6:$X$1373,$I27)</f>
        <v>46</v>
      </c>
      <c r="K27" s="23">
        <f>COUNTIFS(Pinjaman!$W$6:$W$1373,K$23,Pinjaman!$X$6:$X$1373,$I27)</f>
        <v>25</v>
      </c>
      <c r="L27" s="23">
        <f>COUNTIFS(Pinjaman!$W$6:$W$1373,L$23,Pinjaman!$X$6:$X$1373,$I27)</f>
        <v>26</v>
      </c>
      <c r="M27" s="23">
        <f>COUNTIFS(Pinjaman!$W$6:$W$1373,M$23,Pinjaman!$X$6:$X$1373,$I27)</f>
        <v>71</v>
      </c>
      <c r="N27" s="23">
        <f>COUNTIFS(Pinjaman!$W$6:$W$1373,N$23,Pinjaman!$X$6:$X$1373,$I27)</f>
        <v>3</v>
      </c>
      <c r="O27" s="23">
        <f>COUNTIFS(Pinjaman!$W$6:$W$1373,0,Pinjaman!$X$6:$X$1373,$I27)</f>
        <v>13</v>
      </c>
      <c r="P27" s="23">
        <f t="shared" si="8"/>
        <v>184</v>
      </c>
      <c r="R27" s="34"/>
      <c r="S27" s="285" t="s">
        <v>10756</v>
      </c>
      <c r="T27" s="2" t="s">
        <v>9788</v>
      </c>
      <c r="U27" s="23">
        <f>COUNTIFS(SSKA!$Q$7:$Q$466,Rekap!$T27,SSKA!$P$7:$P$466,"&lt;24")</f>
        <v>0</v>
      </c>
      <c r="V27" s="23">
        <f>COUNTIFS(SJTA!$S$6:$S$331,T27,SJTA!$R$6:$R$331,"&lt;24")</f>
        <v>1</v>
      </c>
      <c r="W27" s="23">
        <f>COUNTIFS(SPJ!$P$5:$P$136,T27,SPJ!O$5:O$136,"&lt;24")</f>
        <v>0</v>
      </c>
      <c r="X27" s="23">
        <f>COUNTIFS(SMP!$P$6:$P$15,T27,SMP!$O$6:$O$15,"&lt;24")</f>
        <v>0</v>
      </c>
    </row>
    <row r="28" spans="2:24" x14ac:dyDescent="0.3">
      <c r="G28" s="34"/>
      <c r="I28" s="2" t="s">
        <v>9785</v>
      </c>
      <c r="J28" s="23">
        <f>COUNTIFS(Pinjaman!$W$6:$W$1373,J$23,Pinjaman!$X$6:$X$1373,$I28)</f>
        <v>33</v>
      </c>
      <c r="K28" s="23">
        <f>COUNTIFS(Pinjaman!$W$6:$W$1373,K$23,Pinjaman!$X$6:$X$1373,$I28)</f>
        <v>20</v>
      </c>
      <c r="L28" s="23">
        <f>COUNTIFS(Pinjaman!$W$6:$W$1373,L$23,Pinjaman!$X$6:$X$1373,$I28)</f>
        <v>34</v>
      </c>
      <c r="M28" s="23">
        <f>COUNTIFS(Pinjaman!$W$6:$W$1373,M$23,Pinjaman!$X$6:$X$1373,$I28)</f>
        <v>33</v>
      </c>
      <c r="N28" s="23">
        <f>COUNTIFS(Pinjaman!$W$6:$W$1373,N$23,Pinjaman!$X$6:$X$1373,$I28)</f>
        <v>0</v>
      </c>
      <c r="O28" s="23">
        <f>COUNTIFS(Pinjaman!$W$6:$W$1373,0,Pinjaman!$X$6:$X$1373,$I28)</f>
        <v>4</v>
      </c>
      <c r="P28" s="23">
        <f t="shared" ref="P28:P35" si="9">SUM(J28:O28)</f>
        <v>124</v>
      </c>
      <c r="R28" s="34"/>
      <c r="S28" s="285"/>
      <c r="T28" s="2" t="s">
        <v>46</v>
      </c>
      <c r="U28" s="23">
        <f>COUNTIFS(SSKA!$Q$7:$Q$466,Rekap!$T28,SSKA!$P$7:$P$466,"&lt;24")</f>
        <v>0</v>
      </c>
      <c r="V28" s="23">
        <f>COUNTIFS(SJTA!$S$6:$S$331,T28,SJTA!$R$6:$R$331,"&lt;24")</f>
        <v>0</v>
      </c>
      <c r="W28" s="23">
        <f>COUNTIFS(SPJ!$P$5:$P$136,T28,SPJ!O$5:O$136,"&lt;24")</f>
        <v>0</v>
      </c>
      <c r="X28" s="23">
        <f>COUNTIFS(SMP!$P$6:$P$15,T28,SMP!$O$6:$O$15,"&lt;24")</f>
        <v>0</v>
      </c>
    </row>
    <row r="29" spans="2:24" x14ac:dyDescent="0.3">
      <c r="B29" s="283" t="s">
        <v>10752</v>
      </c>
      <c r="C29" s="283"/>
      <c r="D29" s="283"/>
      <c r="E29" s="283"/>
      <c r="G29" s="34"/>
      <c r="I29" s="2" t="s">
        <v>9789</v>
      </c>
      <c r="J29" s="23">
        <f>COUNTIFS(Pinjaman!$W$6:$W$1373,J$23,Pinjaman!$X$6:$X$1373,$I29)</f>
        <v>22</v>
      </c>
      <c r="K29" s="23">
        <f>COUNTIFS(Pinjaman!$W$6:$W$1373,K$23,Pinjaman!$X$6:$X$1373,$I29)</f>
        <v>19</v>
      </c>
      <c r="L29" s="23">
        <f>COUNTIFS(Pinjaman!$W$6:$W$1373,L$23,Pinjaman!$X$6:$X$1373,$I29)</f>
        <v>15</v>
      </c>
      <c r="M29" s="23">
        <f>COUNTIFS(Pinjaman!$W$6:$W$1373,M$23,Pinjaman!$X$6:$X$1373,$I29)</f>
        <v>25</v>
      </c>
      <c r="N29" s="23">
        <f>COUNTIFS(Pinjaman!$W$6:$W$1373,N$23,Pinjaman!$X$6:$X$1373,$I29)</f>
        <v>2</v>
      </c>
      <c r="O29" s="23">
        <f>COUNTIFS(Pinjaman!$W$6:$W$1373,0,Pinjaman!$X$6:$X$1373,$I29)</f>
        <v>3</v>
      </c>
      <c r="P29" s="23">
        <f t="shared" si="9"/>
        <v>86</v>
      </c>
      <c r="R29" s="34"/>
      <c r="S29" s="285"/>
      <c r="T29" s="2" t="s">
        <v>337</v>
      </c>
      <c r="U29" s="23">
        <f>COUNTIFS(SSKA!$Q$7:$Q$466,Rekap!$T29,SSKA!$P$7:$P$466,"&lt;24")</f>
        <v>0</v>
      </c>
      <c r="V29" s="23">
        <f>COUNTIFS(SJTA!$S$6:$S$331,T29,SJTA!$R$6:$R$331,"&lt;24")</f>
        <v>22</v>
      </c>
      <c r="W29" s="23">
        <f>COUNTIFS(SPJ!$P$5:$P$136,T29,SPJ!O$5:O$136,"&lt;24")</f>
        <v>9</v>
      </c>
      <c r="X29" s="23">
        <f>COUNTIFS(SMP!$P$6:$P$15,T29,SMP!$O$6:$O$15,"&lt;24")</f>
        <v>0</v>
      </c>
    </row>
    <row r="30" spans="2:24" x14ac:dyDescent="0.3">
      <c r="B30" s="25" t="s">
        <v>9786</v>
      </c>
      <c r="C30" s="3" t="s">
        <v>9804</v>
      </c>
      <c r="D30" s="3" t="s">
        <v>9796</v>
      </c>
      <c r="E30" s="3" t="s">
        <v>9803</v>
      </c>
      <c r="G30" s="34"/>
      <c r="I30" s="2" t="s">
        <v>9790</v>
      </c>
      <c r="J30" s="23">
        <f>COUNTIFS(Pinjaman!$W$6:$W$1373,J$23,Pinjaman!$X$6:$X$1373,$I30)</f>
        <v>0</v>
      </c>
      <c r="K30" s="23">
        <f>COUNTIFS(Pinjaman!$W$6:$W$1373,K$23,Pinjaman!$X$6:$X$1373,$I30)</f>
        <v>0</v>
      </c>
      <c r="L30" s="23">
        <f>COUNTIFS(Pinjaman!$W$6:$W$1373,L$23,Pinjaman!$X$6:$X$1373,$I30)</f>
        <v>0</v>
      </c>
      <c r="M30" s="23">
        <f>COUNTIFS(Pinjaman!$W$6:$W$1373,M$23,Pinjaman!$X$6:$X$1373,$I30)</f>
        <v>0</v>
      </c>
      <c r="N30" s="23">
        <f>COUNTIFS(Pinjaman!$W$6:$W$1373,N$23,Pinjaman!$X$6:$X$1373,$I30)</f>
        <v>0</v>
      </c>
      <c r="O30" s="23">
        <f>COUNTIFS(Pinjaman!$W$6:$W$1373,0,Pinjaman!$X$6:$X$1373,$I30)</f>
        <v>0</v>
      </c>
      <c r="P30" s="23">
        <f t="shared" si="9"/>
        <v>0</v>
      </c>
      <c r="R30" s="34"/>
      <c r="S30" s="285"/>
      <c r="T30" s="2" t="s">
        <v>31</v>
      </c>
      <c r="U30" s="23">
        <f>COUNTIFS(SSKA!$Q$7:$Q$466,Rekap!$T30,SSKA!$P$7:$P$466,"&lt;24")</f>
        <v>0</v>
      </c>
      <c r="V30" s="23">
        <f>COUNTIFS(SJTA!$S$6:$S$331,T30,SJTA!$R$6:$R$331,"&lt;24")</f>
        <v>0</v>
      </c>
      <c r="W30" s="23">
        <f>COUNTIFS(SPJ!$P$5:$P$136,T30,SPJ!O$5:O$136,"&lt;24")</f>
        <v>0</v>
      </c>
      <c r="X30" s="23">
        <f>COUNTIFS(SMP!$P$6:$P$15,T30,SMP!$O$6:$O$15,"&lt;24")</f>
        <v>0</v>
      </c>
    </row>
    <row r="31" spans="2:24" x14ac:dyDescent="0.3">
      <c r="B31" s="284" t="s">
        <v>9797</v>
      </c>
      <c r="C31" s="2" t="s">
        <v>9788</v>
      </c>
      <c r="D31" s="23">
        <f>COUNTIFS('Data Angt'!$H$5:$H$5710,C31,'Data Angt'!$F$5:$F$5710,"&lt;17")</f>
        <v>1</v>
      </c>
      <c r="E31" s="4">
        <f t="shared" ref="E31:E62" si="10">D31/$D$27</f>
        <v>1.8656716417910448E-4</v>
      </c>
      <c r="G31" s="34"/>
      <c r="I31" s="2" t="s">
        <v>13</v>
      </c>
      <c r="J31" s="23">
        <f>COUNTIFS(Pinjaman!$W$6:$W$1373,J$23,Pinjaman!$X$6:$X$1373,$I31)</f>
        <v>19</v>
      </c>
      <c r="K31" s="23">
        <f>COUNTIFS(Pinjaman!$W$6:$W$1373,K$23,Pinjaman!$X$6:$X$1373,$I31)</f>
        <v>10</v>
      </c>
      <c r="L31" s="23">
        <f>COUNTIFS(Pinjaman!$W$6:$W$1373,L$23,Pinjaman!$X$6:$X$1373,$I31)</f>
        <v>6</v>
      </c>
      <c r="M31" s="23">
        <f>COUNTIFS(Pinjaman!$W$6:$W$1373,M$23,Pinjaman!$X$6:$X$1373,$I31)</f>
        <v>13</v>
      </c>
      <c r="N31" s="23">
        <f>COUNTIFS(Pinjaman!$W$6:$W$1373,N$23,Pinjaman!$X$6:$X$1373,$I31)</f>
        <v>2</v>
      </c>
      <c r="O31" s="23">
        <f>COUNTIFS(Pinjaman!$W$6:$W$1373,0,Pinjaman!$X$6:$X$1373,$I31)</f>
        <v>1</v>
      </c>
      <c r="P31" s="23">
        <f t="shared" si="9"/>
        <v>51</v>
      </c>
      <c r="R31" s="34"/>
      <c r="S31" s="285"/>
      <c r="T31" s="2" t="s">
        <v>9785</v>
      </c>
      <c r="U31" s="23">
        <f>COUNTIFS(SSKA!$Q$7:$Q$466,Rekap!$T31,SSKA!$P$7:$P$466,"&lt;24")</f>
        <v>0</v>
      </c>
      <c r="V31" s="23">
        <f>COUNTIFS(SJTA!$S$6:$S$331,T31,SJTA!$R$6:$R$331,"&lt;24")</f>
        <v>0</v>
      </c>
      <c r="W31" s="23">
        <f>COUNTIFS(SPJ!$P$5:$P$136,T31,SPJ!O$5:O$136,"&lt;24")</f>
        <v>0</v>
      </c>
      <c r="X31" s="23">
        <f>COUNTIFS(SMP!$P$6:$P$15,T31,SMP!$O$6:$O$15,"&lt;24")</f>
        <v>0</v>
      </c>
    </row>
    <row r="32" spans="2:24" x14ac:dyDescent="0.3">
      <c r="B32" s="284"/>
      <c r="C32" s="2" t="s">
        <v>46</v>
      </c>
      <c r="D32" s="23">
        <f>COUNTIFS('Data Angt'!$H$5:$H$5710,C32,'Data Angt'!$F$5:$F$5710,"&lt;17")</f>
        <v>0</v>
      </c>
      <c r="E32" s="4">
        <f t="shared" si="10"/>
        <v>0</v>
      </c>
      <c r="G32" s="34"/>
      <c r="H32" s="25" t="s">
        <v>9786</v>
      </c>
      <c r="I32" s="2" t="s">
        <v>9791</v>
      </c>
      <c r="J32" s="23">
        <f>COUNTIFS(Pinjaman!$W$6:$W$1373,J$23,Pinjaman!$X$6:$X$1373,$I32)</f>
        <v>0</v>
      </c>
      <c r="K32" s="23">
        <f>COUNTIFS(Pinjaman!$W$6:$W$1373,K$23,Pinjaman!$X$6:$X$1373,$I32)</f>
        <v>0</v>
      </c>
      <c r="L32" s="23">
        <f>COUNTIFS(Pinjaman!$W$6:$W$1373,L$23,Pinjaman!$X$6:$X$1373,$I32)</f>
        <v>0</v>
      </c>
      <c r="M32" s="23">
        <f>COUNTIFS(Pinjaman!$W$6:$W$1373,M$23,Pinjaman!$X$6:$X$1373,$I32)</f>
        <v>1</v>
      </c>
      <c r="N32" s="23">
        <f>COUNTIFS(Pinjaman!$W$6:$W$1373,N$23,Pinjaman!$X$6:$X$1373,$I32)</f>
        <v>0</v>
      </c>
      <c r="O32" s="23">
        <f>COUNTIFS(Pinjaman!$W$6:$W$1373,0,Pinjaman!$X$6:$X$1373,$I32)</f>
        <v>0</v>
      </c>
      <c r="P32" s="23">
        <f t="shared" si="9"/>
        <v>1</v>
      </c>
      <c r="R32" s="34"/>
      <c r="S32" s="285"/>
      <c r="T32" s="2" t="s">
        <v>9789</v>
      </c>
      <c r="U32" s="23">
        <f>COUNTIFS(SSKA!$Q$7:$Q$466,Rekap!$T32,SSKA!$P$7:$P$466,"&lt;24")</f>
        <v>0</v>
      </c>
      <c r="V32" s="23">
        <f>COUNTIFS(SJTA!$S$6:$S$331,T32,SJTA!$R$6:$R$331,"&lt;24")</f>
        <v>0</v>
      </c>
      <c r="W32" s="23">
        <f>COUNTIFS(SPJ!$P$5:$P$136,T32,SPJ!O$5:O$136,"&lt;24")</f>
        <v>0</v>
      </c>
      <c r="X32" s="23">
        <f>COUNTIFS(SMP!$P$6:$P$15,T32,SMP!$O$6:$O$15,"&lt;24")</f>
        <v>0</v>
      </c>
    </row>
    <row r="33" spans="2:24" x14ac:dyDescent="0.3">
      <c r="B33" s="284"/>
      <c r="C33" s="2" t="s">
        <v>337</v>
      </c>
      <c r="D33" s="23">
        <f>COUNTIFS('Data Angt'!$H$5:$H$5710,C33,'Data Angt'!$F$5:$F$5710,"&lt;17")</f>
        <v>8</v>
      </c>
      <c r="E33" s="4">
        <f t="shared" si="10"/>
        <v>1.4925373134328358E-3</v>
      </c>
      <c r="G33" s="34"/>
      <c r="H33" s="285" t="s">
        <v>10753</v>
      </c>
      <c r="I33" s="2" t="s">
        <v>9793</v>
      </c>
      <c r="J33" s="23">
        <f>COUNTIFS(Pinjaman!$W$6:$W$1373,J$23,Pinjaman!$X$6:$X$1373,$I33)</f>
        <v>0</v>
      </c>
      <c r="K33" s="23">
        <f>COUNTIFS(Pinjaman!$W$6:$W$1373,K$23,Pinjaman!$X$6:$X$1373,$I33)</f>
        <v>0</v>
      </c>
      <c r="L33" s="23">
        <f>COUNTIFS(Pinjaman!$W$6:$W$1373,L$23,Pinjaman!$X$6:$X$1373,$I33)</f>
        <v>0</v>
      </c>
      <c r="M33" s="23">
        <f>COUNTIFS(Pinjaman!$W$6:$W$1373,M$23,Pinjaman!$X$6:$X$1373,$I33)</f>
        <v>0</v>
      </c>
      <c r="N33" s="23">
        <f>COUNTIFS(Pinjaman!$W$6:$W$1373,N$23,Pinjaman!$X$6:$X$1373,$I33)</f>
        <v>0</v>
      </c>
      <c r="O33" s="23">
        <f>COUNTIFS(Pinjaman!$W$6:$W$1373,0,Pinjaman!$X$6:$X$1373,$I33)</f>
        <v>0</v>
      </c>
      <c r="P33" s="23">
        <f t="shared" si="9"/>
        <v>0</v>
      </c>
      <c r="R33" s="34"/>
      <c r="S33" s="285"/>
      <c r="T33" s="2" t="s">
        <v>9790</v>
      </c>
      <c r="U33" s="23">
        <f>COUNTIFS(SSKA!$Q$7:$Q$466,Rekap!$T33,SSKA!$P$7:$P$466,"&lt;24")</f>
        <v>0</v>
      </c>
      <c r="V33" s="23">
        <f>COUNTIFS(SJTA!$S$6:$S$331,T33,SJTA!$R$6:$R$331,"&lt;24")</f>
        <v>0</v>
      </c>
      <c r="W33" s="23">
        <f>COUNTIFS(SPJ!$P$5:$P$136,T33,SPJ!O$5:O$136,"&lt;24")</f>
        <v>0</v>
      </c>
      <c r="X33" s="23">
        <f>COUNTIFS(SMP!$P$6:$P$15,T33,SMP!$O$6:$O$15,"&lt;24")</f>
        <v>0</v>
      </c>
    </row>
    <row r="34" spans="2:24" x14ac:dyDescent="0.3">
      <c r="B34" s="284"/>
      <c r="C34" s="2" t="s">
        <v>31</v>
      </c>
      <c r="D34" s="23">
        <f>COUNTIFS('Data Angt'!$H$5:$H$5710,C34,'Data Angt'!$F$5:$F$5710,"&lt;17")</f>
        <v>0</v>
      </c>
      <c r="E34" s="4">
        <f t="shared" si="10"/>
        <v>0</v>
      </c>
      <c r="G34" s="34"/>
      <c r="H34" s="284"/>
      <c r="I34" s="2" t="s">
        <v>9787</v>
      </c>
      <c r="J34" s="23">
        <f>COUNTIFS(Pinjaman!$W$6:$W$1373,J$23,Pinjaman!$X$6:$X$1373,$I34)</f>
        <v>1</v>
      </c>
      <c r="K34" s="23">
        <f>COUNTIFS(Pinjaman!$W$6:$W$1373,K$23,Pinjaman!$X$6:$X$1373,$I34)</f>
        <v>1</v>
      </c>
      <c r="L34" s="23">
        <f>COUNTIFS(Pinjaman!$W$6:$W$1373,L$23,Pinjaman!$X$6:$X$1373,$I34)</f>
        <v>0</v>
      </c>
      <c r="M34" s="23">
        <f>COUNTIFS(Pinjaman!$W$6:$W$1373,M$23,Pinjaman!$X$6:$X$1373,$I34)</f>
        <v>2</v>
      </c>
      <c r="N34" s="23">
        <f>COUNTIFS(Pinjaman!$W$6:$W$1373,N$23,Pinjaman!$X$6:$X$1373,$I34)</f>
        <v>0</v>
      </c>
      <c r="O34" s="23">
        <f>COUNTIFS(Pinjaman!$W$6:$W$1373,0,Pinjaman!$X$6:$X$1373,$I34)</f>
        <v>0</v>
      </c>
      <c r="P34" s="23">
        <f t="shared" si="9"/>
        <v>4</v>
      </c>
      <c r="R34" s="34"/>
      <c r="S34" s="285"/>
      <c r="T34" s="2" t="s">
        <v>13</v>
      </c>
      <c r="U34" s="23">
        <f>COUNTIFS(SSKA!$Q$7:$Q$466,Rekap!$T34,SSKA!$P$7:$P$466,"&lt;24")</f>
        <v>0</v>
      </c>
      <c r="V34" s="23">
        <f>COUNTIFS(SJTA!$S$6:$S$331,T34,SJTA!$R$6:$R$331,"&lt;24")</f>
        <v>0</v>
      </c>
      <c r="W34" s="23">
        <f>COUNTIFS(SPJ!$P$5:$P$136,T34,SPJ!O$5:O$136,"&lt;24")</f>
        <v>0</v>
      </c>
      <c r="X34" s="23">
        <f>COUNTIFS(SMP!$P$6:$P$15,T34,SMP!$O$6:$O$15,"&lt;24")</f>
        <v>0</v>
      </c>
    </row>
    <row r="35" spans="2:24" x14ac:dyDescent="0.3">
      <c r="B35" s="284"/>
      <c r="C35" s="2" t="s">
        <v>9785</v>
      </c>
      <c r="D35" s="23">
        <f>COUNTIFS('Data Angt'!$H$5:$H$5710,C35,'Data Angt'!$F$5:$F$5710,"&lt;17")</f>
        <v>0</v>
      </c>
      <c r="E35" s="4">
        <f t="shared" si="10"/>
        <v>0</v>
      </c>
      <c r="G35" s="34"/>
      <c r="H35" s="284"/>
      <c r="I35" s="2" t="s">
        <v>9794</v>
      </c>
      <c r="J35" s="23">
        <f>COUNTIFS(Pinjaman!$W$6:$W$1373,J$23,Pinjaman!$X$6:$X$1373,$I35)</f>
        <v>1</v>
      </c>
      <c r="K35" s="23">
        <f>COUNTIFS(Pinjaman!$W$6:$W$1373,K$23,Pinjaman!$X$6:$X$1373,$I35)</f>
        <v>0</v>
      </c>
      <c r="L35" s="23">
        <f>COUNTIFS(Pinjaman!$W$6:$W$1373,L$23,Pinjaman!$X$6:$X$1373,$I35)</f>
        <v>1</v>
      </c>
      <c r="M35" s="23">
        <f>COUNTIFS(Pinjaman!$W$6:$W$1373,M$23,Pinjaman!$X$6:$X$1373,$I35)</f>
        <v>3</v>
      </c>
      <c r="N35" s="23">
        <f>COUNTIFS(Pinjaman!$W$6:$W$1373,N$23,Pinjaman!$X$6:$X$1373,$I35)</f>
        <v>0</v>
      </c>
      <c r="O35" s="23">
        <f>COUNTIFS(Pinjaman!$W$6:$W$1373,0,Pinjaman!$X$6:$X$1373,$I35)</f>
        <v>0</v>
      </c>
      <c r="P35" s="23">
        <f t="shared" si="9"/>
        <v>5</v>
      </c>
      <c r="R35" s="34"/>
      <c r="S35" s="285"/>
      <c r="T35" s="2" t="s">
        <v>9791</v>
      </c>
      <c r="U35" s="23">
        <f>COUNTIFS(SSKA!$Q$7:$Q$466,Rekap!$T35,SSKA!$P$7:$P$466,"&lt;24")</f>
        <v>0</v>
      </c>
      <c r="V35" s="23">
        <f>COUNTIFS(SJTA!$S$6:$S$331,T35,SJTA!$R$6:$R$331,"&lt;24")</f>
        <v>0</v>
      </c>
      <c r="W35" s="23">
        <f>COUNTIFS(SPJ!$P$5:$P$136,T35,SPJ!O$5:O$136,"&lt;24")</f>
        <v>0</v>
      </c>
      <c r="X35" s="23">
        <f>COUNTIFS(SMP!$P$6:$P$15,T35,SMP!$O$6:$O$15,"&lt;24")</f>
        <v>0</v>
      </c>
    </row>
    <row r="36" spans="2:24" x14ac:dyDescent="0.3">
      <c r="B36" s="284"/>
      <c r="C36" s="2" t="s">
        <v>9789</v>
      </c>
      <c r="D36" s="23">
        <f>COUNTIFS('Data Angt'!$H$5:$H$5710,C36,'Data Angt'!$F$5:$F$5710,"&lt;17")</f>
        <v>0</v>
      </c>
      <c r="E36" s="4">
        <f t="shared" si="10"/>
        <v>0</v>
      </c>
      <c r="G36" s="34"/>
      <c r="H36" s="284"/>
      <c r="I36" s="2" t="s">
        <v>9802</v>
      </c>
      <c r="J36" s="23">
        <f>COUNTIFS(Pinjaman!$W$6:$W$1373,J$23,Pinjaman!$X$6:$X$1373,0)</f>
        <v>4</v>
      </c>
      <c r="K36" s="23">
        <f>COUNTIFS(Pinjaman!$W$6:$W$1373,K$23,Pinjaman!$X$6:$X$1373,0)</f>
        <v>4</v>
      </c>
      <c r="L36" s="23">
        <f>COUNTIFS(Pinjaman!$W$6:$W$1373,L$23,Pinjaman!$X$6:$X$1373,0)</f>
        <v>2</v>
      </c>
      <c r="M36" s="23">
        <f>COUNTIFS(Pinjaman!$W$6:$W$1373,M$23,Pinjaman!$X$6:$X$1373,0)</f>
        <v>6</v>
      </c>
      <c r="N36" s="23">
        <f>COUNTIFS(Pinjaman!$W$6:$W$1373,N$23,Pinjaman!$X$6:$X$1373,0)</f>
        <v>0</v>
      </c>
      <c r="O36" s="23">
        <f>COUNTIFS(Pinjaman!$W$6:$W$1373,0,Pinjaman!$X$6:$X$1373,0)</f>
        <v>1</v>
      </c>
      <c r="P36" s="23">
        <f t="shared" si="8"/>
        <v>17</v>
      </c>
      <c r="R36" s="34"/>
      <c r="S36" s="285"/>
      <c r="T36" s="2" t="s">
        <v>9793</v>
      </c>
      <c r="U36" s="23">
        <f>COUNTIFS(SSKA!$Q$7:$Q$466,Rekap!$T36,SSKA!$P$7:$P$466,"&lt;24")</f>
        <v>0</v>
      </c>
      <c r="V36" s="23">
        <f>COUNTIFS(SJTA!$S$6:$S$331,T36,SJTA!$R$6:$R$331,"&lt;24")</f>
        <v>0</v>
      </c>
      <c r="W36" s="23">
        <f>COUNTIFS(SPJ!$P$5:$P$136,T36,SPJ!O$5:O$136,"&lt;24")</f>
        <v>0</v>
      </c>
      <c r="X36" s="23">
        <f>COUNTIFS(SMP!$P$6:$P$15,T36,SMP!$O$6:$O$15,"&lt;24")</f>
        <v>0</v>
      </c>
    </row>
    <row r="37" spans="2:24" x14ac:dyDescent="0.3">
      <c r="B37" s="284"/>
      <c r="C37" s="2" t="s">
        <v>9790</v>
      </c>
      <c r="D37" s="23">
        <f>COUNTIFS('Data Angt'!$H$5:$H$5710,C37,'Data Angt'!$F$5:$F$5710,"&lt;17")</f>
        <v>0</v>
      </c>
      <c r="E37" s="4">
        <f t="shared" si="10"/>
        <v>0</v>
      </c>
      <c r="G37" s="34"/>
      <c r="H37" s="284"/>
      <c r="I37" s="3" t="s">
        <v>9805</v>
      </c>
      <c r="J37" s="23">
        <f t="shared" ref="J37:P37" si="11">SUM(J24:J36)</f>
        <v>296</v>
      </c>
      <c r="K37" s="23">
        <f t="shared" si="11"/>
        <v>220</v>
      </c>
      <c r="L37" s="23">
        <f t="shared" si="11"/>
        <v>188</v>
      </c>
      <c r="M37" s="23">
        <f t="shared" si="11"/>
        <v>501</v>
      </c>
      <c r="N37" s="23">
        <f t="shared" si="11"/>
        <v>16</v>
      </c>
      <c r="O37" s="23">
        <f t="shared" si="11"/>
        <v>64</v>
      </c>
      <c r="P37" s="23">
        <f t="shared" si="11"/>
        <v>1285</v>
      </c>
      <c r="R37" s="34"/>
      <c r="S37" s="285"/>
      <c r="T37" s="2" t="s">
        <v>9787</v>
      </c>
      <c r="U37" s="23">
        <f>COUNTIFS(SSKA!$Q$7:$Q$466,Rekap!$T37,SSKA!$P$7:$P$466,"&lt;24")</f>
        <v>0</v>
      </c>
      <c r="V37" s="23">
        <f>COUNTIFS(SJTA!$S$6:$S$331,T37,SJTA!$R$6:$R$331,"&lt;24")</f>
        <v>0</v>
      </c>
      <c r="W37" s="23">
        <f>COUNTIFS(SPJ!$P$5:$P$136,T37,SPJ!O$5:O$136,"&lt;24")</f>
        <v>0</v>
      </c>
      <c r="X37" s="23">
        <f>COUNTIFS(SMP!$P$6:$P$15,T37,SMP!$O$6:$O$15,"&lt;24")</f>
        <v>0</v>
      </c>
    </row>
    <row r="38" spans="2:24" x14ac:dyDescent="0.3">
      <c r="B38" s="284"/>
      <c r="C38" s="2" t="s">
        <v>13</v>
      </c>
      <c r="D38" s="23">
        <f>COUNTIFS('Data Angt'!$H$5:$H$5710,C38,'Data Angt'!$F$5:$F$5710,"&lt;17")</f>
        <v>0</v>
      </c>
      <c r="E38" s="4">
        <f t="shared" si="10"/>
        <v>0</v>
      </c>
      <c r="G38" s="34"/>
      <c r="H38" s="284"/>
      <c r="R38" s="34"/>
      <c r="S38" s="285"/>
      <c r="T38" s="2" t="s">
        <v>9794</v>
      </c>
      <c r="U38" s="23">
        <f>COUNTIFS(SSKA!$Q$7:$Q$466,Rekap!$T38,SSKA!$P$7:$P$466,"&lt;24")</f>
        <v>0</v>
      </c>
      <c r="V38" s="23">
        <f>COUNTIFS(SJTA!$S$6:$S$331,T38,SJTA!$R$6:$R$331,"&lt;24")</f>
        <v>1</v>
      </c>
      <c r="W38" s="23">
        <f>COUNTIFS(SPJ!$P$5:$P$136,T38,SPJ!O$5:O$136,"&lt;24")</f>
        <v>0</v>
      </c>
      <c r="X38" s="23">
        <f>COUNTIFS(SMP!$P$6:$P$15,T38,SMP!$O$6:$O$15,"&lt;24")</f>
        <v>0</v>
      </c>
    </row>
    <row r="39" spans="2:24" x14ac:dyDescent="0.3">
      <c r="B39" s="284"/>
      <c r="C39" s="2" t="s">
        <v>9791</v>
      </c>
      <c r="D39" s="23">
        <f>COUNTIFS('Data Angt'!$H$5:$H$5710,C39,'Data Angt'!$F$5:$F$5710,"&lt;17")</f>
        <v>0</v>
      </c>
      <c r="E39" s="4">
        <f t="shared" si="10"/>
        <v>0</v>
      </c>
      <c r="G39" s="34"/>
      <c r="H39" s="284"/>
      <c r="R39" s="34"/>
      <c r="S39" s="285"/>
      <c r="T39" s="2" t="s">
        <v>9802</v>
      </c>
      <c r="U39" s="23">
        <f>COUNTIFS(SSKA!$Q$7:$Q$466,0,SSKA!$P$7:$P$466,"&lt;24")</f>
        <v>0</v>
      </c>
      <c r="V39" s="23">
        <f>COUNTIFS(SJTA!$S$6:$S$331,0,SJTA!$R$6:$R$331,"&lt;24")</f>
        <v>3</v>
      </c>
      <c r="W39" s="23">
        <f>COUNTIFS(SPJ!$P$5:$P$136,0,SPJ!O$5:O$136,"&lt;24")</f>
        <v>0</v>
      </c>
      <c r="X39" s="23">
        <f>COUNTIFS(SMP!$P$6:$P$15,0,SMP!$O$6:$O$15,"&lt;24")</f>
        <v>0</v>
      </c>
    </row>
    <row r="40" spans="2:24" x14ac:dyDescent="0.3">
      <c r="B40" s="284"/>
      <c r="C40" s="2" t="s">
        <v>9793</v>
      </c>
      <c r="D40" s="23">
        <f>COUNTIFS('Data Angt'!$H$5:$H$5710,C40,'Data Angt'!$F$5:$F$5710,"&lt;17")</f>
        <v>0</v>
      </c>
      <c r="E40" s="4">
        <f t="shared" si="10"/>
        <v>0</v>
      </c>
      <c r="G40" s="34"/>
      <c r="H40" s="284"/>
      <c r="I40" s="3" t="s">
        <v>9804</v>
      </c>
      <c r="J40" s="22" t="s">
        <v>9828</v>
      </c>
      <c r="K40" s="22" t="s">
        <v>9830</v>
      </c>
      <c r="L40" s="22" t="s">
        <v>17</v>
      </c>
      <c r="M40" s="22" t="s">
        <v>9834</v>
      </c>
      <c r="N40" s="22" t="s">
        <v>110</v>
      </c>
      <c r="O40" s="22" t="s">
        <v>10744</v>
      </c>
      <c r="P40" s="22" t="s">
        <v>9801</v>
      </c>
      <c r="R40" s="34"/>
      <c r="S40" s="54"/>
      <c r="T40" s="27" t="s">
        <v>9805</v>
      </c>
      <c r="U40" s="29">
        <f>SUM(U27:U39)</f>
        <v>0</v>
      </c>
      <c r="V40" s="29">
        <f t="shared" ref="V40:X40" si="12">SUM(V27:V39)</f>
        <v>27</v>
      </c>
      <c r="W40" s="29">
        <f t="shared" si="12"/>
        <v>9</v>
      </c>
      <c r="X40" s="29">
        <f t="shared" si="12"/>
        <v>0</v>
      </c>
    </row>
    <row r="41" spans="2:24" x14ac:dyDescent="0.3">
      <c r="B41" s="284"/>
      <c r="C41" s="2" t="s">
        <v>9787</v>
      </c>
      <c r="D41" s="23">
        <f>COUNTIFS('Data Angt'!$H$5:$H$5710,C41,'Data Angt'!$F$5:$F$5710,"&lt;17")</f>
        <v>0</v>
      </c>
      <c r="E41" s="4">
        <f t="shared" si="10"/>
        <v>0</v>
      </c>
      <c r="G41" s="34"/>
      <c r="H41" s="284"/>
      <c r="I41" s="2" t="s">
        <v>9788</v>
      </c>
      <c r="J41" s="23">
        <f>COUNTIFS(Pinjaman!$X$6:$X$1373,$I41,Pinjaman!$W$6:$W$1373,J$40,Pinjaman!$V$6:$V$1373,"&lt;24")</f>
        <v>9</v>
      </c>
      <c r="K41" s="23">
        <f>COUNTIFS(Pinjaman!$X$6:$X$1373,$I41,Pinjaman!$W$6:$W$1373,K$40,Pinjaman!$V$6:$V$1373,"&lt;24")</f>
        <v>5</v>
      </c>
      <c r="L41" s="23">
        <f>COUNTIFS(Pinjaman!$X$6:$X$1373,$I41,Pinjaman!$W$6:$W$1373,L$40,Pinjaman!$V$6:$V$1373,"&lt;24")</f>
        <v>0</v>
      </c>
      <c r="M41" s="23">
        <f>COUNTIFS(Pinjaman!$X$6:$X$1373,$I41,Pinjaman!$W$6:$W$1373,M$40,Pinjaman!$V$6:$V$1373,"&lt;24")</f>
        <v>1</v>
      </c>
      <c r="N41" s="23">
        <f>COUNTIFS(Pinjaman!$X$6:$X$1373,$I41,Pinjaman!$W$6:$W$1373,N$40,Pinjaman!$V$6:$V$1373,"&lt;24")</f>
        <v>0</v>
      </c>
      <c r="O41" s="23">
        <f>COUNTIFS(Pinjaman!$X$6:$X$1373,$I41,Pinjaman!$W$6:$W$1373,0,Pinjaman!$V$6:$V$1373,"&lt;24")</f>
        <v>0</v>
      </c>
      <c r="P41" s="26">
        <f>SUM(J41:O41)</f>
        <v>15</v>
      </c>
      <c r="R41" s="34"/>
      <c r="S41" s="284" t="s">
        <v>9799</v>
      </c>
      <c r="T41" s="2" t="s">
        <v>9788</v>
      </c>
      <c r="U41" s="23">
        <f>COUNTIFS(SSKA!$Q$7:$Q$466,Rekap!$T41,SSKA!$P$7:$P$466,"&lt;=60")-COUNTIFS(SSKA!$Q$7:$Q$466,Rekap!$T41,SSKA!$P$7:$P$466,"&lt;24")</f>
        <v>0</v>
      </c>
      <c r="V41" s="23">
        <f>COUNTIFS(SJTA!$S$6:$S$331,T41,SJTA!$R$6:$R$331,"&lt;=60")-COUNTIFS(SJTA!$S$6:$S$331,T41,SJTA!$R$6:$R$331,"&lt;24")</f>
        <v>66</v>
      </c>
      <c r="W41" s="23">
        <f>COUNTIFS(SPJ!$P$5:$P$136,T27,SPJ!O$5:O$136,"&lt;=60")-COUNTIFS(SPJ!$P$5:$P$136,T27,SPJ!O$5:O$136,"&lt;24")</f>
        <v>33</v>
      </c>
      <c r="X41" s="23">
        <f>COUNTIFS(SMP!$P$6:$P$15,T41,SMP!$O$6:$O$15,"&lt;=60")-COUNTIFS(SMP!$P$6:$P$15,T41,SMP!$O$6:$O$15,"&lt;24")</f>
        <v>4</v>
      </c>
    </row>
    <row r="42" spans="2:24" x14ac:dyDescent="0.3">
      <c r="B42" s="284"/>
      <c r="C42" s="2" t="s">
        <v>9794</v>
      </c>
      <c r="D42" s="23">
        <f>COUNTIFS('Data Angt'!$H$5:$H$5710,C42,'Data Angt'!$F$5:$F$5710,"&lt;17")</f>
        <v>0</v>
      </c>
      <c r="E42" s="4">
        <f t="shared" si="10"/>
        <v>0</v>
      </c>
      <c r="G42" s="34"/>
      <c r="H42" s="284"/>
      <c r="I42" s="2" t="s">
        <v>46</v>
      </c>
      <c r="J42" s="23">
        <f>COUNTIFS(Pinjaman!$X$6:$X$1373,$I42,Pinjaman!$W$6:$W$1373,J$40,Pinjaman!$V$6:$V$1373,"&lt;24")</f>
        <v>0</v>
      </c>
      <c r="K42" s="23">
        <f>COUNTIFS(Pinjaman!$X$6:$X$1373,$I42,Pinjaman!$W$6:$W$1373,K$40,Pinjaman!$V$6:$V$1373,"&lt;24")</f>
        <v>0</v>
      </c>
      <c r="L42" s="23">
        <f>COUNTIFS(Pinjaman!$X$6:$X$1373,$I42,Pinjaman!$W$6:$W$1373,L$40,Pinjaman!$V$6:$V$1373,"&lt;24")</f>
        <v>0</v>
      </c>
      <c r="M42" s="23">
        <f>COUNTIFS(Pinjaman!$X$6:$X$1373,$I42,Pinjaman!$W$6:$W$1373,M$40,Pinjaman!$V$6:$V$1373,"&lt;24")</f>
        <v>2</v>
      </c>
      <c r="N42" s="23">
        <f>COUNTIFS(Pinjaman!$X$6:$X$1373,$I42,Pinjaman!$W$6:$W$1373,N$40,Pinjaman!$V$6:$V$1373,"&lt;24")</f>
        <v>0</v>
      </c>
      <c r="O42" s="23">
        <f>COUNTIFS(Pinjaman!$X$6:$X$1373,$I42,Pinjaman!$W$6:$W$1373,0,Pinjaman!$V$6:$V$1373,"&lt;24")</f>
        <v>0</v>
      </c>
      <c r="P42" s="26">
        <f t="shared" ref="P42:P67" si="13">SUM(J42:O42)</f>
        <v>2</v>
      </c>
      <c r="R42" s="34"/>
      <c r="S42" s="284"/>
      <c r="T42" s="2" t="s">
        <v>46</v>
      </c>
      <c r="U42" s="23">
        <f>COUNTIFS(SSKA!$Q$7:$Q$466,Rekap!$T42,SSKA!$P$7:$P$466,"&lt;=60")-COUNTIFS(SSKA!$Q$7:$Q$466,Rekap!$T42,SSKA!$P$7:$P$466,"&lt;24")</f>
        <v>0</v>
      </c>
      <c r="V42" s="23">
        <f>COUNTIFS(SJTA!$S$6:$S$331,T42,SJTA!$R$6:$R$331,"&lt;=60")-COUNTIFS(SJTA!$S$6:$S$331,T42,SJTA!$R$6:$R$331,"&lt;24")</f>
        <v>30</v>
      </c>
      <c r="W42" s="23">
        <f>COUNTIFS(SPJ!$P$5:$P$136,T28,SPJ!O$5:O$136,"&lt;=60")-COUNTIFS(SPJ!$P$5:$P$136,T28,SPJ!O$5:O$136,"&lt;24")</f>
        <v>28</v>
      </c>
      <c r="X42" s="23">
        <f>COUNTIFS(SMP!$P$6:$P$15,T42,SMP!$O$6:$O$15,"&lt;=60")-COUNTIFS(SMP!$P$6:$P$15,T42,SMP!$O$6:$O$15,"&lt;24")</f>
        <v>2</v>
      </c>
    </row>
    <row r="43" spans="2:24" x14ac:dyDescent="0.3">
      <c r="B43" s="284"/>
      <c r="C43" s="2" t="s">
        <v>9802</v>
      </c>
      <c r="D43" s="23">
        <f>COUNTIFS('Data Angt'!$H$5:$H$5710,"",'Data Angt'!$F$5:$F$5710,"&lt;17")</f>
        <v>0</v>
      </c>
      <c r="E43" s="4">
        <f t="shared" si="10"/>
        <v>0</v>
      </c>
      <c r="G43" s="34"/>
      <c r="H43" s="284"/>
      <c r="I43" s="2" t="s">
        <v>337</v>
      </c>
      <c r="J43" s="23">
        <f>COUNTIFS(Pinjaman!$X$6:$X$1373,$I43,Pinjaman!$W$6:$W$1373,J$40,Pinjaman!$V$6:$V$1373,"&lt;24")</f>
        <v>3</v>
      </c>
      <c r="K43" s="23">
        <f>COUNTIFS(Pinjaman!$X$6:$X$1373,$I43,Pinjaman!$W$6:$W$1373,K$40,Pinjaman!$V$6:$V$1373,"&lt;24")</f>
        <v>0</v>
      </c>
      <c r="L43" s="23">
        <f>COUNTIFS(Pinjaman!$X$6:$X$1373,$I43,Pinjaman!$W$6:$W$1373,L$40,Pinjaman!$V$6:$V$1373,"&lt;24")</f>
        <v>1</v>
      </c>
      <c r="M43" s="23">
        <f>COUNTIFS(Pinjaman!$X$6:$X$1373,$I43,Pinjaman!$W$6:$W$1373,M$40,Pinjaman!$V$6:$V$1373,"&lt;24")</f>
        <v>3</v>
      </c>
      <c r="N43" s="23">
        <f>COUNTIFS(Pinjaman!$X$6:$X$1373,$I43,Pinjaman!$W$6:$W$1373,N$40,Pinjaman!$V$6:$V$1373,"&lt;24")</f>
        <v>0</v>
      </c>
      <c r="O43" s="23">
        <f>COUNTIFS(Pinjaman!$X$6:$X$1373,$I43,Pinjaman!$W$6:$W$1373,0,Pinjaman!$V$6:$V$1373,"&lt;24")</f>
        <v>0</v>
      </c>
      <c r="P43" s="26">
        <f t="shared" si="13"/>
        <v>7</v>
      </c>
      <c r="R43" s="34"/>
      <c r="S43" s="284"/>
      <c r="T43" s="2" t="s">
        <v>337</v>
      </c>
      <c r="U43" s="23">
        <f>COUNTIFS(SSKA!$Q$7:$Q$466,Rekap!$T43,SSKA!$P$7:$P$466,"&lt;=60")-COUNTIFS(SSKA!$Q$7:$Q$466,Rekap!$T43,SSKA!$P$7:$P$466,"&lt;24")</f>
        <v>0</v>
      </c>
      <c r="V43" s="23">
        <f>COUNTIFS(SJTA!$S$6:$S$331,T43,SJTA!$R$6:$R$331,"&lt;=60")-COUNTIFS(SJTA!$S$6:$S$331,T43,SJTA!$R$6:$R$331,"&lt;24")</f>
        <v>3</v>
      </c>
      <c r="W43" s="23">
        <f>COUNTIFS(SPJ!$P$5:$P$136,T29,SPJ!O$5:O$136,"&lt;=60")-COUNTIFS(SPJ!$P$5:$P$136,T29,SPJ!O$5:O$136,"&lt;24")</f>
        <v>3</v>
      </c>
      <c r="X43" s="23">
        <f>COUNTIFS(SMP!$P$6:$P$15,T43,SMP!$O$6:$O$15,"&lt;=60")-COUNTIFS(SMP!$P$6:$P$15,T43,SMP!$O$6:$O$15,"&lt;24")</f>
        <v>0</v>
      </c>
    </row>
    <row r="44" spans="2:24" x14ac:dyDescent="0.3">
      <c r="B44" s="284"/>
      <c r="C44" s="27" t="s">
        <v>9805</v>
      </c>
      <c r="D44" s="29">
        <f>SUM(D31:D43)</f>
        <v>9</v>
      </c>
      <c r="E44" s="30">
        <f t="shared" si="10"/>
        <v>1.6791044776119403E-3</v>
      </c>
      <c r="G44" s="34"/>
      <c r="H44" s="284"/>
      <c r="I44" s="2" t="s">
        <v>31</v>
      </c>
      <c r="J44" s="23">
        <f>COUNTIFS(Pinjaman!$X$6:$X$1373,$I44,Pinjaman!$W$6:$W$1373,J$40,Pinjaman!$V$6:$V$1373,"&lt;24")</f>
        <v>0</v>
      </c>
      <c r="K44" s="23">
        <f>COUNTIFS(Pinjaman!$X$6:$X$1373,$I44,Pinjaman!$W$6:$W$1373,K$40,Pinjaman!$V$6:$V$1373,"&lt;24")</f>
        <v>0</v>
      </c>
      <c r="L44" s="23">
        <f>COUNTIFS(Pinjaman!$X$6:$X$1373,$I44,Pinjaman!$W$6:$W$1373,L$40,Pinjaman!$V$6:$V$1373,"&lt;24")</f>
        <v>1</v>
      </c>
      <c r="M44" s="23">
        <f>COUNTIFS(Pinjaman!$X$6:$X$1373,$I44,Pinjaman!$W$6:$W$1373,M$40,Pinjaman!$V$6:$V$1373,"&lt;24")</f>
        <v>0</v>
      </c>
      <c r="N44" s="23">
        <f>COUNTIFS(Pinjaman!$X$6:$X$1373,$I44,Pinjaman!$W$6:$W$1373,N$40,Pinjaman!$V$6:$V$1373,"&lt;24")</f>
        <v>0</v>
      </c>
      <c r="O44" s="23">
        <f>COUNTIFS(Pinjaman!$X$6:$X$1373,$I44,Pinjaman!$W$6:$W$1373,0,Pinjaman!$V$6:$V$1373,"&lt;24")</f>
        <v>0</v>
      </c>
      <c r="P44" s="26">
        <f t="shared" si="13"/>
        <v>1</v>
      </c>
      <c r="R44" s="34"/>
      <c r="S44" s="284"/>
      <c r="T44" s="2" t="s">
        <v>31</v>
      </c>
      <c r="U44" s="23">
        <f>COUNTIFS(SSKA!$Q$7:$Q$466,Rekap!$T44,SSKA!$P$7:$P$466,"&lt;=60")-COUNTIFS(SSKA!$Q$7:$Q$466,Rekap!$T44,SSKA!$P$7:$P$466,"&lt;24")</f>
        <v>0</v>
      </c>
      <c r="V44" s="23">
        <f>COUNTIFS(SJTA!$S$6:$S$331,T44,SJTA!$R$6:$R$331,"&lt;=60")-COUNTIFS(SJTA!$S$6:$S$331,T44,SJTA!$R$6:$R$331,"&lt;24")</f>
        <v>25</v>
      </c>
      <c r="W44" s="23">
        <f>COUNTIFS(SPJ!$P$5:$P$136,T30,SPJ!O$5:O$136,"&lt;=60")-COUNTIFS(SPJ!$P$5:$P$136,T30,SPJ!O$5:O$136,"&lt;24")</f>
        <v>22</v>
      </c>
      <c r="X44" s="23">
        <f>COUNTIFS(SMP!$P$6:$P$15,T44,SMP!$O$6:$O$15,"&lt;=60")-COUNTIFS(SMP!$P$6:$P$15,T44,SMP!$O$6:$O$15,"&lt;24")</f>
        <v>0</v>
      </c>
    </row>
    <row r="45" spans="2:24" x14ac:dyDescent="0.3">
      <c r="B45" s="284" t="s">
        <v>9798</v>
      </c>
      <c r="C45" s="2" t="s">
        <v>9788</v>
      </c>
      <c r="D45" s="23">
        <f>COUNTIFS('Data Angt'!$H$5:$H$5710,C45,'Data Angt'!$F$5:$F$5710,"&lt;24")-COUNTIFS('Data Angt'!$H$5:$H$5710,C45,'Data Angt'!$F$5:$F$5710,"&lt;17")</f>
        <v>76</v>
      </c>
      <c r="E45" s="4">
        <f t="shared" si="10"/>
        <v>1.4179104477611941E-2</v>
      </c>
      <c r="G45" s="34"/>
      <c r="H45" s="284"/>
      <c r="I45" s="2" t="s">
        <v>9785</v>
      </c>
      <c r="J45" s="23">
        <f>COUNTIFS(Pinjaman!$X$6:$X$1373,$I45,Pinjaman!$W$6:$W$1373,J$40,Pinjaman!$V$6:$V$1373,"&lt;24")</f>
        <v>1</v>
      </c>
      <c r="K45" s="23">
        <f>COUNTIFS(Pinjaman!$X$6:$X$1373,$I45,Pinjaman!$W$6:$W$1373,K$40,Pinjaman!$V$6:$V$1373,"&lt;24")</f>
        <v>0</v>
      </c>
      <c r="L45" s="23">
        <f>COUNTIFS(Pinjaman!$X$6:$X$1373,$I45,Pinjaman!$W$6:$W$1373,L$40,Pinjaman!$V$6:$V$1373,"&lt;24")</f>
        <v>1</v>
      </c>
      <c r="M45" s="23">
        <f>COUNTIFS(Pinjaman!$X$6:$X$1373,$I45,Pinjaman!$W$6:$W$1373,M$40,Pinjaman!$V$6:$V$1373,"&lt;24")</f>
        <v>0</v>
      </c>
      <c r="N45" s="23">
        <f>COUNTIFS(Pinjaman!$X$6:$X$1373,$I45,Pinjaman!$W$6:$W$1373,N$40,Pinjaman!$V$6:$V$1373,"&lt;24")</f>
        <v>0</v>
      </c>
      <c r="O45" s="23">
        <f>COUNTIFS(Pinjaman!$X$6:$X$1373,$I45,Pinjaman!$W$6:$W$1373,0,Pinjaman!$V$6:$V$1373,"&lt;24")</f>
        <v>0</v>
      </c>
      <c r="P45" s="26">
        <f t="shared" si="13"/>
        <v>2</v>
      </c>
      <c r="R45" s="34"/>
      <c r="S45" s="284"/>
      <c r="T45" s="2" t="s">
        <v>9785</v>
      </c>
      <c r="U45" s="23">
        <f>COUNTIFS(SSKA!$Q$7:$Q$466,Rekap!$T45,SSKA!$P$7:$P$466,"&lt;=60")-COUNTIFS(SSKA!$Q$7:$Q$466,Rekap!$T45,SSKA!$P$7:$P$466,"&lt;24")</f>
        <v>0</v>
      </c>
      <c r="V45" s="23">
        <f>COUNTIFS(SJTA!$S$6:$S$331,T45,SJTA!$R$6:$R$331,"&lt;=60")-COUNTIFS(SJTA!$S$6:$S$331,T45,SJTA!$R$6:$R$331,"&lt;24")</f>
        <v>35</v>
      </c>
      <c r="W45" s="23">
        <f>COUNTIFS(SPJ!$P$5:$P$136,T31,SPJ!O$5:O$136,"&lt;=60")-COUNTIFS(SPJ!$P$5:$P$136,T31,SPJ!O$5:O$136,"&lt;24")</f>
        <v>14</v>
      </c>
      <c r="X45" s="23">
        <f>COUNTIFS(SMP!$P$6:$P$15,T45,SMP!$O$6:$O$15,"&lt;=60")-COUNTIFS(SMP!$P$6:$P$15,T45,SMP!$O$6:$O$15,"&lt;24")</f>
        <v>1</v>
      </c>
    </row>
    <row r="46" spans="2:24" x14ac:dyDescent="0.3">
      <c r="B46" s="284"/>
      <c r="C46" s="2" t="s">
        <v>46</v>
      </c>
      <c r="D46" s="23">
        <f>COUNTIFS('Data Angt'!$H$5:$H$5710,C46,'Data Angt'!$F$5:$F$5710,"&lt;24")-COUNTIFS('Data Angt'!$H$5:$H$5710,C46,'Data Angt'!$F$5:$F$5710,"&lt;17")</f>
        <v>16</v>
      </c>
      <c r="E46" s="4">
        <f t="shared" si="10"/>
        <v>2.9850746268656717E-3</v>
      </c>
      <c r="G46" s="34"/>
      <c r="H46" s="284"/>
      <c r="I46" s="2" t="s">
        <v>9789</v>
      </c>
      <c r="J46" s="23">
        <f>COUNTIFS(Pinjaman!$X$6:$X$1373,$I46,Pinjaman!$W$6:$W$1373,J$40,Pinjaman!$V$6:$V$1373,"&lt;24")</f>
        <v>0</v>
      </c>
      <c r="K46" s="23">
        <f>COUNTIFS(Pinjaman!$X$6:$X$1373,$I46,Pinjaman!$W$6:$W$1373,K$40,Pinjaman!$V$6:$V$1373,"&lt;24")</f>
        <v>0</v>
      </c>
      <c r="L46" s="23">
        <f>COUNTIFS(Pinjaman!$X$6:$X$1373,$I46,Pinjaman!$W$6:$W$1373,L$40,Pinjaman!$V$6:$V$1373,"&lt;24")</f>
        <v>0</v>
      </c>
      <c r="M46" s="23">
        <f>COUNTIFS(Pinjaman!$X$6:$X$1373,$I46,Pinjaman!$W$6:$W$1373,M$40,Pinjaman!$V$6:$V$1373,"&lt;24")</f>
        <v>0</v>
      </c>
      <c r="N46" s="23">
        <f>COUNTIFS(Pinjaman!$X$6:$X$1373,$I46,Pinjaman!$W$6:$W$1373,N$40,Pinjaman!$V$6:$V$1373,"&lt;24")</f>
        <v>0</v>
      </c>
      <c r="O46" s="23">
        <f>COUNTIFS(Pinjaman!$X$6:$X$1373,$I46,Pinjaman!$W$6:$W$1373,0,Pinjaman!$V$6:$V$1373,"&lt;24")</f>
        <v>0</v>
      </c>
      <c r="P46" s="26">
        <f t="shared" si="13"/>
        <v>0</v>
      </c>
      <c r="R46" s="34"/>
      <c r="S46" s="284"/>
      <c r="T46" s="2" t="s">
        <v>9789</v>
      </c>
      <c r="U46" s="23">
        <f>COUNTIFS(SSKA!$Q$7:$Q$466,Rekap!$T46,SSKA!$P$7:$P$466,"&lt;=60")-COUNTIFS(SSKA!$Q$7:$Q$466,Rekap!$T46,SSKA!$P$7:$P$466,"&lt;24")</f>
        <v>0</v>
      </c>
      <c r="V46" s="23">
        <f>COUNTIFS(SJTA!$S$6:$S$331,T46,SJTA!$R$6:$R$331,"&lt;=60")-COUNTIFS(SJTA!$S$6:$S$331,T46,SJTA!$R$6:$R$331,"&lt;24")</f>
        <v>14</v>
      </c>
      <c r="W46" s="23">
        <f>COUNTIFS(SPJ!$P$5:$P$136,T32,SPJ!O$5:O$136,"&lt;=60")-COUNTIFS(SPJ!$P$5:$P$136,T32,SPJ!O$5:O$136,"&lt;24")</f>
        <v>4</v>
      </c>
      <c r="X46" s="23">
        <f>COUNTIFS(SMP!$P$6:$P$15,T46,SMP!$O$6:$O$15,"&lt;=60")-COUNTIFS(SMP!$P$6:$P$15,T46,SMP!$O$6:$O$15,"&lt;24")</f>
        <v>0</v>
      </c>
    </row>
    <row r="47" spans="2:24" x14ac:dyDescent="0.3">
      <c r="B47" s="284"/>
      <c r="C47" s="2" t="s">
        <v>337</v>
      </c>
      <c r="D47" s="23">
        <f>COUNTIFS('Data Angt'!$H$5:$H$5710,C47,'Data Angt'!$F$5:$F$5710,"&lt;24")-COUNTIFS('Data Angt'!$H$5:$H$5710,C47,'Data Angt'!$F$5:$F$5710,"&lt;17")</f>
        <v>167</v>
      </c>
      <c r="E47" s="4">
        <f t="shared" si="10"/>
        <v>3.1156716417910447E-2</v>
      </c>
      <c r="G47" s="34"/>
      <c r="H47" s="284" t="s">
        <v>9799</v>
      </c>
      <c r="I47" s="2" t="s">
        <v>9790</v>
      </c>
      <c r="J47" s="23">
        <f>COUNTIFS(Pinjaman!$X$6:$X$1373,$I47,Pinjaman!$W$6:$W$1373,J$40,Pinjaman!$V$6:$V$1373,"&lt;24")</f>
        <v>0</v>
      </c>
      <c r="K47" s="23">
        <f>COUNTIFS(Pinjaman!$X$6:$X$1373,$I47,Pinjaman!$W$6:$W$1373,K$40,Pinjaman!$V$6:$V$1373,"&lt;24")</f>
        <v>0</v>
      </c>
      <c r="L47" s="23">
        <f>COUNTIFS(Pinjaman!$X$6:$X$1373,$I47,Pinjaman!$W$6:$W$1373,L$40,Pinjaman!$V$6:$V$1373,"&lt;24")</f>
        <v>0</v>
      </c>
      <c r="M47" s="23">
        <f>COUNTIFS(Pinjaman!$X$6:$X$1373,$I47,Pinjaman!$W$6:$W$1373,M$40,Pinjaman!$V$6:$V$1373,"&lt;24")</f>
        <v>0</v>
      </c>
      <c r="N47" s="23">
        <f>COUNTIFS(Pinjaman!$X$6:$X$1373,$I47,Pinjaman!$W$6:$W$1373,N$40,Pinjaman!$V$6:$V$1373,"&lt;24")</f>
        <v>0</v>
      </c>
      <c r="O47" s="23">
        <f>COUNTIFS(Pinjaman!$X$6:$X$1373,$I47,Pinjaman!$W$6:$W$1373,0,Pinjaman!$V$6:$V$1373,"&lt;24")</f>
        <v>0</v>
      </c>
      <c r="P47" s="26">
        <f t="shared" si="13"/>
        <v>0</v>
      </c>
      <c r="R47" s="34"/>
      <c r="S47" s="284"/>
      <c r="T47" s="2" t="s">
        <v>9790</v>
      </c>
      <c r="U47" s="23">
        <f>COUNTIFS(SSKA!$Q$7:$Q$466,Rekap!$T47,SSKA!$P$7:$P$466,"&lt;=60")-COUNTIFS(SSKA!$Q$7:$Q$466,Rekap!$T47,SSKA!$P$7:$P$466,"&lt;24")</f>
        <v>0</v>
      </c>
      <c r="V47" s="23">
        <f>COUNTIFS(SJTA!$S$6:$S$331,T47,SJTA!$R$6:$R$331,"&lt;=60")-COUNTIFS(SJTA!$S$6:$S$331,T47,SJTA!$R$6:$R$331,"&lt;24")</f>
        <v>0</v>
      </c>
      <c r="W47" s="23">
        <f>COUNTIFS(SPJ!$P$5:$P$136,T33,SPJ!O$5:O$136,"&lt;=60")-COUNTIFS(SPJ!$P$5:$P$136,T33,SPJ!O$5:O$136,"&lt;24")</f>
        <v>0</v>
      </c>
      <c r="X47" s="23">
        <f>COUNTIFS(SMP!$P$6:$P$15,T47,SMP!$O$6:$O$15,"&lt;=60")-COUNTIFS(SMP!$P$6:$P$15,T47,SMP!$O$6:$O$15,"&lt;24")</f>
        <v>0</v>
      </c>
    </row>
    <row r="48" spans="2:24" x14ac:dyDescent="0.3">
      <c r="B48" s="284"/>
      <c r="C48" s="2" t="s">
        <v>31</v>
      </c>
      <c r="D48" s="23">
        <f>COUNTIFS('Data Angt'!$H$5:$H$5710,C48,'Data Angt'!$F$5:$F$5710,"&lt;24")-COUNTIFS('Data Angt'!$H$5:$H$5710,C48,'Data Angt'!$F$5:$F$5710,"&lt;17")</f>
        <v>6</v>
      </c>
      <c r="E48" s="4">
        <f t="shared" si="10"/>
        <v>1.1194029850746269E-3</v>
      </c>
      <c r="G48" s="34"/>
      <c r="H48" s="284"/>
      <c r="I48" s="2" t="s">
        <v>13</v>
      </c>
      <c r="J48" s="23">
        <f>COUNTIFS(Pinjaman!$X$6:$X$1373,$I48,Pinjaman!$W$6:$W$1373,J$40,Pinjaman!$V$6:$V$1373,"&lt;24")</f>
        <v>0</v>
      </c>
      <c r="K48" s="23">
        <f>COUNTIFS(Pinjaman!$X$6:$X$1373,$I48,Pinjaman!$W$6:$W$1373,K$40,Pinjaman!$V$6:$V$1373,"&lt;24")</f>
        <v>0</v>
      </c>
      <c r="L48" s="23">
        <f>COUNTIFS(Pinjaman!$X$6:$X$1373,$I48,Pinjaman!$W$6:$W$1373,L$40,Pinjaman!$V$6:$V$1373,"&lt;24")</f>
        <v>0</v>
      </c>
      <c r="M48" s="23">
        <f>COUNTIFS(Pinjaman!$X$6:$X$1373,$I48,Pinjaman!$W$6:$W$1373,M$40,Pinjaman!$V$6:$V$1373,"&lt;24")</f>
        <v>0</v>
      </c>
      <c r="N48" s="23">
        <f>COUNTIFS(Pinjaman!$X$6:$X$1373,$I48,Pinjaman!$W$6:$W$1373,N$40,Pinjaman!$V$6:$V$1373,"&lt;24")</f>
        <v>0</v>
      </c>
      <c r="O48" s="23">
        <f>COUNTIFS(Pinjaman!$X$6:$X$1373,$I48,Pinjaman!$W$6:$W$1373,0,Pinjaman!$V$6:$V$1373,"&lt;24")</f>
        <v>0</v>
      </c>
      <c r="P48" s="26">
        <f t="shared" si="13"/>
        <v>0</v>
      </c>
      <c r="R48" s="34"/>
      <c r="S48" s="284"/>
      <c r="T48" s="2" t="s">
        <v>13</v>
      </c>
      <c r="U48" s="23">
        <f>COUNTIFS(SSKA!$Q$7:$Q$466,Rekap!$T48,SSKA!$P$7:$P$466,"&lt;=60")-COUNTIFS(SSKA!$Q$7:$Q$466,Rekap!$T48,SSKA!$P$7:$P$466,"&lt;24")</f>
        <v>0</v>
      </c>
      <c r="V48" s="23">
        <f>COUNTIFS(SJTA!$S$6:$S$331,T48,SJTA!$R$6:$R$331,"&lt;=60")-COUNTIFS(SJTA!$S$6:$S$331,T48,SJTA!$R$6:$R$331,"&lt;24")</f>
        <v>3</v>
      </c>
      <c r="W48" s="23">
        <f>COUNTIFS(SPJ!$P$5:$P$136,T34,SPJ!O$5:O$136,"&lt;=60")-COUNTIFS(SPJ!$P$5:$P$136,T34,SPJ!O$5:O$136,"&lt;24")</f>
        <v>2</v>
      </c>
      <c r="X48" s="23">
        <f>COUNTIFS(SMP!$P$6:$P$15,T48,SMP!$O$6:$O$15,"&lt;=60")-COUNTIFS(SMP!$P$6:$P$15,T48,SMP!$O$6:$O$15,"&lt;24")</f>
        <v>0</v>
      </c>
    </row>
    <row r="49" spans="2:24" x14ac:dyDescent="0.3">
      <c r="B49" s="284"/>
      <c r="C49" s="2" t="s">
        <v>9785</v>
      </c>
      <c r="D49" s="23">
        <f>COUNTIFS('Data Angt'!$H$5:$H$5710,C49,'Data Angt'!$F$5:$F$5710,"&lt;24")-COUNTIFS('Data Angt'!$H$5:$H$5710,C49,'Data Angt'!$F$5:$F$5710,"&lt;17")</f>
        <v>2</v>
      </c>
      <c r="E49" s="4">
        <f t="shared" si="10"/>
        <v>3.7313432835820896E-4</v>
      </c>
      <c r="G49" s="34"/>
      <c r="H49" s="284"/>
      <c r="I49" s="2" t="s">
        <v>9791</v>
      </c>
      <c r="J49" s="23">
        <f>COUNTIFS(Pinjaman!$X$6:$X$1373,$I49,Pinjaman!$W$6:$W$1373,J$40,Pinjaman!$V$6:$V$1373,"&lt;24")</f>
        <v>0</v>
      </c>
      <c r="K49" s="23">
        <f>COUNTIFS(Pinjaman!$X$6:$X$1373,$I49,Pinjaman!$W$6:$W$1373,K$40,Pinjaman!$V$6:$V$1373,"&lt;24")</f>
        <v>0</v>
      </c>
      <c r="L49" s="23">
        <f>COUNTIFS(Pinjaman!$X$6:$X$1373,$I49,Pinjaman!$W$6:$W$1373,L$40,Pinjaman!$V$6:$V$1373,"&lt;24")</f>
        <v>0</v>
      </c>
      <c r="M49" s="23">
        <f>COUNTIFS(Pinjaman!$X$6:$X$1373,$I49,Pinjaman!$W$6:$W$1373,M$40,Pinjaman!$V$6:$V$1373,"&lt;24")</f>
        <v>0</v>
      </c>
      <c r="N49" s="23">
        <f>COUNTIFS(Pinjaman!$X$6:$X$1373,$I49,Pinjaman!$W$6:$W$1373,N$40,Pinjaman!$V$6:$V$1373,"&lt;24")</f>
        <v>0</v>
      </c>
      <c r="O49" s="23">
        <f>COUNTIFS(Pinjaman!$X$6:$X$1373,$I49,Pinjaman!$W$6:$W$1373,0,Pinjaman!$V$6:$V$1373,"&lt;24")</f>
        <v>0</v>
      </c>
      <c r="P49" s="26">
        <f t="shared" si="13"/>
        <v>0</v>
      </c>
      <c r="R49" s="34"/>
      <c r="S49" s="284"/>
      <c r="T49" s="2" t="s">
        <v>9791</v>
      </c>
      <c r="U49" s="23">
        <f>COUNTIFS(SSKA!$Q$7:$Q$466,Rekap!$T49,SSKA!$P$7:$P$466,"&lt;=60")-COUNTIFS(SSKA!$Q$7:$Q$466,Rekap!$T49,SSKA!$P$7:$P$466,"&lt;24")</f>
        <v>0</v>
      </c>
      <c r="V49" s="23">
        <f>COUNTIFS(SJTA!$S$6:$S$331,T49,SJTA!$R$6:$R$331,"&lt;=60")-COUNTIFS(SJTA!$S$6:$S$331,T49,SJTA!$R$6:$R$331,"&lt;24")</f>
        <v>9</v>
      </c>
      <c r="W49" s="23">
        <f>COUNTIFS(SPJ!$P$5:$P$136,T35,SPJ!O$5:O$136,"&lt;=60")-COUNTIFS(SPJ!$P$5:$P$136,T35,SPJ!O$5:O$136,"&lt;24")</f>
        <v>0</v>
      </c>
      <c r="X49" s="23">
        <f>COUNTIFS(SMP!$P$6:$P$15,T49,SMP!$O$6:$O$15,"&lt;=60")-COUNTIFS(SMP!$P$6:$P$15,T49,SMP!$O$6:$O$15,"&lt;24")</f>
        <v>0</v>
      </c>
    </row>
    <row r="50" spans="2:24" x14ac:dyDescent="0.3">
      <c r="B50" s="284"/>
      <c r="C50" s="2" t="s">
        <v>9789</v>
      </c>
      <c r="D50" s="23">
        <f>COUNTIFS('Data Angt'!$H$5:$H$5710,C50,'Data Angt'!$F$5:$F$5710,"&lt;24")-COUNTIFS('Data Angt'!$H$5:$H$5710,C50,'Data Angt'!$F$5:$F$5710,"&lt;17")</f>
        <v>3</v>
      </c>
      <c r="E50" s="4">
        <f t="shared" si="10"/>
        <v>5.5970149253731347E-4</v>
      </c>
      <c r="G50" s="34"/>
      <c r="H50" s="284"/>
      <c r="I50" s="2" t="s">
        <v>9793</v>
      </c>
      <c r="J50" s="23">
        <f>COUNTIFS(Pinjaman!$X$6:$X$1373,$I50,Pinjaman!$W$6:$W$1373,J$40,Pinjaman!$V$6:$V$1373,"&lt;24")</f>
        <v>0</v>
      </c>
      <c r="K50" s="23">
        <f>COUNTIFS(Pinjaman!$X$6:$X$1373,$I50,Pinjaman!$W$6:$W$1373,K$40,Pinjaman!$V$6:$V$1373,"&lt;24")</f>
        <v>0</v>
      </c>
      <c r="L50" s="23">
        <f>COUNTIFS(Pinjaman!$X$6:$X$1373,$I50,Pinjaman!$W$6:$W$1373,L$40,Pinjaman!$V$6:$V$1373,"&lt;24")</f>
        <v>0</v>
      </c>
      <c r="M50" s="23">
        <f>COUNTIFS(Pinjaman!$X$6:$X$1373,$I50,Pinjaman!$W$6:$W$1373,M$40,Pinjaman!$V$6:$V$1373,"&lt;24")</f>
        <v>0</v>
      </c>
      <c r="N50" s="23">
        <f>COUNTIFS(Pinjaman!$X$6:$X$1373,$I50,Pinjaman!$W$6:$W$1373,N$40,Pinjaman!$V$6:$V$1373,"&lt;24")</f>
        <v>0</v>
      </c>
      <c r="O50" s="23">
        <f>COUNTIFS(Pinjaman!$X$6:$X$1373,$I50,Pinjaman!$W$6:$W$1373,0,Pinjaman!$V$6:$V$1373,"&lt;24")</f>
        <v>0</v>
      </c>
      <c r="P50" s="26">
        <f t="shared" si="13"/>
        <v>0</v>
      </c>
      <c r="R50" s="34"/>
      <c r="S50" s="284"/>
      <c r="T50" s="2" t="s">
        <v>9793</v>
      </c>
      <c r="U50" s="23">
        <f>COUNTIFS(SSKA!$Q$7:$Q$466,Rekap!$T50,SSKA!$P$7:$P$466,"&lt;=60")-COUNTIFS(SSKA!$Q$7:$Q$466,Rekap!$T50,SSKA!$P$7:$P$466,"&lt;24")</f>
        <v>0</v>
      </c>
      <c r="V50" s="23">
        <f>COUNTIFS(SJTA!$S$6:$S$331,T50,SJTA!$R$6:$R$331,"&lt;=60")-COUNTIFS(SJTA!$S$6:$S$331,T50,SJTA!$R$6:$R$331,"&lt;24")</f>
        <v>0</v>
      </c>
      <c r="W50" s="23">
        <f>COUNTIFS(SPJ!$P$5:$P$136,T36,SPJ!O$5:O$136,"&lt;=60")-COUNTIFS(SPJ!$P$5:$P$136,T36,SPJ!O$5:O$136,"&lt;24")</f>
        <v>0</v>
      </c>
      <c r="X50" s="23">
        <f>COUNTIFS(SMP!$P$6:$P$15,T50,SMP!$O$6:$O$15,"&lt;=60")-COUNTIFS(SMP!$P$6:$P$15,T50,SMP!$O$6:$O$15,"&lt;24")</f>
        <v>0</v>
      </c>
    </row>
    <row r="51" spans="2:24" x14ac:dyDescent="0.3">
      <c r="B51" s="284"/>
      <c r="C51" s="2" t="s">
        <v>9790</v>
      </c>
      <c r="D51" s="23">
        <f>COUNTIFS('Data Angt'!$H$5:$H$5710,C51,'Data Angt'!$F$5:$F$5710,"&lt;24")-COUNTIFS('Data Angt'!$H$5:$H$5710,C51,'Data Angt'!$F$5:$F$5710,"&lt;17")</f>
        <v>0</v>
      </c>
      <c r="E51" s="4">
        <f t="shared" si="10"/>
        <v>0</v>
      </c>
      <c r="G51" s="34"/>
      <c r="H51" s="284"/>
      <c r="I51" s="2" t="s">
        <v>9787</v>
      </c>
      <c r="J51" s="23">
        <f>COUNTIFS(Pinjaman!$X$6:$X$1373,$I51,Pinjaman!$W$6:$W$1373,J$40,Pinjaman!$V$6:$V$1373,"&lt;24")</f>
        <v>0</v>
      </c>
      <c r="K51" s="23">
        <f>COUNTIFS(Pinjaman!$X$6:$X$1373,$I51,Pinjaman!$W$6:$W$1373,K$40,Pinjaman!$V$6:$V$1373,"&lt;24")</f>
        <v>0</v>
      </c>
      <c r="L51" s="23">
        <f>COUNTIFS(Pinjaman!$X$6:$X$1373,$I51,Pinjaman!$W$6:$W$1373,L$40,Pinjaman!$V$6:$V$1373,"&lt;24")</f>
        <v>0</v>
      </c>
      <c r="M51" s="23">
        <f>COUNTIFS(Pinjaman!$X$6:$X$1373,$I51,Pinjaman!$W$6:$W$1373,M$40,Pinjaman!$V$6:$V$1373,"&lt;24")</f>
        <v>0</v>
      </c>
      <c r="N51" s="23">
        <f>COUNTIFS(Pinjaman!$X$6:$X$1373,$I51,Pinjaman!$W$6:$W$1373,N$40,Pinjaman!$V$6:$V$1373,"&lt;24")</f>
        <v>0</v>
      </c>
      <c r="O51" s="23">
        <f>COUNTIFS(Pinjaman!$X$6:$X$1373,$I51,Pinjaman!$W$6:$W$1373,0,Pinjaman!$V$6:$V$1373,"&lt;24")</f>
        <v>0</v>
      </c>
      <c r="P51" s="26">
        <f t="shared" si="13"/>
        <v>0</v>
      </c>
      <c r="R51" s="34"/>
      <c r="S51" s="284"/>
      <c r="T51" s="2" t="s">
        <v>9787</v>
      </c>
      <c r="U51" s="23">
        <f>COUNTIFS(SSKA!$Q$7:$Q$466,Rekap!$T51,SSKA!$P$7:$P$466,"&lt;=60")-COUNTIFS(SSKA!$Q$7:$Q$466,Rekap!$T51,SSKA!$P$7:$P$466,"&lt;24")</f>
        <v>0</v>
      </c>
      <c r="V51" s="23">
        <f>COUNTIFS(SJTA!$S$6:$S$331,T51,SJTA!$R$6:$R$331,"&lt;=60")-COUNTIFS(SJTA!$S$6:$S$331,T51,SJTA!$R$6:$R$331,"&lt;24")</f>
        <v>1</v>
      </c>
      <c r="W51" s="23">
        <f>COUNTIFS(SPJ!$P$5:$P$136,T37,SPJ!O$5:O$136,"&lt;=60")-COUNTIFS(SPJ!$P$5:$P$136,T37,SPJ!O$5:O$136,"&lt;24")</f>
        <v>0</v>
      </c>
      <c r="X51" s="23">
        <f>COUNTIFS(SMP!$P$6:$P$15,T51,SMP!$O$6:$O$15,"&lt;=60")-COUNTIFS(SMP!$P$6:$P$15,T51,SMP!$O$6:$O$15,"&lt;24")</f>
        <v>0</v>
      </c>
    </row>
    <row r="52" spans="2:24" x14ac:dyDescent="0.3">
      <c r="B52" s="284"/>
      <c r="C52" s="2" t="s">
        <v>13</v>
      </c>
      <c r="D52" s="23">
        <f>COUNTIFS('Data Angt'!$H$5:$H$5710,C52,'Data Angt'!$F$5:$F$5710,"&lt;24")-COUNTIFS('Data Angt'!$H$5:$H$5710,C52,'Data Angt'!$F$5:$F$5710,"&lt;17")</f>
        <v>0</v>
      </c>
      <c r="E52" s="4">
        <f t="shared" si="10"/>
        <v>0</v>
      </c>
      <c r="G52" s="34"/>
      <c r="H52" s="284"/>
      <c r="I52" s="2" t="s">
        <v>9794</v>
      </c>
      <c r="J52" s="23">
        <f>COUNTIFS(Pinjaman!$X$6:$X$1373,$I52,Pinjaman!$W$6:$W$1373,J$40,Pinjaman!$V$6:$V$1373,"&lt;24")</f>
        <v>1</v>
      </c>
      <c r="K52" s="23">
        <f>COUNTIFS(Pinjaman!$X$6:$X$1373,$I52,Pinjaman!$W$6:$W$1373,K$40,Pinjaman!$V$6:$V$1373,"&lt;24")</f>
        <v>0</v>
      </c>
      <c r="L52" s="23">
        <f>COUNTIFS(Pinjaman!$X$6:$X$1373,$I52,Pinjaman!$W$6:$W$1373,L$40,Pinjaman!$V$6:$V$1373,"&lt;24")</f>
        <v>0</v>
      </c>
      <c r="M52" s="23">
        <f>COUNTIFS(Pinjaman!$X$6:$X$1373,$I52,Pinjaman!$W$6:$W$1373,M$40,Pinjaman!$V$6:$V$1373,"&lt;24")</f>
        <v>0</v>
      </c>
      <c r="N52" s="23">
        <f>COUNTIFS(Pinjaman!$X$6:$X$1373,$I52,Pinjaman!$W$6:$W$1373,N$40,Pinjaman!$V$6:$V$1373,"&lt;24")</f>
        <v>0</v>
      </c>
      <c r="O52" s="23">
        <f>COUNTIFS(Pinjaman!$X$6:$X$1373,$I52,Pinjaman!$W$6:$W$1373,0,Pinjaman!$V$6:$V$1373,"&lt;24")</f>
        <v>0</v>
      </c>
      <c r="P52" s="26">
        <f t="shared" si="13"/>
        <v>1</v>
      </c>
      <c r="R52" s="34"/>
      <c r="S52" s="284"/>
      <c r="T52" s="2" t="s">
        <v>9794</v>
      </c>
      <c r="U52" s="23">
        <f>COUNTIFS(SSKA!$Q$7:$Q$466,Rekap!$T52,SSKA!$P$7:$P$466,"&lt;=60")-COUNTIFS(SSKA!$Q$7:$Q$466,Rekap!$T52,SSKA!$P$7:$P$466,"&lt;24")</f>
        <v>0</v>
      </c>
      <c r="V52" s="23">
        <f>COUNTIFS(SJTA!$S$6:$S$331,T52,SJTA!$R$6:$R$331,"&lt;=60")-COUNTIFS(SJTA!$S$6:$S$331,T52,SJTA!$R$6:$R$331,"&lt;24")</f>
        <v>3</v>
      </c>
      <c r="W52" s="23">
        <f>COUNTIFS(SPJ!$P$5:$P$136,T38,SPJ!O$5:O$136,"&lt;=60")-COUNTIFS(SPJ!$P$5:$P$136,T38,SPJ!O$5:O$136,"&lt;24")</f>
        <v>1</v>
      </c>
      <c r="X52" s="23">
        <f>COUNTIFS(SMP!$P$6:$P$15,T52,SMP!$O$6:$O$15,"&lt;=60")-COUNTIFS(SMP!$P$6:$P$15,T52,SMP!$O$6:$O$15,"&lt;24")</f>
        <v>0</v>
      </c>
    </row>
    <row r="53" spans="2:24" x14ac:dyDescent="0.3">
      <c r="B53" s="284"/>
      <c r="C53" s="2" t="s">
        <v>9791</v>
      </c>
      <c r="D53" s="23">
        <f>COUNTIFS('Data Angt'!$H$5:$H$5710,C53,'Data Angt'!$F$5:$F$5710,"&lt;24")-COUNTIFS('Data Angt'!$H$5:$H$5710,C53,'Data Angt'!$F$5:$F$5710,"&lt;17")</f>
        <v>0</v>
      </c>
      <c r="E53" s="4">
        <f t="shared" si="10"/>
        <v>0</v>
      </c>
      <c r="G53" s="34"/>
      <c r="H53" s="284"/>
      <c r="I53" s="2" t="s">
        <v>9802</v>
      </c>
      <c r="J53" s="23">
        <f>COUNTIFS(Pinjaman!$X$6:$X$1373,0,Pinjaman!$W$6:$W$1373,J$40,Pinjaman!$V$6:$V$1373,"&lt;24")</f>
        <v>0</v>
      </c>
      <c r="K53" s="23">
        <f>COUNTIFS(Pinjaman!$X$6:$X$1373,0,Pinjaman!$W$6:$W$1373,K$40,Pinjaman!$V$6:$V$1373,"&lt;24")</f>
        <v>1</v>
      </c>
      <c r="L53" s="23">
        <f>COUNTIFS(Pinjaman!$X$6:$X$1373,0,Pinjaman!$W$6:$W$1373,L$40,Pinjaman!$V$6:$V$1373,"&lt;24")</f>
        <v>0</v>
      </c>
      <c r="M53" s="23">
        <f>COUNTIFS(Pinjaman!$X$6:$X$1373,0,Pinjaman!$W$6:$W$1373,M$40,Pinjaman!$V$6:$V$1373,"&lt;24")</f>
        <v>1</v>
      </c>
      <c r="N53" s="23">
        <f>COUNTIFS(Pinjaman!$X$6:$X$1373,0,Pinjaman!$W$6:$W$1373,N$40,Pinjaman!$V$6:$V$1373,"&lt;24")</f>
        <v>0</v>
      </c>
      <c r="O53" s="23">
        <f>COUNTIFS(Pinjaman!$X$6:$X$1373,0,Pinjaman!$W$6:$W$1373,0,Pinjaman!$V$6:$V$1373,"&lt;24")</f>
        <v>0</v>
      </c>
      <c r="P53" s="26">
        <f t="shared" si="13"/>
        <v>2</v>
      </c>
      <c r="R53" s="34"/>
      <c r="S53" s="284"/>
      <c r="T53" s="2" t="s">
        <v>9802</v>
      </c>
      <c r="U53" s="23">
        <f>COUNTIFS(SSKA!$Q$7:$Q$466,0,SSKA!$P$7:$P$466,"&lt;=60")-COUNTIFS(SSKA!$Q$7:$Q$466,0,SSKA!$P$7:$P$466,"&lt;24")</f>
        <v>0</v>
      </c>
      <c r="V53" s="23">
        <f>COUNTIFS(SJTA!$S$6:$S$331,0,SJTA!$R$6:$R$331,"&lt;=60")-COUNTIFS(SJTA!$S$6:$S$331,0,SJTA!$R$6:$R$331,"&lt;24")</f>
        <v>7</v>
      </c>
      <c r="W53" s="23">
        <f>COUNTIFS(SPJ!$P$5:$P$136,0,SPJ!O$5:O$136,"&lt;=60")-COUNTIFS(SPJ!$P$5:$P$136,0,SPJ!O$5:O$136,"&lt;24")</f>
        <v>1</v>
      </c>
      <c r="X53" s="23">
        <f>COUNTIFS(SMP!$P$6:$P$15,0,SMP!$O$6:$O$15,"&lt;=60")-COUNTIFS(SMP!$P$6:$P$15,0,SMP!$O$6:$O$15,"&lt;24")</f>
        <v>0</v>
      </c>
    </row>
    <row r="54" spans="2:24" x14ac:dyDescent="0.3">
      <c r="B54" s="284"/>
      <c r="C54" s="2" t="s">
        <v>9793</v>
      </c>
      <c r="D54" s="23">
        <f>COUNTIFS('Data Angt'!$H$5:$H$5710,C54,'Data Angt'!$F$5:$F$5710,"&lt;24")-COUNTIFS('Data Angt'!$H$5:$H$5710,C54,'Data Angt'!$F$5:$F$5710,"&lt;17")</f>
        <v>0</v>
      </c>
      <c r="E54" s="4">
        <f t="shared" si="10"/>
        <v>0</v>
      </c>
      <c r="G54" s="34"/>
      <c r="H54" s="284"/>
      <c r="I54" s="27" t="s">
        <v>9805</v>
      </c>
      <c r="J54" s="28">
        <f>SUM(J41:J53)</f>
        <v>14</v>
      </c>
      <c r="K54" s="28">
        <f t="shared" ref="K54:O54" si="14">SUM(K41:K53)</f>
        <v>6</v>
      </c>
      <c r="L54" s="28">
        <f t="shared" si="14"/>
        <v>3</v>
      </c>
      <c r="M54" s="28">
        <f t="shared" si="14"/>
        <v>7</v>
      </c>
      <c r="N54" s="28">
        <f t="shared" si="14"/>
        <v>0</v>
      </c>
      <c r="O54" s="28">
        <f t="shared" si="14"/>
        <v>0</v>
      </c>
      <c r="P54" s="28">
        <f>SUM(P41:P53)</f>
        <v>30</v>
      </c>
      <c r="R54" s="34"/>
      <c r="S54" s="54"/>
      <c r="T54" s="27" t="s">
        <v>9805</v>
      </c>
      <c r="U54" s="29">
        <f>SUM(U41:U53)</f>
        <v>0</v>
      </c>
      <c r="V54" s="29">
        <f t="shared" ref="V54" si="15">SUM(V41:V53)</f>
        <v>196</v>
      </c>
      <c r="W54" s="29">
        <f t="shared" ref="W54" si="16">SUM(W41:W53)</f>
        <v>108</v>
      </c>
      <c r="X54" s="29">
        <f t="shared" ref="X54" si="17">SUM(X41:X53)</f>
        <v>7</v>
      </c>
    </row>
    <row r="55" spans="2:24" x14ac:dyDescent="0.3">
      <c r="B55" s="284"/>
      <c r="C55" s="2" t="s">
        <v>9787</v>
      </c>
      <c r="D55" s="23">
        <f>COUNTIFS('Data Angt'!$H$5:$H$5710,C55,'Data Angt'!$F$5:$F$5710,"&lt;24")-COUNTIFS('Data Angt'!$H$5:$H$5710,C55,'Data Angt'!$F$5:$F$5710,"&lt;17")</f>
        <v>0</v>
      </c>
      <c r="E55" s="4">
        <f t="shared" si="10"/>
        <v>0</v>
      </c>
      <c r="G55" s="34"/>
      <c r="H55" s="284"/>
      <c r="I55" s="2" t="s">
        <v>9788</v>
      </c>
      <c r="J55" s="23">
        <f>COUNTIFS(Pinjaman!$X$6:$X$1373,$I55,Pinjaman!$W$6:$W$1373,J$40,Pinjaman!$V$6:$V$1373,"&lt;=60")-COUNTIFS(Pinjaman!$X$6:$X$1373,$I55,Pinjaman!$W$6:$W$1373,J$40,Pinjaman!$V$6:$V$1373,"&lt;24")</f>
        <v>99</v>
      </c>
      <c r="K55" s="23">
        <f>COUNTIFS(Pinjaman!$X$6:$X$1373,$I55,Pinjaman!$W$6:$W$1373,K$40,Pinjaman!$V$6:$V$1373,"&lt;=60")-COUNTIFS(Pinjaman!$X$6:$X$1373,$I55,Pinjaman!$W$6:$W$1373,K$40,Pinjaman!$V$6:$V$1373,"&lt;24")</f>
        <v>92</v>
      </c>
      <c r="L55" s="23">
        <f>COUNTIFS(Pinjaman!$X$6:$X$1373,$I55,Pinjaman!$W$6:$W$1373,L$40,Pinjaman!$V$6:$V$1373,"&lt;=60")-COUNTIFS(Pinjaman!$X$6:$X$1373,$I55,Pinjaman!$W$6:$W$1373,L$40,Pinjaman!$V$6:$V$1373,"&lt;24")</f>
        <v>56</v>
      </c>
      <c r="M55" s="23">
        <f>COUNTIFS(Pinjaman!$X$6:$X$1373,$I55,Pinjaman!$W$6:$W$1373,M$40,Pinjaman!$V$6:$V$1373,"&lt;=60")-COUNTIFS(Pinjaman!$X$6:$X$1373,$I55,Pinjaman!$W$6:$W$1373,M$40,Pinjaman!$V$6:$V$1373,"&lt;24")</f>
        <v>97</v>
      </c>
      <c r="N55" s="23">
        <f>COUNTIFS(Pinjaman!$X$6:$X$1373,$I55,Pinjaman!$W$6:$W$1373,N$40,Pinjaman!$V$6:$V$1373,"&lt;=60")-COUNTIFS(Pinjaman!$X$6:$X$1373,$I55,Pinjaman!$W$6:$W$1373,N$40,Pinjaman!$V$6:$V$1373,"&lt;24")</f>
        <v>5</v>
      </c>
      <c r="O55" s="23">
        <f>COUNTIFS(Pinjaman!$X$6:$X$1373,$I55,Pinjaman!$W$6:$W$1373,0,Pinjaman!$V$6:$V$1373,"&lt;=60")-COUNTIFS(Pinjaman!$X$6:$X$1373,$I55,Pinjaman!$W$6:$W$1373,O$40,Pinjaman!$V$6:$V$1373,"&lt;24")</f>
        <v>14</v>
      </c>
      <c r="P55" s="26">
        <f t="shared" si="13"/>
        <v>363</v>
      </c>
      <c r="R55" s="34"/>
      <c r="S55" s="284" t="s">
        <v>9800</v>
      </c>
      <c r="T55" s="2" t="s">
        <v>9788</v>
      </c>
      <c r="U55" s="23">
        <f>COUNTIFS(SSKA!$Q$7:$Q$466,T55,SSKA!$P$7:$P$466,"&gt;60")</f>
        <v>0</v>
      </c>
      <c r="V55" s="23">
        <f>COUNTIFS(SJTA!$S$6:$S$331,T55,SJTA!$R$6:$R$331,"&gt;60")</f>
        <v>4</v>
      </c>
      <c r="W55" s="23">
        <f>COUNTIFS(SPJ!$P$5:$P$136,T55,SPJ!O$5:O$136,"&gt;60")</f>
        <v>0</v>
      </c>
      <c r="X55" s="23">
        <f>COUNTIFS(SMP!$P$6:$P$15,T55,SMP!$O$6:$O$15,"&gt;60")</f>
        <v>0</v>
      </c>
    </row>
    <row r="56" spans="2:24" x14ac:dyDescent="0.3">
      <c r="B56" s="284"/>
      <c r="C56" s="2" t="s">
        <v>9794</v>
      </c>
      <c r="D56" s="23">
        <f>COUNTIFS('Data Angt'!$H$5:$H$5710,C56,'Data Angt'!$F$5:$F$5710,"&lt;24")-COUNTIFS('Data Angt'!$H$5:$H$5710,C56,'Data Angt'!$F$5:$F$5710,"&lt;17")</f>
        <v>16</v>
      </c>
      <c r="E56" s="4">
        <f t="shared" si="10"/>
        <v>2.9850746268656717E-3</v>
      </c>
      <c r="G56" s="34"/>
      <c r="H56" s="284"/>
      <c r="I56" s="2" t="s">
        <v>46</v>
      </c>
      <c r="J56" s="23">
        <f>COUNTIFS(Pinjaman!$X$6:$X$1373,$I56,Pinjaman!$W$6:$W$1373,J$40,Pinjaman!$V$6:$V$1373,"&lt;=60")-COUNTIFS(Pinjaman!$X$6:$X$1373,$I56,Pinjaman!$W$6:$W$1373,J$40,Pinjaman!$V$6:$V$1373,"&lt;24")</f>
        <v>47</v>
      </c>
      <c r="K56" s="23">
        <f>COUNTIFS(Pinjaman!$X$6:$X$1373,$I56,Pinjaman!$W$6:$W$1373,K$40,Pinjaman!$V$6:$V$1373,"&lt;=60")-COUNTIFS(Pinjaman!$X$6:$X$1373,$I56,Pinjaman!$W$6:$W$1373,K$40,Pinjaman!$V$6:$V$1373,"&lt;24")</f>
        <v>36</v>
      </c>
      <c r="L56" s="23">
        <f>COUNTIFS(Pinjaman!$X$6:$X$1373,$I56,Pinjaman!$W$6:$W$1373,L$40,Pinjaman!$V$6:$V$1373,"&lt;=60")-COUNTIFS(Pinjaman!$X$6:$X$1373,$I56,Pinjaman!$W$6:$W$1373,L$40,Pinjaman!$V$6:$V$1373,"&lt;24")</f>
        <v>43</v>
      </c>
      <c r="M56" s="23">
        <f>COUNTIFS(Pinjaman!$X$6:$X$1373,$I56,Pinjaman!$W$6:$W$1373,M$40,Pinjaman!$V$6:$V$1373,"&lt;=60")-COUNTIFS(Pinjaman!$X$6:$X$1373,$I56,Pinjaman!$W$6:$W$1373,M$40,Pinjaman!$V$6:$V$1373,"&lt;24")</f>
        <v>214</v>
      </c>
      <c r="N56" s="23">
        <f>COUNTIFS(Pinjaman!$X$6:$X$1373,$I56,Pinjaman!$W$6:$W$1373,N$40,Pinjaman!$V$6:$V$1373,"&lt;=60")-COUNTIFS(Pinjaman!$X$6:$X$1373,$I56,Pinjaman!$W$6:$W$1373,N$40,Pinjaman!$V$6:$V$1373,"&lt;24")</f>
        <v>3</v>
      </c>
      <c r="O56" s="23">
        <f>COUNTIFS(Pinjaman!$X$6:$X$1373,$I56,Pinjaman!$W$6:$W$1373,0,Pinjaman!$V$6:$V$1373,"&lt;=60")-COUNTIFS(Pinjaman!$X$6:$X$1373,$I56,Pinjaman!$W$6:$W$1373,O$40,Pinjaman!$V$6:$V$1373,"&lt;24")</f>
        <v>20</v>
      </c>
      <c r="P56" s="26">
        <f t="shared" si="13"/>
        <v>363</v>
      </c>
      <c r="R56" s="34"/>
      <c r="S56" s="284"/>
      <c r="T56" s="2" t="s">
        <v>46</v>
      </c>
      <c r="U56" s="23">
        <f>COUNTIFS(SSKA!$Q$7:$Q$466,T56,SSKA!$P$7:$P$466,"&gt;60")</f>
        <v>0</v>
      </c>
      <c r="V56" s="23">
        <f>COUNTIFS(SJTA!$S$6:$S$331,T56,SJTA!$R$6:$R$331,"&gt;60")</f>
        <v>12</v>
      </c>
      <c r="W56" s="23">
        <f>COUNTIFS(SPJ!$P$5:$P$136,T56,SPJ!O$5:O$136,"&gt;60")</f>
        <v>0</v>
      </c>
      <c r="X56" s="23">
        <f>COUNTIFS(SMP!$P$6:$P$15,T56,SMP!$O$6:$O$15,"&gt;60")</f>
        <v>0</v>
      </c>
    </row>
    <row r="57" spans="2:24" x14ac:dyDescent="0.3">
      <c r="B57" s="284"/>
      <c r="C57" s="2" t="s">
        <v>9802</v>
      </c>
      <c r="D57" s="23">
        <f>COUNTIFS('Data Angt'!$H$5:$H$5710,"",'Data Angt'!$F$5:$F$5710,"&lt;24")-COUNTIFS('Data Angt'!$H$5:$H$5710,"",'Data Angt'!$F$5:$F$5710,"&lt;17")</f>
        <v>34</v>
      </c>
      <c r="E57" s="4">
        <f t="shared" si="10"/>
        <v>6.3432835820895518E-3</v>
      </c>
      <c r="G57" s="34"/>
      <c r="H57" s="284"/>
      <c r="I57" s="2" t="s">
        <v>337</v>
      </c>
      <c r="J57" s="23">
        <f>COUNTIFS(Pinjaman!$X$6:$X$1373,$I57,Pinjaman!$W$6:$W$1373,J$40,Pinjaman!$V$6:$V$1373,"&lt;=60")-COUNTIFS(Pinjaman!$X$6:$X$1373,$I57,Pinjaman!$W$6:$W$1373,J$40,Pinjaman!$V$6:$V$1373,"&lt;24")</f>
        <v>1</v>
      </c>
      <c r="K57" s="23">
        <f>COUNTIFS(Pinjaman!$X$6:$X$1373,$I57,Pinjaman!$W$6:$W$1373,K$40,Pinjaman!$V$6:$V$1373,"&lt;=60")-COUNTIFS(Pinjaman!$X$6:$X$1373,$I57,Pinjaman!$W$6:$W$1373,K$40,Pinjaman!$V$6:$V$1373,"&lt;24")</f>
        <v>0</v>
      </c>
      <c r="L57" s="23">
        <f>COUNTIFS(Pinjaman!$X$6:$X$1373,$I57,Pinjaman!$W$6:$W$1373,L$40,Pinjaman!$V$6:$V$1373,"&lt;=60")-COUNTIFS(Pinjaman!$X$6:$X$1373,$I57,Pinjaman!$W$6:$W$1373,L$40,Pinjaman!$V$6:$V$1373,"&lt;24")</f>
        <v>0</v>
      </c>
      <c r="M57" s="23">
        <f>COUNTIFS(Pinjaman!$X$6:$X$1373,$I57,Pinjaman!$W$6:$W$1373,M$40,Pinjaman!$V$6:$V$1373,"&lt;=60")-COUNTIFS(Pinjaman!$X$6:$X$1373,$I57,Pinjaman!$W$6:$W$1373,M$40,Pinjaman!$V$6:$V$1373,"&lt;24")</f>
        <v>1</v>
      </c>
      <c r="N57" s="23">
        <f>COUNTIFS(Pinjaman!$X$6:$X$1373,$I57,Pinjaman!$W$6:$W$1373,N$40,Pinjaman!$V$6:$V$1373,"&lt;=60")-COUNTIFS(Pinjaman!$X$6:$X$1373,$I57,Pinjaman!$W$6:$W$1373,N$40,Pinjaman!$V$6:$V$1373,"&lt;24")</f>
        <v>0</v>
      </c>
      <c r="O57" s="23">
        <f>COUNTIFS(Pinjaman!$X$6:$X$1373,$I57,Pinjaman!$W$6:$W$1373,0,Pinjaman!$V$6:$V$1373,"&lt;=60")-COUNTIFS(Pinjaman!$X$6:$X$1373,$I57,Pinjaman!$W$6:$W$1373,O$40,Pinjaman!$V$6:$V$1373,"&lt;24")</f>
        <v>0</v>
      </c>
      <c r="P57" s="26">
        <f t="shared" si="13"/>
        <v>2</v>
      </c>
      <c r="R57" s="34"/>
      <c r="S57" s="284"/>
      <c r="T57" s="2" t="s">
        <v>337</v>
      </c>
      <c r="U57" s="23">
        <f>COUNTIFS(SSKA!$Q$7:$Q$466,T57,SSKA!$P$7:$P$466,"&gt;60")</f>
        <v>0</v>
      </c>
      <c r="V57" s="23">
        <f>COUNTIFS(SJTA!$S$6:$S$331,T57,SJTA!$R$6:$R$331,"&gt;60")</f>
        <v>0</v>
      </c>
      <c r="W57" s="23">
        <f>COUNTIFS(SPJ!$P$5:$P$136,T57,SPJ!O$5:O$136,"&gt;60")</f>
        <v>0</v>
      </c>
      <c r="X57" s="23">
        <f>COUNTIFS(SMP!$P$6:$P$15,T57,SMP!$O$6:$O$15,"&gt;60")</f>
        <v>0</v>
      </c>
    </row>
    <row r="58" spans="2:24" x14ac:dyDescent="0.3">
      <c r="B58" s="284"/>
      <c r="C58" s="27" t="s">
        <v>9805</v>
      </c>
      <c r="D58" s="29">
        <f>SUM(D45:D57)</f>
        <v>320</v>
      </c>
      <c r="E58" s="30">
        <f t="shared" si="10"/>
        <v>5.9701492537313432E-2</v>
      </c>
      <c r="G58" s="34"/>
      <c r="H58" s="284"/>
      <c r="I58" s="2" t="s">
        <v>31</v>
      </c>
      <c r="J58" s="23">
        <f>COUNTIFS(Pinjaman!$X$6:$X$1373,$I58,Pinjaman!$W$6:$W$1373,J$40,Pinjaman!$V$6:$V$1373,"&lt;=60")-COUNTIFS(Pinjaman!$X$6:$X$1373,$I58,Pinjaman!$W$6:$W$1373,J$40,Pinjaman!$V$6:$V$1373,"&lt;24")</f>
        <v>42</v>
      </c>
      <c r="K58" s="23">
        <f>COUNTIFS(Pinjaman!$X$6:$X$1373,$I58,Pinjaman!$W$6:$W$1373,K$40,Pinjaman!$V$6:$V$1373,"&lt;=60")-COUNTIFS(Pinjaman!$X$6:$X$1373,$I58,Pinjaman!$W$6:$W$1373,K$40,Pinjaman!$V$6:$V$1373,"&lt;24")</f>
        <v>18</v>
      </c>
      <c r="L58" s="23">
        <f>COUNTIFS(Pinjaman!$X$6:$X$1373,$I58,Pinjaman!$W$6:$W$1373,L$40,Pinjaman!$V$6:$V$1373,"&lt;=60")-COUNTIFS(Pinjaman!$X$6:$X$1373,$I58,Pinjaman!$W$6:$W$1373,L$40,Pinjaman!$V$6:$V$1373,"&lt;24")</f>
        <v>24</v>
      </c>
      <c r="M58" s="23">
        <f>COUNTIFS(Pinjaman!$X$6:$X$1373,$I58,Pinjaman!$W$6:$W$1373,M$40,Pinjaman!$V$6:$V$1373,"&lt;=60")-COUNTIFS(Pinjaman!$X$6:$X$1373,$I58,Pinjaman!$W$6:$W$1373,M$40,Pinjaman!$V$6:$V$1373,"&lt;24")</f>
        <v>63</v>
      </c>
      <c r="N58" s="23">
        <f>COUNTIFS(Pinjaman!$X$6:$X$1373,$I58,Pinjaman!$W$6:$W$1373,N$40,Pinjaman!$V$6:$V$1373,"&lt;=60")-COUNTIFS(Pinjaman!$X$6:$X$1373,$I58,Pinjaman!$W$6:$W$1373,N$40,Pinjaman!$V$6:$V$1373,"&lt;24")</f>
        <v>3</v>
      </c>
      <c r="O58" s="23">
        <f>COUNTIFS(Pinjaman!$X$6:$X$1373,$I58,Pinjaman!$W$6:$W$1373,0,Pinjaman!$V$6:$V$1373,"&lt;=60")-COUNTIFS(Pinjaman!$X$6:$X$1373,$I58,Pinjaman!$W$6:$W$1373,O$40,Pinjaman!$V$6:$V$1373,"&lt;24")</f>
        <v>13</v>
      </c>
      <c r="P58" s="26">
        <f t="shared" si="13"/>
        <v>163</v>
      </c>
      <c r="R58" s="34"/>
      <c r="S58" s="284"/>
      <c r="T58" s="2" t="s">
        <v>31</v>
      </c>
      <c r="U58" s="23">
        <f>COUNTIFS(SSKA!$Q$7:$Q$466,T58,SSKA!$P$7:$P$466,"&gt;60")</f>
        <v>0</v>
      </c>
      <c r="V58" s="23">
        <f>COUNTIFS(SJTA!$S$6:$S$331,T58,SJTA!$R$6:$R$331,"&gt;60")</f>
        <v>14</v>
      </c>
      <c r="W58" s="23">
        <f>COUNTIFS(SPJ!$P$5:$P$136,T58,SPJ!O$5:O$136,"&gt;60")</f>
        <v>0</v>
      </c>
      <c r="X58" s="23">
        <f>COUNTIFS(SMP!$P$6:$P$15,T58,SMP!$O$6:$O$15,"&gt;60")</f>
        <v>0</v>
      </c>
    </row>
    <row r="59" spans="2:24" x14ac:dyDescent="0.3">
      <c r="B59" s="284" t="s">
        <v>9799</v>
      </c>
      <c r="C59" s="2" t="s">
        <v>9788</v>
      </c>
      <c r="D59" s="23">
        <f>COUNTIFS('Data Angt'!$H$5:$H$5710,C59,'Data Angt'!$F$5:$F$5710,"&lt;=60")-COUNTIFS('Data Angt'!$H$5:$H$5710,C59,'Data Angt'!$F$5:$F$5710,"&lt;24")</f>
        <v>1426</v>
      </c>
      <c r="E59" s="4">
        <f t="shared" si="10"/>
        <v>0.26604477611940297</v>
      </c>
      <c r="G59" s="34"/>
      <c r="H59" s="284"/>
      <c r="I59" s="2" t="s">
        <v>9785</v>
      </c>
      <c r="J59" s="23">
        <f>COUNTIFS(Pinjaman!$X$6:$X$1373,$I59,Pinjaman!$W$6:$W$1373,J$40,Pinjaman!$V$6:$V$1373,"&lt;=60")-COUNTIFS(Pinjaman!$X$6:$X$1373,$I59,Pinjaman!$W$6:$W$1373,J$40,Pinjaman!$V$6:$V$1373,"&lt;24")</f>
        <v>31</v>
      </c>
      <c r="K59" s="23">
        <f>COUNTIFS(Pinjaman!$X$6:$X$1373,$I59,Pinjaman!$W$6:$W$1373,K$40,Pinjaman!$V$6:$V$1373,"&lt;=60")-COUNTIFS(Pinjaman!$X$6:$X$1373,$I59,Pinjaman!$W$6:$W$1373,K$40,Pinjaman!$V$6:$V$1373,"&lt;24")</f>
        <v>19</v>
      </c>
      <c r="L59" s="23">
        <f>COUNTIFS(Pinjaman!$X$6:$X$1373,$I59,Pinjaman!$W$6:$W$1373,L$40,Pinjaman!$V$6:$V$1373,"&lt;=60")-COUNTIFS(Pinjaman!$X$6:$X$1373,$I59,Pinjaman!$W$6:$W$1373,L$40,Pinjaman!$V$6:$V$1373,"&lt;24")</f>
        <v>33</v>
      </c>
      <c r="M59" s="23">
        <f>COUNTIFS(Pinjaman!$X$6:$X$1373,$I59,Pinjaman!$W$6:$W$1373,M$40,Pinjaman!$V$6:$V$1373,"&lt;=60")-COUNTIFS(Pinjaman!$X$6:$X$1373,$I59,Pinjaman!$W$6:$W$1373,M$40,Pinjaman!$V$6:$V$1373,"&lt;24")</f>
        <v>32</v>
      </c>
      <c r="N59" s="23">
        <f>COUNTIFS(Pinjaman!$X$6:$X$1373,$I59,Pinjaman!$W$6:$W$1373,N$40,Pinjaman!$V$6:$V$1373,"&lt;=60")-COUNTIFS(Pinjaman!$X$6:$X$1373,$I59,Pinjaman!$W$6:$W$1373,N$40,Pinjaman!$V$6:$V$1373,"&lt;24")</f>
        <v>0</v>
      </c>
      <c r="O59" s="23">
        <f>COUNTIFS(Pinjaman!$X$6:$X$1373,$I59,Pinjaman!$W$6:$W$1373,0,Pinjaman!$V$6:$V$1373,"&lt;=60")-COUNTIFS(Pinjaman!$X$6:$X$1373,$I59,Pinjaman!$W$6:$W$1373,O$40,Pinjaman!$V$6:$V$1373,"&lt;24")</f>
        <v>3</v>
      </c>
      <c r="P59" s="26">
        <f t="shared" si="13"/>
        <v>118</v>
      </c>
      <c r="R59" s="34"/>
      <c r="S59" s="284"/>
      <c r="T59" s="2" t="s">
        <v>9785</v>
      </c>
      <c r="U59" s="23">
        <f>COUNTIFS(SSKA!$Q$7:$Q$466,T59,SSKA!$P$7:$P$466,"&gt;60")</f>
        <v>0</v>
      </c>
      <c r="V59" s="23">
        <f>COUNTIFS(SJTA!$S$6:$S$331,T59,SJTA!$R$6:$R$331,"&gt;60")</f>
        <v>2</v>
      </c>
      <c r="W59" s="23">
        <f>COUNTIFS(SPJ!$P$5:$P$136,T59,SPJ!O$5:O$136,"&gt;60")</f>
        <v>0</v>
      </c>
      <c r="X59" s="23">
        <f>COUNTIFS(SMP!$P$6:$P$15,T59,SMP!$O$6:$O$15,"&gt;60")</f>
        <v>0</v>
      </c>
    </row>
    <row r="60" spans="2:24" x14ac:dyDescent="0.3">
      <c r="B60" s="284"/>
      <c r="C60" s="2" t="s">
        <v>46</v>
      </c>
      <c r="D60" s="23">
        <f>COUNTIFS('Data Angt'!$H$5:$H$5710,C60,'Data Angt'!$F$5:$F$5710,"&lt;=60")-COUNTIFS('Data Angt'!$H$5:$H$5710,C60,'Data Angt'!$F$5:$F$5710,"&lt;24")</f>
        <v>1113</v>
      </c>
      <c r="E60" s="4">
        <f t="shared" si="10"/>
        <v>0.2076492537313433</v>
      </c>
      <c r="G60" s="34"/>
      <c r="H60" s="284"/>
      <c r="I60" s="2" t="s">
        <v>9789</v>
      </c>
      <c r="J60" s="23">
        <f>COUNTIFS(Pinjaman!$X$6:$X$1373,$I60,Pinjaman!$W$6:$W$1373,J$40,Pinjaman!$V$6:$V$1373,"&lt;=60")-COUNTIFS(Pinjaman!$X$6:$X$1373,$I60,Pinjaman!$W$6:$W$1373,J$40,Pinjaman!$V$6:$V$1373,"&lt;24")</f>
        <v>19</v>
      </c>
      <c r="K60" s="23">
        <f>COUNTIFS(Pinjaman!$X$6:$X$1373,$I60,Pinjaman!$W$6:$W$1373,K$40,Pinjaman!$V$6:$V$1373,"&lt;=60")-COUNTIFS(Pinjaman!$X$6:$X$1373,$I60,Pinjaman!$W$6:$W$1373,K$40,Pinjaman!$V$6:$V$1373,"&lt;24")</f>
        <v>18</v>
      </c>
      <c r="L60" s="23">
        <f>COUNTIFS(Pinjaman!$X$6:$X$1373,$I60,Pinjaman!$W$6:$W$1373,L$40,Pinjaman!$V$6:$V$1373,"&lt;=60")-COUNTIFS(Pinjaman!$X$6:$X$1373,$I60,Pinjaman!$W$6:$W$1373,L$40,Pinjaman!$V$6:$V$1373,"&lt;24")</f>
        <v>15</v>
      </c>
      <c r="M60" s="23">
        <f>COUNTIFS(Pinjaman!$X$6:$X$1373,$I60,Pinjaman!$W$6:$W$1373,M$40,Pinjaman!$V$6:$V$1373,"&lt;=60")-COUNTIFS(Pinjaman!$X$6:$X$1373,$I60,Pinjaman!$W$6:$W$1373,M$40,Pinjaman!$V$6:$V$1373,"&lt;24")</f>
        <v>23</v>
      </c>
      <c r="N60" s="23">
        <f>COUNTIFS(Pinjaman!$X$6:$X$1373,$I60,Pinjaman!$W$6:$W$1373,N$40,Pinjaman!$V$6:$V$1373,"&lt;=60")-COUNTIFS(Pinjaman!$X$6:$X$1373,$I60,Pinjaman!$W$6:$W$1373,N$40,Pinjaman!$V$6:$V$1373,"&lt;24")</f>
        <v>2</v>
      </c>
      <c r="O60" s="23">
        <f>COUNTIFS(Pinjaman!$X$6:$X$1373,$I60,Pinjaman!$W$6:$W$1373,0,Pinjaman!$V$6:$V$1373,"&lt;=60")-COUNTIFS(Pinjaman!$X$6:$X$1373,$I60,Pinjaman!$W$6:$W$1373,O$40,Pinjaman!$V$6:$V$1373,"&lt;24")</f>
        <v>3</v>
      </c>
      <c r="P60" s="26">
        <f t="shared" si="13"/>
        <v>80</v>
      </c>
      <c r="R60" s="34"/>
      <c r="S60" s="284"/>
      <c r="T60" s="2" t="s">
        <v>9789</v>
      </c>
      <c r="U60" s="23">
        <f>COUNTIFS(SSKA!$Q$7:$Q$466,T60,SSKA!$P$7:$P$466,"&gt;60")</f>
        <v>0</v>
      </c>
      <c r="V60" s="23">
        <f>COUNTIFS(SJTA!$S$6:$S$331,T60,SJTA!$R$6:$R$331,"&gt;60")</f>
        <v>3</v>
      </c>
      <c r="W60" s="23">
        <f>COUNTIFS(SPJ!$P$5:$P$136,T60,SPJ!O$5:O$136,"&gt;60")</f>
        <v>0</v>
      </c>
      <c r="X60" s="23">
        <f>COUNTIFS(SMP!$P$6:$P$15,T60,SMP!$O$6:$O$15,"&gt;60")</f>
        <v>0</v>
      </c>
    </row>
    <row r="61" spans="2:24" x14ac:dyDescent="0.3">
      <c r="B61" s="284"/>
      <c r="C61" s="2" t="s">
        <v>337</v>
      </c>
      <c r="D61" s="23">
        <f>COUNTIFS('Data Angt'!$H$5:$H$5710,C61,'Data Angt'!$F$5:$F$5710,"&lt;=60")-COUNTIFS('Data Angt'!$H$5:$H$5710,C61,'Data Angt'!$F$5:$F$5710,"&lt;24")</f>
        <v>53</v>
      </c>
      <c r="E61" s="4">
        <f t="shared" si="10"/>
        <v>9.8880597014925371E-3</v>
      </c>
      <c r="G61" s="34"/>
      <c r="H61" s="284" t="s">
        <v>9800</v>
      </c>
      <c r="I61" s="2" t="s">
        <v>9790</v>
      </c>
      <c r="J61" s="23">
        <f>COUNTIFS(Pinjaman!$X$6:$X$1373,$I61,Pinjaman!$W$6:$W$1373,J$40,Pinjaman!$V$6:$V$1373,"&lt;=60")-COUNTIFS(Pinjaman!$X$6:$X$1373,$I61,Pinjaman!$W$6:$W$1373,J$40,Pinjaman!$V$6:$V$1373,"&lt;24")</f>
        <v>0</v>
      </c>
      <c r="K61" s="23">
        <f>COUNTIFS(Pinjaman!$X$6:$X$1373,$I61,Pinjaman!$W$6:$W$1373,K$40,Pinjaman!$V$6:$V$1373,"&lt;=60")-COUNTIFS(Pinjaman!$X$6:$X$1373,$I61,Pinjaman!$W$6:$W$1373,K$40,Pinjaman!$V$6:$V$1373,"&lt;24")</f>
        <v>0</v>
      </c>
      <c r="L61" s="23">
        <f>COUNTIFS(Pinjaman!$X$6:$X$1373,$I61,Pinjaman!$W$6:$W$1373,L$40,Pinjaman!$V$6:$V$1373,"&lt;=60")-COUNTIFS(Pinjaman!$X$6:$X$1373,$I61,Pinjaman!$W$6:$W$1373,L$40,Pinjaman!$V$6:$V$1373,"&lt;24")</f>
        <v>0</v>
      </c>
      <c r="M61" s="23">
        <f>COUNTIFS(Pinjaman!$X$6:$X$1373,$I61,Pinjaman!$W$6:$W$1373,M$40,Pinjaman!$V$6:$V$1373,"&lt;=60")-COUNTIFS(Pinjaman!$X$6:$X$1373,$I61,Pinjaman!$W$6:$W$1373,M$40,Pinjaman!$V$6:$V$1373,"&lt;24")</f>
        <v>0</v>
      </c>
      <c r="N61" s="23">
        <f>COUNTIFS(Pinjaman!$X$6:$X$1373,$I61,Pinjaman!$W$6:$W$1373,N$40,Pinjaman!$V$6:$V$1373,"&lt;=60")-COUNTIFS(Pinjaman!$X$6:$X$1373,$I61,Pinjaman!$W$6:$W$1373,N$40,Pinjaman!$V$6:$V$1373,"&lt;24")</f>
        <v>0</v>
      </c>
      <c r="O61" s="23">
        <f>COUNTIFS(Pinjaman!$X$6:$X$1373,$I61,Pinjaman!$W$6:$W$1373,0,Pinjaman!$V$6:$V$1373,"&lt;=60")-COUNTIFS(Pinjaman!$X$6:$X$1373,$I61,Pinjaman!$W$6:$W$1373,O$40,Pinjaman!$V$6:$V$1373,"&lt;24")</f>
        <v>0</v>
      </c>
      <c r="P61" s="26">
        <f t="shared" si="13"/>
        <v>0</v>
      </c>
      <c r="R61" s="34"/>
      <c r="S61" s="284"/>
      <c r="T61" s="2" t="s">
        <v>9790</v>
      </c>
      <c r="U61" s="23">
        <f>COUNTIFS(SSKA!$Q$7:$Q$466,T61,SSKA!$P$7:$P$466,"&gt;60")</f>
        <v>0</v>
      </c>
      <c r="V61" s="23">
        <f>COUNTIFS(SJTA!$S$6:$S$331,T61,SJTA!$R$6:$R$331,"&gt;60")</f>
        <v>0</v>
      </c>
      <c r="W61" s="23">
        <f>COUNTIFS(SPJ!$P$5:$P$136,T61,SPJ!O$5:O$136,"&gt;60")</f>
        <v>0</v>
      </c>
      <c r="X61" s="23">
        <f>COUNTIFS(SMP!$P$6:$P$15,T61,SMP!$O$6:$O$15,"&gt;60")</f>
        <v>0</v>
      </c>
    </row>
    <row r="62" spans="2:24" x14ac:dyDescent="0.3">
      <c r="B62" s="284"/>
      <c r="C62" s="2" t="s">
        <v>31</v>
      </c>
      <c r="D62" s="23">
        <f>COUNTIFS('Data Angt'!$H$5:$H$5710,C62,'Data Angt'!$F$5:$F$5710,"&lt;=60")-COUNTIFS('Data Angt'!$H$5:$H$5710,C62,'Data Angt'!$F$5:$F$5710,"&lt;24")</f>
        <v>650</v>
      </c>
      <c r="E62" s="4">
        <f t="shared" si="10"/>
        <v>0.12126865671641791</v>
      </c>
      <c r="G62" s="34"/>
      <c r="H62" s="284"/>
      <c r="I62" s="2" t="s">
        <v>13</v>
      </c>
      <c r="J62" s="23">
        <f>COUNTIFS(Pinjaman!$X$6:$X$1373,$I62,Pinjaman!$W$6:$W$1373,J$40,Pinjaman!$V$6:$V$1373,"&lt;=60")-COUNTIFS(Pinjaman!$X$6:$X$1373,$I62,Pinjaman!$W$6:$W$1373,J$40,Pinjaman!$V$6:$V$1373,"&lt;24")</f>
        <v>1</v>
      </c>
      <c r="K62" s="23">
        <f>COUNTIFS(Pinjaman!$X$6:$X$1373,$I62,Pinjaman!$W$6:$W$1373,K$40,Pinjaman!$V$6:$V$1373,"&lt;=60")-COUNTIFS(Pinjaman!$X$6:$X$1373,$I62,Pinjaman!$W$6:$W$1373,K$40,Pinjaman!$V$6:$V$1373,"&lt;24")</f>
        <v>2</v>
      </c>
      <c r="L62" s="23">
        <f>COUNTIFS(Pinjaman!$X$6:$X$1373,$I62,Pinjaman!$W$6:$W$1373,L$40,Pinjaman!$V$6:$V$1373,"&lt;=60")-COUNTIFS(Pinjaman!$X$6:$X$1373,$I62,Pinjaman!$W$6:$W$1373,L$40,Pinjaman!$V$6:$V$1373,"&lt;24")</f>
        <v>1</v>
      </c>
      <c r="M62" s="23">
        <f>COUNTIFS(Pinjaman!$X$6:$X$1373,$I62,Pinjaman!$W$6:$W$1373,M$40,Pinjaman!$V$6:$V$1373,"&lt;=60")-COUNTIFS(Pinjaman!$X$6:$X$1373,$I62,Pinjaman!$W$6:$W$1373,M$40,Pinjaman!$V$6:$V$1373,"&lt;24")</f>
        <v>3</v>
      </c>
      <c r="N62" s="23">
        <f>COUNTIFS(Pinjaman!$X$6:$X$1373,$I62,Pinjaman!$W$6:$W$1373,N$40,Pinjaman!$V$6:$V$1373,"&lt;=60")-COUNTIFS(Pinjaman!$X$6:$X$1373,$I62,Pinjaman!$W$6:$W$1373,N$40,Pinjaman!$V$6:$V$1373,"&lt;24")</f>
        <v>0</v>
      </c>
      <c r="O62" s="23">
        <f>COUNTIFS(Pinjaman!$X$6:$X$1373,$I62,Pinjaman!$W$6:$W$1373,0,Pinjaman!$V$6:$V$1373,"&lt;=60")-COUNTIFS(Pinjaman!$X$6:$X$1373,$I62,Pinjaman!$W$6:$W$1373,O$40,Pinjaman!$V$6:$V$1373,"&lt;24")</f>
        <v>0</v>
      </c>
      <c r="P62" s="26">
        <f t="shared" si="13"/>
        <v>7</v>
      </c>
      <c r="R62" s="34"/>
      <c r="S62" s="284"/>
      <c r="T62" s="2" t="s">
        <v>13</v>
      </c>
      <c r="U62" s="23">
        <f>COUNTIFS(SSKA!$Q$7:$Q$466,T62,SSKA!$P$7:$P$466,"&gt;60")</f>
        <v>0</v>
      </c>
      <c r="V62" s="23">
        <f>COUNTIFS(SJTA!$S$6:$S$331,T62,SJTA!$R$6:$R$331,"&gt;60")</f>
        <v>29</v>
      </c>
      <c r="W62" s="23">
        <f>COUNTIFS(SPJ!$P$5:$P$136,T62,SPJ!O$5:O$136,"&gt;60")</f>
        <v>2</v>
      </c>
      <c r="X62" s="23">
        <f>COUNTIFS(SMP!$P$6:$P$15,T62,SMP!$O$6:$O$15,"&gt;60")</f>
        <v>1</v>
      </c>
    </row>
    <row r="63" spans="2:24" x14ac:dyDescent="0.3">
      <c r="B63" s="284"/>
      <c r="C63" s="2" t="s">
        <v>9785</v>
      </c>
      <c r="D63" s="23">
        <f>COUNTIFS('Data Angt'!$H$5:$H$5710,C63,'Data Angt'!$F$5:$F$5710,"&lt;=60")-COUNTIFS('Data Angt'!$H$5:$H$5710,C63,'Data Angt'!$F$5:$F$5710,"&lt;24")</f>
        <v>414</v>
      </c>
      <c r="E63" s="4">
        <f t="shared" ref="E63:E86" si="18">D63/$D$27</f>
        <v>7.723880597014926E-2</v>
      </c>
      <c r="G63" s="34"/>
      <c r="H63" s="284"/>
      <c r="I63" s="2" t="s">
        <v>9791</v>
      </c>
      <c r="J63" s="23">
        <f>COUNTIFS(Pinjaman!$X$6:$X$1373,$I63,Pinjaman!$W$6:$W$1373,J$40,Pinjaman!$V$6:$V$1373,"&lt;=60")-COUNTIFS(Pinjaman!$X$6:$X$1373,$I63,Pinjaman!$W$6:$W$1373,J$40,Pinjaman!$V$6:$V$1373,"&lt;24")</f>
        <v>0</v>
      </c>
      <c r="K63" s="23">
        <f>COUNTIFS(Pinjaman!$X$6:$X$1373,$I63,Pinjaman!$W$6:$W$1373,K$40,Pinjaman!$V$6:$V$1373,"&lt;=60")-COUNTIFS(Pinjaman!$X$6:$X$1373,$I63,Pinjaman!$W$6:$W$1373,K$40,Pinjaman!$V$6:$V$1373,"&lt;24")</f>
        <v>0</v>
      </c>
      <c r="L63" s="23">
        <f>COUNTIFS(Pinjaman!$X$6:$X$1373,$I63,Pinjaman!$W$6:$W$1373,L$40,Pinjaman!$V$6:$V$1373,"&lt;=60")-COUNTIFS(Pinjaman!$X$6:$X$1373,$I63,Pinjaman!$W$6:$W$1373,L$40,Pinjaman!$V$6:$V$1373,"&lt;24")</f>
        <v>0</v>
      </c>
      <c r="M63" s="23">
        <f>COUNTIFS(Pinjaman!$X$6:$X$1373,$I63,Pinjaman!$W$6:$W$1373,M$40,Pinjaman!$V$6:$V$1373,"&lt;=60")-COUNTIFS(Pinjaman!$X$6:$X$1373,$I63,Pinjaman!$W$6:$W$1373,M$40,Pinjaman!$V$6:$V$1373,"&lt;24")</f>
        <v>0</v>
      </c>
      <c r="N63" s="23">
        <f>COUNTIFS(Pinjaman!$X$6:$X$1373,$I63,Pinjaman!$W$6:$W$1373,N$40,Pinjaman!$V$6:$V$1373,"&lt;=60")-COUNTIFS(Pinjaman!$X$6:$X$1373,$I63,Pinjaman!$W$6:$W$1373,N$40,Pinjaman!$V$6:$V$1373,"&lt;24")</f>
        <v>0</v>
      </c>
      <c r="O63" s="23">
        <f>COUNTIFS(Pinjaman!$X$6:$X$1373,$I63,Pinjaman!$W$6:$W$1373,0,Pinjaman!$V$6:$V$1373,"&lt;=60")-COUNTIFS(Pinjaman!$X$6:$X$1373,$I63,Pinjaman!$W$6:$W$1373,O$40,Pinjaman!$V$6:$V$1373,"&lt;24")</f>
        <v>0</v>
      </c>
      <c r="P63" s="26">
        <f t="shared" si="13"/>
        <v>0</v>
      </c>
      <c r="R63" s="34"/>
      <c r="S63" s="284"/>
      <c r="T63" s="2" t="s">
        <v>9791</v>
      </c>
      <c r="U63" s="23">
        <f>COUNTIFS(SSKA!$Q$7:$Q$466,T63,SSKA!$P$7:$P$466,"&gt;60")</f>
        <v>0</v>
      </c>
      <c r="V63" s="23">
        <f>COUNTIFS(SJTA!$S$6:$S$331,T63,SJTA!$R$6:$R$331,"&gt;60")</f>
        <v>4</v>
      </c>
      <c r="W63" s="23">
        <f>COUNTIFS(SPJ!$P$5:$P$136,T63,SPJ!O$5:O$136,"&gt;60")</f>
        <v>0</v>
      </c>
      <c r="X63" s="23">
        <f>COUNTIFS(SMP!$P$6:$P$15,T63,SMP!$O$6:$O$15,"&gt;60")</f>
        <v>0</v>
      </c>
    </row>
    <row r="64" spans="2:24" x14ac:dyDescent="0.3">
      <c r="B64" s="284"/>
      <c r="C64" s="2" t="s">
        <v>9789</v>
      </c>
      <c r="D64" s="23">
        <f>COUNTIFS('Data Angt'!$H$5:$H$5710,C64,'Data Angt'!$F$5:$F$5710,"&lt;=60")-COUNTIFS('Data Angt'!$H$5:$H$5710,C64,'Data Angt'!$F$5:$F$5710,"&lt;24")</f>
        <v>208</v>
      </c>
      <c r="E64" s="4">
        <f t="shared" si="18"/>
        <v>3.880597014925373E-2</v>
      </c>
      <c r="G64" s="34"/>
      <c r="H64" s="284"/>
      <c r="I64" s="2" t="s">
        <v>9793</v>
      </c>
      <c r="J64" s="23">
        <f>COUNTIFS(Pinjaman!$X$6:$X$1373,$I64,Pinjaman!$W$6:$W$1373,J$40,Pinjaman!$V$6:$V$1373,"&lt;=60")-COUNTIFS(Pinjaman!$X$6:$X$1373,$I64,Pinjaman!$W$6:$W$1373,J$40,Pinjaman!$V$6:$V$1373,"&lt;24")</f>
        <v>0</v>
      </c>
      <c r="K64" s="23">
        <f>COUNTIFS(Pinjaman!$X$6:$X$1373,$I64,Pinjaman!$W$6:$W$1373,K$40,Pinjaman!$V$6:$V$1373,"&lt;=60")-COUNTIFS(Pinjaman!$X$6:$X$1373,$I64,Pinjaman!$W$6:$W$1373,K$40,Pinjaman!$V$6:$V$1373,"&lt;24")</f>
        <v>0</v>
      </c>
      <c r="L64" s="23">
        <f>COUNTIFS(Pinjaman!$X$6:$X$1373,$I64,Pinjaman!$W$6:$W$1373,L$40,Pinjaman!$V$6:$V$1373,"&lt;=60")-COUNTIFS(Pinjaman!$X$6:$X$1373,$I64,Pinjaman!$W$6:$W$1373,L$40,Pinjaman!$V$6:$V$1373,"&lt;24")</f>
        <v>0</v>
      </c>
      <c r="M64" s="23">
        <f>COUNTIFS(Pinjaman!$X$6:$X$1373,$I64,Pinjaman!$W$6:$W$1373,M$40,Pinjaman!$V$6:$V$1373,"&lt;=60")-COUNTIFS(Pinjaman!$X$6:$X$1373,$I64,Pinjaman!$W$6:$W$1373,M$40,Pinjaman!$V$6:$V$1373,"&lt;24")</f>
        <v>0</v>
      </c>
      <c r="N64" s="23">
        <f>COUNTIFS(Pinjaman!$X$6:$X$1373,$I64,Pinjaman!$W$6:$W$1373,N$40,Pinjaman!$V$6:$V$1373,"&lt;=60")-COUNTIFS(Pinjaman!$X$6:$X$1373,$I64,Pinjaman!$W$6:$W$1373,N$40,Pinjaman!$V$6:$V$1373,"&lt;24")</f>
        <v>0</v>
      </c>
      <c r="O64" s="23">
        <f>COUNTIFS(Pinjaman!$X$6:$X$1373,$I64,Pinjaman!$W$6:$W$1373,0,Pinjaman!$V$6:$V$1373,"&lt;=60")-COUNTIFS(Pinjaman!$X$6:$X$1373,$I64,Pinjaman!$W$6:$W$1373,O$40,Pinjaman!$V$6:$V$1373,"&lt;24")</f>
        <v>0</v>
      </c>
      <c r="P64" s="26">
        <f t="shared" si="13"/>
        <v>0</v>
      </c>
      <c r="R64" s="34"/>
      <c r="S64" s="284"/>
      <c r="T64" s="2" t="s">
        <v>9793</v>
      </c>
      <c r="U64" s="23">
        <f>COUNTIFS(SSKA!$Q$7:$Q$466,T64,SSKA!$P$7:$P$466,"&gt;60")</f>
        <v>0</v>
      </c>
      <c r="V64" s="23">
        <f>COUNTIFS(SJTA!$S$6:$S$331,T64,SJTA!$R$6:$R$331,"&gt;60")</f>
        <v>0</v>
      </c>
      <c r="W64" s="23">
        <f>COUNTIFS(SPJ!$P$5:$P$136,T64,SPJ!O$5:O$136,"&gt;60")</f>
        <v>0</v>
      </c>
      <c r="X64" s="23">
        <f>COUNTIFS(SMP!$P$6:$P$15,T64,SMP!$O$6:$O$15,"&gt;60")</f>
        <v>0</v>
      </c>
    </row>
    <row r="65" spans="2:24" x14ac:dyDescent="0.3">
      <c r="B65" s="284"/>
      <c r="C65" s="2" t="s">
        <v>9790</v>
      </c>
      <c r="D65" s="23">
        <f>COUNTIFS('Data Angt'!$H$5:$H$5710,C65,'Data Angt'!$F$5:$F$5710,"&lt;=60")-COUNTIFS('Data Angt'!$H$5:$H$5710,C65,'Data Angt'!$F$5:$F$5710,"&lt;24")</f>
        <v>0</v>
      </c>
      <c r="E65" s="4">
        <f t="shared" si="18"/>
        <v>0</v>
      </c>
      <c r="G65" s="34"/>
      <c r="H65" s="284"/>
      <c r="I65" s="2" t="s">
        <v>9787</v>
      </c>
      <c r="J65" s="23">
        <f>COUNTIFS(Pinjaman!$X$6:$X$1373,$I65,Pinjaman!$W$6:$W$1373,J$40,Pinjaman!$V$6:$V$1373,"&lt;=60")-COUNTIFS(Pinjaman!$X$6:$X$1373,$I65,Pinjaman!$W$6:$W$1373,J$40,Pinjaman!$V$6:$V$1373,"&lt;24")</f>
        <v>1</v>
      </c>
      <c r="K65" s="23">
        <f>COUNTIFS(Pinjaman!$X$6:$X$1373,$I65,Pinjaman!$W$6:$W$1373,K$40,Pinjaman!$V$6:$V$1373,"&lt;=60")-COUNTIFS(Pinjaman!$X$6:$X$1373,$I65,Pinjaman!$W$6:$W$1373,K$40,Pinjaman!$V$6:$V$1373,"&lt;24")</f>
        <v>1</v>
      </c>
      <c r="L65" s="23">
        <f>COUNTIFS(Pinjaman!$X$6:$X$1373,$I65,Pinjaman!$W$6:$W$1373,L$40,Pinjaman!$V$6:$V$1373,"&lt;=60")-COUNTIFS(Pinjaman!$X$6:$X$1373,$I65,Pinjaman!$W$6:$W$1373,L$40,Pinjaman!$V$6:$V$1373,"&lt;24")</f>
        <v>0</v>
      </c>
      <c r="M65" s="23">
        <f>COUNTIFS(Pinjaman!$X$6:$X$1373,$I65,Pinjaman!$W$6:$W$1373,M$40,Pinjaman!$V$6:$V$1373,"&lt;=60")-COUNTIFS(Pinjaman!$X$6:$X$1373,$I65,Pinjaman!$W$6:$W$1373,M$40,Pinjaman!$V$6:$V$1373,"&lt;24")</f>
        <v>2</v>
      </c>
      <c r="N65" s="23">
        <f>COUNTIFS(Pinjaman!$X$6:$X$1373,$I65,Pinjaman!$W$6:$W$1373,N$40,Pinjaman!$V$6:$V$1373,"&lt;=60")-COUNTIFS(Pinjaman!$X$6:$X$1373,$I65,Pinjaman!$W$6:$W$1373,N$40,Pinjaman!$V$6:$V$1373,"&lt;24")</f>
        <v>0</v>
      </c>
      <c r="O65" s="23">
        <f>COUNTIFS(Pinjaman!$X$6:$X$1373,$I65,Pinjaman!$W$6:$W$1373,0,Pinjaman!$V$6:$V$1373,"&lt;=60")-COUNTIFS(Pinjaman!$X$6:$X$1373,$I65,Pinjaman!$W$6:$W$1373,O$40,Pinjaman!$V$6:$V$1373,"&lt;24")</f>
        <v>0</v>
      </c>
      <c r="P65" s="26">
        <f t="shared" si="13"/>
        <v>4</v>
      </c>
      <c r="R65" s="34"/>
      <c r="S65" s="284"/>
      <c r="T65" s="2" t="s">
        <v>9787</v>
      </c>
      <c r="U65" s="23">
        <f>COUNTIFS(SSKA!$Q$7:$Q$466,T65,SSKA!$P$7:$P$466,"&gt;60")</f>
        <v>0</v>
      </c>
      <c r="V65" s="23">
        <f>COUNTIFS(SJTA!$S$6:$S$331,T65,SJTA!$R$6:$R$331,"&gt;60")</f>
        <v>0</v>
      </c>
      <c r="W65" s="23">
        <f>COUNTIFS(SPJ!$P$5:$P$136,T65,SPJ!O$5:O$136,"&gt;60")</f>
        <v>0</v>
      </c>
      <c r="X65" s="23">
        <f>COUNTIFS(SMP!$P$6:$P$15,T65,SMP!$O$6:$O$15,"&gt;60")</f>
        <v>0</v>
      </c>
    </row>
    <row r="66" spans="2:24" x14ac:dyDescent="0.3">
      <c r="B66" s="284"/>
      <c r="C66" s="2" t="s">
        <v>13</v>
      </c>
      <c r="D66" s="23">
        <f>COUNTIFS('Data Angt'!$H$5:$H$5710,C66,'Data Angt'!$F$5:$F$5710,"&lt;=60")-COUNTIFS('Data Angt'!$H$5:$H$5710,C66,'Data Angt'!$F$5:$F$5710,"&lt;24")</f>
        <v>20</v>
      </c>
      <c r="E66" s="4">
        <f t="shared" si="18"/>
        <v>3.7313432835820895E-3</v>
      </c>
      <c r="G66" s="34"/>
      <c r="H66" s="284"/>
      <c r="I66" s="2" t="s">
        <v>9794</v>
      </c>
      <c r="J66" s="23">
        <f>COUNTIFS(Pinjaman!$X$6:$X$1373,$I66,Pinjaman!$W$6:$W$1373,J$40,Pinjaman!$V$6:$V$1373,"&lt;=60")-COUNTIFS(Pinjaman!$X$6:$X$1373,$I66,Pinjaman!$W$6:$W$1373,J$40,Pinjaman!$V$6:$V$1373,"&lt;24")</f>
        <v>0</v>
      </c>
      <c r="K66" s="23">
        <f>COUNTIFS(Pinjaman!$X$6:$X$1373,$I66,Pinjaman!$W$6:$W$1373,K$40,Pinjaman!$V$6:$V$1373,"&lt;=60")-COUNTIFS(Pinjaman!$X$6:$X$1373,$I66,Pinjaman!$W$6:$W$1373,K$40,Pinjaman!$V$6:$V$1373,"&lt;24")</f>
        <v>0</v>
      </c>
      <c r="L66" s="23">
        <f>COUNTIFS(Pinjaman!$X$6:$X$1373,$I66,Pinjaman!$W$6:$W$1373,L$40,Pinjaman!$V$6:$V$1373,"&lt;=60")-COUNTIFS(Pinjaman!$X$6:$X$1373,$I66,Pinjaman!$W$6:$W$1373,L$40,Pinjaman!$V$6:$V$1373,"&lt;24")</f>
        <v>1</v>
      </c>
      <c r="M66" s="23">
        <f>COUNTIFS(Pinjaman!$X$6:$X$1373,$I66,Pinjaman!$W$6:$W$1373,M$40,Pinjaman!$V$6:$V$1373,"&lt;=60")-COUNTIFS(Pinjaman!$X$6:$X$1373,$I66,Pinjaman!$W$6:$W$1373,M$40,Pinjaman!$V$6:$V$1373,"&lt;24")</f>
        <v>3</v>
      </c>
      <c r="N66" s="23">
        <f>COUNTIFS(Pinjaman!$X$6:$X$1373,$I66,Pinjaman!$W$6:$W$1373,N$40,Pinjaman!$V$6:$V$1373,"&lt;=60")-COUNTIFS(Pinjaman!$X$6:$X$1373,$I66,Pinjaman!$W$6:$W$1373,N$40,Pinjaman!$V$6:$V$1373,"&lt;24")</f>
        <v>0</v>
      </c>
      <c r="O66" s="23">
        <f>COUNTIFS(Pinjaman!$X$6:$X$1373,$I66,Pinjaman!$W$6:$W$1373,0,Pinjaman!$V$6:$V$1373,"&lt;=60")-COUNTIFS(Pinjaman!$X$6:$X$1373,$I66,Pinjaman!$W$6:$W$1373,O$40,Pinjaman!$V$6:$V$1373,"&lt;24")</f>
        <v>0</v>
      </c>
      <c r="P66" s="26">
        <f t="shared" si="13"/>
        <v>4</v>
      </c>
      <c r="R66" s="34"/>
      <c r="S66" s="284"/>
      <c r="T66" s="2" t="s">
        <v>9794</v>
      </c>
      <c r="U66" s="23">
        <f>COUNTIFS(SSKA!$Q$7:$Q$466,T66,SSKA!$P$7:$P$466,"&gt;60")</f>
        <v>0</v>
      </c>
      <c r="V66" s="23">
        <f>COUNTIFS(SJTA!$S$6:$S$331,T66,SJTA!$R$6:$R$331,"&gt;60")</f>
        <v>1</v>
      </c>
      <c r="W66" s="23">
        <f>COUNTIFS(SPJ!$P$5:$P$136,T66,SPJ!O$5:O$136,"&gt;60")</f>
        <v>0</v>
      </c>
      <c r="X66" s="23">
        <f>COUNTIFS(SMP!$P$6:$P$15,T66,SMP!$O$6:$O$15,"&gt;60")</f>
        <v>0</v>
      </c>
    </row>
    <row r="67" spans="2:24" x14ac:dyDescent="0.3">
      <c r="B67" s="284"/>
      <c r="C67" s="2" t="s">
        <v>9791</v>
      </c>
      <c r="D67" s="23">
        <f>COUNTIFS('Data Angt'!$H$5:$H$5710,C67,'Data Angt'!$F$5:$F$5710,"&lt;=60")-COUNTIFS('Data Angt'!$H$5:$H$5710,C67,'Data Angt'!$F$5:$F$5710,"&lt;24")</f>
        <v>40</v>
      </c>
      <c r="E67" s="4">
        <f t="shared" si="18"/>
        <v>7.462686567164179E-3</v>
      </c>
      <c r="G67" s="34"/>
      <c r="H67" s="284"/>
      <c r="I67" s="2" t="s">
        <v>9802</v>
      </c>
      <c r="J67" s="23">
        <f>COUNTIFS(Pinjaman!$X$6:$X$1373,0,Pinjaman!$W$6:$W$1373,J$40,Pinjaman!$V$6:$V$1373,"&lt;=60")-COUNTIFS(Pinjaman!$X$6:$X$1373,0,Pinjaman!$W$6:$W$1373,J$40,Pinjaman!$V$6:$V$1373,"&lt;24")</f>
        <v>4</v>
      </c>
      <c r="K67" s="23">
        <f>COUNTIFS(Pinjaman!$X$6:$X$1373,0,Pinjaman!$W$6:$W$1373,K$40,Pinjaman!$V$6:$V$1373,"&lt;=60")-COUNTIFS(Pinjaman!$X$6:$X$1373,0,Pinjaman!$W$6:$W$1373,K$40,Pinjaman!$V$6:$V$1373,"&lt;24")</f>
        <v>1</v>
      </c>
      <c r="L67" s="23">
        <f>COUNTIFS(Pinjaman!$X$6:$X$1373,0,Pinjaman!$W$6:$W$1373,L$40,Pinjaman!$V$6:$V$1373,"&lt;=60")-COUNTIFS(Pinjaman!$X$6:$X$1373,0,Pinjaman!$W$6:$W$1373,L$40,Pinjaman!$V$6:$V$1373,"&lt;24")</f>
        <v>2</v>
      </c>
      <c r="M67" s="23">
        <f>COUNTIFS(Pinjaman!$X$6:$X$1373,0,Pinjaman!$W$6:$W$1373,M$40,Pinjaman!$V$6:$V$1373,"&lt;=60")-COUNTIFS(Pinjaman!$X$6:$X$1373,0,Pinjaman!$W$6:$W$1373,M$40,Pinjaman!$V$6:$V$1373,"&lt;24")</f>
        <v>5</v>
      </c>
      <c r="N67" s="23">
        <f>COUNTIFS(Pinjaman!$X$6:$X$1373,0,Pinjaman!$W$6:$W$1373,N$40,Pinjaman!$V$6:$V$1373,"&lt;=60")-COUNTIFS(Pinjaman!$X$6:$X$1373,0,Pinjaman!$W$6:$W$1373,N$40,Pinjaman!$V$6:$V$1373,"&lt;24")</f>
        <v>0</v>
      </c>
      <c r="O67" s="23">
        <f>COUNTIFS(Pinjaman!$X$6:$X$1373,0,Pinjaman!$W$6:$W$1373,0,Pinjaman!$V$6:$V$1373,"&lt;=60")-COUNTIFS(Pinjaman!$X$6:$X$1373,0,Pinjaman!$W$6:$W$1373,0,Pinjaman!$V$6:$V$1373,"&lt;24")</f>
        <v>1</v>
      </c>
      <c r="P67" s="26">
        <f t="shared" si="13"/>
        <v>13</v>
      </c>
      <c r="R67" s="34"/>
      <c r="S67" s="284"/>
      <c r="T67" s="2" t="s">
        <v>9802</v>
      </c>
      <c r="U67" s="23">
        <f>COUNTIFS(SSKA!$Q$7:$Q$466,0,SSKA!$P$7:$P$466,"&gt;60")</f>
        <v>0</v>
      </c>
      <c r="V67" s="23">
        <f>COUNTIFS(SJTA!$S$6:$S$331,0,SJTA!$R$6:$R$331,"&gt;60")</f>
        <v>1</v>
      </c>
      <c r="W67" s="23">
        <f>COUNTIFS(SPJ!$P$5:$P$136,0,SPJ!O$5:O$136,"&gt;60")</f>
        <v>0</v>
      </c>
      <c r="X67" s="23">
        <f>COUNTIFS(SMP!$P$6:$P$15,0,SMP!$O$6:$O$15,"&gt;60")</f>
        <v>0</v>
      </c>
    </row>
    <row r="68" spans="2:24" x14ac:dyDescent="0.3">
      <c r="B68" s="284"/>
      <c r="C68" s="2" t="s">
        <v>9793</v>
      </c>
      <c r="D68" s="23">
        <f>COUNTIFS('Data Angt'!$H$5:$H$5710,C68,'Data Angt'!$F$5:$F$5710,"&lt;=60")-COUNTIFS('Data Angt'!$H$5:$H$5710,C68,'Data Angt'!$F$5:$F$5710,"&lt;24")</f>
        <v>0</v>
      </c>
      <c r="E68" s="4">
        <f t="shared" si="18"/>
        <v>0</v>
      </c>
      <c r="G68" s="34"/>
      <c r="H68" s="284"/>
      <c r="I68" s="27" t="s">
        <v>9805</v>
      </c>
      <c r="J68" s="28">
        <f>SUM(J55:J67)</f>
        <v>245</v>
      </c>
      <c r="K68" s="28">
        <f t="shared" ref="K68:P68" si="19">SUM(K55:K67)</f>
        <v>187</v>
      </c>
      <c r="L68" s="28">
        <f t="shared" si="19"/>
        <v>175</v>
      </c>
      <c r="M68" s="28">
        <f t="shared" si="19"/>
        <v>443</v>
      </c>
      <c r="N68" s="28">
        <f t="shared" si="19"/>
        <v>13</v>
      </c>
      <c r="O68" s="28">
        <f t="shared" si="19"/>
        <v>54</v>
      </c>
      <c r="P68" s="28">
        <f t="shared" si="19"/>
        <v>1117</v>
      </c>
      <c r="R68" s="34"/>
      <c r="S68" s="2"/>
      <c r="T68" s="27" t="s">
        <v>9805</v>
      </c>
      <c r="U68" s="29">
        <f>SUM(U55:U67)</f>
        <v>0</v>
      </c>
      <c r="V68" s="29">
        <f>SUM(V55:V67)</f>
        <v>70</v>
      </c>
      <c r="W68" s="29">
        <f t="shared" ref="W68" si="20">SUM(W55:W67)</f>
        <v>2</v>
      </c>
      <c r="X68" s="29">
        <f t="shared" ref="X68" si="21">SUM(X55:X67)</f>
        <v>1</v>
      </c>
    </row>
    <row r="69" spans="2:24" x14ac:dyDescent="0.3">
      <c r="B69" s="284"/>
      <c r="C69" s="2" t="s">
        <v>9787</v>
      </c>
      <c r="D69" s="23">
        <f>COUNTIFS('Data Angt'!$H$5:$H$5710,C69,'Data Angt'!$F$5:$F$5710,"&lt;=60")-COUNTIFS('Data Angt'!$H$5:$H$5710,C69,'Data Angt'!$F$5:$F$5710,"&lt;24")</f>
        <v>17</v>
      </c>
      <c r="E69" s="4">
        <f t="shared" si="18"/>
        <v>3.1716417910447759E-3</v>
      </c>
      <c r="G69" s="34"/>
      <c r="H69" s="284"/>
      <c r="I69" s="2" t="s">
        <v>9788</v>
      </c>
      <c r="J69" s="23">
        <f>COUNTIFS(Pinjaman!$X$6:$X$1373,$I69,Pinjaman!$W$6:$W$1373,J$40,Pinjaman!$V$6:$V$1373,"&gt;60")</f>
        <v>2</v>
      </c>
      <c r="K69" s="23">
        <f>COUNTIFS(Pinjaman!$X$6:$X$1373,$I69,Pinjaman!$W$6:$W$1373,K$40,Pinjaman!$V$6:$V$1373,"&gt;60")</f>
        <v>3</v>
      </c>
      <c r="L69" s="23">
        <f>COUNTIFS(Pinjaman!$X$6:$X$1373,$I69,Pinjaman!$W$6:$W$1373,L$40,Pinjaman!$V$6:$V$1373,"&gt;60")</f>
        <v>2</v>
      </c>
      <c r="M69" s="23">
        <f>COUNTIFS(Pinjaman!$X$6:$X$1373,$I69,Pinjaman!$W$6:$W$1373,M$40,Pinjaman!$V$6:$V$1373,"&gt;60")</f>
        <v>4</v>
      </c>
      <c r="N69" s="23">
        <f>COUNTIFS(Pinjaman!$X$6:$X$1373,$I69,Pinjaman!$W$6:$W$1373,N$40,Pinjaman!$V$6:$V$1373,"&gt;60")</f>
        <v>0</v>
      </c>
      <c r="O69" s="23">
        <f>COUNTIFS(Pinjaman!$X$6:$X$1373,$I69,Pinjaman!$W$6:$W$1373,0,Pinjaman!$V$6:$V$1373,"&gt;60")</f>
        <v>1</v>
      </c>
      <c r="P69" s="26">
        <f>SUM(J69:O69)</f>
        <v>12</v>
      </c>
      <c r="R69" s="34"/>
    </row>
    <row r="70" spans="2:24" x14ac:dyDescent="0.3">
      <c r="B70" s="284"/>
      <c r="C70" s="2" t="s">
        <v>9794</v>
      </c>
      <c r="D70" s="23">
        <f>COUNTIFS('Data Angt'!$H$5:$H$5710,C70,'Data Angt'!$F$5:$F$5710,"&lt;=60")-COUNTIFS('Data Angt'!$H$5:$H$5710,C70,'Data Angt'!$F$5:$F$5710,"&lt;24")</f>
        <v>57</v>
      </c>
      <c r="E70" s="4">
        <f t="shared" si="18"/>
        <v>1.0634328358208956E-2</v>
      </c>
      <c r="G70" s="34"/>
      <c r="H70" s="284"/>
      <c r="I70" s="2" t="s">
        <v>46</v>
      </c>
      <c r="J70" s="23">
        <f>COUNTIFS(Pinjaman!$X$6:$X$1373,$I70,Pinjaman!$W$6:$W$1373,J$40,Pinjaman!$V$6:$V$1373,"&gt;60")</f>
        <v>9</v>
      </c>
      <c r="K70" s="23">
        <f>COUNTIFS(Pinjaman!$X$6:$X$1373,$I70,Pinjaman!$W$6:$W$1373,K$40,Pinjaman!$V$6:$V$1373,"&gt;60")</f>
        <v>5</v>
      </c>
      <c r="L70" s="23">
        <f>COUNTIFS(Pinjaman!$X$6:$X$1373,$I70,Pinjaman!$W$6:$W$1373,L$40,Pinjaman!$V$6:$V$1373,"&gt;60")</f>
        <v>2</v>
      </c>
      <c r="M70" s="23">
        <f>COUNTIFS(Pinjaman!$X$6:$X$1373,$I70,Pinjaman!$W$6:$W$1373,M$40,Pinjaman!$V$6:$V$1373,"&gt;60")</f>
        <v>25</v>
      </c>
      <c r="N70" s="23">
        <f>COUNTIFS(Pinjaman!$X$6:$X$1373,$I70,Pinjaman!$W$6:$W$1373,N$40,Pinjaman!$V$6:$V$1373,"&gt;60")</f>
        <v>1</v>
      </c>
      <c r="O70" s="23">
        <f>COUNTIFS(Pinjaman!$X$6:$X$1373,$I70,Pinjaman!$W$6:$W$1373,0,Pinjaman!$V$6:$V$1373,"&gt;60")</f>
        <v>7</v>
      </c>
      <c r="P70" s="26">
        <f t="shared" ref="P70:P81" si="22">SUM(J70:O70)</f>
        <v>49</v>
      </c>
      <c r="R70" s="34"/>
    </row>
    <row r="71" spans="2:24" x14ac:dyDescent="0.3">
      <c r="B71" s="284"/>
      <c r="C71" s="2" t="s">
        <v>9802</v>
      </c>
      <c r="D71" s="23">
        <f>COUNTIFS('Data Angt'!$H$5:$H$5710,"",'Data Angt'!$F$5:$F$5710,"&lt;=60")-COUNTIFS('Data Angt'!$H$5:$H$5710,"",'Data Angt'!$F$5:$F$5710,"&lt;24")</f>
        <v>186</v>
      </c>
      <c r="E71" s="4">
        <f t="shared" si="18"/>
        <v>3.470149253731343E-2</v>
      </c>
      <c r="G71" s="34"/>
      <c r="H71" s="284"/>
      <c r="I71" s="2" t="s">
        <v>337</v>
      </c>
      <c r="J71" s="23">
        <f>COUNTIFS(Pinjaman!$X$6:$X$1373,$I71,Pinjaman!$W$6:$W$1373,J$40,Pinjaman!$V$6:$V$1373,"&gt;60")</f>
        <v>0</v>
      </c>
      <c r="K71" s="23">
        <f>COUNTIFS(Pinjaman!$X$6:$X$1373,$I71,Pinjaman!$W$6:$W$1373,K$40,Pinjaman!$V$6:$V$1373,"&gt;60")</f>
        <v>0</v>
      </c>
      <c r="L71" s="23">
        <f>COUNTIFS(Pinjaman!$X$6:$X$1373,$I71,Pinjaman!$W$6:$W$1373,L$40,Pinjaman!$V$6:$V$1373,"&gt;60")</f>
        <v>0</v>
      </c>
      <c r="M71" s="23">
        <f>COUNTIFS(Pinjaman!$X$6:$X$1373,$I71,Pinjaman!$W$6:$W$1373,M$40,Pinjaman!$V$6:$V$1373,"&gt;60")</f>
        <v>0</v>
      </c>
      <c r="N71" s="23">
        <f>COUNTIFS(Pinjaman!$X$6:$X$1373,$I71,Pinjaman!$W$6:$W$1373,N$40,Pinjaman!$V$6:$V$1373,"&gt;60")</f>
        <v>0</v>
      </c>
      <c r="O71" s="23">
        <f>COUNTIFS(Pinjaman!$X$6:$X$1373,$I71,Pinjaman!$W$6:$W$1373,0,Pinjaman!$V$6:$V$1373,"&gt;60")</f>
        <v>0</v>
      </c>
      <c r="P71" s="26">
        <f t="shared" si="22"/>
        <v>0</v>
      </c>
      <c r="R71" s="34"/>
    </row>
    <row r="72" spans="2:24" x14ac:dyDescent="0.3">
      <c r="B72" s="284"/>
      <c r="C72" s="27" t="s">
        <v>9805</v>
      </c>
      <c r="D72" s="29">
        <f>SUM(D59:D71)</f>
        <v>4184</v>
      </c>
      <c r="E72" s="30">
        <f t="shared" si="18"/>
        <v>0.78059701492537314</v>
      </c>
      <c r="G72" s="34"/>
      <c r="H72" s="284"/>
      <c r="I72" s="2" t="s">
        <v>31</v>
      </c>
      <c r="J72" s="23">
        <f>COUNTIFS(Pinjaman!$X$6:$X$1373,$I72,Pinjaman!$W$6:$W$1373,J$40,Pinjaman!$V$6:$V$1373,"&gt;60")</f>
        <v>4</v>
      </c>
      <c r="K72" s="23">
        <f>COUNTIFS(Pinjaman!$X$6:$X$1373,$I72,Pinjaman!$W$6:$W$1373,K$40,Pinjaman!$V$6:$V$1373,"&gt;60")</f>
        <v>7</v>
      </c>
      <c r="L72" s="23">
        <f>COUNTIFS(Pinjaman!$X$6:$X$1373,$I72,Pinjaman!$W$6:$W$1373,L$40,Pinjaman!$V$6:$V$1373,"&gt;60")</f>
        <v>1</v>
      </c>
      <c r="M72" s="23">
        <f>COUNTIFS(Pinjaman!$X$6:$X$1373,$I72,Pinjaman!$W$6:$W$1373,M$40,Pinjaman!$V$6:$V$1373,"&gt;60")</f>
        <v>8</v>
      </c>
      <c r="N72" s="23">
        <f>COUNTIFS(Pinjaman!$X$6:$X$1373,$I72,Pinjaman!$W$6:$W$1373,N$40,Pinjaman!$V$6:$V$1373,"&gt;60")</f>
        <v>0</v>
      </c>
      <c r="O72" s="23">
        <f>COUNTIFS(Pinjaman!$X$6:$X$1373,$I72,Pinjaman!$W$6:$W$1373,0,Pinjaman!$V$6:$V$1373,"&gt;60")</f>
        <v>0</v>
      </c>
      <c r="P72" s="26">
        <f t="shared" si="22"/>
        <v>20</v>
      </c>
      <c r="R72" s="34"/>
    </row>
    <row r="73" spans="2:24" x14ac:dyDescent="0.3">
      <c r="B73" s="284" t="s">
        <v>9800</v>
      </c>
      <c r="C73" s="2" t="s">
        <v>9788</v>
      </c>
      <c r="D73" s="23">
        <f>COUNTIFS('Data Angt'!$H$5:$H$5710,C73,'Data Angt'!$F$5:$F$5710,"&gt;60")</f>
        <v>76</v>
      </c>
      <c r="E73" s="4">
        <f t="shared" si="18"/>
        <v>1.4179104477611941E-2</v>
      </c>
      <c r="G73" s="34"/>
      <c r="H73" s="284"/>
      <c r="I73" s="2" t="s">
        <v>9785</v>
      </c>
      <c r="J73" s="23">
        <f>COUNTIFS(Pinjaman!$X$6:$X$1373,$I73,Pinjaman!$W$6:$W$1373,J$40,Pinjaman!$V$6:$V$1373,"&gt;60")</f>
        <v>1</v>
      </c>
      <c r="K73" s="23">
        <f>COUNTIFS(Pinjaman!$X$6:$X$1373,$I73,Pinjaman!$W$6:$W$1373,K$40,Pinjaman!$V$6:$V$1373,"&gt;60")</f>
        <v>1</v>
      </c>
      <c r="L73" s="23">
        <f>COUNTIFS(Pinjaman!$X$6:$X$1373,$I73,Pinjaman!$W$6:$W$1373,L$40,Pinjaman!$V$6:$V$1373,"&gt;60")</f>
        <v>0</v>
      </c>
      <c r="M73" s="23">
        <f>COUNTIFS(Pinjaman!$X$6:$X$1373,$I73,Pinjaman!$W$6:$W$1373,M$40,Pinjaman!$V$6:$V$1373,"&gt;60")</f>
        <v>1</v>
      </c>
      <c r="N73" s="23">
        <f>COUNTIFS(Pinjaman!$X$6:$X$1373,$I73,Pinjaman!$W$6:$W$1373,N$40,Pinjaman!$V$6:$V$1373,"&gt;60")</f>
        <v>0</v>
      </c>
      <c r="O73" s="23">
        <f>COUNTIFS(Pinjaman!$X$6:$X$1373,$I73,Pinjaman!$W$6:$W$1373,0,Pinjaman!$V$6:$V$1373,"&gt;60")</f>
        <v>1</v>
      </c>
      <c r="P73" s="26">
        <f t="shared" si="22"/>
        <v>4</v>
      </c>
      <c r="R73" s="34"/>
    </row>
    <row r="74" spans="2:24" x14ac:dyDescent="0.3">
      <c r="B74" s="284"/>
      <c r="C74" s="2" t="s">
        <v>46</v>
      </c>
      <c r="D74" s="23">
        <f>COUNTIFS('Data Angt'!$H$5:$H$5710,C74,'Data Angt'!$F$5:$F$5710,"&gt;60")</f>
        <v>210</v>
      </c>
      <c r="E74" s="4">
        <f t="shared" si="18"/>
        <v>3.9179104477611942E-2</v>
      </c>
      <c r="G74" s="34"/>
      <c r="H74" s="284"/>
      <c r="I74" s="2" t="s">
        <v>9789</v>
      </c>
      <c r="J74" s="23">
        <f>COUNTIFS(Pinjaman!$X$6:$X$1373,$I74,Pinjaman!$W$6:$W$1373,J$40,Pinjaman!$V$6:$V$1373,"&gt;60")</f>
        <v>3</v>
      </c>
      <c r="K74" s="23">
        <f>COUNTIFS(Pinjaman!$X$6:$X$1373,$I74,Pinjaman!$W$6:$W$1373,K$40,Pinjaman!$V$6:$V$1373,"&gt;60")</f>
        <v>1</v>
      </c>
      <c r="L74" s="23">
        <f>COUNTIFS(Pinjaman!$X$6:$X$1373,$I74,Pinjaman!$W$6:$W$1373,L$40,Pinjaman!$V$6:$V$1373,"&gt;60")</f>
        <v>0</v>
      </c>
      <c r="M74" s="23">
        <f>COUNTIFS(Pinjaman!$X$6:$X$1373,$I74,Pinjaman!$W$6:$W$1373,M$40,Pinjaman!$V$6:$V$1373,"&gt;60")</f>
        <v>2</v>
      </c>
      <c r="N74" s="23">
        <f>COUNTIFS(Pinjaman!$X$6:$X$1373,$I74,Pinjaman!$W$6:$W$1373,N$40,Pinjaman!$V$6:$V$1373,"&gt;60")</f>
        <v>0</v>
      </c>
      <c r="O74" s="23">
        <f>COUNTIFS(Pinjaman!$X$6:$X$1373,$I74,Pinjaman!$W$6:$W$1373,0,Pinjaman!$V$6:$V$1373,"&gt;60")</f>
        <v>0</v>
      </c>
      <c r="P74" s="26">
        <f t="shared" si="22"/>
        <v>6</v>
      </c>
      <c r="R74" s="34"/>
    </row>
    <row r="75" spans="2:24" x14ac:dyDescent="0.3">
      <c r="B75" s="284"/>
      <c r="C75" s="2" t="s">
        <v>337</v>
      </c>
      <c r="D75" s="23">
        <f>COUNTIFS('Data Angt'!$H$5:$H$5710,C75,'Data Angt'!$F$5:$F$5710,"&gt;60")</f>
        <v>1</v>
      </c>
      <c r="E75" s="4">
        <f t="shared" si="18"/>
        <v>1.8656716417910448E-4</v>
      </c>
      <c r="G75" s="34"/>
      <c r="I75" s="2" t="s">
        <v>9790</v>
      </c>
      <c r="J75" s="23">
        <f>COUNTIFS(Pinjaman!$X$6:$X$1373,$I75,Pinjaman!$W$6:$W$1373,J$40,Pinjaman!$V$6:$V$1373,"&gt;60")</f>
        <v>0</v>
      </c>
      <c r="K75" s="23">
        <f>COUNTIFS(Pinjaman!$X$6:$X$1373,$I75,Pinjaman!$W$6:$W$1373,K$40,Pinjaman!$V$6:$V$1373,"&gt;60")</f>
        <v>0</v>
      </c>
      <c r="L75" s="23">
        <f>COUNTIFS(Pinjaman!$X$6:$X$1373,$I75,Pinjaman!$W$6:$W$1373,L$40,Pinjaman!$V$6:$V$1373,"&gt;60")</f>
        <v>0</v>
      </c>
      <c r="M75" s="23">
        <f>COUNTIFS(Pinjaman!$X$6:$X$1373,$I75,Pinjaman!$W$6:$W$1373,M$40,Pinjaman!$V$6:$V$1373,"&gt;60")</f>
        <v>0</v>
      </c>
      <c r="N75" s="23">
        <f>COUNTIFS(Pinjaman!$X$6:$X$1373,$I75,Pinjaman!$W$6:$W$1373,N$40,Pinjaman!$V$6:$V$1373,"&gt;60")</f>
        <v>0</v>
      </c>
      <c r="O75" s="23">
        <f>COUNTIFS(Pinjaman!$X$6:$X$1373,$I75,Pinjaman!$W$6:$W$1373,0,Pinjaman!$V$6:$V$1373,"&gt;60")</f>
        <v>0</v>
      </c>
      <c r="P75" s="26">
        <f t="shared" si="22"/>
        <v>0</v>
      </c>
      <c r="R75" s="34"/>
    </row>
    <row r="76" spans="2:24" x14ac:dyDescent="0.3">
      <c r="B76" s="284"/>
      <c r="C76" s="2" t="s">
        <v>31</v>
      </c>
      <c r="D76" s="23">
        <f>COUNTIFS('Data Angt'!$H$5:$H$5710,C76,'Data Angt'!$F$5:$F$5710,"&gt;60")</f>
        <v>182</v>
      </c>
      <c r="E76" s="4">
        <f t="shared" si="18"/>
        <v>3.3955223880597012E-2</v>
      </c>
      <c r="G76" s="34"/>
      <c r="I76" s="2" t="s">
        <v>13</v>
      </c>
      <c r="J76" s="23">
        <f>COUNTIFS(Pinjaman!$X$6:$X$1373,$I76,Pinjaman!$W$6:$W$1373,J$40,Pinjaman!$V$6:$V$1373,"&gt;60")</f>
        <v>18</v>
      </c>
      <c r="K76" s="23">
        <f>COUNTIFS(Pinjaman!$X$6:$X$1373,$I76,Pinjaman!$W$6:$W$1373,K$40,Pinjaman!$V$6:$V$1373,"&gt;60")</f>
        <v>8</v>
      </c>
      <c r="L76" s="23">
        <f>COUNTIFS(Pinjaman!$X$6:$X$1373,$I76,Pinjaman!$W$6:$W$1373,L$40,Pinjaman!$V$6:$V$1373,"&gt;60")</f>
        <v>5</v>
      </c>
      <c r="M76" s="23">
        <f>COUNTIFS(Pinjaman!$X$6:$X$1373,$I76,Pinjaman!$W$6:$W$1373,M$40,Pinjaman!$V$6:$V$1373,"&gt;60")</f>
        <v>10</v>
      </c>
      <c r="N76" s="23">
        <f>COUNTIFS(Pinjaman!$X$6:$X$1373,$I76,Pinjaman!$W$6:$W$1373,N$40,Pinjaman!$V$6:$V$1373,"&gt;60")</f>
        <v>2</v>
      </c>
      <c r="O76" s="23">
        <f>COUNTIFS(Pinjaman!$X$6:$X$1373,$I76,Pinjaman!$W$6:$W$1373,0,Pinjaman!$V$6:$V$1373,"&gt;60")</f>
        <v>1</v>
      </c>
      <c r="P76" s="26">
        <f t="shared" si="22"/>
        <v>44</v>
      </c>
      <c r="R76" s="34"/>
    </row>
    <row r="77" spans="2:24" x14ac:dyDescent="0.3">
      <c r="B77" s="284"/>
      <c r="C77" s="2" t="s">
        <v>9785</v>
      </c>
      <c r="D77" s="23">
        <f>COUNTIFS('Data Angt'!$H$5:$H$5710,C77,'Data Angt'!$F$5:$F$5710,"&gt;60")</f>
        <v>32</v>
      </c>
      <c r="E77" s="4">
        <f t="shared" si="18"/>
        <v>5.9701492537313433E-3</v>
      </c>
      <c r="G77" s="34"/>
      <c r="I77" s="2" t="s">
        <v>9791</v>
      </c>
      <c r="J77" s="23">
        <f>COUNTIFS(Pinjaman!$X$6:$X$1373,$I77,Pinjaman!$W$6:$W$1373,J$40,Pinjaman!$V$6:$V$1373,"&gt;60")</f>
        <v>0</v>
      </c>
      <c r="K77" s="23">
        <f>COUNTIFS(Pinjaman!$X$6:$X$1373,$I77,Pinjaman!$W$6:$W$1373,K$40,Pinjaman!$V$6:$V$1373,"&gt;60")</f>
        <v>0</v>
      </c>
      <c r="L77" s="23">
        <f>COUNTIFS(Pinjaman!$X$6:$X$1373,$I77,Pinjaman!$W$6:$W$1373,L$40,Pinjaman!$V$6:$V$1373,"&gt;60")</f>
        <v>0</v>
      </c>
      <c r="M77" s="23">
        <f>COUNTIFS(Pinjaman!$X$6:$X$1373,$I77,Pinjaman!$W$6:$W$1373,M$40,Pinjaman!$V$6:$V$1373,"&gt;60")</f>
        <v>1</v>
      </c>
      <c r="N77" s="23">
        <f>COUNTIFS(Pinjaman!$X$6:$X$1373,$I77,Pinjaman!$W$6:$W$1373,N$40,Pinjaman!$V$6:$V$1373,"&gt;60")</f>
        <v>0</v>
      </c>
      <c r="O77" s="23">
        <f>COUNTIFS(Pinjaman!$X$6:$X$1373,$I77,Pinjaman!$W$6:$W$1373,0,Pinjaman!$V$6:$V$1373,"&gt;60")</f>
        <v>0</v>
      </c>
      <c r="P77" s="26">
        <f t="shared" si="22"/>
        <v>1</v>
      </c>
      <c r="R77" s="34"/>
    </row>
    <row r="78" spans="2:24" x14ac:dyDescent="0.3">
      <c r="B78" s="284"/>
      <c r="C78" s="2" t="s">
        <v>9789</v>
      </c>
      <c r="D78" s="23">
        <f>COUNTIFS('Data Angt'!$H$5:$H$5710,C78,'Data Angt'!$F$5:$F$5710,"&gt;60")</f>
        <v>34</v>
      </c>
      <c r="E78" s="4">
        <f t="shared" si="18"/>
        <v>6.3432835820895518E-3</v>
      </c>
      <c r="G78" s="34"/>
      <c r="I78" s="2" t="s">
        <v>9793</v>
      </c>
      <c r="J78" s="23">
        <f>COUNTIFS(Pinjaman!$X$6:$X$1373,$I78,Pinjaman!$W$6:$W$1373,J$40,Pinjaman!$V$6:$V$1373,"&gt;60")</f>
        <v>0</v>
      </c>
      <c r="K78" s="23">
        <f>COUNTIFS(Pinjaman!$X$6:$X$1373,$I78,Pinjaman!$W$6:$W$1373,K$40,Pinjaman!$V$6:$V$1373,"&gt;60")</f>
        <v>0</v>
      </c>
      <c r="L78" s="23">
        <f>COUNTIFS(Pinjaman!$X$6:$X$1373,$I78,Pinjaman!$W$6:$W$1373,L$40,Pinjaman!$V$6:$V$1373,"&gt;60")</f>
        <v>0</v>
      </c>
      <c r="M78" s="23">
        <f>COUNTIFS(Pinjaman!$X$6:$X$1373,$I78,Pinjaman!$W$6:$W$1373,M$40,Pinjaman!$V$6:$V$1373,"&gt;60")</f>
        <v>0</v>
      </c>
      <c r="N78" s="23">
        <f>COUNTIFS(Pinjaman!$X$6:$X$1373,$I78,Pinjaman!$W$6:$W$1373,N$40,Pinjaman!$V$6:$V$1373,"&gt;60")</f>
        <v>0</v>
      </c>
      <c r="O78" s="23">
        <f>COUNTIFS(Pinjaman!$X$6:$X$1373,$I78,Pinjaman!$W$6:$W$1373,0,Pinjaman!$V$6:$V$1373,"&gt;60")</f>
        <v>0</v>
      </c>
      <c r="P78" s="26">
        <f t="shared" si="22"/>
        <v>0</v>
      </c>
      <c r="R78" s="34"/>
    </row>
    <row r="79" spans="2:24" x14ac:dyDescent="0.3">
      <c r="B79" s="284"/>
      <c r="C79" s="2" t="s">
        <v>9790</v>
      </c>
      <c r="D79" s="23">
        <f>COUNTIFS('Data Angt'!$H$5:$H$5710,C79,'Data Angt'!$F$5:$F$5710,"&gt;60")</f>
        <v>0</v>
      </c>
      <c r="E79" s="4">
        <f t="shared" si="18"/>
        <v>0</v>
      </c>
      <c r="G79" s="34"/>
      <c r="I79" s="2" t="s">
        <v>9787</v>
      </c>
      <c r="J79" s="23">
        <f>COUNTIFS(Pinjaman!$X$6:$X$1373,$I79,Pinjaman!$W$6:$W$1373,J$40,Pinjaman!$V$6:$V$1373,"&gt;60")</f>
        <v>0</v>
      </c>
      <c r="K79" s="23">
        <f>COUNTIFS(Pinjaman!$X$6:$X$1373,$I79,Pinjaman!$W$6:$W$1373,K$40,Pinjaman!$V$6:$V$1373,"&gt;60")</f>
        <v>0</v>
      </c>
      <c r="L79" s="23">
        <f>COUNTIFS(Pinjaman!$X$6:$X$1373,$I79,Pinjaman!$W$6:$W$1373,L$40,Pinjaman!$V$6:$V$1373,"&gt;60")</f>
        <v>0</v>
      </c>
      <c r="M79" s="23">
        <f>COUNTIFS(Pinjaman!$X$6:$X$1373,$I79,Pinjaman!$W$6:$W$1373,M$40,Pinjaman!$V$6:$V$1373,"&gt;60")</f>
        <v>0</v>
      </c>
      <c r="N79" s="23">
        <f>COUNTIFS(Pinjaman!$X$6:$X$1373,$I79,Pinjaman!$W$6:$W$1373,N$40,Pinjaman!$V$6:$V$1373,"&gt;60")</f>
        <v>0</v>
      </c>
      <c r="O79" s="23">
        <f>COUNTIFS(Pinjaman!$X$6:$X$1373,$I79,Pinjaman!$W$6:$W$1373,0,Pinjaman!$V$6:$V$1373,"&gt;60")</f>
        <v>0</v>
      </c>
      <c r="P79" s="26">
        <f t="shared" si="22"/>
        <v>0</v>
      </c>
      <c r="R79" s="34"/>
    </row>
    <row r="80" spans="2:24" x14ac:dyDescent="0.3">
      <c r="B80" s="284"/>
      <c r="C80" s="2" t="s">
        <v>13</v>
      </c>
      <c r="D80" s="23">
        <f>COUNTIFS('Data Angt'!$H$5:$H$5710,C80,'Data Angt'!$F$5:$F$5710,"&gt;60")</f>
        <v>201</v>
      </c>
      <c r="E80" s="4">
        <f t="shared" si="18"/>
        <v>3.7499999999999999E-2</v>
      </c>
      <c r="G80" s="34"/>
      <c r="I80" s="2" t="s">
        <v>9794</v>
      </c>
      <c r="J80" s="23">
        <f>COUNTIFS(Pinjaman!$X$6:$X$1373,$I80,Pinjaman!$W$6:$W$1373,J$40,Pinjaman!$V$6:$V$1373,"&gt;60")</f>
        <v>0</v>
      </c>
      <c r="K80" s="23">
        <f>COUNTIFS(Pinjaman!$X$6:$X$1373,$I80,Pinjaman!$W$6:$W$1373,K$40,Pinjaman!$V$6:$V$1373,"&gt;60")</f>
        <v>0</v>
      </c>
      <c r="L80" s="23">
        <f>COUNTIFS(Pinjaman!$X$6:$X$1373,$I80,Pinjaman!$W$6:$W$1373,L$40,Pinjaman!$V$6:$V$1373,"&gt;60")</f>
        <v>0</v>
      </c>
      <c r="M80" s="23">
        <f>COUNTIFS(Pinjaman!$X$6:$X$1373,$I80,Pinjaman!$W$6:$W$1373,M$40,Pinjaman!$V$6:$V$1373,"&gt;60")</f>
        <v>0</v>
      </c>
      <c r="N80" s="23">
        <f>COUNTIFS(Pinjaman!$X$6:$X$1373,$I80,Pinjaman!$W$6:$W$1373,N$40,Pinjaman!$V$6:$V$1373,"&gt;60")</f>
        <v>0</v>
      </c>
      <c r="O80" s="23">
        <f>COUNTIFS(Pinjaman!$X$6:$X$1373,$I80,Pinjaman!$W$6:$W$1373,0,Pinjaman!$V$6:$V$1373,"&gt;60")</f>
        <v>0</v>
      </c>
      <c r="P80" s="26">
        <f t="shared" si="22"/>
        <v>0</v>
      </c>
      <c r="R80" s="34"/>
    </row>
    <row r="81" spans="2:18" x14ac:dyDescent="0.3">
      <c r="B81" s="284"/>
      <c r="C81" s="2" t="s">
        <v>9791</v>
      </c>
      <c r="D81" s="23">
        <f>COUNTIFS('Data Angt'!$H$5:$H$5710,C81,'Data Angt'!$F$5:$F$5710,"&gt;60")</f>
        <v>13</v>
      </c>
      <c r="E81" s="4">
        <f t="shared" si="18"/>
        <v>2.4253731343283581E-3</v>
      </c>
      <c r="G81" s="34"/>
      <c r="I81" s="2" t="s">
        <v>9802</v>
      </c>
      <c r="J81" s="23">
        <f>COUNTIFS(Pinjaman!$X$6:$X$1373,0,Pinjaman!$W$6:$W$1373,J$40,Pinjaman!$V$6:$V$1373,"&gt;60")</f>
        <v>0</v>
      </c>
      <c r="K81" s="23">
        <f>COUNTIFS(Pinjaman!$X$6:$X$1373,0,Pinjaman!$W$6:$W$1373,K$40,Pinjaman!$V$6:$V$1373,"&gt;60")</f>
        <v>2</v>
      </c>
      <c r="L81" s="23">
        <f>COUNTIFS(Pinjaman!$X$6:$X$1373,0,Pinjaman!$W$6:$W$1373,L$40,Pinjaman!$V$6:$V$1373,"&gt;60")</f>
        <v>0</v>
      </c>
      <c r="M81" s="23">
        <f>COUNTIFS(Pinjaman!$X$6:$X$1373,0,Pinjaman!$W$6:$W$1373,M$40,Pinjaman!$V$6:$V$1373,"&gt;60")</f>
        <v>0</v>
      </c>
      <c r="N81" s="23">
        <f>COUNTIFS(Pinjaman!$X$6:$X$1373,0,Pinjaman!$W$6:$W$1373,N$40,Pinjaman!$V$6:$V$1373,"&gt;60")</f>
        <v>0</v>
      </c>
      <c r="O81" s="23">
        <f>COUNTIFS(Pinjaman!$X$6:$X$1373,0,Pinjaman!$W$6:$W$1373,0,Pinjaman!$V$6:$V$1373,"&gt;60")</f>
        <v>0</v>
      </c>
      <c r="P81" s="26">
        <f t="shared" si="22"/>
        <v>2</v>
      </c>
      <c r="R81" s="34"/>
    </row>
    <row r="82" spans="2:18" x14ac:dyDescent="0.3">
      <c r="B82" s="284"/>
      <c r="C82" s="2" t="s">
        <v>9793</v>
      </c>
      <c r="D82" s="23">
        <f>COUNTIFS('Data Angt'!$H$5:$H$5710,C82,'Data Angt'!$F$5:$F$5710,"&gt;60")</f>
        <v>0</v>
      </c>
      <c r="E82" s="4">
        <f t="shared" si="18"/>
        <v>0</v>
      </c>
      <c r="G82" s="34"/>
      <c r="I82" s="27" t="s">
        <v>9805</v>
      </c>
      <c r="J82" s="28">
        <f>SUM(J69:J81)</f>
        <v>37</v>
      </c>
      <c r="K82" s="28">
        <f t="shared" ref="K82:P82" si="23">SUM(K69:K81)</f>
        <v>27</v>
      </c>
      <c r="L82" s="28">
        <f t="shared" si="23"/>
        <v>10</v>
      </c>
      <c r="M82" s="28">
        <f t="shared" si="23"/>
        <v>51</v>
      </c>
      <c r="N82" s="28">
        <f t="shared" si="23"/>
        <v>3</v>
      </c>
      <c r="O82" s="28">
        <f t="shared" si="23"/>
        <v>10</v>
      </c>
      <c r="P82" s="28">
        <f t="shared" si="23"/>
        <v>138</v>
      </c>
      <c r="R82" s="34"/>
    </row>
    <row r="83" spans="2:18" x14ac:dyDescent="0.3">
      <c r="B83" s="284"/>
      <c r="C83" s="2" t="s">
        <v>9787</v>
      </c>
      <c r="D83" s="23">
        <f>COUNTIFS('Data Angt'!$H$5:$H$5710,C83,'Data Angt'!$F$5:$F$5710,"&gt;60")</f>
        <v>3</v>
      </c>
      <c r="E83" s="4">
        <f t="shared" si="18"/>
        <v>5.5970149253731347E-4</v>
      </c>
      <c r="G83" s="34"/>
      <c r="R83" s="34"/>
    </row>
    <row r="84" spans="2:18" x14ac:dyDescent="0.3">
      <c r="B84" s="284"/>
      <c r="C84" s="2" t="s">
        <v>9794</v>
      </c>
      <c r="D84" s="23">
        <f>COUNTIFS('Data Angt'!$H$5:$H$5710,C84,'Data Angt'!$F$5:$F$5710,"&gt;60")</f>
        <v>13</v>
      </c>
      <c r="E84" s="4">
        <f t="shared" si="18"/>
        <v>2.4253731343283581E-3</v>
      </c>
      <c r="G84" s="34"/>
      <c r="R84" s="34"/>
    </row>
    <row r="85" spans="2:18" x14ac:dyDescent="0.3">
      <c r="B85" s="284"/>
      <c r="C85" s="2" t="s">
        <v>9802</v>
      </c>
      <c r="D85" s="23">
        <f>COUNTIFS('Data Angt'!$H$5:$H$5710,"",'Data Angt'!$F$5:$F$5710,"&gt;60")</f>
        <v>40</v>
      </c>
      <c r="E85" s="4">
        <f t="shared" si="18"/>
        <v>7.462686567164179E-3</v>
      </c>
      <c r="G85" s="34"/>
      <c r="R85" s="34"/>
    </row>
    <row r="86" spans="2:18" x14ac:dyDescent="0.3">
      <c r="B86" s="284"/>
      <c r="C86" s="27" t="s">
        <v>9805</v>
      </c>
      <c r="D86" s="29">
        <f>SUM(D73:D85)</f>
        <v>805</v>
      </c>
      <c r="E86" s="30">
        <f t="shared" si="18"/>
        <v>0.15018656716417911</v>
      </c>
      <c r="G86" s="34"/>
      <c r="R86" s="34"/>
    </row>
    <row r="87" spans="2:18" x14ac:dyDescent="0.3">
      <c r="G87" s="34"/>
      <c r="R87" s="34"/>
    </row>
  </sheetData>
  <sortState xmlns:xlrd2="http://schemas.microsoft.com/office/spreadsheetml/2017/richdata2" ref="C13:E27">
    <sortCondition descending="1" ref="E27"/>
  </sortState>
  <mergeCells count="11">
    <mergeCell ref="B29:E29"/>
    <mergeCell ref="S55:S67"/>
    <mergeCell ref="S41:S53"/>
    <mergeCell ref="S27:S39"/>
    <mergeCell ref="H33:H46"/>
    <mergeCell ref="H47:H60"/>
    <mergeCell ref="H61:H74"/>
    <mergeCell ref="B31:B44"/>
    <mergeCell ref="B45:B58"/>
    <mergeCell ref="B59:B72"/>
    <mergeCell ref="B73:B8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5809C-1206-4C3F-B6EB-685BB7772161}">
  <dimension ref="A2:AQ439"/>
  <sheetViews>
    <sheetView tabSelected="1" zoomScaleNormal="100" workbookViewId="0">
      <selection activeCell="D445" sqref="D445"/>
    </sheetView>
  </sheetViews>
  <sheetFormatPr defaultRowHeight="14.4" x14ac:dyDescent="0.3"/>
  <cols>
    <col min="1" max="1" width="3.33203125" style="58" bestFit="1" customWidth="1"/>
    <col min="2" max="2" width="27.88671875" customWidth="1"/>
    <col min="3" max="3" width="24" bestFit="1" customWidth="1"/>
    <col min="4" max="4" width="16.33203125" bestFit="1" customWidth="1"/>
    <col min="5" max="5" width="16.5546875" bestFit="1" customWidth="1"/>
    <col min="6" max="6" width="12.109375" bestFit="1" customWidth="1"/>
    <col min="7" max="7" width="11.109375" bestFit="1" customWidth="1"/>
    <col min="8" max="8" width="12.44140625" bestFit="1" customWidth="1"/>
    <col min="9" max="9" width="8" bestFit="1" customWidth="1"/>
    <col min="10" max="11" width="5.5546875" bestFit="1" customWidth="1"/>
    <col min="12" max="12" width="4.88671875" bestFit="1" customWidth="1"/>
    <col min="13" max="13" width="20.6640625" bestFit="1" customWidth="1"/>
    <col min="14" max="14" width="10.33203125" customWidth="1"/>
    <col min="15" max="15" width="8.6640625" bestFit="1" customWidth="1"/>
    <col min="16" max="16" width="9.33203125" customWidth="1"/>
    <col min="17" max="17" width="12.109375" bestFit="1" customWidth="1"/>
    <col min="18" max="18" width="8.33203125" bestFit="1" customWidth="1"/>
    <col min="19" max="19" width="10.6640625" bestFit="1" customWidth="1"/>
    <col min="20" max="20" width="8.6640625" bestFit="1" customWidth="1"/>
    <col min="21" max="21" width="9.44140625" customWidth="1"/>
    <col min="22" max="22" width="12.109375" bestFit="1" customWidth="1"/>
    <col min="23" max="23" width="8.33203125" bestFit="1" customWidth="1"/>
    <col min="24" max="24" width="10.6640625" bestFit="1" customWidth="1"/>
    <col min="25" max="25" width="8.6640625" bestFit="1" customWidth="1"/>
    <col min="26" max="26" width="9.44140625" customWidth="1"/>
    <col min="27" max="27" width="12.109375" bestFit="1" customWidth="1"/>
    <col min="28" max="28" width="8.33203125" bestFit="1" customWidth="1"/>
    <col min="29" max="29" width="10.6640625" bestFit="1" customWidth="1"/>
    <col min="30" max="30" width="8.6640625" bestFit="1" customWidth="1"/>
    <col min="31" max="31" width="9.44140625" customWidth="1"/>
    <col min="32" max="32" width="12.109375" bestFit="1" customWidth="1"/>
    <col min="33" max="33" width="8.33203125" bestFit="1" customWidth="1"/>
    <col min="34" max="34" width="10.6640625" bestFit="1" customWidth="1"/>
    <col min="35" max="35" width="8.6640625" bestFit="1" customWidth="1"/>
    <col min="36" max="36" width="9.44140625" customWidth="1"/>
    <col min="37" max="37" width="12.109375" bestFit="1" customWidth="1"/>
    <col min="38" max="38" width="8.33203125" bestFit="1" customWidth="1"/>
    <col min="39" max="39" width="10.6640625" bestFit="1" customWidth="1"/>
    <col min="40" max="40" width="8.6640625" bestFit="1" customWidth="1"/>
    <col min="41" max="41" width="9.44140625" customWidth="1"/>
    <col min="42" max="42" width="12.109375" bestFit="1" customWidth="1"/>
    <col min="43" max="43" width="8.33203125" bestFit="1" customWidth="1"/>
    <col min="257" max="257" width="4.5546875" customWidth="1"/>
    <col min="258" max="258" width="25.109375" customWidth="1"/>
    <col min="259" max="259" width="28" customWidth="1"/>
    <col min="260" max="260" width="18.5546875" bestFit="1" customWidth="1"/>
    <col min="261" max="261" width="16.88671875" customWidth="1"/>
    <col min="262" max="262" width="18.5546875" bestFit="1" customWidth="1"/>
    <col min="263" max="263" width="14.109375" customWidth="1"/>
    <col min="264" max="264" width="18.88671875" customWidth="1"/>
    <col min="265" max="266" width="20.109375" customWidth="1"/>
    <col min="513" max="513" width="4.5546875" customWidth="1"/>
    <col min="514" max="514" width="25.109375" customWidth="1"/>
    <col min="515" max="515" width="28" customWidth="1"/>
    <col min="516" max="516" width="18.5546875" bestFit="1" customWidth="1"/>
    <col min="517" max="517" width="16.88671875" customWidth="1"/>
    <col min="518" max="518" width="18.5546875" bestFit="1" customWidth="1"/>
    <col min="519" max="519" width="14.109375" customWidth="1"/>
    <col min="520" max="520" width="18.88671875" customWidth="1"/>
    <col min="521" max="522" width="20.109375" customWidth="1"/>
    <col min="769" max="769" width="4.5546875" customWidth="1"/>
    <col min="770" max="770" width="25.109375" customWidth="1"/>
    <col min="771" max="771" width="28" customWidth="1"/>
    <col min="772" max="772" width="18.5546875" bestFit="1" customWidth="1"/>
    <col min="773" max="773" width="16.88671875" customWidth="1"/>
    <col min="774" max="774" width="18.5546875" bestFit="1" customWidth="1"/>
    <col min="775" max="775" width="14.109375" customWidth="1"/>
    <col min="776" max="776" width="18.88671875" customWidth="1"/>
    <col min="777" max="778" width="20.109375" customWidth="1"/>
    <col min="1025" max="1025" width="4.5546875" customWidth="1"/>
    <col min="1026" max="1026" width="25.109375" customWidth="1"/>
    <col min="1027" max="1027" width="28" customWidth="1"/>
    <col min="1028" max="1028" width="18.5546875" bestFit="1" customWidth="1"/>
    <col min="1029" max="1029" width="16.88671875" customWidth="1"/>
    <col min="1030" max="1030" width="18.5546875" bestFit="1" customWidth="1"/>
    <col min="1031" max="1031" width="14.109375" customWidth="1"/>
    <col min="1032" max="1032" width="18.88671875" customWidth="1"/>
    <col min="1033" max="1034" width="20.109375" customWidth="1"/>
    <col min="1281" max="1281" width="4.5546875" customWidth="1"/>
    <col min="1282" max="1282" width="25.109375" customWidth="1"/>
    <col min="1283" max="1283" width="28" customWidth="1"/>
    <col min="1284" max="1284" width="18.5546875" bestFit="1" customWidth="1"/>
    <col min="1285" max="1285" width="16.88671875" customWidth="1"/>
    <col min="1286" max="1286" width="18.5546875" bestFit="1" customWidth="1"/>
    <col min="1287" max="1287" width="14.109375" customWidth="1"/>
    <col min="1288" max="1288" width="18.88671875" customWidth="1"/>
    <col min="1289" max="1290" width="20.109375" customWidth="1"/>
    <col min="1537" max="1537" width="4.5546875" customWidth="1"/>
    <col min="1538" max="1538" width="25.109375" customWidth="1"/>
    <col min="1539" max="1539" width="28" customWidth="1"/>
    <col min="1540" max="1540" width="18.5546875" bestFit="1" customWidth="1"/>
    <col min="1541" max="1541" width="16.88671875" customWidth="1"/>
    <col min="1542" max="1542" width="18.5546875" bestFit="1" customWidth="1"/>
    <col min="1543" max="1543" width="14.109375" customWidth="1"/>
    <col min="1544" max="1544" width="18.88671875" customWidth="1"/>
    <col min="1545" max="1546" width="20.109375" customWidth="1"/>
    <col min="1793" max="1793" width="4.5546875" customWidth="1"/>
    <col min="1794" max="1794" width="25.109375" customWidth="1"/>
    <col min="1795" max="1795" width="28" customWidth="1"/>
    <col min="1796" max="1796" width="18.5546875" bestFit="1" customWidth="1"/>
    <col min="1797" max="1797" width="16.88671875" customWidth="1"/>
    <col min="1798" max="1798" width="18.5546875" bestFit="1" customWidth="1"/>
    <col min="1799" max="1799" width="14.109375" customWidth="1"/>
    <col min="1800" max="1800" width="18.88671875" customWidth="1"/>
    <col min="1801" max="1802" width="20.109375" customWidth="1"/>
    <col min="2049" max="2049" width="4.5546875" customWidth="1"/>
    <col min="2050" max="2050" width="25.109375" customWidth="1"/>
    <col min="2051" max="2051" width="28" customWidth="1"/>
    <col min="2052" max="2052" width="18.5546875" bestFit="1" customWidth="1"/>
    <col min="2053" max="2053" width="16.88671875" customWidth="1"/>
    <col min="2054" max="2054" width="18.5546875" bestFit="1" customWidth="1"/>
    <col min="2055" max="2055" width="14.109375" customWidth="1"/>
    <col min="2056" max="2056" width="18.88671875" customWidth="1"/>
    <col min="2057" max="2058" width="20.109375" customWidth="1"/>
    <col min="2305" max="2305" width="4.5546875" customWidth="1"/>
    <col min="2306" max="2306" width="25.109375" customWidth="1"/>
    <col min="2307" max="2307" width="28" customWidth="1"/>
    <col min="2308" max="2308" width="18.5546875" bestFit="1" customWidth="1"/>
    <col min="2309" max="2309" width="16.88671875" customWidth="1"/>
    <col min="2310" max="2310" width="18.5546875" bestFit="1" customWidth="1"/>
    <col min="2311" max="2311" width="14.109375" customWidth="1"/>
    <col min="2312" max="2312" width="18.88671875" customWidth="1"/>
    <col min="2313" max="2314" width="20.109375" customWidth="1"/>
    <col min="2561" max="2561" width="4.5546875" customWidth="1"/>
    <col min="2562" max="2562" width="25.109375" customWidth="1"/>
    <col min="2563" max="2563" width="28" customWidth="1"/>
    <col min="2564" max="2564" width="18.5546875" bestFit="1" customWidth="1"/>
    <col min="2565" max="2565" width="16.88671875" customWidth="1"/>
    <col min="2566" max="2566" width="18.5546875" bestFit="1" customWidth="1"/>
    <col min="2567" max="2567" width="14.109375" customWidth="1"/>
    <col min="2568" max="2568" width="18.88671875" customWidth="1"/>
    <col min="2569" max="2570" width="20.109375" customWidth="1"/>
    <col min="2817" max="2817" width="4.5546875" customWidth="1"/>
    <col min="2818" max="2818" width="25.109375" customWidth="1"/>
    <col min="2819" max="2819" width="28" customWidth="1"/>
    <col min="2820" max="2820" width="18.5546875" bestFit="1" customWidth="1"/>
    <col min="2821" max="2821" width="16.88671875" customWidth="1"/>
    <col min="2822" max="2822" width="18.5546875" bestFit="1" customWidth="1"/>
    <col min="2823" max="2823" width="14.109375" customWidth="1"/>
    <col min="2824" max="2824" width="18.88671875" customWidth="1"/>
    <col min="2825" max="2826" width="20.109375" customWidth="1"/>
    <col min="3073" max="3073" width="4.5546875" customWidth="1"/>
    <col min="3074" max="3074" width="25.109375" customWidth="1"/>
    <col min="3075" max="3075" width="28" customWidth="1"/>
    <col min="3076" max="3076" width="18.5546875" bestFit="1" customWidth="1"/>
    <col min="3077" max="3077" width="16.88671875" customWidth="1"/>
    <col min="3078" max="3078" width="18.5546875" bestFit="1" customWidth="1"/>
    <col min="3079" max="3079" width="14.109375" customWidth="1"/>
    <col min="3080" max="3080" width="18.88671875" customWidth="1"/>
    <col min="3081" max="3082" width="20.109375" customWidth="1"/>
    <col min="3329" max="3329" width="4.5546875" customWidth="1"/>
    <col min="3330" max="3330" width="25.109375" customWidth="1"/>
    <col min="3331" max="3331" width="28" customWidth="1"/>
    <col min="3332" max="3332" width="18.5546875" bestFit="1" customWidth="1"/>
    <col min="3333" max="3333" width="16.88671875" customWidth="1"/>
    <col min="3334" max="3334" width="18.5546875" bestFit="1" customWidth="1"/>
    <col min="3335" max="3335" width="14.109375" customWidth="1"/>
    <col min="3336" max="3336" width="18.88671875" customWidth="1"/>
    <col min="3337" max="3338" width="20.109375" customWidth="1"/>
    <col min="3585" max="3585" width="4.5546875" customWidth="1"/>
    <col min="3586" max="3586" width="25.109375" customWidth="1"/>
    <col min="3587" max="3587" width="28" customWidth="1"/>
    <col min="3588" max="3588" width="18.5546875" bestFit="1" customWidth="1"/>
    <col min="3589" max="3589" width="16.88671875" customWidth="1"/>
    <col min="3590" max="3590" width="18.5546875" bestFit="1" customWidth="1"/>
    <col min="3591" max="3591" width="14.109375" customWidth="1"/>
    <col min="3592" max="3592" width="18.88671875" customWidth="1"/>
    <col min="3593" max="3594" width="20.109375" customWidth="1"/>
    <col min="3841" max="3841" width="4.5546875" customWidth="1"/>
    <col min="3842" max="3842" width="25.109375" customWidth="1"/>
    <col min="3843" max="3843" width="28" customWidth="1"/>
    <col min="3844" max="3844" width="18.5546875" bestFit="1" customWidth="1"/>
    <col min="3845" max="3845" width="16.88671875" customWidth="1"/>
    <col min="3846" max="3846" width="18.5546875" bestFit="1" customWidth="1"/>
    <col min="3847" max="3847" width="14.109375" customWidth="1"/>
    <col min="3848" max="3848" width="18.88671875" customWidth="1"/>
    <col min="3849" max="3850" width="20.109375" customWidth="1"/>
    <col min="4097" max="4097" width="4.5546875" customWidth="1"/>
    <col min="4098" max="4098" width="25.109375" customWidth="1"/>
    <col min="4099" max="4099" width="28" customWidth="1"/>
    <col min="4100" max="4100" width="18.5546875" bestFit="1" customWidth="1"/>
    <col min="4101" max="4101" width="16.88671875" customWidth="1"/>
    <col min="4102" max="4102" width="18.5546875" bestFit="1" customWidth="1"/>
    <col min="4103" max="4103" width="14.109375" customWidth="1"/>
    <col min="4104" max="4104" width="18.88671875" customWidth="1"/>
    <col min="4105" max="4106" width="20.109375" customWidth="1"/>
    <col min="4353" max="4353" width="4.5546875" customWidth="1"/>
    <col min="4354" max="4354" width="25.109375" customWidth="1"/>
    <col min="4355" max="4355" width="28" customWidth="1"/>
    <col min="4356" max="4356" width="18.5546875" bestFit="1" customWidth="1"/>
    <col min="4357" max="4357" width="16.88671875" customWidth="1"/>
    <col min="4358" max="4358" width="18.5546875" bestFit="1" customWidth="1"/>
    <col min="4359" max="4359" width="14.109375" customWidth="1"/>
    <col min="4360" max="4360" width="18.88671875" customWidth="1"/>
    <col min="4361" max="4362" width="20.109375" customWidth="1"/>
    <col min="4609" max="4609" width="4.5546875" customWidth="1"/>
    <col min="4610" max="4610" width="25.109375" customWidth="1"/>
    <col min="4611" max="4611" width="28" customWidth="1"/>
    <col min="4612" max="4612" width="18.5546875" bestFit="1" customWidth="1"/>
    <col min="4613" max="4613" width="16.88671875" customWidth="1"/>
    <col min="4614" max="4614" width="18.5546875" bestFit="1" customWidth="1"/>
    <col min="4615" max="4615" width="14.109375" customWidth="1"/>
    <col min="4616" max="4616" width="18.88671875" customWidth="1"/>
    <col min="4617" max="4618" width="20.109375" customWidth="1"/>
    <col min="4865" max="4865" width="4.5546875" customWidth="1"/>
    <col min="4866" max="4866" width="25.109375" customWidth="1"/>
    <col min="4867" max="4867" width="28" customWidth="1"/>
    <col min="4868" max="4868" width="18.5546875" bestFit="1" customWidth="1"/>
    <col min="4869" max="4869" width="16.88671875" customWidth="1"/>
    <col min="4870" max="4870" width="18.5546875" bestFit="1" customWidth="1"/>
    <col min="4871" max="4871" width="14.109375" customWidth="1"/>
    <col min="4872" max="4872" width="18.88671875" customWidth="1"/>
    <col min="4873" max="4874" width="20.109375" customWidth="1"/>
    <col min="5121" max="5121" width="4.5546875" customWidth="1"/>
    <col min="5122" max="5122" width="25.109375" customWidth="1"/>
    <col min="5123" max="5123" width="28" customWidth="1"/>
    <col min="5124" max="5124" width="18.5546875" bestFit="1" customWidth="1"/>
    <col min="5125" max="5125" width="16.88671875" customWidth="1"/>
    <col min="5126" max="5126" width="18.5546875" bestFit="1" customWidth="1"/>
    <col min="5127" max="5127" width="14.109375" customWidth="1"/>
    <col min="5128" max="5128" width="18.88671875" customWidth="1"/>
    <col min="5129" max="5130" width="20.109375" customWidth="1"/>
    <col min="5377" max="5377" width="4.5546875" customWidth="1"/>
    <col min="5378" max="5378" width="25.109375" customWidth="1"/>
    <col min="5379" max="5379" width="28" customWidth="1"/>
    <col min="5380" max="5380" width="18.5546875" bestFit="1" customWidth="1"/>
    <col min="5381" max="5381" width="16.88671875" customWidth="1"/>
    <col min="5382" max="5382" width="18.5546875" bestFit="1" customWidth="1"/>
    <col min="5383" max="5383" width="14.109375" customWidth="1"/>
    <col min="5384" max="5384" width="18.88671875" customWidth="1"/>
    <col min="5385" max="5386" width="20.109375" customWidth="1"/>
    <col min="5633" max="5633" width="4.5546875" customWidth="1"/>
    <col min="5634" max="5634" width="25.109375" customWidth="1"/>
    <col min="5635" max="5635" width="28" customWidth="1"/>
    <col min="5636" max="5636" width="18.5546875" bestFit="1" customWidth="1"/>
    <col min="5637" max="5637" width="16.88671875" customWidth="1"/>
    <col min="5638" max="5638" width="18.5546875" bestFit="1" customWidth="1"/>
    <col min="5639" max="5639" width="14.109375" customWidth="1"/>
    <col min="5640" max="5640" width="18.88671875" customWidth="1"/>
    <col min="5641" max="5642" width="20.109375" customWidth="1"/>
    <col min="5889" max="5889" width="4.5546875" customWidth="1"/>
    <col min="5890" max="5890" width="25.109375" customWidth="1"/>
    <col min="5891" max="5891" width="28" customWidth="1"/>
    <col min="5892" max="5892" width="18.5546875" bestFit="1" customWidth="1"/>
    <col min="5893" max="5893" width="16.88671875" customWidth="1"/>
    <col min="5894" max="5894" width="18.5546875" bestFit="1" customWidth="1"/>
    <col min="5895" max="5895" width="14.109375" customWidth="1"/>
    <col min="5896" max="5896" width="18.88671875" customWidth="1"/>
    <col min="5897" max="5898" width="20.109375" customWidth="1"/>
    <col min="6145" max="6145" width="4.5546875" customWidth="1"/>
    <col min="6146" max="6146" width="25.109375" customWidth="1"/>
    <col min="6147" max="6147" width="28" customWidth="1"/>
    <col min="6148" max="6148" width="18.5546875" bestFit="1" customWidth="1"/>
    <col min="6149" max="6149" width="16.88671875" customWidth="1"/>
    <col min="6150" max="6150" width="18.5546875" bestFit="1" customWidth="1"/>
    <col min="6151" max="6151" width="14.109375" customWidth="1"/>
    <col min="6152" max="6152" width="18.88671875" customWidth="1"/>
    <col min="6153" max="6154" width="20.109375" customWidth="1"/>
    <col min="6401" max="6401" width="4.5546875" customWidth="1"/>
    <col min="6402" max="6402" width="25.109375" customWidth="1"/>
    <col min="6403" max="6403" width="28" customWidth="1"/>
    <col min="6404" max="6404" width="18.5546875" bestFit="1" customWidth="1"/>
    <col min="6405" max="6405" width="16.88671875" customWidth="1"/>
    <col min="6406" max="6406" width="18.5546875" bestFit="1" customWidth="1"/>
    <col min="6407" max="6407" width="14.109375" customWidth="1"/>
    <col min="6408" max="6408" width="18.88671875" customWidth="1"/>
    <col min="6409" max="6410" width="20.109375" customWidth="1"/>
    <col min="6657" max="6657" width="4.5546875" customWidth="1"/>
    <col min="6658" max="6658" width="25.109375" customWidth="1"/>
    <col min="6659" max="6659" width="28" customWidth="1"/>
    <col min="6660" max="6660" width="18.5546875" bestFit="1" customWidth="1"/>
    <col min="6661" max="6661" width="16.88671875" customWidth="1"/>
    <col min="6662" max="6662" width="18.5546875" bestFit="1" customWidth="1"/>
    <col min="6663" max="6663" width="14.109375" customWidth="1"/>
    <col min="6664" max="6664" width="18.88671875" customWidth="1"/>
    <col min="6665" max="6666" width="20.109375" customWidth="1"/>
    <col min="6913" max="6913" width="4.5546875" customWidth="1"/>
    <col min="6914" max="6914" width="25.109375" customWidth="1"/>
    <col min="6915" max="6915" width="28" customWidth="1"/>
    <col min="6916" max="6916" width="18.5546875" bestFit="1" customWidth="1"/>
    <col min="6917" max="6917" width="16.88671875" customWidth="1"/>
    <col min="6918" max="6918" width="18.5546875" bestFit="1" customWidth="1"/>
    <col min="6919" max="6919" width="14.109375" customWidth="1"/>
    <col min="6920" max="6920" width="18.88671875" customWidth="1"/>
    <col min="6921" max="6922" width="20.109375" customWidth="1"/>
    <col min="7169" max="7169" width="4.5546875" customWidth="1"/>
    <col min="7170" max="7170" width="25.109375" customWidth="1"/>
    <col min="7171" max="7171" width="28" customWidth="1"/>
    <col min="7172" max="7172" width="18.5546875" bestFit="1" customWidth="1"/>
    <col min="7173" max="7173" width="16.88671875" customWidth="1"/>
    <col min="7174" max="7174" width="18.5546875" bestFit="1" customWidth="1"/>
    <col min="7175" max="7175" width="14.109375" customWidth="1"/>
    <col min="7176" max="7176" width="18.88671875" customWidth="1"/>
    <col min="7177" max="7178" width="20.109375" customWidth="1"/>
    <col min="7425" max="7425" width="4.5546875" customWidth="1"/>
    <col min="7426" max="7426" width="25.109375" customWidth="1"/>
    <col min="7427" max="7427" width="28" customWidth="1"/>
    <col min="7428" max="7428" width="18.5546875" bestFit="1" customWidth="1"/>
    <col min="7429" max="7429" width="16.88671875" customWidth="1"/>
    <col min="7430" max="7430" width="18.5546875" bestFit="1" customWidth="1"/>
    <col min="7431" max="7431" width="14.109375" customWidth="1"/>
    <col min="7432" max="7432" width="18.88671875" customWidth="1"/>
    <col min="7433" max="7434" width="20.109375" customWidth="1"/>
    <col min="7681" max="7681" width="4.5546875" customWidth="1"/>
    <col min="7682" max="7682" width="25.109375" customWidth="1"/>
    <col min="7683" max="7683" width="28" customWidth="1"/>
    <col min="7684" max="7684" width="18.5546875" bestFit="1" customWidth="1"/>
    <col min="7685" max="7685" width="16.88671875" customWidth="1"/>
    <col min="7686" max="7686" width="18.5546875" bestFit="1" customWidth="1"/>
    <col min="7687" max="7687" width="14.109375" customWidth="1"/>
    <col min="7688" max="7688" width="18.88671875" customWidth="1"/>
    <col min="7689" max="7690" width="20.109375" customWidth="1"/>
    <col min="7937" max="7937" width="4.5546875" customWidth="1"/>
    <col min="7938" max="7938" width="25.109375" customWidth="1"/>
    <col min="7939" max="7939" width="28" customWidth="1"/>
    <col min="7940" max="7940" width="18.5546875" bestFit="1" customWidth="1"/>
    <col min="7941" max="7941" width="16.88671875" customWidth="1"/>
    <col min="7942" max="7942" width="18.5546875" bestFit="1" customWidth="1"/>
    <col min="7943" max="7943" width="14.109375" customWidth="1"/>
    <col min="7944" max="7944" width="18.88671875" customWidth="1"/>
    <col min="7945" max="7946" width="20.109375" customWidth="1"/>
    <col min="8193" max="8193" width="4.5546875" customWidth="1"/>
    <col min="8194" max="8194" width="25.109375" customWidth="1"/>
    <col min="8195" max="8195" width="28" customWidth="1"/>
    <col min="8196" max="8196" width="18.5546875" bestFit="1" customWidth="1"/>
    <col min="8197" max="8197" width="16.88671875" customWidth="1"/>
    <col min="8198" max="8198" width="18.5546875" bestFit="1" customWidth="1"/>
    <col min="8199" max="8199" width="14.109375" customWidth="1"/>
    <col min="8200" max="8200" width="18.88671875" customWidth="1"/>
    <col min="8201" max="8202" width="20.109375" customWidth="1"/>
    <col min="8449" max="8449" width="4.5546875" customWidth="1"/>
    <col min="8450" max="8450" width="25.109375" customWidth="1"/>
    <col min="8451" max="8451" width="28" customWidth="1"/>
    <col min="8452" max="8452" width="18.5546875" bestFit="1" customWidth="1"/>
    <col min="8453" max="8453" width="16.88671875" customWidth="1"/>
    <col min="8454" max="8454" width="18.5546875" bestFit="1" customWidth="1"/>
    <col min="8455" max="8455" width="14.109375" customWidth="1"/>
    <col min="8456" max="8456" width="18.88671875" customWidth="1"/>
    <col min="8457" max="8458" width="20.109375" customWidth="1"/>
    <col min="8705" max="8705" width="4.5546875" customWidth="1"/>
    <col min="8706" max="8706" width="25.109375" customWidth="1"/>
    <col min="8707" max="8707" width="28" customWidth="1"/>
    <col min="8708" max="8708" width="18.5546875" bestFit="1" customWidth="1"/>
    <col min="8709" max="8709" width="16.88671875" customWidth="1"/>
    <col min="8710" max="8710" width="18.5546875" bestFit="1" customWidth="1"/>
    <col min="8711" max="8711" width="14.109375" customWidth="1"/>
    <col min="8712" max="8712" width="18.88671875" customWidth="1"/>
    <col min="8713" max="8714" width="20.109375" customWidth="1"/>
    <col min="8961" max="8961" width="4.5546875" customWidth="1"/>
    <col min="8962" max="8962" width="25.109375" customWidth="1"/>
    <col min="8963" max="8963" width="28" customWidth="1"/>
    <col min="8964" max="8964" width="18.5546875" bestFit="1" customWidth="1"/>
    <col min="8965" max="8965" width="16.88671875" customWidth="1"/>
    <col min="8966" max="8966" width="18.5546875" bestFit="1" customWidth="1"/>
    <col min="8967" max="8967" width="14.109375" customWidth="1"/>
    <col min="8968" max="8968" width="18.88671875" customWidth="1"/>
    <col min="8969" max="8970" width="20.109375" customWidth="1"/>
    <col min="9217" max="9217" width="4.5546875" customWidth="1"/>
    <col min="9218" max="9218" width="25.109375" customWidth="1"/>
    <col min="9219" max="9219" width="28" customWidth="1"/>
    <col min="9220" max="9220" width="18.5546875" bestFit="1" customWidth="1"/>
    <col min="9221" max="9221" width="16.88671875" customWidth="1"/>
    <col min="9222" max="9222" width="18.5546875" bestFit="1" customWidth="1"/>
    <col min="9223" max="9223" width="14.109375" customWidth="1"/>
    <col min="9224" max="9224" width="18.88671875" customWidth="1"/>
    <col min="9225" max="9226" width="20.109375" customWidth="1"/>
    <col min="9473" max="9473" width="4.5546875" customWidth="1"/>
    <col min="9474" max="9474" width="25.109375" customWidth="1"/>
    <col min="9475" max="9475" width="28" customWidth="1"/>
    <col min="9476" max="9476" width="18.5546875" bestFit="1" customWidth="1"/>
    <col min="9477" max="9477" width="16.88671875" customWidth="1"/>
    <col min="9478" max="9478" width="18.5546875" bestFit="1" customWidth="1"/>
    <col min="9479" max="9479" width="14.109375" customWidth="1"/>
    <col min="9480" max="9480" width="18.88671875" customWidth="1"/>
    <col min="9481" max="9482" width="20.109375" customWidth="1"/>
    <col min="9729" max="9729" width="4.5546875" customWidth="1"/>
    <col min="9730" max="9730" width="25.109375" customWidth="1"/>
    <col min="9731" max="9731" width="28" customWidth="1"/>
    <col min="9732" max="9732" width="18.5546875" bestFit="1" customWidth="1"/>
    <col min="9733" max="9733" width="16.88671875" customWidth="1"/>
    <col min="9734" max="9734" width="18.5546875" bestFit="1" customWidth="1"/>
    <col min="9735" max="9735" width="14.109375" customWidth="1"/>
    <col min="9736" max="9736" width="18.88671875" customWidth="1"/>
    <col min="9737" max="9738" width="20.109375" customWidth="1"/>
    <col min="9985" max="9985" width="4.5546875" customWidth="1"/>
    <col min="9986" max="9986" width="25.109375" customWidth="1"/>
    <col min="9987" max="9987" width="28" customWidth="1"/>
    <col min="9988" max="9988" width="18.5546875" bestFit="1" customWidth="1"/>
    <col min="9989" max="9989" width="16.88671875" customWidth="1"/>
    <col min="9990" max="9990" width="18.5546875" bestFit="1" customWidth="1"/>
    <col min="9991" max="9991" width="14.109375" customWidth="1"/>
    <col min="9992" max="9992" width="18.88671875" customWidth="1"/>
    <col min="9993" max="9994" width="20.109375" customWidth="1"/>
    <col min="10241" max="10241" width="4.5546875" customWidth="1"/>
    <col min="10242" max="10242" width="25.109375" customWidth="1"/>
    <col min="10243" max="10243" width="28" customWidth="1"/>
    <col min="10244" max="10244" width="18.5546875" bestFit="1" customWidth="1"/>
    <col min="10245" max="10245" width="16.88671875" customWidth="1"/>
    <col min="10246" max="10246" width="18.5546875" bestFit="1" customWidth="1"/>
    <col min="10247" max="10247" width="14.109375" customWidth="1"/>
    <col min="10248" max="10248" width="18.88671875" customWidth="1"/>
    <col min="10249" max="10250" width="20.109375" customWidth="1"/>
    <col min="10497" max="10497" width="4.5546875" customWidth="1"/>
    <col min="10498" max="10498" width="25.109375" customWidth="1"/>
    <col min="10499" max="10499" width="28" customWidth="1"/>
    <col min="10500" max="10500" width="18.5546875" bestFit="1" customWidth="1"/>
    <col min="10501" max="10501" width="16.88671875" customWidth="1"/>
    <col min="10502" max="10502" width="18.5546875" bestFit="1" customWidth="1"/>
    <col min="10503" max="10503" width="14.109375" customWidth="1"/>
    <col min="10504" max="10504" width="18.88671875" customWidth="1"/>
    <col min="10505" max="10506" width="20.109375" customWidth="1"/>
    <col min="10753" max="10753" width="4.5546875" customWidth="1"/>
    <col min="10754" max="10754" width="25.109375" customWidth="1"/>
    <col min="10755" max="10755" width="28" customWidth="1"/>
    <col min="10756" max="10756" width="18.5546875" bestFit="1" customWidth="1"/>
    <col min="10757" max="10757" width="16.88671875" customWidth="1"/>
    <col min="10758" max="10758" width="18.5546875" bestFit="1" customWidth="1"/>
    <col min="10759" max="10759" width="14.109375" customWidth="1"/>
    <col min="10760" max="10760" width="18.88671875" customWidth="1"/>
    <col min="10761" max="10762" width="20.109375" customWidth="1"/>
    <col min="11009" max="11009" width="4.5546875" customWidth="1"/>
    <col min="11010" max="11010" width="25.109375" customWidth="1"/>
    <col min="11011" max="11011" width="28" customWidth="1"/>
    <col min="11012" max="11012" width="18.5546875" bestFit="1" customWidth="1"/>
    <col min="11013" max="11013" width="16.88671875" customWidth="1"/>
    <col min="11014" max="11014" width="18.5546875" bestFit="1" customWidth="1"/>
    <col min="11015" max="11015" width="14.109375" customWidth="1"/>
    <col min="11016" max="11016" width="18.88671875" customWidth="1"/>
    <col min="11017" max="11018" width="20.109375" customWidth="1"/>
    <col min="11265" max="11265" width="4.5546875" customWidth="1"/>
    <col min="11266" max="11266" width="25.109375" customWidth="1"/>
    <col min="11267" max="11267" width="28" customWidth="1"/>
    <col min="11268" max="11268" width="18.5546875" bestFit="1" customWidth="1"/>
    <col min="11269" max="11269" width="16.88671875" customWidth="1"/>
    <col min="11270" max="11270" width="18.5546875" bestFit="1" customWidth="1"/>
    <col min="11271" max="11271" width="14.109375" customWidth="1"/>
    <col min="11272" max="11272" width="18.88671875" customWidth="1"/>
    <col min="11273" max="11274" width="20.109375" customWidth="1"/>
    <col min="11521" max="11521" width="4.5546875" customWidth="1"/>
    <col min="11522" max="11522" width="25.109375" customWidth="1"/>
    <col min="11523" max="11523" width="28" customWidth="1"/>
    <col min="11524" max="11524" width="18.5546875" bestFit="1" customWidth="1"/>
    <col min="11525" max="11525" width="16.88671875" customWidth="1"/>
    <col min="11526" max="11526" width="18.5546875" bestFit="1" customWidth="1"/>
    <col min="11527" max="11527" width="14.109375" customWidth="1"/>
    <col min="11528" max="11528" width="18.88671875" customWidth="1"/>
    <col min="11529" max="11530" width="20.109375" customWidth="1"/>
    <col min="11777" max="11777" width="4.5546875" customWidth="1"/>
    <col min="11778" max="11778" width="25.109375" customWidth="1"/>
    <col min="11779" max="11779" width="28" customWidth="1"/>
    <col min="11780" max="11780" width="18.5546875" bestFit="1" customWidth="1"/>
    <col min="11781" max="11781" width="16.88671875" customWidth="1"/>
    <col min="11782" max="11782" width="18.5546875" bestFit="1" customWidth="1"/>
    <col min="11783" max="11783" width="14.109375" customWidth="1"/>
    <col min="11784" max="11784" width="18.88671875" customWidth="1"/>
    <col min="11785" max="11786" width="20.109375" customWidth="1"/>
    <col min="12033" max="12033" width="4.5546875" customWidth="1"/>
    <col min="12034" max="12034" width="25.109375" customWidth="1"/>
    <col min="12035" max="12035" width="28" customWidth="1"/>
    <col min="12036" max="12036" width="18.5546875" bestFit="1" customWidth="1"/>
    <col min="12037" max="12037" width="16.88671875" customWidth="1"/>
    <col min="12038" max="12038" width="18.5546875" bestFit="1" customWidth="1"/>
    <col min="12039" max="12039" width="14.109375" customWidth="1"/>
    <col min="12040" max="12040" width="18.88671875" customWidth="1"/>
    <col min="12041" max="12042" width="20.109375" customWidth="1"/>
    <col min="12289" max="12289" width="4.5546875" customWidth="1"/>
    <col min="12290" max="12290" width="25.109375" customWidth="1"/>
    <col min="12291" max="12291" width="28" customWidth="1"/>
    <col min="12292" max="12292" width="18.5546875" bestFit="1" customWidth="1"/>
    <col min="12293" max="12293" width="16.88671875" customWidth="1"/>
    <col min="12294" max="12294" width="18.5546875" bestFit="1" customWidth="1"/>
    <col min="12295" max="12295" width="14.109375" customWidth="1"/>
    <col min="12296" max="12296" width="18.88671875" customWidth="1"/>
    <col min="12297" max="12298" width="20.109375" customWidth="1"/>
    <col min="12545" max="12545" width="4.5546875" customWidth="1"/>
    <col min="12546" max="12546" width="25.109375" customWidth="1"/>
    <col min="12547" max="12547" width="28" customWidth="1"/>
    <col min="12548" max="12548" width="18.5546875" bestFit="1" customWidth="1"/>
    <col min="12549" max="12549" width="16.88671875" customWidth="1"/>
    <col min="12550" max="12550" width="18.5546875" bestFit="1" customWidth="1"/>
    <col min="12551" max="12551" width="14.109375" customWidth="1"/>
    <col min="12552" max="12552" width="18.88671875" customWidth="1"/>
    <col min="12553" max="12554" width="20.109375" customWidth="1"/>
    <col min="12801" max="12801" width="4.5546875" customWidth="1"/>
    <col min="12802" max="12802" width="25.109375" customWidth="1"/>
    <col min="12803" max="12803" width="28" customWidth="1"/>
    <col min="12804" max="12804" width="18.5546875" bestFit="1" customWidth="1"/>
    <col min="12805" max="12805" width="16.88671875" customWidth="1"/>
    <col min="12806" max="12806" width="18.5546875" bestFit="1" customWidth="1"/>
    <col min="12807" max="12807" width="14.109375" customWidth="1"/>
    <col min="12808" max="12808" width="18.88671875" customWidth="1"/>
    <col min="12809" max="12810" width="20.109375" customWidth="1"/>
    <col min="13057" max="13057" width="4.5546875" customWidth="1"/>
    <col min="13058" max="13058" width="25.109375" customWidth="1"/>
    <col min="13059" max="13059" width="28" customWidth="1"/>
    <col min="13060" max="13060" width="18.5546875" bestFit="1" customWidth="1"/>
    <col min="13061" max="13061" width="16.88671875" customWidth="1"/>
    <col min="13062" max="13062" width="18.5546875" bestFit="1" customWidth="1"/>
    <col min="13063" max="13063" width="14.109375" customWidth="1"/>
    <col min="13064" max="13064" width="18.88671875" customWidth="1"/>
    <col min="13065" max="13066" width="20.109375" customWidth="1"/>
    <col min="13313" max="13313" width="4.5546875" customWidth="1"/>
    <col min="13314" max="13314" width="25.109375" customWidth="1"/>
    <col min="13315" max="13315" width="28" customWidth="1"/>
    <col min="13316" max="13316" width="18.5546875" bestFit="1" customWidth="1"/>
    <col min="13317" max="13317" width="16.88671875" customWidth="1"/>
    <col min="13318" max="13318" width="18.5546875" bestFit="1" customWidth="1"/>
    <col min="13319" max="13319" width="14.109375" customWidth="1"/>
    <col min="13320" max="13320" width="18.88671875" customWidth="1"/>
    <col min="13321" max="13322" width="20.109375" customWidth="1"/>
    <col min="13569" max="13569" width="4.5546875" customWidth="1"/>
    <col min="13570" max="13570" width="25.109375" customWidth="1"/>
    <col min="13571" max="13571" width="28" customWidth="1"/>
    <col min="13572" max="13572" width="18.5546875" bestFit="1" customWidth="1"/>
    <col min="13573" max="13573" width="16.88671875" customWidth="1"/>
    <col min="13574" max="13574" width="18.5546875" bestFit="1" customWidth="1"/>
    <col min="13575" max="13575" width="14.109375" customWidth="1"/>
    <col min="13576" max="13576" width="18.88671875" customWidth="1"/>
    <col min="13577" max="13578" width="20.109375" customWidth="1"/>
    <col min="13825" max="13825" width="4.5546875" customWidth="1"/>
    <col min="13826" max="13826" width="25.109375" customWidth="1"/>
    <col min="13827" max="13827" width="28" customWidth="1"/>
    <col min="13828" max="13828" width="18.5546875" bestFit="1" customWidth="1"/>
    <col min="13829" max="13829" width="16.88671875" customWidth="1"/>
    <col min="13830" max="13830" width="18.5546875" bestFit="1" customWidth="1"/>
    <col min="13831" max="13831" width="14.109375" customWidth="1"/>
    <col min="13832" max="13832" width="18.88671875" customWidth="1"/>
    <col min="13833" max="13834" width="20.109375" customWidth="1"/>
    <col min="14081" max="14081" width="4.5546875" customWidth="1"/>
    <col min="14082" max="14082" width="25.109375" customWidth="1"/>
    <col min="14083" max="14083" width="28" customWidth="1"/>
    <col min="14084" max="14084" width="18.5546875" bestFit="1" customWidth="1"/>
    <col min="14085" max="14085" width="16.88671875" customWidth="1"/>
    <col min="14086" max="14086" width="18.5546875" bestFit="1" customWidth="1"/>
    <col min="14087" max="14087" width="14.109375" customWidth="1"/>
    <col min="14088" max="14088" width="18.88671875" customWidth="1"/>
    <col min="14089" max="14090" width="20.109375" customWidth="1"/>
    <col min="14337" max="14337" width="4.5546875" customWidth="1"/>
    <col min="14338" max="14338" width="25.109375" customWidth="1"/>
    <col min="14339" max="14339" width="28" customWidth="1"/>
    <col min="14340" max="14340" width="18.5546875" bestFit="1" customWidth="1"/>
    <col min="14341" max="14341" width="16.88671875" customWidth="1"/>
    <col min="14342" max="14342" width="18.5546875" bestFit="1" customWidth="1"/>
    <col min="14343" max="14343" width="14.109375" customWidth="1"/>
    <col min="14344" max="14344" width="18.88671875" customWidth="1"/>
    <col min="14345" max="14346" width="20.109375" customWidth="1"/>
    <col min="14593" max="14593" width="4.5546875" customWidth="1"/>
    <col min="14594" max="14594" width="25.109375" customWidth="1"/>
    <col min="14595" max="14595" width="28" customWidth="1"/>
    <col min="14596" max="14596" width="18.5546875" bestFit="1" customWidth="1"/>
    <col min="14597" max="14597" width="16.88671875" customWidth="1"/>
    <col min="14598" max="14598" width="18.5546875" bestFit="1" customWidth="1"/>
    <col min="14599" max="14599" width="14.109375" customWidth="1"/>
    <col min="14600" max="14600" width="18.88671875" customWidth="1"/>
    <col min="14601" max="14602" width="20.109375" customWidth="1"/>
    <col min="14849" max="14849" width="4.5546875" customWidth="1"/>
    <col min="14850" max="14850" width="25.109375" customWidth="1"/>
    <col min="14851" max="14851" width="28" customWidth="1"/>
    <col min="14852" max="14852" width="18.5546875" bestFit="1" customWidth="1"/>
    <col min="14853" max="14853" width="16.88671875" customWidth="1"/>
    <col min="14854" max="14854" width="18.5546875" bestFit="1" customWidth="1"/>
    <col min="14855" max="14855" width="14.109375" customWidth="1"/>
    <col min="14856" max="14856" width="18.88671875" customWidth="1"/>
    <col min="14857" max="14858" width="20.109375" customWidth="1"/>
    <col min="15105" max="15105" width="4.5546875" customWidth="1"/>
    <col min="15106" max="15106" width="25.109375" customWidth="1"/>
    <col min="15107" max="15107" width="28" customWidth="1"/>
    <col min="15108" max="15108" width="18.5546875" bestFit="1" customWidth="1"/>
    <col min="15109" max="15109" width="16.88671875" customWidth="1"/>
    <col min="15110" max="15110" width="18.5546875" bestFit="1" customWidth="1"/>
    <col min="15111" max="15111" width="14.109375" customWidth="1"/>
    <col min="15112" max="15112" width="18.88671875" customWidth="1"/>
    <col min="15113" max="15114" width="20.109375" customWidth="1"/>
    <col min="15361" max="15361" width="4.5546875" customWidth="1"/>
    <col min="15362" max="15362" width="25.109375" customWidth="1"/>
    <col min="15363" max="15363" width="28" customWidth="1"/>
    <col min="15364" max="15364" width="18.5546875" bestFit="1" customWidth="1"/>
    <col min="15365" max="15365" width="16.88671875" customWidth="1"/>
    <col min="15366" max="15366" width="18.5546875" bestFit="1" customWidth="1"/>
    <col min="15367" max="15367" width="14.109375" customWidth="1"/>
    <col min="15368" max="15368" width="18.88671875" customWidth="1"/>
    <col min="15369" max="15370" width="20.109375" customWidth="1"/>
    <col min="15617" max="15617" width="4.5546875" customWidth="1"/>
    <col min="15618" max="15618" width="25.109375" customWidth="1"/>
    <col min="15619" max="15619" width="28" customWidth="1"/>
    <col min="15620" max="15620" width="18.5546875" bestFit="1" customWidth="1"/>
    <col min="15621" max="15621" width="16.88671875" customWidth="1"/>
    <col min="15622" max="15622" width="18.5546875" bestFit="1" customWidth="1"/>
    <col min="15623" max="15623" width="14.109375" customWidth="1"/>
    <col min="15624" max="15624" width="18.88671875" customWidth="1"/>
    <col min="15625" max="15626" width="20.109375" customWidth="1"/>
    <col min="15873" max="15873" width="4.5546875" customWidth="1"/>
    <col min="15874" max="15874" width="25.109375" customWidth="1"/>
    <col min="15875" max="15875" width="28" customWidth="1"/>
    <col min="15876" max="15876" width="18.5546875" bestFit="1" customWidth="1"/>
    <col min="15877" max="15877" width="16.88671875" customWidth="1"/>
    <col min="15878" max="15878" width="18.5546875" bestFit="1" customWidth="1"/>
    <col min="15879" max="15879" width="14.109375" customWidth="1"/>
    <col min="15880" max="15880" width="18.88671875" customWidth="1"/>
    <col min="15881" max="15882" width="20.109375" customWidth="1"/>
    <col min="16129" max="16129" width="4.5546875" customWidth="1"/>
    <col min="16130" max="16130" width="25.109375" customWidth="1"/>
    <col min="16131" max="16131" width="28" customWidth="1"/>
    <col min="16132" max="16132" width="18.5546875" bestFit="1" customWidth="1"/>
    <col min="16133" max="16133" width="16.88671875" customWidth="1"/>
    <col min="16134" max="16134" width="18.5546875" bestFit="1" customWidth="1"/>
    <col min="16135" max="16135" width="14.109375" customWidth="1"/>
    <col min="16136" max="16136" width="18.88671875" customWidth="1"/>
    <col min="16137" max="16138" width="20.109375" customWidth="1"/>
  </cols>
  <sheetData>
    <row r="2" spans="1:29" x14ac:dyDescent="0.3">
      <c r="A2" s="58">
        <v>1</v>
      </c>
      <c r="B2" s="24" t="s">
        <v>12068</v>
      </c>
      <c r="M2" s="24" t="s">
        <v>24215</v>
      </c>
    </row>
    <row r="3" spans="1:29" x14ac:dyDescent="0.3">
      <c r="B3" s="24"/>
      <c r="M3" s="123" t="s">
        <v>9786</v>
      </c>
      <c r="N3" s="317" t="s">
        <v>19268</v>
      </c>
      <c r="O3" s="318"/>
      <c r="P3" s="319" t="s">
        <v>20486</v>
      </c>
      <c r="Q3" s="319"/>
      <c r="R3" s="319" t="s">
        <v>20487</v>
      </c>
      <c r="S3" s="319"/>
      <c r="T3" s="319" t="s">
        <v>20488</v>
      </c>
      <c r="U3" s="319"/>
      <c r="V3" s="315" t="s">
        <v>20491</v>
      </c>
      <c r="W3" s="316"/>
      <c r="X3" s="315" t="s">
        <v>20489</v>
      </c>
      <c r="Y3" s="316"/>
      <c r="Z3" s="315" t="s">
        <v>20490</v>
      </c>
      <c r="AA3" s="316"/>
    </row>
    <row r="4" spans="1:29" x14ac:dyDescent="0.3">
      <c r="B4" s="59" t="s">
        <v>9786</v>
      </c>
      <c r="C4" s="59" t="s">
        <v>9805</v>
      </c>
      <c r="D4" s="60" t="s">
        <v>9803</v>
      </c>
      <c r="E4" s="142" t="s">
        <v>20486</v>
      </c>
      <c r="F4" s="142" t="s">
        <v>20487</v>
      </c>
      <c r="G4" s="142" t="s">
        <v>20488</v>
      </c>
      <c r="H4" s="142" t="s">
        <v>20491</v>
      </c>
      <c r="I4" s="142" t="s">
        <v>20489</v>
      </c>
      <c r="J4" s="142" t="s">
        <v>20490</v>
      </c>
      <c r="K4" s="142" t="s">
        <v>24217</v>
      </c>
      <c r="M4" s="122" t="s">
        <v>12069</v>
      </c>
      <c r="N4" s="117">
        <f>COUNTIF('2025'!$I$3:$I$649,"&lt;24")</f>
        <v>82</v>
      </c>
      <c r="O4" s="129">
        <f>N4/$N$9</f>
        <v>0.12673879443585781</v>
      </c>
      <c r="P4" s="128">
        <f>COUNTIFS('2025'!$F$3:$F$649,"001",'2025'!$I$3:$I$649,"&lt;24")</f>
        <v>48</v>
      </c>
      <c r="Q4" s="130">
        <f>P4/P$9</f>
        <v>0.1797752808988764</v>
      </c>
      <c r="R4" s="128">
        <f>COUNTIFS('2025'!$F$3:$F$649,"002",'2025'!$I$3:$I$649,"&lt;24")</f>
        <v>4</v>
      </c>
      <c r="S4" s="130">
        <f>R4/R$9</f>
        <v>4.2553191489361701E-2</v>
      </c>
      <c r="T4" s="128">
        <f>COUNTIFS('2025'!$F$3:$F$649,"003",'2025'!$I$3:$I$649,"&lt;24")</f>
        <v>6</v>
      </c>
      <c r="U4" s="130">
        <f>T4/T$9</f>
        <v>6.8181818181818177E-2</v>
      </c>
      <c r="V4" s="128">
        <f>COUNTIFS('2025'!$F$3:$F$649,"004",'2025'!$I$3:$I$649,"&lt;24")</f>
        <v>12</v>
      </c>
      <c r="W4" s="130">
        <f>V4/V$9</f>
        <v>0.14457831325301204</v>
      </c>
      <c r="X4" s="128">
        <f>COUNTIFS('2025'!$F$3:$F$649,"005",'2025'!$I$3:$I$649,"&lt;24")</f>
        <v>7</v>
      </c>
      <c r="Y4" s="130">
        <f>X4/X$9</f>
        <v>0.1</v>
      </c>
      <c r="Z4" s="128">
        <f>COUNTIFS('2025'!$F$3:$F$649,"006",'2025'!$I$3:$I$649,"&lt;24")</f>
        <v>5</v>
      </c>
      <c r="AA4" s="130">
        <f>Z4/Z$9</f>
        <v>0.1111111111111111</v>
      </c>
    </row>
    <row r="5" spans="1:29" x14ac:dyDescent="0.3">
      <c r="B5" s="102" t="s">
        <v>12069</v>
      </c>
      <c r="C5" s="3">
        <f>COUNTIF('Data Angt'!$F$5:$F$5809,"&lt;24")</f>
        <v>342</v>
      </c>
      <c r="D5" s="61">
        <f t="shared" ref="D5:D9" si="0">C5/$C$11</f>
        <v>5.8914728682170542E-2</v>
      </c>
      <c r="E5" s="2">
        <f>COUNTIFS('Data Angt'!$C$5:$C$5809,E$4,'Data Angt'!$F$5:$F$5809,"&lt;24")</f>
        <v>166</v>
      </c>
      <c r="F5" s="2">
        <f>COUNTIFS('Data Angt'!$C$5:$C$5809,F$4,'Data Angt'!$F$5:$F$5809,"&lt;24")</f>
        <v>27</v>
      </c>
      <c r="G5" s="2">
        <f>COUNTIFS('Data Angt'!$C$5:$C$5809,G$4,'Data Angt'!$F$5:$F$5809,"&lt;24")</f>
        <v>50</v>
      </c>
      <c r="H5" s="2">
        <f>COUNTIFS('Data Angt'!$C$5:$C$5809,H$4,'Data Angt'!$F$5:$F$5809,"&lt;24")</f>
        <v>39</v>
      </c>
      <c r="I5" s="2">
        <f>COUNTIFS('Data Angt'!$C$5:$C$5809,I$4,'Data Angt'!$F$5:$F$5809,"&lt;24")</f>
        <v>34</v>
      </c>
      <c r="J5" s="2">
        <f>COUNTIFS('Data Angt'!$C$5:$C$5809,J$4,'Data Angt'!$F$5:$F$5809,"&lt;24")</f>
        <v>26</v>
      </c>
      <c r="K5" s="2">
        <f>COUNTIFS('Data Angt'!$C$5:$C$5809,K$4,'Data Angt'!$F$5:$F$5809,"&lt;24")</f>
        <v>0</v>
      </c>
      <c r="M5" s="121" t="s">
        <v>18801</v>
      </c>
      <c r="N5" s="117">
        <f>COUNTIF('2025'!$I$3:$I$649,"&lt;=35")-COUNTIF('2025'!$I$3:$I$649,"&lt;24")</f>
        <v>159</v>
      </c>
      <c r="O5" s="129">
        <f>N5/$N$9</f>
        <v>0.24574961360123648</v>
      </c>
      <c r="P5" s="131">
        <f>COUNTIFS('2025'!$F$3:$F$649,"001",'2025'!$I$3:$I$649,"&lt;=35")-COUNTIFS('2025'!$F$3:$F$649,"001",'2025'!$I$3:$I$649,"&lt;24")</f>
        <v>81</v>
      </c>
      <c r="Q5" s="130">
        <f>P5/P$9</f>
        <v>0.30337078651685395</v>
      </c>
      <c r="R5" s="128">
        <f>COUNTIFS('2025'!$F$3:$F$649,"002",'2025'!$I$3:$I$649,"&lt;=35")-COUNTIFS('2025'!$F$3:$F$649,"002",'2025'!$I$3:$I$649,"&lt;24")</f>
        <v>15</v>
      </c>
      <c r="S5" s="130">
        <f>R5/R$9</f>
        <v>0.15957446808510639</v>
      </c>
      <c r="T5" s="128">
        <f>COUNTIFS('2025'!$F$3:$F$649,"003",'2025'!$I$3:$I$649,"&lt;=35")-COUNTIFS('2025'!$F$3:$F$649,"003",'2025'!$I$3:$I$649,"&lt;24")</f>
        <v>22</v>
      </c>
      <c r="U5" s="130">
        <f>T5/T$9</f>
        <v>0.25</v>
      </c>
      <c r="V5" s="128">
        <f>COUNTIFS('2025'!$F$3:$F$649,"004",'2025'!$I$3:$I$649,"&lt;=35")-COUNTIFS('2025'!$F$3:$F$649,"004",'2025'!$I$3:$I$649,"&lt;24")</f>
        <v>27</v>
      </c>
      <c r="W5" s="130">
        <f>V5/V$9</f>
        <v>0.3253012048192771</v>
      </c>
      <c r="X5" s="128">
        <f>COUNTIFS('2025'!$F$3:$F$649,"005",'2025'!$I$3:$I$649,"&lt;=35")-COUNTIFS('2025'!$F$3:$F$649,"005",'2025'!$I$3:$I$649,"&lt;24")</f>
        <v>4</v>
      </c>
      <c r="Y5" s="130">
        <f>X5/X$9</f>
        <v>5.7142857142857141E-2</v>
      </c>
      <c r="Z5" s="128">
        <f>COUNTIFS('2025'!$F$3:$F$649,"006",'2025'!$I$3:$I$649,"&lt;=35")-COUNTIFS('2025'!$F$3:$F$649,"006",'2025'!$I$3:$I$649,"&lt;24")</f>
        <v>10</v>
      </c>
      <c r="AA5" s="130">
        <f>Z5/Z$9</f>
        <v>0.22222222222222221</v>
      </c>
    </row>
    <row r="6" spans="1:29" x14ac:dyDescent="0.3">
      <c r="B6" s="99" t="s">
        <v>18801</v>
      </c>
      <c r="C6" s="3">
        <f>COUNTIF('Data Angt'!$F$5:$F$5809,"&lt;=35")-COUNTIF('Data Angt'!$F$5:$F$5809,"&lt;24")</f>
        <v>1006</v>
      </c>
      <c r="D6" s="61">
        <f t="shared" si="0"/>
        <v>0.17329888027562446</v>
      </c>
      <c r="E6" s="2">
        <f>COUNTIFS('Data Angt'!$C$5:$C$5809,E$4,'Data Angt'!$F$5:$F$5809,"&lt;=35")-COUNTIFS('Data Angt'!$C$5:$C$5809,E$4,'Data Angt'!$F$5:$F$5809,"&lt;24")</f>
        <v>513</v>
      </c>
      <c r="F6" s="2">
        <f>COUNTIFS('Data Angt'!$C$5:$C$5809,F$4,'Data Angt'!$F$5:$F$5809,"&lt;=35")-COUNTIFS('Data Angt'!$C$5:$C$5809,F$4,'Data Angt'!$F$5:$F$5809,"&lt;24")</f>
        <v>105</v>
      </c>
      <c r="G6" s="2">
        <f>COUNTIFS('Data Angt'!$C$5:$C$5809,G$4,'Data Angt'!$F$5:$F$5809,"&lt;=35")-COUNTIFS('Data Angt'!$C$5:$C$5809,G$4,'Data Angt'!$F$5:$F$5809,"&lt;24")</f>
        <v>164</v>
      </c>
      <c r="H6" s="2">
        <f>COUNTIFS('Data Angt'!$C$5:$C$5809,H$4,'Data Angt'!$F$5:$F$5809,"&lt;=35")-COUNTIFS('Data Angt'!$C$5:$C$5809,H$4,'Data Angt'!$F$5:$F$5809,"&lt;24")</f>
        <v>112</v>
      </c>
      <c r="I6" s="2">
        <f>COUNTIFS('Data Angt'!$C$5:$C$5809,I$4,'Data Angt'!$F$5:$F$5809,"&lt;=35")-COUNTIFS('Data Angt'!$C$5:$C$5809,I$4,'Data Angt'!$F$5:$F$5809,"&lt;24")</f>
        <v>46</v>
      </c>
      <c r="J6" s="2">
        <f>COUNTIFS('Data Angt'!$C$5:$C$5809,J$4,'Data Angt'!$F$5:$F$5809,"&lt;=35")-COUNTIFS('Data Angt'!$C$5:$C$5809,J$4,'Data Angt'!$F$5:$F$5809,"&lt;24")</f>
        <v>62</v>
      </c>
      <c r="K6" s="2">
        <f>COUNTIFS('Data Angt'!$C$5:$C$5809,K$4,'Data Angt'!$F$5:$F$5809,"&lt;=35")-COUNTIFS('Data Angt'!$C$5:$C$5809,K$4,'Data Angt'!$F$5:$F$5809,"&lt;24")</f>
        <v>4</v>
      </c>
      <c r="M6" s="120" t="s">
        <v>18803</v>
      </c>
      <c r="N6" s="117">
        <f>COUNTIF('2025'!$I$3:$I$649,"&lt;=45")-COUNTIF('2025'!$I$3:$I$649,"&lt;=35")</f>
        <v>160</v>
      </c>
      <c r="O6" s="129">
        <f>N6/$N$9</f>
        <v>0.2472952086553323</v>
      </c>
      <c r="P6" s="128">
        <f>COUNTIFS('2025'!$F$3:$F$649,"001",'2025'!$I$3:$I$649,"&lt;=45")-COUNTIFS('2025'!$F$3:$F$649,"001",'2025'!$I$3:$I$649,"&lt;36")</f>
        <v>51</v>
      </c>
      <c r="Q6" s="130">
        <f>P6/P$9</f>
        <v>0.19101123595505617</v>
      </c>
      <c r="R6" s="128">
        <f>COUNTIFS('2025'!$F$3:$F$649,"002",'2025'!$I$3:$I$649,"&lt;=45")-COUNTIFS('2025'!$F$3:$F$649,"002",'2025'!$I$3:$I$649,"&lt;36")</f>
        <v>34</v>
      </c>
      <c r="S6" s="130">
        <f>R6/R$9</f>
        <v>0.36170212765957449</v>
      </c>
      <c r="T6" s="128">
        <f>COUNTIFS('2025'!$F$3:$F$649,"003",'2025'!$I$3:$I$649,"&lt;=45")-COUNTIFS('2025'!$F$3:$F$649,"003",'2025'!$I$3:$I$649,"&lt;36")</f>
        <v>23</v>
      </c>
      <c r="U6" s="130">
        <f>T6/T$9</f>
        <v>0.26136363636363635</v>
      </c>
      <c r="V6" s="140">
        <f>COUNTIFS('2025'!$F$3:$F$649,"004",'2025'!$I$3:$I$649,"&lt;=45")-COUNTIFS('2025'!$F$3:$F$649,"004",'2025'!$I$3:$I$649,"&lt;36")</f>
        <v>28</v>
      </c>
      <c r="W6" s="130">
        <f>V6/V$9</f>
        <v>0.33734939759036142</v>
      </c>
      <c r="X6" s="128">
        <f>COUNTIFS('2025'!$F$3:$F$649,"005",'2025'!$I$3:$I$649,"&lt;=45")-COUNTIFS('2025'!$F$3:$F$649,"005",'2025'!$I$3:$I$649,"&lt;36")</f>
        <v>13</v>
      </c>
      <c r="Y6" s="130">
        <f>X6/X$9</f>
        <v>0.18571428571428572</v>
      </c>
      <c r="Z6" s="128">
        <f>COUNTIFS('2025'!$F$3:$F$649,"006",'2025'!$I$3:$I$649,"&lt;=45")-COUNTIFS('2025'!$F$3:$F$649,"006",'2025'!$I$3:$I$649,"&lt;36")</f>
        <v>11</v>
      </c>
      <c r="AA6" s="130">
        <f>Z6/Z$9</f>
        <v>0.24444444444444444</v>
      </c>
    </row>
    <row r="7" spans="1:29" x14ac:dyDescent="0.3">
      <c r="B7" s="107" t="s">
        <v>18803</v>
      </c>
      <c r="C7" s="3">
        <f>COUNTIF('Data Angt'!$F$5:$F$5809,"&lt;=45")-COUNTIF('Data Angt'!$F$5:$F$5809,"&lt;=35")</f>
        <v>1448</v>
      </c>
      <c r="D7" s="61">
        <f t="shared" si="0"/>
        <v>0.24944013781223084</v>
      </c>
      <c r="E7" s="2">
        <f>COUNTIFS('Data Angt'!$C$5:$C$5809,E$4,'Data Angt'!$F$5:$F$5809,"&lt;=45")-COUNTIFS('Data Angt'!$C$5:$C$5809,E$4,'Data Angt'!$F$5:$F$5809,"&lt;36")</f>
        <v>653</v>
      </c>
      <c r="F7" s="2">
        <f>COUNTIFS('Data Angt'!$C$5:$C$5809,F$4,'Data Angt'!$F$5:$F$5809,"&lt;=45")-COUNTIFS('Data Angt'!$C$5:$C$5809,F$4,'Data Angt'!$F$5:$F$5809,"&lt;36")</f>
        <v>198</v>
      </c>
      <c r="G7" s="2">
        <f>COUNTIFS('Data Angt'!$C$5:$C$5809,G$4,'Data Angt'!$F$5:$F$5809,"&lt;=45")-COUNTIFS('Data Angt'!$C$5:$C$5809,G$4,'Data Angt'!$F$5:$F$5809,"&lt;36")</f>
        <v>211</v>
      </c>
      <c r="H7" s="2">
        <f>COUNTIFS('Data Angt'!$C$5:$C$5809,H$4,'Data Angt'!$F$5:$F$5809,"&lt;=45")-COUNTIFS('Data Angt'!$C$5:$C$5809,H$4,'Data Angt'!$F$5:$F$5809,"&lt;36")</f>
        <v>113</v>
      </c>
      <c r="I7" s="2">
        <f>COUNTIFS('Data Angt'!$C$5:$C$5809,I$4,'Data Angt'!$F$5:$F$5809,"&lt;=45")-COUNTIFS('Data Angt'!$C$5:$C$5809,I$4,'Data Angt'!$F$5:$F$5809,"&lt;36")</f>
        <v>82</v>
      </c>
      <c r="J7" s="2">
        <f>COUNTIFS('Data Angt'!$C$5:$C$5809,J$4,'Data Angt'!$F$5:$F$5809,"&lt;=45")-COUNTIFS('Data Angt'!$C$5:$C$5809,J$4,'Data Angt'!$F$5:$F$5809,"&lt;36")</f>
        <v>100</v>
      </c>
      <c r="K7" s="115">
        <f>COUNTIFS('Data Angt'!$C$5:$C$5809,K$4,'Data Angt'!$F$5:$F$5809,"&lt;=45")-COUNTIFS('Data Angt'!$C$5:$C$5809,K$4,'Data Angt'!$F$5:$F$5809,"&lt;36")</f>
        <v>91</v>
      </c>
      <c r="M7" s="119" t="s">
        <v>18802</v>
      </c>
      <c r="N7" s="119">
        <f>COUNTIF('2025'!$I$3:$I$649,"&lt;=60")-COUNTIF('2025'!$I$3:$I$649,"&lt;=45")</f>
        <v>206</v>
      </c>
      <c r="O7" s="129">
        <f>N7/$N$9</f>
        <v>0.31839258114374036</v>
      </c>
      <c r="P7" s="128">
        <f>COUNTIFS('2025'!$F$3:$F$649,"001",'2025'!$I$3:$I$649,"&lt;=60")-COUNTIFS('2025'!$F$3:$F$649,"001",'2025'!$I$3:$I$649,"&lt;46")</f>
        <v>72</v>
      </c>
      <c r="Q7" s="130">
        <f>P7/P$9</f>
        <v>0.2696629213483146</v>
      </c>
      <c r="R7" s="132">
        <f>COUNTIFS('2025'!$F$3:$F$649,"002",'2025'!$I$3:$I$649,"&lt;=60")-COUNTIFS('2025'!$F$3:$F$649,"002",'2025'!$I$3:$I$649,"&lt;46")</f>
        <v>35</v>
      </c>
      <c r="S7" s="130">
        <f>R7/R$9</f>
        <v>0.37234042553191488</v>
      </c>
      <c r="T7" s="132">
        <f>COUNTIFS('2025'!$F$3:$F$649,"003",'2025'!$I$3:$I$649,"&lt;=60")-COUNTIFS('2025'!$F$3:$F$649,"003",'2025'!$I$3:$I$649,"&lt;46")</f>
        <v>33</v>
      </c>
      <c r="U7" s="130">
        <f>T7/T$9</f>
        <v>0.375</v>
      </c>
      <c r="V7" s="128">
        <f>COUNTIFS('2025'!$F$3:$F$649,"004",'2025'!$I$3:$I$649,"&lt;=60")-COUNTIFS('2025'!$F$3:$F$649,"004",'2025'!$I$3:$I$649,"&lt;46")</f>
        <v>13</v>
      </c>
      <c r="W7" s="130">
        <f>V7/V$9</f>
        <v>0.15662650602409639</v>
      </c>
      <c r="X7" s="132">
        <f>COUNTIFS('2025'!$F$3:$F$649,"005",'2025'!$I$3:$I$649,"&lt;=60")-COUNTIFS('2025'!$F$3:$F$649,"005",'2025'!$I$3:$I$649,"&lt;46")</f>
        <v>36</v>
      </c>
      <c r="Y7" s="130">
        <f>X7/X$9</f>
        <v>0.51428571428571423</v>
      </c>
      <c r="Z7" s="132">
        <f>COUNTIFS('2025'!$F$3:$F$649,"006",'2025'!$I$3:$I$649,"&lt;=60")-COUNTIFS('2025'!$F$3:$F$649,"006",'2025'!$I$3:$I$649,"&lt;46")</f>
        <v>17</v>
      </c>
      <c r="AA7" s="130">
        <f>Z7/Z$9</f>
        <v>0.37777777777777777</v>
      </c>
    </row>
    <row r="8" spans="1:29" x14ac:dyDescent="0.3">
      <c r="B8" s="105" t="s">
        <v>18802</v>
      </c>
      <c r="C8" s="105">
        <f>COUNTIF('Data Angt'!$F$5:$F$5809,"&lt;=60")-COUNTIF('Data Angt'!$F$5:$F$5809,"&lt;=45")</f>
        <v>2097</v>
      </c>
      <c r="D8" s="113">
        <f t="shared" si="0"/>
        <v>0.36124031007751939</v>
      </c>
      <c r="E8" s="114">
        <f>COUNTIFS('Data Angt'!$C$5:$C$5809,E$4,'Data Angt'!$F$5:$F$5809,"&lt;=60")-COUNTIFS('Data Angt'!$C$5:$C$5809,E$4,'Data Angt'!$F$5:$F$5809,"&lt;46")</f>
        <v>874</v>
      </c>
      <c r="F8" s="114">
        <f>COUNTIFS('Data Angt'!$C$5:$C$5809,F$4,'Data Angt'!$F$5:$F$5809,"&lt;=60")-COUNTIFS('Data Angt'!$C$5:$C$5809,F$4,'Data Angt'!$F$5:$F$5809,"&lt;46")</f>
        <v>262</v>
      </c>
      <c r="G8" s="114">
        <f>COUNTIFS('Data Angt'!$C$5:$C$5809,G$4,'Data Angt'!$F$5:$F$5809,"&lt;=60")-COUNTIFS('Data Angt'!$C$5:$C$5809,G$4,'Data Angt'!$F$5:$F$5809,"&lt;46")</f>
        <v>371</v>
      </c>
      <c r="H8" s="114">
        <f>COUNTIFS('Data Angt'!$C$5:$C$5809,H$4,'Data Angt'!$F$5:$F$5809,"&lt;=60")-COUNTIFS('Data Angt'!$C$5:$C$5809,H$4,'Data Angt'!$F$5:$F$5809,"&lt;46")</f>
        <v>155</v>
      </c>
      <c r="I8" s="114">
        <f>COUNTIFS('Data Angt'!$C$5:$C$5809,I$4,'Data Angt'!$F$5:$F$5809,"&lt;=60")-COUNTIFS('Data Angt'!$C$5:$C$5809,I$4,'Data Angt'!$F$5:$F$5809,"&lt;46")</f>
        <v>156</v>
      </c>
      <c r="J8" s="114">
        <f>COUNTIFS('Data Angt'!$C$5:$C$5809,J$4,'Data Angt'!$F$5:$F$5809,"&lt;=60")-COUNTIFS('Data Angt'!$C$5:$C$5809,J$4,'Data Angt'!$F$5:$F$5809,"&lt;46")</f>
        <v>228</v>
      </c>
      <c r="K8" s="2">
        <f>COUNTIFS('Data Angt'!$C$5:$C$5809,K$4,'Data Angt'!$F$5:$F$5809,"&lt;=60")-COUNTIFS('Data Angt'!$C$5:$C$5809,K$4,'Data Angt'!$F$5:$F$5809,"&lt;46")</f>
        <v>51</v>
      </c>
      <c r="M8" s="118" t="s">
        <v>12070</v>
      </c>
      <c r="N8" s="117">
        <f>COUNTIF('2025'!$I$3:$I$649,"&gt;60")</f>
        <v>40</v>
      </c>
      <c r="O8" s="129">
        <f>N8/$N$9</f>
        <v>6.1823802163833076E-2</v>
      </c>
      <c r="P8" s="128">
        <f>COUNTIFS('2025'!$F$3:$F$649,"001",'2025'!$I$3:$I$649,"&gt;60")</f>
        <v>15</v>
      </c>
      <c r="Q8" s="130">
        <f>P8/P$9</f>
        <v>5.6179775280898875E-2</v>
      </c>
      <c r="R8" s="128">
        <f>COUNTIFS('2025'!$F$3:$F$649,"002",'2025'!$I$3:$I$649,"&gt;60")</f>
        <v>6</v>
      </c>
      <c r="S8" s="130">
        <f>R8/R$9</f>
        <v>6.3829787234042548E-2</v>
      </c>
      <c r="T8" s="128">
        <f>COUNTIFS('2025'!$F$3:$F$649,"003",'2025'!$I$3:$I$649,"&gt;60")</f>
        <v>4</v>
      </c>
      <c r="U8" s="130">
        <f>T8/T$9</f>
        <v>4.5454545454545456E-2</v>
      </c>
      <c r="V8" s="128">
        <f>COUNTIFS('2025'!$F$3:$F$649,"004",'2025'!$I$3:$I$649,"&gt;60")</f>
        <v>3</v>
      </c>
      <c r="W8" s="130">
        <f>V8/V$9</f>
        <v>3.614457831325301E-2</v>
      </c>
      <c r="X8" s="128">
        <f>COUNTIFS('2025'!$F$3:$F$649,"005",'2025'!$I$3:$I$649,"&gt;60")</f>
        <v>10</v>
      </c>
      <c r="Y8" s="130">
        <f>X8/X$9</f>
        <v>0.14285714285714285</v>
      </c>
      <c r="Z8" s="128">
        <f>COUNTIFS('2025'!$F$3:$F$649,"006",'2025'!$I$3:$I$649,"&gt;60")</f>
        <v>2</v>
      </c>
      <c r="AA8" s="130">
        <f>Z8/Z$9</f>
        <v>4.4444444444444446E-2</v>
      </c>
    </row>
    <row r="9" spans="1:29" x14ac:dyDescent="0.3">
      <c r="B9" s="103" t="s">
        <v>12070</v>
      </c>
      <c r="C9" s="3">
        <f>COUNTIF('Data Angt'!$F$5:$F$5809,"&gt;60")</f>
        <v>870</v>
      </c>
      <c r="D9" s="61">
        <f t="shared" si="0"/>
        <v>0.14987080103359174</v>
      </c>
      <c r="E9" s="2">
        <f>COUNTIFS('Data Angt'!$C$5:$C$5809,E$4,'Data Angt'!$F$5:$F$5809,"&gt;60")</f>
        <v>410</v>
      </c>
      <c r="F9" s="2">
        <f>COUNTIFS('Data Angt'!$C$5:$C$5809,F$4,'Data Angt'!$F$5:$F$5809,"&gt;60")</f>
        <v>105</v>
      </c>
      <c r="G9" s="2">
        <f>COUNTIFS('Data Angt'!$C$5:$C$5809,G$4,'Data Angt'!$F$5:$F$5809,"&gt;60")</f>
        <v>148</v>
      </c>
      <c r="H9" s="2">
        <f>COUNTIFS('Data Angt'!$C$5:$C$5809,H$4,'Data Angt'!$F$5:$F$5809,"&gt;60")</f>
        <v>61</v>
      </c>
      <c r="I9" s="2">
        <f>COUNTIFS('Data Angt'!$C$5:$C$5809,I$4,'Data Angt'!$F$5:$F$5809,"&gt;60")</f>
        <v>38</v>
      </c>
      <c r="J9" s="2">
        <f>COUNTIFS('Data Angt'!$C$5:$C$5809,J$4,'Data Angt'!$F$5:$F$5809,"&gt;60")</f>
        <v>106</v>
      </c>
      <c r="K9" s="2">
        <f>COUNTIFS('Data Angt'!$C$5:$C$5809,K$4,'Data Angt'!$F$5:$F$5809,"&gt;60")</f>
        <v>2</v>
      </c>
      <c r="M9" s="116" t="s">
        <v>12071</v>
      </c>
      <c r="N9" s="116">
        <f>SUM(N4:N8)</f>
        <v>647</v>
      </c>
      <c r="O9" s="116"/>
      <c r="P9" s="116">
        <f>SUM(P4:P8)</f>
        <v>267</v>
      </c>
      <c r="Q9" s="116"/>
      <c r="R9" s="116">
        <f>SUM(R4:R8)</f>
        <v>94</v>
      </c>
      <c r="S9" s="116"/>
      <c r="T9" s="116">
        <f>SUM(T4:T8)</f>
        <v>88</v>
      </c>
      <c r="U9" s="116"/>
      <c r="V9" s="116">
        <f>SUM(V4:V8)</f>
        <v>83</v>
      </c>
      <c r="W9" s="116"/>
      <c r="X9" s="116">
        <f>SUM(X4:X8)</f>
        <v>70</v>
      </c>
      <c r="Y9" s="116"/>
      <c r="Z9" s="116">
        <f>SUM(Z4:Z8)</f>
        <v>45</v>
      </c>
      <c r="AA9" s="128" t="s">
        <v>22147</v>
      </c>
    </row>
    <row r="10" spans="1:29" x14ac:dyDescent="0.3">
      <c r="B10" s="101" t="s">
        <v>14284</v>
      </c>
      <c r="C10" s="3">
        <f>COUNTIF('Data Angt'!$F$5:$F$5809,"#VALUE!")</f>
        <v>42</v>
      </c>
      <c r="D10" s="61">
        <f>C10/$C$11</f>
        <v>7.2351421188630487E-3</v>
      </c>
      <c r="E10" s="2">
        <f>COUNTIFS('Data Angt'!$C$5:$C$5809,E$4,'Data Angt'!$F$5:$F$5809,"#VALUE!")</f>
        <v>0</v>
      </c>
      <c r="F10" s="2">
        <f>COUNTIFS('Data Angt'!$C$5:$C$5809,F$4,'Data Angt'!$F$5:$F$5809,"#VALUE!")</f>
        <v>0</v>
      </c>
      <c r="G10" s="2">
        <f>COUNTIFS('Data Angt'!$C$5:$C$5809,G$4,'Data Angt'!$F$5:$F$5809,"#VALUE!")</f>
        <v>0</v>
      </c>
      <c r="H10" s="2">
        <f>COUNTIFS('Data Angt'!$C$5:$C$5809,H$4,'Data Angt'!$F$5:$F$5809,"#VALUE!")</f>
        <v>0</v>
      </c>
      <c r="I10" s="2">
        <f>COUNTIFS('Data Angt'!$C$5:$C$5809,I$4,'Data Angt'!$F$5:$F$5809,"#VALUE!")</f>
        <v>0</v>
      </c>
      <c r="J10" s="2">
        <f>COUNTIFS('Data Angt'!$C$5:$C$5809,J$4,'Data Angt'!$F$5:$F$5809,"#VALUE!")</f>
        <v>0</v>
      </c>
      <c r="K10" s="2">
        <f>COUNTIFS('Data Angt'!$C$5:$C$5809,K$4,'Data Angt'!$F$5:$F$5809,"#VALUE!")</f>
        <v>42</v>
      </c>
    </row>
    <row r="11" spans="1:29" x14ac:dyDescent="0.3">
      <c r="B11" s="62" t="s">
        <v>12071</v>
      </c>
      <c r="C11" s="62">
        <f>SUM(C5:C10)</f>
        <v>5805</v>
      </c>
      <c r="D11" s="63"/>
      <c r="E11" s="63">
        <f>SUM(E5:E10)</f>
        <v>2616</v>
      </c>
      <c r="F11" s="63">
        <f t="shared" ref="F11:K11" si="1">SUM(F5:F10)</f>
        <v>697</v>
      </c>
      <c r="G11" s="63">
        <f t="shared" si="1"/>
        <v>944</v>
      </c>
      <c r="H11" s="63">
        <f t="shared" si="1"/>
        <v>480</v>
      </c>
      <c r="I11" s="63">
        <f t="shared" si="1"/>
        <v>356</v>
      </c>
      <c r="J11" s="63">
        <f t="shared" si="1"/>
        <v>522</v>
      </c>
      <c r="K11" s="63">
        <f t="shared" si="1"/>
        <v>190</v>
      </c>
    </row>
    <row r="12" spans="1:29" x14ac:dyDescent="0.3">
      <c r="B12" s="58"/>
      <c r="C12" s="58"/>
      <c r="F12" s="141"/>
      <c r="G12" s="141"/>
      <c r="H12" s="141"/>
      <c r="I12" s="141"/>
      <c r="M12" s="24" t="s">
        <v>24216</v>
      </c>
    </row>
    <row r="13" spans="1:29" x14ac:dyDescent="0.3">
      <c r="B13" s="58"/>
      <c r="C13" s="58"/>
      <c r="M13" s="123" t="s">
        <v>9786</v>
      </c>
      <c r="N13" s="317" t="s">
        <v>19268</v>
      </c>
      <c r="O13" s="318"/>
      <c r="P13" s="319" t="s">
        <v>20486</v>
      </c>
      <c r="Q13" s="319"/>
      <c r="R13" s="319" t="s">
        <v>20487</v>
      </c>
      <c r="S13" s="319"/>
      <c r="T13" s="319" t="s">
        <v>20488</v>
      </c>
      <c r="U13" s="319"/>
      <c r="V13" s="315" t="s">
        <v>20491</v>
      </c>
      <c r="W13" s="316"/>
      <c r="X13" s="315" t="s">
        <v>20489</v>
      </c>
      <c r="Y13" s="316"/>
      <c r="Z13" s="315" t="s">
        <v>20490</v>
      </c>
      <c r="AA13" s="316"/>
      <c r="AB13" s="315" t="s">
        <v>22143</v>
      </c>
      <c r="AC13" s="316"/>
    </row>
    <row r="14" spans="1:29" x14ac:dyDescent="0.3">
      <c r="B14" s="58"/>
      <c r="C14" s="58"/>
      <c r="M14" s="102" t="s">
        <v>12069</v>
      </c>
      <c r="N14" s="117">
        <f>COUNTIF('2024'!$K$5:$K$908,"&lt;24")</f>
        <v>83</v>
      </c>
      <c r="O14" s="129">
        <f t="shared" ref="O14:O19" si="2">N14/N$20</f>
        <v>9.1814159292035402E-2</v>
      </c>
      <c r="P14" s="128">
        <f>COUNTIFS('2024'!$L$3:$L$908,"001",'2024'!$K$3:$K$908,"&lt;24")</f>
        <v>44</v>
      </c>
      <c r="Q14" s="129">
        <f t="shared" ref="Q14:Q19" si="3">P14/P$20</f>
        <v>0.15068493150684931</v>
      </c>
      <c r="R14" s="128">
        <f>COUNTIFS('2024'!$L$3:$L$908,"002",'2024'!$K$3:$K$908,"&lt;24")</f>
        <v>8</v>
      </c>
      <c r="S14" s="129">
        <f t="shared" ref="S14:S19" si="4">R14/R$20</f>
        <v>8.1632653061224483E-2</v>
      </c>
      <c r="T14" s="128">
        <f>COUNTIFS('2024'!$L$3:$L$908,"003",'2024'!$K$3:$K$908,"&lt;24")</f>
        <v>5</v>
      </c>
      <c r="U14" s="129">
        <f t="shared" ref="U14:U19" si="5">T14/T$20</f>
        <v>4.5454545454545456E-2</v>
      </c>
      <c r="V14" s="128">
        <f>COUNTIFS('2024'!$L$3:$L$908,"004",'2024'!$K$3:$K$908,"&lt;24")</f>
        <v>16</v>
      </c>
      <c r="W14" s="129">
        <f t="shared" ref="W14:W19" si="6">V14/V$20</f>
        <v>0.14953271028037382</v>
      </c>
      <c r="X14" s="128">
        <f>COUNTIFS('2024'!$L$3:$L$908,"005",'2024'!$K$3:$K$908,"&lt;24")</f>
        <v>4</v>
      </c>
      <c r="Y14" s="129">
        <f t="shared" ref="Y14:Y19" si="7">X14/X$20</f>
        <v>7.2727272727272724E-2</v>
      </c>
      <c r="Z14" s="128">
        <f>COUNTIFS('2024'!$L$3:$L$908,"006",'2024'!$K$3:$K$908,"&lt;24")</f>
        <v>6</v>
      </c>
      <c r="AA14" s="129">
        <f t="shared" ref="AA14:AA19" si="8">Z14/Z$20</f>
        <v>0.12</v>
      </c>
      <c r="AB14" s="128">
        <f>COUNTIFS('2024'!$L$3:$L$908,"007",'2024'!$K$3:$K$908,"&lt;24")</f>
        <v>0</v>
      </c>
      <c r="AC14" s="129">
        <f t="shared" ref="AC14:AC19" si="9">AB14/AB$20</f>
        <v>0</v>
      </c>
    </row>
    <row r="15" spans="1:29" x14ac:dyDescent="0.3">
      <c r="B15" s="58"/>
      <c r="C15" s="58"/>
      <c r="M15" s="99" t="s">
        <v>18801</v>
      </c>
      <c r="N15" s="117">
        <f>COUNTIF('2024'!$K$5:$K$908,"&lt;=35")-COUNTIF('2024'!$K$5:$K$908,"&lt;24")</f>
        <v>199</v>
      </c>
      <c r="O15" s="129">
        <f t="shared" si="2"/>
        <v>0.22013274336283187</v>
      </c>
      <c r="P15" s="131">
        <f>COUNTIFS('2024'!$L$3:$L$908,"001",'2024'!$K$3:$K$908,"&lt;=35")-COUNTIFS('2024'!$L$3:$L$908,"001",'2024'!$K$3:$K$908,"&lt;24")</f>
        <v>89</v>
      </c>
      <c r="Q15" s="129">
        <f t="shared" si="3"/>
        <v>0.3047945205479452</v>
      </c>
      <c r="R15" s="128">
        <f>COUNTIFS('2024'!$L$3:$L$908,"002",'2024'!$K$3:$K$908,"&lt;=35")-COUNTIFS('2024'!$L$3:$L$908,"002",'2024'!$K$3:$K$908,"&lt;24")</f>
        <v>24</v>
      </c>
      <c r="S15" s="129">
        <f t="shared" si="4"/>
        <v>0.24489795918367346</v>
      </c>
      <c r="T15" s="128">
        <f>COUNTIFS('2024'!$L$3:$L$908,"003",'2024'!$K$3:$K$908,"&lt;=35")-COUNTIFS('2024'!$L$3:$L$908,"003",'2024'!$K$3:$K$908,"&lt;24")</f>
        <v>28</v>
      </c>
      <c r="U15" s="129">
        <f t="shared" si="5"/>
        <v>0.25454545454545452</v>
      </c>
      <c r="V15" s="128">
        <f>COUNTIFS('2024'!$L$3:$L$908,"004",'2024'!$K$3:$K$908,"&lt;=35")-COUNTIFS('2024'!$L$3:$L$908,"004",'2024'!$K$3:$K$908,"&lt;24")</f>
        <v>28</v>
      </c>
      <c r="W15" s="129">
        <f t="shared" si="6"/>
        <v>0.26168224299065418</v>
      </c>
      <c r="X15" s="128">
        <f>COUNTIFS('2024'!$L$3:$L$908,"005",'2024'!$K$3:$K$908,"&lt;=35")-COUNTIFS('2024'!$L$3:$L$908,"005",'2024'!$K$3:$K$908,"&lt;24")</f>
        <v>15</v>
      </c>
      <c r="Y15" s="129">
        <f t="shared" si="7"/>
        <v>0.27272727272727271</v>
      </c>
      <c r="Z15" s="128">
        <f>COUNTIFS('2024'!$L$3:$L$908,"006",'2024'!$K$3:$K$908,"&lt;=35")-COUNTIFS('2024'!$L$3:$L$908,"006",'2024'!$K$3:$K$908,"&lt;24")</f>
        <v>10</v>
      </c>
      <c r="AA15" s="129">
        <f t="shared" si="8"/>
        <v>0.2</v>
      </c>
      <c r="AB15" s="128">
        <f>COUNTIFS('2024'!$L$3:$L$908,"007",'2024'!$K$3:$K$908,"&lt;=35")-COUNTIFS('2024'!$L$3:$L$908,"007",'2024'!$K$3:$K$908,"&lt;24")</f>
        <v>5</v>
      </c>
      <c r="AC15" s="129">
        <f t="shared" si="9"/>
        <v>2.6041666666666668E-2</v>
      </c>
    </row>
    <row r="16" spans="1:29" x14ac:dyDescent="0.3">
      <c r="B16" s="58"/>
      <c r="C16" s="58"/>
      <c r="M16" s="107" t="s">
        <v>18803</v>
      </c>
      <c r="N16" s="117">
        <f>COUNTIF('2024'!$K$5:$K$908,"&lt;=45")-COUNTIF('2024'!$K$5:$K$908,"&lt;=35")</f>
        <v>274</v>
      </c>
      <c r="O16" s="129">
        <f t="shared" si="2"/>
        <v>0.30309734513274339</v>
      </c>
      <c r="P16" s="128">
        <f>COUNTIFS('2024'!$L$3:$L$908,"001",'2024'!$K$3:$K$908,"&lt;=45")-COUNTIFS('2024'!$L$3:$L$908,"001",'2024'!$K$3:$K$908,"&lt;36")</f>
        <v>64</v>
      </c>
      <c r="Q16" s="129">
        <f t="shared" si="3"/>
        <v>0.21917808219178081</v>
      </c>
      <c r="R16" s="140">
        <f>COUNTIFS('2024'!$L$3:$L$908,"002",'2024'!$K$3:$K$908,"&lt;=45")-COUNTIFS('2024'!$L$3:$L$908,"002",'2024'!$K$3:$K$908,"&lt;36")</f>
        <v>33</v>
      </c>
      <c r="S16" s="129">
        <f t="shared" si="4"/>
        <v>0.33673469387755101</v>
      </c>
      <c r="T16" s="128">
        <f>COUNTIFS('2024'!$L$3:$L$908,"003",'2024'!$K$3:$K$908,"&lt;=45")-COUNTIFS('2024'!$L$3:$L$908,"003",'2024'!$K$3:$K$908,"&lt;36")</f>
        <v>26</v>
      </c>
      <c r="U16" s="129">
        <f t="shared" si="5"/>
        <v>0.23636363636363636</v>
      </c>
      <c r="V16" s="128">
        <f>COUNTIFS('2024'!$L$3:$L$908,"004",'2024'!$K$3:$K$908,"&lt;=45")-COUNTIFS('2024'!$L$3:$L$908,"004",'2024'!$K$3:$K$908,"&lt;36")</f>
        <v>26</v>
      </c>
      <c r="W16" s="129">
        <f t="shared" si="6"/>
        <v>0.24299065420560748</v>
      </c>
      <c r="X16" s="128">
        <f>COUNTIFS('2024'!$L$3:$L$908,"005",'2024'!$K$3:$K$908,"&lt;=45")-COUNTIFS('2024'!$L$3:$L$908,"005",'2024'!$K$3:$K$908,"&lt;36")</f>
        <v>13</v>
      </c>
      <c r="Y16" s="129">
        <f t="shared" si="7"/>
        <v>0.23636363636363636</v>
      </c>
      <c r="Z16" s="128">
        <f>COUNTIFS('2024'!$L$3:$L$908,"006",'2024'!$K$3:$K$908,"&lt;=45")-COUNTIFS('2024'!$L$3:$L$908,"006",'2024'!$K$3:$K$908,"&lt;36")</f>
        <v>12</v>
      </c>
      <c r="AA16" s="129">
        <f t="shared" si="8"/>
        <v>0.24</v>
      </c>
      <c r="AB16" s="140">
        <f>COUNTIFS('2024'!$L$3:$L$908,"007",'2024'!$K$3:$K$908,"&lt;=45")-COUNTIFS('2024'!$L$3:$L$908,"007",'2024'!$K$3:$K$908,"&lt;36")</f>
        <v>100</v>
      </c>
      <c r="AC16" s="129">
        <f t="shared" si="9"/>
        <v>0.52083333333333337</v>
      </c>
    </row>
    <row r="17" spans="1:29" x14ac:dyDescent="0.3">
      <c r="B17" s="58"/>
      <c r="C17" s="58"/>
      <c r="M17" s="105" t="s">
        <v>18802</v>
      </c>
      <c r="N17" s="117">
        <f>COUNTIF('2024'!$K$5:$K$908,"&lt;=60")-COUNTIF('2024'!$K$5:$K$908,"&lt;=45")</f>
        <v>260</v>
      </c>
      <c r="O17" s="129">
        <f t="shared" si="2"/>
        <v>0.28761061946902655</v>
      </c>
      <c r="P17" s="128">
        <f>COUNTIFS('2024'!$L$3:$L$908,"001",'2024'!$K$3:$K$908,"&lt;=60")-COUNTIFS('2024'!$L$3:$L$908,"001",'2024'!$K$3:$K$908,"&lt;46")</f>
        <v>76</v>
      </c>
      <c r="Q17" s="129">
        <f t="shared" si="3"/>
        <v>0.26027397260273971</v>
      </c>
      <c r="R17" s="128">
        <f>COUNTIFS('2024'!$L$3:$L$908,"002",'2024'!$K$3:$K$908,"&lt;=60")-COUNTIFS('2024'!$L$3:$L$908,"002",'2024'!$K$3:$K$908,"&lt;46")</f>
        <v>29</v>
      </c>
      <c r="S17" s="129">
        <f t="shared" si="4"/>
        <v>0.29591836734693877</v>
      </c>
      <c r="T17" s="132">
        <f>COUNTIFS('2024'!$L$3:$L$908,"003",'2024'!$K$3:$K$908,"&lt;=60")-COUNTIFS('2024'!$L$3:$L$908,"003",'2024'!$K$3:$K$908,"&lt;46")</f>
        <v>41</v>
      </c>
      <c r="U17" s="129">
        <f t="shared" si="5"/>
        <v>0.37272727272727274</v>
      </c>
      <c r="V17" s="132">
        <f>COUNTIFS('2024'!$L$3:$L$908,"004",'2024'!$K$3:$K$908,"&lt;=60")-COUNTIFS('2024'!$L$3:$L$908,"004",'2024'!$K$3:$K$908,"&lt;46")</f>
        <v>32</v>
      </c>
      <c r="W17" s="129">
        <f t="shared" si="6"/>
        <v>0.29906542056074764</v>
      </c>
      <c r="X17" s="132">
        <f>COUNTIFS('2024'!$L$3:$L$908,"005",'2024'!$K$3:$K$908,"&lt;=60")-COUNTIFS('2024'!$L$3:$L$908,"005",'2024'!$K$3:$K$908,"&lt;46")</f>
        <v>21</v>
      </c>
      <c r="Y17" s="129">
        <f t="shared" si="7"/>
        <v>0.38181818181818183</v>
      </c>
      <c r="Z17" s="132">
        <f>COUNTIFS('2024'!$L$3:$L$908,"006",'2024'!$K$3:$K$908,"&lt;=60")-COUNTIFS('2024'!$L$3:$L$908,"006",'2024'!$K$3:$K$908,"&lt;46")</f>
        <v>19</v>
      </c>
      <c r="AA17" s="129">
        <f t="shared" si="8"/>
        <v>0.38</v>
      </c>
      <c r="AB17" s="128">
        <f>COUNTIFS('2024'!$L$3:$L$908,"007",'2024'!$K$3:$K$908,"&lt;=60")-COUNTIFS('2024'!$L$3:$L$908,"007",'2024'!$K$3:$K$908,"&lt;46")</f>
        <v>42</v>
      </c>
      <c r="AC17" s="129">
        <f t="shared" si="9"/>
        <v>0.21875</v>
      </c>
    </row>
    <row r="18" spans="1:29" x14ac:dyDescent="0.3">
      <c r="B18" s="58"/>
      <c r="C18" s="58"/>
      <c r="M18" s="103" t="s">
        <v>12070</v>
      </c>
      <c r="N18" s="117">
        <f>COUNTIF('2024'!$K$5:$K$908,"&gt;60")</f>
        <v>45</v>
      </c>
      <c r="O18" s="129">
        <f t="shared" si="2"/>
        <v>4.9778761061946904E-2</v>
      </c>
      <c r="P18" s="128">
        <f>COUNTIFS('2024'!$L$3:$L$908,"001",'2024'!$K$3:$K$908,"&gt;60")</f>
        <v>19</v>
      </c>
      <c r="Q18" s="129">
        <f t="shared" si="3"/>
        <v>6.5068493150684928E-2</v>
      </c>
      <c r="R18" s="128">
        <f>COUNTIFS('2024'!$L$3:$L$908,"002",'2024'!$K$3:$K$908,"&gt;60")</f>
        <v>4</v>
      </c>
      <c r="S18" s="129">
        <f t="shared" si="4"/>
        <v>4.0816326530612242E-2</v>
      </c>
      <c r="T18" s="128">
        <f>COUNTIFS('2024'!$L$3:$L$908,"003",'2024'!$K$3:$K$908,"&gt;60")</f>
        <v>10</v>
      </c>
      <c r="U18" s="129">
        <f t="shared" si="5"/>
        <v>9.0909090909090912E-2</v>
      </c>
      <c r="V18" s="128">
        <f>COUNTIFS('2024'!$L$3:$L$908,"004",'2024'!$K$3:$K$908,"&gt;60")</f>
        <v>5</v>
      </c>
      <c r="W18" s="129">
        <f t="shared" si="6"/>
        <v>4.6728971962616821E-2</v>
      </c>
      <c r="X18" s="128">
        <f>COUNTIFS('2024'!$L$3:$L$908,"005",'2024'!$K$3:$K$908,"&gt;60")</f>
        <v>2</v>
      </c>
      <c r="Y18" s="129">
        <f t="shared" si="7"/>
        <v>3.6363636363636362E-2</v>
      </c>
      <c r="Z18" s="128">
        <f>COUNTIFS('2024'!$L$3:$L$908,"006",'2024'!$K$3:$K$908,"&gt;60")</f>
        <v>3</v>
      </c>
      <c r="AA18" s="129">
        <f t="shared" si="8"/>
        <v>0.06</v>
      </c>
      <c r="AB18" s="128">
        <f>COUNTIFS('2024'!$L$3:$L$908,"007",'2024'!$K$3:$K$908,"&gt;60")</f>
        <v>2</v>
      </c>
      <c r="AC18" s="129">
        <f t="shared" si="9"/>
        <v>1.0416666666666666E-2</v>
      </c>
    </row>
    <row r="19" spans="1:29" x14ac:dyDescent="0.3">
      <c r="B19" s="58"/>
      <c r="C19" s="58"/>
      <c r="M19" s="101" t="s">
        <v>14284</v>
      </c>
      <c r="N19" s="117">
        <f>COUNTIF('2024'!$K$5:$K$908,"/")</f>
        <v>43</v>
      </c>
      <c r="O19" s="129">
        <f t="shared" si="2"/>
        <v>4.7566371681415927E-2</v>
      </c>
      <c r="P19" s="128">
        <f>COUNTIFS('2024'!$L$3:$L$908,"001",'2024'!$K$3:$K$908,"/")</f>
        <v>0</v>
      </c>
      <c r="Q19" s="129">
        <f t="shared" si="3"/>
        <v>0</v>
      </c>
      <c r="R19" s="128">
        <f>COUNTIFS('2024'!$L$3:$L$908,"002",'2024'!$K$3:$K$908,"/")</f>
        <v>0</v>
      </c>
      <c r="S19" s="129">
        <f t="shared" si="4"/>
        <v>0</v>
      </c>
      <c r="T19" s="128">
        <f>COUNTIFS('2024'!$L$3:$L$908,"003",'2024'!$K$3:$K$908,"/")</f>
        <v>0</v>
      </c>
      <c r="U19" s="129">
        <f t="shared" si="5"/>
        <v>0</v>
      </c>
      <c r="V19" s="128">
        <f>COUNTIFS('2024'!$L$3:$L$908,"004",'2024'!$K$3:$K$908,"/")</f>
        <v>0</v>
      </c>
      <c r="W19" s="129">
        <f t="shared" si="6"/>
        <v>0</v>
      </c>
      <c r="X19" s="128">
        <f>COUNTIFS('2024'!$L$3:$L$908,"005",'2024'!$K$3:$K$908,"/")</f>
        <v>0</v>
      </c>
      <c r="Y19" s="129">
        <f t="shared" si="7"/>
        <v>0</v>
      </c>
      <c r="Z19" s="128">
        <f>COUNTIFS('2024'!$L$3:$L$908,"006",'2024'!$K$3:$K$908,"/")</f>
        <v>0</v>
      </c>
      <c r="AA19" s="129">
        <f t="shared" si="8"/>
        <v>0</v>
      </c>
      <c r="AB19" s="128">
        <f>COUNTIFS('2024'!$L$3:$L$908,"007",'2024'!$K$3:$K$908,"/")</f>
        <v>43</v>
      </c>
      <c r="AC19" s="129">
        <f t="shared" si="9"/>
        <v>0.22395833333333334</v>
      </c>
    </row>
    <row r="20" spans="1:29" x14ac:dyDescent="0.3">
      <c r="B20" s="58"/>
      <c r="C20" s="58"/>
      <c r="M20" s="116" t="s">
        <v>12071</v>
      </c>
      <c r="N20" s="116">
        <f>SUM(N14:N19)</f>
        <v>904</v>
      </c>
      <c r="O20" s="116"/>
      <c r="P20" s="116">
        <f>SUM(P14:P19)</f>
        <v>292</v>
      </c>
      <c r="Q20" s="116"/>
      <c r="R20" s="116">
        <f>SUM(R14:R19)</f>
        <v>98</v>
      </c>
      <c r="S20" s="116"/>
      <c r="T20" s="116">
        <f>SUM(T14:T19)</f>
        <v>110</v>
      </c>
      <c r="U20" s="116"/>
      <c r="V20" s="116">
        <f>SUM(V14:V19)</f>
        <v>107</v>
      </c>
      <c r="W20" s="116"/>
      <c r="X20" s="116">
        <f>SUM(X14:X19)</f>
        <v>55</v>
      </c>
      <c r="Y20" s="116"/>
      <c r="Z20" s="116">
        <f>SUM(Z14:Z19)</f>
        <v>50</v>
      </c>
      <c r="AA20" s="116"/>
      <c r="AB20" s="116">
        <f>SUM(AB14:AB19)</f>
        <v>192</v>
      </c>
      <c r="AC20" s="116"/>
    </row>
    <row r="21" spans="1:29" x14ac:dyDescent="0.3">
      <c r="B21" s="58"/>
      <c r="C21" s="58"/>
    </row>
    <row r="22" spans="1:29" x14ac:dyDescent="0.3">
      <c r="B22" s="58"/>
      <c r="C22" s="58"/>
    </row>
    <row r="23" spans="1:29" x14ac:dyDescent="0.3">
      <c r="B23" s="58"/>
      <c r="C23" s="58"/>
    </row>
    <row r="24" spans="1:29" x14ac:dyDescent="0.3">
      <c r="B24" s="58"/>
      <c r="C24" s="58"/>
    </row>
    <row r="25" spans="1:29" x14ac:dyDescent="0.3">
      <c r="A25" s="58">
        <v>2</v>
      </c>
      <c r="B25" s="64" t="s">
        <v>12072</v>
      </c>
      <c r="C25" s="58"/>
    </row>
    <row r="26" spans="1:29" x14ac:dyDescent="0.3">
      <c r="B26" s="58"/>
      <c r="C26" s="58"/>
    </row>
    <row r="27" spans="1:29" x14ac:dyDescent="0.3">
      <c r="A27"/>
      <c r="B27" s="65" t="s">
        <v>9792</v>
      </c>
      <c r="C27" s="65" t="s">
        <v>9805</v>
      </c>
      <c r="D27" s="66" t="s">
        <v>9803</v>
      </c>
      <c r="E27" s="3" t="s">
        <v>20486</v>
      </c>
      <c r="F27" s="3" t="s">
        <v>20487</v>
      </c>
      <c r="G27" s="3" t="s">
        <v>20488</v>
      </c>
      <c r="H27" s="3" t="s">
        <v>20491</v>
      </c>
      <c r="I27" s="3" t="s">
        <v>20489</v>
      </c>
      <c r="J27" s="3" t="s">
        <v>20490</v>
      </c>
      <c r="K27" s="3" t="s">
        <v>24217</v>
      </c>
    </row>
    <row r="28" spans="1:29" x14ac:dyDescent="0.3">
      <c r="A28"/>
      <c r="B28" s="67" t="s">
        <v>46</v>
      </c>
      <c r="C28" s="260">
        <f>COUNTIF('Data Angt'!$H$5:$H$5809,B28)</f>
        <v>1369</v>
      </c>
      <c r="D28" s="4">
        <f t="shared" ref="D28:D42" si="10">C28/$C$42</f>
        <v>0.23583118001722653</v>
      </c>
      <c r="E28" s="260">
        <f>COUNTIFS('Data Angt'!$C$5:$C$5809,E$27,'Data Angt'!$H$5:$H$5809,$B28)</f>
        <v>544</v>
      </c>
      <c r="F28" s="56">
        <f>COUNTIFS('Data Angt'!$C$5:$C$5809,F$27,'Data Angt'!$H$5:$H$5809,$B28)</f>
        <v>186</v>
      </c>
      <c r="G28" s="109">
        <f>COUNTIFS('Data Angt'!$C$5:$C$5809,G$27,'Data Angt'!$H$5:$H$5809,$B28)</f>
        <v>204</v>
      </c>
      <c r="H28" s="56">
        <f>COUNTIFS('Data Angt'!$C$5:$C$5809,H$27,'Data Angt'!$H$5:$H$5809,$B28)</f>
        <v>165</v>
      </c>
      <c r="I28" s="56">
        <f>COUNTIFS('Data Angt'!$C$5:$C$5809,I$27,'Data Angt'!$H$5:$H$5809,$B28)</f>
        <v>114</v>
      </c>
      <c r="J28" s="260">
        <f>COUNTIFS('Data Angt'!$C$5:$C$5809,J$27,'Data Angt'!$H$5:$H$5809,$B28)</f>
        <v>149</v>
      </c>
      <c r="K28" s="2">
        <f>COUNTIFS('Data Angt'!$C$5:$C$5809,K$27,'Data Angt'!$H$5:$H$5809,$B28)</f>
        <v>7</v>
      </c>
    </row>
    <row r="29" spans="1:29" x14ac:dyDescent="0.3">
      <c r="A29"/>
      <c r="B29" s="67" t="s">
        <v>9788</v>
      </c>
      <c r="C29" s="56">
        <f>COUNTIF('Data Angt'!$H$5:$H$5809,B29)</f>
        <v>1623</v>
      </c>
      <c r="D29" s="4">
        <f t="shared" si="10"/>
        <v>0.27958656330749354</v>
      </c>
      <c r="E29" s="56">
        <f>COUNTIFS('Data Angt'!$C$5:$C$5809,E$27,'Data Angt'!$H$5:$H$5809,$B29)</f>
        <v>728</v>
      </c>
      <c r="F29" s="260">
        <f>COUNTIFS('Data Angt'!$C$5:$C$5809,F$27,'Data Angt'!$H$5:$H$5809,$B29)</f>
        <v>174</v>
      </c>
      <c r="G29" s="56">
        <f>COUNTIFS('Data Angt'!$C$5:$C$5809,G$27,'Data Angt'!$H$5:$H$5809,$B29)</f>
        <v>264</v>
      </c>
      <c r="H29" s="260">
        <f>COUNTIFS('Data Angt'!$C$5:$C$5809,H$27,'Data Angt'!$H$5:$H$5809,$B29)</f>
        <v>145</v>
      </c>
      <c r="I29" s="260">
        <f>COUNTIFS('Data Angt'!$C$5:$C$5809,I$27,'Data Angt'!$H$5:$H$5809,$B29)</f>
        <v>80</v>
      </c>
      <c r="J29" s="56">
        <f>COUNTIFS('Data Angt'!$C$5:$C$5809,J$27,'Data Angt'!$H$5:$H$5809,$B29)</f>
        <v>156</v>
      </c>
      <c r="K29" s="2">
        <f>COUNTIFS('Data Angt'!$C$5:$C$5809,K$27,'Data Angt'!$H$5:$H$5809,$B29)</f>
        <v>76</v>
      </c>
    </row>
    <row r="30" spans="1:29" x14ac:dyDescent="0.3">
      <c r="A30"/>
      <c r="B30" s="67" t="s">
        <v>9785</v>
      </c>
      <c r="C30" s="2">
        <f>COUNTIF('Data Angt'!$H$5:$H$5809,B30)</f>
        <v>452</v>
      </c>
      <c r="D30" s="4">
        <f t="shared" si="10"/>
        <v>7.7863910422049959E-2</v>
      </c>
      <c r="E30" s="2">
        <f>COUNTIFS('Data Angt'!$C$5:$C$5809,E$27,'Data Angt'!$H$5:$H$5809,$B30)</f>
        <v>177</v>
      </c>
      <c r="F30" s="2">
        <f>COUNTIFS('Data Angt'!$C$5:$C$5809,F$27,'Data Angt'!$H$5:$H$5809,$B30)</f>
        <v>76</v>
      </c>
      <c r="G30" s="2">
        <f>COUNTIFS('Data Angt'!$C$5:$C$5809,G$27,'Data Angt'!$H$5:$H$5809,$B30)</f>
        <v>101</v>
      </c>
      <c r="H30" s="2">
        <f>COUNTIFS('Data Angt'!$C$5:$C$5809,H$27,'Data Angt'!$H$5:$H$5809,$B30)</f>
        <v>40</v>
      </c>
      <c r="I30" s="2">
        <f>COUNTIFS('Data Angt'!$C$5:$C$5809,I$27,'Data Angt'!$H$5:$H$5809,$B30)</f>
        <v>29</v>
      </c>
      <c r="J30" s="2">
        <f>COUNTIFS('Data Angt'!$C$5:$C$5809,J$27,'Data Angt'!$H$5:$H$5809,$B30)</f>
        <v>25</v>
      </c>
      <c r="K30" s="2">
        <f>COUNTIFS('Data Angt'!$C$5:$C$5809,K$27,'Data Angt'!$H$5:$H$5809,$B30)</f>
        <v>4</v>
      </c>
    </row>
    <row r="31" spans="1:29" x14ac:dyDescent="0.3">
      <c r="A31"/>
      <c r="B31" s="67" t="s">
        <v>12099</v>
      </c>
      <c r="C31" s="2">
        <f>COUNTIF('Data Angt'!$H$5:$H$5809,B31)</f>
        <v>243</v>
      </c>
      <c r="D31" s="4">
        <f t="shared" si="10"/>
        <v>4.1860465116279069E-2</v>
      </c>
      <c r="E31" s="2">
        <f>COUNTIFS('Data Angt'!$C$5:$C$5809,E$27,'Data Angt'!$H$5:$H$5809,$B31)</f>
        <v>160</v>
      </c>
      <c r="F31" s="2">
        <f>COUNTIFS('Data Angt'!$C$5:$C$5809,F$27,'Data Angt'!$H$5:$H$5809,$B31)</f>
        <v>30</v>
      </c>
      <c r="G31" s="2">
        <f>COUNTIFS('Data Angt'!$C$5:$C$5809,G$27,'Data Angt'!$H$5:$H$5809,$B31)</f>
        <v>16</v>
      </c>
      <c r="H31" s="2">
        <f>COUNTIFS('Data Angt'!$C$5:$C$5809,H$27,'Data Angt'!$H$5:$H$5809,$B31)</f>
        <v>15</v>
      </c>
      <c r="I31" s="2">
        <f>COUNTIFS('Data Angt'!$C$5:$C$5809,I$27,'Data Angt'!$H$5:$H$5809,$B31)</f>
        <v>7</v>
      </c>
      <c r="J31" s="2">
        <f>COUNTIFS('Data Angt'!$C$5:$C$5809,J$27,'Data Angt'!$H$5:$H$5809,$B31)</f>
        <v>9</v>
      </c>
      <c r="K31" s="2">
        <f>COUNTIFS('Data Angt'!$C$5:$C$5809,K$27,'Data Angt'!$H$5:$H$5809,$B31)</f>
        <v>6</v>
      </c>
    </row>
    <row r="32" spans="1:29" x14ac:dyDescent="0.3">
      <c r="A32"/>
      <c r="B32" s="67" t="s">
        <v>337</v>
      </c>
      <c r="C32" s="2">
        <f>COUNTIF('Data Angt'!$H$5:$H$5809,B32)</f>
        <v>235</v>
      </c>
      <c r="D32" s="4">
        <f t="shared" si="10"/>
        <v>4.0482342807924204E-2</v>
      </c>
      <c r="E32" s="2">
        <f>COUNTIFS('Data Angt'!$C$5:$C$5809,E$27,'Data Angt'!$H$5:$H$5809,$B32)</f>
        <v>96</v>
      </c>
      <c r="F32" s="2">
        <f>COUNTIFS('Data Angt'!$C$5:$C$5809,F$27,'Data Angt'!$H$5:$H$5809,$B32)</f>
        <v>18</v>
      </c>
      <c r="G32" s="2">
        <f>COUNTIFS('Data Angt'!$C$5:$C$5809,G$27,'Data Angt'!$H$5:$H$5809,$B32)</f>
        <v>59</v>
      </c>
      <c r="H32" s="2">
        <f>COUNTIFS('Data Angt'!$C$5:$C$5809,H$27,'Data Angt'!$H$5:$H$5809,$B32)</f>
        <v>14</v>
      </c>
      <c r="I32" s="2">
        <f>COUNTIFS('Data Angt'!$C$5:$C$5809,I$27,'Data Angt'!$H$5:$H$5809,$B32)</f>
        <v>30</v>
      </c>
      <c r="J32" s="2">
        <f>COUNTIFS('Data Angt'!$C$5:$C$5809,J$27,'Data Angt'!$H$5:$H$5809,$B32)</f>
        <v>18</v>
      </c>
      <c r="K32" s="2">
        <f>COUNTIFS('Data Angt'!$C$5:$C$5809,K$27,'Data Angt'!$H$5:$H$5809,$B32)</f>
        <v>0</v>
      </c>
    </row>
    <row r="33" spans="1:27" x14ac:dyDescent="0.3">
      <c r="A33"/>
      <c r="B33" s="67" t="s">
        <v>9791</v>
      </c>
      <c r="C33" s="2">
        <f>COUNTIF('Data Angt'!$H$5:$H$5809,B33)</f>
        <v>53</v>
      </c>
      <c r="D33" s="4">
        <f t="shared" si="10"/>
        <v>9.1300602928509906E-3</v>
      </c>
      <c r="E33" s="2">
        <f>COUNTIFS('Data Angt'!$C$5:$C$5809,E$27,'Data Angt'!$H$5:$H$5809,$B33)</f>
        <v>33</v>
      </c>
      <c r="F33" s="2">
        <f>COUNTIFS('Data Angt'!$C$5:$C$5809,F$27,'Data Angt'!$H$5:$H$5809,$B33)</f>
        <v>0</v>
      </c>
      <c r="G33" s="2">
        <f>COUNTIFS('Data Angt'!$C$5:$C$5809,G$27,'Data Angt'!$H$5:$H$5809,$B33)</f>
        <v>10</v>
      </c>
      <c r="H33" s="2">
        <f>COUNTIFS('Data Angt'!$C$5:$C$5809,H$27,'Data Angt'!$H$5:$H$5809,$B33)</f>
        <v>2</v>
      </c>
      <c r="I33" s="2">
        <f>COUNTIFS('Data Angt'!$C$5:$C$5809,I$27,'Data Angt'!$H$5:$H$5809,$B33)</f>
        <v>1</v>
      </c>
      <c r="J33" s="2">
        <f>COUNTIFS('Data Angt'!$C$5:$C$5809,J$27,'Data Angt'!$H$5:$H$5809,$B33)</f>
        <v>6</v>
      </c>
      <c r="K33" s="2">
        <f>COUNTIFS('Data Angt'!$C$5:$C$5809,K$27,'Data Angt'!$H$5:$H$5809,$B33)</f>
        <v>1</v>
      </c>
    </row>
    <row r="34" spans="1:27" x14ac:dyDescent="0.3">
      <c r="A34"/>
      <c r="B34" s="67" t="s">
        <v>31</v>
      </c>
      <c r="C34" s="109">
        <f>COUNTIF('Data Angt'!$H$5:$H$5809,B34)</f>
        <v>848</v>
      </c>
      <c r="D34" s="4">
        <f t="shared" si="10"/>
        <v>0.14608096468561585</v>
      </c>
      <c r="E34" s="109">
        <f>COUNTIFS('Data Angt'!$C$5:$C$5809,E$27,'Data Angt'!$H$5:$H$5809,$B34)</f>
        <v>361</v>
      </c>
      <c r="F34" s="109">
        <f>COUNTIFS('Data Angt'!$C$5:$C$5809,F$27,'Data Angt'!$H$5:$H$5809,$B34)</f>
        <v>71</v>
      </c>
      <c r="G34" s="260">
        <f>COUNTIFS('Data Angt'!$C$5:$C$5809,G$27,'Data Angt'!$H$5:$H$5809,$B34)</f>
        <v>206</v>
      </c>
      <c r="H34" s="109">
        <f>COUNTIFS('Data Angt'!$C$5:$C$5809,H$27,'Data Angt'!$H$5:$H$5809,$B34)</f>
        <v>50</v>
      </c>
      <c r="I34" s="109">
        <f>COUNTIFS('Data Angt'!$C$5:$C$5809,I$27,'Data Angt'!$H$5:$H$5809,$B34)</f>
        <v>41</v>
      </c>
      <c r="J34" s="109">
        <f>COUNTIFS('Data Angt'!$C$5:$C$5809,J$27,'Data Angt'!$H$5:$H$5809,$B34)</f>
        <v>66</v>
      </c>
      <c r="K34" s="2">
        <f>COUNTIFS('Data Angt'!$C$5:$C$5809,K$27,'Data Angt'!$H$5:$H$5809,$B34)</f>
        <v>53</v>
      </c>
    </row>
    <row r="35" spans="1:27" x14ac:dyDescent="0.3">
      <c r="A35"/>
      <c r="B35" s="67" t="s">
        <v>9787</v>
      </c>
      <c r="C35" s="2">
        <f>COUNTIF('Data Angt'!$H$5:$H$5809,B35)</f>
        <v>20</v>
      </c>
      <c r="D35" s="4">
        <f t="shared" si="10"/>
        <v>3.4453057708871662E-3</v>
      </c>
      <c r="E35" s="2">
        <f>COUNTIFS('Data Angt'!$C$5:$C$5809,E$27,'Data Angt'!$H$5:$H$5809,$B35)</f>
        <v>13</v>
      </c>
      <c r="F35" s="2">
        <f>COUNTIFS('Data Angt'!$C$5:$C$5809,F$27,'Data Angt'!$H$5:$H$5809,$B35)</f>
        <v>3</v>
      </c>
      <c r="G35" s="2">
        <f>COUNTIFS('Data Angt'!$C$5:$C$5809,G$27,'Data Angt'!$H$5:$H$5809,$B35)</f>
        <v>3</v>
      </c>
      <c r="H35" s="2">
        <f>COUNTIFS('Data Angt'!$C$5:$C$5809,H$27,'Data Angt'!$H$5:$H$5809,$B35)</f>
        <v>1</v>
      </c>
      <c r="I35" s="2">
        <f>COUNTIFS('Data Angt'!$C$5:$C$5809,I$27,'Data Angt'!$H$5:$H$5809,$B35)</f>
        <v>0</v>
      </c>
      <c r="J35" s="2">
        <f>COUNTIFS('Data Angt'!$C$5:$C$5809,J$27,'Data Angt'!$H$5:$H$5809,$B35)</f>
        <v>0</v>
      </c>
      <c r="K35" s="2">
        <f>COUNTIFS('Data Angt'!$C$5:$C$5809,K$27,'Data Angt'!$H$5:$H$5809,$B35)</f>
        <v>0</v>
      </c>
    </row>
    <row r="36" spans="1:27" x14ac:dyDescent="0.3">
      <c r="A36"/>
      <c r="B36" s="67" t="s">
        <v>12065</v>
      </c>
      <c r="C36" s="2">
        <f>COUNTIF('Data Angt'!$H$5:$H$5809,B36)</f>
        <v>56</v>
      </c>
      <c r="D36" s="4">
        <f t="shared" si="10"/>
        <v>9.6468561584840649E-3</v>
      </c>
      <c r="E36" s="2">
        <f>COUNTIFS('Data Angt'!$C$5:$C$5809,E$27,'Data Angt'!$H$5:$H$5809,$B36)</f>
        <v>20</v>
      </c>
      <c r="F36" s="2">
        <f>COUNTIFS('Data Angt'!$C$5:$C$5809,F$27,'Data Angt'!$H$5:$H$5809,$B36)</f>
        <v>5</v>
      </c>
      <c r="G36" s="2">
        <f>COUNTIFS('Data Angt'!$C$5:$C$5809,G$27,'Data Angt'!$H$5:$H$5809,$B36)</f>
        <v>15</v>
      </c>
      <c r="H36" s="2">
        <f>COUNTIFS('Data Angt'!$C$5:$C$5809,H$27,'Data Angt'!$H$5:$H$5809,$B36)</f>
        <v>3</v>
      </c>
      <c r="I36" s="2">
        <f>COUNTIFS('Data Angt'!$C$5:$C$5809,I$27,'Data Angt'!$H$5:$H$5809,$B36)</f>
        <v>7</v>
      </c>
      <c r="J36" s="2">
        <f>COUNTIFS('Data Angt'!$C$5:$C$5809,J$27,'Data Angt'!$H$5:$H$5809,$B36)</f>
        <v>5</v>
      </c>
      <c r="K36" s="2">
        <f>COUNTIFS('Data Angt'!$C$5:$C$5809,K$27,'Data Angt'!$H$5:$H$5809,$B36)</f>
        <v>1</v>
      </c>
      <c r="AA36" s="82" t="s">
        <v>4129</v>
      </c>
    </row>
    <row r="37" spans="1:27" x14ac:dyDescent="0.3">
      <c r="A37"/>
      <c r="B37" s="67" t="s">
        <v>12074</v>
      </c>
      <c r="C37" s="2">
        <f>COUNTIF('Data Angt'!$H$5:$H$5809,B37)</f>
        <v>52</v>
      </c>
      <c r="D37" s="4">
        <f t="shared" si="10"/>
        <v>8.9577950043066325E-3</v>
      </c>
      <c r="E37" s="2">
        <f>COUNTIFS('Data Angt'!$C$5:$C$5809,E$27,'Data Angt'!$H$5:$H$5809,$B37)</f>
        <v>6</v>
      </c>
      <c r="F37" s="2">
        <f>COUNTIFS('Data Angt'!$C$5:$C$5809,F$27,'Data Angt'!$H$5:$H$5809,$B37)</f>
        <v>24</v>
      </c>
      <c r="G37" s="2">
        <f>COUNTIFS('Data Angt'!$C$5:$C$5809,G$27,'Data Angt'!$H$5:$H$5809,$B37)</f>
        <v>8</v>
      </c>
      <c r="H37" s="2">
        <f>COUNTIFS('Data Angt'!$C$5:$C$5809,H$27,'Data Angt'!$H$5:$H$5809,$B37)</f>
        <v>4</v>
      </c>
      <c r="I37" s="2">
        <f>COUNTIFS('Data Angt'!$C$5:$C$5809,I$27,'Data Angt'!$H$5:$H$5809,$B37)</f>
        <v>0</v>
      </c>
      <c r="J37" s="2">
        <f>COUNTIFS('Data Angt'!$C$5:$C$5809,J$27,'Data Angt'!$H$5:$H$5809,$B37)</f>
        <v>10</v>
      </c>
      <c r="K37" s="2">
        <f>COUNTIFS('Data Angt'!$C$5:$C$5809,K$27,'Data Angt'!$H$5:$H$5809,$B37)</f>
        <v>0</v>
      </c>
    </row>
    <row r="38" spans="1:27" x14ac:dyDescent="0.3">
      <c r="A38"/>
      <c r="B38" s="67" t="s">
        <v>13</v>
      </c>
      <c r="C38" s="2">
        <f>COUNTIF('Data Angt'!$H$5:$H$5809,B38)</f>
        <v>224</v>
      </c>
      <c r="D38" s="4">
        <f t="shared" si="10"/>
        <v>3.858742463393626E-2</v>
      </c>
      <c r="E38" s="2">
        <f>COUNTIFS('Data Angt'!$C$5:$C$5809,E$27,'Data Angt'!$H$5:$H$5809,$B38)</f>
        <v>104</v>
      </c>
      <c r="F38" s="2">
        <f>COUNTIFS('Data Angt'!$C$5:$C$5809,F$27,'Data Angt'!$H$5:$H$5809,$B38)</f>
        <v>28</v>
      </c>
      <c r="G38" s="2">
        <f>COUNTIFS('Data Angt'!$C$5:$C$5809,G$27,'Data Angt'!$H$5:$H$5809,$B38)</f>
        <v>38</v>
      </c>
      <c r="H38" s="2">
        <f>COUNTIFS('Data Angt'!$C$5:$C$5809,H$27,'Data Angt'!$H$5:$H$5809,$B38)</f>
        <v>19</v>
      </c>
      <c r="I38" s="2">
        <f>COUNTIFS('Data Angt'!$C$5:$C$5809,I$27,'Data Angt'!$H$5:$H$5809,$B38)</f>
        <v>17</v>
      </c>
      <c r="J38" s="2">
        <f>COUNTIFS('Data Angt'!$C$5:$C$5809,J$27,'Data Angt'!$H$5:$H$5809,$B38)</f>
        <v>18</v>
      </c>
      <c r="K38" s="2">
        <f>COUNTIFS('Data Angt'!$C$5:$C$5809,K$27,'Data Angt'!$H$5:$H$5809,$B38)</f>
        <v>0</v>
      </c>
    </row>
    <row r="39" spans="1:27" x14ac:dyDescent="0.3">
      <c r="A39"/>
      <c r="B39" s="67" t="s">
        <v>243</v>
      </c>
      <c r="C39" s="2">
        <f>COUNTIF('Data Angt'!$H$5:$H$5809,B39)</f>
        <v>86</v>
      </c>
      <c r="D39" s="4">
        <f t="shared" si="10"/>
        <v>1.4814814814814815E-2</v>
      </c>
      <c r="E39" s="2">
        <f>COUNTIFS('Data Angt'!$C$5:$C$5809,E$27,'Data Angt'!$H$5:$H$5809,$B39)</f>
        <v>33</v>
      </c>
      <c r="F39" s="2">
        <f>COUNTIFS('Data Angt'!$C$5:$C$5809,F$27,'Data Angt'!$H$5:$H$5809,$B39)</f>
        <v>11</v>
      </c>
      <c r="G39" s="2">
        <f>COUNTIFS('Data Angt'!$C$5:$C$5809,G$27,'Data Angt'!$H$5:$H$5809,$B39)</f>
        <v>3</v>
      </c>
      <c r="H39" s="2">
        <f>COUNTIFS('Data Angt'!$C$5:$C$5809,H$27,'Data Angt'!$H$5:$H$5809,$B39)</f>
        <v>8</v>
      </c>
      <c r="I39" s="2">
        <f>COUNTIFS('Data Angt'!$C$5:$C$5809,I$27,'Data Angt'!$H$5:$H$5809,$B39)</f>
        <v>17</v>
      </c>
      <c r="J39" s="2">
        <f>COUNTIFS('Data Angt'!$C$5:$C$5809,J$27,'Data Angt'!$H$5:$H$5809,$B39)</f>
        <v>14</v>
      </c>
      <c r="K39" s="2">
        <f>COUNTIFS('Data Angt'!$C$5:$C$5809,K$27,'Data Angt'!$H$5:$H$5809,$B39)</f>
        <v>0</v>
      </c>
    </row>
    <row r="40" spans="1:27" x14ac:dyDescent="0.3">
      <c r="A40"/>
      <c r="B40" s="67" t="s">
        <v>12075</v>
      </c>
      <c r="C40" s="2">
        <f>COUNTIF('Data Angt'!$H$5:$H$5809,B40)</f>
        <v>246</v>
      </c>
      <c r="D40" s="4">
        <f t="shared" si="10"/>
        <v>4.2377260981912142E-2</v>
      </c>
      <c r="E40" s="2">
        <f>COUNTIFS('Data Angt'!$C$5:$C$5809,E$27,'Data Angt'!$H$5:$H$5809,$B40)</f>
        <v>146</v>
      </c>
      <c r="F40" s="2">
        <f>COUNTIFS('Data Angt'!$C$5:$C$5809,F$27,'Data Angt'!$H$5:$H$5809,$B40)</f>
        <v>22</v>
      </c>
      <c r="G40" s="2">
        <f>COUNTIFS('Data Angt'!$C$5:$C$5809,G$27,'Data Angt'!$H$5:$H$5809,$B40)</f>
        <v>16</v>
      </c>
      <c r="H40" s="2">
        <f>COUNTIFS('Data Angt'!$C$5:$C$5809,H$27,'Data Angt'!$H$5:$H$5809,$B40)</f>
        <v>13</v>
      </c>
      <c r="I40" s="2">
        <f>COUNTIFS('Data Angt'!$C$5:$C$5809,I$27,'Data Angt'!$H$5:$H$5809,$B40)</f>
        <v>12</v>
      </c>
      <c r="J40" s="2">
        <f>COUNTIFS('Data Angt'!$C$5:$C$5809,J$27,'Data Angt'!$H$5:$H$5809,$B40)</f>
        <v>37</v>
      </c>
      <c r="K40" s="2">
        <f>COUNTIFS('Data Angt'!$C$5:$C$5809,K$27,'Data Angt'!$H$5:$H$5809,$B40)</f>
        <v>0</v>
      </c>
    </row>
    <row r="41" spans="1:27" x14ac:dyDescent="0.3">
      <c r="A41"/>
      <c r="B41" s="67" t="s">
        <v>12076</v>
      </c>
      <c r="C41" s="2">
        <f>COUNTIF('Data Angt'!$H$5:$H$5809,"")</f>
        <v>298</v>
      </c>
      <c r="D41" s="4">
        <f t="shared" si="10"/>
        <v>5.1335055986218778E-2</v>
      </c>
      <c r="E41" s="2">
        <f>COUNTIFS('Data Angt'!$C$5:$C$5809,E$27,'Data Angt'!$H$5:$H$5809,"")</f>
        <v>195</v>
      </c>
      <c r="F41" s="2">
        <f>COUNTIFS('Data Angt'!$C$5:$C$5809,F$27,'Data Angt'!$H$5:$H$5809,"")</f>
        <v>49</v>
      </c>
      <c r="G41" s="2">
        <f>COUNTIFS('Data Angt'!$C$5:$C$5809,G$27,'Data Angt'!$H$5:$H$5809,"")</f>
        <v>1</v>
      </c>
      <c r="H41" s="2">
        <f>COUNTIFS('Data Angt'!$C$5:$C$5809,H$27,'Data Angt'!$H$5:$H$5809,"")</f>
        <v>1</v>
      </c>
      <c r="I41" s="2">
        <f>COUNTIFS('Data Angt'!$C$5:$C$5809,I$27,'Data Angt'!$H$5:$H$5809,"")</f>
        <v>1</v>
      </c>
      <c r="J41" s="2">
        <f>COUNTIFS('Data Angt'!$C$5:$C$5809,J$27,'Data Angt'!$H$5:$H$5809,"")</f>
        <v>9</v>
      </c>
      <c r="K41" s="2">
        <f>COUNTIFS('Data Angt'!$C$5:$C$5809,K$27,'Data Angt'!$H$5:$H$5809,"")</f>
        <v>42</v>
      </c>
    </row>
    <row r="42" spans="1:27" x14ac:dyDescent="0.3">
      <c r="A42"/>
      <c r="B42" s="68" t="s">
        <v>9805</v>
      </c>
      <c r="C42" s="69">
        <f>SUM(C28:C41)</f>
        <v>5805</v>
      </c>
      <c r="D42" s="90">
        <f t="shared" si="10"/>
        <v>1</v>
      </c>
      <c r="E42" s="69">
        <f>SUM(E28:E41)</f>
        <v>2616</v>
      </c>
      <c r="F42" s="69">
        <f t="shared" ref="F42:K42" si="11">SUM(F28:F41)</f>
        <v>697</v>
      </c>
      <c r="G42" s="69">
        <f t="shared" si="11"/>
        <v>944</v>
      </c>
      <c r="H42" s="69">
        <f t="shared" si="11"/>
        <v>480</v>
      </c>
      <c r="I42" s="69">
        <f t="shared" si="11"/>
        <v>356</v>
      </c>
      <c r="J42" s="69">
        <f t="shared" si="11"/>
        <v>522</v>
      </c>
      <c r="K42" s="69">
        <f t="shared" si="11"/>
        <v>190</v>
      </c>
    </row>
    <row r="43" spans="1:27" x14ac:dyDescent="0.3">
      <c r="B43" s="58"/>
      <c r="C43" s="58"/>
      <c r="E43" s="108"/>
      <c r="F43" s="108"/>
      <c r="G43" s="108"/>
      <c r="H43" s="108"/>
      <c r="I43" s="108"/>
      <c r="J43" s="108"/>
      <c r="K43" s="108"/>
    </row>
    <row r="44" spans="1:27" x14ac:dyDescent="0.3">
      <c r="A44" s="58">
        <v>3</v>
      </c>
      <c r="B44" s="64" t="s">
        <v>12077</v>
      </c>
      <c r="C44" s="58"/>
    </row>
    <row r="45" spans="1:27" x14ac:dyDescent="0.3">
      <c r="B45" s="58"/>
      <c r="C45" s="58"/>
    </row>
    <row r="46" spans="1:27" ht="15" thickBot="1" x14ac:dyDescent="0.35">
      <c r="B46" s="179" t="s">
        <v>9795</v>
      </c>
      <c r="C46" s="179" t="s">
        <v>9804</v>
      </c>
      <c r="D46" s="179" t="s">
        <v>12078</v>
      </c>
      <c r="E46" s="179" t="s">
        <v>9803</v>
      </c>
      <c r="F46" s="179" t="s">
        <v>20486</v>
      </c>
      <c r="G46" s="179" t="s">
        <v>20487</v>
      </c>
      <c r="H46" s="179" t="s">
        <v>20488</v>
      </c>
      <c r="I46" s="179" t="s">
        <v>20491</v>
      </c>
      <c r="J46" s="179" t="s">
        <v>20489</v>
      </c>
      <c r="K46" s="179" t="s">
        <v>20490</v>
      </c>
      <c r="L46" s="179" t="s">
        <v>24217</v>
      </c>
    </row>
    <row r="47" spans="1:27" x14ac:dyDescent="0.3">
      <c r="B47" s="326" t="s">
        <v>12079</v>
      </c>
      <c r="C47" s="180" t="s">
        <v>46</v>
      </c>
      <c r="D47" s="181">
        <f>COUNTIFS('Data Angt'!$F$5:$F$5809,"&lt;24",'Data Angt'!$H$5:$H$5809,C47)</f>
        <v>18</v>
      </c>
      <c r="E47" s="182">
        <f>D47/$C$42</f>
        <v>3.1007751937984496E-3</v>
      </c>
      <c r="F47" s="181">
        <f>COUNTIFS('Data Angt'!$C$5:$C$5809,F$46,'Data Angt'!$F$5:$F$5809,"&lt;24",'Data Angt'!$H$5:$H$5809,$C47)</f>
        <v>3</v>
      </c>
      <c r="G47" s="181">
        <f>COUNTIFS('Data Angt'!$C$5:$C$5809,G$46,'Data Angt'!$F$5:$F$5809,"&lt;24",'Data Angt'!$H$5:$H$5809,$C47)</f>
        <v>2</v>
      </c>
      <c r="H47" s="181">
        <f>COUNTIFS('Data Angt'!$C$5:$C$5809,H$46,'Data Angt'!$F$5:$F$5809,"&lt;24",'Data Angt'!$H$5:$H$5809,$C47)</f>
        <v>3</v>
      </c>
      <c r="I47" s="181">
        <f>COUNTIFS('Data Angt'!$C$5:$C$5809,I$46,'Data Angt'!$F$5:$F$5809,"&lt;24",'Data Angt'!$H$5:$H$5809,$C47)</f>
        <v>8</v>
      </c>
      <c r="J47" s="181">
        <f>COUNTIFS('Data Angt'!$C$5:$C$5809,J$46,'Data Angt'!$F$5:$F$5809,"&lt;24",'Data Angt'!$H$5:$H$5809,$C47)</f>
        <v>0</v>
      </c>
      <c r="K47" s="181">
        <f>COUNTIFS('Data Angt'!$C$5:$C$5809,K$46,'Data Angt'!$F$5:$F$5809,"&lt;24",'Data Angt'!$H$5:$H$5809,$C47)</f>
        <v>2</v>
      </c>
      <c r="L47" s="186">
        <f>COUNTIFS('Data Angt'!$C$5:$C$5809,L$46,'Data Angt'!$F$5:$F$5809,"&lt;24",'Data Angt'!$H$5:$H$5809,$C47)</f>
        <v>0</v>
      </c>
    </row>
    <row r="48" spans="1:27" x14ac:dyDescent="0.3">
      <c r="B48" s="327"/>
      <c r="C48" s="67" t="s">
        <v>9788</v>
      </c>
      <c r="D48" s="2">
        <f>COUNTIFS('Data Angt'!$F$5:$F$5809,"&lt;24",'Data Angt'!$H$5:$H$5809,C48)</f>
        <v>81</v>
      </c>
      <c r="E48" s="4">
        <f t="shared" ref="E48:E130" si="12">D48/$C$42</f>
        <v>1.3953488372093023E-2</v>
      </c>
      <c r="F48" s="2">
        <f>COUNTIFS('Data Angt'!$C$5:$C$5809,F$46,'Data Angt'!$F$5:$F$5809,"&lt;24",'Data Angt'!$H$5:$H$5809,$C48)</f>
        <v>57</v>
      </c>
      <c r="G48" s="2">
        <f>COUNTIFS('Data Angt'!$C$5:$C$5809,G$46,'Data Angt'!$F$5:$F$5809,"&lt;24",'Data Angt'!$H$5:$H$5809,$C48)</f>
        <v>3</v>
      </c>
      <c r="H48" s="2">
        <f>COUNTIFS('Data Angt'!$C$5:$C$5809,H$46,'Data Angt'!$F$5:$F$5809,"&lt;24",'Data Angt'!$H$5:$H$5809,$C48)</f>
        <v>2</v>
      </c>
      <c r="I48" s="2">
        <f>COUNTIFS('Data Angt'!$C$5:$C$5809,I$46,'Data Angt'!$F$5:$F$5809,"&lt;24",'Data Angt'!$H$5:$H$5809,$C48)</f>
        <v>11</v>
      </c>
      <c r="J48" s="2">
        <f>COUNTIFS('Data Angt'!$C$5:$C$5809,J$46,'Data Angt'!$F$5:$F$5809,"&lt;24",'Data Angt'!$H$5:$H$5809,$C48)</f>
        <v>4</v>
      </c>
      <c r="K48" s="2">
        <f>COUNTIFS('Data Angt'!$C$5:$C$5809,K$46,'Data Angt'!$F$5:$F$5809,"&lt;24",'Data Angt'!$H$5:$H$5809,$C48)</f>
        <v>4</v>
      </c>
      <c r="L48" s="187">
        <f>COUNTIFS('Data Angt'!$C$5:$C$5809,L$46,'Data Angt'!$F$5:$F$5809,"&lt;24",'Data Angt'!$H$5:$H$5809,$C48)</f>
        <v>0</v>
      </c>
    </row>
    <row r="49" spans="2:12" x14ac:dyDescent="0.3">
      <c r="B49" s="327"/>
      <c r="C49" s="67" t="s">
        <v>9785</v>
      </c>
      <c r="D49" s="2">
        <f>COUNTIFS('Data Angt'!$F$5:$F$5809,"&lt;24",'Data Angt'!$H$5:$H$5809,C49)</f>
        <v>2</v>
      </c>
      <c r="E49" s="4">
        <f t="shared" si="12"/>
        <v>3.4453057708871661E-4</v>
      </c>
      <c r="F49" s="2">
        <f>COUNTIFS('Data Angt'!$C$5:$C$5809,F$46,'Data Angt'!$F$5:$F$5809,"&lt;24",'Data Angt'!$H$5:$H$5809,$C49)</f>
        <v>1</v>
      </c>
      <c r="G49" s="2">
        <f>COUNTIFS('Data Angt'!$C$5:$C$5809,G$46,'Data Angt'!$F$5:$F$5809,"&lt;24",'Data Angt'!$H$5:$H$5809,$C49)</f>
        <v>0</v>
      </c>
      <c r="H49" s="2">
        <f>COUNTIFS('Data Angt'!$C$5:$C$5809,H$46,'Data Angt'!$F$5:$F$5809,"&lt;24",'Data Angt'!$H$5:$H$5809,$C49)</f>
        <v>0</v>
      </c>
      <c r="I49" s="2">
        <f>COUNTIFS('Data Angt'!$C$5:$C$5809,I$46,'Data Angt'!$F$5:$F$5809,"&lt;24",'Data Angt'!$H$5:$H$5809,$C49)</f>
        <v>1</v>
      </c>
      <c r="J49" s="2">
        <f>COUNTIFS('Data Angt'!$C$5:$C$5809,J$46,'Data Angt'!$F$5:$F$5809,"&lt;24",'Data Angt'!$H$5:$H$5809,$C49)</f>
        <v>0</v>
      </c>
      <c r="K49" s="2">
        <f>COUNTIFS('Data Angt'!$C$5:$C$5809,K$46,'Data Angt'!$F$5:$F$5809,"&lt;24",'Data Angt'!$H$5:$H$5809,$C49)</f>
        <v>0</v>
      </c>
      <c r="L49" s="187">
        <f>COUNTIFS('Data Angt'!$C$5:$C$5809,L$46,'Data Angt'!$F$5:$F$5809,"&lt;24",'Data Angt'!$H$5:$H$5809,$C49)</f>
        <v>0</v>
      </c>
    </row>
    <row r="50" spans="2:12" x14ac:dyDescent="0.3">
      <c r="B50" s="327"/>
      <c r="C50" s="67" t="s">
        <v>12099</v>
      </c>
      <c r="D50" s="2">
        <f>COUNTIFS('Data Angt'!$F$5:$F$5809,"&lt;24",'Data Angt'!$H$5:$H$5809,C50)</f>
        <v>0</v>
      </c>
      <c r="E50" s="4">
        <f t="shared" si="12"/>
        <v>0</v>
      </c>
      <c r="F50" s="2">
        <f>COUNTIFS('Data Angt'!$C$5:$C$5809,F$46,'Data Angt'!$F$5:$F$5809,"&lt;24",'Data Angt'!$H$5:$H$5809,$C50)</f>
        <v>0</v>
      </c>
      <c r="G50" s="2">
        <f>COUNTIFS('Data Angt'!$C$5:$C$5809,G$46,'Data Angt'!$F$5:$F$5809,"&lt;24",'Data Angt'!$H$5:$H$5809,$C50)</f>
        <v>0</v>
      </c>
      <c r="H50" s="2">
        <f>COUNTIFS('Data Angt'!$C$5:$C$5809,H$46,'Data Angt'!$F$5:$F$5809,"&lt;24",'Data Angt'!$H$5:$H$5809,$C50)</f>
        <v>0</v>
      </c>
      <c r="I50" s="2">
        <f>COUNTIFS('Data Angt'!$C$5:$C$5809,I$46,'Data Angt'!$F$5:$F$5809,"&lt;24",'Data Angt'!$H$5:$H$5809,$C50)</f>
        <v>0</v>
      </c>
      <c r="J50" s="2">
        <f>COUNTIFS('Data Angt'!$C$5:$C$5809,J$46,'Data Angt'!$F$5:$F$5809,"&lt;24",'Data Angt'!$H$5:$H$5809,$C50)</f>
        <v>0</v>
      </c>
      <c r="K50" s="2">
        <f>COUNTIFS('Data Angt'!$C$5:$C$5809,K$46,'Data Angt'!$F$5:$F$5809,"&lt;24",'Data Angt'!$H$5:$H$5809,$C50)</f>
        <v>0</v>
      </c>
      <c r="L50" s="187">
        <f>COUNTIFS('Data Angt'!$C$5:$C$5809,L$46,'Data Angt'!$F$5:$F$5809,"&lt;24",'Data Angt'!$H$5:$H$5809,$C50)</f>
        <v>0</v>
      </c>
    </row>
    <row r="51" spans="2:12" x14ac:dyDescent="0.3">
      <c r="B51" s="327"/>
      <c r="C51" s="67" t="s">
        <v>337</v>
      </c>
      <c r="D51" s="2">
        <f>COUNTIFS('Data Angt'!$F$5:$F$5809,"&lt;24",'Data Angt'!$H$5:$H$5809,C51)</f>
        <v>180</v>
      </c>
      <c r="E51" s="4">
        <f t="shared" si="12"/>
        <v>3.1007751937984496E-2</v>
      </c>
      <c r="F51" s="2">
        <f>COUNTIFS('Data Angt'!$C$5:$C$5809,F$46,'Data Angt'!$F$5:$F$5809,"&lt;24",'Data Angt'!$H$5:$H$5809,$C51)</f>
        <v>70</v>
      </c>
      <c r="G51" s="2">
        <f>COUNTIFS('Data Angt'!$C$5:$C$5809,G$46,'Data Angt'!$F$5:$F$5809,"&lt;24",'Data Angt'!$H$5:$H$5809,$C51)</f>
        <v>14</v>
      </c>
      <c r="H51" s="2">
        <f>COUNTIFS('Data Angt'!$C$5:$C$5809,H$46,'Data Angt'!$F$5:$F$5809,"&lt;24",'Data Angt'!$H$5:$H$5809,$C51)</f>
        <v>44</v>
      </c>
      <c r="I51" s="2">
        <f>COUNTIFS('Data Angt'!$C$5:$C$5809,I$46,'Data Angt'!$F$5:$F$5809,"&lt;24",'Data Angt'!$H$5:$H$5809,$C51)</f>
        <v>12</v>
      </c>
      <c r="J51" s="2">
        <f>COUNTIFS('Data Angt'!$C$5:$C$5809,J$46,'Data Angt'!$F$5:$F$5809,"&lt;24",'Data Angt'!$H$5:$H$5809,$C51)</f>
        <v>27</v>
      </c>
      <c r="K51" s="2">
        <f>COUNTIFS('Data Angt'!$C$5:$C$5809,K$46,'Data Angt'!$F$5:$F$5809,"&lt;24",'Data Angt'!$H$5:$H$5809,$C51)</f>
        <v>13</v>
      </c>
      <c r="L51" s="187">
        <f>COUNTIFS('Data Angt'!$C$5:$C$5809,L$46,'Data Angt'!$F$5:$F$5809,"&lt;24",'Data Angt'!$H$5:$H$5809,$C51)</f>
        <v>0</v>
      </c>
    </row>
    <row r="52" spans="2:12" x14ac:dyDescent="0.3">
      <c r="B52" s="327"/>
      <c r="C52" s="67" t="s">
        <v>9791</v>
      </c>
      <c r="D52" s="2">
        <f>COUNTIFS('Data Angt'!$F$5:$F$5809,"&lt;24",'Data Angt'!$H$5:$H$5809,C52)</f>
        <v>0</v>
      </c>
      <c r="E52" s="4">
        <f t="shared" si="12"/>
        <v>0</v>
      </c>
      <c r="F52" s="2">
        <f>COUNTIFS('Data Angt'!$C$5:$C$5809,F$46,'Data Angt'!$F$5:$F$5809,"&lt;24",'Data Angt'!$H$5:$H$5809,$C52)</f>
        <v>0</v>
      </c>
      <c r="G52" s="2">
        <f>COUNTIFS('Data Angt'!$C$5:$C$5809,G$46,'Data Angt'!$F$5:$F$5809,"&lt;24",'Data Angt'!$H$5:$H$5809,$C52)</f>
        <v>0</v>
      </c>
      <c r="H52" s="2">
        <f>COUNTIFS('Data Angt'!$C$5:$C$5809,H$46,'Data Angt'!$F$5:$F$5809,"&lt;24",'Data Angt'!$H$5:$H$5809,$C52)</f>
        <v>0</v>
      </c>
      <c r="I52" s="2">
        <f>COUNTIFS('Data Angt'!$C$5:$C$5809,I$46,'Data Angt'!$F$5:$F$5809,"&lt;24",'Data Angt'!$H$5:$H$5809,$C52)</f>
        <v>0</v>
      </c>
      <c r="J52" s="2">
        <f>COUNTIFS('Data Angt'!$C$5:$C$5809,J$46,'Data Angt'!$F$5:$F$5809,"&lt;24",'Data Angt'!$H$5:$H$5809,$C52)</f>
        <v>0</v>
      </c>
      <c r="K52" s="2">
        <f>COUNTIFS('Data Angt'!$C$5:$C$5809,K$46,'Data Angt'!$F$5:$F$5809,"&lt;24",'Data Angt'!$H$5:$H$5809,$C52)</f>
        <v>0</v>
      </c>
      <c r="L52" s="187">
        <f>COUNTIFS('Data Angt'!$C$5:$C$5809,L$46,'Data Angt'!$F$5:$F$5809,"&lt;24",'Data Angt'!$H$5:$H$5809,$C52)</f>
        <v>0</v>
      </c>
    </row>
    <row r="53" spans="2:12" x14ac:dyDescent="0.3">
      <c r="B53" s="327"/>
      <c r="C53" s="67" t="s">
        <v>31</v>
      </c>
      <c r="D53" s="2">
        <f>COUNTIFS('Data Angt'!$F$5:$F$5809,"&lt;24",'Data Angt'!$H$5:$H$5809,C53)</f>
        <v>6</v>
      </c>
      <c r="E53" s="4">
        <f t="shared" si="12"/>
        <v>1.0335917312661498E-3</v>
      </c>
      <c r="F53" s="2">
        <f>COUNTIFS('Data Angt'!$C$5:$C$5809,F$46,'Data Angt'!$F$5:$F$5809,"&lt;24",'Data Angt'!$H$5:$H$5809,$C53)</f>
        <v>1</v>
      </c>
      <c r="G53" s="2">
        <f>COUNTIFS('Data Angt'!$C$5:$C$5809,G$46,'Data Angt'!$F$5:$F$5809,"&lt;24",'Data Angt'!$H$5:$H$5809,$C53)</f>
        <v>2</v>
      </c>
      <c r="H53" s="2">
        <f>COUNTIFS('Data Angt'!$C$5:$C$5809,H$46,'Data Angt'!$F$5:$F$5809,"&lt;24",'Data Angt'!$H$5:$H$5809,$C53)</f>
        <v>0</v>
      </c>
      <c r="I53" s="2">
        <f>COUNTIFS('Data Angt'!$C$5:$C$5809,I$46,'Data Angt'!$F$5:$F$5809,"&lt;24",'Data Angt'!$H$5:$H$5809,$C53)</f>
        <v>1</v>
      </c>
      <c r="J53" s="2">
        <f>COUNTIFS('Data Angt'!$C$5:$C$5809,J$46,'Data Angt'!$F$5:$F$5809,"&lt;24",'Data Angt'!$H$5:$H$5809,$C53)</f>
        <v>1</v>
      </c>
      <c r="K53" s="2">
        <f>COUNTIFS('Data Angt'!$C$5:$C$5809,K$46,'Data Angt'!$F$5:$F$5809,"&lt;24",'Data Angt'!$H$5:$H$5809,$C53)</f>
        <v>1</v>
      </c>
      <c r="L53" s="187">
        <f>COUNTIFS('Data Angt'!$C$5:$C$5809,L$46,'Data Angt'!$F$5:$F$5809,"&lt;24",'Data Angt'!$H$5:$H$5809,$C53)</f>
        <v>0</v>
      </c>
    </row>
    <row r="54" spans="2:12" x14ac:dyDescent="0.3">
      <c r="B54" s="327"/>
      <c r="C54" s="67" t="s">
        <v>9787</v>
      </c>
      <c r="D54" s="2">
        <f>COUNTIFS('Data Angt'!$F$5:$F$5809,"&lt;24",'Data Angt'!$H$5:$H$5809,C54)</f>
        <v>0</v>
      </c>
      <c r="E54" s="4">
        <f t="shared" si="12"/>
        <v>0</v>
      </c>
      <c r="F54" s="2">
        <f>COUNTIFS('Data Angt'!$C$5:$C$5809,F$46,'Data Angt'!$F$5:$F$5809,"&lt;24",'Data Angt'!$H$5:$H$5809,$C54)</f>
        <v>0</v>
      </c>
      <c r="G54" s="2">
        <f>COUNTIFS('Data Angt'!$C$5:$C$5809,G$46,'Data Angt'!$F$5:$F$5809,"&lt;24",'Data Angt'!$H$5:$H$5809,$C54)</f>
        <v>0</v>
      </c>
      <c r="H54" s="2">
        <f>COUNTIFS('Data Angt'!$C$5:$C$5809,H$46,'Data Angt'!$F$5:$F$5809,"&lt;24",'Data Angt'!$H$5:$H$5809,$C54)</f>
        <v>0</v>
      </c>
      <c r="I54" s="2">
        <f>COUNTIFS('Data Angt'!$C$5:$C$5809,I$46,'Data Angt'!$F$5:$F$5809,"&lt;24",'Data Angt'!$H$5:$H$5809,$C54)</f>
        <v>0</v>
      </c>
      <c r="J54" s="2">
        <f>COUNTIFS('Data Angt'!$C$5:$C$5809,J$46,'Data Angt'!$F$5:$F$5809,"&lt;24",'Data Angt'!$H$5:$H$5809,$C54)</f>
        <v>0</v>
      </c>
      <c r="K54" s="2">
        <f>COUNTIFS('Data Angt'!$C$5:$C$5809,K$46,'Data Angt'!$F$5:$F$5809,"&lt;24",'Data Angt'!$H$5:$H$5809,$C54)</f>
        <v>0</v>
      </c>
      <c r="L54" s="187">
        <f>COUNTIFS('Data Angt'!$C$5:$C$5809,L$46,'Data Angt'!$F$5:$F$5809,"&lt;24",'Data Angt'!$H$5:$H$5809,$C54)</f>
        <v>0</v>
      </c>
    </row>
    <row r="55" spans="2:12" x14ac:dyDescent="0.3">
      <c r="B55" s="327"/>
      <c r="C55" s="67" t="s">
        <v>12065</v>
      </c>
      <c r="D55" s="2">
        <f>COUNTIFS('Data Angt'!$F$5:$F$5809,"&lt;24",'Data Angt'!$H$5:$H$5809,C55)</f>
        <v>2</v>
      </c>
      <c r="E55" s="4">
        <f t="shared" si="12"/>
        <v>3.4453057708871661E-4</v>
      </c>
      <c r="F55" s="2">
        <f>COUNTIFS('Data Angt'!$C$5:$C$5809,F$46,'Data Angt'!$F$5:$F$5809,"&lt;24",'Data Angt'!$H$5:$H$5809,$C55)</f>
        <v>1</v>
      </c>
      <c r="G55" s="2">
        <f>COUNTIFS('Data Angt'!$C$5:$C$5809,G$46,'Data Angt'!$F$5:$F$5809,"&lt;24",'Data Angt'!$H$5:$H$5809,$C55)</f>
        <v>0</v>
      </c>
      <c r="H55" s="2">
        <f>COUNTIFS('Data Angt'!$C$5:$C$5809,H$46,'Data Angt'!$F$5:$F$5809,"&lt;24",'Data Angt'!$H$5:$H$5809,$C55)</f>
        <v>1</v>
      </c>
      <c r="I55" s="2">
        <f>COUNTIFS('Data Angt'!$C$5:$C$5809,I$46,'Data Angt'!$F$5:$F$5809,"&lt;24",'Data Angt'!$H$5:$H$5809,$C55)</f>
        <v>0</v>
      </c>
      <c r="J55" s="2">
        <f>COUNTIFS('Data Angt'!$C$5:$C$5809,J$46,'Data Angt'!$F$5:$F$5809,"&lt;24",'Data Angt'!$H$5:$H$5809,$C55)</f>
        <v>0</v>
      </c>
      <c r="K55" s="2">
        <f>COUNTIFS('Data Angt'!$C$5:$C$5809,K$46,'Data Angt'!$F$5:$F$5809,"&lt;24",'Data Angt'!$H$5:$H$5809,$C55)</f>
        <v>0</v>
      </c>
      <c r="L55" s="187">
        <f>COUNTIFS('Data Angt'!$C$5:$C$5809,L$46,'Data Angt'!$F$5:$F$5809,"&lt;24",'Data Angt'!$H$5:$H$5809,$C55)</f>
        <v>0</v>
      </c>
    </row>
    <row r="56" spans="2:12" x14ac:dyDescent="0.3">
      <c r="B56" s="327"/>
      <c r="C56" s="67" t="s">
        <v>12074</v>
      </c>
      <c r="D56" s="2">
        <f>COUNTIFS('Data Angt'!$F$5:$F$5809,"&lt;24",'Data Angt'!$H$5:$H$5809,C56)</f>
        <v>0</v>
      </c>
      <c r="E56" s="4">
        <f t="shared" si="12"/>
        <v>0</v>
      </c>
      <c r="F56" s="2">
        <f>COUNTIFS('Data Angt'!$C$5:$C$5809,F$46,'Data Angt'!$F$5:$F$5809,"&lt;24",'Data Angt'!$H$5:$H$5809,$C56)</f>
        <v>0</v>
      </c>
      <c r="G56" s="2">
        <f>COUNTIFS('Data Angt'!$C$5:$C$5809,G$46,'Data Angt'!$F$5:$F$5809,"&lt;24",'Data Angt'!$H$5:$H$5809,$C56)</f>
        <v>0</v>
      </c>
      <c r="H56" s="2">
        <f>COUNTIFS('Data Angt'!$C$5:$C$5809,H$46,'Data Angt'!$F$5:$F$5809,"&lt;24",'Data Angt'!$H$5:$H$5809,$C56)</f>
        <v>0</v>
      </c>
      <c r="I56" s="2">
        <f>COUNTIFS('Data Angt'!$C$5:$C$5809,I$46,'Data Angt'!$F$5:$F$5809,"&lt;24",'Data Angt'!$H$5:$H$5809,$C56)</f>
        <v>0</v>
      </c>
      <c r="J56" s="2">
        <f>COUNTIFS('Data Angt'!$C$5:$C$5809,J$46,'Data Angt'!$F$5:$F$5809,"&lt;24",'Data Angt'!$H$5:$H$5809,$C56)</f>
        <v>0</v>
      </c>
      <c r="K56" s="2">
        <f>COUNTIFS('Data Angt'!$C$5:$C$5809,K$46,'Data Angt'!$F$5:$F$5809,"&lt;24",'Data Angt'!$H$5:$H$5809,$C56)</f>
        <v>0</v>
      </c>
      <c r="L56" s="187">
        <f>COUNTIFS('Data Angt'!$C$5:$C$5809,L$46,'Data Angt'!$F$5:$F$5809,"&lt;24",'Data Angt'!$H$5:$H$5809,$C56)</f>
        <v>0</v>
      </c>
    </row>
    <row r="57" spans="2:12" x14ac:dyDescent="0.3">
      <c r="B57" s="327"/>
      <c r="C57" s="67" t="s">
        <v>13</v>
      </c>
      <c r="D57" s="2">
        <f>COUNTIFS('Data Angt'!$F$5:$F$5809,"&lt;24",'Data Angt'!$H$5:$H$5809,C57)</f>
        <v>0</v>
      </c>
      <c r="E57" s="4">
        <f t="shared" si="12"/>
        <v>0</v>
      </c>
      <c r="F57" s="2">
        <f>COUNTIFS('Data Angt'!$C$5:$C$5809,F$46,'Data Angt'!$F$5:$F$5809,"&lt;24",'Data Angt'!$H$5:$H$5809,$C57)</f>
        <v>0</v>
      </c>
      <c r="G57" s="2">
        <f>COUNTIFS('Data Angt'!$C$5:$C$5809,G$46,'Data Angt'!$F$5:$F$5809,"&lt;24",'Data Angt'!$H$5:$H$5809,$C57)</f>
        <v>0</v>
      </c>
      <c r="H57" s="2">
        <f>COUNTIFS('Data Angt'!$C$5:$C$5809,H$46,'Data Angt'!$F$5:$F$5809,"&lt;24",'Data Angt'!$H$5:$H$5809,$C57)</f>
        <v>0</v>
      </c>
      <c r="I57" s="2">
        <f>COUNTIFS('Data Angt'!$C$5:$C$5809,I$46,'Data Angt'!$F$5:$F$5809,"&lt;24",'Data Angt'!$H$5:$H$5809,$C57)</f>
        <v>0</v>
      </c>
      <c r="J57" s="2">
        <f>COUNTIFS('Data Angt'!$C$5:$C$5809,J$46,'Data Angt'!$F$5:$F$5809,"&lt;24",'Data Angt'!$H$5:$H$5809,$C57)</f>
        <v>0</v>
      </c>
      <c r="K57" s="2">
        <f>COUNTIFS('Data Angt'!$C$5:$C$5809,K$46,'Data Angt'!$F$5:$F$5809,"&lt;24",'Data Angt'!$H$5:$H$5809,$C57)</f>
        <v>0</v>
      </c>
      <c r="L57" s="187">
        <f>COUNTIFS('Data Angt'!$C$5:$C$5809,L$46,'Data Angt'!$F$5:$F$5809,"&lt;24",'Data Angt'!$H$5:$H$5809,$C57)</f>
        <v>0</v>
      </c>
    </row>
    <row r="58" spans="2:12" x14ac:dyDescent="0.3">
      <c r="B58" s="327"/>
      <c r="C58" s="67" t="s">
        <v>243</v>
      </c>
      <c r="D58" s="2">
        <f>COUNTIFS('Data Angt'!$F$5:$F$5809,"&lt;24",'Data Angt'!$H$5:$H$5809,C58)</f>
        <v>16</v>
      </c>
      <c r="E58" s="4">
        <f t="shared" si="12"/>
        <v>2.7562446167097329E-3</v>
      </c>
      <c r="F58" s="2">
        <f>COUNTIFS('Data Angt'!$C$5:$C$5809,F$46,'Data Angt'!$F$5:$F$5809,"&lt;24",'Data Angt'!$H$5:$H$5809,$C58)</f>
        <v>5</v>
      </c>
      <c r="G58" s="2">
        <f>COUNTIFS('Data Angt'!$C$5:$C$5809,G$46,'Data Angt'!$F$5:$F$5809,"&lt;24",'Data Angt'!$H$5:$H$5809,$C58)</f>
        <v>1</v>
      </c>
      <c r="H58" s="2">
        <f>COUNTIFS('Data Angt'!$C$5:$C$5809,H$46,'Data Angt'!$F$5:$F$5809,"&lt;24",'Data Angt'!$H$5:$H$5809,$C58)</f>
        <v>0</v>
      </c>
      <c r="I58" s="2">
        <f>COUNTIFS('Data Angt'!$C$5:$C$5809,I$46,'Data Angt'!$F$5:$F$5809,"&lt;24",'Data Angt'!$H$5:$H$5809,$C58)</f>
        <v>6</v>
      </c>
      <c r="J58" s="2">
        <f>COUNTIFS('Data Angt'!$C$5:$C$5809,J$46,'Data Angt'!$F$5:$F$5809,"&lt;24",'Data Angt'!$H$5:$H$5809,$C58)</f>
        <v>2</v>
      </c>
      <c r="K58" s="2">
        <f>COUNTIFS('Data Angt'!$C$5:$C$5809,K$46,'Data Angt'!$F$5:$F$5809,"&lt;24",'Data Angt'!$H$5:$H$5809,$C58)</f>
        <v>2</v>
      </c>
      <c r="L58" s="187">
        <f>COUNTIFS('Data Angt'!$C$5:$C$5809,L$46,'Data Angt'!$F$5:$F$5809,"&lt;24",'Data Angt'!$H$5:$H$5809,$C58)</f>
        <v>0</v>
      </c>
    </row>
    <row r="59" spans="2:12" x14ac:dyDescent="0.3">
      <c r="B59" s="327"/>
      <c r="C59" s="67" t="s">
        <v>12075</v>
      </c>
      <c r="D59" s="2">
        <f>COUNTIFS('Data Angt'!$F$5:$F$5809,"&lt;24",'Data Angt'!$H$5:$H$5809,C59)</f>
        <v>3</v>
      </c>
      <c r="E59" s="4">
        <f t="shared" si="12"/>
        <v>5.1679586563307489E-4</v>
      </c>
      <c r="F59" s="2">
        <f>COUNTIFS('Data Angt'!$C$5:$C$5809,F$46,'Data Angt'!$F$5:$F$5809,"&lt;24",'Data Angt'!$H$5:$H$5809,$C59)</f>
        <v>1</v>
      </c>
      <c r="G59" s="2">
        <f>COUNTIFS('Data Angt'!$C$5:$C$5809,G$46,'Data Angt'!$F$5:$F$5809,"&lt;24",'Data Angt'!$H$5:$H$5809,$C59)</f>
        <v>1</v>
      </c>
      <c r="H59" s="2">
        <f>COUNTIFS('Data Angt'!$C$5:$C$5809,H$46,'Data Angt'!$F$5:$F$5809,"&lt;24",'Data Angt'!$H$5:$H$5809,$C59)</f>
        <v>0</v>
      </c>
      <c r="I59" s="2">
        <f>COUNTIFS('Data Angt'!$C$5:$C$5809,I$46,'Data Angt'!$F$5:$F$5809,"&lt;24",'Data Angt'!$H$5:$H$5809,$C59)</f>
        <v>0</v>
      </c>
      <c r="J59" s="2">
        <f>COUNTIFS('Data Angt'!$C$5:$C$5809,J$46,'Data Angt'!$F$5:$F$5809,"&lt;24",'Data Angt'!$H$5:$H$5809,$C59)</f>
        <v>0</v>
      </c>
      <c r="K59" s="2">
        <f>COUNTIFS('Data Angt'!$C$5:$C$5809,K$46,'Data Angt'!$F$5:$F$5809,"&lt;24",'Data Angt'!$H$5:$H$5809,$C59)</f>
        <v>1</v>
      </c>
      <c r="L59" s="187">
        <f>COUNTIFS('Data Angt'!$C$5:$C$5809,L$46,'Data Angt'!$F$5:$F$5809,"&lt;24",'Data Angt'!$H$5:$H$5809,$C59)</f>
        <v>0</v>
      </c>
    </row>
    <row r="60" spans="2:12" ht="15" thickBot="1" x14ac:dyDescent="0.35">
      <c r="B60" s="328"/>
      <c r="C60" s="183" t="s">
        <v>12076</v>
      </c>
      <c r="D60" s="184">
        <f>COUNTIFS('Data Angt'!$F$5:$F$5809,"&lt;24",'Data Angt'!$H$5:$H$5809,"")</f>
        <v>34</v>
      </c>
      <c r="E60" s="185">
        <f t="shared" si="12"/>
        <v>5.8570198105081829E-3</v>
      </c>
      <c r="F60" s="184">
        <f>COUNTIFS('Data Angt'!$C$5:$C$5809,F$46,'Data Angt'!$F$5:$F$5809,"&lt;24",'Data Angt'!$H$5:$H$5809,"")</f>
        <v>27</v>
      </c>
      <c r="G60" s="184">
        <f>COUNTIFS('Data Angt'!$C$5:$C$5809,G$46,'Data Angt'!$F$5:$F$5809,"&lt;24",'Data Angt'!$H$5:$H$5809,"")</f>
        <v>4</v>
      </c>
      <c r="H60" s="184">
        <f>COUNTIFS('Data Angt'!$C$5:$C$5809,H$46,'Data Angt'!$F$5:$F$5809,"&lt;24",'Data Angt'!$H$5:$H$5809,"")</f>
        <v>0</v>
      </c>
      <c r="I60" s="184">
        <f>COUNTIFS('Data Angt'!$C$5:$C$5809,I$46,'Data Angt'!$F$5:$F$5809,"&lt;24",'Data Angt'!$H$5:$H$5809,"")</f>
        <v>0</v>
      </c>
      <c r="J60" s="184">
        <f>COUNTIFS('Data Angt'!$C$5:$C$5809,J$46,'Data Angt'!$F$5:$F$5809,"&lt;24",'Data Angt'!$H$5:$H$5809,"")</f>
        <v>0</v>
      </c>
      <c r="K60" s="184">
        <f>COUNTIFS('Data Angt'!$C$5:$C$5809,K$46,'Data Angt'!$F$5:$F$5809,"&lt;24",'Data Angt'!$H$5:$H$5809,"")</f>
        <v>3</v>
      </c>
      <c r="L60" s="188">
        <f>COUNTIFS('Data Angt'!$C$5:$C$5809,L$46,'Data Angt'!$F$5:$F$5809,"&lt;24",'Data Angt'!$H$5:$H$5809,"")</f>
        <v>0</v>
      </c>
    </row>
    <row r="61" spans="2:12" x14ac:dyDescent="0.3">
      <c r="B61" s="326" t="s">
        <v>22144</v>
      </c>
      <c r="C61" s="180" t="s">
        <v>46</v>
      </c>
      <c r="D61" s="181">
        <f>COUNTIFS('Data Angt'!$F$5:$F$5809,"&lt;=35",'Data Angt'!$H$5:$H$5809,C61)-COUNTIFS('Data Angt'!$F$5:$F$5809,"&lt;24",'Data Angt'!$H$5:$H$5809,C61)</f>
        <v>170</v>
      </c>
      <c r="E61" s="182">
        <f t="shared" ref="E61:E88" si="13">D61/$C$42</f>
        <v>2.9285099052540915E-2</v>
      </c>
      <c r="F61" s="181">
        <f>COUNTIFS('Data Angt'!$C$5:$C$5809,F$46,'Data Angt'!$F$5:$F$5809,"&lt;=35",'Data Angt'!$H$5:$H$5809,$C61)-COUNTIFS('Data Angt'!$C$5:$C$5809,F$46,'Data Angt'!$F$5:$F$5809,"&lt;24",'Data Angt'!$H$5:$H$5809,$C61)</f>
        <v>72</v>
      </c>
      <c r="G61" s="181">
        <f>COUNTIFS('Data Angt'!$C$5:$C$5809,G$46,'Data Angt'!$F$5:$F$5809,"&lt;=35",'Data Angt'!$H$5:$H$5809,$C61)-COUNTIFS('Data Angt'!$C$5:$C$5809,G$46,'Data Angt'!$F$5:$F$5809,"&lt;24",'Data Angt'!$H$5:$H$5809,$C61)</f>
        <v>24</v>
      </c>
      <c r="H61" s="181">
        <f>COUNTIFS('Data Angt'!$C$5:$C$5809,H$46,'Data Angt'!$F$5:$F$5809,"&lt;=35",'Data Angt'!$H$5:$H$5809,$C61)-COUNTIFS('Data Angt'!$C$5:$C$5809,H$46,'Data Angt'!$F$5:$F$5809,"&lt;24",'Data Angt'!$H$5:$H$5809,$C61)</f>
        <v>31</v>
      </c>
      <c r="I61" s="181">
        <f>COUNTIFS('Data Angt'!$C$5:$C$5809,I$46,'Data Angt'!$F$5:$F$5809,"&lt;=35",'Data Angt'!$H$5:$H$5809,$C61)-COUNTIFS('Data Angt'!$C$5:$C$5809,I$46,'Data Angt'!$F$5:$F$5809,"&lt;24",'Data Angt'!$H$5:$H$5809,$C61)</f>
        <v>24</v>
      </c>
      <c r="J61" s="181">
        <f>COUNTIFS('Data Angt'!$C$5:$C$5809,J$46,'Data Angt'!$F$5:$F$5809,"&lt;=35",'Data Angt'!$H$5:$H$5809,$C61)-COUNTIFS('Data Angt'!$C$5:$C$5809,J$46,'Data Angt'!$F$5:$F$5809,"&lt;24",'Data Angt'!$H$5:$H$5809,$C61)</f>
        <v>8</v>
      </c>
      <c r="K61" s="181">
        <f>COUNTIFS('Data Angt'!$C$5:$C$5809,K$46,'Data Angt'!$F$5:$F$5809,"&lt;=35",'Data Angt'!$H$5:$H$5809,$C61)-COUNTIFS('Data Angt'!$C$5:$C$5809,K$46,'Data Angt'!$F$5:$F$5809,"&lt;24",'Data Angt'!$H$5:$H$5809,$C61)</f>
        <v>11</v>
      </c>
      <c r="L61" s="186">
        <f>COUNTIFS('Data Angt'!$C$5:$C$5809,L$46,'Data Angt'!$F$5:$F$5809,"&lt;=35",'Data Angt'!$H$5:$H$5809,$C61)-COUNTIFS('Data Angt'!$C$5:$C$5809,L$46,'Data Angt'!$F$5:$F$5809,"&lt;24",'Data Angt'!$H$5:$H$5809,$C61)</f>
        <v>0</v>
      </c>
    </row>
    <row r="62" spans="2:12" x14ac:dyDescent="0.3">
      <c r="B62" s="327"/>
      <c r="C62" s="67" t="s">
        <v>9788</v>
      </c>
      <c r="D62" s="260">
        <f>COUNTIFS('Data Angt'!$F$5:$F$5809,"&lt;=35",'Data Angt'!$H$5:$H$5809,C62)-COUNTIFS('Data Angt'!$F$5:$F$5809,"&lt;24",'Data Angt'!$H$5:$H$5809,C62)</f>
        <v>486</v>
      </c>
      <c r="E62" s="4">
        <f t="shared" si="13"/>
        <v>8.3720930232558138E-2</v>
      </c>
      <c r="F62" s="2">
        <f>COUNTIFS('Data Angt'!$C$5:$C$5809,F$46,'Data Angt'!$F$5:$F$5809,"&lt;=35",'Data Angt'!$H$5:$H$5809,$C62)-COUNTIFS('Data Angt'!$C$5:$C$5809,F$46,'Data Angt'!$F$5:$F$5809,"&lt;24",'Data Angt'!$H$5:$H$5809,$C62)</f>
        <v>250</v>
      </c>
      <c r="G62" s="2">
        <f>COUNTIFS('Data Angt'!$C$5:$C$5809,G$46,'Data Angt'!$F$5:$F$5809,"&lt;=35",'Data Angt'!$H$5:$H$5809,$C62)-COUNTIFS('Data Angt'!$C$5:$C$5809,G$46,'Data Angt'!$F$5:$F$5809,"&lt;24",'Data Angt'!$H$5:$H$5809,$C62)</f>
        <v>45</v>
      </c>
      <c r="H62" s="2">
        <f>COUNTIFS('Data Angt'!$C$5:$C$5809,H$46,'Data Angt'!$F$5:$F$5809,"&lt;=35",'Data Angt'!$H$5:$H$5809,$C62)-COUNTIFS('Data Angt'!$C$5:$C$5809,H$46,'Data Angt'!$F$5:$F$5809,"&lt;24",'Data Angt'!$H$5:$H$5809,$C62)</f>
        <v>84</v>
      </c>
      <c r="I62" s="2">
        <f>COUNTIFS('Data Angt'!$C$5:$C$5809,I$46,'Data Angt'!$F$5:$F$5809,"&lt;=35",'Data Angt'!$H$5:$H$5809,$C62)-COUNTIFS('Data Angt'!$C$5:$C$5809,I$46,'Data Angt'!$F$5:$F$5809,"&lt;24",'Data Angt'!$H$5:$H$5809,$C62)</f>
        <v>61</v>
      </c>
      <c r="J62" s="2">
        <f>COUNTIFS('Data Angt'!$C$5:$C$5809,J$46,'Data Angt'!$F$5:$F$5809,"&lt;=35",'Data Angt'!$H$5:$H$5809,$C62)-COUNTIFS('Data Angt'!$C$5:$C$5809,J$46,'Data Angt'!$F$5:$F$5809,"&lt;24",'Data Angt'!$H$5:$H$5809,$C62)</f>
        <v>17</v>
      </c>
      <c r="K62" s="2">
        <f>COUNTIFS('Data Angt'!$C$5:$C$5809,K$46,'Data Angt'!$F$5:$F$5809,"&lt;=35",'Data Angt'!$H$5:$H$5809,$C62)-COUNTIFS('Data Angt'!$C$5:$C$5809,K$46,'Data Angt'!$F$5:$F$5809,"&lt;24",'Data Angt'!$H$5:$H$5809,$C62)</f>
        <v>29</v>
      </c>
      <c r="L62" s="187">
        <f>COUNTIFS('Data Angt'!$C$5:$C$5809,L$46,'Data Angt'!$F$5:$F$5809,"&lt;=35",'Data Angt'!$H$5:$H$5809,$C62)-COUNTIFS('Data Angt'!$C$5:$C$5809,L$46,'Data Angt'!$F$5:$F$5809,"&lt;24",'Data Angt'!$H$5:$H$5809,$C62)</f>
        <v>0</v>
      </c>
    </row>
    <row r="63" spans="2:12" x14ac:dyDescent="0.3">
      <c r="B63" s="327"/>
      <c r="C63" s="67" t="s">
        <v>9785</v>
      </c>
      <c r="D63" s="2">
        <f>COUNTIFS('Data Angt'!$F$5:$F$5809,"&lt;=35",'Data Angt'!$H$5:$H$5809,C63)-COUNTIFS('Data Angt'!$F$5:$F$5809,"&lt;24",'Data Angt'!$H$5:$H$5809,C63)</f>
        <v>68</v>
      </c>
      <c r="E63" s="4">
        <f t="shared" si="13"/>
        <v>1.1714039621016366E-2</v>
      </c>
      <c r="F63" s="2">
        <f>COUNTIFS('Data Angt'!$C$5:$C$5809,F$46,'Data Angt'!$F$5:$F$5809,"&lt;=35",'Data Angt'!$H$5:$H$5809,$C63)-COUNTIFS('Data Angt'!$C$5:$C$5809,F$46,'Data Angt'!$F$5:$F$5809,"&lt;24",'Data Angt'!$H$5:$H$5809,$C63)</f>
        <v>36</v>
      </c>
      <c r="G63" s="2">
        <f>COUNTIFS('Data Angt'!$C$5:$C$5809,G$46,'Data Angt'!$F$5:$F$5809,"&lt;=35",'Data Angt'!$H$5:$H$5809,$C63)-COUNTIFS('Data Angt'!$C$5:$C$5809,G$46,'Data Angt'!$F$5:$F$5809,"&lt;24",'Data Angt'!$H$5:$H$5809,$C63)</f>
        <v>5</v>
      </c>
      <c r="H63" s="2">
        <f>COUNTIFS('Data Angt'!$C$5:$C$5809,H$46,'Data Angt'!$F$5:$F$5809,"&lt;=35",'Data Angt'!$H$5:$H$5809,$C63)-COUNTIFS('Data Angt'!$C$5:$C$5809,H$46,'Data Angt'!$F$5:$F$5809,"&lt;24",'Data Angt'!$H$5:$H$5809,$C63)</f>
        <v>10</v>
      </c>
      <c r="I63" s="2">
        <f>COUNTIFS('Data Angt'!$C$5:$C$5809,I$46,'Data Angt'!$F$5:$F$5809,"&lt;=35",'Data Angt'!$H$5:$H$5809,$C63)-COUNTIFS('Data Angt'!$C$5:$C$5809,I$46,'Data Angt'!$F$5:$F$5809,"&lt;24",'Data Angt'!$H$5:$H$5809,$C63)</f>
        <v>11</v>
      </c>
      <c r="J63" s="2">
        <f>COUNTIFS('Data Angt'!$C$5:$C$5809,J$46,'Data Angt'!$F$5:$F$5809,"&lt;=35",'Data Angt'!$H$5:$H$5809,$C63)-COUNTIFS('Data Angt'!$C$5:$C$5809,J$46,'Data Angt'!$F$5:$F$5809,"&lt;24",'Data Angt'!$H$5:$H$5809,$C63)</f>
        <v>6</v>
      </c>
      <c r="K63" s="2">
        <f>COUNTIFS('Data Angt'!$C$5:$C$5809,K$46,'Data Angt'!$F$5:$F$5809,"&lt;=35",'Data Angt'!$H$5:$H$5809,$C63)-COUNTIFS('Data Angt'!$C$5:$C$5809,K$46,'Data Angt'!$F$5:$F$5809,"&lt;24",'Data Angt'!$H$5:$H$5809,$C63)</f>
        <v>0</v>
      </c>
      <c r="L63" s="187">
        <f>COUNTIFS('Data Angt'!$C$5:$C$5809,L$46,'Data Angt'!$F$5:$F$5809,"&lt;=35",'Data Angt'!$H$5:$H$5809,$C63)-COUNTIFS('Data Angt'!$C$5:$C$5809,L$46,'Data Angt'!$F$5:$F$5809,"&lt;24",'Data Angt'!$H$5:$H$5809,$C63)</f>
        <v>0</v>
      </c>
    </row>
    <row r="64" spans="2:12" x14ac:dyDescent="0.3">
      <c r="B64" s="327"/>
      <c r="C64" s="67" t="s">
        <v>12099</v>
      </c>
      <c r="D64" s="2">
        <f>COUNTIFS('Data Angt'!$F$5:$F$5809,"&lt;=35",'Data Angt'!$H$5:$H$5809,C64)-COUNTIFS('Data Angt'!$F$5:$F$5809,"&lt;24",'Data Angt'!$H$5:$H$5809,C64)</f>
        <v>20</v>
      </c>
      <c r="E64" s="4">
        <f t="shared" si="13"/>
        <v>3.4453057708871662E-3</v>
      </c>
      <c r="F64" s="2">
        <f>COUNTIFS('Data Angt'!$C$5:$C$5809,F$46,'Data Angt'!$F$5:$F$5809,"&lt;=35",'Data Angt'!$H$5:$H$5809,$C64)-COUNTIFS('Data Angt'!$C$5:$C$5809,F$46,'Data Angt'!$F$5:$F$5809,"&lt;24",'Data Angt'!$H$5:$H$5809,$C64)</f>
        <v>18</v>
      </c>
      <c r="G64" s="2">
        <f>COUNTIFS('Data Angt'!$C$5:$C$5809,G$46,'Data Angt'!$F$5:$F$5809,"&lt;=35",'Data Angt'!$H$5:$H$5809,$C64)-COUNTIFS('Data Angt'!$C$5:$C$5809,G$46,'Data Angt'!$F$5:$F$5809,"&lt;24",'Data Angt'!$H$5:$H$5809,$C64)</f>
        <v>0</v>
      </c>
      <c r="H64" s="2">
        <f>COUNTIFS('Data Angt'!$C$5:$C$5809,H$46,'Data Angt'!$F$5:$F$5809,"&lt;=35",'Data Angt'!$H$5:$H$5809,$C64)-COUNTIFS('Data Angt'!$C$5:$C$5809,H$46,'Data Angt'!$F$5:$F$5809,"&lt;24",'Data Angt'!$H$5:$H$5809,$C64)</f>
        <v>0</v>
      </c>
      <c r="I64" s="2">
        <f>COUNTIFS('Data Angt'!$C$5:$C$5809,I$46,'Data Angt'!$F$5:$F$5809,"&lt;=35",'Data Angt'!$H$5:$H$5809,$C64)-COUNTIFS('Data Angt'!$C$5:$C$5809,I$46,'Data Angt'!$F$5:$F$5809,"&lt;24",'Data Angt'!$H$5:$H$5809,$C64)</f>
        <v>0</v>
      </c>
      <c r="J64" s="2">
        <f>COUNTIFS('Data Angt'!$C$5:$C$5809,J$46,'Data Angt'!$F$5:$F$5809,"&lt;=35",'Data Angt'!$H$5:$H$5809,$C64)-COUNTIFS('Data Angt'!$C$5:$C$5809,J$46,'Data Angt'!$F$5:$F$5809,"&lt;24",'Data Angt'!$H$5:$H$5809,$C64)</f>
        <v>1</v>
      </c>
      <c r="K64" s="2">
        <f>COUNTIFS('Data Angt'!$C$5:$C$5809,K$46,'Data Angt'!$F$5:$F$5809,"&lt;=35",'Data Angt'!$H$5:$H$5809,$C64)-COUNTIFS('Data Angt'!$C$5:$C$5809,K$46,'Data Angt'!$F$5:$F$5809,"&lt;24",'Data Angt'!$H$5:$H$5809,$C64)</f>
        <v>1</v>
      </c>
      <c r="L64" s="187">
        <f>COUNTIFS('Data Angt'!$C$5:$C$5809,L$46,'Data Angt'!$F$5:$F$5809,"&lt;=35",'Data Angt'!$H$5:$H$5809,$C64)-COUNTIFS('Data Angt'!$C$5:$C$5809,L$46,'Data Angt'!$F$5:$F$5809,"&lt;24",'Data Angt'!$H$5:$H$5809,$C64)</f>
        <v>0</v>
      </c>
    </row>
    <row r="65" spans="2:12" x14ac:dyDescent="0.3">
      <c r="B65" s="327"/>
      <c r="C65" s="67" t="s">
        <v>337</v>
      </c>
      <c r="D65" s="2">
        <f>COUNTIFS('Data Angt'!$F$5:$F$5809,"&lt;=35",'Data Angt'!$H$5:$H$5809,C65)-COUNTIFS('Data Angt'!$F$5:$F$5809,"&lt;24",'Data Angt'!$H$5:$H$5809,C65)</f>
        <v>51</v>
      </c>
      <c r="E65" s="4">
        <f t="shared" si="13"/>
        <v>8.7855297157622744E-3</v>
      </c>
      <c r="F65" s="2">
        <f>COUNTIFS('Data Angt'!$C$5:$C$5809,F$46,'Data Angt'!$F$5:$F$5809,"&lt;=35",'Data Angt'!$H$5:$H$5809,$C65)-COUNTIFS('Data Angt'!$C$5:$C$5809,F$46,'Data Angt'!$F$5:$F$5809,"&lt;24",'Data Angt'!$H$5:$H$5809,$C65)</f>
        <v>24</v>
      </c>
      <c r="G65" s="2">
        <f>COUNTIFS('Data Angt'!$C$5:$C$5809,G$46,'Data Angt'!$F$5:$F$5809,"&lt;=35",'Data Angt'!$H$5:$H$5809,$C65)-COUNTIFS('Data Angt'!$C$5:$C$5809,G$46,'Data Angt'!$F$5:$F$5809,"&lt;24",'Data Angt'!$H$5:$H$5809,$C65)</f>
        <v>4</v>
      </c>
      <c r="H65" s="2">
        <f>COUNTIFS('Data Angt'!$C$5:$C$5809,H$46,'Data Angt'!$F$5:$F$5809,"&lt;=35",'Data Angt'!$H$5:$H$5809,$C65)-COUNTIFS('Data Angt'!$C$5:$C$5809,H$46,'Data Angt'!$F$5:$F$5809,"&lt;24",'Data Angt'!$H$5:$H$5809,$C65)</f>
        <v>15</v>
      </c>
      <c r="I65" s="2">
        <f>COUNTIFS('Data Angt'!$C$5:$C$5809,I$46,'Data Angt'!$F$5:$F$5809,"&lt;=35",'Data Angt'!$H$5:$H$5809,$C65)-COUNTIFS('Data Angt'!$C$5:$C$5809,I$46,'Data Angt'!$F$5:$F$5809,"&lt;24",'Data Angt'!$H$5:$H$5809,$C65)</f>
        <v>2</v>
      </c>
      <c r="J65" s="2">
        <f>COUNTIFS('Data Angt'!$C$5:$C$5809,J$46,'Data Angt'!$F$5:$F$5809,"&lt;=35",'Data Angt'!$H$5:$H$5809,$C65)-COUNTIFS('Data Angt'!$C$5:$C$5809,J$46,'Data Angt'!$F$5:$F$5809,"&lt;24",'Data Angt'!$H$5:$H$5809,$C65)</f>
        <v>2</v>
      </c>
      <c r="K65" s="2">
        <f>COUNTIFS('Data Angt'!$C$5:$C$5809,K$46,'Data Angt'!$F$5:$F$5809,"&lt;=35",'Data Angt'!$H$5:$H$5809,$C65)-COUNTIFS('Data Angt'!$C$5:$C$5809,K$46,'Data Angt'!$F$5:$F$5809,"&lt;24",'Data Angt'!$H$5:$H$5809,$C65)</f>
        <v>4</v>
      </c>
      <c r="L65" s="187">
        <f>COUNTIFS('Data Angt'!$C$5:$C$5809,L$46,'Data Angt'!$F$5:$F$5809,"&lt;=35",'Data Angt'!$H$5:$H$5809,$C65)-COUNTIFS('Data Angt'!$C$5:$C$5809,L$46,'Data Angt'!$F$5:$F$5809,"&lt;24",'Data Angt'!$H$5:$H$5809,$C65)</f>
        <v>0</v>
      </c>
    </row>
    <row r="66" spans="2:12" x14ac:dyDescent="0.3">
      <c r="B66" s="327"/>
      <c r="C66" s="67" t="s">
        <v>9791</v>
      </c>
      <c r="D66" s="2">
        <f>COUNTIFS('Data Angt'!$F$5:$F$5809,"&lt;=35",'Data Angt'!$H$5:$H$5809,C66)-COUNTIFS('Data Angt'!$F$5:$F$5809,"&lt;24",'Data Angt'!$H$5:$H$5809,C66)</f>
        <v>3</v>
      </c>
      <c r="E66" s="4">
        <f t="shared" si="13"/>
        <v>5.1679586563307489E-4</v>
      </c>
      <c r="F66" s="2">
        <f>COUNTIFS('Data Angt'!$C$5:$C$5809,F$46,'Data Angt'!$F$5:$F$5809,"&lt;=35",'Data Angt'!$H$5:$H$5809,$C66)-COUNTIFS('Data Angt'!$C$5:$C$5809,F$46,'Data Angt'!$F$5:$F$5809,"&lt;24",'Data Angt'!$H$5:$H$5809,$C66)</f>
        <v>0</v>
      </c>
      <c r="G66" s="2">
        <f>COUNTIFS('Data Angt'!$C$5:$C$5809,G$46,'Data Angt'!$F$5:$F$5809,"&lt;=35",'Data Angt'!$H$5:$H$5809,$C66)-COUNTIFS('Data Angt'!$C$5:$C$5809,G$46,'Data Angt'!$F$5:$F$5809,"&lt;24",'Data Angt'!$H$5:$H$5809,$C66)</f>
        <v>0</v>
      </c>
      <c r="H66" s="2">
        <f>COUNTIFS('Data Angt'!$C$5:$C$5809,H$46,'Data Angt'!$F$5:$F$5809,"&lt;=35",'Data Angt'!$H$5:$H$5809,$C66)-COUNTIFS('Data Angt'!$C$5:$C$5809,H$46,'Data Angt'!$F$5:$F$5809,"&lt;24",'Data Angt'!$H$5:$H$5809,$C66)</f>
        <v>1</v>
      </c>
      <c r="I66" s="2">
        <f>COUNTIFS('Data Angt'!$C$5:$C$5809,I$46,'Data Angt'!$F$5:$F$5809,"&lt;=35",'Data Angt'!$H$5:$H$5809,$C66)-COUNTIFS('Data Angt'!$C$5:$C$5809,I$46,'Data Angt'!$F$5:$F$5809,"&lt;24",'Data Angt'!$H$5:$H$5809,$C66)</f>
        <v>0</v>
      </c>
      <c r="J66" s="2">
        <f>COUNTIFS('Data Angt'!$C$5:$C$5809,J$46,'Data Angt'!$F$5:$F$5809,"&lt;=35",'Data Angt'!$H$5:$H$5809,$C66)-COUNTIFS('Data Angt'!$C$5:$C$5809,J$46,'Data Angt'!$F$5:$F$5809,"&lt;24",'Data Angt'!$H$5:$H$5809,$C66)</f>
        <v>1</v>
      </c>
      <c r="K66" s="2">
        <f>COUNTIFS('Data Angt'!$C$5:$C$5809,K$46,'Data Angt'!$F$5:$F$5809,"&lt;=35",'Data Angt'!$H$5:$H$5809,$C66)-COUNTIFS('Data Angt'!$C$5:$C$5809,K$46,'Data Angt'!$F$5:$F$5809,"&lt;24",'Data Angt'!$H$5:$H$5809,$C66)</f>
        <v>1</v>
      </c>
      <c r="L66" s="187">
        <f>COUNTIFS('Data Angt'!$C$5:$C$5809,L$46,'Data Angt'!$F$5:$F$5809,"&lt;=35",'Data Angt'!$H$5:$H$5809,$C66)-COUNTIFS('Data Angt'!$C$5:$C$5809,L$46,'Data Angt'!$F$5:$F$5809,"&lt;24",'Data Angt'!$H$5:$H$5809,$C66)</f>
        <v>0</v>
      </c>
    </row>
    <row r="67" spans="2:12" x14ac:dyDescent="0.3">
      <c r="B67" s="327"/>
      <c r="C67" s="67" t="s">
        <v>31</v>
      </c>
      <c r="D67" s="2">
        <f>COUNTIFS('Data Angt'!$F$5:$F$5809,"&lt;=35",'Data Angt'!$H$5:$H$5809,C67)-COUNTIFS('Data Angt'!$F$5:$F$5809,"&lt;24",'Data Angt'!$H$5:$H$5809,C67)</f>
        <v>84</v>
      </c>
      <c r="E67" s="4">
        <f t="shared" si="13"/>
        <v>1.4470284237726097E-2</v>
      </c>
      <c r="F67" s="2">
        <f>COUNTIFS('Data Angt'!$C$5:$C$5809,F$46,'Data Angt'!$F$5:$F$5809,"&lt;=35",'Data Angt'!$H$5:$H$5809,$C67)-COUNTIFS('Data Angt'!$C$5:$C$5809,F$46,'Data Angt'!$F$5:$F$5809,"&lt;24",'Data Angt'!$H$5:$H$5809,$C67)</f>
        <v>37</v>
      </c>
      <c r="G67" s="2">
        <f>COUNTIFS('Data Angt'!$C$5:$C$5809,G$46,'Data Angt'!$F$5:$F$5809,"&lt;=35",'Data Angt'!$H$5:$H$5809,$C67)-COUNTIFS('Data Angt'!$C$5:$C$5809,G$46,'Data Angt'!$F$5:$F$5809,"&lt;24",'Data Angt'!$H$5:$H$5809,$C67)</f>
        <v>10</v>
      </c>
      <c r="H67" s="2">
        <f>COUNTIFS('Data Angt'!$C$5:$C$5809,H$46,'Data Angt'!$F$5:$F$5809,"&lt;=35",'Data Angt'!$H$5:$H$5809,$C67)-COUNTIFS('Data Angt'!$C$5:$C$5809,H$46,'Data Angt'!$F$5:$F$5809,"&lt;24",'Data Angt'!$H$5:$H$5809,$C67)</f>
        <v>17</v>
      </c>
      <c r="I67" s="2">
        <f>COUNTIFS('Data Angt'!$C$5:$C$5809,I$46,'Data Angt'!$F$5:$F$5809,"&lt;=35",'Data Angt'!$H$5:$H$5809,$C67)-COUNTIFS('Data Angt'!$C$5:$C$5809,I$46,'Data Angt'!$F$5:$F$5809,"&lt;24",'Data Angt'!$H$5:$H$5809,$C67)</f>
        <v>7</v>
      </c>
      <c r="J67" s="2">
        <f>COUNTIFS('Data Angt'!$C$5:$C$5809,J$46,'Data Angt'!$F$5:$F$5809,"&lt;=35",'Data Angt'!$H$5:$H$5809,$C67)-COUNTIFS('Data Angt'!$C$5:$C$5809,J$46,'Data Angt'!$F$5:$F$5809,"&lt;24",'Data Angt'!$H$5:$H$5809,$C67)</f>
        <v>4</v>
      </c>
      <c r="K67" s="2">
        <f>COUNTIFS('Data Angt'!$C$5:$C$5809,K$46,'Data Angt'!$F$5:$F$5809,"&lt;=35",'Data Angt'!$H$5:$H$5809,$C67)-COUNTIFS('Data Angt'!$C$5:$C$5809,K$46,'Data Angt'!$F$5:$F$5809,"&lt;24",'Data Angt'!$H$5:$H$5809,$C67)</f>
        <v>5</v>
      </c>
      <c r="L67" s="187">
        <f>COUNTIFS('Data Angt'!$C$5:$C$5809,L$46,'Data Angt'!$F$5:$F$5809,"&lt;=35",'Data Angt'!$H$5:$H$5809,$C67)-COUNTIFS('Data Angt'!$C$5:$C$5809,L$46,'Data Angt'!$F$5:$F$5809,"&lt;24",'Data Angt'!$H$5:$H$5809,$C67)</f>
        <v>4</v>
      </c>
    </row>
    <row r="68" spans="2:12" x14ac:dyDescent="0.3">
      <c r="B68" s="327"/>
      <c r="C68" s="67" t="s">
        <v>9787</v>
      </c>
      <c r="D68" s="2">
        <f>COUNTIFS('Data Angt'!$F$5:$F$5809,"&lt;=35",'Data Angt'!$H$5:$H$5809,C68)-COUNTIFS('Data Angt'!$F$5:$F$5809,"&lt;24",'Data Angt'!$H$5:$H$5809,C68)</f>
        <v>2</v>
      </c>
      <c r="E68" s="4">
        <f t="shared" si="13"/>
        <v>3.4453057708871661E-4</v>
      </c>
      <c r="F68" s="2">
        <f>COUNTIFS('Data Angt'!$C$5:$C$5809,F$46,'Data Angt'!$F$5:$F$5809,"&lt;=35",'Data Angt'!$H$5:$H$5809,$C68)-COUNTIFS('Data Angt'!$C$5:$C$5809,F$46,'Data Angt'!$F$5:$F$5809,"&lt;24",'Data Angt'!$H$5:$H$5809,$C68)</f>
        <v>2</v>
      </c>
      <c r="G68" s="2">
        <f>COUNTIFS('Data Angt'!$C$5:$C$5809,G$46,'Data Angt'!$F$5:$F$5809,"&lt;=35",'Data Angt'!$H$5:$H$5809,$C68)-COUNTIFS('Data Angt'!$C$5:$C$5809,G$46,'Data Angt'!$F$5:$F$5809,"&lt;24",'Data Angt'!$H$5:$H$5809,$C68)</f>
        <v>0</v>
      </c>
      <c r="H68" s="2">
        <f>COUNTIFS('Data Angt'!$C$5:$C$5809,H$46,'Data Angt'!$F$5:$F$5809,"&lt;=35",'Data Angt'!$H$5:$H$5809,$C68)-COUNTIFS('Data Angt'!$C$5:$C$5809,H$46,'Data Angt'!$F$5:$F$5809,"&lt;24",'Data Angt'!$H$5:$H$5809,$C68)</f>
        <v>0</v>
      </c>
      <c r="I68" s="2">
        <f>COUNTIFS('Data Angt'!$C$5:$C$5809,I$46,'Data Angt'!$F$5:$F$5809,"&lt;=35",'Data Angt'!$H$5:$H$5809,$C68)-COUNTIFS('Data Angt'!$C$5:$C$5809,I$46,'Data Angt'!$F$5:$F$5809,"&lt;24",'Data Angt'!$H$5:$H$5809,$C68)</f>
        <v>0</v>
      </c>
      <c r="J68" s="2">
        <f>COUNTIFS('Data Angt'!$C$5:$C$5809,J$46,'Data Angt'!$F$5:$F$5809,"&lt;=35",'Data Angt'!$H$5:$H$5809,$C68)-COUNTIFS('Data Angt'!$C$5:$C$5809,J$46,'Data Angt'!$F$5:$F$5809,"&lt;24",'Data Angt'!$H$5:$H$5809,$C68)</f>
        <v>0</v>
      </c>
      <c r="K68" s="2">
        <f>COUNTIFS('Data Angt'!$C$5:$C$5809,K$46,'Data Angt'!$F$5:$F$5809,"&lt;=35",'Data Angt'!$H$5:$H$5809,$C68)-COUNTIFS('Data Angt'!$C$5:$C$5809,K$46,'Data Angt'!$F$5:$F$5809,"&lt;24",'Data Angt'!$H$5:$H$5809,$C68)</f>
        <v>0</v>
      </c>
      <c r="L68" s="187">
        <f>COUNTIFS('Data Angt'!$C$5:$C$5809,L$46,'Data Angt'!$F$5:$F$5809,"&lt;=35",'Data Angt'!$H$5:$H$5809,$C68)-COUNTIFS('Data Angt'!$C$5:$C$5809,L$46,'Data Angt'!$F$5:$F$5809,"&lt;24",'Data Angt'!$H$5:$H$5809,$C68)</f>
        <v>0</v>
      </c>
    </row>
    <row r="69" spans="2:12" x14ac:dyDescent="0.3">
      <c r="B69" s="327"/>
      <c r="C69" s="67" t="s">
        <v>12065</v>
      </c>
      <c r="D69" s="2">
        <f>COUNTIFS('Data Angt'!$F$5:$F$5809,"&lt;=35",'Data Angt'!$H$5:$H$5809,C69)-COUNTIFS('Data Angt'!$F$5:$F$5809,"&lt;24",'Data Angt'!$H$5:$H$5809,C69)</f>
        <v>16</v>
      </c>
      <c r="E69" s="4">
        <f t="shared" si="13"/>
        <v>2.7562446167097329E-3</v>
      </c>
      <c r="F69" s="2">
        <f>COUNTIFS('Data Angt'!$C$5:$C$5809,F$46,'Data Angt'!$F$5:$F$5809,"&lt;=35",'Data Angt'!$H$5:$H$5809,$C69)-COUNTIFS('Data Angt'!$C$5:$C$5809,F$46,'Data Angt'!$F$5:$F$5809,"&lt;24",'Data Angt'!$H$5:$H$5809,$C69)</f>
        <v>7</v>
      </c>
      <c r="G69" s="2">
        <f>COUNTIFS('Data Angt'!$C$5:$C$5809,G$46,'Data Angt'!$F$5:$F$5809,"&lt;=35",'Data Angt'!$H$5:$H$5809,$C69)-COUNTIFS('Data Angt'!$C$5:$C$5809,G$46,'Data Angt'!$F$5:$F$5809,"&lt;24",'Data Angt'!$H$5:$H$5809,$C69)</f>
        <v>0</v>
      </c>
      <c r="H69" s="2">
        <f>COUNTIFS('Data Angt'!$C$5:$C$5809,H$46,'Data Angt'!$F$5:$F$5809,"&lt;=35",'Data Angt'!$H$5:$H$5809,$C69)-COUNTIFS('Data Angt'!$C$5:$C$5809,H$46,'Data Angt'!$F$5:$F$5809,"&lt;24",'Data Angt'!$H$5:$H$5809,$C69)</f>
        <v>3</v>
      </c>
      <c r="I69" s="2">
        <f>COUNTIFS('Data Angt'!$C$5:$C$5809,I$46,'Data Angt'!$F$5:$F$5809,"&lt;=35",'Data Angt'!$H$5:$H$5809,$C69)-COUNTIFS('Data Angt'!$C$5:$C$5809,I$46,'Data Angt'!$F$5:$F$5809,"&lt;24",'Data Angt'!$H$5:$H$5809,$C69)</f>
        <v>2</v>
      </c>
      <c r="J69" s="2">
        <f>COUNTIFS('Data Angt'!$C$5:$C$5809,J$46,'Data Angt'!$F$5:$F$5809,"&lt;=35",'Data Angt'!$H$5:$H$5809,$C69)-COUNTIFS('Data Angt'!$C$5:$C$5809,J$46,'Data Angt'!$F$5:$F$5809,"&lt;24",'Data Angt'!$H$5:$H$5809,$C69)</f>
        <v>2</v>
      </c>
      <c r="K69" s="2">
        <f>COUNTIFS('Data Angt'!$C$5:$C$5809,K$46,'Data Angt'!$F$5:$F$5809,"&lt;=35",'Data Angt'!$H$5:$H$5809,$C69)-COUNTIFS('Data Angt'!$C$5:$C$5809,K$46,'Data Angt'!$F$5:$F$5809,"&lt;24",'Data Angt'!$H$5:$H$5809,$C69)</f>
        <v>2</v>
      </c>
      <c r="L69" s="187">
        <f>COUNTIFS('Data Angt'!$C$5:$C$5809,L$46,'Data Angt'!$F$5:$F$5809,"&lt;=35",'Data Angt'!$H$5:$H$5809,$C69)-COUNTIFS('Data Angt'!$C$5:$C$5809,L$46,'Data Angt'!$F$5:$F$5809,"&lt;24",'Data Angt'!$H$5:$H$5809,$C69)</f>
        <v>0</v>
      </c>
    </row>
    <row r="70" spans="2:12" x14ac:dyDescent="0.3">
      <c r="B70" s="327"/>
      <c r="C70" s="67" t="s">
        <v>12074</v>
      </c>
      <c r="D70" s="2">
        <f>COUNTIFS('Data Angt'!$F$5:$F$5809,"&lt;=35",'Data Angt'!$H$5:$H$5809,C70)-COUNTIFS('Data Angt'!$F$5:$F$5809,"&lt;24",'Data Angt'!$H$5:$H$5809,C70)</f>
        <v>2</v>
      </c>
      <c r="E70" s="4">
        <f t="shared" si="13"/>
        <v>3.4453057708871661E-4</v>
      </c>
      <c r="F70" s="2">
        <f>COUNTIFS('Data Angt'!$C$5:$C$5809,F$46,'Data Angt'!$F$5:$F$5809,"&lt;=35",'Data Angt'!$H$5:$H$5809,$C70)-COUNTIFS('Data Angt'!$C$5:$C$5809,F$46,'Data Angt'!$F$5:$F$5809,"&lt;24",'Data Angt'!$H$5:$H$5809,$C70)</f>
        <v>1</v>
      </c>
      <c r="G70" s="2">
        <f>COUNTIFS('Data Angt'!$C$5:$C$5809,G$46,'Data Angt'!$F$5:$F$5809,"&lt;=35",'Data Angt'!$H$5:$H$5809,$C70)-COUNTIFS('Data Angt'!$C$5:$C$5809,G$46,'Data Angt'!$F$5:$F$5809,"&lt;24",'Data Angt'!$H$5:$H$5809,$C70)</f>
        <v>0</v>
      </c>
      <c r="H70" s="2">
        <f>COUNTIFS('Data Angt'!$C$5:$C$5809,H$46,'Data Angt'!$F$5:$F$5809,"&lt;=35",'Data Angt'!$H$5:$H$5809,$C70)-COUNTIFS('Data Angt'!$C$5:$C$5809,H$46,'Data Angt'!$F$5:$F$5809,"&lt;24",'Data Angt'!$H$5:$H$5809,$C70)</f>
        <v>0</v>
      </c>
      <c r="I70" s="2">
        <f>COUNTIFS('Data Angt'!$C$5:$C$5809,I$46,'Data Angt'!$F$5:$F$5809,"&lt;=35",'Data Angt'!$H$5:$H$5809,$C70)-COUNTIFS('Data Angt'!$C$5:$C$5809,I$46,'Data Angt'!$F$5:$F$5809,"&lt;24",'Data Angt'!$H$5:$H$5809,$C70)</f>
        <v>1</v>
      </c>
      <c r="J70" s="2">
        <f>COUNTIFS('Data Angt'!$C$5:$C$5809,J$46,'Data Angt'!$F$5:$F$5809,"&lt;=35",'Data Angt'!$H$5:$H$5809,$C70)-COUNTIFS('Data Angt'!$C$5:$C$5809,J$46,'Data Angt'!$F$5:$F$5809,"&lt;24",'Data Angt'!$H$5:$H$5809,$C70)</f>
        <v>0</v>
      </c>
      <c r="K70" s="2">
        <f>COUNTIFS('Data Angt'!$C$5:$C$5809,K$46,'Data Angt'!$F$5:$F$5809,"&lt;=35",'Data Angt'!$H$5:$H$5809,$C70)-COUNTIFS('Data Angt'!$C$5:$C$5809,K$46,'Data Angt'!$F$5:$F$5809,"&lt;24",'Data Angt'!$H$5:$H$5809,$C70)</f>
        <v>0</v>
      </c>
      <c r="L70" s="187">
        <f>COUNTIFS('Data Angt'!$C$5:$C$5809,L$46,'Data Angt'!$F$5:$F$5809,"&lt;=35",'Data Angt'!$H$5:$H$5809,$C70)-COUNTIFS('Data Angt'!$C$5:$C$5809,L$46,'Data Angt'!$F$5:$F$5809,"&lt;24",'Data Angt'!$H$5:$H$5809,$C70)</f>
        <v>0</v>
      </c>
    </row>
    <row r="71" spans="2:12" x14ac:dyDescent="0.3">
      <c r="B71" s="327"/>
      <c r="C71" s="67" t="s">
        <v>13</v>
      </c>
      <c r="D71" s="2">
        <f>COUNTIFS('Data Angt'!$F$5:$F$5809,"&lt;=35",'Data Angt'!$H$5:$H$5809,C71)-COUNTIFS('Data Angt'!$F$5:$F$5809,"&lt;24",'Data Angt'!$H$5:$H$5809,C71)</f>
        <v>0</v>
      </c>
      <c r="E71" s="4">
        <f t="shared" si="13"/>
        <v>0</v>
      </c>
      <c r="F71" s="2">
        <f>COUNTIFS('Data Angt'!$C$5:$C$5809,F$46,'Data Angt'!$F$5:$F$5809,"&lt;=35",'Data Angt'!$H$5:$H$5809,$C71)-COUNTIFS('Data Angt'!$C$5:$C$5809,F$46,'Data Angt'!$F$5:$F$5809,"&lt;24",'Data Angt'!$H$5:$H$5809,$C71)</f>
        <v>0</v>
      </c>
      <c r="G71" s="2">
        <f>COUNTIFS('Data Angt'!$C$5:$C$5809,G$46,'Data Angt'!$F$5:$F$5809,"&lt;=35",'Data Angt'!$H$5:$H$5809,$C71)-COUNTIFS('Data Angt'!$C$5:$C$5809,G$46,'Data Angt'!$F$5:$F$5809,"&lt;24",'Data Angt'!$H$5:$H$5809,$C71)</f>
        <v>0</v>
      </c>
      <c r="H71" s="2">
        <f>COUNTIFS('Data Angt'!$C$5:$C$5809,H$46,'Data Angt'!$F$5:$F$5809,"&lt;=35",'Data Angt'!$H$5:$H$5809,$C71)-COUNTIFS('Data Angt'!$C$5:$C$5809,H$46,'Data Angt'!$F$5:$F$5809,"&lt;24",'Data Angt'!$H$5:$H$5809,$C71)</f>
        <v>0</v>
      </c>
      <c r="I71" s="2">
        <f>COUNTIFS('Data Angt'!$C$5:$C$5809,I$46,'Data Angt'!$F$5:$F$5809,"&lt;=35",'Data Angt'!$H$5:$H$5809,$C71)-COUNTIFS('Data Angt'!$C$5:$C$5809,I$46,'Data Angt'!$F$5:$F$5809,"&lt;24",'Data Angt'!$H$5:$H$5809,$C71)</f>
        <v>0</v>
      </c>
      <c r="J71" s="2">
        <f>COUNTIFS('Data Angt'!$C$5:$C$5809,J$46,'Data Angt'!$F$5:$F$5809,"&lt;=35",'Data Angt'!$H$5:$H$5809,$C71)-COUNTIFS('Data Angt'!$C$5:$C$5809,J$46,'Data Angt'!$F$5:$F$5809,"&lt;24",'Data Angt'!$H$5:$H$5809,$C71)</f>
        <v>0</v>
      </c>
      <c r="K71" s="2">
        <f>COUNTIFS('Data Angt'!$C$5:$C$5809,K$46,'Data Angt'!$F$5:$F$5809,"&lt;=35",'Data Angt'!$H$5:$H$5809,$C71)-COUNTIFS('Data Angt'!$C$5:$C$5809,K$46,'Data Angt'!$F$5:$F$5809,"&lt;24",'Data Angt'!$H$5:$H$5809,$C71)</f>
        <v>0</v>
      </c>
      <c r="L71" s="187">
        <f>COUNTIFS('Data Angt'!$C$5:$C$5809,L$46,'Data Angt'!$F$5:$F$5809,"&lt;=35",'Data Angt'!$H$5:$H$5809,$C71)-COUNTIFS('Data Angt'!$C$5:$C$5809,L$46,'Data Angt'!$F$5:$F$5809,"&lt;24",'Data Angt'!$H$5:$H$5809,$C71)</f>
        <v>0</v>
      </c>
    </row>
    <row r="72" spans="2:12" x14ac:dyDescent="0.3">
      <c r="B72" s="327"/>
      <c r="C72" s="67" t="s">
        <v>243</v>
      </c>
      <c r="D72" s="2">
        <f>COUNTIFS('Data Angt'!$F$5:$F$5809,"&lt;=35",'Data Angt'!$H$5:$H$5809,C72)-COUNTIFS('Data Angt'!$F$5:$F$5809,"&lt;24",'Data Angt'!$H$5:$H$5809,C72)</f>
        <v>15</v>
      </c>
      <c r="E72" s="4">
        <f t="shared" si="13"/>
        <v>2.5839793281653748E-3</v>
      </c>
      <c r="F72" s="2">
        <f>COUNTIFS('Data Angt'!$C$5:$C$5809,F$46,'Data Angt'!$F$5:$F$5809,"&lt;=35",'Data Angt'!$H$5:$H$5809,$C72)-COUNTIFS('Data Angt'!$C$5:$C$5809,F$46,'Data Angt'!$F$5:$F$5809,"&lt;24",'Data Angt'!$H$5:$H$5809,$C72)</f>
        <v>11</v>
      </c>
      <c r="G72" s="2">
        <f>COUNTIFS('Data Angt'!$C$5:$C$5809,G$46,'Data Angt'!$F$5:$F$5809,"&lt;=35",'Data Angt'!$H$5:$H$5809,$C72)-COUNTIFS('Data Angt'!$C$5:$C$5809,G$46,'Data Angt'!$F$5:$F$5809,"&lt;24",'Data Angt'!$H$5:$H$5809,$C72)</f>
        <v>1</v>
      </c>
      <c r="H72" s="2">
        <f>COUNTIFS('Data Angt'!$C$5:$C$5809,H$46,'Data Angt'!$F$5:$F$5809,"&lt;=35",'Data Angt'!$H$5:$H$5809,$C72)-COUNTIFS('Data Angt'!$C$5:$C$5809,H$46,'Data Angt'!$F$5:$F$5809,"&lt;24",'Data Angt'!$H$5:$H$5809,$C72)</f>
        <v>0</v>
      </c>
      <c r="I72" s="2">
        <f>COUNTIFS('Data Angt'!$C$5:$C$5809,I$46,'Data Angt'!$F$5:$F$5809,"&lt;=35",'Data Angt'!$H$5:$H$5809,$C72)-COUNTIFS('Data Angt'!$C$5:$C$5809,I$46,'Data Angt'!$F$5:$F$5809,"&lt;24",'Data Angt'!$H$5:$H$5809,$C72)</f>
        <v>1</v>
      </c>
      <c r="J72" s="2">
        <f>COUNTIFS('Data Angt'!$C$5:$C$5809,J$46,'Data Angt'!$F$5:$F$5809,"&lt;=35",'Data Angt'!$H$5:$H$5809,$C72)-COUNTIFS('Data Angt'!$C$5:$C$5809,J$46,'Data Angt'!$F$5:$F$5809,"&lt;24",'Data Angt'!$H$5:$H$5809,$C72)</f>
        <v>2</v>
      </c>
      <c r="K72" s="2">
        <f>COUNTIFS('Data Angt'!$C$5:$C$5809,K$46,'Data Angt'!$F$5:$F$5809,"&lt;=35",'Data Angt'!$H$5:$H$5809,$C72)-COUNTIFS('Data Angt'!$C$5:$C$5809,K$46,'Data Angt'!$F$5:$F$5809,"&lt;24",'Data Angt'!$H$5:$H$5809,$C72)</f>
        <v>0</v>
      </c>
      <c r="L72" s="187">
        <f>COUNTIFS('Data Angt'!$C$5:$C$5809,L$46,'Data Angt'!$F$5:$F$5809,"&lt;=35",'Data Angt'!$H$5:$H$5809,$C72)-COUNTIFS('Data Angt'!$C$5:$C$5809,L$46,'Data Angt'!$F$5:$F$5809,"&lt;24",'Data Angt'!$H$5:$H$5809,$C72)</f>
        <v>0</v>
      </c>
    </row>
    <row r="73" spans="2:12" x14ac:dyDescent="0.3">
      <c r="B73" s="327"/>
      <c r="C73" s="67" t="s">
        <v>12075</v>
      </c>
      <c r="D73" s="2">
        <f>COUNTIFS('Data Angt'!$F$5:$F$5809,"&lt;=35",'Data Angt'!$H$5:$H$5809,C73)-COUNTIFS('Data Angt'!$F$5:$F$5809,"&lt;24",'Data Angt'!$H$5:$H$5809,C73)</f>
        <v>35</v>
      </c>
      <c r="E73" s="4">
        <f t="shared" si="13"/>
        <v>6.029285099052541E-3</v>
      </c>
      <c r="F73" s="2">
        <f>COUNTIFS('Data Angt'!$C$5:$C$5809,F$46,'Data Angt'!$F$5:$F$5809,"&lt;=35",'Data Angt'!$H$5:$H$5809,$C73)-COUNTIFS('Data Angt'!$C$5:$C$5809,F$46,'Data Angt'!$F$5:$F$5809,"&lt;24",'Data Angt'!$H$5:$H$5809,$C73)</f>
        <v>19</v>
      </c>
      <c r="G73" s="2">
        <f>COUNTIFS('Data Angt'!$C$5:$C$5809,G$46,'Data Angt'!$F$5:$F$5809,"&lt;=35",'Data Angt'!$H$5:$H$5809,$C73)-COUNTIFS('Data Angt'!$C$5:$C$5809,G$46,'Data Angt'!$F$5:$F$5809,"&lt;24",'Data Angt'!$H$5:$H$5809,$C73)</f>
        <v>4</v>
      </c>
      <c r="H73" s="2">
        <f>COUNTIFS('Data Angt'!$C$5:$C$5809,H$46,'Data Angt'!$F$5:$F$5809,"&lt;=35",'Data Angt'!$H$5:$H$5809,$C73)-COUNTIFS('Data Angt'!$C$5:$C$5809,H$46,'Data Angt'!$F$5:$F$5809,"&lt;24",'Data Angt'!$H$5:$H$5809,$C73)</f>
        <v>2</v>
      </c>
      <c r="I73" s="2">
        <f>COUNTIFS('Data Angt'!$C$5:$C$5809,I$46,'Data Angt'!$F$5:$F$5809,"&lt;=35",'Data Angt'!$H$5:$H$5809,$C73)-COUNTIFS('Data Angt'!$C$5:$C$5809,I$46,'Data Angt'!$F$5:$F$5809,"&lt;24",'Data Angt'!$H$5:$H$5809,$C73)</f>
        <v>2</v>
      </c>
      <c r="J73" s="2">
        <f>COUNTIFS('Data Angt'!$C$5:$C$5809,J$46,'Data Angt'!$F$5:$F$5809,"&lt;=35",'Data Angt'!$H$5:$H$5809,$C73)-COUNTIFS('Data Angt'!$C$5:$C$5809,J$46,'Data Angt'!$F$5:$F$5809,"&lt;24",'Data Angt'!$H$5:$H$5809,$C73)</f>
        <v>2</v>
      </c>
      <c r="K73" s="2">
        <f>COUNTIFS('Data Angt'!$C$5:$C$5809,K$46,'Data Angt'!$F$5:$F$5809,"&lt;=35",'Data Angt'!$H$5:$H$5809,$C73)-COUNTIFS('Data Angt'!$C$5:$C$5809,K$46,'Data Angt'!$F$5:$F$5809,"&lt;24",'Data Angt'!$H$5:$H$5809,$C73)</f>
        <v>6</v>
      </c>
      <c r="L73" s="187">
        <f>COUNTIFS('Data Angt'!$C$5:$C$5809,L$46,'Data Angt'!$F$5:$F$5809,"&lt;=35",'Data Angt'!$H$5:$H$5809,$C73)-COUNTIFS('Data Angt'!$C$5:$C$5809,L$46,'Data Angt'!$F$5:$F$5809,"&lt;24",'Data Angt'!$H$5:$H$5809,$C73)</f>
        <v>0</v>
      </c>
    </row>
    <row r="74" spans="2:12" ht="15" thickBot="1" x14ac:dyDescent="0.35">
      <c r="B74" s="328"/>
      <c r="C74" s="183" t="s">
        <v>12076</v>
      </c>
      <c r="D74" s="184">
        <f>COUNTIFS('Data Angt'!$F$5:$F$5809,"&lt;=35",'Data Angt'!$H$5:$H$5809,"")-COUNTIFS('Data Angt'!$F$5:$F$5809,"&lt;24",'Data Angt'!$H$5:$H$5809,"")</f>
        <v>54</v>
      </c>
      <c r="E74" s="185">
        <f t="shared" si="13"/>
        <v>9.3023255813953487E-3</v>
      </c>
      <c r="F74" s="184">
        <f>COUNTIFS('Data Angt'!$C$5:$C$5809,F$46,'Data Angt'!$F$5:$F$5809,"&lt;=35",'Data Angt'!$H$5:$H$5809,"")-COUNTIFS('Data Angt'!$C$5:$C$5809,F$46,'Data Angt'!$F$5:$F$5809,"&lt;24",'Data Angt'!$H$5:$H$5809,"")</f>
        <v>36</v>
      </c>
      <c r="G74" s="184">
        <f>COUNTIFS('Data Angt'!$C$5:$C$5809,G$46,'Data Angt'!$F$5:$F$5809,"&lt;=35",'Data Angt'!$H$5:$H$5809,"")-COUNTIFS('Data Angt'!$C$5:$C$5809,G$46,'Data Angt'!$F$5:$F$5809,"&lt;24",'Data Angt'!$H$5:$H$5809,"")</f>
        <v>12</v>
      </c>
      <c r="H74" s="184">
        <f>COUNTIFS('Data Angt'!$C$5:$C$5809,H$46,'Data Angt'!$F$5:$F$5809,"&lt;=35",'Data Angt'!$H$5:$H$5809,"")-COUNTIFS('Data Angt'!$C$5:$C$5809,H$46,'Data Angt'!$F$5:$F$5809,"&lt;24",'Data Angt'!$H$5:$H$5809,"")</f>
        <v>1</v>
      </c>
      <c r="I74" s="184">
        <f>COUNTIFS('Data Angt'!$C$5:$C$5809,I$46,'Data Angt'!$F$5:$F$5809,"&lt;=35",'Data Angt'!$H$5:$H$5809,"")-COUNTIFS('Data Angt'!$C$5:$C$5809,I$46,'Data Angt'!$F$5:$F$5809,"&lt;24",'Data Angt'!$H$5:$H$5809,"")</f>
        <v>1</v>
      </c>
      <c r="J74" s="184">
        <f>COUNTIFS('Data Angt'!$C$5:$C$5809,J$46,'Data Angt'!$F$5:$F$5809,"&lt;=35",'Data Angt'!$H$5:$H$5809,"")-COUNTIFS('Data Angt'!$C$5:$C$5809,J$46,'Data Angt'!$F$5:$F$5809,"&lt;24",'Data Angt'!$H$5:$H$5809,"")</f>
        <v>1</v>
      </c>
      <c r="K74" s="184">
        <f>COUNTIFS('Data Angt'!$C$5:$C$5809,K$46,'Data Angt'!$F$5:$F$5809,"&lt;=35",'Data Angt'!$H$5:$H$5809,"")-COUNTIFS('Data Angt'!$C$5:$C$5809,K$46,'Data Angt'!$F$5:$F$5809,"&lt;24",'Data Angt'!$H$5:$H$5809,"")</f>
        <v>3</v>
      </c>
      <c r="L74" s="188">
        <f>COUNTIFS('Data Angt'!$C$5:$C$5809,L$46,'Data Angt'!$F$5:$F$5809,"&lt;=35",'Data Angt'!$H$5:$H$5809,"")-COUNTIFS('Data Angt'!$C$5:$C$5809,L$46,'Data Angt'!$F$5:$F$5809,"&lt;24",'Data Angt'!$H$5:$H$5809,"")</f>
        <v>0</v>
      </c>
    </row>
    <row r="75" spans="2:12" x14ac:dyDescent="0.3">
      <c r="B75" s="326" t="s">
        <v>22145</v>
      </c>
      <c r="C75" s="180" t="s">
        <v>46</v>
      </c>
      <c r="D75" s="181">
        <f>COUNTIFS('Data Angt'!$F$5:$F$5809,"&lt;=45",'Data Angt'!$H$5:$H$5809,C75)-COUNTIFS('Data Angt'!$F$5:$F$5809,"&lt;36",'Data Angt'!$H$5:$H$5809,C75)</f>
        <v>342</v>
      </c>
      <c r="E75" s="182">
        <f t="shared" si="13"/>
        <v>5.8914728682170542E-2</v>
      </c>
      <c r="F75" s="181">
        <f>COUNTIFS('Data Angt'!$C$5:$C$5809,F$46,'Data Angt'!$F$5:$F$5809,"&lt;=45",'Data Angt'!$H$5:$H$5809,$C75)-COUNTIFS('Data Angt'!$C$5:$C$5809,F$46,'Data Angt'!$F$5:$F$5809,"&lt;36",'Data Angt'!$H$5:$H$5809,$C75)</f>
        <v>131</v>
      </c>
      <c r="G75" s="181">
        <f>COUNTIFS('Data Angt'!$C$5:$C$5809,G$46,'Data Angt'!$F$5:$F$5809,"&lt;=45",'Data Angt'!$H$5:$H$5809,$C75)-COUNTIFS('Data Angt'!$C$5:$C$5809,G$46,'Data Angt'!$F$5:$F$5809,"&lt;36",'Data Angt'!$H$5:$H$5809,$C75)</f>
        <v>49</v>
      </c>
      <c r="H75" s="181">
        <f>COUNTIFS('Data Angt'!$C$5:$C$5809,H$46,'Data Angt'!$F$5:$F$5809,"&lt;=45",'Data Angt'!$H$5:$H$5809,$C75)-COUNTIFS('Data Angt'!$C$5:$C$5809,H$46,'Data Angt'!$F$5:$F$5809,"&lt;36",'Data Angt'!$H$5:$H$5809,$C75)</f>
        <v>51</v>
      </c>
      <c r="I75" s="181">
        <f>COUNTIFS('Data Angt'!$C$5:$C$5809,I$46,'Data Angt'!$F$5:$F$5809,"&lt;=45",'Data Angt'!$H$5:$H$5809,$C75)-COUNTIFS('Data Angt'!$C$5:$C$5809,I$46,'Data Angt'!$F$5:$F$5809,"&lt;36",'Data Angt'!$H$5:$H$5809,$C75)</f>
        <v>44</v>
      </c>
      <c r="J75" s="181">
        <f>COUNTIFS('Data Angt'!$C$5:$C$5809,J$46,'Data Angt'!$F$5:$F$5809,"&lt;=45",'Data Angt'!$H$5:$H$5809,$C75)-COUNTIFS('Data Angt'!$C$5:$C$5809,J$46,'Data Angt'!$F$5:$F$5809,"&lt;36",'Data Angt'!$H$5:$H$5809,$C75)</f>
        <v>25</v>
      </c>
      <c r="K75" s="181">
        <f>COUNTIFS('Data Angt'!$C$5:$C$5809,K$46,'Data Angt'!$F$5:$F$5809,"&lt;=45",'Data Angt'!$H$5:$H$5809,$C75)-COUNTIFS('Data Angt'!$C$5:$C$5809,K$46,'Data Angt'!$F$5:$F$5809,"&lt;36",'Data Angt'!$H$5:$H$5809,$C75)</f>
        <v>36</v>
      </c>
      <c r="L75" s="186">
        <f>COUNTIFS('Data Angt'!$C$5:$C$5809,L$46,'Data Angt'!$F$5:$F$5809,"&lt;=45",'Data Angt'!$H$5:$H$5809,$C75)-COUNTIFS('Data Angt'!$C$5:$C$5809,L$46,'Data Angt'!$F$5:$F$5809,"&lt;36",'Data Angt'!$H$5:$H$5809,$C75)</f>
        <v>6</v>
      </c>
    </row>
    <row r="76" spans="2:12" x14ac:dyDescent="0.3">
      <c r="B76" s="327"/>
      <c r="C76" s="67" t="s">
        <v>9788</v>
      </c>
      <c r="D76" s="260">
        <f>COUNTIFS('Data Angt'!$F$5:$F$5809,"&lt;=45",'Data Angt'!$H$5:$H$5809,C76)-COUNTIFS('Data Angt'!$F$5:$F$5809,"&lt;36",'Data Angt'!$H$5:$H$5809,C76)</f>
        <v>488</v>
      </c>
      <c r="E76" s="4">
        <f t="shared" si="13"/>
        <v>8.4065460809646858E-2</v>
      </c>
      <c r="F76" s="2">
        <f>COUNTIFS('Data Angt'!$C$5:$C$5809,F$46,'Data Angt'!$F$5:$F$5809,"&lt;=45",'Data Angt'!$H$5:$H$5809,$C76)-COUNTIFS('Data Angt'!$C$5:$C$5809,F$46,'Data Angt'!$F$5:$F$5809,"&lt;36",'Data Angt'!$H$5:$H$5809,$C76)</f>
        <v>207</v>
      </c>
      <c r="G76" s="2">
        <f>COUNTIFS('Data Angt'!$C$5:$C$5809,G$46,'Data Angt'!$F$5:$F$5809,"&lt;=45",'Data Angt'!$H$5:$H$5809,$C76)-COUNTIFS('Data Angt'!$C$5:$C$5809,G$46,'Data Angt'!$F$5:$F$5809,"&lt;36",'Data Angt'!$H$5:$H$5809,$C76)</f>
        <v>54</v>
      </c>
      <c r="H76" s="2">
        <f>COUNTIFS('Data Angt'!$C$5:$C$5809,H$46,'Data Angt'!$F$5:$F$5809,"&lt;=45",'Data Angt'!$H$5:$H$5809,$C76)-COUNTIFS('Data Angt'!$C$5:$C$5809,H$46,'Data Angt'!$F$5:$F$5809,"&lt;36",'Data Angt'!$H$5:$H$5809,$C76)</f>
        <v>83</v>
      </c>
      <c r="I76" s="2">
        <f>COUNTIFS('Data Angt'!$C$5:$C$5809,I$46,'Data Angt'!$F$5:$F$5809,"&lt;=45",'Data Angt'!$H$5:$H$5809,$C76)-COUNTIFS('Data Angt'!$C$5:$C$5809,I$46,'Data Angt'!$F$5:$F$5809,"&lt;36",'Data Angt'!$H$5:$H$5809,$C76)</f>
        <v>42</v>
      </c>
      <c r="J76" s="2">
        <f>COUNTIFS('Data Angt'!$C$5:$C$5809,J$46,'Data Angt'!$F$5:$F$5809,"&lt;=45",'Data Angt'!$H$5:$H$5809,$C76)-COUNTIFS('Data Angt'!$C$5:$C$5809,J$46,'Data Angt'!$F$5:$F$5809,"&lt;36",'Data Angt'!$H$5:$H$5809,$C76)</f>
        <v>24</v>
      </c>
      <c r="K76" s="2">
        <f>COUNTIFS('Data Angt'!$C$5:$C$5809,K$46,'Data Angt'!$F$5:$F$5809,"&lt;=45",'Data Angt'!$H$5:$H$5809,$C76)-COUNTIFS('Data Angt'!$C$5:$C$5809,K$46,'Data Angt'!$F$5:$F$5809,"&lt;36",'Data Angt'!$H$5:$H$5809,$C76)</f>
        <v>34</v>
      </c>
      <c r="L76" s="187">
        <f>COUNTIFS('Data Angt'!$C$5:$C$5809,L$46,'Data Angt'!$F$5:$F$5809,"&lt;=45",'Data Angt'!$H$5:$H$5809,$C76)-COUNTIFS('Data Angt'!$C$5:$C$5809,L$46,'Data Angt'!$F$5:$F$5809,"&lt;36",'Data Angt'!$H$5:$H$5809,$C76)</f>
        <v>44</v>
      </c>
    </row>
    <row r="77" spans="2:12" x14ac:dyDescent="0.3">
      <c r="B77" s="327"/>
      <c r="C77" s="67" t="s">
        <v>9785</v>
      </c>
      <c r="D77" s="2">
        <f>COUNTIFS('Data Angt'!$F$5:$F$5809,"&lt;=45",'Data Angt'!$H$5:$H$5809,C77)-COUNTIFS('Data Angt'!$F$5:$F$5809,"&lt;36",'Data Angt'!$H$5:$H$5809,C77)</f>
        <v>132</v>
      </c>
      <c r="E77" s="4">
        <f t="shared" si="13"/>
        <v>2.2739018087855296E-2</v>
      </c>
      <c r="F77" s="2">
        <f>COUNTIFS('Data Angt'!$C$5:$C$5809,F$46,'Data Angt'!$F$5:$F$5809,"&lt;=45",'Data Angt'!$H$5:$H$5809,$C77)-COUNTIFS('Data Angt'!$C$5:$C$5809,F$46,'Data Angt'!$F$5:$F$5809,"&lt;36",'Data Angt'!$H$5:$H$5809,$C77)</f>
        <v>51</v>
      </c>
      <c r="G77" s="2">
        <f>COUNTIFS('Data Angt'!$C$5:$C$5809,G$46,'Data Angt'!$F$5:$F$5809,"&lt;=45",'Data Angt'!$H$5:$H$5809,$C77)-COUNTIFS('Data Angt'!$C$5:$C$5809,G$46,'Data Angt'!$F$5:$F$5809,"&lt;36",'Data Angt'!$H$5:$H$5809,$C77)</f>
        <v>35</v>
      </c>
      <c r="H77" s="2">
        <f>COUNTIFS('Data Angt'!$C$5:$C$5809,H$46,'Data Angt'!$F$5:$F$5809,"&lt;=45",'Data Angt'!$H$5:$H$5809,$C77)-COUNTIFS('Data Angt'!$C$5:$C$5809,H$46,'Data Angt'!$F$5:$F$5809,"&lt;36",'Data Angt'!$H$5:$H$5809,$C77)</f>
        <v>22</v>
      </c>
      <c r="I77" s="2">
        <f>COUNTIFS('Data Angt'!$C$5:$C$5809,I$46,'Data Angt'!$F$5:$F$5809,"&lt;=45",'Data Angt'!$H$5:$H$5809,$C77)-COUNTIFS('Data Angt'!$C$5:$C$5809,I$46,'Data Angt'!$F$5:$F$5809,"&lt;36",'Data Angt'!$H$5:$H$5809,$C77)</f>
        <v>6</v>
      </c>
      <c r="J77" s="2">
        <f>COUNTIFS('Data Angt'!$C$5:$C$5809,J$46,'Data Angt'!$F$5:$F$5809,"&lt;=45",'Data Angt'!$H$5:$H$5809,$C77)-COUNTIFS('Data Angt'!$C$5:$C$5809,J$46,'Data Angt'!$F$5:$F$5809,"&lt;36",'Data Angt'!$H$5:$H$5809,$C77)</f>
        <v>10</v>
      </c>
      <c r="K77" s="2">
        <f>COUNTIFS('Data Angt'!$C$5:$C$5809,K$46,'Data Angt'!$F$5:$F$5809,"&lt;=45",'Data Angt'!$H$5:$H$5809,$C77)-COUNTIFS('Data Angt'!$C$5:$C$5809,K$46,'Data Angt'!$F$5:$F$5809,"&lt;36",'Data Angt'!$H$5:$H$5809,$C77)</f>
        <v>5</v>
      </c>
      <c r="L77" s="187">
        <f>COUNTIFS('Data Angt'!$C$5:$C$5809,L$46,'Data Angt'!$F$5:$F$5809,"&lt;=45",'Data Angt'!$H$5:$H$5809,$C77)-COUNTIFS('Data Angt'!$C$5:$C$5809,L$46,'Data Angt'!$F$5:$F$5809,"&lt;36",'Data Angt'!$H$5:$H$5809,$C77)</f>
        <v>3</v>
      </c>
    </row>
    <row r="78" spans="2:12" x14ac:dyDescent="0.3">
      <c r="B78" s="327"/>
      <c r="C78" s="67" t="s">
        <v>12099</v>
      </c>
      <c r="D78" s="2">
        <f>COUNTIFS('Data Angt'!$F$5:$F$5809,"&lt;=45",'Data Angt'!$H$5:$H$5809,C78)-COUNTIFS('Data Angt'!$F$5:$F$5809,"&lt;36",'Data Angt'!$H$5:$H$5809,C78)</f>
        <v>71</v>
      </c>
      <c r="E78" s="4">
        <f t="shared" si="13"/>
        <v>1.223083548664944E-2</v>
      </c>
      <c r="F78" s="2">
        <f>COUNTIFS('Data Angt'!$C$5:$C$5809,F$46,'Data Angt'!$F$5:$F$5809,"&lt;=45",'Data Angt'!$H$5:$H$5809,$C78)-COUNTIFS('Data Angt'!$C$5:$C$5809,F$46,'Data Angt'!$F$5:$F$5809,"&lt;36",'Data Angt'!$H$5:$H$5809,$C78)</f>
        <v>51</v>
      </c>
      <c r="G78" s="2">
        <f>COUNTIFS('Data Angt'!$C$5:$C$5809,G$46,'Data Angt'!$F$5:$F$5809,"&lt;=45",'Data Angt'!$H$5:$H$5809,$C78)-COUNTIFS('Data Angt'!$C$5:$C$5809,G$46,'Data Angt'!$F$5:$F$5809,"&lt;36",'Data Angt'!$H$5:$H$5809,$C78)</f>
        <v>8</v>
      </c>
      <c r="H78" s="2">
        <f>COUNTIFS('Data Angt'!$C$5:$C$5809,H$46,'Data Angt'!$F$5:$F$5809,"&lt;=45",'Data Angt'!$H$5:$H$5809,$C78)-COUNTIFS('Data Angt'!$C$5:$C$5809,H$46,'Data Angt'!$F$5:$F$5809,"&lt;36",'Data Angt'!$H$5:$H$5809,$C78)</f>
        <v>4</v>
      </c>
      <c r="I78" s="2">
        <f>COUNTIFS('Data Angt'!$C$5:$C$5809,I$46,'Data Angt'!$F$5:$F$5809,"&lt;=45",'Data Angt'!$H$5:$H$5809,$C78)-COUNTIFS('Data Angt'!$C$5:$C$5809,I$46,'Data Angt'!$F$5:$F$5809,"&lt;36",'Data Angt'!$H$5:$H$5809,$C78)</f>
        <v>4</v>
      </c>
      <c r="J78" s="2">
        <f>COUNTIFS('Data Angt'!$C$5:$C$5809,J$46,'Data Angt'!$F$5:$F$5809,"&lt;=45",'Data Angt'!$H$5:$H$5809,$C78)-COUNTIFS('Data Angt'!$C$5:$C$5809,J$46,'Data Angt'!$F$5:$F$5809,"&lt;36",'Data Angt'!$H$5:$H$5809,$C78)</f>
        <v>0</v>
      </c>
      <c r="K78" s="2">
        <f>COUNTIFS('Data Angt'!$C$5:$C$5809,K$46,'Data Angt'!$F$5:$F$5809,"&lt;=45",'Data Angt'!$H$5:$H$5809,$C78)-COUNTIFS('Data Angt'!$C$5:$C$5809,K$46,'Data Angt'!$F$5:$F$5809,"&lt;36",'Data Angt'!$H$5:$H$5809,$C78)</f>
        <v>1</v>
      </c>
      <c r="L78" s="187">
        <f>COUNTIFS('Data Angt'!$C$5:$C$5809,L$46,'Data Angt'!$F$5:$F$5809,"&lt;=45",'Data Angt'!$H$5:$H$5809,$C78)-COUNTIFS('Data Angt'!$C$5:$C$5809,L$46,'Data Angt'!$F$5:$F$5809,"&lt;36",'Data Angt'!$H$5:$H$5809,$C78)</f>
        <v>3</v>
      </c>
    </row>
    <row r="79" spans="2:12" x14ac:dyDescent="0.3">
      <c r="B79" s="327"/>
      <c r="C79" s="67" t="s">
        <v>337</v>
      </c>
      <c r="D79" s="2">
        <f>COUNTIFS('Data Angt'!$F$5:$F$5809,"&lt;=45",'Data Angt'!$H$5:$H$5809,C79)-COUNTIFS('Data Angt'!$F$5:$F$5809,"&lt;36",'Data Angt'!$H$5:$H$5809,C79)</f>
        <v>2</v>
      </c>
      <c r="E79" s="4">
        <f t="shared" si="13"/>
        <v>3.4453057708871661E-4</v>
      </c>
      <c r="F79" s="2">
        <f>COUNTIFS('Data Angt'!$C$5:$C$5809,F$46,'Data Angt'!$F$5:$F$5809,"&lt;=45",'Data Angt'!$H$5:$H$5809,$C79)-COUNTIFS('Data Angt'!$C$5:$C$5809,F$46,'Data Angt'!$F$5:$F$5809,"&lt;36",'Data Angt'!$H$5:$H$5809,$C79)</f>
        <v>1</v>
      </c>
      <c r="G79" s="2">
        <f>COUNTIFS('Data Angt'!$C$5:$C$5809,G$46,'Data Angt'!$F$5:$F$5809,"&lt;=45",'Data Angt'!$H$5:$H$5809,$C79)-COUNTIFS('Data Angt'!$C$5:$C$5809,G$46,'Data Angt'!$F$5:$F$5809,"&lt;36",'Data Angt'!$H$5:$H$5809,$C79)</f>
        <v>0</v>
      </c>
      <c r="H79" s="2">
        <f>COUNTIFS('Data Angt'!$C$5:$C$5809,H$46,'Data Angt'!$F$5:$F$5809,"&lt;=45",'Data Angt'!$H$5:$H$5809,$C79)-COUNTIFS('Data Angt'!$C$5:$C$5809,H$46,'Data Angt'!$F$5:$F$5809,"&lt;36",'Data Angt'!$H$5:$H$5809,$C79)</f>
        <v>0</v>
      </c>
      <c r="I79" s="2">
        <f>COUNTIFS('Data Angt'!$C$5:$C$5809,I$46,'Data Angt'!$F$5:$F$5809,"&lt;=45",'Data Angt'!$H$5:$H$5809,$C79)-COUNTIFS('Data Angt'!$C$5:$C$5809,I$46,'Data Angt'!$F$5:$F$5809,"&lt;36",'Data Angt'!$H$5:$H$5809,$C79)</f>
        <v>0</v>
      </c>
      <c r="J79" s="2">
        <f>COUNTIFS('Data Angt'!$C$5:$C$5809,J$46,'Data Angt'!$F$5:$F$5809,"&lt;=45",'Data Angt'!$H$5:$H$5809,$C79)-COUNTIFS('Data Angt'!$C$5:$C$5809,J$46,'Data Angt'!$F$5:$F$5809,"&lt;36",'Data Angt'!$H$5:$H$5809,$C79)</f>
        <v>1</v>
      </c>
      <c r="K79" s="2">
        <f>COUNTIFS('Data Angt'!$C$5:$C$5809,K$46,'Data Angt'!$F$5:$F$5809,"&lt;=45",'Data Angt'!$H$5:$H$5809,$C79)-COUNTIFS('Data Angt'!$C$5:$C$5809,K$46,'Data Angt'!$F$5:$F$5809,"&lt;36",'Data Angt'!$H$5:$H$5809,$C79)</f>
        <v>0</v>
      </c>
      <c r="L79" s="187">
        <f>COUNTIFS('Data Angt'!$C$5:$C$5809,L$46,'Data Angt'!$F$5:$F$5809,"&lt;=45",'Data Angt'!$H$5:$H$5809,$C79)-COUNTIFS('Data Angt'!$C$5:$C$5809,L$46,'Data Angt'!$F$5:$F$5809,"&lt;36",'Data Angt'!$H$5:$H$5809,$C79)</f>
        <v>0</v>
      </c>
    </row>
    <row r="80" spans="2:12" x14ac:dyDescent="0.3">
      <c r="B80" s="327"/>
      <c r="C80" s="67" t="s">
        <v>9791</v>
      </c>
      <c r="D80" s="2">
        <f>COUNTIFS('Data Angt'!$F$5:$F$5809,"&lt;=45",'Data Angt'!$H$5:$H$5809,C80)-COUNTIFS('Data Angt'!$F$5:$F$5809,"&lt;36",'Data Angt'!$H$5:$H$5809,C80)</f>
        <v>6</v>
      </c>
      <c r="E80" s="4">
        <f t="shared" si="13"/>
        <v>1.0335917312661498E-3</v>
      </c>
      <c r="F80" s="2">
        <f>COUNTIFS('Data Angt'!$C$5:$C$5809,F$46,'Data Angt'!$F$5:$F$5809,"&lt;=45",'Data Angt'!$H$5:$H$5809,$C80)-COUNTIFS('Data Angt'!$C$5:$C$5809,F$46,'Data Angt'!$F$5:$F$5809,"&lt;36",'Data Angt'!$H$5:$H$5809,$C80)</f>
        <v>4</v>
      </c>
      <c r="G80" s="2">
        <f>COUNTIFS('Data Angt'!$C$5:$C$5809,G$46,'Data Angt'!$F$5:$F$5809,"&lt;=45",'Data Angt'!$H$5:$H$5809,$C80)-COUNTIFS('Data Angt'!$C$5:$C$5809,G$46,'Data Angt'!$F$5:$F$5809,"&lt;36",'Data Angt'!$H$5:$H$5809,$C80)</f>
        <v>0</v>
      </c>
      <c r="H80" s="2">
        <f>COUNTIFS('Data Angt'!$C$5:$C$5809,H$46,'Data Angt'!$F$5:$F$5809,"&lt;=45",'Data Angt'!$H$5:$H$5809,$C80)-COUNTIFS('Data Angt'!$C$5:$C$5809,H$46,'Data Angt'!$F$5:$F$5809,"&lt;36",'Data Angt'!$H$5:$H$5809,$C80)</f>
        <v>1</v>
      </c>
      <c r="I80" s="2">
        <f>COUNTIFS('Data Angt'!$C$5:$C$5809,I$46,'Data Angt'!$F$5:$F$5809,"&lt;=45",'Data Angt'!$H$5:$H$5809,$C80)-COUNTIFS('Data Angt'!$C$5:$C$5809,I$46,'Data Angt'!$F$5:$F$5809,"&lt;36",'Data Angt'!$H$5:$H$5809,$C80)</f>
        <v>1</v>
      </c>
      <c r="J80" s="2">
        <f>COUNTIFS('Data Angt'!$C$5:$C$5809,J$46,'Data Angt'!$F$5:$F$5809,"&lt;=45",'Data Angt'!$H$5:$H$5809,$C80)-COUNTIFS('Data Angt'!$C$5:$C$5809,J$46,'Data Angt'!$F$5:$F$5809,"&lt;36",'Data Angt'!$H$5:$H$5809,$C80)</f>
        <v>0</v>
      </c>
      <c r="K80" s="2">
        <f>COUNTIFS('Data Angt'!$C$5:$C$5809,K$46,'Data Angt'!$F$5:$F$5809,"&lt;=45",'Data Angt'!$H$5:$H$5809,$C80)-COUNTIFS('Data Angt'!$C$5:$C$5809,K$46,'Data Angt'!$F$5:$F$5809,"&lt;36",'Data Angt'!$H$5:$H$5809,$C80)</f>
        <v>0</v>
      </c>
      <c r="L80" s="187">
        <f>COUNTIFS('Data Angt'!$C$5:$C$5809,L$46,'Data Angt'!$F$5:$F$5809,"&lt;=45",'Data Angt'!$H$5:$H$5809,$C80)-COUNTIFS('Data Angt'!$C$5:$C$5809,L$46,'Data Angt'!$F$5:$F$5809,"&lt;36",'Data Angt'!$H$5:$H$5809,$C80)</f>
        <v>0</v>
      </c>
    </row>
    <row r="81" spans="2:12" x14ac:dyDescent="0.3">
      <c r="B81" s="327"/>
      <c r="C81" s="67" t="s">
        <v>31</v>
      </c>
      <c r="D81" s="2">
        <f>COUNTIFS('Data Angt'!$F$5:$F$5809,"&lt;=45",'Data Angt'!$H$5:$H$5809,C81)-COUNTIFS('Data Angt'!$F$5:$F$5809,"&lt;36",'Data Angt'!$H$5:$H$5809,C81)</f>
        <v>236</v>
      </c>
      <c r="E81" s="4">
        <f t="shared" si="13"/>
        <v>4.0654608096468564E-2</v>
      </c>
      <c r="F81" s="2">
        <f>COUNTIFS('Data Angt'!$C$5:$C$5809,F$46,'Data Angt'!$F$5:$F$5809,"&lt;=45",'Data Angt'!$H$5:$H$5809,$C81)-COUNTIFS('Data Angt'!$C$5:$C$5809,F$46,'Data Angt'!$F$5:$F$5809,"&lt;36",'Data Angt'!$H$5:$H$5809,$C81)</f>
        <v>108</v>
      </c>
      <c r="G81" s="2">
        <f>COUNTIFS('Data Angt'!$C$5:$C$5809,G$46,'Data Angt'!$F$5:$F$5809,"&lt;=45",'Data Angt'!$H$5:$H$5809,$C81)-COUNTIFS('Data Angt'!$C$5:$C$5809,G$46,'Data Angt'!$F$5:$F$5809,"&lt;36",'Data Angt'!$H$5:$H$5809,$C81)</f>
        <v>22</v>
      </c>
      <c r="H81" s="2">
        <f>COUNTIFS('Data Angt'!$C$5:$C$5809,H$46,'Data Angt'!$F$5:$F$5809,"&lt;=45",'Data Angt'!$H$5:$H$5809,$C81)-COUNTIFS('Data Angt'!$C$5:$C$5809,H$46,'Data Angt'!$F$5:$F$5809,"&lt;36",'Data Angt'!$H$5:$H$5809,$C81)</f>
        <v>41</v>
      </c>
      <c r="I81" s="2">
        <f>COUNTIFS('Data Angt'!$C$5:$C$5809,I$46,'Data Angt'!$F$5:$F$5809,"&lt;=45",'Data Angt'!$H$5:$H$5809,$C81)-COUNTIFS('Data Angt'!$C$5:$C$5809,I$46,'Data Angt'!$F$5:$F$5809,"&lt;36",'Data Angt'!$H$5:$H$5809,$C81)</f>
        <v>10</v>
      </c>
      <c r="J81" s="2">
        <f>COUNTIFS('Data Angt'!$C$5:$C$5809,J$46,'Data Angt'!$F$5:$F$5809,"&lt;=45",'Data Angt'!$H$5:$H$5809,$C81)-COUNTIFS('Data Angt'!$C$5:$C$5809,J$46,'Data Angt'!$F$5:$F$5809,"&lt;36",'Data Angt'!$H$5:$H$5809,$C81)</f>
        <v>15</v>
      </c>
      <c r="K81" s="2">
        <f>COUNTIFS('Data Angt'!$C$5:$C$5809,K$46,'Data Angt'!$F$5:$F$5809,"&lt;=45",'Data Angt'!$H$5:$H$5809,$C81)-COUNTIFS('Data Angt'!$C$5:$C$5809,K$46,'Data Angt'!$F$5:$F$5809,"&lt;36",'Data Angt'!$H$5:$H$5809,$C81)</f>
        <v>9</v>
      </c>
      <c r="L81" s="187">
        <f>COUNTIFS('Data Angt'!$C$5:$C$5809,L$46,'Data Angt'!$F$5:$F$5809,"&lt;=45",'Data Angt'!$H$5:$H$5809,$C81)-COUNTIFS('Data Angt'!$C$5:$C$5809,L$46,'Data Angt'!$F$5:$F$5809,"&lt;36",'Data Angt'!$H$5:$H$5809,$C81)</f>
        <v>31</v>
      </c>
    </row>
    <row r="82" spans="2:12" x14ac:dyDescent="0.3">
      <c r="B82" s="327"/>
      <c r="C82" s="67" t="s">
        <v>9787</v>
      </c>
      <c r="D82" s="2">
        <f>COUNTIFS('Data Angt'!$F$5:$F$5809,"&lt;=45",'Data Angt'!$H$5:$H$5809,C82)-COUNTIFS('Data Angt'!$F$5:$F$5809,"&lt;36",'Data Angt'!$H$5:$H$5809,C82)</f>
        <v>4</v>
      </c>
      <c r="E82" s="4">
        <f t="shared" si="13"/>
        <v>6.8906115417743323E-4</v>
      </c>
      <c r="F82" s="2">
        <f>COUNTIFS('Data Angt'!$C$5:$C$5809,F$46,'Data Angt'!$F$5:$F$5809,"&lt;=45",'Data Angt'!$H$5:$H$5809,$C82)-COUNTIFS('Data Angt'!$C$5:$C$5809,F$46,'Data Angt'!$F$5:$F$5809,"&lt;36",'Data Angt'!$H$5:$H$5809,$C82)</f>
        <v>2</v>
      </c>
      <c r="G82" s="2">
        <f>COUNTIFS('Data Angt'!$C$5:$C$5809,G$46,'Data Angt'!$F$5:$F$5809,"&lt;=45",'Data Angt'!$H$5:$H$5809,$C82)-COUNTIFS('Data Angt'!$C$5:$C$5809,G$46,'Data Angt'!$F$5:$F$5809,"&lt;36",'Data Angt'!$H$5:$H$5809,$C82)</f>
        <v>1</v>
      </c>
      <c r="H82" s="2">
        <f>COUNTIFS('Data Angt'!$C$5:$C$5809,H$46,'Data Angt'!$F$5:$F$5809,"&lt;=45",'Data Angt'!$H$5:$H$5809,$C82)-COUNTIFS('Data Angt'!$C$5:$C$5809,H$46,'Data Angt'!$F$5:$F$5809,"&lt;36",'Data Angt'!$H$5:$H$5809,$C82)</f>
        <v>1</v>
      </c>
      <c r="I82" s="2">
        <f>COUNTIFS('Data Angt'!$C$5:$C$5809,I$46,'Data Angt'!$F$5:$F$5809,"&lt;=45",'Data Angt'!$H$5:$H$5809,$C82)-COUNTIFS('Data Angt'!$C$5:$C$5809,I$46,'Data Angt'!$F$5:$F$5809,"&lt;36",'Data Angt'!$H$5:$H$5809,$C82)</f>
        <v>0</v>
      </c>
      <c r="J82" s="2">
        <f>COUNTIFS('Data Angt'!$C$5:$C$5809,J$46,'Data Angt'!$F$5:$F$5809,"&lt;=45",'Data Angt'!$H$5:$H$5809,$C82)-COUNTIFS('Data Angt'!$C$5:$C$5809,J$46,'Data Angt'!$F$5:$F$5809,"&lt;36",'Data Angt'!$H$5:$H$5809,$C82)</f>
        <v>0</v>
      </c>
      <c r="K82" s="2">
        <f>COUNTIFS('Data Angt'!$C$5:$C$5809,K$46,'Data Angt'!$F$5:$F$5809,"&lt;=45",'Data Angt'!$H$5:$H$5809,$C82)-COUNTIFS('Data Angt'!$C$5:$C$5809,K$46,'Data Angt'!$F$5:$F$5809,"&lt;36",'Data Angt'!$H$5:$H$5809,$C82)</f>
        <v>0</v>
      </c>
      <c r="L82" s="187">
        <f>COUNTIFS('Data Angt'!$C$5:$C$5809,L$46,'Data Angt'!$F$5:$F$5809,"&lt;=45",'Data Angt'!$H$5:$H$5809,$C82)-COUNTIFS('Data Angt'!$C$5:$C$5809,L$46,'Data Angt'!$F$5:$F$5809,"&lt;36",'Data Angt'!$H$5:$H$5809,$C82)</f>
        <v>0</v>
      </c>
    </row>
    <row r="83" spans="2:12" x14ac:dyDescent="0.3">
      <c r="B83" s="327"/>
      <c r="C83" s="67" t="s">
        <v>12065</v>
      </c>
      <c r="D83" s="2">
        <f>COUNTIFS('Data Angt'!$F$5:$F$5809,"&lt;=45",'Data Angt'!$H$5:$H$5809,C83)-COUNTIFS('Data Angt'!$F$5:$F$5809,"&lt;36",'Data Angt'!$H$5:$H$5809,C83)</f>
        <v>14</v>
      </c>
      <c r="E83" s="4">
        <f t="shared" si="13"/>
        <v>2.4117140396210162E-3</v>
      </c>
      <c r="F83" s="2">
        <f>COUNTIFS('Data Angt'!$C$5:$C$5809,F$46,'Data Angt'!$F$5:$F$5809,"&lt;=45",'Data Angt'!$H$5:$H$5809,$C83)-COUNTIFS('Data Angt'!$C$5:$C$5809,F$46,'Data Angt'!$F$5:$F$5809,"&lt;36",'Data Angt'!$H$5:$H$5809,$C83)</f>
        <v>3</v>
      </c>
      <c r="G83" s="2">
        <f>COUNTIFS('Data Angt'!$C$5:$C$5809,G$46,'Data Angt'!$F$5:$F$5809,"&lt;=45",'Data Angt'!$H$5:$H$5809,$C83)-COUNTIFS('Data Angt'!$C$5:$C$5809,G$46,'Data Angt'!$F$5:$F$5809,"&lt;36",'Data Angt'!$H$5:$H$5809,$C83)</f>
        <v>4</v>
      </c>
      <c r="H83" s="2">
        <f>COUNTIFS('Data Angt'!$C$5:$C$5809,H$46,'Data Angt'!$F$5:$F$5809,"&lt;=45",'Data Angt'!$H$5:$H$5809,$C83)-COUNTIFS('Data Angt'!$C$5:$C$5809,H$46,'Data Angt'!$F$5:$F$5809,"&lt;36",'Data Angt'!$H$5:$H$5809,$C83)</f>
        <v>3</v>
      </c>
      <c r="I83" s="2">
        <f>COUNTIFS('Data Angt'!$C$5:$C$5809,I$46,'Data Angt'!$F$5:$F$5809,"&lt;=45",'Data Angt'!$H$5:$H$5809,$C83)-COUNTIFS('Data Angt'!$C$5:$C$5809,I$46,'Data Angt'!$F$5:$F$5809,"&lt;36",'Data Angt'!$H$5:$H$5809,$C83)</f>
        <v>1</v>
      </c>
      <c r="J83" s="2">
        <f>COUNTIFS('Data Angt'!$C$5:$C$5809,J$46,'Data Angt'!$F$5:$F$5809,"&lt;=45",'Data Angt'!$H$5:$H$5809,$C83)-COUNTIFS('Data Angt'!$C$5:$C$5809,J$46,'Data Angt'!$F$5:$F$5809,"&lt;36",'Data Angt'!$H$5:$H$5809,$C83)</f>
        <v>2</v>
      </c>
      <c r="K83" s="2">
        <f>COUNTIFS('Data Angt'!$C$5:$C$5809,K$46,'Data Angt'!$F$5:$F$5809,"&lt;=45",'Data Angt'!$H$5:$H$5809,$C83)-COUNTIFS('Data Angt'!$C$5:$C$5809,K$46,'Data Angt'!$F$5:$F$5809,"&lt;36",'Data Angt'!$H$5:$H$5809,$C83)</f>
        <v>1</v>
      </c>
      <c r="L83" s="187">
        <f>COUNTIFS('Data Angt'!$C$5:$C$5809,L$46,'Data Angt'!$F$5:$F$5809,"&lt;=45",'Data Angt'!$H$5:$H$5809,$C83)-COUNTIFS('Data Angt'!$C$5:$C$5809,L$46,'Data Angt'!$F$5:$F$5809,"&lt;36",'Data Angt'!$H$5:$H$5809,$C83)</f>
        <v>0</v>
      </c>
    </row>
    <row r="84" spans="2:12" x14ac:dyDescent="0.3">
      <c r="B84" s="327"/>
      <c r="C84" s="67" t="s">
        <v>12074</v>
      </c>
      <c r="D84" s="2">
        <f>COUNTIFS('Data Angt'!$F$5:$F$5809,"&lt;=45",'Data Angt'!$H$5:$H$5809,C84)-COUNTIFS('Data Angt'!$F$5:$F$5809,"&lt;36",'Data Angt'!$H$5:$H$5809,C84)</f>
        <v>6</v>
      </c>
      <c r="E84" s="4">
        <f t="shared" si="13"/>
        <v>1.0335917312661498E-3</v>
      </c>
      <c r="F84" s="2">
        <f>COUNTIFS('Data Angt'!$C$5:$C$5809,F$46,'Data Angt'!$F$5:$F$5809,"&lt;=45",'Data Angt'!$H$5:$H$5809,$C84)-COUNTIFS('Data Angt'!$C$5:$C$5809,F$46,'Data Angt'!$F$5:$F$5809,"&lt;36",'Data Angt'!$H$5:$H$5809,$C84)</f>
        <v>0</v>
      </c>
      <c r="G84" s="2">
        <f>COUNTIFS('Data Angt'!$C$5:$C$5809,G$46,'Data Angt'!$F$5:$F$5809,"&lt;=45",'Data Angt'!$H$5:$H$5809,$C84)-COUNTIFS('Data Angt'!$C$5:$C$5809,G$46,'Data Angt'!$F$5:$F$5809,"&lt;36",'Data Angt'!$H$5:$H$5809,$C84)</f>
        <v>5</v>
      </c>
      <c r="H84" s="2">
        <f>COUNTIFS('Data Angt'!$C$5:$C$5809,H$46,'Data Angt'!$F$5:$F$5809,"&lt;=45",'Data Angt'!$H$5:$H$5809,$C84)-COUNTIFS('Data Angt'!$C$5:$C$5809,H$46,'Data Angt'!$F$5:$F$5809,"&lt;36",'Data Angt'!$H$5:$H$5809,$C84)</f>
        <v>0</v>
      </c>
      <c r="I84" s="2">
        <f>COUNTIFS('Data Angt'!$C$5:$C$5809,I$46,'Data Angt'!$F$5:$F$5809,"&lt;=45",'Data Angt'!$H$5:$H$5809,$C84)-COUNTIFS('Data Angt'!$C$5:$C$5809,I$46,'Data Angt'!$F$5:$F$5809,"&lt;36",'Data Angt'!$H$5:$H$5809,$C84)</f>
        <v>0</v>
      </c>
      <c r="J84" s="2">
        <f>COUNTIFS('Data Angt'!$C$5:$C$5809,J$46,'Data Angt'!$F$5:$F$5809,"&lt;=45",'Data Angt'!$H$5:$H$5809,$C84)-COUNTIFS('Data Angt'!$C$5:$C$5809,J$46,'Data Angt'!$F$5:$F$5809,"&lt;36",'Data Angt'!$H$5:$H$5809,$C84)</f>
        <v>0</v>
      </c>
      <c r="K84" s="2">
        <f>COUNTIFS('Data Angt'!$C$5:$C$5809,K$46,'Data Angt'!$F$5:$F$5809,"&lt;=45",'Data Angt'!$H$5:$H$5809,$C84)-COUNTIFS('Data Angt'!$C$5:$C$5809,K$46,'Data Angt'!$F$5:$F$5809,"&lt;36",'Data Angt'!$H$5:$H$5809,$C84)</f>
        <v>1</v>
      </c>
      <c r="L84" s="187">
        <f>COUNTIFS('Data Angt'!$C$5:$C$5809,L$46,'Data Angt'!$F$5:$F$5809,"&lt;=45",'Data Angt'!$H$5:$H$5809,$C84)-COUNTIFS('Data Angt'!$C$5:$C$5809,L$46,'Data Angt'!$F$5:$F$5809,"&lt;36",'Data Angt'!$H$5:$H$5809,$C84)</f>
        <v>0</v>
      </c>
    </row>
    <row r="85" spans="2:12" x14ac:dyDescent="0.3">
      <c r="B85" s="327"/>
      <c r="C85" s="67" t="s">
        <v>13</v>
      </c>
      <c r="D85" s="2">
        <f>COUNTIFS('Data Angt'!$F$5:$F$5809,"&lt;=45",'Data Angt'!$H$5:$H$5809,C85)-COUNTIFS('Data Angt'!$F$5:$F$5809,"&lt;36",'Data Angt'!$H$5:$H$5809,C85)</f>
        <v>0</v>
      </c>
      <c r="E85" s="4">
        <f t="shared" si="13"/>
        <v>0</v>
      </c>
      <c r="F85" s="2">
        <f>COUNTIFS('Data Angt'!$C$5:$C$5809,F$46,'Data Angt'!$F$5:$F$5809,"&lt;=45",'Data Angt'!$H$5:$H$5809,$C85)-COUNTIFS('Data Angt'!$C$5:$C$5809,F$46,'Data Angt'!$F$5:$F$5809,"&lt;36",'Data Angt'!$H$5:$H$5809,$C85)</f>
        <v>0</v>
      </c>
      <c r="G85" s="2">
        <f>COUNTIFS('Data Angt'!$C$5:$C$5809,G$46,'Data Angt'!$F$5:$F$5809,"&lt;=45",'Data Angt'!$H$5:$H$5809,$C85)-COUNTIFS('Data Angt'!$C$5:$C$5809,G$46,'Data Angt'!$F$5:$F$5809,"&lt;36",'Data Angt'!$H$5:$H$5809,$C85)</f>
        <v>0</v>
      </c>
      <c r="H85" s="2">
        <f>COUNTIFS('Data Angt'!$C$5:$C$5809,H$46,'Data Angt'!$F$5:$F$5809,"&lt;=45",'Data Angt'!$H$5:$H$5809,$C85)-COUNTIFS('Data Angt'!$C$5:$C$5809,H$46,'Data Angt'!$F$5:$F$5809,"&lt;36",'Data Angt'!$H$5:$H$5809,$C85)</f>
        <v>0</v>
      </c>
      <c r="I85" s="2">
        <f>COUNTIFS('Data Angt'!$C$5:$C$5809,I$46,'Data Angt'!$F$5:$F$5809,"&lt;=45",'Data Angt'!$H$5:$H$5809,$C85)-COUNTIFS('Data Angt'!$C$5:$C$5809,I$46,'Data Angt'!$F$5:$F$5809,"&lt;36",'Data Angt'!$H$5:$H$5809,$C85)</f>
        <v>0</v>
      </c>
      <c r="J85" s="2">
        <f>COUNTIFS('Data Angt'!$C$5:$C$5809,J$46,'Data Angt'!$F$5:$F$5809,"&lt;=45",'Data Angt'!$H$5:$H$5809,$C85)-COUNTIFS('Data Angt'!$C$5:$C$5809,J$46,'Data Angt'!$F$5:$F$5809,"&lt;36",'Data Angt'!$H$5:$H$5809,$C85)</f>
        <v>0</v>
      </c>
      <c r="K85" s="2">
        <f>COUNTIFS('Data Angt'!$C$5:$C$5809,K$46,'Data Angt'!$F$5:$F$5809,"&lt;=45",'Data Angt'!$H$5:$H$5809,$C85)-COUNTIFS('Data Angt'!$C$5:$C$5809,K$46,'Data Angt'!$F$5:$F$5809,"&lt;36",'Data Angt'!$H$5:$H$5809,$C85)</f>
        <v>0</v>
      </c>
      <c r="L85" s="187">
        <f>COUNTIFS('Data Angt'!$C$5:$C$5809,L$46,'Data Angt'!$F$5:$F$5809,"&lt;=45",'Data Angt'!$H$5:$H$5809,$C85)-COUNTIFS('Data Angt'!$C$5:$C$5809,L$46,'Data Angt'!$F$5:$F$5809,"&lt;36",'Data Angt'!$H$5:$H$5809,$C85)</f>
        <v>0</v>
      </c>
    </row>
    <row r="86" spans="2:12" x14ac:dyDescent="0.3">
      <c r="B86" s="327"/>
      <c r="C86" s="67" t="s">
        <v>243</v>
      </c>
      <c r="D86" s="2">
        <f>COUNTIFS('Data Angt'!$F$5:$F$5809,"&lt;=45",'Data Angt'!$H$5:$H$5809,C86)-COUNTIFS('Data Angt'!$F$5:$F$5809,"&lt;36",'Data Angt'!$H$5:$H$5809,C86)</f>
        <v>12</v>
      </c>
      <c r="E86" s="4">
        <f t="shared" si="13"/>
        <v>2.0671834625322996E-3</v>
      </c>
      <c r="F86" s="2">
        <f>COUNTIFS('Data Angt'!$C$5:$C$5809,F$46,'Data Angt'!$F$5:$F$5809,"&lt;=45",'Data Angt'!$H$5:$H$5809,$C86)-COUNTIFS('Data Angt'!$C$5:$C$5809,F$46,'Data Angt'!$F$5:$F$5809,"&lt;36",'Data Angt'!$H$5:$H$5809,$C86)</f>
        <v>4</v>
      </c>
      <c r="G86" s="2">
        <f>COUNTIFS('Data Angt'!$C$5:$C$5809,G$46,'Data Angt'!$F$5:$F$5809,"&lt;=45",'Data Angt'!$H$5:$H$5809,$C86)-COUNTIFS('Data Angt'!$C$5:$C$5809,G$46,'Data Angt'!$F$5:$F$5809,"&lt;36",'Data Angt'!$H$5:$H$5809,$C86)</f>
        <v>1</v>
      </c>
      <c r="H86" s="2">
        <f>COUNTIFS('Data Angt'!$C$5:$C$5809,H$46,'Data Angt'!$F$5:$F$5809,"&lt;=45",'Data Angt'!$H$5:$H$5809,$C86)-COUNTIFS('Data Angt'!$C$5:$C$5809,H$46,'Data Angt'!$F$5:$F$5809,"&lt;36",'Data Angt'!$H$5:$H$5809,$C86)</f>
        <v>1</v>
      </c>
      <c r="I86" s="2">
        <f>COUNTIFS('Data Angt'!$C$5:$C$5809,I$46,'Data Angt'!$F$5:$F$5809,"&lt;=45",'Data Angt'!$H$5:$H$5809,$C86)-COUNTIFS('Data Angt'!$C$5:$C$5809,I$46,'Data Angt'!$F$5:$F$5809,"&lt;36",'Data Angt'!$H$5:$H$5809,$C86)</f>
        <v>0</v>
      </c>
      <c r="J86" s="2">
        <f>COUNTIFS('Data Angt'!$C$5:$C$5809,J$46,'Data Angt'!$F$5:$F$5809,"&lt;=45",'Data Angt'!$H$5:$H$5809,$C86)-COUNTIFS('Data Angt'!$C$5:$C$5809,J$46,'Data Angt'!$F$5:$F$5809,"&lt;36",'Data Angt'!$H$5:$H$5809,$C86)</f>
        <v>3</v>
      </c>
      <c r="K86" s="2">
        <f>COUNTIFS('Data Angt'!$C$5:$C$5809,K$46,'Data Angt'!$F$5:$F$5809,"&lt;=45",'Data Angt'!$H$5:$H$5809,$C86)-COUNTIFS('Data Angt'!$C$5:$C$5809,K$46,'Data Angt'!$F$5:$F$5809,"&lt;36",'Data Angt'!$H$5:$H$5809,$C86)</f>
        <v>3</v>
      </c>
      <c r="L86" s="187">
        <f>COUNTIFS('Data Angt'!$C$5:$C$5809,L$46,'Data Angt'!$F$5:$F$5809,"&lt;=45",'Data Angt'!$H$5:$H$5809,$C86)-COUNTIFS('Data Angt'!$C$5:$C$5809,L$46,'Data Angt'!$F$5:$F$5809,"&lt;36",'Data Angt'!$H$5:$H$5809,$C86)</f>
        <v>0</v>
      </c>
    </row>
    <row r="87" spans="2:12" x14ac:dyDescent="0.3">
      <c r="B87" s="327"/>
      <c r="C87" s="67" t="s">
        <v>12075</v>
      </c>
      <c r="D87" s="2">
        <f>COUNTIFS('Data Angt'!$F$5:$F$5809,"&lt;=45",'Data Angt'!$H$5:$H$5809,C87)-COUNTIFS('Data Angt'!$F$5:$F$5809,"&lt;36",'Data Angt'!$H$5:$H$5809,C87)</f>
        <v>68</v>
      </c>
      <c r="E87" s="4">
        <f t="shared" si="13"/>
        <v>1.1714039621016366E-2</v>
      </c>
      <c r="F87" s="2">
        <f>COUNTIFS('Data Angt'!$C$5:$C$5809,F$46,'Data Angt'!$F$5:$F$5809,"&lt;=45",'Data Angt'!$H$5:$H$5809,$C87)-COUNTIFS('Data Angt'!$C$5:$C$5809,F$46,'Data Angt'!$F$5:$F$5809,"&lt;36",'Data Angt'!$H$5:$H$5809,$C87)</f>
        <v>41</v>
      </c>
      <c r="G87" s="2">
        <f>COUNTIFS('Data Angt'!$C$5:$C$5809,G$46,'Data Angt'!$F$5:$F$5809,"&lt;=45",'Data Angt'!$H$5:$H$5809,$C87)-COUNTIFS('Data Angt'!$C$5:$C$5809,G$46,'Data Angt'!$F$5:$F$5809,"&lt;36",'Data Angt'!$H$5:$H$5809,$C87)</f>
        <v>8</v>
      </c>
      <c r="H87" s="2">
        <f>COUNTIFS('Data Angt'!$C$5:$C$5809,H$46,'Data Angt'!$F$5:$F$5809,"&lt;=45",'Data Angt'!$H$5:$H$5809,$C87)-COUNTIFS('Data Angt'!$C$5:$C$5809,H$46,'Data Angt'!$F$5:$F$5809,"&lt;36",'Data Angt'!$H$5:$H$5809,$C87)</f>
        <v>4</v>
      </c>
      <c r="I87" s="2">
        <f>COUNTIFS('Data Angt'!$C$5:$C$5809,I$46,'Data Angt'!$F$5:$F$5809,"&lt;=45",'Data Angt'!$H$5:$H$5809,$C87)-COUNTIFS('Data Angt'!$C$5:$C$5809,I$46,'Data Angt'!$F$5:$F$5809,"&lt;36",'Data Angt'!$H$5:$H$5809,$C87)</f>
        <v>5</v>
      </c>
      <c r="J87" s="2">
        <f>COUNTIFS('Data Angt'!$C$5:$C$5809,J$46,'Data Angt'!$F$5:$F$5809,"&lt;=45",'Data Angt'!$H$5:$H$5809,$C87)-COUNTIFS('Data Angt'!$C$5:$C$5809,J$46,'Data Angt'!$F$5:$F$5809,"&lt;36",'Data Angt'!$H$5:$H$5809,$C87)</f>
        <v>2</v>
      </c>
      <c r="K87" s="2">
        <f>COUNTIFS('Data Angt'!$C$5:$C$5809,K$46,'Data Angt'!$F$5:$F$5809,"&lt;=45",'Data Angt'!$H$5:$H$5809,$C87)-COUNTIFS('Data Angt'!$C$5:$C$5809,K$46,'Data Angt'!$F$5:$F$5809,"&lt;36",'Data Angt'!$H$5:$H$5809,$C87)</f>
        <v>8</v>
      </c>
      <c r="L87" s="187">
        <f>COUNTIFS('Data Angt'!$C$5:$C$5809,L$46,'Data Angt'!$F$5:$F$5809,"&lt;=45",'Data Angt'!$H$5:$H$5809,$C87)-COUNTIFS('Data Angt'!$C$5:$C$5809,L$46,'Data Angt'!$F$5:$F$5809,"&lt;36",'Data Angt'!$H$5:$H$5809,$C87)</f>
        <v>0</v>
      </c>
    </row>
    <row r="88" spans="2:12" ht="15" thickBot="1" x14ac:dyDescent="0.35">
      <c r="B88" s="328"/>
      <c r="C88" s="183" t="s">
        <v>12076</v>
      </c>
      <c r="D88" s="184">
        <f>COUNTIFS('Data Angt'!$F$5:$F$5809,"&lt;=45",'Data Angt'!$H$5:$H$5809,"")-COUNTIFS('Data Angt'!$F$5:$F$5809,"&lt;36",'Data Angt'!$H$5:$H$5809,"")</f>
        <v>67</v>
      </c>
      <c r="E88" s="185">
        <f t="shared" si="13"/>
        <v>1.1541774332472008E-2</v>
      </c>
      <c r="F88" s="184">
        <f>COUNTIFS('Data Angt'!$C$5:$C$5809,F$46,'Data Angt'!$F$5:$F$5809,"&lt;=45",'Data Angt'!$H$5:$H$5809,"")-COUNTIFS('Data Angt'!$C$5:$C$5809,F$46,'Data Angt'!$F$5:$F$5809,"&lt;36",'Data Angt'!$H$5:$H$5809,"")</f>
        <v>50</v>
      </c>
      <c r="G88" s="184">
        <f>COUNTIFS('Data Angt'!$C$5:$C$5809,G$46,'Data Angt'!$F$5:$F$5809,"&lt;=45",'Data Angt'!$H$5:$H$5809,"")-COUNTIFS('Data Angt'!$C$5:$C$5809,G$46,'Data Angt'!$F$5:$F$5809,"&lt;36",'Data Angt'!$H$5:$H$5809,"")</f>
        <v>11</v>
      </c>
      <c r="H88" s="184">
        <f>COUNTIFS('Data Angt'!$C$5:$C$5809,H$46,'Data Angt'!$F$5:$F$5809,"&lt;=45",'Data Angt'!$H$5:$H$5809,"")-COUNTIFS('Data Angt'!$C$5:$C$5809,H$46,'Data Angt'!$F$5:$F$5809,"&lt;36",'Data Angt'!$H$5:$H$5809,"")</f>
        <v>0</v>
      </c>
      <c r="I88" s="184">
        <f>COUNTIFS('Data Angt'!$C$5:$C$5809,I$46,'Data Angt'!$F$5:$F$5809,"&lt;=45",'Data Angt'!$H$5:$H$5809,"")-COUNTIFS('Data Angt'!$C$5:$C$5809,I$46,'Data Angt'!$F$5:$F$5809,"&lt;36",'Data Angt'!$H$5:$H$5809,"")</f>
        <v>0</v>
      </c>
      <c r="J88" s="184">
        <f>COUNTIFS('Data Angt'!$C$5:$C$5809,J$46,'Data Angt'!$F$5:$F$5809,"&lt;=45",'Data Angt'!$H$5:$H$5809,"")-COUNTIFS('Data Angt'!$C$5:$C$5809,J$46,'Data Angt'!$F$5:$F$5809,"&lt;36",'Data Angt'!$H$5:$H$5809,"")</f>
        <v>0</v>
      </c>
      <c r="K88" s="184">
        <f>COUNTIFS('Data Angt'!$C$5:$C$5809,K$46,'Data Angt'!$F$5:$F$5809,"&lt;=45",'Data Angt'!$H$5:$H$5809,"")-COUNTIFS('Data Angt'!$C$5:$C$5809,K$46,'Data Angt'!$F$5:$F$5809,"&lt;36",'Data Angt'!$H$5:$H$5809,"")</f>
        <v>2</v>
      </c>
      <c r="L88" s="188">
        <f>COUNTIFS('Data Angt'!$C$5:$C$5809,L$46,'Data Angt'!$F$5:$F$5809,"&lt;=45",'Data Angt'!$H$5:$H$5809,"")-COUNTIFS('Data Angt'!$C$5:$C$5809,L$46,'Data Angt'!$F$5:$F$5809,"&lt;36",'Data Angt'!$H$5:$H$5809,"")</f>
        <v>4</v>
      </c>
    </row>
    <row r="89" spans="2:12" x14ac:dyDescent="0.3">
      <c r="B89" s="326" t="s">
        <v>22146</v>
      </c>
      <c r="C89" s="180" t="s">
        <v>46</v>
      </c>
      <c r="D89" s="261">
        <f>COUNTIFS('Data Angt'!$F$5:$F$5809,"&lt;=60",'Data Angt'!$H$5:$H$5809,C89)-COUNTIFS('Data Angt'!$F$5:$F$5809,"&lt;46",'Data Angt'!$H$5:$H$5809,C89)</f>
        <v>626</v>
      </c>
      <c r="E89" s="182">
        <f t="shared" si="12"/>
        <v>0.10783807062876831</v>
      </c>
      <c r="F89" s="181">
        <f>COUNTIFS('Data Angt'!$C$5:$C$5809,F$46,'Data Angt'!$F$5:$F$5809,"&lt;=60",'Data Angt'!$H$5:$H$5809,$C89)-COUNTIFS('Data Angt'!$C$5:$C$5809,F$46,'Data Angt'!$F$5:$F$5809,"&lt;46",'Data Angt'!$H$5:$H$5809,$C89)</f>
        <v>235</v>
      </c>
      <c r="G89" s="181">
        <f>COUNTIFS('Data Angt'!$C$5:$C$5809,G$46,'Data Angt'!$F$5:$F$5809,"&lt;=60",'Data Angt'!$H$5:$H$5809,$C89)-COUNTIFS('Data Angt'!$C$5:$C$5809,G$46,'Data Angt'!$F$5:$F$5809,"&lt;46",'Data Angt'!$H$5:$H$5809,$C89)</f>
        <v>84</v>
      </c>
      <c r="H89" s="181">
        <f>COUNTIFS('Data Angt'!$C$5:$C$5809,H$46,'Data Angt'!$F$5:$F$5809,"&lt;=60",'Data Angt'!$H$5:$H$5809,$C89)-COUNTIFS('Data Angt'!$C$5:$C$5809,H$46,'Data Angt'!$F$5:$F$5809,"&lt;46",'Data Angt'!$H$5:$H$5809,$C89)</f>
        <v>94</v>
      </c>
      <c r="I89" s="181">
        <f>COUNTIFS('Data Angt'!$C$5:$C$5809,I$46,'Data Angt'!$F$5:$F$5809,"&lt;=60",'Data Angt'!$H$5:$H$5809,$C89)-COUNTIFS('Data Angt'!$C$5:$C$5809,I$46,'Data Angt'!$F$5:$F$5809,"&lt;46",'Data Angt'!$H$5:$H$5809,$C89)</f>
        <v>69</v>
      </c>
      <c r="J89" s="181">
        <f>COUNTIFS('Data Angt'!$C$5:$C$5809,J$46,'Data Angt'!$F$5:$F$5809,"&lt;=60",'Data Angt'!$H$5:$H$5809,$C89)-COUNTIFS('Data Angt'!$C$5:$C$5809,J$46,'Data Angt'!$F$5:$F$5809,"&lt;46",'Data Angt'!$H$5:$H$5809,$C89)</f>
        <v>66</v>
      </c>
      <c r="K89" s="181">
        <f>COUNTIFS('Data Angt'!$C$5:$C$5809,K$46,'Data Angt'!$F$5:$F$5809,"&lt;=60",'Data Angt'!$H$5:$H$5809,$C89)-COUNTIFS('Data Angt'!$C$5:$C$5809,K$46,'Data Angt'!$F$5:$F$5809,"&lt;46",'Data Angt'!$H$5:$H$5809,$C89)</f>
        <v>77</v>
      </c>
      <c r="L89" s="186">
        <f>COUNTIFS('Data Angt'!$C$5:$C$5809,L$46,'Data Angt'!$F$5:$F$5809,"&lt;=60",'Data Angt'!$H$5:$H$5809,$C89)-COUNTIFS('Data Angt'!$C$5:$C$5809,L$46,'Data Angt'!$F$5:$F$5809,"&lt;46",'Data Angt'!$H$5:$H$5809,$C89)</f>
        <v>1</v>
      </c>
    </row>
    <row r="90" spans="2:12" x14ac:dyDescent="0.3">
      <c r="B90" s="327"/>
      <c r="C90" s="67" t="s">
        <v>9788</v>
      </c>
      <c r="D90" s="2">
        <f>COUNTIFS('Data Angt'!$F$5:$F$5809,"&lt;=60",'Data Angt'!$H$5:$H$5809,C90)-COUNTIFS('Data Angt'!$F$5:$F$5809,"&lt;46",'Data Angt'!$H$5:$H$5809,C90)</f>
        <v>488</v>
      </c>
      <c r="E90" s="4">
        <f t="shared" si="12"/>
        <v>8.4065460809646858E-2</v>
      </c>
      <c r="F90" s="2">
        <f>COUNTIFS('Data Angt'!$C$5:$C$5809,F$46,'Data Angt'!$F$5:$F$5809,"&lt;=60",'Data Angt'!$H$5:$H$5809,$C90)-COUNTIFS('Data Angt'!$C$5:$C$5809,F$46,'Data Angt'!$F$5:$F$5809,"&lt;46",'Data Angt'!$H$5:$H$5809,$C90)</f>
        <v>181</v>
      </c>
      <c r="G90" s="2">
        <f>COUNTIFS('Data Angt'!$C$5:$C$5809,G$46,'Data Angt'!$F$5:$F$5809,"&lt;=60",'Data Angt'!$H$5:$H$5809,$C90)-COUNTIFS('Data Angt'!$C$5:$C$5809,G$46,'Data Angt'!$F$5:$F$5809,"&lt;46",'Data Angt'!$H$5:$H$5809,$C90)</f>
        <v>62</v>
      </c>
      <c r="H90" s="2">
        <f>COUNTIFS('Data Angt'!$C$5:$C$5809,H$46,'Data Angt'!$F$5:$F$5809,"&lt;=60",'Data Angt'!$H$5:$H$5809,$C90)-COUNTIFS('Data Angt'!$C$5:$C$5809,H$46,'Data Angt'!$F$5:$F$5809,"&lt;46",'Data Angt'!$H$5:$H$5809,$C90)</f>
        <v>84</v>
      </c>
      <c r="I90" s="2">
        <f>COUNTIFS('Data Angt'!$C$5:$C$5809,I$46,'Data Angt'!$F$5:$F$5809,"&lt;=60",'Data Angt'!$H$5:$H$5809,$C90)-COUNTIFS('Data Angt'!$C$5:$C$5809,I$46,'Data Angt'!$F$5:$F$5809,"&lt;46",'Data Angt'!$H$5:$H$5809,$C90)</f>
        <v>25</v>
      </c>
      <c r="J90" s="2">
        <f>COUNTIFS('Data Angt'!$C$5:$C$5809,J$46,'Data Angt'!$F$5:$F$5809,"&lt;=60",'Data Angt'!$H$5:$H$5809,$C90)-COUNTIFS('Data Angt'!$C$5:$C$5809,J$46,'Data Angt'!$F$5:$F$5809,"&lt;46",'Data Angt'!$H$5:$H$5809,$C90)</f>
        <v>35</v>
      </c>
      <c r="K90" s="2">
        <f>COUNTIFS('Data Angt'!$C$5:$C$5809,K$46,'Data Angt'!$F$5:$F$5809,"&lt;=60",'Data Angt'!$H$5:$H$5809,$C90)-COUNTIFS('Data Angt'!$C$5:$C$5809,K$46,'Data Angt'!$F$5:$F$5809,"&lt;46",'Data Angt'!$H$5:$H$5809,$C90)</f>
        <v>73</v>
      </c>
      <c r="L90" s="187">
        <f>COUNTIFS('Data Angt'!$C$5:$C$5809,L$46,'Data Angt'!$F$5:$F$5809,"&lt;=60",'Data Angt'!$H$5:$H$5809,$C90)-COUNTIFS('Data Angt'!$C$5:$C$5809,L$46,'Data Angt'!$F$5:$F$5809,"&lt;46",'Data Angt'!$H$5:$H$5809,$C90)</f>
        <v>28</v>
      </c>
    </row>
    <row r="91" spans="2:12" x14ac:dyDescent="0.3">
      <c r="B91" s="327"/>
      <c r="C91" s="67" t="s">
        <v>9785</v>
      </c>
      <c r="D91" s="2">
        <f>COUNTIFS('Data Angt'!$F$5:$F$5809,"&lt;=60",'Data Angt'!$H$5:$H$5809,C91)-COUNTIFS('Data Angt'!$F$5:$F$5809,"&lt;46",'Data Angt'!$H$5:$H$5809,C91)</f>
        <v>218</v>
      </c>
      <c r="E91" s="4">
        <f t="shared" si="12"/>
        <v>3.7553832902670115E-2</v>
      </c>
      <c r="F91" s="2">
        <f>COUNTIFS('Data Angt'!$C$5:$C$5809,F$46,'Data Angt'!$F$5:$F$5809,"&lt;=60",'Data Angt'!$H$5:$H$5809,$C91)-COUNTIFS('Data Angt'!$C$5:$C$5809,F$46,'Data Angt'!$F$5:$F$5809,"&lt;46",'Data Angt'!$H$5:$H$5809,$C91)</f>
        <v>78</v>
      </c>
      <c r="G91" s="2">
        <f>COUNTIFS('Data Angt'!$C$5:$C$5809,G$46,'Data Angt'!$F$5:$F$5809,"&lt;=60",'Data Angt'!$H$5:$H$5809,$C91)-COUNTIFS('Data Angt'!$C$5:$C$5809,G$46,'Data Angt'!$F$5:$F$5809,"&lt;46",'Data Angt'!$H$5:$H$5809,$C91)</f>
        <v>30</v>
      </c>
      <c r="H91" s="2">
        <f>COUNTIFS('Data Angt'!$C$5:$C$5809,H$46,'Data Angt'!$F$5:$F$5809,"&lt;=60",'Data Angt'!$H$5:$H$5809,$C91)-COUNTIFS('Data Angt'!$C$5:$C$5809,H$46,'Data Angt'!$F$5:$F$5809,"&lt;46",'Data Angt'!$H$5:$H$5809,$C91)</f>
        <v>61</v>
      </c>
      <c r="I91" s="2">
        <f>COUNTIFS('Data Angt'!$C$5:$C$5809,I$46,'Data Angt'!$F$5:$F$5809,"&lt;=60",'Data Angt'!$H$5:$H$5809,$C91)-COUNTIFS('Data Angt'!$C$5:$C$5809,I$46,'Data Angt'!$F$5:$F$5809,"&lt;46",'Data Angt'!$H$5:$H$5809,$C91)</f>
        <v>21</v>
      </c>
      <c r="J91" s="2">
        <f>COUNTIFS('Data Angt'!$C$5:$C$5809,J$46,'Data Angt'!$F$5:$F$5809,"&lt;=60",'Data Angt'!$H$5:$H$5809,$C91)-COUNTIFS('Data Angt'!$C$5:$C$5809,J$46,'Data Angt'!$F$5:$F$5809,"&lt;46",'Data Angt'!$H$5:$H$5809,$C91)</f>
        <v>12</v>
      </c>
      <c r="K91" s="2">
        <f>COUNTIFS('Data Angt'!$C$5:$C$5809,K$46,'Data Angt'!$F$5:$F$5809,"&lt;=60",'Data Angt'!$H$5:$H$5809,$C91)-COUNTIFS('Data Angt'!$C$5:$C$5809,K$46,'Data Angt'!$F$5:$F$5809,"&lt;46",'Data Angt'!$H$5:$H$5809,$C91)</f>
        <v>15</v>
      </c>
      <c r="L91" s="187">
        <f>COUNTIFS('Data Angt'!$C$5:$C$5809,L$46,'Data Angt'!$F$5:$F$5809,"&lt;=60",'Data Angt'!$H$5:$H$5809,$C91)-COUNTIFS('Data Angt'!$C$5:$C$5809,L$46,'Data Angt'!$F$5:$F$5809,"&lt;46",'Data Angt'!$H$5:$H$5809,$C91)</f>
        <v>1</v>
      </c>
    </row>
    <row r="92" spans="2:12" x14ac:dyDescent="0.3">
      <c r="B92" s="327"/>
      <c r="C92" s="67" t="s">
        <v>12099</v>
      </c>
      <c r="D92" s="2">
        <f>COUNTIFS('Data Angt'!$F$5:$F$5809,"&lt;=60",'Data Angt'!$H$5:$H$5809,C92)-COUNTIFS('Data Angt'!$F$5:$F$5809,"&lt;46",'Data Angt'!$H$5:$H$5809,C92)</f>
        <v>107</v>
      </c>
      <c r="E92" s="4">
        <f t="shared" si="12"/>
        <v>1.8432385874246341E-2</v>
      </c>
      <c r="F92" s="2">
        <f>COUNTIFS('Data Angt'!$C$5:$C$5809,F$46,'Data Angt'!$F$5:$F$5809,"&lt;=60",'Data Angt'!$H$5:$H$5809,$C92)-COUNTIFS('Data Angt'!$C$5:$C$5809,F$46,'Data Angt'!$F$5:$F$5809,"&lt;46",'Data Angt'!$H$5:$H$5809,$C92)</f>
        <v>65</v>
      </c>
      <c r="G92" s="2">
        <f>COUNTIFS('Data Angt'!$C$5:$C$5809,G$46,'Data Angt'!$F$5:$F$5809,"&lt;=60",'Data Angt'!$H$5:$H$5809,$C92)-COUNTIFS('Data Angt'!$C$5:$C$5809,G$46,'Data Angt'!$F$5:$F$5809,"&lt;46",'Data Angt'!$H$5:$H$5809,$C92)</f>
        <v>14</v>
      </c>
      <c r="H92" s="2">
        <f>COUNTIFS('Data Angt'!$C$5:$C$5809,H$46,'Data Angt'!$F$5:$F$5809,"&lt;=60",'Data Angt'!$H$5:$H$5809,$C92)-COUNTIFS('Data Angt'!$C$5:$C$5809,H$46,'Data Angt'!$F$5:$F$5809,"&lt;46",'Data Angt'!$H$5:$H$5809,$C92)</f>
        <v>6</v>
      </c>
      <c r="I92" s="2">
        <f>COUNTIFS('Data Angt'!$C$5:$C$5809,I$46,'Data Angt'!$F$5:$F$5809,"&lt;=60",'Data Angt'!$H$5:$H$5809,$C92)-COUNTIFS('Data Angt'!$C$5:$C$5809,I$46,'Data Angt'!$F$5:$F$5809,"&lt;46",'Data Angt'!$H$5:$H$5809,$C92)</f>
        <v>9</v>
      </c>
      <c r="J92" s="2">
        <f>COUNTIFS('Data Angt'!$C$5:$C$5809,J$46,'Data Angt'!$F$5:$F$5809,"&lt;=60",'Data Angt'!$H$5:$H$5809,$C92)-COUNTIFS('Data Angt'!$C$5:$C$5809,J$46,'Data Angt'!$F$5:$F$5809,"&lt;46",'Data Angt'!$H$5:$H$5809,$C92)</f>
        <v>6</v>
      </c>
      <c r="K92" s="2">
        <f>COUNTIFS('Data Angt'!$C$5:$C$5809,K$46,'Data Angt'!$F$5:$F$5809,"&lt;=60",'Data Angt'!$H$5:$H$5809,$C92)-COUNTIFS('Data Angt'!$C$5:$C$5809,K$46,'Data Angt'!$F$5:$F$5809,"&lt;46",'Data Angt'!$H$5:$H$5809,$C92)</f>
        <v>4</v>
      </c>
      <c r="L92" s="187">
        <f>COUNTIFS('Data Angt'!$C$5:$C$5809,L$46,'Data Angt'!$F$5:$F$5809,"&lt;=60",'Data Angt'!$H$5:$H$5809,$C92)-COUNTIFS('Data Angt'!$C$5:$C$5809,L$46,'Data Angt'!$F$5:$F$5809,"&lt;46",'Data Angt'!$H$5:$H$5809,$C92)</f>
        <v>3</v>
      </c>
    </row>
    <row r="93" spans="2:12" x14ac:dyDescent="0.3">
      <c r="B93" s="327"/>
      <c r="C93" s="67" t="s">
        <v>337</v>
      </c>
      <c r="D93" s="2">
        <f>COUNTIFS('Data Angt'!$F$5:$F$5809,"&lt;=60",'Data Angt'!$H$5:$H$5809,C93)-COUNTIFS('Data Angt'!$F$5:$F$5809,"&lt;46",'Data Angt'!$H$5:$H$5809,C93)</f>
        <v>1</v>
      </c>
      <c r="E93" s="4">
        <f t="shared" si="12"/>
        <v>1.7226528854435831E-4</v>
      </c>
      <c r="F93" s="2">
        <f>COUNTIFS('Data Angt'!$C$5:$C$5809,F$46,'Data Angt'!$F$5:$F$5809,"&lt;=60",'Data Angt'!$H$5:$H$5809,$C93)-COUNTIFS('Data Angt'!$C$5:$C$5809,F$46,'Data Angt'!$F$5:$F$5809,"&lt;46",'Data Angt'!$H$5:$H$5809,$C93)</f>
        <v>0</v>
      </c>
      <c r="G93" s="2">
        <f>COUNTIFS('Data Angt'!$C$5:$C$5809,G$46,'Data Angt'!$F$5:$F$5809,"&lt;=60",'Data Angt'!$H$5:$H$5809,$C93)-COUNTIFS('Data Angt'!$C$5:$C$5809,G$46,'Data Angt'!$F$5:$F$5809,"&lt;46",'Data Angt'!$H$5:$H$5809,$C93)</f>
        <v>0</v>
      </c>
      <c r="H93" s="2">
        <f>COUNTIFS('Data Angt'!$C$5:$C$5809,H$46,'Data Angt'!$F$5:$F$5809,"&lt;=60",'Data Angt'!$H$5:$H$5809,$C93)-COUNTIFS('Data Angt'!$C$5:$C$5809,H$46,'Data Angt'!$F$5:$F$5809,"&lt;46",'Data Angt'!$H$5:$H$5809,$C93)</f>
        <v>0</v>
      </c>
      <c r="I93" s="2">
        <f>COUNTIFS('Data Angt'!$C$5:$C$5809,I$46,'Data Angt'!$F$5:$F$5809,"&lt;=60",'Data Angt'!$H$5:$H$5809,$C93)-COUNTIFS('Data Angt'!$C$5:$C$5809,I$46,'Data Angt'!$F$5:$F$5809,"&lt;46",'Data Angt'!$H$5:$H$5809,$C93)</f>
        <v>0</v>
      </c>
      <c r="J93" s="2">
        <f>COUNTIFS('Data Angt'!$C$5:$C$5809,J$46,'Data Angt'!$F$5:$F$5809,"&lt;=60",'Data Angt'!$H$5:$H$5809,$C93)-COUNTIFS('Data Angt'!$C$5:$C$5809,J$46,'Data Angt'!$F$5:$F$5809,"&lt;46",'Data Angt'!$H$5:$H$5809,$C93)</f>
        <v>0</v>
      </c>
      <c r="K93" s="2">
        <f>COUNTIFS('Data Angt'!$C$5:$C$5809,K$46,'Data Angt'!$F$5:$F$5809,"&lt;=60",'Data Angt'!$H$5:$H$5809,$C93)-COUNTIFS('Data Angt'!$C$5:$C$5809,K$46,'Data Angt'!$F$5:$F$5809,"&lt;46",'Data Angt'!$H$5:$H$5809,$C93)</f>
        <v>1</v>
      </c>
      <c r="L93" s="187">
        <f>COUNTIFS('Data Angt'!$C$5:$C$5809,L$46,'Data Angt'!$F$5:$F$5809,"&lt;=60",'Data Angt'!$H$5:$H$5809,$C93)-COUNTIFS('Data Angt'!$C$5:$C$5809,L$46,'Data Angt'!$F$5:$F$5809,"&lt;46",'Data Angt'!$H$5:$H$5809,$C93)</f>
        <v>0</v>
      </c>
    </row>
    <row r="94" spans="2:12" x14ac:dyDescent="0.3">
      <c r="B94" s="327"/>
      <c r="C94" s="67" t="s">
        <v>9791</v>
      </c>
      <c r="D94" s="2">
        <f>COUNTIFS('Data Angt'!$F$5:$F$5809,"&lt;=60",'Data Angt'!$H$5:$H$5809,C94)-COUNTIFS('Data Angt'!$F$5:$F$5809,"&lt;46",'Data Angt'!$H$5:$H$5809,C94)</f>
        <v>31</v>
      </c>
      <c r="E94" s="4">
        <f t="shared" si="12"/>
        <v>5.3402239448751077E-3</v>
      </c>
      <c r="F94" s="2">
        <f>COUNTIFS('Data Angt'!$C$5:$C$5809,F$46,'Data Angt'!$F$5:$F$5809,"&lt;=60",'Data Angt'!$H$5:$H$5809,$C94)-COUNTIFS('Data Angt'!$C$5:$C$5809,F$46,'Data Angt'!$F$5:$F$5809,"&lt;46",'Data Angt'!$H$5:$H$5809,$C94)</f>
        <v>20</v>
      </c>
      <c r="G94" s="2">
        <f>COUNTIFS('Data Angt'!$C$5:$C$5809,G$46,'Data Angt'!$F$5:$F$5809,"&lt;=60",'Data Angt'!$H$5:$H$5809,$C94)-COUNTIFS('Data Angt'!$C$5:$C$5809,G$46,'Data Angt'!$F$5:$F$5809,"&lt;46",'Data Angt'!$H$5:$H$5809,$C94)</f>
        <v>0</v>
      </c>
      <c r="H94" s="2">
        <f>COUNTIFS('Data Angt'!$C$5:$C$5809,H$46,'Data Angt'!$F$5:$F$5809,"&lt;=60",'Data Angt'!$H$5:$H$5809,$C94)-COUNTIFS('Data Angt'!$C$5:$C$5809,H$46,'Data Angt'!$F$5:$F$5809,"&lt;46",'Data Angt'!$H$5:$H$5809,$C94)</f>
        <v>6</v>
      </c>
      <c r="I94" s="2">
        <f>COUNTIFS('Data Angt'!$C$5:$C$5809,I$46,'Data Angt'!$F$5:$F$5809,"&lt;=60",'Data Angt'!$H$5:$H$5809,$C94)-COUNTIFS('Data Angt'!$C$5:$C$5809,I$46,'Data Angt'!$F$5:$F$5809,"&lt;46",'Data Angt'!$H$5:$H$5809,$C94)</f>
        <v>1</v>
      </c>
      <c r="J94" s="2">
        <f>COUNTIFS('Data Angt'!$C$5:$C$5809,J$46,'Data Angt'!$F$5:$F$5809,"&lt;=60",'Data Angt'!$H$5:$H$5809,$C94)-COUNTIFS('Data Angt'!$C$5:$C$5809,J$46,'Data Angt'!$F$5:$F$5809,"&lt;46",'Data Angt'!$H$5:$H$5809,$C94)</f>
        <v>0</v>
      </c>
      <c r="K94" s="2">
        <f>COUNTIFS('Data Angt'!$C$5:$C$5809,K$46,'Data Angt'!$F$5:$F$5809,"&lt;=60",'Data Angt'!$H$5:$H$5809,$C94)-COUNTIFS('Data Angt'!$C$5:$C$5809,K$46,'Data Angt'!$F$5:$F$5809,"&lt;46",'Data Angt'!$H$5:$H$5809,$C94)</f>
        <v>3</v>
      </c>
      <c r="L94" s="187">
        <f>COUNTIFS('Data Angt'!$C$5:$C$5809,L$46,'Data Angt'!$F$5:$F$5809,"&lt;=60",'Data Angt'!$H$5:$H$5809,$C94)-COUNTIFS('Data Angt'!$C$5:$C$5809,L$46,'Data Angt'!$F$5:$F$5809,"&lt;46",'Data Angt'!$H$5:$H$5809,$C94)</f>
        <v>1</v>
      </c>
    </row>
    <row r="95" spans="2:12" x14ac:dyDescent="0.3">
      <c r="B95" s="327"/>
      <c r="C95" s="67" t="s">
        <v>31</v>
      </c>
      <c r="D95" s="2">
        <f>COUNTIFS('Data Angt'!$F$5:$F$5809,"&lt;=60",'Data Angt'!$H$5:$H$5809,C95)-COUNTIFS('Data Angt'!$F$5:$F$5809,"&lt;46",'Data Angt'!$H$5:$H$5809,C95)</f>
        <v>339</v>
      </c>
      <c r="E95" s="4">
        <f t="shared" si="12"/>
        <v>5.8397932816537469E-2</v>
      </c>
      <c r="F95" s="2">
        <f>COUNTIFS('Data Angt'!$C$5:$C$5809,F$46,'Data Angt'!$F$5:$F$5809,"&lt;=60",'Data Angt'!$H$5:$H$5809,$C95)-COUNTIFS('Data Angt'!$C$5:$C$5809,F$46,'Data Angt'!$F$5:$F$5809,"&lt;46",'Data Angt'!$H$5:$H$5809,$C95)</f>
        <v>143</v>
      </c>
      <c r="G95" s="2">
        <f>COUNTIFS('Data Angt'!$C$5:$C$5809,G$46,'Data Angt'!$F$5:$F$5809,"&lt;=60",'Data Angt'!$H$5:$H$5809,$C95)-COUNTIFS('Data Angt'!$C$5:$C$5809,G$46,'Data Angt'!$F$5:$F$5809,"&lt;46",'Data Angt'!$H$5:$H$5809,$C95)</f>
        <v>28</v>
      </c>
      <c r="H95" s="2">
        <f>COUNTIFS('Data Angt'!$C$5:$C$5809,H$46,'Data Angt'!$F$5:$F$5809,"&lt;=60",'Data Angt'!$H$5:$H$5809,$C95)-COUNTIFS('Data Angt'!$C$5:$C$5809,H$46,'Data Angt'!$F$5:$F$5809,"&lt;46",'Data Angt'!$H$5:$H$5809,$C95)</f>
        <v>96</v>
      </c>
      <c r="I95" s="2">
        <f>COUNTIFS('Data Angt'!$C$5:$C$5809,I$46,'Data Angt'!$F$5:$F$5809,"&lt;=60",'Data Angt'!$H$5:$H$5809,$C95)-COUNTIFS('Data Angt'!$C$5:$C$5809,I$46,'Data Angt'!$F$5:$F$5809,"&lt;46",'Data Angt'!$H$5:$H$5809,$C95)</f>
        <v>21</v>
      </c>
      <c r="J95" s="2">
        <f>COUNTIFS('Data Angt'!$C$5:$C$5809,J$46,'Data Angt'!$F$5:$F$5809,"&lt;=60",'Data Angt'!$H$5:$H$5809,$C95)-COUNTIFS('Data Angt'!$C$5:$C$5809,J$46,'Data Angt'!$F$5:$F$5809,"&lt;46",'Data Angt'!$H$5:$H$5809,$C95)</f>
        <v>16</v>
      </c>
      <c r="K95" s="2">
        <f>COUNTIFS('Data Angt'!$C$5:$C$5809,K$46,'Data Angt'!$F$5:$F$5809,"&lt;=60",'Data Angt'!$H$5:$H$5809,$C95)-COUNTIFS('Data Angt'!$C$5:$C$5809,K$46,'Data Angt'!$F$5:$F$5809,"&lt;46",'Data Angt'!$H$5:$H$5809,$C95)</f>
        <v>20</v>
      </c>
      <c r="L95" s="187">
        <f>COUNTIFS('Data Angt'!$C$5:$C$5809,L$46,'Data Angt'!$F$5:$F$5809,"&lt;=60",'Data Angt'!$H$5:$H$5809,$C95)-COUNTIFS('Data Angt'!$C$5:$C$5809,L$46,'Data Angt'!$F$5:$F$5809,"&lt;46",'Data Angt'!$H$5:$H$5809,$C95)</f>
        <v>15</v>
      </c>
    </row>
    <row r="96" spans="2:12" x14ac:dyDescent="0.3">
      <c r="B96" s="327"/>
      <c r="C96" s="67" t="s">
        <v>9787</v>
      </c>
      <c r="D96" s="2">
        <f>COUNTIFS('Data Angt'!$F$5:$F$5809,"&lt;=60",'Data Angt'!$H$5:$H$5809,C96)-COUNTIFS('Data Angt'!$F$5:$F$5809,"&lt;46",'Data Angt'!$H$5:$H$5809,C96)</f>
        <v>11</v>
      </c>
      <c r="E96" s="4">
        <f t="shared" si="12"/>
        <v>1.8949181739879415E-3</v>
      </c>
      <c r="F96" s="2">
        <f>COUNTIFS('Data Angt'!$C$5:$C$5809,F$46,'Data Angt'!$F$5:$F$5809,"&lt;=60",'Data Angt'!$H$5:$H$5809,$C96)-COUNTIFS('Data Angt'!$C$5:$C$5809,F$46,'Data Angt'!$F$5:$F$5809,"&lt;46",'Data Angt'!$H$5:$H$5809,$C96)</f>
        <v>6</v>
      </c>
      <c r="G96" s="2">
        <f>COUNTIFS('Data Angt'!$C$5:$C$5809,G$46,'Data Angt'!$F$5:$F$5809,"&lt;=60",'Data Angt'!$H$5:$H$5809,$C96)-COUNTIFS('Data Angt'!$C$5:$C$5809,G$46,'Data Angt'!$F$5:$F$5809,"&lt;46",'Data Angt'!$H$5:$H$5809,$C96)</f>
        <v>2</v>
      </c>
      <c r="H96" s="2">
        <f>COUNTIFS('Data Angt'!$C$5:$C$5809,H$46,'Data Angt'!$F$5:$F$5809,"&lt;=60",'Data Angt'!$H$5:$H$5809,$C96)-COUNTIFS('Data Angt'!$C$5:$C$5809,H$46,'Data Angt'!$F$5:$F$5809,"&lt;46",'Data Angt'!$H$5:$H$5809,$C96)</f>
        <v>2</v>
      </c>
      <c r="I96" s="2">
        <f>COUNTIFS('Data Angt'!$C$5:$C$5809,I$46,'Data Angt'!$F$5:$F$5809,"&lt;=60",'Data Angt'!$H$5:$H$5809,$C96)-COUNTIFS('Data Angt'!$C$5:$C$5809,I$46,'Data Angt'!$F$5:$F$5809,"&lt;46",'Data Angt'!$H$5:$H$5809,$C96)</f>
        <v>1</v>
      </c>
      <c r="J96" s="2">
        <f>COUNTIFS('Data Angt'!$C$5:$C$5809,J$46,'Data Angt'!$F$5:$F$5809,"&lt;=60",'Data Angt'!$H$5:$H$5809,$C96)-COUNTIFS('Data Angt'!$C$5:$C$5809,J$46,'Data Angt'!$F$5:$F$5809,"&lt;46",'Data Angt'!$H$5:$H$5809,$C96)</f>
        <v>0</v>
      </c>
      <c r="K96" s="2">
        <f>COUNTIFS('Data Angt'!$C$5:$C$5809,K$46,'Data Angt'!$F$5:$F$5809,"&lt;=60",'Data Angt'!$H$5:$H$5809,$C96)-COUNTIFS('Data Angt'!$C$5:$C$5809,K$46,'Data Angt'!$F$5:$F$5809,"&lt;46",'Data Angt'!$H$5:$H$5809,$C96)</f>
        <v>0</v>
      </c>
      <c r="L96" s="187">
        <f>COUNTIFS('Data Angt'!$C$5:$C$5809,L$46,'Data Angt'!$F$5:$F$5809,"&lt;=60",'Data Angt'!$H$5:$H$5809,$C96)-COUNTIFS('Data Angt'!$C$5:$C$5809,L$46,'Data Angt'!$F$5:$F$5809,"&lt;46",'Data Angt'!$H$5:$H$5809,$C96)</f>
        <v>0</v>
      </c>
    </row>
    <row r="97" spans="2:12" x14ac:dyDescent="0.3">
      <c r="B97" s="327"/>
      <c r="C97" s="67" t="s">
        <v>12065</v>
      </c>
      <c r="D97" s="2">
        <f>COUNTIFS('Data Angt'!$F$5:$F$5809,"&lt;=60",'Data Angt'!$H$5:$H$5809,C97)-COUNTIFS('Data Angt'!$F$5:$F$5809,"&lt;46",'Data Angt'!$H$5:$H$5809,C97)</f>
        <v>20</v>
      </c>
      <c r="E97" s="4">
        <f t="shared" si="12"/>
        <v>3.4453057708871662E-3</v>
      </c>
      <c r="F97" s="2">
        <f>COUNTIFS('Data Angt'!$C$5:$C$5809,F$46,'Data Angt'!$F$5:$F$5809,"&lt;=60",'Data Angt'!$H$5:$H$5809,$C97)-COUNTIFS('Data Angt'!$C$5:$C$5809,F$46,'Data Angt'!$F$5:$F$5809,"&lt;46",'Data Angt'!$H$5:$H$5809,$C97)</f>
        <v>7</v>
      </c>
      <c r="G97" s="2">
        <f>COUNTIFS('Data Angt'!$C$5:$C$5809,G$46,'Data Angt'!$F$5:$F$5809,"&lt;=60",'Data Angt'!$H$5:$H$5809,$C97)-COUNTIFS('Data Angt'!$C$5:$C$5809,G$46,'Data Angt'!$F$5:$F$5809,"&lt;46",'Data Angt'!$H$5:$H$5809,$C97)</f>
        <v>1</v>
      </c>
      <c r="H97" s="2">
        <f>COUNTIFS('Data Angt'!$C$5:$C$5809,H$46,'Data Angt'!$F$5:$F$5809,"&lt;=60",'Data Angt'!$H$5:$H$5809,$C97)-COUNTIFS('Data Angt'!$C$5:$C$5809,H$46,'Data Angt'!$F$5:$F$5809,"&lt;46",'Data Angt'!$H$5:$H$5809,$C97)</f>
        <v>7</v>
      </c>
      <c r="I97" s="2">
        <f>COUNTIFS('Data Angt'!$C$5:$C$5809,I$46,'Data Angt'!$F$5:$F$5809,"&lt;=60",'Data Angt'!$H$5:$H$5809,$C97)-COUNTIFS('Data Angt'!$C$5:$C$5809,I$46,'Data Angt'!$F$5:$F$5809,"&lt;46",'Data Angt'!$H$5:$H$5809,$C97)</f>
        <v>0</v>
      </c>
      <c r="J97" s="2">
        <f>COUNTIFS('Data Angt'!$C$5:$C$5809,J$46,'Data Angt'!$F$5:$F$5809,"&lt;=60",'Data Angt'!$H$5:$H$5809,$C97)-COUNTIFS('Data Angt'!$C$5:$C$5809,J$46,'Data Angt'!$F$5:$F$5809,"&lt;46",'Data Angt'!$H$5:$H$5809,$C97)</f>
        <v>3</v>
      </c>
      <c r="K97" s="2">
        <f>COUNTIFS('Data Angt'!$C$5:$C$5809,K$46,'Data Angt'!$F$5:$F$5809,"&lt;=60",'Data Angt'!$H$5:$H$5809,$C97)-COUNTIFS('Data Angt'!$C$5:$C$5809,K$46,'Data Angt'!$F$5:$F$5809,"&lt;46",'Data Angt'!$H$5:$H$5809,$C97)</f>
        <v>1</v>
      </c>
      <c r="L97" s="187">
        <f>COUNTIFS('Data Angt'!$C$5:$C$5809,L$46,'Data Angt'!$F$5:$F$5809,"&lt;=60",'Data Angt'!$H$5:$H$5809,$C97)-COUNTIFS('Data Angt'!$C$5:$C$5809,L$46,'Data Angt'!$F$5:$F$5809,"&lt;46",'Data Angt'!$H$5:$H$5809,$C97)</f>
        <v>1</v>
      </c>
    </row>
    <row r="98" spans="2:12" x14ac:dyDescent="0.3">
      <c r="B98" s="327"/>
      <c r="C98" s="67" t="s">
        <v>12074</v>
      </c>
      <c r="D98" s="2">
        <f>COUNTIFS('Data Angt'!$F$5:$F$5809,"&lt;=60",'Data Angt'!$H$5:$H$5809,C98)-COUNTIFS('Data Angt'!$F$5:$F$5809,"&lt;46",'Data Angt'!$H$5:$H$5809,C98)</f>
        <v>33</v>
      </c>
      <c r="E98" s="4">
        <f t="shared" si="12"/>
        <v>5.6847545219638239E-3</v>
      </c>
      <c r="F98" s="2">
        <f>COUNTIFS('Data Angt'!$C$5:$C$5809,F$46,'Data Angt'!$F$5:$F$5809,"&lt;=60",'Data Angt'!$H$5:$H$5809,$C98)-COUNTIFS('Data Angt'!$C$5:$C$5809,F$46,'Data Angt'!$F$5:$F$5809,"&lt;46",'Data Angt'!$H$5:$H$5809,$C98)</f>
        <v>5</v>
      </c>
      <c r="G98" s="2">
        <f>COUNTIFS('Data Angt'!$C$5:$C$5809,G$46,'Data Angt'!$F$5:$F$5809,"&lt;=60",'Data Angt'!$H$5:$H$5809,$C98)-COUNTIFS('Data Angt'!$C$5:$C$5809,G$46,'Data Angt'!$F$5:$F$5809,"&lt;46",'Data Angt'!$H$5:$H$5809,$C98)</f>
        <v>13</v>
      </c>
      <c r="H98" s="2">
        <f>COUNTIFS('Data Angt'!$C$5:$C$5809,H$46,'Data Angt'!$F$5:$F$5809,"&lt;=60",'Data Angt'!$H$5:$H$5809,$C98)-COUNTIFS('Data Angt'!$C$5:$C$5809,H$46,'Data Angt'!$F$5:$F$5809,"&lt;46",'Data Angt'!$H$5:$H$5809,$C98)</f>
        <v>5</v>
      </c>
      <c r="I98" s="2">
        <f>COUNTIFS('Data Angt'!$C$5:$C$5809,I$46,'Data Angt'!$F$5:$F$5809,"&lt;=60",'Data Angt'!$H$5:$H$5809,$C98)-COUNTIFS('Data Angt'!$C$5:$C$5809,I$46,'Data Angt'!$F$5:$F$5809,"&lt;46",'Data Angt'!$H$5:$H$5809,$C98)</f>
        <v>3</v>
      </c>
      <c r="J98" s="2">
        <f>COUNTIFS('Data Angt'!$C$5:$C$5809,J$46,'Data Angt'!$F$5:$F$5809,"&lt;=60",'Data Angt'!$H$5:$H$5809,$C98)-COUNTIFS('Data Angt'!$C$5:$C$5809,J$46,'Data Angt'!$F$5:$F$5809,"&lt;46",'Data Angt'!$H$5:$H$5809,$C98)</f>
        <v>0</v>
      </c>
      <c r="K98" s="2">
        <f>COUNTIFS('Data Angt'!$C$5:$C$5809,K$46,'Data Angt'!$F$5:$F$5809,"&lt;=60",'Data Angt'!$H$5:$H$5809,$C98)-COUNTIFS('Data Angt'!$C$5:$C$5809,K$46,'Data Angt'!$F$5:$F$5809,"&lt;46",'Data Angt'!$H$5:$H$5809,$C98)</f>
        <v>7</v>
      </c>
      <c r="L98" s="187">
        <f>COUNTIFS('Data Angt'!$C$5:$C$5809,L$46,'Data Angt'!$F$5:$F$5809,"&lt;=60",'Data Angt'!$H$5:$H$5809,$C98)-COUNTIFS('Data Angt'!$C$5:$C$5809,L$46,'Data Angt'!$F$5:$F$5809,"&lt;46",'Data Angt'!$H$5:$H$5809,$C98)</f>
        <v>0</v>
      </c>
    </row>
    <row r="99" spans="2:12" x14ac:dyDescent="0.3">
      <c r="B99" s="327"/>
      <c r="C99" s="67" t="s">
        <v>13</v>
      </c>
      <c r="D99" s="2">
        <f>COUNTIFS('Data Angt'!$F$5:$F$5809,"&lt;=60",'Data Angt'!$H$5:$H$5809,C99)-COUNTIFS('Data Angt'!$F$5:$F$5809,"&lt;46",'Data Angt'!$H$5:$H$5809,C99)</f>
        <v>21</v>
      </c>
      <c r="E99" s="4">
        <f t="shared" si="12"/>
        <v>3.6175710594315244E-3</v>
      </c>
      <c r="F99" s="2">
        <f>COUNTIFS('Data Angt'!$C$5:$C$5809,F$46,'Data Angt'!$F$5:$F$5809,"&lt;=60",'Data Angt'!$H$5:$H$5809,$C99)-COUNTIFS('Data Angt'!$C$5:$C$5809,F$46,'Data Angt'!$F$5:$F$5809,"&lt;46",'Data Angt'!$H$5:$H$5809,$C99)</f>
        <v>11</v>
      </c>
      <c r="G99" s="2">
        <f>COUNTIFS('Data Angt'!$C$5:$C$5809,G$46,'Data Angt'!$F$5:$F$5809,"&lt;=60",'Data Angt'!$H$5:$H$5809,$C99)-COUNTIFS('Data Angt'!$C$5:$C$5809,G$46,'Data Angt'!$F$5:$F$5809,"&lt;46",'Data Angt'!$H$5:$H$5809,$C99)</f>
        <v>1</v>
      </c>
      <c r="H99" s="2">
        <f>COUNTIFS('Data Angt'!$C$5:$C$5809,H$46,'Data Angt'!$F$5:$F$5809,"&lt;=60",'Data Angt'!$H$5:$H$5809,$C99)-COUNTIFS('Data Angt'!$C$5:$C$5809,H$46,'Data Angt'!$F$5:$F$5809,"&lt;46",'Data Angt'!$H$5:$H$5809,$C99)</f>
        <v>4</v>
      </c>
      <c r="I99" s="2">
        <f>COUNTIFS('Data Angt'!$C$5:$C$5809,I$46,'Data Angt'!$F$5:$F$5809,"&lt;=60",'Data Angt'!$H$5:$H$5809,$C99)-COUNTIFS('Data Angt'!$C$5:$C$5809,I$46,'Data Angt'!$F$5:$F$5809,"&lt;46",'Data Angt'!$H$5:$H$5809,$C99)</f>
        <v>1</v>
      </c>
      <c r="J99" s="2">
        <f>COUNTIFS('Data Angt'!$C$5:$C$5809,J$46,'Data Angt'!$F$5:$F$5809,"&lt;=60",'Data Angt'!$H$5:$H$5809,$C99)-COUNTIFS('Data Angt'!$C$5:$C$5809,J$46,'Data Angt'!$F$5:$F$5809,"&lt;46",'Data Angt'!$H$5:$H$5809,$C99)</f>
        <v>2</v>
      </c>
      <c r="K99" s="2">
        <f>COUNTIFS('Data Angt'!$C$5:$C$5809,K$46,'Data Angt'!$F$5:$F$5809,"&lt;=60",'Data Angt'!$H$5:$H$5809,$C99)-COUNTIFS('Data Angt'!$C$5:$C$5809,K$46,'Data Angt'!$F$5:$F$5809,"&lt;46",'Data Angt'!$H$5:$H$5809,$C99)</f>
        <v>2</v>
      </c>
      <c r="L99" s="187">
        <f>COUNTIFS('Data Angt'!$C$5:$C$5809,L$46,'Data Angt'!$F$5:$F$5809,"&lt;=60",'Data Angt'!$H$5:$H$5809,$C99)-COUNTIFS('Data Angt'!$C$5:$C$5809,L$46,'Data Angt'!$F$5:$F$5809,"&lt;46",'Data Angt'!$H$5:$H$5809,$C99)</f>
        <v>0</v>
      </c>
    </row>
    <row r="100" spans="2:12" x14ac:dyDescent="0.3">
      <c r="B100" s="327"/>
      <c r="C100" s="67" t="s">
        <v>243</v>
      </c>
      <c r="D100" s="2">
        <f>COUNTIFS('Data Angt'!$F$5:$F$5809,"&lt;=60",'Data Angt'!$H$5:$H$5809,C100)-COUNTIFS('Data Angt'!$F$5:$F$5809,"&lt;46",'Data Angt'!$H$5:$H$5809,C100)</f>
        <v>30</v>
      </c>
      <c r="E100" s="4">
        <f t="shared" si="12"/>
        <v>5.1679586563307496E-3</v>
      </c>
      <c r="F100" s="2">
        <f>COUNTIFS('Data Angt'!$C$5:$C$5809,F$46,'Data Angt'!$F$5:$F$5809,"&lt;=60",'Data Angt'!$H$5:$H$5809,$C100)-COUNTIFS('Data Angt'!$C$5:$C$5809,F$46,'Data Angt'!$F$5:$F$5809,"&lt;46",'Data Angt'!$H$5:$H$5809,$C100)</f>
        <v>9</v>
      </c>
      <c r="G100" s="2">
        <f>COUNTIFS('Data Angt'!$C$5:$C$5809,G$46,'Data Angt'!$F$5:$F$5809,"&lt;=60",'Data Angt'!$H$5:$H$5809,$C100)-COUNTIFS('Data Angt'!$C$5:$C$5809,G$46,'Data Angt'!$F$5:$F$5809,"&lt;46",'Data Angt'!$H$5:$H$5809,$C100)</f>
        <v>5</v>
      </c>
      <c r="H100" s="2">
        <f>COUNTIFS('Data Angt'!$C$5:$C$5809,H$46,'Data Angt'!$F$5:$F$5809,"&lt;=60",'Data Angt'!$H$5:$H$5809,$C100)-COUNTIFS('Data Angt'!$C$5:$C$5809,H$46,'Data Angt'!$F$5:$F$5809,"&lt;46",'Data Angt'!$H$5:$H$5809,$C100)</f>
        <v>0</v>
      </c>
      <c r="I100" s="2">
        <f>COUNTIFS('Data Angt'!$C$5:$C$5809,I$46,'Data Angt'!$F$5:$F$5809,"&lt;=60",'Data Angt'!$H$5:$H$5809,$C100)-COUNTIFS('Data Angt'!$C$5:$C$5809,I$46,'Data Angt'!$F$5:$F$5809,"&lt;46",'Data Angt'!$H$5:$H$5809,$C100)</f>
        <v>0</v>
      </c>
      <c r="J100" s="2">
        <f>COUNTIFS('Data Angt'!$C$5:$C$5809,J$46,'Data Angt'!$F$5:$F$5809,"&lt;=60",'Data Angt'!$H$5:$H$5809,$C100)-COUNTIFS('Data Angt'!$C$5:$C$5809,J$46,'Data Angt'!$F$5:$F$5809,"&lt;46",'Data Angt'!$H$5:$H$5809,$C100)</f>
        <v>9</v>
      </c>
      <c r="K100" s="2">
        <f>COUNTIFS('Data Angt'!$C$5:$C$5809,K$46,'Data Angt'!$F$5:$F$5809,"&lt;=60",'Data Angt'!$H$5:$H$5809,$C100)-COUNTIFS('Data Angt'!$C$5:$C$5809,K$46,'Data Angt'!$F$5:$F$5809,"&lt;46",'Data Angt'!$H$5:$H$5809,$C100)</f>
        <v>7</v>
      </c>
      <c r="L100" s="187">
        <f>COUNTIFS('Data Angt'!$C$5:$C$5809,L$46,'Data Angt'!$F$5:$F$5809,"&lt;=60",'Data Angt'!$H$5:$H$5809,$C100)-COUNTIFS('Data Angt'!$C$5:$C$5809,L$46,'Data Angt'!$F$5:$F$5809,"&lt;46",'Data Angt'!$H$5:$H$5809,$C100)</f>
        <v>0</v>
      </c>
    </row>
    <row r="101" spans="2:12" x14ac:dyDescent="0.3">
      <c r="B101" s="327"/>
      <c r="C101" s="67" t="s">
        <v>12075</v>
      </c>
      <c r="D101" s="2">
        <f>COUNTIFS('Data Angt'!$F$5:$F$5809,"&lt;=60",'Data Angt'!$H$5:$H$5809,C101)-COUNTIFS('Data Angt'!$F$5:$F$5809,"&lt;46",'Data Angt'!$H$5:$H$5809,C101)</f>
        <v>106</v>
      </c>
      <c r="E101" s="4">
        <f t="shared" si="12"/>
        <v>1.8260120585701981E-2</v>
      </c>
      <c r="F101" s="2">
        <f>COUNTIFS('Data Angt'!$C$5:$C$5809,F$46,'Data Angt'!$F$5:$F$5809,"&lt;=60",'Data Angt'!$H$5:$H$5809,$C101)-COUNTIFS('Data Angt'!$C$5:$C$5809,F$46,'Data Angt'!$F$5:$F$5809,"&lt;46",'Data Angt'!$H$5:$H$5809,$C101)</f>
        <v>64</v>
      </c>
      <c r="G101" s="2">
        <f>COUNTIFS('Data Angt'!$C$5:$C$5809,G$46,'Data Angt'!$F$5:$F$5809,"&lt;=60",'Data Angt'!$H$5:$H$5809,$C101)-COUNTIFS('Data Angt'!$C$5:$C$5809,G$46,'Data Angt'!$F$5:$F$5809,"&lt;46",'Data Angt'!$H$5:$H$5809,$C101)</f>
        <v>8</v>
      </c>
      <c r="H101" s="2">
        <f>COUNTIFS('Data Angt'!$C$5:$C$5809,H$46,'Data Angt'!$F$5:$F$5809,"&lt;=60",'Data Angt'!$H$5:$H$5809,$C101)-COUNTIFS('Data Angt'!$C$5:$C$5809,H$46,'Data Angt'!$F$5:$F$5809,"&lt;46",'Data Angt'!$H$5:$H$5809,$C101)</f>
        <v>6</v>
      </c>
      <c r="I101" s="2">
        <f>COUNTIFS('Data Angt'!$C$5:$C$5809,I$46,'Data Angt'!$F$5:$F$5809,"&lt;=60",'Data Angt'!$H$5:$H$5809,$C101)-COUNTIFS('Data Angt'!$C$5:$C$5809,I$46,'Data Angt'!$F$5:$F$5809,"&lt;46",'Data Angt'!$H$5:$H$5809,$C101)</f>
        <v>4</v>
      </c>
      <c r="J101" s="2">
        <f>COUNTIFS('Data Angt'!$C$5:$C$5809,J$46,'Data Angt'!$F$5:$F$5809,"&lt;=60",'Data Angt'!$H$5:$H$5809,$C101)-COUNTIFS('Data Angt'!$C$5:$C$5809,J$46,'Data Angt'!$F$5:$F$5809,"&lt;46",'Data Angt'!$H$5:$H$5809,$C101)</f>
        <v>7</v>
      </c>
      <c r="K101" s="2">
        <f>COUNTIFS('Data Angt'!$C$5:$C$5809,K$46,'Data Angt'!$F$5:$F$5809,"&lt;=60",'Data Angt'!$H$5:$H$5809,$C101)-COUNTIFS('Data Angt'!$C$5:$C$5809,K$46,'Data Angt'!$F$5:$F$5809,"&lt;46",'Data Angt'!$H$5:$H$5809,$C101)</f>
        <v>17</v>
      </c>
      <c r="L101" s="187">
        <f>COUNTIFS('Data Angt'!$C$5:$C$5809,L$46,'Data Angt'!$F$5:$F$5809,"&lt;=60",'Data Angt'!$H$5:$H$5809,$C101)-COUNTIFS('Data Angt'!$C$5:$C$5809,L$46,'Data Angt'!$F$5:$F$5809,"&lt;46",'Data Angt'!$H$5:$H$5809,$C101)</f>
        <v>0</v>
      </c>
    </row>
    <row r="102" spans="2:12" ht="15" thickBot="1" x14ac:dyDescent="0.35">
      <c r="B102" s="328"/>
      <c r="C102" s="183" t="s">
        <v>12076</v>
      </c>
      <c r="D102" s="184">
        <f>COUNTIFS('Data Angt'!$F$5:$F$5809,"&lt;=60",'Data Angt'!$H$5:$H$5809,"")-COUNTIFS('Data Angt'!$F$5:$F$5809,"&lt;46",'Data Angt'!$H$5:$H$5809,"")</f>
        <v>66</v>
      </c>
      <c r="E102" s="185">
        <f t="shared" si="12"/>
        <v>1.1369509043927648E-2</v>
      </c>
      <c r="F102" s="184">
        <f>COUNTIFS('Data Angt'!$C$5:$C$5809,F$46,'Data Angt'!$F$5:$F$5809,"&lt;=60",'Data Angt'!$H$5:$H$5809,"")-COUNTIFS('Data Angt'!$C$5:$C$5809,F$46,'Data Angt'!$F$5:$F$5809,"&lt;46",'Data Angt'!$H$5:$H$5809,"")</f>
        <v>50</v>
      </c>
      <c r="G102" s="184">
        <f>COUNTIFS('Data Angt'!$C$5:$C$5809,G$46,'Data Angt'!$F$5:$F$5809,"&lt;=60",'Data Angt'!$H$5:$H$5809,"")-COUNTIFS('Data Angt'!$C$5:$C$5809,G$46,'Data Angt'!$F$5:$F$5809,"&lt;46",'Data Angt'!$H$5:$H$5809,"")</f>
        <v>14</v>
      </c>
      <c r="H102" s="184">
        <f>COUNTIFS('Data Angt'!$C$5:$C$5809,H$46,'Data Angt'!$F$5:$F$5809,"&lt;=60",'Data Angt'!$H$5:$H$5809,"")-COUNTIFS('Data Angt'!$C$5:$C$5809,H$46,'Data Angt'!$F$5:$F$5809,"&lt;46",'Data Angt'!$H$5:$H$5809,"")</f>
        <v>0</v>
      </c>
      <c r="I102" s="184">
        <f>COUNTIFS('Data Angt'!$C$5:$C$5809,I$46,'Data Angt'!$F$5:$F$5809,"&lt;=60",'Data Angt'!$H$5:$H$5809,"")-COUNTIFS('Data Angt'!$C$5:$C$5809,I$46,'Data Angt'!$F$5:$F$5809,"&lt;46",'Data Angt'!$H$5:$H$5809,"")</f>
        <v>0</v>
      </c>
      <c r="J102" s="184">
        <f>COUNTIFS('Data Angt'!$C$5:$C$5809,J$46,'Data Angt'!$F$5:$F$5809,"&lt;=60",'Data Angt'!$H$5:$H$5809,"")-COUNTIFS('Data Angt'!$C$5:$C$5809,J$46,'Data Angt'!$F$5:$F$5809,"&lt;46",'Data Angt'!$H$5:$H$5809,"")</f>
        <v>0</v>
      </c>
      <c r="K102" s="184">
        <f>COUNTIFS('Data Angt'!$C$5:$C$5809,K$46,'Data Angt'!$F$5:$F$5809,"&lt;=60",'Data Angt'!$H$5:$H$5809,"")-COUNTIFS('Data Angt'!$C$5:$C$5809,K$46,'Data Angt'!$F$5:$F$5809,"&lt;46",'Data Angt'!$H$5:$H$5809,"")</f>
        <v>1</v>
      </c>
      <c r="L102" s="188">
        <f>COUNTIFS('Data Angt'!$C$5:$C$5809,L$46,'Data Angt'!$F$5:$F$5809,"&lt;=60",'Data Angt'!$H$5:$H$5809,"")-COUNTIFS('Data Angt'!$C$5:$C$5809,L$46,'Data Angt'!$F$5:$F$5809,"&lt;46",'Data Angt'!$H$5:$H$5809,"")</f>
        <v>1</v>
      </c>
    </row>
    <row r="103" spans="2:12" x14ac:dyDescent="0.3">
      <c r="B103" s="326" t="s">
        <v>12080</v>
      </c>
      <c r="C103" s="180" t="s">
        <v>46</v>
      </c>
      <c r="D103" s="181">
        <f>COUNTIFS('Data Angt'!$F$5:$F$5809,"&gt;60",'Data Angt'!$H$5:$H$5809,C103)</f>
        <v>213</v>
      </c>
      <c r="E103" s="182">
        <f t="shared" ref="E103:E116" si="14">D103/$C$42</f>
        <v>3.6692506459948322E-2</v>
      </c>
      <c r="F103" s="181">
        <f>COUNTIFS('Data Angt'!$C$5:$C$5809,F$46,'Data Angt'!$F$5:$F$5809,"&gt;60",'Data Angt'!$H$5:$H$5809,$C103)</f>
        <v>103</v>
      </c>
      <c r="G103" s="181">
        <f>COUNTIFS('Data Angt'!$C$5:$C$5809,G$46,'Data Angt'!$F$5:$F$5809,"&gt;60",'Data Angt'!$H$5:$H$5809,$C103)</f>
        <v>27</v>
      </c>
      <c r="H103" s="181">
        <f>COUNTIFS('Data Angt'!$C$5:$C$5809,H$46,'Data Angt'!$F$5:$F$5809,"&gt;60",'Data Angt'!$H$5:$H$5809,$C103)</f>
        <v>25</v>
      </c>
      <c r="I103" s="181">
        <f>COUNTIFS('Data Angt'!$C$5:$C$5809,I$46,'Data Angt'!$F$5:$F$5809,"&gt;60",'Data Angt'!$H$5:$H$5809,$C103)</f>
        <v>20</v>
      </c>
      <c r="J103" s="181">
        <f>COUNTIFS('Data Angt'!$C$5:$C$5809,J$46,'Data Angt'!$F$5:$F$5809,"&gt;60",'Data Angt'!$H$5:$H$5809,$C103)</f>
        <v>15</v>
      </c>
      <c r="K103" s="181">
        <f>COUNTIFS('Data Angt'!$C$5:$C$5809,K$46,'Data Angt'!$F$5:$F$5809,"&gt;60",'Data Angt'!$H$5:$H$5809,$C103)</f>
        <v>23</v>
      </c>
      <c r="L103" s="186">
        <f>COUNTIFS('Data Angt'!$C$5:$C$5809,L$46,'Data Angt'!$F$5:$F$5809,"&gt;60",'Data Angt'!$H$5:$H$5809,$C103)</f>
        <v>0</v>
      </c>
    </row>
    <row r="104" spans="2:12" x14ac:dyDescent="0.3">
      <c r="B104" s="327"/>
      <c r="C104" s="67" t="s">
        <v>9788</v>
      </c>
      <c r="D104" s="2">
        <f>COUNTIFS('Data Angt'!$F$5:$F$5809,"&gt;60",'Data Angt'!$H$5:$H$5809,C104)</f>
        <v>76</v>
      </c>
      <c r="E104" s="4">
        <f t="shared" si="14"/>
        <v>1.3092161929371232E-2</v>
      </c>
      <c r="F104" s="2">
        <f>COUNTIFS('Data Angt'!$C$5:$C$5809,F$46,'Data Angt'!$F$5:$F$5809,"&gt;60",'Data Angt'!$H$5:$H$5809,$C104)</f>
        <v>33</v>
      </c>
      <c r="G104" s="2">
        <f>COUNTIFS('Data Angt'!$C$5:$C$5809,G$46,'Data Angt'!$F$5:$F$5809,"&gt;60",'Data Angt'!$H$5:$H$5809,$C104)</f>
        <v>10</v>
      </c>
      <c r="H104" s="2">
        <f>COUNTIFS('Data Angt'!$C$5:$C$5809,H$46,'Data Angt'!$F$5:$F$5809,"&gt;60",'Data Angt'!$H$5:$H$5809,$C104)</f>
        <v>11</v>
      </c>
      <c r="I104" s="2">
        <f>COUNTIFS('Data Angt'!$C$5:$C$5809,I$46,'Data Angt'!$F$5:$F$5809,"&gt;60",'Data Angt'!$H$5:$H$5809,$C104)</f>
        <v>6</v>
      </c>
      <c r="J104" s="2">
        <f>COUNTIFS('Data Angt'!$C$5:$C$5809,J$46,'Data Angt'!$F$5:$F$5809,"&gt;60",'Data Angt'!$H$5:$H$5809,$C104)</f>
        <v>0</v>
      </c>
      <c r="K104" s="2">
        <f>COUNTIFS('Data Angt'!$C$5:$C$5809,K$46,'Data Angt'!$F$5:$F$5809,"&gt;60",'Data Angt'!$H$5:$H$5809,$C104)</f>
        <v>16</v>
      </c>
      <c r="L104" s="187">
        <f>COUNTIFS('Data Angt'!$C$5:$C$5809,L$46,'Data Angt'!$F$5:$F$5809,"&gt;60",'Data Angt'!$H$5:$H$5809,$C104)</f>
        <v>0</v>
      </c>
    </row>
    <row r="105" spans="2:12" x14ac:dyDescent="0.3">
      <c r="B105" s="327"/>
      <c r="C105" s="67" t="s">
        <v>9785</v>
      </c>
      <c r="D105" s="2">
        <f>COUNTIFS('Data Angt'!$F$5:$F$5809,"&gt;60",'Data Angt'!$H$5:$H$5809,C105)</f>
        <v>32</v>
      </c>
      <c r="E105" s="4">
        <f t="shared" si="14"/>
        <v>5.5124892334194658E-3</v>
      </c>
      <c r="F105" s="2">
        <f>COUNTIFS('Data Angt'!$C$5:$C$5809,F$46,'Data Angt'!$F$5:$F$5809,"&gt;60",'Data Angt'!$H$5:$H$5809,$C105)</f>
        <v>11</v>
      </c>
      <c r="G105" s="2">
        <f>COUNTIFS('Data Angt'!$C$5:$C$5809,G$46,'Data Angt'!$F$5:$F$5809,"&gt;60",'Data Angt'!$H$5:$H$5809,$C105)</f>
        <v>6</v>
      </c>
      <c r="H105" s="2">
        <f>COUNTIFS('Data Angt'!$C$5:$C$5809,H$46,'Data Angt'!$F$5:$F$5809,"&gt;60",'Data Angt'!$H$5:$H$5809,$C105)</f>
        <v>8</v>
      </c>
      <c r="I105" s="2">
        <f>COUNTIFS('Data Angt'!$C$5:$C$5809,I$46,'Data Angt'!$F$5:$F$5809,"&gt;60",'Data Angt'!$H$5:$H$5809,$C105)</f>
        <v>1</v>
      </c>
      <c r="J105" s="2">
        <f>COUNTIFS('Data Angt'!$C$5:$C$5809,J$46,'Data Angt'!$F$5:$F$5809,"&gt;60",'Data Angt'!$H$5:$H$5809,$C105)</f>
        <v>1</v>
      </c>
      <c r="K105" s="2">
        <f>COUNTIFS('Data Angt'!$C$5:$C$5809,K$46,'Data Angt'!$F$5:$F$5809,"&gt;60",'Data Angt'!$H$5:$H$5809,$C105)</f>
        <v>5</v>
      </c>
      <c r="L105" s="187">
        <f>COUNTIFS('Data Angt'!$C$5:$C$5809,L$46,'Data Angt'!$F$5:$F$5809,"&gt;60",'Data Angt'!$H$5:$H$5809,$C105)</f>
        <v>0</v>
      </c>
    </row>
    <row r="106" spans="2:12" x14ac:dyDescent="0.3">
      <c r="B106" s="327"/>
      <c r="C106" s="67" t="s">
        <v>12099</v>
      </c>
      <c r="D106" s="2">
        <f>COUNTIFS('Data Angt'!$F$5:$F$5809,"&gt;60",'Data Angt'!$H$5:$H$5809,C106)</f>
        <v>45</v>
      </c>
      <c r="E106" s="4">
        <f t="shared" si="14"/>
        <v>7.7519379844961239E-3</v>
      </c>
      <c r="F106" s="2">
        <f>COUNTIFS('Data Angt'!$C$5:$C$5809,F$46,'Data Angt'!$F$5:$F$5809,"&gt;60",'Data Angt'!$H$5:$H$5809,$C106)</f>
        <v>26</v>
      </c>
      <c r="G106" s="2">
        <f>COUNTIFS('Data Angt'!$C$5:$C$5809,G$46,'Data Angt'!$F$5:$F$5809,"&gt;60",'Data Angt'!$H$5:$H$5809,$C106)</f>
        <v>8</v>
      </c>
      <c r="H106" s="2">
        <f>COUNTIFS('Data Angt'!$C$5:$C$5809,H$46,'Data Angt'!$F$5:$F$5809,"&gt;60",'Data Angt'!$H$5:$H$5809,$C106)</f>
        <v>6</v>
      </c>
      <c r="I106" s="2">
        <f>COUNTIFS('Data Angt'!$C$5:$C$5809,I$46,'Data Angt'!$F$5:$F$5809,"&gt;60",'Data Angt'!$H$5:$H$5809,$C106)</f>
        <v>2</v>
      </c>
      <c r="J106" s="2">
        <f>COUNTIFS('Data Angt'!$C$5:$C$5809,J$46,'Data Angt'!$F$5:$F$5809,"&gt;60",'Data Angt'!$H$5:$H$5809,$C106)</f>
        <v>0</v>
      </c>
      <c r="K106" s="2">
        <f>COUNTIFS('Data Angt'!$C$5:$C$5809,K$46,'Data Angt'!$F$5:$F$5809,"&gt;60",'Data Angt'!$H$5:$H$5809,$C106)</f>
        <v>3</v>
      </c>
      <c r="L106" s="187">
        <f>COUNTIFS('Data Angt'!$C$5:$C$5809,L$46,'Data Angt'!$F$5:$F$5809,"&gt;60",'Data Angt'!$H$5:$H$5809,$C106)</f>
        <v>0</v>
      </c>
    </row>
    <row r="107" spans="2:12" x14ac:dyDescent="0.3">
      <c r="B107" s="327"/>
      <c r="C107" s="67" t="s">
        <v>337</v>
      </c>
      <c r="D107" s="2">
        <f>COUNTIFS('Data Angt'!$F$5:$F$5809,"&gt;60",'Data Angt'!$H$5:$H$5809,C107)</f>
        <v>1</v>
      </c>
      <c r="E107" s="4">
        <f t="shared" si="14"/>
        <v>1.7226528854435831E-4</v>
      </c>
      <c r="F107" s="2">
        <f>COUNTIFS('Data Angt'!$C$5:$C$5809,F$46,'Data Angt'!$F$5:$F$5809,"&gt;60",'Data Angt'!$H$5:$H$5809,$C107)</f>
        <v>1</v>
      </c>
      <c r="G107" s="2">
        <f>COUNTIFS('Data Angt'!$C$5:$C$5809,G$46,'Data Angt'!$F$5:$F$5809,"&gt;60",'Data Angt'!$H$5:$H$5809,$C107)</f>
        <v>0</v>
      </c>
      <c r="H107" s="2">
        <f>COUNTIFS('Data Angt'!$C$5:$C$5809,H$46,'Data Angt'!$F$5:$F$5809,"&gt;60",'Data Angt'!$H$5:$H$5809,$C107)</f>
        <v>0</v>
      </c>
      <c r="I107" s="2">
        <f>COUNTIFS('Data Angt'!$C$5:$C$5809,I$46,'Data Angt'!$F$5:$F$5809,"&gt;60",'Data Angt'!$H$5:$H$5809,$C107)</f>
        <v>0</v>
      </c>
      <c r="J107" s="2">
        <f>COUNTIFS('Data Angt'!$C$5:$C$5809,J$46,'Data Angt'!$F$5:$F$5809,"&gt;60",'Data Angt'!$H$5:$H$5809,$C107)</f>
        <v>0</v>
      </c>
      <c r="K107" s="2">
        <f>COUNTIFS('Data Angt'!$C$5:$C$5809,K$46,'Data Angt'!$F$5:$F$5809,"&gt;60",'Data Angt'!$H$5:$H$5809,$C107)</f>
        <v>0</v>
      </c>
      <c r="L107" s="187">
        <f>COUNTIFS('Data Angt'!$C$5:$C$5809,L$46,'Data Angt'!$F$5:$F$5809,"&gt;60",'Data Angt'!$H$5:$H$5809,$C107)</f>
        <v>0</v>
      </c>
    </row>
    <row r="108" spans="2:12" x14ac:dyDescent="0.3">
      <c r="B108" s="327"/>
      <c r="C108" s="67" t="s">
        <v>9791</v>
      </c>
      <c r="D108" s="2">
        <f>COUNTIFS('Data Angt'!$F$5:$F$5809,"&gt;60",'Data Angt'!$H$5:$H$5809,C108)</f>
        <v>13</v>
      </c>
      <c r="E108" s="4">
        <f t="shared" si="14"/>
        <v>2.2394487510766581E-3</v>
      </c>
      <c r="F108" s="2">
        <f>COUNTIFS('Data Angt'!$C$5:$C$5809,F$46,'Data Angt'!$F$5:$F$5809,"&gt;60",'Data Angt'!$H$5:$H$5809,$C108)</f>
        <v>9</v>
      </c>
      <c r="G108" s="2">
        <f>COUNTIFS('Data Angt'!$C$5:$C$5809,G$46,'Data Angt'!$F$5:$F$5809,"&gt;60",'Data Angt'!$H$5:$H$5809,$C108)</f>
        <v>0</v>
      </c>
      <c r="H108" s="2">
        <f>COUNTIFS('Data Angt'!$C$5:$C$5809,H$46,'Data Angt'!$F$5:$F$5809,"&gt;60",'Data Angt'!$H$5:$H$5809,$C108)</f>
        <v>2</v>
      </c>
      <c r="I108" s="2">
        <f>COUNTIFS('Data Angt'!$C$5:$C$5809,I$46,'Data Angt'!$F$5:$F$5809,"&gt;60",'Data Angt'!$H$5:$H$5809,$C108)</f>
        <v>0</v>
      </c>
      <c r="J108" s="2">
        <f>COUNTIFS('Data Angt'!$C$5:$C$5809,J$46,'Data Angt'!$F$5:$F$5809,"&gt;60",'Data Angt'!$H$5:$H$5809,$C108)</f>
        <v>0</v>
      </c>
      <c r="K108" s="2">
        <f>COUNTIFS('Data Angt'!$C$5:$C$5809,K$46,'Data Angt'!$F$5:$F$5809,"&gt;60",'Data Angt'!$H$5:$H$5809,$C108)</f>
        <v>2</v>
      </c>
      <c r="L108" s="187">
        <f>COUNTIFS('Data Angt'!$C$5:$C$5809,L$46,'Data Angt'!$F$5:$F$5809,"&gt;60",'Data Angt'!$H$5:$H$5809,$C108)</f>
        <v>0</v>
      </c>
    </row>
    <row r="109" spans="2:12" x14ac:dyDescent="0.3">
      <c r="B109" s="327"/>
      <c r="C109" s="67" t="s">
        <v>31</v>
      </c>
      <c r="D109" s="2">
        <f>COUNTIFS('Data Angt'!$F$5:$F$5809,"&gt;60",'Data Angt'!$H$5:$H$5809,C109)</f>
        <v>182</v>
      </c>
      <c r="E109" s="4">
        <f t="shared" si="14"/>
        <v>3.1352282515073215E-2</v>
      </c>
      <c r="F109" s="2">
        <f>COUNTIFS('Data Angt'!$C$5:$C$5809,F$46,'Data Angt'!$F$5:$F$5809,"&gt;60",'Data Angt'!$H$5:$H$5809,$C109)</f>
        <v>72</v>
      </c>
      <c r="G109" s="2">
        <f>COUNTIFS('Data Angt'!$C$5:$C$5809,G$46,'Data Angt'!$F$5:$F$5809,"&gt;60",'Data Angt'!$H$5:$H$5809,$C109)</f>
        <v>9</v>
      </c>
      <c r="H109" s="2">
        <f>COUNTIFS('Data Angt'!$C$5:$C$5809,H$46,'Data Angt'!$F$5:$F$5809,"&gt;60",'Data Angt'!$H$5:$H$5809,$C109)</f>
        <v>52</v>
      </c>
      <c r="I109" s="2">
        <f>COUNTIFS('Data Angt'!$C$5:$C$5809,I$46,'Data Angt'!$F$5:$F$5809,"&gt;60",'Data Angt'!$H$5:$H$5809,$C109)</f>
        <v>11</v>
      </c>
      <c r="J109" s="2">
        <f>COUNTIFS('Data Angt'!$C$5:$C$5809,J$46,'Data Angt'!$F$5:$F$5809,"&gt;60",'Data Angt'!$H$5:$H$5809,$C109)</f>
        <v>5</v>
      </c>
      <c r="K109" s="2">
        <f>COUNTIFS('Data Angt'!$C$5:$C$5809,K$46,'Data Angt'!$F$5:$F$5809,"&gt;60",'Data Angt'!$H$5:$H$5809,$C109)</f>
        <v>31</v>
      </c>
      <c r="L109" s="187">
        <f>COUNTIFS('Data Angt'!$C$5:$C$5809,L$46,'Data Angt'!$F$5:$F$5809,"&gt;60",'Data Angt'!$H$5:$H$5809,$C109)</f>
        <v>2</v>
      </c>
    </row>
    <row r="110" spans="2:12" x14ac:dyDescent="0.3">
      <c r="B110" s="327"/>
      <c r="C110" s="67" t="s">
        <v>9787</v>
      </c>
      <c r="D110" s="2">
        <f>COUNTIFS('Data Angt'!$F$5:$F$5809,"&gt;60",'Data Angt'!$H$5:$H$5809,C110)</f>
        <v>3</v>
      </c>
      <c r="E110" s="4">
        <f t="shared" si="14"/>
        <v>5.1679586563307489E-4</v>
      </c>
      <c r="F110" s="2">
        <f>COUNTIFS('Data Angt'!$C$5:$C$5809,F$46,'Data Angt'!$F$5:$F$5809,"&gt;60",'Data Angt'!$H$5:$H$5809,$C110)</f>
        <v>3</v>
      </c>
      <c r="G110" s="2">
        <f>COUNTIFS('Data Angt'!$C$5:$C$5809,G$46,'Data Angt'!$F$5:$F$5809,"&gt;60",'Data Angt'!$H$5:$H$5809,$C110)</f>
        <v>0</v>
      </c>
      <c r="H110" s="2">
        <f>COUNTIFS('Data Angt'!$C$5:$C$5809,H$46,'Data Angt'!$F$5:$F$5809,"&gt;60",'Data Angt'!$H$5:$H$5809,$C110)</f>
        <v>0</v>
      </c>
      <c r="I110" s="2">
        <f>COUNTIFS('Data Angt'!$C$5:$C$5809,I$46,'Data Angt'!$F$5:$F$5809,"&gt;60",'Data Angt'!$H$5:$H$5809,$C110)</f>
        <v>0</v>
      </c>
      <c r="J110" s="2">
        <f>COUNTIFS('Data Angt'!$C$5:$C$5809,J$46,'Data Angt'!$F$5:$F$5809,"&gt;60",'Data Angt'!$H$5:$H$5809,$C110)</f>
        <v>0</v>
      </c>
      <c r="K110" s="2">
        <f>COUNTIFS('Data Angt'!$C$5:$C$5809,K$46,'Data Angt'!$F$5:$F$5809,"&gt;60",'Data Angt'!$H$5:$H$5809,$C110)</f>
        <v>0</v>
      </c>
      <c r="L110" s="187">
        <f>COUNTIFS('Data Angt'!$C$5:$C$5809,L$46,'Data Angt'!$F$5:$F$5809,"&gt;60",'Data Angt'!$H$5:$H$5809,$C110)</f>
        <v>0</v>
      </c>
    </row>
    <row r="111" spans="2:12" x14ac:dyDescent="0.3">
      <c r="B111" s="327"/>
      <c r="C111" s="67" t="s">
        <v>12065</v>
      </c>
      <c r="D111" s="2">
        <f>COUNTIFS('Data Angt'!$F$5:$F$5809,"&gt;60",'Data Angt'!$H$5:$H$5809,C111)</f>
        <v>4</v>
      </c>
      <c r="E111" s="4">
        <f t="shared" si="14"/>
        <v>6.8906115417743323E-4</v>
      </c>
      <c r="F111" s="2">
        <f>COUNTIFS('Data Angt'!$C$5:$C$5809,F$46,'Data Angt'!$F$5:$F$5809,"&gt;60",'Data Angt'!$H$5:$H$5809,$C111)</f>
        <v>2</v>
      </c>
      <c r="G111" s="2">
        <f>COUNTIFS('Data Angt'!$C$5:$C$5809,G$46,'Data Angt'!$F$5:$F$5809,"&gt;60",'Data Angt'!$H$5:$H$5809,$C111)</f>
        <v>0</v>
      </c>
      <c r="H111" s="2">
        <f>COUNTIFS('Data Angt'!$C$5:$C$5809,H$46,'Data Angt'!$F$5:$F$5809,"&gt;60",'Data Angt'!$H$5:$H$5809,$C111)</f>
        <v>1</v>
      </c>
      <c r="I111" s="2">
        <f>COUNTIFS('Data Angt'!$C$5:$C$5809,I$46,'Data Angt'!$F$5:$F$5809,"&gt;60",'Data Angt'!$H$5:$H$5809,$C111)</f>
        <v>0</v>
      </c>
      <c r="J111" s="2">
        <f>COUNTIFS('Data Angt'!$C$5:$C$5809,J$46,'Data Angt'!$F$5:$F$5809,"&gt;60",'Data Angt'!$H$5:$H$5809,$C111)</f>
        <v>0</v>
      </c>
      <c r="K111" s="2">
        <f>COUNTIFS('Data Angt'!$C$5:$C$5809,K$46,'Data Angt'!$F$5:$F$5809,"&gt;60",'Data Angt'!$H$5:$H$5809,$C111)</f>
        <v>1</v>
      </c>
      <c r="L111" s="187">
        <f>COUNTIFS('Data Angt'!$C$5:$C$5809,L$46,'Data Angt'!$F$5:$F$5809,"&gt;60",'Data Angt'!$H$5:$H$5809,$C111)</f>
        <v>0</v>
      </c>
    </row>
    <row r="112" spans="2:12" x14ac:dyDescent="0.3">
      <c r="B112" s="327"/>
      <c r="C112" s="67" t="s">
        <v>12074</v>
      </c>
      <c r="D112" s="2">
        <f>COUNTIFS('Data Angt'!$F$5:$F$5809,"&gt;60",'Data Angt'!$H$5:$H$5809,C112)</f>
        <v>11</v>
      </c>
      <c r="E112" s="4">
        <f t="shared" si="14"/>
        <v>1.8949181739879415E-3</v>
      </c>
      <c r="F112" s="2">
        <f>COUNTIFS('Data Angt'!$C$5:$C$5809,F$46,'Data Angt'!$F$5:$F$5809,"&gt;60",'Data Angt'!$H$5:$H$5809,$C112)</f>
        <v>0</v>
      </c>
      <c r="G112" s="2">
        <f>COUNTIFS('Data Angt'!$C$5:$C$5809,G$46,'Data Angt'!$F$5:$F$5809,"&gt;60",'Data Angt'!$H$5:$H$5809,$C112)</f>
        <v>6</v>
      </c>
      <c r="H112" s="2">
        <f>COUNTIFS('Data Angt'!$C$5:$C$5809,H$46,'Data Angt'!$F$5:$F$5809,"&gt;60",'Data Angt'!$H$5:$H$5809,$C112)</f>
        <v>3</v>
      </c>
      <c r="I112" s="2">
        <f>COUNTIFS('Data Angt'!$C$5:$C$5809,I$46,'Data Angt'!$F$5:$F$5809,"&gt;60",'Data Angt'!$H$5:$H$5809,$C112)</f>
        <v>0</v>
      </c>
      <c r="J112" s="2">
        <f>COUNTIFS('Data Angt'!$C$5:$C$5809,J$46,'Data Angt'!$F$5:$F$5809,"&gt;60",'Data Angt'!$H$5:$H$5809,$C112)</f>
        <v>0</v>
      </c>
      <c r="K112" s="2">
        <f>COUNTIFS('Data Angt'!$C$5:$C$5809,K$46,'Data Angt'!$F$5:$F$5809,"&gt;60",'Data Angt'!$H$5:$H$5809,$C112)</f>
        <v>2</v>
      </c>
      <c r="L112" s="187">
        <f>COUNTIFS('Data Angt'!$C$5:$C$5809,L$46,'Data Angt'!$F$5:$F$5809,"&gt;60",'Data Angt'!$H$5:$H$5809,$C112)</f>
        <v>0</v>
      </c>
    </row>
    <row r="113" spans="2:12" x14ac:dyDescent="0.3">
      <c r="B113" s="327"/>
      <c r="C113" s="67" t="s">
        <v>13</v>
      </c>
      <c r="D113" s="2">
        <f>COUNTIFS('Data Angt'!$F$5:$F$5809,"&gt;60",'Data Angt'!$H$5:$H$5809,C113)</f>
        <v>203</v>
      </c>
      <c r="E113" s="4">
        <f t="shared" si="14"/>
        <v>3.4969853574504738E-2</v>
      </c>
      <c r="F113" s="2">
        <f>COUNTIFS('Data Angt'!$C$5:$C$5809,F$46,'Data Angt'!$F$5:$F$5809,"&gt;60",'Data Angt'!$H$5:$H$5809,$C113)</f>
        <v>93</v>
      </c>
      <c r="G113" s="2">
        <f>COUNTIFS('Data Angt'!$C$5:$C$5809,G$46,'Data Angt'!$F$5:$F$5809,"&gt;60",'Data Angt'!$H$5:$H$5809,$C113)</f>
        <v>27</v>
      </c>
      <c r="H113" s="2">
        <f>COUNTIFS('Data Angt'!$C$5:$C$5809,H$46,'Data Angt'!$F$5:$F$5809,"&gt;60",'Data Angt'!$H$5:$H$5809,$C113)</f>
        <v>34</v>
      </c>
      <c r="I113" s="2">
        <f>COUNTIFS('Data Angt'!$C$5:$C$5809,I$46,'Data Angt'!$F$5:$F$5809,"&gt;60",'Data Angt'!$H$5:$H$5809,$C113)</f>
        <v>18</v>
      </c>
      <c r="J113" s="2">
        <f>COUNTIFS('Data Angt'!$C$5:$C$5809,J$46,'Data Angt'!$F$5:$F$5809,"&gt;60",'Data Angt'!$H$5:$H$5809,$C113)</f>
        <v>15</v>
      </c>
      <c r="K113" s="2">
        <f>COUNTIFS('Data Angt'!$C$5:$C$5809,K$46,'Data Angt'!$F$5:$F$5809,"&gt;60",'Data Angt'!$H$5:$H$5809,$C113)</f>
        <v>16</v>
      </c>
      <c r="L113" s="187">
        <f>COUNTIFS('Data Angt'!$C$5:$C$5809,L$46,'Data Angt'!$F$5:$F$5809,"&gt;60",'Data Angt'!$H$5:$H$5809,$C113)</f>
        <v>0</v>
      </c>
    </row>
    <row r="114" spans="2:12" x14ac:dyDescent="0.3">
      <c r="B114" s="327"/>
      <c r="C114" s="67" t="s">
        <v>243</v>
      </c>
      <c r="D114" s="2">
        <f>COUNTIFS('Data Angt'!$F$5:$F$5809,"&gt;60",'Data Angt'!$H$5:$H$5809,C114)</f>
        <v>13</v>
      </c>
      <c r="E114" s="4">
        <f t="shared" si="14"/>
        <v>2.2394487510766581E-3</v>
      </c>
      <c r="F114" s="2">
        <f>COUNTIFS('Data Angt'!$C$5:$C$5809,F$46,'Data Angt'!$F$5:$F$5809,"&gt;60",'Data Angt'!$H$5:$H$5809,$C114)</f>
        <v>4</v>
      </c>
      <c r="G114" s="2">
        <f>COUNTIFS('Data Angt'!$C$5:$C$5809,G$46,'Data Angt'!$F$5:$F$5809,"&gt;60",'Data Angt'!$H$5:$H$5809,$C114)</f>
        <v>3</v>
      </c>
      <c r="H114" s="2">
        <f>COUNTIFS('Data Angt'!$C$5:$C$5809,H$46,'Data Angt'!$F$5:$F$5809,"&gt;60",'Data Angt'!$H$5:$H$5809,$C114)</f>
        <v>2</v>
      </c>
      <c r="I114" s="2">
        <f>COUNTIFS('Data Angt'!$C$5:$C$5809,I$46,'Data Angt'!$F$5:$F$5809,"&gt;60",'Data Angt'!$H$5:$H$5809,$C114)</f>
        <v>1</v>
      </c>
      <c r="J114" s="2">
        <f>COUNTIFS('Data Angt'!$C$5:$C$5809,J$46,'Data Angt'!$F$5:$F$5809,"&gt;60",'Data Angt'!$H$5:$H$5809,$C114)</f>
        <v>1</v>
      </c>
      <c r="K114" s="2">
        <f>COUNTIFS('Data Angt'!$C$5:$C$5809,K$46,'Data Angt'!$F$5:$F$5809,"&gt;60",'Data Angt'!$H$5:$H$5809,$C114)</f>
        <v>2</v>
      </c>
      <c r="L114" s="187">
        <f>COUNTIFS('Data Angt'!$C$5:$C$5809,L$46,'Data Angt'!$F$5:$F$5809,"&gt;60",'Data Angt'!$H$5:$H$5809,$C114)</f>
        <v>0</v>
      </c>
    </row>
    <row r="115" spans="2:12" x14ac:dyDescent="0.3">
      <c r="B115" s="327"/>
      <c r="C115" s="67" t="s">
        <v>12075</v>
      </c>
      <c r="D115" s="2">
        <f>COUNTIFS('Data Angt'!$F$5:$F$5809,"&gt;60",'Data Angt'!$H$5:$H$5809,C115)</f>
        <v>34</v>
      </c>
      <c r="E115" s="4">
        <f t="shared" si="14"/>
        <v>5.8570198105081829E-3</v>
      </c>
      <c r="F115" s="2">
        <f>COUNTIFS('Data Angt'!$C$5:$C$5809,F$46,'Data Angt'!$F$5:$F$5809,"&gt;60",'Data Angt'!$H$5:$H$5809,$C115)</f>
        <v>21</v>
      </c>
      <c r="G115" s="2">
        <f>COUNTIFS('Data Angt'!$C$5:$C$5809,G$46,'Data Angt'!$F$5:$F$5809,"&gt;60",'Data Angt'!$H$5:$H$5809,$C115)</f>
        <v>1</v>
      </c>
      <c r="H115" s="2">
        <f>COUNTIFS('Data Angt'!$C$5:$C$5809,H$46,'Data Angt'!$F$5:$F$5809,"&gt;60",'Data Angt'!$H$5:$H$5809,$C115)</f>
        <v>4</v>
      </c>
      <c r="I115" s="2">
        <f>COUNTIFS('Data Angt'!$C$5:$C$5809,I$46,'Data Angt'!$F$5:$F$5809,"&gt;60",'Data Angt'!$H$5:$H$5809,$C115)</f>
        <v>2</v>
      </c>
      <c r="J115" s="2">
        <f>COUNTIFS('Data Angt'!$C$5:$C$5809,J$46,'Data Angt'!$F$5:$F$5809,"&gt;60",'Data Angt'!$H$5:$H$5809,$C115)</f>
        <v>1</v>
      </c>
      <c r="K115" s="2">
        <f>COUNTIFS('Data Angt'!$C$5:$C$5809,K$46,'Data Angt'!$F$5:$F$5809,"&gt;60",'Data Angt'!$H$5:$H$5809,$C115)</f>
        <v>5</v>
      </c>
      <c r="L115" s="187">
        <f>COUNTIFS('Data Angt'!$C$5:$C$5809,L$46,'Data Angt'!$F$5:$F$5809,"&gt;60",'Data Angt'!$H$5:$H$5809,$C115)</f>
        <v>0</v>
      </c>
    </row>
    <row r="116" spans="2:12" ht="15" thickBot="1" x14ac:dyDescent="0.35">
      <c r="B116" s="328"/>
      <c r="C116" s="183" t="s">
        <v>12076</v>
      </c>
      <c r="D116" s="184">
        <f>COUNTIFS('Data Angt'!$F$5:$F$5809,"&gt;60",'Data Angt'!$H$5:$H$5809,"")</f>
        <v>40</v>
      </c>
      <c r="E116" s="185">
        <f t="shared" si="14"/>
        <v>6.8906115417743325E-3</v>
      </c>
      <c r="F116" s="184">
        <f>COUNTIFS('Data Angt'!$C$5:$C$5809,F$46,'Data Angt'!$F$5:$F$5809,"&gt;60",'Data Angt'!$H$5:$H$5809,"")</f>
        <v>32</v>
      </c>
      <c r="G116" s="184">
        <f>COUNTIFS('Data Angt'!$C$5:$C$5809,G$46,'Data Angt'!$F$5:$F$5809,"&gt;60",'Data Angt'!$H$5:$H$5809,"")</f>
        <v>8</v>
      </c>
      <c r="H116" s="184">
        <f>COUNTIFS('Data Angt'!$C$5:$C$5809,H$46,'Data Angt'!$F$5:$F$5809,"&gt;60",'Data Angt'!$H$5:$H$5809,"")</f>
        <v>0</v>
      </c>
      <c r="I116" s="184">
        <f>COUNTIFS('Data Angt'!$C$5:$C$5809,I$46,'Data Angt'!$F$5:$F$5809,"&gt;60",'Data Angt'!$H$5:$H$5809,"")</f>
        <v>0</v>
      </c>
      <c r="J116" s="184">
        <f>COUNTIFS('Data Angt'!$C$5:$C$5809,J$46,'Data Angt'!$F$5:$F$5809,"&gt;60",'Data Angt'!$H$5:$H$5809,"")</f>
        <v>0</v>
      </c>
      <c r="K116" s="184">
        <f>COUNTIFS('Data Angt'!$C$5:$C$5809,K$46,'Data Angt'!$F$5:$F$5809,"&gt;60",'Data Angt'!$H$5:$H$5809,"")</f>
        <v>0</v>
      </c>
      <c r="L116" s="188">
        <f>COUNTIFS('Data Angt'!$C$5:$C$5809,L$46,'Data Angt'!$F$5:$F$5809,"&gt;60",'Data Angt'!$H$5:$H$5809,"")</f>
        <v>0</v>
      </c>
    </row>
    <row r="117" spans="2:12" x14ac:dyDescent="0.3">
      <c r="B117" s="326" t="s">
        <v>22184</v>
      </c>
      <c r="C117" s="180" t="s">
        <v>46</v>
      </c>
      <c r="D117" s="181">
        <f>COUNTIFS('Data Angt'!$F$5:$F$5809,"#VALUE!",'Data Angt'!$H$5:$H$5809,C117)</f>
        <v>0</v>
      </c>
      <c r="E117" s="182">
        <f t="shared" si="12"/>
        <v>0</v>
      </c>
      <c r="F117" s="181">
        <f>COUNTIFS('Data Angt'!$C$5:$C$5809,F$46,'Data Angt'!$F$5:$F$5809,"#VALUE!",'Data Angt'!$H$5:$H$5809,$C117)</f>
        <v>0</v>
      </c>
      <c r="G117" s="181">
        <f>COUNTIFS('Data Angt'!$C$5:$C$5809,G$46,'Data Angt'!$F$5:$F$5809,"#VALUE!",'Data Angt'!$H$5:$H$5809,$C117)</f>
        <v>0</v>
      </c>
      <c r="H117" s="181">
        <f>COUNTIFS('Data Angt'!$C$5:$C$5809,H$46,'Data Angt'!$F$5:$F$5809,"#VALUE!",'Data Angt'!$H$5:$H$5809,$C117)</f>
        <v>0</v>
      </c>
      <c r="I117" s="181">
        <f>COUNTIFS('Data Angt'!$C$5:$C$5809,I$46,'Data Angt'!$F$5:$F$5809,"#VALUE!",'Data Angt'!$H$5:$H$5809,$C117)</f>
        <v>0</v>
      </c>
      <c r="J117" s="181">
        <f>COUNTIFS('Data Angt'!$C$5:$C$5809,J$46,'Data Angt'!$F$5:$F$5809,"#VALUE!",'Data Angt'!$H$5:$H$5809,$C117)</f>
        <v>0</v>
      </c>
      <c r="K117" s="181">
        <f>COUNTIFS('Data Angt'!$C$5:$C$5809,K$46,'Data Angt'!$F$5:$F$5809,"#VALUE!",'Data Angt'!$H$5:$H$5809,$C117)</f>
        <v>0</v>
      </c>
      <c r="L117" s="186">
        <f>COUNTIFS('Data Angt'!$C$5:$C$5809,L$46,'Data Angt'!$F$5:$F$5809,"#VALUE!",'Data Angt'!$H$5:$H$5809,$C117)</f>
        <v>0</v>
      </c>
    </row>
    <row r="118" spans="2:12" x14ac:dyDescent="0.3">
      <c r="B118" s="327"/>
      <c r="C118" s="67" t="s">
        <v>9788</v>
      </c>
      <c r="D118" s="2">
        <f>COUNTIFS('Data Angt'!$F$5:$F$5809,"#VALUE!",'Data Angt'!$H$5:$H$5809,C118)</f>
        <v>4</v>
      </c>
      <c r="E118" s="4">
        <f t="shared" si="12"/>
        <v>6.8906115417743323E-4</v>
      </c>
      <c r="F118" s="2">
        <f>COUNTIFS('Data Angt'!$C$5:$C$5809,F$46,'Data Angt'!$F$5:$F$5809,"#VALUE!",'Data Angt'!$H$5:$H$5809,$C118)</f>
        <v>0</v>
      </c>
      <c r="G118" s="2">
        <f>COUNTIFS('Data Angt'!$C$5:$C$5809,G$46,'Data Angt'!$F$5:$F$5809,"#VALUE!",'Data Angt'!$H$5:$H$5809,$C118)</f>
        <v>0</v>
      </c>
      <c r="H118" s="2">
        <f>COUNTIFS('Data Angt'!$C$5:$C$5809,H$46,'Data Angt'!$F$5:$F$5809,"#VALUE!",'Data Angt'!$H$5:$H$5809,$C118)</f>
        <v>0</v>
      </c>
      <c r="I118" s="2">
        <f>COUNTIFS('Data Angt'!$C$5:$C$5809,I$46,'Data Angt'!$F$5:$F$5809,"#VALUE!",'Data Angt'!$H$5:$H$5809,$C118)</f>
        <v>0</v>
      </c>
      <c r="J118" s="2">
        <f>COUNTIFS('Data Angt'!$C$5:$C$5809,J$46,'Data Angt'!$F$5:$F$5809,"#VALUE!",'Data Angt'!$H$5:$H$5809,$C118)</f>
        <v>0</v>
      </c>
      <c r="K118" s="2">
        <f>COUNTIFS('Data Angt'!$C$5:$C$5809,K$46,'Data Angt'!$F$5:$F$5809,"#VALUE!",'Data Angt'!$H$5:$H$5809,$C118)</f>
        <v>0</v>
      </c>
      <c r="L118" s="187">
        <f>COUNTIFS('Data Angt'!$C$5:$C$5809,L$46,'Data Angt'!$F$5:$F$5809,"#VALUE!",'Data Angt'!$H$5:$H$5809,$C118)</f>
        <v>4</v>
      </c>
    </row>
    <row r="119" spans="2:12" x14ac:dyDescent="0.3">
      <c r="B119" s="327"/>
      <c r="C119" s="67" t="s">
        <v>9785</v>
      </c>
      <c r="D119" s="2">
        <f>COUNTIFS('Data Angt'!$F$5:$F$5809,"#VALUE!",'Data Angt'!$H$5:$H$5809,C119)</f>
        <v>0</v>
      </c>
      <c r="E119" s="4">
        <f t="shared" si="12"/>
        <v>0</v>
      </c>
      <c r="F119" s="2">
        <f>COUNTIFS('Data Angt'!$C$5:$C$5809,F$46,'Data Angt'!$F$5:$F$5809,"#VALUE!",'Data Angt'!$H$5:$H$5809,$C119)</f>
        <v>0</v>
      </c>
      <c r="G119" s="2">
        <f>COUNTIFS('Data Angt'!$C$5:$C$5809,G$46,'Data Angt'!$F$5:$F$5809,"#VALUE!",'Data Angt'!$H$5:$H$5809,$C119)</f>
        <v>0</v>
      </c>
      <c r="H119" s="2">
        <f>COUNTIFS('Data Angt'!$C$5:$C$5809,H$46,'Data Angt'!$F$5:$F$5809,"#VALUE!",'Data Angt'!$H$5:$H$5809,$C119)</f>
        <v>0</v>
      </c>
      <c r="I119" s="2">
        <f>COUNTIFS('Data Angt'!$C$5:$C$5809,I$46,'Data Angt'!$F$5:$F$5809,"#VALUE!",'Data Angt'!$H$5:$H$5809,$C119)</f>
        <v>0</v>
      </c>
      <c r="J119" s="2">
        <f>COUNTIFS('Data Angt'!$C$5:$C$5809,J$46,'Data Angt'!$F$5:$F$5809,"#VALUE!",'Data Angt'!$H$5:$H$5809,$C119)</f>
        <v>0</v>
      </c>
      <c r="K119" s="2">
        <f>COUNTIFS('Data Angt'!$C$5:$C$5809,K$46,'Data Angt'!$F$5:$F$5809,"#VALUE!",'Data Angt'!$H$5:$H$5809,$C119)</f>
        <v>0</v>
      </c>
      <c r="L119" s="187">
        <f>COUNTIFS('Data Angt'!$C$5:$C$5809,L$46,'Data Angt'!$F$5:$F$5809,"#VALUE!",'Data Angt'!$H$5:$H$5809,$C119)</f>
        <v>0</v>
      </c>
    </row>
    <row r="120" spans="2:12" x14ac:dyDescent="0.3">
      <c r="B120" s="327"/>
      <c r="C120" s="67" t="s">
        <v>12099</v>
      </c>
      <c r="D120" s="2">
        <f>COUNTIFS('Data Angt'!$F$5:$F$5809,"#VALUE!",'Data Angt'!$H$5:$H$5809,C120)</f>
        <v>0</v>
      </c>
      <c r="E120" s="4">
        <f t="shared" si="12"/>
        <v>0</v>
      </c>
      <c r="F120" s="2">
        <f>COUNTIFS('Data Angt'!$C$5:$C$5809,F$46,'Data Angt'!$F$5:$F$5809,"#VALUE!",'Data Angt'!$H$5:$H$5809,$C120)</f>
        <v>0</v>
      </c>
      <c r="G120" s="2">
        <f>COUNTIFS('Data Angt'!$C$5:$C$5809,G$46,'Data Angt'!$F$5:$F$5809,"#VALUE!",'Data Angt'!$H$5:$H$5809,$C120)</f>
        <v>0</v>
      </c>
      <c r="H120" s="2">
        <f>COUNTIFS('Data Angt'!$C$5:$C$5809,H$46,'Data Angt'!$F$5:$F$5809,"#VALUE!",'Data Angt'!$H$5:$H$5809,$C120)</f>
        <v>0</v>
      </c>
      <c r="I120" s="2">
        <f>COUNTIFS('Data Angt'!$C$5:$C$5809,I$46,'Data Angt'!$F$5:$F$5809,"#VALUE!",'Data Angt'!$H$5:$H$5809,$C120)</f>
        <v>0</v>
      </c>
      <c r="J120" s="2">
        <f>COUNTIFS('Data Angt'!$C$5:$C$5809,J$46,'Data Angt'!$F$5:$F$5809,"#VALUE!",'Data Angt'!$H$5:$H$5809,$C120)</f>
        <v>0</v>
      </c>
      <c r="K120" s="2">
        <f>COUNTIFS('Data Angt'!$C$5:$C$5809,K$46,'Data Angt'!$F$5:$F$5809,"#VALUE!",'Data Angt'!$H$5:$H$5809,$C120)</f>
        <v>0</v>
      </c>
      <c r="L120" s="187">
        <f>COUNTIFS('Data Angt'!$C$5:$C$5809,L$46,'Data Angt'!$F$5:$F$5809,"#VALUE!",'Data Angt'!$H$5:$H$5809,$C120)</f>
        <v>0</v>
      </c>
    </row>
    <row r="121" spans="2:12" x14ac:dyDescent="0.3">
      <c r="B121" s="327"/>
      <c r="C121" s="67" t="s">
        <v>337</v>
      </c>
      <c r="D121" s="2">
        <f>COUNTIFS('Data Angt'!$F$5:$F$5809,"#VALUE!",'Data Angt'!$H$5:$H$5809,C121)</f>
        <v>0</v>
      </c>
      <c r="E121" s="4">
        <f t="shared" si="12"/>
        <v>0</v>
      </c>
      <c r="F121" s="2">
        <f>COUNTIFS('Data Angt'!$C$5:$C$5809,F$46,'Data Angt'!$F$5:$F$5809,"#VALUE!",'Data Angt'!$H$5:$H$5809,$C121)</f>
        <v>0</v>
      </c>
      <c r="G121" s="2">
        <f>COUNTIFS('Data Angt'!$C$5:$C$5809,G$46,'Data Angt'!$F$5:$F$5809,"#VALUE!",'Data Angt'!$H$5:$H$5809,$C121)</f>
        <v>0</v>
      </c>
      <c r="H121" s="2">
        <f>COUNTIFS('Data Angt'!$C$5:$C$5809,H$46,'Data Angt'!$F$5:$F$5809,"#VALUE!",'Data Angt'!$H$5:$H$5809,$C121)</f>
        <v>0</v>
      </c>
      <c r="I121" s="2">
        <f>COUNTIFS('Data Angt'!$C$5:$C$5809,I$46,'Data Angt'!$F$5:$F$5809,"#VALUE!",'Data Angt'!$H$5:$H$5809,$C121)</f>
        <v>0</v>
      </c>
      <c r="J121" s="2">
        <f>COUNTIFS('Data Angt'!$C$5:$C$5809,J$46,'Data Angt'!$F$5:$F$5809,"#VALUE!",'Data Angt'!$H$5:$H$5809,$C121)</f>
        <v>0</v>
      </c>
      <c r="K121" s="2">
        <f>COUNTIFS('Data Angt'!$C$5:$C$5809,K$46,'Data Angt'!$F$5:$F$5809,"#VALUE!",'Data Angt'!$H$5:$H$5809,$C121)</f>
        <v>0</v>
      </c>
      <c r="L121" s="187">
        <f>COUNTIFS('Data Angt'!$C$5:$C$5809,L$46,'Data Angt'!$F$5:$F$5809,"#VALUE!",'Data Angt'!$H$5:$H$5809,$C121)</f>
        <v>0</v>
      </c>
    </row>
    <row r="122" spans="2:12" x14ac:dyDescent="0.3">
      <c r="B122" s="327"/>
      <c r="C122" s="67" t="s">
        <v>9791</v>
      </c>
      <c r="D122" s="2">
        <f>COUNTIFS('Data Angt'!$F$5:$F$5809,"#VALUE!",'Data Angt'!$H$5:$H$5809,C122)</f>
        <v>0</v>
      </c>
      <c r="E122" s="4">
        <f t="shared" si="12"/>
        <v>0</v>
      </c>
      <c r="F122" s="2">
        <f>COUNTIFS('Data Angt'!$C$5:$C$5809,F$46,'Data Angt'!$F$5:$F$5809,"#VALUE!",'Data Angt'!$H$5:$H$5809,$C122)</f>
        <v>0</v>
      </c>
      <c r="G122" s="2">
        <f>COUNTIFS('Data Angt'!$C$5:$C$5809,G$46,'Data Angt'!$F$5:$F$5809,"#VALUE!",'Data Angt'!$H$5:$H$5809,$C122)</f>
        <v>0</v>
      </c>
      <c r="H122" s="2">
        <f>COUNTIFS('Data Angt'!$C$5:$C$5809,H$46,'Data Angt'!$F$5:$F$5809,"#VALUE!",'Data Angt'!$H$5:$H$5809,$C122)</f>
        <v>0</v>
      </c>
      <c r="I122" s="2">
        <f>COUNTIFS('Data Angt'!$C$5:$C$5809,I$46,'Data Angt'!$F$5:$F$5809,"#VALUE!",'Data Angt'!$H$5:$H$5809,$C122)</f>
        <v>0</v>
      </c>
      <c r="J122" s="2">
        <f>COUNTIFS('Data Angt'!$C$5:$C$5809,J$46,'Data Angt'!$F$5:$F$5809,"#VALUE!",'Data Angt'!$H$5:$H$5809,$C122)</f>
        <v>0</v>
      </c>
      <c r="K122" s="2">
        <f>COUNTIFS('Data Angt'!$C$5:$C$5809,K$46,'Data Angt'!$F$5:$F$5809,"#VALUE!",'Data Angt'!$H$5:$H$5809,$C122)</f>
        <v>0</v>
      </c>
      <c r="L122" s="187">
        <f>COUNTIFS('Data Angt'!$C$5:$C$5809,L$46,'Data Angt'!$F$5:$F$5809,"#VALUE!",'Data Angt'!$H$5:$H$5809,$C122)</f>
        <v>0</v>
      </c>
    </row>
    <row r="123" spans="2:12" x14ac:dyDescent="0.3">
      <c r="B123" s="327"/>
      <c r="C123" s="67" t="s">
        <v>31</v>
      </c>
      <c r="D123" s="2">
        <f>COUNTIFS('Data Angt'!$F$5:$F$5809,"#VALUE!",'Data Angt'!$H$5:$H$5809,C123)</f>
        <v>1</v>
      </c>
      <c r="E123" s="4">
        <f t="shared" si="12"/>
        <v>1.7226528854435831E-4</v>
      </c>
      <c r="F123" s="2">
        <f>COUNTIFS('Data Angt'!$C$5:$C$5809,F$46,'Data Angt'!$F$5:$F$5809,"#VALUE!",'Data Angt'!$H$5:$H$5809,$C123)</f>
        <v>0</v>
      </c>
      <c r="G123" s="2">
        <f>COUNTIFS('Data Angt'!$C$5:$C$5809,G$46,'Data Angt'!$F$5:$F$5809,"#VALUE!",'Data Angt'!$H$5:$H$5809,$C123)</f>
        <v>0</v>
      </c>
      <c r="H123" s="2">
        <f>COUNTIFS('Data Angt'!$C$5:$C$5809,H$46,'Data Angt'!$F$5:$F$5809,"#VALUE!",'Data Angt'!$H$5:$H$5809,$C123)</f>
        <v>0</v>
      </c>
      <c r="I123" s="2">
        <f>COUNTIFS('Data Angt'!$C$5:$C$5809,I$46,'Data Angt'!$F$5:$F$5809,"#VALUE!",'Data Angt'!$H$5:$H$5809,$C123)</f>
        <v>0</v>
      </c>
      <c r="J123" s="2">
        <f>COUNTIFS('Data Angt'!$C$5:$C$5809,J$46,'Data Angt'!$F$5:$F$5809,"#VALUE!",'Data Angt'!$H$5:$H$5809,$C123)</f>
        <v>0</v>
      </c>
      <c r="K123" s="2">
        <f>COUNTIFS('Data Angt'!$C$5:$C$5809,K$46,'Data Angt'!$F$5:$F$5809,"#VALUE!",'Data Angt'!$H$5:$H$5809,$C123)</f>
        <v>0</v>
      </c>
      <c r="L123" s="187">
        <f>COUNTIFS('Data Angt'!$C$5:$C$5809,L$46,'Data Angt'!$F$5:$F$5809,"#VALUE!",'Data Angt'!$H$5:$H$5809,$C123)</f>
        <v>1</v>
      </c>
    </row>
    <row r="124" spans="2:12" x14ac:dyDescent="0.3">
      <c r="B124" s="327"/>
      <c r="C124" s="67" t="s">
        <v>9787</v>
      </c>
      <c r="D124" s="2">
        <f>COUNTIFS('Data Angt'!$F$5:$F$5809,"#VALUE!",'Data Angt'!$H$5:$H$5809,C124)</f>
        <v>0</v>
      </c>
      <c r="E124" s="4">
        <f t="shared" si="12"/>
        <v>0</v>
      </c>
      <c r="F124" s="2">
        <f>COUNTIFS('Data Angt'!$C$5:$C$5809,F$46,'Data Angt'!$F$5:$F$5809,"#VALUE!",'Data Angt'!$H$5:$H$5809,$C124)</f>
        <v>0</v>
      </c>
      <c r="G124" s="2">
        <f>COUNTIFS('Data Angt'!$C$5:$C$5809,G$46,'Data Angt'!$F$5:$F$5809,"#VALUE!",'Data Angt'!$H$5:$H$5809,$C124)</f>
        <v>0</v>
      </c>
      <c r="H124" s="2">
        <f>COUNTIFS('Data Angt'!$C$5:$C$5809,H$46,'Data Angt'!$F$5:$F$5809,"#VALUE!",'Data Angt'!$H$5:$H$5809,$C124)</f>
        <v>0</v>
      </c>
      <c r="I124" s="2">
        <f>COUNTIFS('Data Angt'!$C$5:$C$5809,I$46,'Data Angt'!$F$5:$F$5809,"#VALUE!",'Data Angt'!$H$5:$H$5809,$C124)</f>
        <v>0</v>
      </c>
      <c r="J124" s="2">
        <f>COUNTIFS('Data Angt'!$C$5:$C$5809,J$46,'Data Angt'!$F$5:$F$5809,"#VALUE!",'Data Angt'!$H$5:$H$5809,$C124)</f>
        <v>0</v>
      </c>
      <c r="K124" s="2">
        <f>COUNTIFS('Data Angt'!$C$5:$C$5809,K$46,'Data Angt'!$F$5:$F$5809,"#VALUE!",'Data Angt'!$H$5:$H$5809,$C124)</f>
        <v>0</v>
      </c>
      <c r="L124" s="187">
        <f>COUNTIFS('Data Angt'!$C$5:$C$5809,L$46,'Data Angt'!$F$5:$F$5809,"#VALUE!",'Data Angt'!$H$5:$H$5809,$C124)</f>
        <v>0</v>
      </c>
    </row>
    <row r="125" spans="2:12" x14ac:dyDescent="0.3">
      <c r="B125" s="327"/>
      <c r="C125" s="67" t="s">
        <v>12065</v>
      </c>
      <c r="D125" s="2">
        <f>COUNTIFS('Data Angt'!$F$5:$F$5809,"#VALUE!",'Data Angt'!$H$5:$H$5809,C125)</f>
        <v>0</v>
      </c>
      <c r="E125" s="4">
        <f t="shared" si="12"/>
        <v>0</v>
      </c>
      <c r="F125" s="2">
        <f>COUNTIFS('Data Angt'!$C$5:$C$5809,F$46,'Data Angt'!$F$5:$F$5809,"#VALUE!",'Data Angt'!$H$5:$H$5809,$C125)</f>
        <v>0</v>
      </c>
      <c r="G125" s="2">
        <f>COUNTIFS('Data Angt'!$C$5:$C$5809,G$46,'Data Angt'!$F$5:$F$5809,"#VALUE!",'Data Angt'!$H$5:$H$5809,$C125)</f>
        <v>0</v>
      </c>
      <c r="H125" s="2">
        <f>COUNTIFS('Data Angt'!$C$5:$C$5809,H$46,'Data Angt'!$F$5:$F$5809,"#VALUE!",'Data Angt'!$H$5:$H$5809,$C125)</f>
        <v>0</v>
      </c>
      <c r="I125" s="2">
        <f>COUNTIFS('Data Angt'!$C$5:$C$5809,I$46,'Data Angt'!$F$5:$F$5809,"#VALUE!",'Data Angt'!$H$5:$H$5809,$C125)</f>
        <v>0</v>
      </c>
      <c r="J125" s="2">
        <f>COUNTIFS('Data Angt'!$C$5:$C$5809,J$46,'Data Angt'!$F$5:$F$5809,"#VALUE!",'Data Angt'!$H$5:$H$5809,$C125)</f>
        <v>0</v>
      </c>
      <c r="K125" s="2">
        <f>COUNTIFS('Data Angt'!$C$5:$C$5809,K$46,'Data Angt'!$F$5:$F$5809,"#VALUE!",'Data Angt'!$H$5:$H$5809,$C125)</f>
        <v>0</v>
      </c>
      <c r="L125" s="187">
        <f>COUNTIFS('Data Angt'!$C$5:$C$5809,L$46,'Data Angt'!$F$5:$F$5809,"#VALUE!",'Data Angt'!$H$5:$H$5809,$C125)</f>
        <v>0</v>
      </c>
    </row>
    <row r="126" spans="2:12" x14ac:dyDescent="0.3">
      <c r="B126" s="327"/>
      <c r="C126" s="67" t="s">
        <v>12074</v>
      </c>
      <c r="D126" s="2">
        <f>COUNTIFS('Data Angt'!$F$5:$F$5809,"#VALUE!",'Data Angt'!$H$5:$H$5809,C126)</f>
        <v>0</v>
      </c>
      <c r="E126" s="4">
        <f t="shared" si="12"/>
        <v>0</v>
      </c>
      <c r="F126" s="2">
        <f>COUNTIFS('Data Angt'!$C$5:$C$5809,F$46,'Data Angt'!$F$5:$F$5809,"#VALUE!",'Data Angt'!$H$5:$H$5809,$C126)</f>
        <v>0</v>
      </c>
      <c r="G126" s="2">
        <f>COUNTIFS('Data Angt'!$C$5:$C$5809,G$46,'Data Angt'!$F$5:$F$5809,"#VALUE!",'Data Angt'!$H$5:$H$5809,$C126)</f>
        <v>0</v>
      </c>
      <c r="H126" s="2">
        <f>COUNTIFS('Data Angt'!$C$5:$C$5809,H$46,'Data Angt'!$F$5:$F$5809,"#VALUE!",'Data Angt'!$H$5:$H$5809,$C126)</f>
        <v>0</v>
      </c>
      <c r="I126" s="2">
        <f>COUNTIFS('Data Angt'!$C$5:$C$5809,I$46,'Data Angt'!$F$5:$F$5809,"#VALUE!",'Data Angt'!$H$5:$H$5809,$C126)</f>
        <v>0</v>
      </c>
      <c r="J126" s="2">
        <f>COUNTIFS('Data Angt'!$C$5:$C$5809,J$46,'Data Angt'!$F$5:$F$5809,"#VALUE!",'Data Angt'!$H$5:$H$5809,$C126)</f>
        <v>0</v>
      </c>
      <c r="K126" s="2">
        <f>COUNTIFS('Data Angt'!$C$5:$C$5809,K$46,'Data Angt'!$F$5:$F$5809,"#VALUE!",'Data Angt'!$H$5:$H$5809,$C126)</f>
        <v>0</v>
      </c>
      <c r="L126" s="187">
        <f>COUNTIFS('Data Angt'!$C$5:$C$5809,L$46,'Data Angt'!$F$5:$F$5809,"#VALUE!",'Data Angt'!$H$5:$H$5809,$C126)</f>
        <v>0</v>
      </c>
    </row>
    <row r="127" spans="2:12" x14ac:dyDescent="0.3">
      <c r="B127" s="327"/>
      <c r="C127" s="67" t="s">
        <v>13</v>
      </c>
      <c r="D127" s="2">
        <f>COUNTIFS('Data Angt'!$F$5:$F$5809,"#VALUE!",'Data Angt'!$H$5:$H$5809,C127)</f>
        <v>0</v>
      </c>
      <c r="E127" s="4">
        <f t="shared" si="12"/>
        <v>0</v>
      </c>
      <c r="F127" s="2">
        <f>COUNTIFS('Data Angt'!$C$5:$C$5809,F$46,'Data Angt'!$F$5:$F$5809,"#VALUE!",'Data Angt'!$H$5:$H$5809,$C127)</f>
        <v>0</v>
      </c>
      <c r="G127" s="2">
        <f>COUNTIFS('Data Angt'!$C$5:$C$5809,G$46,'Data Angt'!$F$5:$F$5809,"#VALUE!",'Data Angt'!$H$5:$H$5809,$C127)</f>
        <v>0</v>
      </c>
      <c r="H127" s="2">
        <f>COUNTIFS('Data Angt'!$C$5:$C$5809,H$46,'Data Angt'!$F$5:$F$5809,"#VALUE!",'Data Angt'!$H$5:$H$5809,$C127)</f>
        <v>0</v>
      </c>
      <c r="I127" s="2">
        <f>COUNTIFS('Data Angt'!$C$5:$C$5809,I$46,'Data Angt'!$F$5:$F$5809,"#VALUE!",'Data Angt'!$H$5:$H$5809,$C127)</f>
        <v>0</v>
      </c>
      <c r="J127" s="2">
        <f>COUNTIFS('Data Angt'!$C$5:$C$5809,J$46,'Data Angt'!$F$5:$F$5809,"#VALUE!",'Data Angt'!$H$5:$H$5809,$C127)</f>
        <v>0</v>
      </c>
      <c r="K127" s="2">
        <f>COUNTIFS('Data Angt'!$C$5:$C$5809,K$46,'Data Angt'!$F$5:$F$5809,"#VALUE!",'Data Angt'!$H$5:$H$5809,$C127)</f>
        <v>0</v>
      </c>
      <c r="L127" s="187">
        <f>COUNTIFS('Data Angt'!$C$5:$C$5809,L$46,'Data Angt'!$F$5:$F$5809,"#VALUE!",'Data Angt'!$H$5:$H$5809,$C127)</f>
        <v>0</v>
      </c>
    </row>
    <row r="128" spans="2:12" x14ac:dyDescent="0.3">
      <c r="B128" s="327"/>
      <c r="C128" s="67" t="s">
        <v>243</v>
      </c>
      <c r="D128" s="2">
        <f>COUNTIFS('Data Angt'!$F$5:$F$5809,"#VALUE!",'Data Angt'!$H$5:$H$5809,C128)</f>
        <v>0</v>
      </c>
      <c r="E128" s="4">
        <f t="shared" si="12"/>
        <v>0</v>
      </c>
      <c r="F128" s="2">
        <f>COUNTIFS('Data Angt'!$C$5:$C$5809,F$46,'Data Angt'!$F$5:$F$5809,"#VALUE!",'Data Angt'!$H$5:$H$5809,$C128)</f>
        <v>0</v>
      </c>
      <c r="G128" s="2">
        <f>COUNTIFS('Data Angt'!$C$5:$C$5809,G$46,'Data Angt'!$F$5:$F$5809,"#VALUE!",'Data Angt'!$H$5:$H$5809,$C128)</f>
        <v>0</v>
      </c>
      <c r="H128" s="2">
        <f>COUNTIFS('Data Angt'!$C$5:$C$5809,H$46,'Data Angt'!$F$5:$F$5809,"#VALUE!",'Data Angt'!$H$5:$H$5809,$C128)</f>
        <v>0</v>
      </c>
      <c r="I128" s="2">
        <f>COUNTIFS('Data Angt'!$C$5:$C$5809,I$46,'Data Angt'!$F$5:$F$5809,"#VALUE!",'Data Angt'!$H$5:$H$5809,$C128)</f>
        <v>0</v>
      </c>
      <c r="J128" s="2">
        <f>COUNTIFS('Data Angt'!$C$5:$C$5809,J$46,'Data Angt'!$F$5:$F$5809,"#VALUE!",'Data Angt'!$H$5:$H$5809,$C128)</f>
        <v>0</v>
      </c>
      <c r="K128" s="2">
        <f>COUNTIFS('Data Angt'!$C$5:$C$5809,K$46,'Data Angt'!$F$5:$F$5809,"#VALUE!",'Data Angt'!$H$5:$H$5809,$C128)</f>
        <v>0</v>
      </c>
      <c r="L128" s="187">
        <f>COUNTIFS('Data Angt'!$C$5:$C$5809,L$46,'Data Angt'!$F$5:$F$5809,"#VALUE!",'Data Angt'!$H$5:$H$5809,$C128)</f>
        <v>0</v>
      </c>
    </row>
    <row r="129" spans="1:12" x14ac:dyDescent="0.3">
      <c r="B129" s="327"/>
      <c r="C129" s="67" t="s">
        <v>12075</v>
      </c>
      <c r="D129" s="2">
        <f>COUNTIFS('Data Angt'!$F$5:$F$5809,"#VALUE!",'Data Angt'!$H$5:$H$5809,C129)</f>
        <v>0</v>
      </c>
      <c r="E129" s="4">
        <f t="shared" si="12"/>
        <v>0</v>
      </c>
      <c r="F129" s="2">
        <f>COUNTIFS('Data Angt'!$C$5:$C$5809,F$46,'Data Angt'!$F$5:$F$5809,"#VALUE!",'Data Angt'!$H$5:$H$5809,$C129)</f>
        <v>0</v>
      </c>
      <c r="G129" s="2">
        <f>COUNTIFS('Data Angt'!$C$5:$C$5809,G$46,'Data Angt'!$F$5:$F$5809,"#VALUE!",'Data Angt'!$H$5:$H$5809,$C129)</f>
        <v>0</v>
      </c>
      <c r="H129" s="2">
        <f>COUNTIFS('Data Angt'!$C$5:$C$5809,H$46,'Data Angt'!$F$5:$F$5809,"#VALUE!",'Data Angt'!$H$5:$H$5809,$C129)</f>
        <v>0</v>
      </c>
      <c r="I129" s="2">
        <f>COUNTIFS('Data Angt'!$C$5:$C$5809,I$46,'Data Angt'!$F$5:$F$5809,"#VALUE!",'Data Angt'!$H$5:$H$5809,$C129)</f>
        <v>0</v>
      </c>
      <c r="J129" s="2">
        <f>COUNTIFS('Data Angt'!$C$5:$C$5809,J$46,'Data Angt'!$F$5:$F$5809,"#VALUE!",'Data Angt'!$H$5:$H$5809,$C129)</f>
        <v>0</v>
      </c>
      <c r="K129" s="2">
        <f>COUNTIFS('Data Angt'!$C$5:$C$5809,K$46,'Data Angt'!$F$5:$F$5809,"#VALUE!",'Data Angt'!$H$5:$H$5809,$C129)</f>
        <v>0</v>
      </c>
      <c r="L129" s="187">
        <f>COUNTIFS('Data Angt'!$C$5:$C$5809,L$46,'Data Angt'!$F$5:$F$5809,"#VALUE!",'Data Angt'!$H$5:$H$5809,$C129)</f>
        <v>0</v>
      </c>
    </row>
    <row r="130" spans="1:12" ht="15" thickBot="1" x14ac:dyDescent="0.35">
      <c r="B130" s="328"/>
      <c r="C130" s="183" t="s">
        <v>12076</v>
      </c>
      <c r="D130" s="184">
        <f>COUNTIFS('Data Angt'!$F$5:$F$5809,"#VALUE!",'Data Angt'!$H$5:$H$5809,"")</f>
        <v>37</v>
      </c>
      <c r="E130" s="185">
        <f t="shared" si="12"/>
        <v>6.3738156761412573E-3</v>
      </c>
      <c r="F130" s="184">
        <f>COUNTIFS('Data Angt'!$C$5:$C$5809,F$46,'Data Angt'!$F$5:$F$5809,"#VALUE!",'Data Angt'!$H$5:$H$5809,"")</f>
        <v>0</v>
      </c>
      <c r="G130" s="184">
        <f>COUNTIFS('Data Angt'!$C$5:$C$5809,G$46,'Data Angt'!$F$5:$F$5809,"#VALUE!",'Data Angt'!$H$5:$H$5809,"")</f>
        <v>0</v>
      </c>
      <c r="H130" s="184">
        <f>COUNTIFS('Data Angt'!$C$5:$C$5809,H$46,'Data Angt'!$F$5:$F$5809,"#VALUE!",'Data Angt'!$H$5:$H$5809,"")</f>
        <v>0</v>
      </c>
      <c r="I130" s="184">
        <f>COUNTIFS('Data Angt'!$C$5:$C$5809,I$46,'Data Angt'!$F$5:$F$5809,"#VALUE!",'Data Angt'!$H$5:$H$5809,"")</f>
        <v>0</v>
      </c>
      <c r="J130" s="184">
        <f>COUNTIFS('Data Angt'!$C$5:$C$5809,J$46,'Data Angt'!$F$5:$F$5809,"#VALUE!",'Data Angt'!$H$5:$H$5809,"")</f>
        <v>0</v>
      </c>
      <c r="K130" s="184">
        <f>COUNTIFS('Data Angt'!$C$5:$C$5809,K$46,'Data Angt'!$F$5:$F$5809,"#VALUE!",'Data Angt'!$H$5:$H$5809,"")</f>
        <v>0</v>
      </c>
      <c r="L130" s="188">
        <f>COUNTIFS('Data Angt'!$C$5:$C$5809,L$46,'Data Angt'!$F$5:$F$5809,"#VALUE!",'Data Angt'!$H$5:$H$5809,"")</f>
        <v>37</v>
      </c>
    </row>
    <row r="131" spans="1:12" x14ac:dyDescent="0.3">
      <c r="B131" s="70"/>
      <c r="C131" s="71"/>
    </row>
    <row r="132" spans="1:12" x14ac:dyDescent="0.3">
      <c r="B132" s="70"/>
      <c r="C132" s="71"/>
    </row>
    <row r="133" spans="1:12" x14ac:dyDescent="0.3">
      <c r="A133" s="58">
        <v>4</v>
      </c>
      <c r="B133" s="64" t="s">
        <v>10754</v>
      </c>
    </row>
    <row r="135" spans="1:12" x14ac:dyDescent="0.3">
      <c r="B135" s="72" t="s">
        <v>9786</v>
      </c>
      <c r="C135" s="72" t="s">
        <v>9805</v>
      </c>
      <c r="D135" s="73" t="s">
        <v>9803</v>
      </c>
      <c r="E135" s="3" t="s">
        <v>20486</v>
      </c>
      <c r="F135" s="3" t="s">
        <v>20487</v>
      </c>
      <c r="G135" s="3" t="s">
        <v>20488</v>
      </c>
      <c r="H135" s="3" t="s">
        <v>20491</v>
      </c>
      <c r="I135" s="3" t="s">
        <v>20489</v>
      </c>
      <c r="J135" s="3" t="s">
        <v>20490</v>
      </c>
      <c r="K135" s="3" t="s">
        <v>24217</v>
      </c>
    </row>
    <row r="136" spans="1:12" x14ac:dyDescent="0.3">
      <c r="B136" s="102" t="s">
        <v>12069</v>
      </c>
      <c r="C136" s="2">
        <f>COUNTIF(Pinjaman!$V$6:$V$1744,"&lt;24")</f>
        <v>51</v>
      </c>
      <c r="D136" s="61">
        <f>C136/$C$141</f>
        <v>2.9344073647871116E-2</v>
      </c>
      <c r="E136" s="2">
        <f>COUNTIFS(Pinjaman!$Y$6:$Y$1744,E135,Pinjaman!$V$6:$V$1744,"&lt;24")</f>
        <v>21</v>
      </c>
      <c r="F136" s="2">
        <f>COUNTIFS(Pinjaman!$Y$6:$Y$1744,F135,Pinjaman!$V$6:$V$1744,"&lt;24")</f>
        <v>5</v>
      </c>
      <c r="G136" s="2">
        <f>COUNTIFS(Pinjaman!$Y$6:$Y$1744,G135,Pinjaman!$V$6:$V$1744,"&lt;24")</f>
        <v>1</v>
      </c>
      <c r="H136" s="2">
        <f>COUNTIFS(Pinjaman!$Y$6:$Y$1744,H135,Pinjaman!$V$6:$V$1744,"&lt;24")</f>
        <v>19</v>
      </c>
      <c r="I136" s="2">
        <f>COUNTIFS(Pinjaman!$Y$6:$Y$1744,I135,Pinjaman!$V$6:$V$1744,"&lt;24")</f>
        <v>2</v>
      </c>
      <c r="J136" s="2">
        <f>COUNTIFS(Pinjaman!$Y$6:$Y$1744,J135,Pinjaman!$V$6:$V$1744,"&lt;24")</f>
        <v>3</v>
      </c>
      <c r="K136" s="2">
        <f>COUNTIFS(Pinjaman!$Y$6:$Y$1744,K135,Pinjaman!$V$6:$V$1744,"&lt;24")</f>
        <v>0</v>
      </c>
    </row>
    <row r="137" spans="1:12" x14ac:dyDescent="0.3">
      <c r="B137" s="99" t="s">
        <v>18801</v>
      </c>
      <c r="C137" s="2">
        <f>COUNTIF(Pinjaman!$V$6:$V$1744,"&lt;=35")-COUNTIF(Pinjaman!$V$6:$V$1744,"&lt;24")</f>
        <v>320</v>
      </c>
      <c r="D137" s="61">
        <f>C137/$C$141</f>
        <v>0.18411967779056387</v>
      </c>
      <c r="E137" s="2">
        <f>COUNTIFS(Pinjaman!$Y$6:$Y$1744,E135,Pinjaman!$V$6:$V$1744,"&lt;=35")-COUNTIFS(Pinjaman!$Y$6:$Y$1744,E135,Pinjaman!$V$6:$V$1744,"&lt;24")</f>
        <v>128</v>
      </c>
      <c r="F137" s="2">
        <f>COUNTIFS(Pinjaman!$Y$6:$Y$1744,F135,Pinjaman!$V$6:$V$1744,"&lt;=35")-COUNTIFS(Pinjaman!$Y$6:$Y$1744,F135,Pinjaman!$V$6:$V$1744,"&lt;24")</f>
        <v>49</v>
      </c>
      <c r="G137" s="2">
        <f>COUNTIFS(Pinjaman!$Y$6:$Y$1744,G135,Pinjaman!$V$6:$V$1744,"&lt;=35")-COUNTIFS(Pinjaman!$Y$6:$Y$1744,G135,Pinjaman!$V$6:$V$1744,"&lt;24")</f>
        <v>52</v>
      </c>
      <c r="H137" s="2">
        <f>COUNTIFS(Pinjaman!$Y$6:$Y$1744,H135,Pinjaman!$V$6:$V$1744,"&lt;=35")-COUNTIFS(Pinjaman!$Y$6:$Y$1744,H135,Pinjaman!$V$6:$V$1744,"&lt;24")</f>
        <v>61</v>
      </c>
      <c r="I137" s="2">
        <f>COUNTIFS(Pinjaman!$Y$6:$Y$1744,I135,Pinjaman!$V$6:$V$1744,"&lt;=35")-COUNTIFS(Pinjaman!$Y$6:$Y$1744,I135,Pinjaman!$V$6:$V$1744,"&lt;24")</f>
        <v>12</v>
      </c>
      <c r="J137" s="2">
        <f>COUNTIFS(Pinjaman!$Y$6:$Y$1744,J135,Pinjaman!$V$6:$V$1744,"&lt;=35")-COUNTIFS(Pinjaman!$Y$6:$Y$1744,J135,Pinjaman!$V$6:$V$1744,"&lt;24")</f>
        <v>18</v>
      </c>
      <c r="K137" s="2">
        <f>COUNTIFS(Pinjaman!$Y$6:$Y$1744,K135,Pinjaman!$V$6:$V$1744,"&lt;=35")-COUNTIFS(Pinjaman!$Y$6:$Y$1744,K135,Pinjaman!$V$6:$V$1744,"&lt;24")</f>
        <v>0</v>
      </c>
    </row>
    <row r="138" spans="1:12" x14ac:dyDescent="0.3">
      <c r="B138" s="107" t="s">
        <v>18803</v>
      </c>
      <c r="C138" s="2">
        <f>COUNTIF(Pinjaman!$V$6:$V$1744,"&lt;=45")-COUNTIF(Pinjaman!$V$6:$V$1744,"&lt;36")</f>
        <v>478</v>
      </c>
      <c r="D138" s="61">
        <f t="shared" ref="D138:D140" si="15">C138/$C$141</f>
        <v>0.27502876869965476</v>
      </c>
      <c r="E138" s="2">
        <f>COUNTIFS(Pinjaman!$Y$6:$Y$1744,E135,Pinjaman!$V$6:$V$1744,"&lt;=45")-COUNTIFS(Pinjaman!$Y$6:$Y$1744,E135,Pinjaman!$V$6:$V$1744,"&lt;36")</f>
        <v>186</v>
      </c>
      <c r="F138" s="2">
        <f>COUNTIFS(Pinjaman!$Y$6:$Y$1744,F135,Pinjaman!$V$6:$V$1744,"&lt;=45")-COUNTIFS(Pinjaman!$Y$6:$Y$1744,F135,Pinjaman!$V$6:$V$1744,"&lt;36")</f>
        <v>102</v>
      </c>
      <c r="G138" s="2">
        <f>COUNTIFS(Pinjaman!$Y$6:$Y$1744,G135,Pinjaman!$V$6:$V$1744,"&lt;=45")-COUNTIFS(Pinjaman!$Y$6:$Y$1744,G135,Pinjaman!$V$6:$V$1744,"&lt;36")</f>
        <v>64</v>
      </c>
      <c r="H138" s="2">
        <f>COUNTIFS(Pinjaman!$Y$6:$Y$1744,H135,Pinjaman!$V$6:$V$1744,"&lt;=45")-COUNTIFS(Pinjaman!$Y$6:$Y$1744,H135,Pinjaman!$V$6:$V$1744,"&lt;36")</f>
        <v>63</v>
      </c>
      <c r="I138" s="2">
        <f>COUNTIFS(Pinjaman!$Y$6:$Y$1744,I135,Pinjaman!$V$6:$V$1744,"&lt;=45")-COUNTIFS(Pinjaman!$Y$6:$Y$1744,I135,Pinjaman!$V$6:$V$1744,"&lt;36")</f>
        <v>26</v>
      </c>
      <c r="J138" s="2">
        <f>COUNTIFS(Pinjaman!$Y$6:$Y$1744,J135,Pinjaman!$V$6:$V$1744,"&lt;=45")-COUNTIFS(Pinjaman!$Y$6:$Y$1744,J135,Pinjaman!$V$6:$V$1744,"&lt;36")</f>
        <v>37</v>
      </c>
      <c r="K138" s="2">
        <f>COUNTIFS(Pinjaman!$Y$6:$Y$1744,K135,Pinjaman!$V$6:$V$1744,"&lt;=45")-COUNTIFS(Pinjaman!$Y$6:$Y$1744,K135,Pinjaman!$V$6:$V$1744,"&lt;36")</f>
        <v>0</v>
      </c>
    </row>
    <row r="139" spans="1:12" x14ac:dyDescent="0.3">
      <c r="B139" s="105" t="s">
        <v>18802</v>
      </c>
      <c r="C139" s="56">
        <f>COUNTIF(Pinjaman!$V$6:$V$1744,"&lt;=60")-COUNTIF(Pinjaman!$V$6:$V$1744,"&lt;46")</f>
        <v>712</v>
      </c>
      <c r="D139" s="61">
        <f t="shared" si="15"/>
        <v>0.4096662830840046</v>
      </c>
      <c r="E139" s="56">
        <f>COUNTIFS(Pinjaman!$Y$6:$Y$1744,E135,Pinjaman!$V$6:$V$1744,"&lt;=60")-COUNTIFS(Pinjaman!$Y$6:$Y$1744,E135,Pinjaman!$V$6:$V$1744,"&lt;46")</f>
        <v>265</v>
      </c>
      <c r="F139" s="56">
        <f>COUNTIFS(Pinjaman!$Y$6:$Y$1744,F135,Pinjaman!$V$6:$V$1744,"&lt;=60")-COUNTIFS(Pinjaman!$Y$6:$Y$1744,F135,Pinjaman!$V$6:$V$1744,"&lt;46")</f>
        <v>110</v>
      </c>
      <c r="G139" s="56">
        <f>COUNTIFS(Pinjaman!$Y$6:$Y$1744,G135,Pinjaman!$V$6:$V$1744,"&lt;=60")-COUNTIFS(Pinjaman!$Y$6:$Y$1744,G135,Pinjaman!$V$6:$V$1744,"&lt;46")</f>
        <v>124</v>
      </c>
      <c r="H139" s="56">
        <f>COUNTIFS(Pinjaman!$Y$6:$Y$1744,H135,Pinjaman!$V$6:$V$1744,"&lt;=60")-COUNTIFS(Pinjaman!$Y$6:$Y$1744,H135,Pinjaman!$V$6:$V$1744,"&lt;46")</f>
        <v>86</v>
      </c>
      <c r="I139" s="56">
        <f>COUNTIFS(Pinjaman!$Y$6:$Y$1744,I135,Pinjaman!$V$6:$V$1744,"&lt;=60")-COUNTIFS(Pinjaman!$Y$6:$Y$1744,I135,Pinjaman!$V$6:$V$1744,"&lt;46")</f>
        <v>54</v>
      </c>
      <c r="J139" s="56">
        <f>COUNTIFS(Pinjaman!$Y$6:$Y$1744,J135,Pinjaman!$V$6:$V$1744,"&lt;=60")-COUNTIFS(Pinjaman!$Y$6:$Y$1744,J135,Pinjaman!$V$6:$V$1744,"&lt;46")</f>
        <v>73</v>
      </c>
      <c r="K139" s="2">
        <f>COUNTIFS(Pinjaman!$Y$6:$Y$1744,K135,Pinjaman!$V$6:$V$1744,"&lt;=60")-COUNTIFS(Pinjaman!$Y$6:$Y$1744,K135,Pinjaman!$V$6:$V$1744,"&lt;46")</f>
        <v>0</v>
      </c>
    </row>
    <row r="140" spans="1:12" x14ac:dyDescent="0.3">
      <c r="B140" s="103" t="s">
        <v>12070</v>
      </c>
      <c r="C140" s="2">
        <f>COUNTIF(Pinjaman!$V$6:$V$1744,"&gt;60")</f>
        <v>177</v>
      </c>
      <c r="D140" s="61">
        <f t="shared" si="15"/>
        <v>0.10184119677790564</v>
      </c>
      <c r="E140" s="2">
        <f>COUNTIFS(Pinjaman!$Y$6:$Y$1744,E135,Pinjaman!$V$6:$V$1744,"&gt;60")</f>
        <v>72</v>
      </c>
      <c r="F140" s="2">
        <f>COUNTIFS(Pinjaman!$Y$6:$Y$1744,F135,Pinjaman!$V$6:$V$1744,"&gt;60")</f>
        <v>33</v>
      </c>
      <c r="G140" s="2">
        <f>COUNTIFS(Pinjaman!$Y$6:$Y$1744,G135,Pinjaman!$V$6:$V$1744,"&gt;60")</f>
        <v>32</v>
      </c>
      <c r="H140" s="2">
        <f>COUNTIFS(Pinjaman!$Y$6:$Y$1744,H135,Pinjaman!$V$6:$V$1744,"&gt;60")</f>
        <v>15</v>
      </c>
      <c r="I140" s="2">
        <f>COUNTIFS(Pinjaman!$Y$6:$Y$1744,I135,Pinjaman!$V$6:$V$1744,"&gt;60")</f>
        <v>11</v>
      </c>
      <c r="J140" s="2">
        <f>COUNTIFS(Pinjaman!$Y$6:$Y$1744,J135,Pinjaman!$V$6:$V$1744,"&gt;60")</f>
        <v>14</v>
      </c>
      <c r="K140" s="2">
        <f>COUNTIFS(Pinjaman!$Y$6:$Y$1744,K135,Pinjaman!$V$6:$V$1744,"&gt;60")</f>
        <v>0</v>
      </c>
    </row>
    <row r="141" spans="1:12" x14ac:dyDescent="0.3">
      <c r="B141" s="72" t="s">
        <v>12071</v>
      </c>
      <c r="C141" s="74">
        <f>SUM(C136:C140)</f>
        <v>1738</v>
      </c>
      <c r="D141" s="75"/>
      <c r="E141" s="74">
        <f>SUM(E136:E140)</f>
        <v>672</v>
      </c>
      <c r="F141" s="74">
        <f t="shared" ref="F141:K141" si="16">SUM(F136:F140)</f>
        <v>299</v>
      </c>
      <c r="G141" s="74">
        <f t="shared" si="16"/>
        <v>273</v>
      </c>
      <c r="H141" s="74">
        <f t="shared" si="16"/>
        <v>244</v>
      </c>
      <c r="I141" s="74">
        <f t="shared" si="16"/>
        <v>105</v>
      </c>
      <c r="J141" s="74">
        <f t="shared" si="16"/>
        <v>145</v>
      </c>
      <c r="K141" s="74">
        <f t="shared" si="16"/>
        <v>0</v>
      </c>
    </row>
    <row r="156" spans="1:12" x14ac:dyDescent="0.3">
      <c r="A156" s="58">
        <v>5</v>
      </c>
      <c r="B156" s="24" t="s">
        <v>12081</v>
      </c>
      <c r="L156" s="24"/>
    </row>
    <row r="157" spans="1:12" x14ac:dyDescent="0.3">
      <c r="B157" s="24"/>
    </row>
    <row r="158" spans="1:12" x14ac:dyDescent="0.3">
      <c r="B158" s="74"/>
      <c r="C158" s="330" t="s">
        <v>12067</v>
      </c>
      <c r="D158" s="330"/>
      <c r="E158" s="330"/>
      <c r="F158" s="330"/>
      <c r="G158" s="330"/>
      <c r="H158" s="330"/>
    </row>
    <row r="159" spans="1:12" x14ac:dyDescent="0.3">
      <c r="B159" s="72" t="s">
        <v>9786</v>
      </c>
      <c r="C159" s="76" t="s">
        <v>110</v>
      </c>
      <c r="D159" s="76" t="s">
        <v>9830</v>
      </c>
      <c r="E159" s="76" t="s">
        <v>10573</v>
      </c>
      <c r="F159" s="76" t="s">
        <v>12084</v>
      </c>
      <c r="G159" s="76" t="s">
        <v>12085</v>
      </c>
      <c r="H159" s="76" t="s">
        <v>12086</v>
      </c>
    </row>
    <row r="160" spans="1:12" x14ac:dyDescent="0.3">
      <c r="B160" s="102" t="s">
        <v>12069</v>
      </c>
      <c r="C160" s="2">
        <f>COUNTIFS(Pinjaman!$W$6:$W$1744,C159,Pinjaman!$V$6:$V$1744,"&lt;24")</f>
        <v>0</v>
      </c>
      <c r="D160" s="2">
        <f>COUNTIFS(Pinjaman!$W$6:$W$1744,D159,Pinjaman!$V$6:$V$1744,"&lt;24")</f>
        <v>6</v>
      </c>
      <c r="E160" s="2">
        <f>COUNTIFS(Pinjaman!$W$6:$W$1744,E159,Pinjaman!$V$6:$V$1744,"&lt;24")</f>
        <v>23</v>
      </c>
      <c r="F160" s="2">
        <f>COUNTIFS(Pinjaman!$W$6:$W$1744,F159,Pinjaman!$V$6:$V$1744,"&lt;24")</f>
        <v>5</v>
      </c>
      <c r="G160" s="2">
        <f>COUNTIFS(Pinjaman!$W$6:$W$1744,G159,Pinjaman!$V$6:$V$1744,"&lt;24")</f>
        <v>16</v>
      </c>
      <c r="H160" s="2">
        <f>COUNTIFS(Pinjaman!$W$6:$W$1744,0,Pinjaman!$V$6:$V$1744,"&lt;24")</f>
        <v>1</v>
      </c>
    </row>
    <row r="161" spans="2:8" x14ac:dyDescent="0.3">
      <c r="B161" s="99" t="s">
        <v>18801</v>
      </c>
      <c r="C161" s="2">
        <f>COUNTIFS(Pinjaman!$W$6:$W$1744,C159,Pinjaman!$V$6:$V$1744,"&lt;=35")-COUNTIFS(Pinjaman!$W$6:$W$1744,C159,Pinjaman!$V$6:$V$1744,"&lt;24")</f>
        <v>5</v>
      </c>
      <c r="D161" s="2">
        <f>COUNTIFS(Pinjaman!$W$6:$W$1744,D159,Pinjaman!$V$6:$V$1744,"&lt;=35")-COUNTIFS(Pinjaman!$W$6:$W$1744,D159,Pinjaman!$V$6:$V$1744,"&lt;24")</f>
        <v>62</v>
      </c>
      <c r="E161" s="2">
        <f>COUNTIFS(Pinjaman!$W$6:$W$1744,E159,Pinjaman!$V$6:$V$1744,"&lt;=35")-COUNTIFS(Pinjaman!$W$6:$W$1744,E159,Pinjaman!$V$6:$V$1744,"&lt;24")</f>
        <v>111</v>
      </c>
      <c r="F161" s="2">
        <f>COUNTIFS(Pinjaman!$W$6:$W$1744,F159,Pinjaman!$V$6:$V$1744,"&lt;=35")-COUNTIFS(Pinjaman!$W$6:$W$1744,F159,Pinjaman!$V$6:$V$1744,"&lt;24")</f>
        <v>29</v>
      </c>
      <c r="G161" s="2">
        <f>COUNTIFS(Pinjaman!$W$6:$W$1744,G159,Pinjaman!$V$6:$V$1744,"&lt;=35")-COUNTIFS(Pinjaman!$W$6:$W$1744,G159,Pinjaman!$V$6:$V$1744,"&lt;24")</f>
        <v>110</v>
      </c>
      <c r="H161" s="2">
        <f>COUNTIFS(Pinjaman!$W$6:$W$1744,0,Pinjaman!$V$6:$V$1744,"&lt;=35")-COUNTIFS(Pinjaman!$W$6:$W$1744,0,Pinjaman!$V$6:$V$1744,"&lt;24")</f>
        <v>3</v>
      </c>
    </row>
    <row r="162" spans="2:8" x14ac:dyDescent="0.3">
      <c r="B162" s="107" t="s">
        <v>18803</v>
      </c>
      <c r="C162" s="2">
        <f>COUNTIFS(Pinjaman!$W$6:$W$1744,C159,Pinjaman!$V$6:$V$1744,"&lt;=45")-COUNTIFS(Pinjaman!$W$6:$W$1744,C159,Pinjaman!$V$6:$V$1744,"&lt;36")</f>
        <v>3</v>
      </c>
      <c r="D162" s="2">
        <f>COUNTIFS(Pinjaman!$W$6:$W$1744,D159,Pinjaman!$V$6:$V$1744,"&lt;=45")-COUNTIFS(Pinjaman!$W$6:$W$1744,D159,Pinjaman!$V$6:$V$1744,"&lt;36")</f>
        <v>72</v>
      </c>
      <c r="E162" s="2">
        <f>COUNTIFS(Pinjaman!$W$6:$W$1744,E159,Pinjaman!$V$6:$V$1744,"&lt;=45")-COUNTIFS(Pinjaman!$W$6:$W$1744,E159,Pinjaman!$V$6:$V$1744,"&lt;36")</f>
        <v>90</v>
      </c>
      <c r="F162" s="2">
        <f>COUNTIFS(Pinjaman!$W$6:$W$1744,F159,Pinjaman!$V$6:$V$1744,"&lt;=45")-COUNTIFS(Pinjaman!$W$6:$W$1744,F159,Pinjaman!$V$6:$V$1744,"&lt;36")</f>
        <v>88</v>
      </c>
      <c r="G162" s="2">
        <f>COUNTIFS(Pinjaman!$W$6:$W$1744,G159,Pinjaman!$V$6:$V$1744,"&lt;=45")-COUNTIFS(Pinjaman!$W$6:$W$1744,G159,Pinjaman!$V$6:$V$1744,"&lt;36")</f>
        <v>206</v>
      </c>
      <c r="H162" s="2">
        <f>COUNTIFS(Pinjaman!$W$6:$W$1744,0,Pinjaman!$V$6:$V$1744,"&lt;=45")-COUNTIFS(Pinjaman!$W$6:$W$1744,0,Pinjaman!$V$6:$V$1744,"&lt;36")</f>
        <v>19</v>
      </c>
    </row>
    <row r="163" spans="2:8" x14ac:dyDescent="0.3">
      <c r="B163" s="105" t="s">
        <v>18802</v>
      </c>
      <c r="C163" s="56">
        <f>COUNTIFS(Pinjaman!$W$6:$W$1744,C159,Pinjaman!$V$6:$V$1744,"&lt;=60")-COUNTIFS(Pinjaman!$W$6:$W$1744,C159,Pinjaman!$V$6:$V$1744,"&lt;46")</f>
        <v>9</v>
      </c>
      <c r="D163" s="56">
        <f>COUNTIFS(Pinjaman!$W$6:$W$1744,D159,Pinjaman!$V$6:$V$1744,"&lt;=60")-COUNTIFS(Pinjaman!$W$6:$W$1744,D159,Pinjaman!$V$6:$V$1744,"&lt;46")</f>
        <v>93</v>
      </c>
      <c r="E163" s="56">
        <f>COUNTIFS(Pinjaman!$W$6:$W$1744,E159,Pinjaman!$V$6:$V$1744,"&lt;=60")-COUNTIFS(Pinjaman!$W$6:$W$1744,E159,Pinjaman!$V$6:$V$1744,"&lt;46")</f>
        <v>141</v>
      </c>
      <c r="F163" s="56">
        <f>COUNTIFS(Pinjaman!$W$6:$W$1744,F159,Pinjaman!$V$6:$V$1744,"&lt;=60")-COUNTIFS(Pinjaman!$W$6:$W$1744,F159,Pinjaman!$V$6:$V$1744,"&lt;46")</f>
        <v>132</v>
      </c>
      <c r="G163" s="56">
        <f>COUNTIFS(Pinjaman!$W$6:$W$1744,G159,Pinjaman!$V$6:$V$1744,"&lt;=60")-COUNTIFS(Pinjaman!$W$6:$W$1744,G159,Pinjaman!$V$6:$V$1744,"&lt;46")</f>
        <v>287</v>
      </c>
      <c r="H163" s="56">
        <f>COUNTIFS(Pinjaman!$W$6:$W$1744,0,Pinjaman!$V$6:$V$1744,"&lt;=60")-COUNTIFS(Pinjaman!$W$6:$W$1744,0,Pinjaman!$V$6:$V$1744,"&lt;46")</f>
        <v>50</v>
      </c>
    </row>
    <row r="164" spans="2:8" x14ac:dyDescent="0.3">
      <c r="B164" s="103" t="s">
        <v>12070</v>
      </c>
      <c r="C164" s="2">
        <f>COUNTIFS(Pinjaman!$W$6:$W$1744,C159,Pinjaman!$V$6:$V$1744,"&gt;60")</f>
        <v>4</v>
      </c>
      <c r="D164" s="2">
        <f>COUNTIFS(Pinjaman!$W$6:$W$1744,D159,Pinjaman!$V$6:$V$1744,"&gt;60")</f>
        <v>31</v>
      </c>
      <c r="E164" s="2">
        <f>COUNTIFS(Pinjaman!$W$6:$W$1744,E159,Pinjaman!$V$6:$V$1744,"&gt;60")</f>
        <v>47</v>
      </c>
      <c r="F164" s="2">
        <f>COUNTIFS(Pinjaman!$W$6:$W$1744,F159,Pinjaman!$V$6:$V$1744,"&gt;60")</f>
        <v>14</v>
      </c>
      <c r="G164" s="2">
        <f>COUNTIFS(Pinjaman!$W$6:$W$1744,G159,Pinjaman!$V$6:$V$1744,"&gt;60")</f>
        <v>70</v>
      </c>
      <c r="H164" s="2">
        <f>COUNTIFS(Pinjaman!$W$6:$W$1744,0,Pinjaman!$V$6:$V$1744,"&gt;60")</f>
        <v>11</v>
      </c>
    </row>
    <row r="182" spans="1:10" x14ac:dyDescent="0.3">
      <c r="A182" s="58">
        <v>6</v>
      </c>
      <c r="B182" s="24" t="s">
        <v>12087</v>
      </c>
    </row>
    <row r="184" spans="1:10" x14ac:dyDescent="0.3">
      <c r="B184" s="77" t="s">
        <v>9804</v>
      </c>
      <c r="C184" s="77" t="s">
        <v>12082</v>
      </c>
      <c r="D184" s="77" t="s">
        <v>12083</v>
      </c>
      <c r="E184" s="77" t="s">
        <v>10573</v>
      </c>
      <c r="F184" s="77" t="s">
        <v>12084</v>
      </c>
      <c r="G184" s="77" t="s">
        <v>12085</v>
      </c>
      <c r="H184" s="77" t="s">
        <v>12076</v>
      </c>
      <c r="I184" s="263" t="s">
        <v>9801</v>
      </c>
    </row>
    <row r="185" spans="1:10" x14ac:dyDescent="0.3">
      <c r="B185" s="78" t="s">
        <v>46</v>
      </c>
      <c r="C185" s="79">
        <f>COUNTIFS(Pinjaman!$W$6:$W$1744,C$184,Pinjaman!$X$6:$X$1744,$B185)</f>
        <v>4</v>
      </c>
      <c r="D185" s="79">
        <f>COUNTIFS(Pinjaman!$W$6:$W$1744,D$184,Pinjaman!$X$6:$X$1744,$B185)</f>
        <v>46</v>
      </c>
      <c r="E185" s="79">
        <f>COUNTIFS(Pinjaman!$W$6:$W$1744,E$184,Pinjaman!$X$6:$X$1744,$B185)</f>
        <v>76</v>
      </c>
      <c r="F185" s="79">
        <f>COUNTIFS(Pinjaman!$W$6:$W$1744,F$184,Pinjaman!$X$6:$X$1744,$B185)</f>
        <v>58</v>
      </c>
      <c r="G185" s="262">
        <f>COUNTIFS(Pinjaman!$W$6:$W$1744,G$184,Pinjaman!$X$6:$X$1744,$B185)</f>
        <v>343</v>
      </c>
      <c r="H185" s="79">
        <f>COUNTIFS(Pinjaman!$W$6:$W$1744,0,Pinjaman!$X$6:$X$1744,$B185)</f>
        <v>37</v>
      </c>
      <c r="I185">
        <f>SUM(C185:H185)</f>
        <v>564</v>
      </c>
    </row>
    <row r="186" spans="1:10" x14ac:dyDescent="0.3">
      <c r="B186" s="78" t="s">
        <v>9788</v>
      </c>
      <c r="C186" s="79">
        <f>COUNTIFS(Pinjaman!$W$6:$W$1744,C$184,Pinjaman!$X$6:$X$1744,$B186)</f>
        <v>8</v>
      </c>
      <c r="D186" s="262">
        <f>COUNTIFS(Pinjaman!$W$6:$W$1744,D$184,Pinjaman!$X$6:$X$1744,$B186)</f>
        <v>111</v>
      </c>
      <c r="E186" s="262">
        <f>COUNTIFS(Pinjaman!$W$6:$W$1744,E$184,Pinjaman!$X$6:$X$1744,$B186)</f>
        <v>157</v>
      </c>
      <c r="F186" s="262">
        <f>COUNTIFS(Pinjaman!$W$6:$W$1744,F$184,Pinjaman!$X$6:$X$1744,$B186)</f>
        <v>80</v>
      </c>
      <c r="G186" s="79">
        <f>COUNTIFS(Pinjaman!$W$6:$W$1744,G$184,Pinjaman!$X$6:$X$1744,$B186)</f>
        <v>128</v>
      </c>
      <c r="H186" s="79">
        <f>COUNTIFS(Pinjaman!$W$6:$W$1744,0,Pinjaman!$X$6:$X$1744,$B186)</f>
        <v>18</v>
      </c>
      <c r="I186">
        <f t="shared" ref="I186:I198" si="17">SUM(C186:H186)</f>
        <v>502</v>
      </c>
    </row>
    <row r="187" spans="1:10" x14ac:dyDescent="0.3">
      <c r="B187" s="78" t="s">
        <v>9785</v>
      </c>
      <c r="C187" s="79">
        <f>COUNTIFS(Pinjaman!$W$6:$W$1744,C$184,Pinjaman!$X$6:$X$1744,$B187)</f>
        <v>1</v>
      </c>
      <c r="D187" s="79">
        <f>COUNTIFS(Pinjaman!$W$6:$W$1744,D$184,Pinjaman!$X$6:$X$1744,$B187)</f>
        <v>23</v>
      </c>
      <c r="E187" s="79">
        <f>COUNTIFS(Pinjaman!$W$6:$W$1744,E$184,Pinjaman!$X$6:$X$1744,$B187)</f>
        <v>42</v>
      </c>
      <c r="F187" s="79">
        <f>COUNTIFS(Pinjaman!$W$6:$W$1744,F$184,Pinjaman!$X$6:$X$1744,$B187)</f>
        <v>46</v>
      </c>
      <c r="G187" s="79">
        <f>COUNTIFS(Pinjaman!$W$6:$W$1744,G$184,Pinjaman!$X$6:$X$1744,$B187)</f>
        <v>39</v>
      </c>
      <c r="H187" s="79">
        <f>COUNTIFS(Pinjaman!$W$6:$W$1744,0,Pinjaman!$X$6:$X$1744,$B187)</f>
        <v>4</v>
      </c>
      <c r="I187">
        <f t="shared" si="17"/>
        <v>155</v>
      </c>
    </row>
    <row r="188" spans="1:10" x14ac:dyDescent="0.3">
      <c r="B188" s="78" t="s">
        <v>12099</v>
      </c>
      <c r="C188" s="79">
        <f>COUNTIFS(Pinjaman!$W$6:$W$1744,C$184,Pinjaman!$X$6:$X$1744,$B188)</f>
        <v>0</v>
      </c>
      <c r="D188" s="79">
        <f>COUNTIFS(Pinjaman!$W$6:$W$1744,D$184,Pinjaman!$X$6:$X$1744,$B188)</f>
        <v>13</v>
      </c>
      <c r="E188" s="79">
        <f>COUNTIFS(Pinjaman!$W$6:$W$1744,E$184,Pinjaman!$X$6:$X$1744,$B188)</f>
        <v>16</v>
      </c>
      <c r="F188" s="79">
        <f>COUNTIFS(Pinjaman!$W$6:$W$1744,F$184,Pinjaman!$X$6:$X$1744,$B188)</f>
        <v>18</v>
      </c>
      <c r="G188" s="79">
        <f>COUNTIFS(Pinjaman!$W$6:$W$1744,G$184,Pinjaman!$X$6:$X$1744,$B188)</f>
        <v>16</v>
      </c>
      <c r="H188" s="79">
        <f>COUNTIFS(Pinjaman!$W$6:$W$1744,0,Pinjaman!$X$6:$X$1744,$B188)</f>
        <v>2</v>
      </c>
      <c r="I188">
        <f t="shared" si="17"/>
        <v>65</v>
      </c>
    </row>
    <row r="189" spans="1:10" x14ac:dyDescent="0.3">
      <c r="B189" s="78" t="s">
        <v>337</v>
      </c>
      <c r="C189" s="79">
        <f>COUNTIFS(Pinjaman!$W$6:$W$1744,C$184,Pinjaman!$X$6:$X$1744,$B189)</f>
        <v>0</v>
      </c>
      <c r="D189" s="79">
        <f>COUNTIFS(Pinjaman!$W$6:$W$1744,D$184,Pinjaman!$X$6:$X$1744,$B189)</f>
        <v>0</v>
      </c>
      <c r="E189" s="79">
        <f>COUNTIFS(Pinjaman!$W$6:$W$1744,E$184,Pinjaman!$X$6:$X$1744,$B189)</f>
        <v>5</v>
      </c>
      <c r="F189" s="79">
        <f>COUNTIFS(Pinjaman!$W$6:$W$1744,F$184,Pinjaman!$X$6:$X$1744,$B189)</f>
        <v>1</v>
      </c>
      <c r="G189" s="79">
        <f>COUNTIFS(Pinjaman!$W$6:$W$1744,G$184,Pinjaman!$X$6:$X$1744,$B189)</f>
        <v>6</v>
      </c>
      <c r="H189" s="79">
        <f>COUNTIFS(Pinjaman!$W$6:$W$1744,0,Pinjaman!$X$6:$X$1744,$B189)</f>
        <v>0</v>
      </c>
      <c r="I189">
        <f t="shared" si="17"/>
        <v>12</v>
      </c>
    </row>
    <row r="190" spans="1:10" x14ac:dyDescent="0.3">
      <c r="B190" s="78" t="s">
        <v>9791</v>
      </c>
      <c r="C190" s="79">
        <f>COUNTIFS(Pinjaman!$W$6:$W$1744,C$184,Pinjaman!$X$6:$X$1744,$B190)</f>
        <v>0</v>
      </c>
      <c r="D190" s="79">
        <f>COUNTIFS(Pinjaman!$W$6:$W$1744,D$184,Pinjaman!$X$6:$X$1744,$B190)</f>
        <v>0</v>
      </c>
      <c r="E190" s="79">
        <f>COUNTIFS(Pinjaman!$W$6:$W$1744,E$184,Pinjaman!$X$6:$X$1744,$B190)</f>
        <v>0</v>
      </c>
      <c r="F190" s="79">
        <f>COUNTIFS(Pinjaman!$W$6:$W$1744,F$184,Pinjaman!$X$6:$X$1744,$B190)</f>
        <v>0</v>
      </c>
      <c r="G190" s="79">
        <f>COUNTIFS(Pinjaman!$W$6:$W$1744,G$184,Pinjaman!$X$6:$X$1744,$B190)</f>
        <v>1</v>
      </c>
      <c r="H190" s="79">
        <f>COUNTIFS(Pinjaman!$W$6:$W$1744,0,Pinjaman!$X$6:$X$1744,$B190)</f>
        <v>0</v>
      </c>
      <c r="I190">
        <f t="shared" si="17"/>
        <v>1</v>
      </c>
      <c r="J190" t="s">
        <v>4129</v>
      </c>
    </row>
    <row r="191" spans="1:10" x14ac:dyDescent="0.3">
      <c r="B191" s="78" t="s">
        <v>31</v>
      </c>
      <c r="C191" s="79">
        <f>COUNTIFS(Pinjaman!$W$6:$W$1744,C$184,Pinjaman!$X$6:$X$1744,$B191)</f>
        <v>3</v>
      </c>
      <c r="D191" s="79">
        <f>COUNTIFS(Pinjaman!$W$6:$W$1744,D$184,Pinjaman!$X$6:$X$1744,$B191)</f>
        <v>29</v>
      </c>
      <c r="E191" s="79">
        <f>COUNTIFS(Pinjaman!$W$6:$W$1744,E$184,Pinjaman!$X$6:$X$1744,$B191)</f>
        <v>54</v>
      </c>
      <c r="F191" s="79">
        <f>COUNTIFS(Pinjaman!$W$6:$W$1744,F$184,Pinjaman!$X$6:$X$1744,$B191)</f>
        <v>30</v>
      </c>
      <c r="G191" s="79">
        <f>COUNTIFS(Pinjaman!$W$6:$W$1744,G$184,Pinjaman!$X$6:$X$1744,$B191)</f>
        <v>81</v>
      </c>
      <c r="H191" s="79">
        <f>COUNTIFS(Pinjaman!$W$6:$W$1744,0,Pinjaman!$X$6:$X$1744,$B191)</f>
        <v>13</v>
      </c>
      <c r="I191">
        <f t="shared" si="17"/>
        <v>210</v>
      </c>
    </row>
    <row r="192" spans="1:10" x14ac:dyDescent="0.3">
      <c r="B192" s="78" t="s">
        <v>9787</v>
      </c>
      <c r="C192" s="79">
        <f>COUNTIFS(Pinjaman!$W$6:$W$1744,C$184,Pinjaman!$X$6:$X$1744,$B192)</f>
        <v>0</v>
      </c>
      <c r="D192" s="79">
        <f>COUNTIFS(Pinjaman!$W$6:$W$1744,D$184,Pinjaman!$X$6:$X$1744,$B192)</f>
        <v>1</v>
      </c>
      <c r="E192" s="79">
        <f>COUNTIFS(Pinjaman!$W$6:$W$1744,E$184,Pinjaman!$X$6:$X$1744,$B192)</f>
        <v>1</v>
      </c>
      <c r="F192" s="79">
        <f>COUNTIFS(Pinjaman!$W$6:$W$1744,F$184,Pinjaman!$X$6:$X$1744,$B192)</f>
        <v>0</v>
      </c>
      <c r="G192" s="79">
        <f>COUNTIFS(Pinjaman!$W$6:$W$1744,G$184,Pinjaman!$X$6:$X$1744,$B192)</f>
        <v>2</v>
      </c>
      <c r="H192" s="79">
        <f>COUNTIFS(Pinjaman!$W$6:$W$1744,0,Pinjaman!$X$6:$X$1744,$B192)</f>
        <v>0</v>
      </c>
      <c r="I192">
        <f t="shared" si="17"/>
        <v>4</v>
      </c>
    </row>
    <row r="193" spans="2:10" x14ac:dyDescent="0.3">
      <c r="B193" s="78" t="s">
        <v>12065</v>
      </c>
      <c r="C193" s="79">
        <f>COUNTIFS(Pinjaman!$W$6:$W$1744,C$184,Pinjaman!$X$6:$X$1744,$B193)</f>
        <v>0</v>
      </c>
      <c r="D193" s="79">
        <f>COUNTIFS(Pinjaman!$W$6:$W$1744,D$184,Pinjaman!$X$6:$X$1744,$B193)</f>
        <v>2</v>
      </c>
      <c r="E193" s="79">
        <f>COUNTIFS(Pinjaman!$W$6:$W$1744,E$184,Pinjaman!$X$6:$X$1744,$B193)</f>
        <v>4</v>
      </c>
      <c r="F193" s="79">
        <f>COUNTIFS(Pinjaman!$W$6:$W$1744,F$184,Pinjaman!$X$6:$X$1744,$B193)</f>
        <v>4</v>
      </c>
      <c r="G193" s="79">
        <f>COUNTIFS(Pinjaman!$W$6:$W$1744,G$184,Pinjaman!$X$6:$X$1744,$B193)</f>
        <v>2</v>
      </c>
      <c r="H193" s="79">
        <f>COUNTIFS(Pinjaman!$W$6:$W$1744,0,Pinjaman!$X$6:$X$1744,$B193)</f>
        <v>1</v>
      </c>
      <c r="I193">
        <f t="shared" si="17"/>
        <v>13</v>
      </c>
    </row>
    <row r="194" spans="2:10" x14ac:dyDescent="0.3">
      <c r="B194" s="78" t="s">
        <v>12074</v>
      </c>
      <c r="C194" s="79">
        <f>COUNTIFS(Pinjaman!$W$6:$W$1744,C$184,Pinjaman!$X$6:$X$1744,$B194)</f>
        <v>0</v>
      </c>
      <c r="D194" s="79">
        <f>COUNTIFS(Pinjaman!$W$6:$W$1744,D$184,Pinjaman!$X$6:$X$1744,$B194)</f>
        <v>2</v>
      </c>
      <c r="E194" s="79">
        <f>COUNTIFS(Pinjaman!$W$6:$W$1744,E$184,Pinjaman!$X$6:$X$1744,$B194)</f>
        <v>1</v>
      </c>
      <c r="F194" s="79">
        <f>COUNTIFS(Pinjaman!$W$6:$W$1744,F$184,Pinjaman!$X$6:$X$1744,$B194)</f>
        <v>1</v>
      </c>
      <c r="G194" s="79">
        <f>COUNTIFS(Pinjaman!$W$6:$W$1744,G$184,Pinjaman!$X$6:$X$1744,$B194)</f>
        <v>13</v>
      </c>
      <c r="H194" s="79">
        <f>COUNTIFS(Pinjaman!$W$6:$W$1744,0,Pinjaman!$X$6:$X$1744,$B194)</f>
        <v>2</v>
      </c>
      <c r="I194">
        <f t="shared" si="17"/>
        <v>19</v>
      </c>
    </row>
    <row r="195" spans="2:10" x14ac:dyDescent="0.3">
      <c r="B195" s="78" t="s">
        <v>13</v>
      </c>
      <c r="C195" s="79">
        <f>COUNTIFS(Pinjaman!$W$6:$W$1744,C$184,Pinjaman!$X$6:$X$1744,$B195)</f>
        <v>3</v>
      </c>
      <c r="D195" s="79">
        <f>COUNTIFS(Pinjaman!$W$6:$W$1744,D$184,Pinjaman!$X$6:$X$1744,$B195)</f>
        <v>10</v>
      </c>
      <c r="E195" s="79">
        <f>COUNTIFS(Pinjaman!$W$6:$W$1744,E$184,Pinjaman!$X$6:$X$1744,$B195)</f>
        <v>23</v>
      </c>
      <c r="F195" s="79">
        <f>COUNTIFS(Pinjaman!$W$6:$W$1744,F$184,Pinjaman!$X$6:$X$1744,$B195)</f>
        <v>8</v>
      </c>
      <c r="G195" s="79">
        <f>COUNTIFS(Pinjaman!$W$6:$W$1744,G$184,Pinjaman!$X$6:$X$1744,$B195)</f>
        <v>16</v>
      </c>
      <c r="H195" s="79">
        <f>COUNTIFS(Pinjaman!$W$6:$W$1744,0,Pinjaman!$X$6:$X$1744,$B195)</f>
        <v>1</v>
      </c>
      <c r="I195">
        <f t="shared" si="17"/>
        <v>61</v>
      </c>
    </row>
    <row r="196" spans="2:10" x14ac:dyDescent="0.3">
      <c r="B196" s="78" t="s">
        <v>243</v>
      </c>
      <c r="C196" s="79">
        <f>COUNTIFS(Pinjaman!$W$6:$W$1744,C$184,Pinjaman!$X$6:$X$1744,$B196)</f>
        <v>0</v>
      </c>
      <c r="D196" s="79">
        <f>COUNTIFS(Pinjaman!$W$6:$W$1744,D$184,Pinjaman!$X$6:$X$1744,$B196)</f>
        <v>1</v>
      </c>
      <c r="E196" s="79">
        <f>COUNTIFS(Pinjaman!$W$6:$W$1744,E$184,Pinjaman!$X$6:$X$1744,$B196)</f>
        <v>1</v>
      </c>
      <c r="F196" s="79">
        <f>COUNTIFS(Pinjaman!$W$6:$W$1744,F$184,Pinjaman!$X$6:$X$1744,$B196)</f>
        <v>2</v>
      </c>
      <c r="G196" s="79">
        <f>COUNTIFS(Pinjaman!$W$6:$W$1744,G$184,Pinjaman!$X$6:$X$1744,$B196)</f>
        <v>5</v>
      </c>
      <c r="H196" s="79">
        <f>COUNTIFS(Pinjaman!$W$6:$W$1744,0,Pinjaman!$X$6:$X$1744,$B196)</f>
        <v>1</v>
      </c>
      <c r="I196">
        <f t="shared" si="17"/>
        <v>10</v>
      </c>
    </row>
    <row r="197" spans="2:10" x14ac:dyDescent="0.3">
      <c r="B197" s="78" t="s">
        <v>12075</v>
      </c>
      <c r="C197" s="79">
        <f>COUNTIFS(Pinjaman!$W$6:$W$1744,C$184,Pinjaman!$X$6:$X$1744,$B197)</f>
        <v>2</v>
      </c>
      <c r="D197" s="79">
        <f>COUNTIFS(Pinjaman!$W$6:$W$1744,D$184,Pinjaman!$X$6:$X$1744,$B197)</f>
        <v>22</v>
      </c>
      <c r="E197" s="79">
        <f>COUNTIFS(Pinjaman!$W$6:$W$1744,E$184,Pinjaman!$X$6:$X$1744,$B197)</f>
        <v>28</v>
      </c>
      <c r="F197" s="79">
        <f>COUNTIFS(Pinjaman!$W$6:$W$1744,F$184,Pinjaman!$X$6:$X$1744,$B197)</f>
        <v>18</v>
      </c>
      <c r="G197" s="79">
        <f>COUNTIFS(Pinjaman!$W$6:$W$1744,G$184,Pinjaman!$X$6:$X$1744,$B197)</f>
        <v>30</v>
      </c>
      <c r="H197" s="79">
        <f>COUNTIFS(Pinjaman!$W$6:$W$1744,0,Pinjaman!$X$6:$X$1744,$B197)</f>
        <v>4</v>
      </c>
      <c r="I197">
        <f t="shared" si="17"/>
        <v>104</v>
      </c>
    </row>
    <row r="198" spans="2:10" x14ac:dyDescent="0.3">
      <c r="B198" s="78" t="s">
        <v>12076</v>
      </c>
      <c r="C198" s="79">
        <f>COUNTIFS(Pinjaman!$W$6:$W$1744,C$184,Pinjaman!$X$6:$X$1744,0)</f>
        <v>0</v>
      </c>
      <c r="D198" s="79">
        <f>COUNTIFS(Pinjaman!$W$6:$W$1744,D$184,Pinjaman!$X$6:$X$1744,0)</f>
        <v>4</v>
      </c>
      <c r="E198" s="79">
        <f>COUNTIFS(Pinjaman!$W$6:$W$1744,E$184,Pinjaman!$X$6:$X$1744,0)</f>
        <v>4</v>
      </c>
      <c r="F198" s="79">
        <f>COUNTIFS(Pinjaman!$W$6:$W$1744,F$184,Pinjaman!$X$6:$X$1744,0)</f>
        <v>2</v>
      </c>
      <c r="G198" s="79">
        <f>COUNTIFS(Pinjaman!$W$6:$W$1744,G$184,Pinjaman!$X$6:$X$1744,0)</f>
        <v>7</v>
      </c>
      <c r="H198" s="79">
        <f>COUNTIFS(Pinjaman!$W$6:$W$1744,0,Pinjaman!$X$6:$X$1744,0)</f>
        <v>1</v>
      </c>
      <c r="I198">
        <f t="shared" si="17"/>
        <v>18</v>
      </c>
    </row>
    <row r="199" spans="2:10" x14ac:dyDescent="0.3">
      <c r="B199" s="86" t="s">
        <v>9805</v>
      </c>
      <c r="C199" s="87">
        <f>SUM(C185:C198)</f>
        <v>21</v>
      </c>
      <c r="D199" s="87">
        <f t="shared" ref="D199:I199" si="18">SUM(D185:D198)</f>
        <v>264</v>
      </c>
      <c r="E199" s="87">
        <f t="shared" si="18"/>
        <v>412</v>
      </c>
      <c r="F199" s="87">
        <f t="shared" si="18"/>
        <v>268</v>
      </c>
      <c r="G199" s="262">
        <f t="shared" si="18"/>
        <v>689</v>
      </c>
      <c r="H199" s="87">
        <f t="shared" si="18"/>
        <v>84</v>
      </c>
      <c r="I199" s="87">
        <f t="shared" si="18"/>
        <v>1738</v>
      </c>
    </row>
    <row r="200" spans="2:10" x14ac:dyDescent="0.3">
      <c r="B200" s="189"/>
    </row>
    <row r="201" spans="2:10" x14ac:dyDescent="0.3">
      <c r="B201" s="190" t="s">
        <v>19269</v>
      </c>
    </row>
    <row r="202" spans="2:10" x14ac:dyDescent="0.3">
      <c r="B202" s="189"/>
    </row>
    <row r="203" spans="2:10" x14ac:dyDescent="0.3">
      <c r="B203" s="112" t="s">
        <v>9804</v>
      </c>
      <c r="C203" s="100" t="s">
        <v>19268</v>
      </c>
      <c r="D203" s="100" t="s">
        <v>20486</v>
      </c>
      <c r="E203" s="100" t="s">
        <v>20487</v>
      </c>
      <c r="F203" s="100" t="s">
        <v>20488</v>
      </c>
      <c r="G203" s="100" t="s">
        <v>20491</v>
      </c>
      <c r="H203" s="100" t="s">
        <v>20489</v>
      </c>
      <c r="I203" s="100" t="s">
        <v>20490</v>
      </c>
      <c r="J203" s="100" t="s">
        <v>24217</v>
      </c>
    </row>
    <row r="204" spans="2:10" x14ac:dyDescent="0.3">
      <c r="B204" s="67" t="s">
        <v>46</v>
      </c>
      <c r="C204" s="109">
        <f>COUNTIF(Pinjaman!$X$6:$X$1744,B204)</f>
        <v>564</v>
      </c>
      <c r="D204" s="23">
        <f>COUNTIFS(Pinjaman!$Y$6:$Y$1744,D$203,Pinjaman!$X$6:$X$1744,$B204)</f>
        <v>164</v>
      </c>
      <c r="E204" s="111">
        <f>COUNTIFS(Pinjaman!$Y$6:$Y$1744,E$203,Pinjaman!$X$6:$X$1744,$B204)</f>
        <v>93</v>
      </c>
      <c r="F204" s="111">
        <f>COUNTIFS(Pinjaman!$Y$6:$Y$1744,F$203,Pinjaman!$X$6:$X$1744,$B204)</f>
        <v>114</v>
      </c>
      <c r="G204" s="111">
        <f>COUNTIFS(Pinjaman!$Y$6:$Y$1744,G$203,Pinjaman!$X$6:$X$1744,$B204)</f>
        <v>98</v>
      </c>
      <c r="H204" s="111">
        <f>COUNTIFS(Pinjaman!$Y$6:$Y$1744,H$203,Pinjaman!$X$6:$X$1744,$B204)</f>
        <v>43</v>
      </c>
      <c r="I204" s="111">
        <f>COUNTIFS(Pinjaman!$Y$6:$Y$1744,I$203,Pinjaman!$X$6:$X$1744,$B204)</f>
        <v>52</v>
      </c>
      <c r="J204" s="23">
        <f>COUNTIFS(Pinjaman!$Y$6:$Y$1744,J$203,Pinjaman!$X$6:$X$1744,$B204)</f>
        <v>0</v>
      </c>
    </row>
    <row r="205" spans="2:10" x14ac:dyDescent="0.3">
      <c r="B205" s="67" t="s">
        <v>9788</v>
      </c>
      <c r="C205" s="2">
        <f>COUNTIF(Pinjaman!$X$6:$X$1744,B205)</f>
        <v>502</v>
      </c>
      <c r="D205" s="111">
        <f>COUNTIFS(Pinjaman!$Y$6:$Y$1744,D$203,Pinjaman!$X$6:$X$1744,$B205)</f>
        <v>219</v>
      </c>
      <c r="E205" s="23">
        <f>COUNTIFS(Pinjaman!$Y$6:$Y$1744,E$203,Pinjaman!$X$6:$X$1744,$B205)</f>
        <v>82</v>
      </c>
      <c r="F205" s="23">
        <f>COUNTIFS(Pinjaman!$Y$6:$Y$1744,F$203,Pinjaman!$X$6:$X$1744,$B205)</f>
        <v>60</v>
      </c>
      <c r="G205" s="23">
        <f>COUNTIFS(Pinjaman!$Y$6:$Y$1744,G$203,Pinjaman!$X$6:$X$1744,$B205)</f>
        <v>72</v>
      </c>
      <c r="H205" s="23">
        <f>COUNTIFS(Pinjaman!$Y$6:$Y$1744,H$203,Pinjaman!$X$6:$X$1744,$B205)</f>
        <v>24</v>
      </c>
      <c r="I205" s="23">
        <f>COUNTIFS(Pinjaman!$Y$6:$Y$1744,I$203,Pinjaman!$X$6:$X$1744,$B205)</f>
        <v>45</v>
      </c>
      <c r="J205" s="23">
        <f>COUNTIFS(Pinjaman!$Y$6:$Y$1744,J$203,Pinjaman!$X$6:$X$1744,$B205)</f>
        <v>0</v>
      </c>
    </row>
    <row r="206" spans="2:10" x14ac:dyDescent="0.3">
      <c r="B206" s="67" t="s">
        <v>9785</v>
      </c>
      <c r="C206" s="2">
        <f>COUNTIF(Pinjaman!$X$6:$X$1744,B206)</f>
        <v>155</v>
      </c>
      <c r="D206" s="23">
        <f>COUNTIFS(Pinjaman!$Y$6:$Y$1744,D$203,Pinjaman!$X$6:$X$1744,$B206)</f>
        <v>47</v>
      </c>
      <c r="E206" s="23">
        <f>COUNTIFS(Pinjaman!$Y$6:$Y$1744,E$203,Pinjaman!$X$6:$X$1744,$B206)</f>
        <v>32</v>
      </c>
      <c r="F206" s="23">
        <f>COUNTIFS(Pinjaman!$Y$6:$Y$1744,F$203,Pinjaman!$X$6:$X$1744,$B206)</f>
        <v>29</v>
      </c>
      <c r="G206" s="23">
        <f>COUNTIFS(Pinjaman!$Y$6:$Y$1744,G$203,Pinjaman!$X$6:$X$1744,$B206)</f>
        <v>25</v>
      </c>
      <c r="H206" s="23">
        <f>COUNTIFS(Pinjaman!$Y$6:$Y$1744,H$203,Pinjaman!$X$6:$X$1744,$B206)</f>
        <v>13</v>
      </c>
      <c r="I206" s="23">
        <f>COUNTIFS(Pinjaman!$Y$6:$Y$1744,I$203,Pinjaman!$X$6:$X$1744,$B206)</f>
        <v>9</v>
      </c>
      <c r="J206" s="23">
        <f>COUNTIFS(Pinjaman!$Y$6:$Y$1744,J$203,Pinjaman!$X$6:$X$1744,$B206)</f>
        <v>0</v>
      </c>
    </row>
    <row r="207" spans="2:10" x14ac:dyDescent="0.3">
      <c r="B207" s="67" t="s">
        <v>12099</v>
      </c>
      <c r="C207" s="2">
        <f>COUNTIF(Pinjaman!$X$6:$X$1744,B207)</f>
        <v>65</v>
      </c>
      <c r="D207" s="23">
        <f>COUNTIFS(Pinjaman!$Y$6:$Y$1744,D$203,Pinjaman!$X$6:$X$1744,$B207)</f>
        <v>36</v>
      </c>
      <c r="E207" s="23">
        <f>COUNTIFS(Pinjaman!$Y$6:$Y$1744,E$203,Pinjaman!$X$6:$X$1744,$B207)</f>
        <v>14</v>
      </c>
      <c r="F207" s="23">
        <f>COUNTIFS(Pinjaman!$Y$6:$Y$1744,F$203,Pinjaman!$X$6:$X$1744,$B207)</f>
        <v>4</v>
      </c>
      <c r="G207" s="23">
        <f>COUNTIFS(Pinjaman!$Y$6:$Y$1744,G$203,Pinjaman!$X$6:$X$1744,$B207)</f>
        <v>6</v>
      </c>
      <c r="H207" s="23">
        <f>COUNTIFS(Pinjaman!$Y$6:$Y$1744,H$203,Pinjaman!$X$6:$X$1744,$B207)</f>
        <v>3</v>
      </c>
      <c r="I207" s="23">
        <f>COUNTIFS(Pinjaman!$Y$6:$Y$1744,I$203,Pinjaman!$X$6:$X$1744,$B207)</f>
        <v>2</v>
      </c>
      <c r="J207" s="23">
        <f>COUNTIFS(Pinjaman!$Y$6:$Y$1744,J$203,Pinjaman!$X$6:$X$1744,$B207)</f>
        <v>0</v>
      </c>
    </row>
    <row r="208" spans="2:10" x14ac:dyDescent="0.3">
      <c r="B208" s="67" t="s">
        <v>337</v>
      </c>
      <c r="C208" s="2">
        <f>COUNTIF(Pinjaman!$X$6:$X$1744,B208)</f>
        <v>12</v>
      </c>
      <c r="D208" s="23">
        <f>COUNTIFS(Pinjaman!$Y$6:$Y$1744,D$203,Pinjaman!$X$6:$X$1744,$B208)</f>
        <v>4</v>
      </c>
      <c r="E208" s="23">
        <f>COUNTIFS(Pinjaman!$Y$6:$Y$1744,E$203,Pinjaman!$X$6:$X$1744,$B208)</f>
        <v>2</v>
      </c>
      <c r="F208" s="23">
        <f>COUNTIFS(Pinjaman!$Y$6:$Y$1744,F$203,Pinjaman!$X$6:$X$1744,$B208)</f>
        <v>2</v>
      </c>
      <c r="G208" s="23">
        <f>COUNTIFS(Pinjaman!$Y$6:$Y$1744,G$203,Pinjaman!$X$6:$X$1744,$B208)</f>
        <v>2</v>
      </c>
      <c r="H208" s="23">
        <f>COUNTIFS(Pinjaman!$Y$6:$Y$1744,H$203,Pinjaman!$X$6:$X$1744,$B208)</f>
        <v>0</v>
      </c>
      <c r="I208" s="23">
        <f>COUNTIFS(Pinjaman!$Y$6:$Y$1744,I$203,Pinjaman!$X$6:$X$1744,$B208)</f>
        <v>2</v>
      </c>
      <c r="J208" s="23">
        <f>COUNTIFS(Pinjaman!$Y$6:$Y$1744,J$203,Pinjaman!$X$6:$X$1744,$B208)</f>
        <v>0</v>
      </c>
    </row>
    <row r="209" spans="1:10" x14ac:dyDescent="0.3">
      <c r="B209" s="67" t="s">
        <v>9791</v>
      </c>
      <c r="C209" s="2">
        <f>COUNTIF(Pinjaman!$X$6:$X$1744,B209)</f>
        <v>1</v>
      </c>
      <c r="D209" s="23">
        <f>COUNTIFS(Pinjaman!$Y$6:$Y$1744,D$203,Pinjaman!$X$6:$X$1744,$B209)</f>
        <v>1</v>
      </c>
      <c r="E209" s="23">
        <f>COUNTIFS(Pinjaman!$Y$6:$Y$1744,E$203,Pinjaman!$X$6:$X$1744,$B209)</f>
        <v>0</v>
      </c>
      <c r="F209" s="23">
        <f>COUNTIFS(Pinjaman!$Y$6:$Y$1744,F$203,Pinjaman!$X$6:$X$1744,$B209)</f>
        <v>0</v>
      </c>
      <c r="G209" s="23">
        <f>COUNTIFS(Pinjaman!$Y$6:$Y$1744,G$203,Pinjaman!$X$6:$X$1744,$B209)</f>
        <v>0</v>
      </c>
      <c r="H209" s="23">
        <f>COUNTIFS(Pinjaman!$Y$6:$Y$1744,H$203,Pinjaman!$X$6:$X$1744,$B209)</f>
        <v>0</v>
      </c>
      <c r="I209" s="23">
        <f>COUNTIFS(Pinjaman!$Y$6:$Y$1744,I$203,Pinjaman!$X$6:$X$1744,$B209)</f>
        <v>0</v>
      </c>
      <c r="J209" s="23">
        <f>COUNTIFS(Pinjaman!$Y$6:$Y$1744,J$203,Pinjaman!$X$6:$X$1744,$B209)</f>
        <v>0</v>
      </c>
    </row>
    <row r="210" spans="1:10" x14ac:dyDescent="0.3">
      <c r="B210" s="67" t="s">
        <v>31</v>
      </c>
      <c r="C210" s="2">
        <f>COUNTIF(Pinjaman!$X$6:$X$1744,B210)</f>
        <v>210</v>
      </c>
      <c r="D210" s="23">
        <f>COUNTIFS(Pinjaman!$Y$6:$Y$1744,D$203,Pinjaman!$X$6:$X$1744,$B210)</f>
        <v>95</v>
      </c>
      <c r="E210" s="23">
        <f>COUNTIFS(Pinjaman!$Y$6:$Y$1744,E$203,Pinjaman!$X$6:$X$1744,$B210)</f>
        <v>26</v>
      </c>
      <c r="F210" s="23">
        <f>COUNTIFS(Pinjaman!$Y$6:$Y$1744,F$203,Pinjaman!$X$6:$X$1744,$B210)</f>
        <v>44</v>
      </c>
      <c r="G210" s="23">
        <f>COUNTIFS(Pinjaman!$Y$6:$Y$1744,G$203,Pinjaman!$X$6:$X$1744,$B210)</f>
        <v>24</v>
      </c>
      <c r="H210" s="23">
        <f>COUNTIFS(Pinjaman!$Y$6:$Y$1744,H$203,Pinjaman!$X$6:$X$1744,$B210)</f>
        <v>8</v>
      </c>
      <c r="I210" s="23">
        <f>COUNTIFS(Pinjaman!$Y$6:$Y$1744,I$203,Pinjaman!$X$6:$X$1744,$B210)</f>
        <v>13</v>
      </c>
      <c r="J210" s="23">
        <f>COUNTIFS(Pinjaman!$Y$6:$Y$1744,J$203,Pinjaman!$X$6:$X$1744,$B210)</f>
        <v>0</v>
      </c>
    </row>
    <row r="211" spans="1:10" x14ac:dyDescent="0.3">
      <c r="B211" s="67" t="s">
        <v>9787</v>
      </c>
      <c r="C211" s="2">
        <f>COUNTIF(Pinjaman!$X$6:$X$1744,B211)</f>
        <v>4</v>
      </c>
      <c r="D211" s="23">
        <f>COUNTIFS(Pinjaman!$Y$6:$Y$1744,D$203,Pinjaman!$X$6:$X$1744,$B211)</f>
        <v>4</v>
      </c>
      <c r="E211" s="23">
        <f>COUNTIFS(Pinjaman!$Y$6:$Y$1744,E$203,Pinjaman!$X$6:$X$1744,$B211)</f>
        <v>0</v>
      </c>
      <c r="F211" s="23">
        <f>COUNTIFS(Pinjaman!$Y$6:$Y$1744,F$203,Pinjaman!$X$6:$X$1744,$B211)</f>
        <v>0</v>
      </c>
      <c r="G211" s="23">
        <f>COUNTIFS(Pinjaman!$Y$6:$Y$1744,G$203,Pinjaman!$X$6:$X$1744,$B211)</f>
        <v>0</v>
      </c>
      <c r="H211" s="23">
        <f>COUNTIFS(Pinjaman!$Y$6:$Y$1744,H$203,Pinjaman!$X$6:$X$1744,$B211)</f>
        <v>0</v>
      </c>
      <c r="I211" s="23">
        <f>COUNTIFS(Pinjaman!$Y$6:$Y$1744,I$203,Pinjaman!$X$6:$X$1744,$B211)</f>
        <v>0</v>
      </c>
      <c r="J211" s="23">
        <f>COUNTIFS(Pinjaman!$Y$6:$Y$1744,J$203,Pinjaman!$X$6:$X$1744,$B211)</f>
        <v>0</v>
      </c>
    </row>
    <row r="212" spans="1:10" x14ac:dyDescent="0.3">
      <c r="B212" s="67" t="s">
        <v>12065</v>
      </c>
      <c r="C212" s="2">
        <f>COUNTIF(Pinjaman!$X$6:$X$1744,B212)</f>
        <v>13</v>
      </c>
      <c r="D212" s="23">
        <f>COUNTIFS(Pinjaman!$Y$6:$Y$1744,D$203,Pinjaman!$X$6:$X$1744,$B212)</f>
        <v>1</v>
      </c>
      <c r="E212" s="23">
        <f>COUNTIFS(Pinjaman!$Y$6:$Y$1744,E$203,Pinjaman!$X$6:$X$1744,$B212)</f>
        <v>3</v>
      </c>
      <c r="F212" s="23">
        <f>COUNTIFS(Pinjaman!$Y$6:$Y$1744,F$203,Pinjaman!$X$6:$X$1744,$B212)</f>
        <v>4</v>
      </c>
      <c r="G212" s="23">
        <f>COUNTIFS(Pinjaman!$Y$6:$Y$1744,G$203,Pinjaman!$X$6:$X$1744,$B212)</f>
        <v>0</v>
      </c>
      <c r="H212" s="23">
        <f>COUNTIFS(Pinjaman!$Y$6:$Y$1744,H$203,Pinjaman!$X$6:$X$1744,$B212)</f>
        <v>2</v>
      </c>
      <c r="I212" s="23">
        <f>COUNTIFS(Pinjaman!$Y$6:$Y$1744,I$203,Pinjaman!$X$6:$X$1744,$B212)</f>
        <v>3</v>
      </c>
      <c r="J212" s="23">
        <f>COUNTIFS(Pinjaman!$Y$6:$Y$1744,J$203,Pinjaman!$X$6:$X$1744,$B212)</f>
        <v>0</v>
      </c>
    </row>
    <row r="213" spans="1:10" x14ac:dyDescent="0.3">
      <c r="B213" s="67" t="s">
        <v>12074</v>
      </c>
      <c r="C213" s="2">
        <f>COUNTIF(Pinjaman!$X$6:$X$1744,B213)</f>
        <v>19</v>
      </c>
      <c r="D213" s="23">
        <f>COUNTIFS(Pinjaman!$Y$6:$Y$1744,D$203,Pinjaman!$X$6:$X$1744,$B213)</f>
        <v>2</v>
      </c>
      <c r="E213" s="23">
        <f>COUNTIFS(Pinjaman!$Y$6:$Y$1744,E$203,Pinjaman!$X$6:$X$1744,$B213)</f>
        <v>12</v>
      </c>
      <c r="F213" s="23">
        <f>COUNTIFS(Pinjaman!$Y$6:$Y$1744,F$203,Pinjaman!$X$6:$X$1744,$B213)</f>
        <v>2</v>
      </c>
      <c r="G213" s="23">
        <f>COUNTIFS(Pinjaman!$Y$6:$Y$1744,G$203,Pinjaman!$X$6:$X$1744,$B213)</f>
        <v>2</v>
      </c>
      <c r="H213" s="23">
        <f>COUNTIFS(Pinjaman!$Y$6:$Y$1744,H$203,Pinjaman!$X$6:$X$1744,$B213)</f>
        <v>0</v>
      </c>
      <c r="I213" s="23">
        <f>COUNTIFS(Pinjaman!$Y$6:$Y$1744,I$203,Pinjaman!$X$6:$X$1744,$B213)</f>
        <v>1</v>
      </c>
      <c r="J213" s="23">
        <f>COUNTIFS(Pinjaman!$Y$6:$Y$1744,J$203,Pinjaman!$X$6:$X$1744,$B213)</f>
        <v>0</v>
      </c>
    </row>
    <row r="214" spans="1:10" x14ac:dyDescent="0.3">
      <c r="B214" s="67" t="s">
        <v>13</v>
      </c>
      <c r="C214" s="2">
        <f>COUNTIF(Pinjaman!$X$6:$X$1744,B214)</f>
        <v>61</v>
      </c>
      <c r="D214" s="23">
        <f>COUNTIFS(Pinjaman!$Y$6:$Y$1744,D$203,Pinjaman!$X$6:$X$1744,$B214)</f>
        <v>27</v>
      </c>
      <c r="E214" s="23">
        <f>COUNTIFS(Pinjaman!$Y$6:$Y$1744,E$203,Pinjaman!$X$6:$X$1744,$B214)</f>
        <v>12</v>
      </c>
      <c r="F214" s="23">
        <f>COUNTIFS(Pinjaman!$Y$6:$Y$1744,F$203,Pinjaman!$X$6:$X$1744,$B214)</f>
        <v>7</v>
      </c>
      <c r="G214" s="23">
        <f>COUNTIFS(Pinjaman!$Y$6:$Y$1744,G$203,Pinjaman!$X$6:$X$1744,$B214)</f>
        <v>5</v>
      </c>
      <c r="H214" s="23">
        <f>COUNTIFS(Pinjaman!$Y$6:$Y$1744,H$203,Pinjaman!$X$6:$X$1744,$B214)</f>
        <v>7</v>
      </c>
      <c r="I214" s="23">
        <f>COUNTIFS(Pinjaman!$Y$6:$Y$1744,I$203,Pinjaman!$X$6:$X$1744,$B214)</f>
        <v>3</v>
      </c>
      <c r="J214" s="23">
        <f>COUNTIFS(Pinjaman!$Y$6:$Y$1744,J$203,Pinjaman!$X$6:$X$1744,$B214)</f>
        <v>0</v>
      </c>
    </row>
    <row r="215" spans="1:10" x14ac:dyDescent="0.3">
      <c r="B215" s="67" t="s">
        <v>243</v>
      </c>
      <c r="C215" s="2">
        <f>COUNTIF(Pinjaman!$X$6:$X$1744,B215)</f>
        <v>10</v>
      </c>
      <c r="D215" s="23">
        <f>COUNTIFS(Pinjaman!$Y$6:$Y$1744,D$203,Pinjaman!$X$6:$X$1744,$B215)</f>
        <v>1</v>
      </c>
      <c r="E215" s="23">
        <f>COUNTIFS(Pinjaman!$Y$6:$Y$1744,E$203,Pinjaman!$X$6:$X$1744,$B215)</f>
        <v>2</v>
      </c>
      <c r="F215" s="23">
        <f>COUNTIFS(Pinjaman!$Y$6:$Y$1744,F$203,Pinjaman!$X$6:$X$1744,$B215)</f>
        <v>1</v>
      </c>
      <c r="G215" s="23">
        <f>COUNTIFS(Pinjaman!$Y$6:$Y$1744,G$203,Pinjaman!$X$6:$X$1744,$B215)</f>
        <v>2</v>
      </c>
      <c r="H215" s="23">
        <f>COUNTIFS(Pinjaman!$Y$6:$Y$1744,H$203,Pinjaman!$X$6:$X$1744,$B215)</f>
        <v>2</v>
      </c>
      <c r="I215" s="23">
        <f>COUNTIFS(Pinjaman!$Y$6:$Y$1744,I$203,Pinjaman!$X$6:$X$1744,$B215)</f>
        <v>2</v>
      </c>
      <c r="J215" s="23">
        <f>COUNTIFS(Pinjaman!$Y$6:$Y$1744,J$203,Pinjaman!$X$6:$X$1744,$B215)</f>
        <v>0</v>
      </c>
    </row>
    <row r="216" spans="1:10" x14ac:dyDescent="0.3">
      <c r="B216" s="67" t="s">
        <v>12075</v>
      </c>
      <c r="C216" s="2">
        <f>COUNTIF(Pinjaman!$X$6:$X$1744,B216)</f>
        <v>104</v>
      </c>
      <c r="D216" s="23">
        <f>COUNTIFS(Pinjaman!$Y$6:$Y$1744,D$203,Pinjaman!$X$6:$X$1744,$B216)</f>
        <v>59</v>
      </c>
      <c r="E216" s="23">
        <f>COUNTIFS(Pinjaman!$Y$6:$Y$1744,E$203,Pinjaman!$X$6:$X$1744,$B216)</f>
        <v>16</v>
      </c>
      <c r="F216" s="23">
        <f>COUNTIFS(Pinjaman!$Y$6:$Y$1744,F$203,Pinjaman!$X$6:$X$1744,$B216)</f>
        <v>6</v>
      </c>
      <c r="G216" s="23">
        <f>COUNTIFS(Pinjaman!$Y$6:$Y$1744,G$203,Pinjaman!$X$6:$X$1744,$B216)</f>
        <v>7</v>
      </c>
      <c r="H216" s="23">
        <f>COUNTIFS(Pinjaman!$Y$6:$Y$1744,H$203,Pinjaman!$X$6:$X$1744,$B216)</f>
        <v>3</v>
      </c>
      <c r="I216" s="23">
        <f>COUNTIFS(Pinjaman!$Y$6:$Y$1744,I$203,Pinjaman!$X$6:$X$1744,$B216)</f>
        <v>13</v>
      </c>
      <c r="J216" s="23">
        <f>COUNTIFS(Pinjaman!$Y$6:$Y$1744,J$203,Pinjaman!$X$6:$X$1744,$B216)</f>
        <v>0</v>
      </c>
    </row>
    <row r="217" spans="1:10" x14ac:dyDescent="0.3">
      <c r="B217" s="67" t="s">
        <v>12076</v>
      </c>
      <c r="C217" s="2">
        <f>COUNTIF(Pinjaman!$X$6:$X$1744,0)</f>
        <v>18</v>
      </c>
      <c r="D217" s="23">
        <f>COUNTIFS(Pinjaman!$Y$6:$Y$1744,D$203,Pinjaman!$X$6:$X$1744,0)</f>
        <v>12</v>
      </c>
      <c r="E217" s="23">
        <f>COUNTIFS(Pinjaman!$Y$6:$Y$1744,E$203,Pinjaman!$X$6:$X$1744,0)</f>
        <v>5</v>
      </c>
      <c r="F217" s="23">
        <f>COUNTIFS(Pinjaman!$Y$6:$Y$1744,F$203,Pinjaman!$X$6:$X$1744,0)</f>
        <v>0</v>
      </c>
      <c r="G217" s="23">
        <f>COUNTIFS(Pinjaman!$Y$6:$Y$1744,G$203,Pinjaman!$X$6:$X$1744,0)</f>
        <v>1</v>
      </c>
      <c r="H217" s="23">
        <f>COUNTIFS(Pinjaman!$Y$6:$Y$1744,H$203,Pinjaman!$X$6:$X$1744,0)</f>
        <v>0</v>
      </c>
      <c r="I217" s="23">
        <f>COUNTIFS(Pinjaman!$Y$6:$Y$1744,I$203,Pinjaman!$X$6:$X$1744,0)</f>
        <v>0</v>
      </c>
      <c r="J217" s="23">
        <f>COUNTIFS(Pinjaman!$Y$6:$Y$1744,J$203,Pinjaman!$X$6:$X$1744,0)</f>
        <v>0</v>
      </c>
    </row>
    <row r="218" spans="1:10" x14ac:dyDescent="0.3">
      <c r="B218" s="110" t="s">
        <v>9805</v>
      </c>
      <c r="C218" s="75">
        <f>SUM(C204:C217)</f>
        <v>1738</v>
      </c>
      <c r="D218" s="75">
        <f t="shared" ref="D218:J218" si="19">SUM(D204:D217)</f>
        <v>672</v>
      </c>
      <c r="E218" s="75">
        <f t="shared" si="19"/>
        <v>299</v>
      </c>
      <c r="F218" s="75">
        <f t="shared" si="19"/>
        <v>273</v>
      </c>
      <c r="G218" s="75">
        <f t="shared" si="19"/>
        <v>244</v>
      </c>
      <c r="H218" s="75">
        <f t="shared" si="19"/>
        <v>105</v>
      </c>
      <c r="I218" s="75">
        <f t="shared" si="19"/>
        <v>145</v>
      </c>
      <c r="J218" s="75">
        <f t="shared" si="19"/>
        <v>0</v>
      </c>
    </row>
    <row r="220" spans="1:10" x14ac:dyDescent="0.3">
      <c r="A220" s="58">
        <v>7</v>
      </c>
      <c r="B220" s="24" t="s">
        <v>12088</v>
      </c>
    </row>
    <row r="222" spans="1:10" x14ac:dyDescent="0.3">
      <c r="B222" s="72" t="s">
        <v>9795</v>
      </c>
      <c r="C222" s="72" t="s">
        <v>9804</v>
      </c>
      <c r="D222" s="72" t="s">
        <v>12082</v>
      </c>
      <c r="E222" s="72" t="s">
        <v>12083</v>
      </c>
      <c r="F222" s="72" t="s">
        <v>10573</v>
      </c>
      <c r="G222" s="72" t="s">
        <v>12084</v>
      </c>
      <c r="H222" s="72" t="s">
        <v>12085</v>
      </c>
      <c r="I222" s="72" t="s">
        <v>12076</v>
      </c>
    </row>
    <row r="223" spans="1:10" x14ac:dyDescent="0.3">
      <c r="B223" s="320" t="s">
        <v>12079</v>
      </c>
      <c r="C223" s="67" t="s">
        <v>46</v>
      </c>
      <c r="D223" s="23">
        <f>COUNTIFS(Pinjaman!$W$6:$W$1744,D$222,Pinjaman!$X$6:$X$1744,$C223,Pinjaman!$V$6:$V$1744,"&lt;24")</f>
        <v>0</v>
      </c>
      <c r="E223" s="23">
        <f>COUNTIFS(Pinjaman!$W$6:$W$1744,E$222,Pinjaman!$X$6:$X$1744,$C223,Pinjaman!$V$6:$V$1744,"&lt;24")</f>
        <v>0</v>
      </c>
      <c r="F223" s="23">
        <f>COUNTIFS(Pinjaman!$W$6:$W$1744,F$222,Pinjaman!$X$6:$X$1744,$C223,Pinjaman!$V$6:$V$1744,"&lt;24")</f>
        <v>0</v>
      </c>
      <c r="G223" s="23">
        <f>COUNTIFS(Pinjaman!$W$6:$W$1744,G$222,Pinjaman!$X$6:$X$1744,$C223,Pinjaman!$V$6:$V$1744,"&lt;24")</f>
        <v>0</v>
      </c>
      <c r="H223" s="23">
        <f>COUNTIFS(Pinjaman!$W$6:$W$1744,H$222,Pinjaman!$X$6:$X$1744,$C223,Pinjaman!$V$6:$V$1744,"&lt;24")</f>
        <v>6</v>
      </c>
      <c r="I223" s="23">
        <f>COUNTIFS(Pinjaman!$W$6:$W$1744,0,Pinjaman!$X$6:$X$1744,$C223,Pinjaman!$V$6:$V$1744,"&lt;24")</f>
        <v>1</v>
      </c>
    </row>
    <row r="224" spans="1:10" x14ac:dyDescent="0.3">
      <c r="B224" s="320"/>
      <c r="C224" s="67" t="s">
        <v>9788</v>
      </c>
      <c r="D224" s="23">
        <f>COUNTIFS(Pinjaman!$W$6:$W$1744,D$222,Pinjaman!$X$6:$X$1744,$C224,Pinjaman!$V$6:$V$1744,"&lt;24")</f>
        <v>0</v>
      </c>
      <c r="E224" s="23">
        <f>COUNTIFS(Pinjaman!$W$6:$W$1744,E$222,Pinjaman!$X$6:$X$1744,$C224,Pinjaman!$V$6:$V$1744,"&lt;24")</f>
        <v>5</v>
      </c>
      <c r="F224" s="53">
        <f>COUNTIFS(Pinjaman!$W$6:$W$1744,F$222,Pinjaman!$X$6:$X$1744,$C224,Pinjaman!$V$6:$V$1744,"&lt;24")</f>
        <v>17</v>
      </c>
      <c r="G224" s="23">
        <f>COUNTIFS(Pinjaman!$W$6:$W$1744,G$222,Pinjaman!$X$6:$X$1744,$C224,Pinjaman!$V$6:$V$1744,"&lt;24")</f>
        <v>2</v>
      </c>
      <c r="H224" s="23">
        <f>COUNTIFS(Pinjaman!$W$6:$W$1744,H$222,Pinjaman!$X$6:$X$1744,$C224,Pinjaman!$V$6:$V$1744,"&lt;24")</f>
        <v>3</v>
      </c>
      <c r="I224" s="23">
        <f>COUNTIFS(Pinjaman!$W$6:$W$1744,0,Pinjaman!$X$6:$X$1744,$C224,Pinjaman!$V$6:$V$1744,"&lt;24")</f>
        <v>0</v>
      </c>
    </row>
    <row r="225" spans="2:11" x14ac:dyDescent="0.3">
      <c r="B225" s="320"/>
      <c r="C225" s="67" t="s">
        <v>9785</v>
      </c>
      <c r="D225" s="23">
        <f>COUNTIFS(Pinjaman!$W$6:$W$1744,D$222,Pinjaman!$X$6:$X$1744,$C225,Pinjaman!$V$6:$V$1744,"&lt;24")</f>
        <v>0</v>
      </c>
      <c r="E225" s="23">
        <f>COUNTIFS(Pinjaman!$W$6:$W$1744,E$222,Pinjaman!$X$6:$X$1744,$C225,Pinjaman!$V$6:$V$1744,"&lt;24")</f>
        <v>0</v>
      </c>
      <c r="F225" s="23">
        <f>COUNTIFS(Pinjaman!$W$6:$W$1744,F$222,Pinjaman!$X$6:$X$1744,$C225,Pinjaman!$V$6:$V$1744,"&lt;24")</f>
        <v>1</v>
      </c>
      <c r="G225" s="23">
        <f>COUNTIFS(Pinjaman!$W$6:$W$1744,G$222,Pinjaman!$X$6:$X$1744,$C225,Pinjaman!$V$6:$V$1744,"&lt;24")</f>
        <v>1</v>
      </c>
      <c r="H225" s="23">
        <f>COUNTIFS(Pinjaman!$W$6:$W$1744,H$222,Pinjaman!$X$6:$X$1744,$C225,Pinjaman!$V$6:$V$1744,"&lt;24")</f>
        <v>0</v>
      </c>
      <c r="I225" s="23">
        <f>COUNTIFS(Pinjaman!$W$6:$W$1744,0,Pinjaman!$X$6:$X$1744,$C225,Pinjaman!$V$6:$V$1744,"&lt;24")</f>
        <v>0</v>
      </c>
    </row>
    <row r="226" spans="2:11" x14ac:dyDescent="0.3">
      <c r="B226" s="320"/>
      <c r="C226" s="67" t="s">
        <v>12073</v>
      </c>
      <c r="D226" s="23">
        <f>COUNTIFS(Pinjaman!$W$6:$W$1744,D$222,Pinjaman!$X$6:$X$1744,$C226,Pinjaman!$V$6:$V$1744,"&lt;24")</f>
        <v>0</v>
      </c>
      <c r="E226" s="23">
        <f>COUNTIFS(Pinjaman!$W$6:$W$1744,E$222,Pinjaman!$X$6:$X$1744,$C226,Pinjaman!$V$6:$V$1744,"&lt;24")</f>
        <v>0</v>
      </c>
      <c r="F226" s="23">
        <f>COUNTIFS(Pinjaman!$W$6:$W$1744,F$222,Pinjaman!$X$6:$X$1744,$C226,Pinjaman!$V$6:$V$1744,"&lt;24")</f>
        <v>0</v>
      </c>
      <c r="G226" s="23">
        <f>COUNTIFS(Pinjaman!$W$6:$W$1744,G$222,Pinjaman!$X$6:$X$1744,$C226,Pinjaman!$V$6:$V$1744,"&lt;24")</f>
        <v>0</v>
      </c>
      <c r="H226" s="23">
        <f>COUNTIFS(Pinjaman!$W$6:$W$1744,H$222,Pinjaman!$X$6:$X$1744,$C226,Pinjaman!$V$6:$V$1744,"&lt;24")</f>
        <v>0</v>
      </c>
      <c r="I226" s="23">
        <f>COUNTIFS(Pinjaman!$W$6:$W$1744,0,Pinjaman!$X$6:$X$1744,$C226,Pinjaman!$V$6:$V$1744,"&lt;24")</f>
        <v>0</v>
      </c>
    </row>
    <row r="227" spans="2:11" x14ac:dyDescent="0.3">
      <c r="B227" s="320"/>
      <c r="C227" s="67" t="s">
        <v>337</v>
      </c>
      <c r="D227" s="23">
        <f>COUNTIFS(Pinjaman!$W$6:$W$1744,D$222,Pinjaman!$X$6:$X$1744,$C227,Pinjaman!$V$6:$V$1744,"&lt;24")</f>
        <v>0</v>
      </c>
      <c r="E227" s="23">
        <f>COUNTIFS(Pinjaman!$W$6:$W$1744,E$222,Pinjaman!$X$6:$X$1744,$C227,Pinjaman!$V$6:$V$1744,"&lt;24")</f>
        <v>0</v>
      </c>
      <c r="F227" s="23">
        <f>COUNTIFS(Pinjaman!$W$6:$W$1744,F$222,Pinjaman!$X$6:$X$1744,$C227,Pinjaman!$V$6:$V$1744,"&lt;24")</f>
        <v>4</v>
      </c>
      <c r="G227" s="23">
        <f>COUNTIFS(Pinjaman!$W$6:$W$1744,G$222,Pinjaman!$X$6:$X$1744,$C227,Pinjaman!$V$6:$V$1744,"&lt;24")</f>
        <v>1</v>
      </c>
      <c r="H227" s="23">
        <f>COUNTIFS(Pinjaman!$W$6:$W$1744,H$222,Pinjaman!$X$6:$X$1744,$C227,Pinjaman!$V$6:$V$1744,"&lt;24")</f>
        <v>4</v>
      </c>
      <c r="I227" s="23">
        <f>COUNTIFS(Pinjaman!$W$6:$W$1744,0,Pinjaman!$X$6:$X$1744,$C227,Pinjaman!$V$6:$V$1744,"&lt;24")</f>
        <v>0</v>
      </c>
    </row>
    <row r="228" spans="2:11" x14ac:dyDescent="0.3">
      <c r="B228" s="320"/>
      <c r="C228" s="67" t="s">
        <v>9791</v>
      </c>
      <c r="D228" s="23">
        <f>COUNTIFS(Pinjaman!$W$6:$W$1744,D$222,Pinjaman!$X$6:$X$1744,$C228,Pinjaman!$V$6:$V$1744,"&lt;24")</f>
        <v>0</v>
      </c>
      <c r="E228" s="23">
        <f>COUNTIFS(Pinjaman!$W$6:$W$1744,E$222,Pinjaman!$X$6:$X$1744,$C228,Pinjaman!$V$6:$V$1744,"&lt;24")</f>
        <v>0</v>
      </c>
      <c r="F228" s="23">
        <f>COUNTIFS(Pinjaman!$W$6:$W$1744,F$222,Pinjaman!$X$6:$X$1744,$C228,Pinjaman!$V$6:$V$1744,"&lt;24")</f>
        <v>0</v>
      </c>
      <c r="G228" s="23">
        <f>COUNTIFS(Pinjaman!$W$6:$W$1744,G$222,Pinjaman!$X$6:$X$1744,$C228,Pinjaman!$V$6:$V$1744,"&lt;24")</f>
        <v>0</v>
      </c>
      <c r="H228" s="23">
        <f>COUNTIFS(Pinjaman!$W$6:$W$1744,H$222,Pinjaman!$X$6:$X$1744,$C228,Pinjaman!$V$6:$V$1744,"&lt;24")</f>
        <v>0</v>
      </c>
      <c r="I228" s="23">
        <f>COUNTIFS(Pinjaman!$W$6:$W$1744,0,Pinjaman!$X$6:$X$1744,$C228,Pinjaman!$V$6:$V$1744,"&lt;24")</f>
        <v>0</v>
      </c>
    </row>
    <row r="229" spans="2:11" x14ac:dyDescent="0.3">
      <c r="B229" s="320"/>
      <c r="C229" s="67" t="s">
        <v>31</v>
      </c>
      <c r="D229" s="23">
        <f>COUNTIFS(Pinjaman!$W$6:$W$1744,D$222,Pinjaman!$X$6:$X$1744,$C229,Pinjaman!$V$6:$V$1744,"&lt;24")</f>
        <v>0</v>
      </c>
      <c r="E229" s="23">
        <f>COUNTIFS(Pinjaman!$W$6:$W$1744,E$222,Pinjaman!$X$6:$X$1744,$C229,Pinjaman!$V$6:$V$1744,"&lt;24")</f>
        <v>0</v>
      </c>
      <c r="F229" s="23">
        <f>COUNTIFS(Pinjaman!$W$6:$W$1744,F$222,Pinjaman!$X$6:$X$1744,$C229,Pinjaman!$V$6:$V$1744,"&lt;24")</f>
        <v>0</v>
      </c>
      <c r="G229" s="23">
        <f>COUNTIFS(Pinjaman!$W$6:$W$1744,G$222,Pinjaman!$X$6:$X$1744,$C229,Pinjaman!$V$6:$V$1744,"&lt;24")</f>
        <v>1</v>
      </c>
      <c r="H229" s="23">
        <f>COUNTIFS(Pinjaman!$W$6:$W$1744,H$222,Pinjaman!$X$6:$X$1744,$C229,Pinjaman!$V$6:$V$1744,"&lt;24")</f>
        <v>1</v>
      </c>
      <c r="I229" s="23">
        <f>COUNTIFS(Pinjaman!$W$6:$W$1744,0,Pinjaman!$X$6:$X$1744,$C229,Pinjaman!$V$6:$V$1744,"&lt;24")</f>
        <v>0</v>
      </c>
    </row>
    <row r="230" spans="2:11" x14ac:dyDescent="0.3">
      <c r="B230" s="320"/>
      <c r="C230" s="67" t="s">
        <v>9787</v>
      </c>
      <c r="D230" s="23">
        <f>COUNTIFS(Pinjaman!$W$6:$W$1744,D$222,Pinjaman!$X$6:$X$1744,$C230,Pinjaman!$V$6:$V$1744,"&lt;24")</f>
        <v>0</v>
      </c>
      <c r="E230" s="23">
        <f>COUNTIFS(Pinjaman!$W$6:$W$1744,E$222,Pinjaman!$X$6:$X$1744,$C230,Pinjaman!$V$6:$V$1744,"&lt;24")</f>
        <v>0</v>
      </c>
      <c r="F230" s="23">
        <f>COUNTIFS(Pinjaman!$W$6:$W$1744,F$222,Pinjaman!$X$6:$X$1744,$C230,Pinjaman!$V$6:$V$1744,"&lt;24")</f>
        <v>0</v>
      </c>
      <c r="G230" s="23">
        <f>COUNTIFS(Pinjaman!$W$6:$W$1744,G$222,Pinjaman!$X$6:$X$1744,$C230,Pinjaman!$V$6:$V$1744,"&lt;24")</f>
        <v>0</v>
      </c>
      <c r="H230" s="23">
        <f>COUNTIFS(Pinjaman!$W$6:$W$1744,H$222,Pinjaman!$X$6:$X$1744,$C230,Pinjaman!$V$6:$V$1744,"&lt;24")</f>
        <v>0</v>
      </c>
      <c r="I230" s="23">
        <f>COUNTIFS(Pinjaman!$W$6:$W$1744,0,Pinjaman!$X$6:$X$1744,$C230,Pinjaman!$V$6:$V$1744,"&lt;24")</f>
        <v>0</v>
      </c>
    </row>
    <row r="231" spans="2:11" x14ac:dyDescent="0.3">
      <c r="B231" s="320"/>
      <c r="C231" s="67" t="s">
        <v>12065</v>
      </c>
      <c r="D231" s="23">
        <f>COUNTIFS(Pinjaman!$W$6:$W$1744,D$222,Pinjaman!$X$6:$X$1744,$C231,Pinjaman!$V$6:$V$1744,"&lt;24")</f>
        <v>0</v>
      </c>
      <c r="E231" s="23">
        <f>COUNTIFS(Pinjaman!$W$6:$W$1744,E$222,Pinjaman!$X$6:$X$1744,$C231,Pinjaman!$V$6:$V$1744,"&lt;24")</f>
        <v>0</v>
      </c>
      <c r="F231" s="23">
        <f>COUNTIFS(Pinjaman!$W$6:$W$1744,F$222,Pinjaman!$X$6:$X$1744,$C231,Pinjaman!$V$6:$V$1744,"&lt;24")</f>
        <v>0</v>
      </c>
      <c r="G231" s="23">
        <f>COUNTIFS(Pinjaman!$W$6:$W$1744,G$222,Pinjaman!$X$6:$X$1744,$C231,Pinjaman!$V$6:$V$1744,"&lt;24")</f>
        <v>0</v>
      </c>
      <c r="H231" s="23">
        <f>COUNTIFS(Pinjaman!$W$6:$W$1744,H$222,Pinjaman!$X$6:$X$1744,$C231,Pinjaman!$V$6:$V$1744,"&lt;24")</f>
        <v>0</v>
      </c>
      <c r="I231" s="23">
        <f>COUNTIFS(Pinjaman!$W$6:$W$1744,0,Pinjaman!$X$6:$X$1744,$C231,Pinjaman!$V$6:$V$1744,"&lt;24")</f>
        <v>0</v>
      </c>
    </row>
    <row r="232" spans="2:11" x14ac:dyDescent="0.3">
      <c r="B232" s="320"/>
      <c r="C232" s="67" t="s">
        <v>12074</v>
      </c>
      <c r="D232" s="23">
        <f>COUNTIFS(Pinjaman!$W$6:$W$1744,D$222,Pinjaman!$X$6:$X$1744,$C232,Pinjaman!$V$6:$V$1744,"&lt;24")</f>
        <v>0</v>
      </c>
      <c r="E232" s="23">
        <f>COUNTIFS(Pinjaman!$W$6:$W$1744,E$222,Pinjaman!$X$6:$X$1744,$C232,Pinjaman!$V$6:$V$1744,"&lt;24")</f>
        <v>0</v>
      </c>
      <c r="F232" s="23">
        <f>COUNTIFS(Pinjaman!$W$6:$W$1744,F$222,Pinjaman!$X$6:$X$1744,$C232,Pinjaman!$V$6:$V$1744,"&lt;24")</f>
        <v>0</v>
      </c>
      <c r="G232" s="23">
        <f>COUNTIFS(Pinjaman!$W$6:$W$1744,G$222,Pinjaman!$X$6:$X$1744,$C232,Pinjaman!$V$6:$V$1744,"&lt;24")</f>
        <v>0</v>
      </c>
      <c r="H232" s="23">
        <f>COUNTIFS(Pinjaman!$W$6:$W$1744,H$222,Pinjaman!$X$6:$X$1744,$C232,Pinjaman!$V$6:$V$1744,"&lt;24")</f>
        <v>0</v>
      </c>
      <c r="I232" s="23">
        <f>COUNTIFS(Pinjaman!$W$6:$W$1744,0,Pinjaman!$X$6:$X$1744,$C232,Pinjaman!$V$6:$V$1744,"&lt;24")</f>
        <v>0</v>
      </c>
    </row>
    <row r="233" spans="2:11" x14ac:dyDescent="0.3">
      <c r="B233" s="320"/>
      <c r="C233" s="67" t="s">
        <v>13</v>
      </c>
      <c r="D233" s="23">
        <f>COUNTIFS(Pinjaman!$W$6:$W$1744,D$222,Pinjaman!$X$6:$X$1744,$C233,Pinjaman!$V$6:$V$1744,"&lt;24")</f>
        <v>0</v>
      </c>
      <c r="E233" s="23">
        <f>COUNTIFS(Pinjaman!$W$6:$W$1744,E$222,Pinjaman!$X$6:$X$1744,$C233,Pinjaman!$V$6:$V$1744,"&lt;24")</f>
        <v>0</v>
      </c>
      <c r="F233" s="23">
        <f>COUNTIFS(Pinjaman!$W$6:$W$1744,F$222,Pinjaman!$X$6:$X$1744,$C233,Pinjaman!$V$6:$V$1744,"&lt;24")</f>
        <v>0</v>
      </c>
      <c r="G233" s="23">
        <f>COUNTIFS(Pinjaman!$W$6:$W$1744,G$222,Pinjaman!$X$6:$X$1744,$C233,Pinjaman!$V$6:$V$1744,"&lt;24")</f>
        <v>0</v>
      </c>
      <c r="H233" s="23">
        <f>COUNTIFS(Pinjaman!$W$6:$W$1744,H$222,Pinjaman!$X$6:$X$1744,$C233,Pinjaman!$V$6:$V$1744,"&lt;24")</f>
        <v>0</v>
      </c>
      <c r="I233" s="23">
        <f>COUNTIFS(Pinjaman!$W$6:$W$1744,0,Pinjaman!$X$6:$X$1744,$C233,Pinjaman!$V$6:$V$1744,"&lt;24")</f>
        <v>0</v>
      </c>
    </row>
    <row r="234" spans="2:11" x14ac:dyDescent="0.3">
      <c r="B234" s="320"/>
      <c r="C234" s="67" t="s">
        <v>243</v>
      </c>
      <c r="D234" s="23">
        <f>COUNTIFS(Pinjaman!$W$6:$W$1744,D$222,Pinjaman!$X$6:$X$1744,$C234,Pinjaman!$V$6:$V$1744,"&lt;24")</f>
        <v>0</v>
      </c>
      <c r="E234" s="23">
        <f>COUNTIFS(Pinjaman!$W$6:$W$1744,E$222,Pinjaman!$X$6:$X$1744,$C234,Pinjaman!$V$6:$V$1744,"&lt;24")</f>
        <v>0</v>
      </c>
      <c r="F234" s="23">
        <f>COUNTIFS(Pinjaman!$W$6:$W$1744,F$222,Pinjaman!$X$6:$X$1744,$C234,Pinjaman!$V$6:$V$1744,"&lt;24")</f>
        <v>1</v>
      </c>
      <c r="G234" s="23">
        <f>COUNTIFS(Pinjaman!$W$6:$W$1744,G$222,Pinjaman!$X$6:$X$1744,$C234,Pinjaman!$V$6:$V$1744,"&lt;24")</f>
        <v>0</v>
      </c>
      <c r="H234" s="23">
        <f>COUNTIFS(Pinjaman!$W$6:$W$1744,H$222,Pinjaman!$X$6:$X$1744,$C234,Pinjaman!$V$6:$V$1744,"&lt;24")</f>
        <v>1</v>
      </c>
      <c r="I234" s="23">
        <f>COUNTIFS(Pinjaman!$W$6:$W$1744,0,Pinjaman!$X$6:$X$1744,$C234,Pinjaman!$V$6:$V$1744,"&lt;24")</f>
        <v>0</v>
      </c>
    </row>
    <row r="235" spans="2:11" x14ac:dyDescent="0.3">
      <c r="B235" s="320"/>
      <c r="C235" s="67" t="s">
        <v>12075</v>
      </c>
      <c r="D235" s="23">
        <f>COUNTIFS(Pinjaman!$W$6:$W$1744,D$222,Pinjaman!$X$6:$X$1744,$C235,Pinjaman!$V$6:$V$1744,"&lt;24")</f>
        <v>0</v>
      </c>
      <c r="E235" s="23">
        <f>COUNTIFS(Pinjaman!$W$6:$W$1744,E$222,Pinjaman!$X$6:$X$1744,$C235,Pinjaman!$V$6:$V$1744,"&lt;24")</f>
        <v>0</v>
      </c>
      <c r="F235" s="23">
        <f>COUNTIFS(Pinjaman!$W$6:$W$1744,F$222,Pinjaman!$X$6:$X$1744,$C235,Pinjaman!$V$6:$V$1744,"&lt;24")</f>
        <v>0</v>
      </c>
      <c r="G235" s="23">
        <f>COUNTIFS(Pinjaman!$W$6:$W$1744,G$222,Pinjaman!$X$6:$X$1744,$C235,Pinjaman!$V$6:$V$1744,"&lt;24")</f>
        <v>0</v>
      </c>
      <c r="H235" s="23">
        <f>COUNTIFS(Pinjaman!$W$6:$W$1744,H$222,Pinjaman!$X$6:$X$1744,$C235,Pinjaman!$V$6:$V$1744,"&lt;24")</f>
        <v>0</v>
      </c>
      <c r="I235" s="23">
        <f>COUNTIFS(Pinjaman!$W$6:$W$1744,0,Pinjaman!$X$6:$X$1744,$C235,Pinjaman!$V$6:$V$1744,"&lt;24")</f>
        <v>0</v>
      </c>
    </row>
    <row r="236" spans="2:11" x14ac:dyDescent="0.3">
      <c r="B236" s="320"/>
      <c r="C236" s="67" t="s">
        <v>12076</v>
      </c>
      <c r="D236" s="23">
        <f>COUNTIFS(Pinjaman!$W$6:$W$1744,D$222,Pinjaman!$X$6:$X$1744,0,Pinjaman!$V$6:$V$1744,"&lt;24")</f>
        <v>0</v>
      </c>
      <c r="E236" s="23">
        <f>COUNTIFS(Pinjaman!$W$6:$W$1744,E$222,Pinjaman!$X$6:$X$1744,0,Pinjaman!$V$6:$V$1744,"&lt;24")</f>
        <v>1</v>
      </c>
      <c r="F236" s="23">
        <f>COUNTIFS(Pinjaman!$W$6:$W$1744,F$222,Pinjaman!$X$6:$X$1744,0,Pinjaman!$V$6:$V$1744,"&lt;24")</f>
        <v>0</v>
      </c>
      <c r="G236" s="23">
        <f>COUNTIFS(Pinjaman!$W$6:$W$1744,G$222,Pinjaman!$X$6:$X$1744,0,Pinjaman!$V$6:$V$1744,"&lt;24")</f>
        <v>0</v>
      </c>
      <c r="H236" s="23">
        <f>COUNTIFS(Pinjaman!$W$6:$W$1744,H$222,Pinjaman!$X$6:$X$1744,0,Pinjaman!$V$6:$V$1744,"&lt;24")</f>
        <v>1</v>
      </c>
      <c r="I236" s="23">
        <f>COUNTIFS(Pinjaman!$W$6:$W$1744,0,Pinjaman!$X$6:$X$1744,$C236,Pinjaman!$V$6:$V$1744,"&lt;24")</f>
        <v>0</v>
      </c>
    </row>
    <row r="237" spans="2:11" x14ac:dyDescent="0.3">
      <c r="B237" s="320" t="s">
        <v>22144</v>
      </c>
      <c r="C237" s="67" t="s">
        <v>46</v>
      </c>
      <c r="D237" s="23">
        <f>COUNTIFS(Pinjaman!$W$6:$W$1744,D$222,Pinjaman!$X$6:$X$1744,$C237,Pinjaman!$V$6:$V$1744,"&lt;=35")-COUNTIFS(Pinjaman!$W$6:$W$1744,D$222,Pinjaman!$X$6:$X$1744,$C237,Pinjaman!$V$6:$V$1744,"&lt;24")</f>
        <v>0</v>
      </c>
      <c r="E237" s="23">
        <f>COUNTIFS(Pinjaman!$W$6:$W$1744,E$222,Pinjaman!$X$6:$X$1744,$C237,Pinjaman!$V$6:$V$1744,"&lt;=35")-COUNTIFS(Pinjaman!$W$6:$W$1744,E$222,Pinjaman!$X$6:$X$1744,$C237,Pinjaman!$V$6:$V$1744,"&lt;24")</f>
        <v>5</v>
      </c>
      <c r="F237" s="23">
        <f>COUNTIFS(Pinjaman!$W$6:$W$1744,F$222,Pinjaman!$X$6:$X$1744,$C237,Pinjaman!$V$6:$V$1744,"&lt;=35")-COUNTIFS(Pinjaman!$W$6:$W$1744,F$222,Pinjaman!$X$6:$X$1744,$C237,Pinjaman!$V$6:$V$1744,"&lt;24")</f>
        <v>11</v>
      </c>
      <c r="G237" s="23">
        <f>COUNTIFS(Pinjaman!$W$6:$W$1744,G$222,Pinjaman!$X$6:$X$1744,$C237,Pinjaman!$V$6:$V$1744,"&lt;=35")-COUNTIFS(Pinjaman!$W$6:$W$1744,G$222,Pinjaman!$X$6:$X$1744,$C237,Pinjaman!$V$6:$V$1744,"&lt;24")</f>
        <v>3</v>
      </c>
      <c r="H237" s="23">
        <f>COUNTIFS(Pinjaman!$W$6:$W$1744,H$222,Pinjaman!$X$6:$X$1744,$C237,Pinjaman!$V$6:$V$1744,"&lt;=35")-COUNTIFS(Pinjaman!$W$6:$W$1744,H$222,Pinjaman!$X$6:$X$1744,$C237,Pinjaman!$V$6:$V$1744,"&lt;24")</f>
        <v>45</v>
      </c>
      <c r="I237" s="23">
        <f>COUNTIFS(Pinjaman!$W$6:$W$1744,0,Pinjaman!$X$6:$X$1744,$C237,Pinjaman!$V$6:$V$1744,"&lt;=35")-COUNTIFS(Pinjaman!$W$6:$W$1744,0,Pinjaman!$X$6:$X$1744,$C237,Pinjaman!$V$6:$V$1744,"&lt;24")</f>
        <v>2</v>
      </c>
    </row>
    <row r="238" spans="2:11" x14ac:dyDescent="0.3">
      <c r="B238" s="320"/>
      <c r="C238" s="67" t="s">
        <v>9788</v>
      </c>
      <c r="D238" s="23">
        <f>COUNTIFS(Pinjaman!$W$6:$W$1744,D$222,Pinjaman!$X$6:$X$1744,$C238,Pinjaman!$V$6:$V$1744,"&lt;=35")-COUNTIFS(Pinjaman!$W$6:$W$1744,D$222,Pinjaman!$X$6:$X$1744,$C238,Pinjaman!$V$6:$V$1744,"&lt;24")</f>
        <v>4</v>
      </c>
      <c r="E238" s="23">
        <f>COUNTIFS(Pinjaman!$W$6:$W$1744,E$222,Pinjaman!$X$6:$X$1744,$C238,Pinjaman!$V$6:$V$1744,"&lt;=35")-COUNTIFS(Pinjaman!$W$6:$W$1744,E$222,Pinjaman!$X$6:$X$1744,$C238,Pinjaman!$V$6:$V$1744,"&lt;24")</f>
        <v>46</v>
      </c>
      <c r="F238" s="53">
        <f>COUNTIFS(Pinjaman!$W$6:$W$1744,F$222,Pinjaman!$X$6:$X$1744,$C238,Pinjaman!$V$6:$V$1744,"&lt;=35")-COUNTIFS(Pinjaman!$W$6:$W$1744,F$222,Pinjaman!$X$6:$X$1744,$C238,Pinjaman!$V$6:$V$1744,"&lt;24")</f>
        <v>72</v>
      </c>
      <c r="G238" s="23">
        <f>COUNTIFS(Pinjaman!$W$6:$W$1744,G$222,Pinjaman!$X$6:$X$1744,$C238,Pinjaman!$V$6:$V$1744,"&lt;=35")-COUNTIFS(Pinjaman!$W$6:$W$1744,G$222,Pinjaman!$X$6:$X$1744,$C238,Pinjaman!$V$6:$V$1744,"&lt;24")</f>
        <v>17</v>
      </c>
      <c r="H238" s="23">
        <f>COUNTIFS(Pinjaman!$W$6:$W$1744,H$222,Pinjaman!$X$6:$X$1744,$C238,Pinjaman!$V$6:$V$1744,"&lt;=35")-COUNTIFS(Pinjaman!$W$6:$W$1744,H$222,Pinjaman!$X$6:$X$1744,$C238,Pinjaman!$V$6:$V$1744,"&lt;24")</f>
        <v>35</v>
      </c>
      <c r="I238" s="23">
        <f>COUNTIFS(Pinjaman!$W$6:$W$1744,0,Pinjaman!$X$6:$X$1744,$C238,Pinjaman!$V$6:$V$1744,"&lt;=35")-COUNTIFS(Pinjaman!$W$6:$W$1744,0,Pinjaman!$X$6:$X$1744,$C238,Pinjaman!$V$6:$V$1744,"&lt;24")</f>
        <v>1</v>
      </c>
    </row>
    <row r="239" spans="2:11" x14ac:dyDescent="0.3">
      <c r="B239" s="320"/>
      <c r="C239" s="67" t="s">
        <v>9785</v>
      </c>
      <c r="D239" s="23">
        <f>COUNTIFS(Pinjaman!$W$6:$W$1744,D$222,Pinjaman!$X$6:$X$1744,$C239,Pinjaman!$V$6:$V$1744,"&lt;=35")-COUNTIFS(Pinjaman!$W$6:$W$1744,D$222,Pinjaman!$X$6:$X$1744,$C239,Pinjaman!$V$6:$V$1744,"&lt;24")</f>
        <v>0</v>
      </c>
      <c r="E239" s="23">
        <f>COUNTIFS(Pinjaman!$W$6:$W$1744,E$222,Pinjaman!$X$6:$X$1744,$C239,Pinjaman!$V$6:$V$1744,"&lt;=35")-COUNTIFS(Pinjaman!$W$6:$W$1744,E$222,Pinjaman!$X$6:$X$1744,$C239,Pinjaman!$V$6:$V$1744,"&lt;24")</f>
        <v>5</v>
      </c>
      <c r="F239" s="23">
        <f>COUNTIFS(Pinjaman!$W$6:$W$1744,F$222,Pinjaman!$X$6:$X$1744,$C239,Pinjaman!$V$6:$V$1744,"&lt;=35")-COUNTIFS(Pinjaman!$W$6:$W$1744,F$222,Pinjaman!$X$6:$X$1744,$C239,Pinjaman!$V$6:$V$1744,"&lt;24")</f>
        <v>10</v>
      </c>
      <c r="G239" s="23">
        <f>COUNTIFS(Pinjaman!$W$6:$W$1744,G$222,Pinjaman!$X$6:$X$1744,$C239,Pinjaman!$V$6:$V$1744,"&lt;=35")-COUNTIFS(Pinjaman!$W$6:$W$1744,G$222,Pinjaman!$X$6:$X$1744,$C239,Pinjaman!$V$6:$V$1744,"&lt;24")</f>
        <v>4</v>
      </c>
      <c r="H239" s="23">
        <f>COUNTIFS(Pinjaman!$W$6:$W$1744,H$222,Pinjaman!$X$6:$X$1744,$C239,Pinjaman!$V$6:$V$1744,"&lt;=35")-COUNTIFS(Pinjaman!$W$6:$W$1744,H$222,Pinjaman!$X$6:$X$1744,$C239,Pinjaman!$V$6:$V$1744,"&lt;24")</f>
        <v>4</v>
      </c>
      <c r="I239" s="23">
        <f>COUNTIFS(Pinjaman!$W$6:$W$1744,0,Pinjaman!$X$6:$X$1744,$C239,Pinjaman!$V$6:$V$1744,"&lt;=35")-COUNTIFS(Pinjaman!$W$6:$W$1744,0,Pinjaman!$X$6:$X$1744,$C239,Pinjaman!$V$6:$V$1744,"&lt;24")</f>
        <v>0</v>
      </c>
      <c r="K239" s="150"/>
    </row>
    <row r="240" spans="2:11" x14ac:dyDescent="0.3">
      <c r="B240" s="320"/>
      <c r="C240" s="67" t="s">
        <v>12099</v>
      </c>
      <c r="D240" s="23">
        <f>COUNTIFS(Pinjaman!$W$6:$W$1744,D$222,Pinjaman!$X$6:$X$1744,$C240,Pinjaman!$V$6:$V$1744,"&lt;=35")-COUNTIFS(Pinjaman!$W$6:$W$1744,D$222,Pinjaman!$X$6:$X$1744,$C240,Pinjaman!$V$6:$V$1744,"&lt;24")</f>
        <v>0</v>
      </c>
      <c r="E240" s="23">
        <f>COUNTIFS(Pinjaman!$W$6:$W$1744,E$222,Pinjaman!$X$6:$X$1744,$C240,Pinjaman!$V$6:$V$1744,"&lt;=35")-COUNTIFS(Pinjaman!$W$6:$W$1744,E$222,Pinjaman!$X$6:$X$1744,$C240,Pinjaman!$V$6:$V$1744,"&lt;24")</f>
        <v>0</v>
      </c>
      <c r="F240" s="23">
        <f>COUNTIFS(Pinjaman!$W$6:$W$1744,F$222,Pinjaman!$X$6:$X$1744,$C240,Pinjaman!$V$6:$V$1744,"&lt;=35")-COUNTIFS(Pinjaman!$W$6:$W$1744,F$222,Pinjaman!$X$6:$X$1744,$C240,Pinjaman!$V$6:$V$1744,"&lt;24")</f>
        <v>0</v>
      </c>
      <c r="G240" s="23">
        <f>COUNTIFS(Pinjaman!$W$6:$W$1744,G$222,Pinjaman!$X$6:$X$1744,$C240,Pinjaman!$V$6:$V$1744,"&lt;=35")-COUNTIFS(Pinjaman!$W$6:$W$1744,G$222,Pinjaman!$X$6:$X$1744,$C240,Pinjaman!$V$6:$V$1744,"&lt;24")</f>
        <v>0</v>
      </c>
      <c r="H240" s="23">
        <f>COUNTIFS(Pinjaman!$W$6:$W$1744,H$222,Pinjaman!$X$6:$X$1744,$C240,Pinjaman!$V$6:$V$1744,"&lt;=35")-COUNTIFS(Pinjaman!$W$6:$W$1744,H$222,Pinjaman!$X$6:$X$1744,$C240,Pinjaman!$V$6:$V$1744,"&lt;24")</f>
        <v>0</v>
      </c>
      <c r="I240" s="23">
        <f>COUNTIFS(Pinjaman!$W$6:$W$1744,0,Pinjaman!$X$6:$X$1744,$C240,Pinjaman!$V$6:$V$1744,"&lt;=35")-COUNTIFS(Pinjaman!$W$6:$W$1744,0,Pinjaman!$X$6:$X$1744,$C240,Pinjaman!$V$6:$V$1744,"&lt;24")</f>
        <v>0</v>
      </c>
    </row>
    <row r="241" spans="2:9" x14ac:dyDescent="0.3">
      <c r="B241" s="320"/>
      <c r="C241" s="67" t="s">
        <v>337</v>
      </c>
      <c r="D241" s="23">
        <f>COUNTIFS(Pinjaman!$W$6:$W$1744,D$222,Pinjaman!$X$6:$X$1744,$C241,Pinjaman!$V$6:$V$1744,"&lt;=35")-COUNTIFS(Pinjaman!$W$6:$W$1744,D$222,Pinjaman!$X$6:$X$1744,$C241,Pinjaman!$V$6:$V$1744,"&lt;24")</f>
        <v>0</v>
      </c>
      <c r="E241" s="23">
        <f>COUNTIFS(Pinjaman!$W$6:$W$1744,E$222,Pinjaman!$X$6:$X$1744,$C241,Pinjaman!$V$6:$V$1744,"&lt;=35")-COUNTIFS(Pinjaman!$W$6:$W$1744,E$222,Pinjaman!$X$6:$X$1744,$C241,Pinjaman!$V$6:$V$1744,"&lt;24")</f>
        <v>0</v>
      </c>
      <c r="F241" s="23">
        <f>COUNTIFS(Pinjaman!$W$6:$W$1744,F$222,Pinjaman!$X$6:$X$1744,$C241,Pinjaman!$V$6:$V$1744,"&lt;=35")-COUNTIFS(Pinjaman!$W$6:$W$1744,F$222,Pinjaman!$X$6:$X$1744,$C241,Pinjaman!$V$6:$V$1744,"&lt;24")</f>
        <v>1</v>
      </c>
      <c r="G241" s="23">
        <f>COUNTIFS(Pinjaman!$W$6:$W$1744,G$222,Pinjaman!$X$6:$X$1744,$C241,Pinjaman!$V$6:$V$1744,"&lt;=35")-COUNTIFS(Pinjaman!$W$6:$W$1744,G$222,Pinjaman!$X$6:$X$1744,$C241,Pinjaman!$V$6:$V$1744,"&lt;24")</f>
        <v>0</v>
      </c>
      <c r="H241" s="23">
        <f>COUNTIFS(Pinjaman!$W$6:$W$1744,H$222,Pinjaman!$X$6:$X$1744,$C241,Pinjaman!$V$6:$V$1744,"&lt;=35")-COUNTIFS(Pinjaman!$W$6:$W$1744,H$222,Pinjaman!$X$6:$X$1744,$C241,Pinjaman!$V$6:$V$1744,"&lt;24")</f>
        <v>2</v>
      </c>
      <c r="I241" s="23">
        <f>COUNTIFS(Pinjaman!$W$6:$W$1744,0,Pinjaman!$X$6:$X$1744,$C241,Pinjaman!$V$6:$V$1744,"&lt;=35")-COUNTIFS(Pinjaman!$W$6:$W$1744,0,Pinjaman!$X$6:$X$1744,$C241,Pinjaman!$V$6:$V$1744,"&lt;24")</f>
        <v>0</v>
      </c>
    </row>
    <row r="242" spans="2:9" x14ac:dyDescent="0.3">
      <c r="B242" s="320"/>
      <c r="C242" s="67" t="s">
        <v>9791</v>
      </c>
      <c r="D242" s="23">
        <f>COUNTIFS(Pinjaman!$W$6:$W$1744,D$222,Pinjaman!$X$6:$X$1744,$C242,Pinjaman!$V$6:$V$1744,"&lt;=35")-COUNTIFS(Pinjaman!$W$6:$W$1744,D$222,Pinjaman!$X$6:$X$1744,$C242,Pinjaman!$V$6:$V$1744,"&lt;24")</f>
        <v>0</v>
      </c>
      <c r="E242" s="23">
        <f>COUNTIFS(Pinjaman!$W$6:$W$1744,E$222,Pinjaman!$X$6:$X$1744,$C242,Pinjaman!$V$6:$V$1744,"&lt;=35")-COUNTIFS(Pinjaman!$W$6:$W$1744,E$222,Pinjaman!$X$6:$X$1744,$C242,Pinjaman!$V$6:$V$1744,"&lt;24")</f>
        <v>0</v>
      </c>
      <c r="F242" s="23">
        <f>COUNTIFS(Pinjaman!$W$6:$W$1744,F$222,Pinjaman!$X$6:$X$1744,$C242,Pinjaman!$V$6:$V$1744,"&lt;=35")-COUNTIFS(Pinjaman!$W$6:$W$1744,F$222,Pinjaman!$X$6:$X$1744,$C242,Pinjaman!$V$6:$V$1744,"&lt;24")</f>
        <v>0</v>
      </c>
      <c r="G242" s="23">
        <f>COUNTIFS(Pinjaman!$W$6:$W$1744,G$222,Pinjaman!$X$6:$X$1744,$C242,Pinjaman!$V$6:$V$1744,"&lt;=35")-COUNTIFS(Pinjaman!$W$6:$W$1744,G$222,Pinjaman!$X$6:$X$1744,$C242,Pinjaman!$V$6:$V$1744,"&lt;24")</f>
        <v>0</v>
      </c>
      <c r="H242" s="23">
        <f>COUNTIFS(Pinjaman!$W$6:$W$1744,H$222,Pinjaman!$X$6:$X$1744,$C242,Pinjaman!$V$6:$V$1744,"&lt;=35")-COUNTIFS(Pinjaman!$W$6:$W$1744,H$222,Pinjaman!$X$6:$X$1744,$C242,Pinjaman!$V$6:$V$1744,"&lt;24")</f>
        <v>0</v>
      </c>
      <c r="I242" s="23">
        <f>COUNTIFS(Pinjaman!$W$6:$W$1744,0,Pinjaman!$X$6:$X$1744,$C242,Pinjaman!$V$6:$V$1744,"&lt;=35")-COUNTIFS(Pinjaman!$W$6:$W$1744,0,Pinjaman!$X$6:$X$1744,$C242,Pinjaman!$V$6:$V$1744,"&lt;24")</f>
        <v>0</v>
      </c>
    </row>
    <row r="243" spans="2:9" x14ac:dyDescent="0.3">
      <c r="B243" s="320"/>
      <c r="C243" s="67" t="s">
        <v>31</v>
      </c>
      <c r="D243" s="23">
        <f>COUNTIFS(Pinjaman!$W$6:$W$1744,D$222,Pinjaman!$X$6:$X$1744,$C243,Pinjaman!$V$6:$V$1744,"&lt;=35")-COUNTIFS(Pinjaman!$W$6:$W$1744,D$222,Pinjaman!$X$6:$X$1744,$C243,Pinjaman!$V$6:$V$1744,"&lt;24")</f>
        <v>1</v>
      </c>
      <c r="E243" s="23">
        <f>COUNTIFS(Pinjaman!$W$6:$W$1744,E$222,Pinjaman!$X$6:$X$1744,$C243,Pinjaman!$V$6:$V$1744,"&lt;=35")-COUNTIFS(Pinjaman!$W$6:$W$1744,E$222,Pinjaman!$X$6:$X$1744,$C243,Pinjaman!$V$6:$V$1744,"&lt;24")</f>
        <v>2</v>
      </c>
      <c r="F243" s="23">
        <f>COUNTIFS(Pinjaman!$W$6:$W$1744,F$222,Pinjaman!$X$6:$X$1744,$C243,Pinjaman!$V$6:$V$1744,"&lt;=35")-COUNTIFS(Pinjaman!$W$6:$W$1744,F$222,Pinjaman!$X$6:$X$1744,$C243,Pinjaman!$V$6:$V$1744,"&lt;24")</f>
        <v>8</v>
      </c>
      <c r="G243" s="23">
        <f>COUNTIFS(Pinjaman!$W$6:$W$1744,G$222,Pinjaman!$X$6:$X$1744,$C243,Pinjaman!$V$6:$V$1744,"&lt;=35")-COUNTIFS(Pinjaman!$W$6:$W$1744,G$222,Pinjaman!$X$6:$X$1744,$C243,Pinjaman!$V$6:$V$1744,"&lt;24")</f>
        <v>2</v>
      </c>
      <c r="H243" s="23">
        <f>COUNTIFS(Pinjaman!$W$6:$W$1744,H$222,Pinjaman!$X$6:$X$1744,$C243,Pinjaman!$V$6:$V$1744,"&lt;=35")-COUNTIFS(Pinjaman!$W$6:$W$1744,H$222,Pinjaman!$X$6:$X$1744,$C243,Pinjaman!$V$6:$V$1744,"&lt;24")</f>
        <v>15</v>
      </c>
      <c r="I243" s="23">
        <f>COUNTIFS(Pinjaman!$W$6:$W$1744,0,Pinjaman!$X$6:$X$1744,$C243,Pinjaman!$V$6:$V$1744,"&lt;=35")-COUNTIFS(Pinjaman!$W$6:$W$1744,0,Pinjaman!$X$6:$X$1744,$C243,Pinjaman!$V$6:$V$1744,"&lt;24")</f>
        <v>0</v>
      </c>
    </row>
    <row r="244" spans="2:9" x14ac:dyDescent="0.3">
      <c r="B244" s="320"/>
      <c r="C244" s="67" t="s">
        <v>9787</v>
      </c>
      <c r="D244" s="23">
        <f>COUNTIFS(Pinjaman!$W$6:$W$1744,D$222,Pinjaman!$X$6:$X$1744,$C244,Pinjaman!$V$6:$V$1744,"&lt;=35")-COUNTIFS(Pinjaman!$W$6:$W$1744,D$222,Pinjaman!$X$6:$X$1744,$C244,Pinjaman!$V$6:$V$1744,"&lt;24")</f>
        <v>0</v>
      </c>
      <c r="E244" s="23">
        <f>COUNTIFS(Pinjaman!$W$6:$W$1744,E$222,Pinjaman!$X$6:$X$1744,$C244,Pinjaman!$V$6:$V$1744,"&lt;=35")-COUNTIFS(Pinjaman!$W$6:$W$1744,E$222,Pinjaman!$X$6:$X$1744,$C244,Pinjaman!$V$6:$V$1744,"&lt;24")</f>
        <v>0</v>
      </c>
      <c r="F244" s="23">
        <f>COUNTIFS(Pinjaman!$W$6:$W$1744,F$222,Pinjaman!$X$6:$X$1744,$C244,Pinjaman!$V$6:$V$1744,"&lt;=35")-COUNTIFS(Pinjaman!$W$6:$W$1744,F$222,Pinjaman!$X$6:$X$1744,$C244,Pinjaman!$V$6:$V$1744,"&lt;24")</f>
        <v>0</v>
      </c>
      <c r="G244" s="23">
        <f>COUNTIFS(Pinjaman!$W$6:$W$1744,G$222,Pinjaman!$X$6:$X$1744,$C244,Pinjaman!$V$6:$V$1744,"&lt;=35")-COUNTIFS(Pinjaman!$W$6:$W$1744,G$222,Pinjaman!$X$6:$X$1744,$C244,Pinjaman!$V$6:$V$1744,"&lt;24")</f>
        <v>0</v>
      </c>
      <c r="H244" s="23">
        <f>COUNTIFS(Pinjaman!$W$6:$W$1744,H$222,Pinjaman!$X$6:$X$1744,$C244,Pinjaman!$V$6:$V$1744,"&lt;=35")-COUNTIFS(Pinjaman!$W$6:$W$1744,H$222,Pinjaman!$X$6:$X$1744,$C244,Pinjaman!$V$6:$V$1744,"&lt;24")</f>
        <v>0</v>
      </c>
      <c r="I244" s="23">
        <f>COUNTIFS(Pinjaman!$W$6:$W$1744,0,Pinjaman!$X$6:$X$1744,$C244,Pinjaman!$V$6:$V$1744,"&lt;=35")-COUNTIFS(Pinjaman!$W$6:$W$1744,0,Pinjaman!$X$6:$X$1744,$C244,Pinjaman!$V$6:$V$1744,"&lt;24")</f>
        <v>0</v>
      </c>
    </row>
    <row r="245" spans="2:9" x14ac:dyDescent="0.3">
      <c r="B245" s="320"/>
      <c r="C245" s="67" t="s">
        <v>12065</v>
      </c>
      <c r="D245" s="23">
        <f>COUNTIFS(Pinjaman!$W$6:$W$1744,D$222,Pinjaman!$X$6:$X$1744,$C245,Pinjaman!$V$6:$V$1744,"&lt;=35")-COUNTIFS(Pinjaman!$W$6:$W$1744,D$222,Pinjaman!$X$6:$X$1744,$C245,Pinjaman!$V$6:$V$1744,"&lt;24")</f>
        <v>0</v>
      </c>
      <c r="E245" s="23">
        <f>COUNTIFS(Pinjaman!$W$6:$W$1744,E$222,Pinjaman!$X$6:$X$1744,$C245,Pinjaman!$V$6:$V$1744,"&lt;=35")-COUNTIFS(Pinjaman!$W$6:$W$1744,E$222,Pinjaman!$X$6:$X$1744,$C245,Pinjaman!$V$6:$V$1744,"&lt;24")</f>
        <v>1</v>
      </c>
      <c r="F245" s="23">
        <f>COUNTIFS(Pinjaman!$W$6:$W$1744,F$222,Pinjaman!$X$6:$X$1744,$C245,Pinjaman!$V$6:$V$1744,"&lt;=35")-COUNTIFS(Pinjaman!$W$6:$W$1744,F$222,Pinjaman!$X$6:$X$1744,$C245,Pinjaman!$V$6:$V$1744,"&lt;24")</f>
        <v>1</v>
      </c>
      <c r="G245" s="23">
        <f>COUNTIFS(Pinjaman!$W$6:$W$1744,G$222,Pinjaman!$X$6:$X$1744,$C245,Pinjaman!$V$6:$V$1744,"&lt;=35")-COUNTIFS(Pinjaman!$W$6:$W$1744,G$222,Pinjaman!$X$6:$X$1744,$C245,Pinjaman!$V$6:$V$1744,"&lt;24")</f>
        <v>0</v>
      </c>
      <c r="H245" s="23">
        <f>COUNTIFS(Pinjaman!$W$6:$W$1744,H$222,Pinjaman!$X$6:$X$1744,$C245,Pinjaman!$V$6:$V$1744,"&lt;=35")-COUNTIFS(Pinjaman!$W$6:$W$1744,H$222,Pinjaman!$X$6:$X$1744,$C245,Pinjaman!$V$6:$V$1744,"&lt;24")</f>
        <v>0</v>
      </c>
      <c r="I245" s="23">
        <f>COUNTIFS(Pinjaman!$W$6:$W$1744,0,Pinjaman!$X$6:$X$1744,$C245,Pinjaman!$V$6:$V$1744,"&lt;=35")-COUNTIFS(Pinjaman!$W$6:$W$1744,0,Pinjaman!$X$6:$X$1744,$C245,Pinjaman!$V$6:$V$1744,"&lt;24")</f>
        <v>0</v>
      </c>
    </row>
    <row r="246" spans="2:9" x14ac:dyDescent="0.3">
      <c r="B246" s="320"/>
      <c r="C246" s="67" t="s">
        <v>12074</v>
      </c>
      <c r="D246" s="23">
        <f>COUNTIFS(Pinjaman!$W$6:$W$1744,D$222,Pinjaman!$X$6:$X$1744,$C246,Pinjaman!$V$6:$V$1744,"&lt;=35")-COUNTIFS(Pinjaman!$W$6:$W$1744,D$222,Pinjaman!$X$6:$X$1744,$C246,Pinjaman!$V$6:$V$1744,"&lt;24")</f>
        <v>0</v>
      </c>
      <c r="E246" s="23">
        <f>COUNTIFS(Pinjaman!$W$6:$W$1744,E$222,Pinjaman!$X$6:$X$1744,$C246,Pinjaman!$V$6:$V$1744,"&lt;=35")-COUNTIFS(Pinjaman!$W$6:$W$1744,E$222,Pinjaman!$X$6:$X$1744,$C246,Pinjaman!$V$6:$V$1744,"&lt;24")</f>
        <v>0</v>
      </c>
      <c r="F246" s="23">
        <f>COUNTIFS(Pinjaman!$W$6:$W$1744,F$222,Pinjaman!$X$6:$X$1744,$C246,Pinjaman!$V$6:$V$1744,"&lt;=35")-COUNTIFS(Pinjaman!$W$6:$W$1744,F$222,Pinjaman!$X$6:$X$1744,$C246,Pinjaman!$V$6:$V$1744,"&lt;24")</f>
        <v>0</v>
      </c>
      <c r="G246" s="23">
        <f>COUNTIFS(Pinjaman!$W$6:$W$1744,G$222,Pinjaman!$X$6:$X$1744,$C246,Pinjaman!$V$6:$V$1744,"&lt;=35")-COUNTIFS(Pinjaman!$W$6:$W$1744,G$222,Pinjaman!$X$6:$X$1744,$C246,Pinjaman!$V$6:$V$1744,"&lt;24")</f>
        <v>0</v>
      </c>
      <c r="H246" s="23">
        <f>COUNTIFS(Pinjaman!$W$6:$W$1744,H$222,Pinjaman!$X$6:$X$1744,$C246,Pinjaman!$V$6:$V$1744,"&lt;=35")-COUNTIFS(Pinjaman!$W$6:$W$1744,H$222,Pinjaman!$X$6:$X$1744,$C246,Pinjaman!$V$6:$V$1744,"&lt;24")</f>
        <v>0</v>
      </c>
      <c r="I246" s="23">
        <f>COUNTIFS(Pinjaman!$W$6:$W$1744,0,Pinjaman!$X$6:$X$1744,$C246,Pinjaman!$V$6:$V$1744,"&lt;=35")-COUNTIFS(Pinjaman!$W$6:$W$1744,0,Pinjaman!$X$6:$X$1744,$C246,Pinjaman!$V$6:$V$1744,"&lt;24")</f>
        <v>0</v>
      </c>
    </row>
    <row r="247" spans="2:9" x14ac:dyDescent="0.3">
      <c r="B247" s="320"/>
      <c r="C247" s="67" t="s">
        <v>13</v>
      </c>
      <c r="D247" s="23">
        <f>COUNTIFS(Pinjaman!$W$6:$W$1744,D$222,Pinjaman!$X$6:$X$1744,$C247,Pinjaman!$V$6:$V$1744,"&lt;=35")-COUNTIFS(Pinjaman!$W$6:$W$1744,D$222,Pinjaman!$X$6:$X$1744,$C247,Pinjaman!$V$6:$V$1744,"&lt;24")</f>
        <v>0</v>
      </c>
      <c r="E247" s="23">
        <f>COUNTIFS(Pinjaman!$W$6:$W$1744,E$222,Pinjaman!$X$6:$X$1744,$C247,Pinjaman!$V$6:$V$1744,"&lt;=35")-COUNTIFS(Pinjaman!$W$6:$W$1744,E$222,Pinjaman!$X$6:$X$1744,$C247,Pinjaman!$V$6:$V$1744,"&lt;24")</f>
        <v>0</v>
      </c>
      <c r="F247" s="23">
        <f>COUNTIFS(Pinjaman!$W$6:$W$1744,F$222,Pinjaman!$X$6:$X$1744,$C247,Pinjaman!$V$6:$V$1744,"&lt;=35")-COUNTIFS(Pinjaman!$W$6:$W$1744,F$222,Pinjaman!$X$6:$X$1744,$C247,Pinjaman!$V$6:$V$1744,"&lt;24")</f>
        <v>0</v>
      </c>
      <c r="G247" s="23">
        <f>COUNTIFS(Pinjaman!$W$6:$W$1744,G$222,Pinjaman!$X$6:$X$1744,$C247,Pinjaman!$V$6:$V$1744,"&lt;=35")-COUNTIFS(Pinjaman!$W$6:$W$1744,G$222,Pinjaman!$X$6:$X$1744,$C247,Pinjaman!$V$6:$V$1744,"&lt;24")</f>
        <v>0</v>
      </c>
      <c r="H247" s="23">
        <f>COUNTIFS(Pinjaman!$W$6:$W$1744,H$222,Pinjaman!$X$6:$X$1744,$C247,Pinjaman!$V$6:$V$1744,"&lt;=35")-COUNTIFS(Pinjaman!$W$6:$W$1744,H$222,Pinjaman!$X$6:$X$1744,$C247,Pinjaman!$V$6:$V$1744,"&lt;24")</f>
        <v>0</v>
      </c>
      <c r="I247" s="23">
        <f>COUNTIFS(Pinjaman!$W$6:$W$1744,0,Pinjaman!$X$6:$X$1744,$C247,Pinjaman!$V$6:$V$1744,"&lt;=35")-COUNTIFS(Pinjaman!$W$6:$W$1744,0,Pinjaman!$X$6:$X$1744,$C247,Pinjaman!$V$6:$V$1744,"&lt;24")</f>
        <v>0</v>
      </c>
    </row>
    <row r="248" spans="2:9" x14ac:dyDescent="0.3">
      <c r="B248" s="320"/>
      <c r="C248" s="67" t="s">
        <v>243</v>
      </c>
      <c r="D248" s="23">
        <f>COUNTIFS(Pinjaman!$W$6:$W$1744,D$222,Pinjaman!$X$6:$X$1744,$C248,Pinjaman!$V$6:$V$1744,"&lt;=35")-COUNTIFS(Pinjaman!$W$6:$W$1744,D$222,Pinjaman!$X$6:$X$1744,$C248,Pinjaman!$V$6:$V$1744,"&lt;24")</f>
        <v>0</v>
      </c>
      <c r="E248" s="23">
        <f>COUNTIFS(Pinjaman!$W$6:$W$1744,E$222,Pinjaman!$X$6:$X$1744,$C248,Pinjaman!$V$6:$V$1744,"&lt;=35")-COUNTIFS(Pinjaman!$W$6:$W$1744,E$222,Pinjaman!$X$6:$X$1744,$C248,Pinjaman!$V$6:$V$1744,"&lt;24")</f>
        <v>0</v>
      </c>
      <c r="F248" s="23">
        <f>COUNTIFS(Pinjaman!$W$6:$W$1744,F$222,Pinjaman!$X$6:$X$1744,$C248,Pinjaman!$V$6:$V$1744,"&lt;=35")-COUNTIFS(Pinjaman!$W$6:$W$1744,F$222,Pinjaman!$X$6:$X$1744,$C248,Pinjaman!$V$6:$V$1744,"&lt;24")</f>
        <v>0</v>
      </c>
      <c r="G248" s="23">
        <f>COUNTIFS(Pinjaman!$W$6:$W$1744,G$222,Pinjaman!$X$6:$X$1744,$C248,Pinjaman!$V$6:$V$1744,"&lt;=35")-COUNTIFS(Pinjaman!$W$6:$W$1744,G$222,Pinjaman!$X$6:$X$1744,$C248,Pinjaman!$V$6:$V$1744,"&lt;24")</f>
        <v>0</v>
      </c>
      <c r="H248" s="23">
        <f>COUNTIFS(Pinjaman!$W$6:$W$1744,H$222,Pinjaman!$X$6:$X$1744,$C248,Pinjaman!$V$6:$V$1744,"&lt;=35")-COUNTIFS(Pinjaman!$W$6:$W$1744,H$222,Pinjaman!$X$6:$X$1744,$C248,Pinjaman!$V$6:$V$1744,"&lt;24")</f>
        <v>0</v>
      </c>
      <c r="I248" s="23">
        <f>COUNTIFS(Pinjaman!$W$6:$W$1744,0,Pinjaman!$X$6:$X$1744,$C248,Pinjaman!$V$6:$V$1744,"&lt;=35")-COUNTIFS(Pinjaman!$W$6:$W$1744,0,Pinjaman!$X$6:$X$1744,$C248,Pinjaman!$V$6:$V$1744,"&lt;24")</f>
        <v>0</v>
      </c>
    </row>
    <row r="249" spans="2:9" x14ac:dyDescent="0.3">
      <c r="B249" s="320"/>
      <c r="C249" s="67" t="s">
        <v>12075</v>
      </c>
      <c r="D249" s="23">
        <f>COUNTIFS(Pinjaman!$W$6:$W$1744,D$222,Pinjaman!$X$6:$X$1744,$C249,Pinjaman!$V$6:$V$1744,"&lt;=35")-COUNTIFS(Pinjaman!$W$6:$W$1744,D$222,Pinjaman!$X$6:$X$1744,$C249,Pinjaman!$V$6:$V$1744,"&lt;24")</f>
        <v>0</v>
      </c>
      <c r="E249" s="23">
        <f>COUNTIFS(Pinjaman!$W$6:$W$1744,E$222,Pinjaman!$X$6:$X$1744,$C249,Pinjaman!$V$6:$V$1744,"&lt;=35")-COUNTIFS(Pinjaman!$W$6:$W$1744,E$222,Pinjaman!$X$6:$X$1744,$C249,Pinjaman!$V$6:$V$1744,"&lt;24")</f>
        <v>2</v>
      </c>
      <c r="F249" s="23">
        <f>COUNTIFS(Pinjaman!$W$6:$W$1744,F$222,Pinjaman!$X$6:$X$1744,$C249,Pinjaman!$V$6:$V$1744,"&lt;=35")-COUNTIFS(Pinjaman!$W$6:$W$1744,F$222,Pinjaman!$X$6:$X$1744,$C249,Pinjaman!$V$6:$V$1744,"&lt;24")</f>
        <v>6</v>
      </c>
      <c r="G249" s="23">
        <f>COUNTIFS(Pinjaman!$W$6:$W$1744,G$222,Pinjaman!$X$6:$X$1744,$C249,Pinjaman!$V$6:$V$1744,"&lt;=35")-COUNTIFS(Pinjaman!$W$6:$W$1744,G$222,Pinjaman!$X$6:$X$1744,$C249,Pinjaman!$V$6:$V$1744,"&lt;24")</f>
        <v>2</v>
      </c>
      <c r="H249" s="23">
        <f>COUNTIFS(Pinjaman!$W$6:$W$1744,H$222,Pinjaman!$X$6:$X$1744,$C249,Pinjaman!$V$6:$V$1744,"&lt;=35")-COUNTIFS(Pinjaman!$W$6:$W$1744,H$222,Pinjaman!$X$6:$X$1744,$C249,Pinjaman!$V$6:$V$1744,"&lt;24")</f>
        <v>7</v>
      </c>
      <c r="I249" s="23">
        <f>COUNTIFS(Pinjaman!$W$6:$W$1744,0,Pinjaman!$X$6:$X$1744,$C249,Pinjaman!$V$6:$V$1744,"&lt;=35")-COUNTIFS(Pinjaman!$W$6:$W$1744,0,Pinjaman!$X$6:$X$1744,$C249,Pinjaman!$V$6:$V$1744,"&lt;24")</f>
        <v>0</v>
      </c>
    </row>
    <row r="250" spans="2:9" ht="15" thickBot="1" x14ac:dyDescent="0.35">
      <c r="B250" s="329"/>
      <c r="C250" s="270" t="s">
        <v>12076</v>
      </c>
      <c r="D250" s="271">
        <f>COUNTIFS(Pinjaman!$W$6:$W$1744,D$222,Pinjaman!$X$6:$X$1744,0,Pinjaman!$V$6:$V$1744,"&lt;=35")-COUNTIFS(Pinjaman!$W$6:$W$1744,D$222,Pinjaman!$X$6:$X$1744,0,Pinjaman!$V$6:$V$1744,"&lt;24")</f>
        <v>0</v>
      </c>
      <c r="E250" s="271">
        <f>COUNTIFS(Pinjaman!$W$6:$W$1744,E$222,Pinjaman!$X$6:$X$1744,0,Pinjaman!$V$6:$V$1744,"&lt;=35")-COUNTIFS(Pinjaman!$W$6:$W$1744,E$222,Pinjaman!$X$6:$X$1744,0,Pinjaman!$V$6:$V$1744,"&lt;24")</f>
        <v>1</v>
      </c>
      <c r="F250" s="271">
        <f>COUNTIFS(Pinjaman!$W$6:$W$1744,F$222,Pinjaman!$X$6:$X$1744,0,Pinjaman!$V$6:$V$1744,"&lt;=35")-COUNTIFS(Pinjaman!$W$6:$W$1744,F$222,Pinjaman!$X$6:$X$1744,0,Pinjaman!$V$6:$V$1744,"&lt;24")</f>
        <v>2</v>
      </c>
      <c r="G250" s="271">
        <f>COUNTIFS(Pinjaman!$W$6:$W$1744,G$222,Pinjaman!$X$6:$X$1744,0,Pinjaman!$V$6:$V$1744,"&lt;=35")-COUNTIFS(Pinjaman!$W$6:$W$1744,G$222,Pinjaman!$X$6:$X$1744,0,Pinjaman!$V$6:$V$1744,"&lt;24")</f>
        <v>1</v>
      </c>
      <c r="H250" s="271">
        <f>COUNTIFS(Pinjaman!$W$6:$W$1744,H$222,Pinjaman!$X$6:$X$1744,0,Pinjaman!$V$6:$V$1744,"&lt;=35")-COUNTIFS(Pinjaman!$W$6:$W$1744,H$222,Pinjaman!$X$6:$X$1744,0,Pinjaman!$V$6:$V$1744,"&lt;24")</f>
        <v>2</v>
      </c>
      <c r="I250" s="271">
        <f>COUNTIFS(Pinjaman!$W$6:$W$1744,0,Pinjaman!$X$6:$X$1744,0,Pinjaman!$V$6:$V$1744,"&lt;=35")-COUNTIFS(Pinjaman!$W$6:$W$1744,0,Pinjaman!$X$6:$X$1744,0,Pinjaman!$V$6:$V$1744,"&lt;24")</f>
        <v>0</v>
      </c>
    </row>
    <row r="251" spans="2:9" x14ac:dyDescent="0.3">
      <c r="B251" s="326" t="s">
        <v>22145</v>
      </c>
      <c r="C251" s="180" t="s">
        <v>46</v>
      </c>
      <c r="D251" s="275">
        <f>COUNTIFS(Pinjaman!$W$6:$W$1744,D$222,Pinjaman!$X$6:$X$1744,$C251,Pinjaman!$V$6:$V$1744,"&lt;=45")-COUNTIFS(Pinjaman!$W$6:$W$1744,D$222,Pinjaman!$X$6:$X$1744,$C251,Pinjaman!$V$6:$V$1744,"&lt;36")</f>
        <v>0</v>
      </c>
      <c r="E251" s="275">
        <f>COUNTIFS(Pinjaman!$W$6:$W$1744,E$222,Pinjaman!$X$6:$X$1744,$C251,Pinjaman!$V$6:$V$1744,"&lt;=45")-COUNTIFS(Pinjaman!$W$6:$W$1744,E$222,Pinjaman!$X$6:$X$1744,$C251,Pinjaman!$V$6:$V$1744,"&lt;36")</f>
        <v>11</v>
      </c>
      <c r="F251" s="275">
        <f>COUNTIFS(Pinjaman!$W$6:$W$1744,F$222,Pinjaman!$X$6:$X$1744,$C251,Pinjaman!$V$6:$V$1744,"&lt;=45")-COUNTIFS(Pinjaman!$W$6:$W$1744,F$222,Pinjaman!$X$6:$X$1744,$C251,Pinjaman!$V$6:$V$1744,"&lt;36")</f>
        <v>24</v>
      </c>
      <c r="G251" s="275">
        <f>COUNTIFS(Pinjaman!$W$6:$W$1744,G$222,Pinjaman!$X$6:$X$1744,$C251,Pinjaman!$V$6:$V$1744,"&lt;=45")-COUNTIFS(Pinjaman!$W$6:$W$1744,G$222,Pinjaman!$X$6:$X$1744,$C251,Pinjaman!$V$6:$V$1744,"&lt;36")</f>
        <v>19</v>
      </c>
      <c r="H251" s="276">
        <f>COUNTIFS(Pinjaman!$W$6:$W$1744,H$222,Pinjaman!$X$6:$X$1744,$C251,Pinjaman!$V$6:$V$1744,"&lt;=45")-COUNTIFS(Pinjaman!$W$6:$W$1744,H$222,Pinjaman!$X$6:$X$1744,$C251,Pinjaman!$V$6:$V$1744,"&lt;36")</f>
        <v>95</v>
      </c>
      <c r="I251" s="277">
        <f>COUNTIFS(Pinjaman!$W$6:$W$1744,0,Pinjaman!$X$6:$X$1744,$C251,Pinjaman!$V$6:$V$1744,"&lt;=45")-COUNTIFS(Pinjaman!$W$6:$W$1744,0,Pinjaman!$X$6:$X$1744,$C251,Pinjaman!$V$6:$V$1744,"&lt;36")</f>
        <v>6</v>
      </c>
    </row>
    <row r="252" spans="2:9" x14ac:dyDescent="0.3">
      <c r="B252" s="327"/>
      <c r="C252" s="67" t="s">
        <v>9788</v>
      </c>
      <c r="D252" s="23">
        <f>COUNTIFS(Pinjaman!$W$6:$W$1744,D$222,Pinjaman!$X$6:$X$1744,$C252,Pinjaman!$V$6:$V$1744,"&lt;=45")-COUNTIFS(Pinjaman!$W$6:$W$1744,D$222,Pinjaman!$X$6:$X$1744,$C252,Pinjaman!$V$6:$V$1744,"&lt;36")</f>
        <v>1</v>
      </c>
      <c r="E252" s="23">
        <f>COUNTIFS(Pinjaman!$W$6:$W$1744,E$222,Pinjaman!$X$6:$X$1744,$C252,Pinjaman!$V$6:$V$1744,"&lt;=45")-COUNTIFS(Pinjaman!$W$6:$W$1744,E$222,Pinjaman!$X$6:$X$1744,$C252,Pinjaman!$V$6:$V$1744,"&lt;36")</f>
        <v>28</v>
      </c>
      <c r="F252" s="23">
        <f>COUNTIFS(Pinjaman!$W$6:$W$1744,F$222,Pinjaman!$X$6:$X$1744,$C252,Pinjaman!$V$6:$V$1744,"&lt;=45")-COUNTIFS(Pinjaman!$W$6:$W$1744,F$222,Pinjaman!$X$6:$X$1744,$C252,Pinjaman!$V$6:$V$1744,"&lt;36")</f>
        <v>26</v>
      </c>
      <c r="G252" s="23">
        <f>COUNTIFS(Pinjaman!$W$6:$W$1744,G$222,Pinjaman!$X$6:$X$1744,$C252,Pinjaman!$V$6:$V$1744,"&lt;=45")-COUNTIFS(Pinjaman!$W$6:$W$1744,G$222,Pinjaman!$X$6:$X$1744,$C252,Pinjaman!$V$6:$V$1744,"&lt;36")</f>
        <v>28</v>
      </c>
      <c r="H252" s="23">
        <f>COUNTIFS(Pinjaman!$W$6:$W$1744,H$222,Pinjaman!$X$6:$X$1744,$C252,Pinjaman!$V$6:$V$1744,"&lt;=45")-COUNTIFS(Pinjaman!$W$6:$W$1744,H$222,Pinjaman!$X$6:$X$1744,$C252,Pinjaman!$V$6:$V$1744,"&lt;36")</f>
        <v>51</v>
      </c>
      <c r="I252" s="203">
        <f>COUNTIFS(Pinjaman!$W$6:$W$1744,0,Pinjaman!$X$6:$X$1744,$C252,Pinjaman!$V$6:$V$1744,"&lt;=45")-COUNTIFS(Pinjaman!$W$6:$W$1744,0,Pinjaman!$X$6:$X$1744,$C252,Pinjaman!$V$6:$V$1744,"&lt;36")</f>
        <v>5</v>
      </c>
    </row>
    <row r="253" spans="2:9" x14ac:dyDescent="0.3">
      <c r="B253" s="327"/>
      <c r="C253" s="67" t="s">
        <v>9785</v>
      </c>
      <c r="D253" s="23">
        <f>COUNTIFS(Pinjaman!$W$6:$W$1744,D$222,Pinjaman!$X$6:$X$1744,$C253,Pinjaman!$V$6:$V$1744,"&lt;=45")-COUNTIFS(Pinjaman!$W$6:$W$1744,D$222,Pinjaman!$X$6:$X$1744,$C253,Pinjaman!$V$6:$V$1744,"&lt;36")</f>
        <v>1</v>
      </c>
      <c r="E253" s="23">
        <f>COUNTIFS(Pinjaman!$W$6:$W$1744,E$222,Pinjaman!$X$6:$X$1744,$C253,Pinjaman!$V$6:$V$1744,"&lt;=45")-COUNTIFS(Pinjaman!$W$6:$W$1744,E$222,Pinjaman!$X$6:$X$1744,$C253,Pinjaman!$V$6:$V$1744,"&lt;36")</f>
        <v>5</v>
      </c>
      <c r="F253" s="23">
        <f>COUNTIFS(Pinjaman!$W$6:$W$1744,F$222,Pinjaman!$X$6:$X$1744,$C253,Pinjaman!$V$6:$V$1744,"&lt;=45")-COUNTIFS(Pinjaman!$W$6:$W$1744,F$222,Pinjaman!$X$6:$X$1744,$C253,Pinjaman!$V$6:$V$1744,"&lt;36")</f>
        <v>15</v>
      </c>
      <c r="G253" s="23">
        <f>COUNTIFS(Pinjaman!$W$6:$W$1744,G$222,Pinjaman!$X$6:$X$1744,$C253,Pinjaman!$V$6:$V$1744,"&lt;=45")-COUNTIFS(Pinjaman!$W$6:$W$1744,G$222,Pinjaman!$X$6:$X$1744,$C253,Pinjaman!$V$6:$V$1744,"&lt;36")</f>
        <v>16</v>
      </c>
      <c r="H253" s="23">
        <f>COUNTIFS(Pinjaman!$W$6:$W$1744,H$222,Pinjaman!$X$6:$X$1744,$C253,Pinjaman!$V$6:$V$1744,"&lt;=45")-COUNTIFS(Pinjaman!$W$6:$W$1744,H$222,Pinjaman!$X$6:$X$1744,$C253,Pinjaman!$V$6:$V$1744,"&lt;36")</f>
        <v>13</v>
      </c>
      <c r="I253" s="203">
        <f>COUNTIFS(Pinjaman!$W$6:$W$1744,0,Pinjaman!$X$6:$X$1744,$C253,Pinjaman!$V$6:$V$1744,"&lt;=45")-COUNTIFS(Pinjaman!$W$6:$W$1744,0,Pinjaman!$X$6:$X$1744,$C253,Pinjaman!$V$6:$V$1744,"&lt;36")</f>
        <v>0</v>
      </c>
    </row>
    <row r="254" spans="2:9" x14ac:dyDescent="0.3">
      <c r="B254" s="327"/>
      <c r="C254" s="67" t="s">
        <v>12099</v>
      </c>
      <c r="D254" s="23">
        <f>COUNTIFS(Pinjaman!$W$6:$W$1744,D$222,Pinjaman!$X$6:$X$1744,$C254,Pinjaman!$V$6:$V$1744,"&lt;=45")-COUNTIFS(Pinjaman!$W$6:$W$1744,D$222,Pinjaman!$X$6:$X$1744,$C254,Pinjaman!$V$6:$V$1744,"&lt;36")</f>
        <v>0</v>
      </c>
      <c r="E254" s="23">
        <f>COUNTIFS(Pinjaman!$W$6:$W$1744,E$222,Pinjaman!$X$6:$X$1744,$C254,Pinjaman!$V$6:$V$1744,"&lt;=45")-COUNTIFS(Pinjaman!$W$6:$W$1744,E$222,Pinjaman!$X$6:$X$1744,$C254,Pinjaman!$V$6:$V$1744,"&lt;36")</f>
        <v>4</v>
      </c>
      <c r="F254" s="23">
        <f>COUNTIFS(Pinjaman!$W$6:$W$1744,F$222,Pinjaman!$X$6:$X$1744,$C254,Pinjaman!$V$6:$V$1744,"&lt;=45")-COUNTIFS(Pinjaman!$W$6:$W$1744,F$222,Pinjaman!$X$6:$X$1744,$C254,Pinjaman!$V$6:$V$1744,"&lt;36")</f>
        <v>3</v>
      </c>
      <c r="G254" s="23">
        <f>COUNTIFS(Pinjaman!$W$6:$W$1744,G$222,Pinjaman!$X$6:$X$1744,$C254,Pinjaman!$V$6:$V$1744,"&lt;=45")-COUNTIFS(Pinjaman!$W$6:$W$1744,G$222,Pinjaman!$X$6:$X$1744,$C254,Pinjaman!$V$6:$V$1744,"&lt;36")</f>
        <v>6</v>
      </c>
      <c r="H254" s="23">
        <f>COUNTIFS(Pinjaman!$W$6:$W$1744,H$222,Pinjaman!$X$6:$X$1744,$C254,Pinjaman!$V$6:$V$1744,"&lt;=45")-COUNTIFS(Pinjaman!$W$6:$W$1744,H$222,Pinjaman!$X$6:$X$1744,$C254,Pinjaman!$V$6:$V$1744,"&lt;36")</f>
        <v>5</v>
      </c>
      <c r="I254" s="203">
        <f>COUNTIFS(Pinjaman!$W$6:$W$1744,0,Pinjaman!$X$6:$X$1744,$C254,Pinjaman!$V$6:$V$1744,"&lt;=45")-COUNTIFS(Pinjaman!$W$6:$W$1744,0,Pinjaman!$X$6:$X$1744,$C254,Pinjaman!$V$6:$V$1744,"&lt;36")</f>
        <v>0</v>
      </c>
    </row>
    <row r="255" spans="2:9" x14ac:dyDescent="0.3">
      <c r="B255" s="327"/>
      <c r="C255" s="67" t="s">
        <v>337</v>
      </c>
      <c r="D255" s="23">
        <f>COUNTIFS(Pinjaman!$W$6:$W$1744,D$222,Pinjaman!$X$6:$X$1744,$C255,Pinjaman!$V$6:$V$1744,"&lt;=45")-COUNTIFS(Pinjaman!$W$6:$W$1744,D$222,Pinjaman!$X$6:$X$1744,$C255,Pinjaman!$V$6:$V$1744,"&lt;36")</f>
        <v>0</v>
      </c>
      <c r="E255" s="23">
        <f>COUNTIFS(Pinjaman!$W$6:$W$1744,E$222,Pinjaman!$X$6:$X$1744,$C255,Pinjaman!$V$6:$V$1744,"&lt;=45")-COUNTIFS(Pinjaman!$W$6:$W$1744,E$222,Pinjaman!$X$6:$X$1744,$C255,Pinjaman!$V$6:$V$1744,"&lt;36")</f>
        <v>0</v>
      </c>
      <c r="F255" s="23">
        <f>COUNTIFS(Pinjaman!$W$6:$W$1744,F$222,Pinjaman!$X$6:$X$1744,$C255,Pinjaman!$V$6:$V$1744,"&lt;=45")-COUNTIFS(Pinjaman!$W$6:$W$1744,F$222,Pinjaman!$X$6:$X$1744,$C255,Pinjaman!$V$6:$V$1744,"&lt;36")</f>
        <v>0</v>
      </c>
      <c r="G255" s="23">
        <f>COUNTIFS(Pinjaman!$W$6:$W$1744,G$222,Pinjaman!$X$6:$X$1744,$C255,Pinjaman!$V$6:$V$1744,"&lt;=45")-COUNTIFS(Pinjaman!$W$6:$W$1744,G$222,Pinjaman!$X$6:$X$1744,$C255,Pinjaman!$V$6:$V$1744,"&lt;36")</f>
        <v>0</v>
      </c>
      <c r="H255" s="23">
        <f>COUNTIFS(Pinjaman!$W$6:$W$1744,H$222,Pinjaman!$X$6:$X$1744,$C255,Pinjaman!$V$6:$V$1744,"&lt;=45")-COUNTIFS(Pinjaman!$W$6:$W$1744,H$222,Pinjaman!$X$6:$X$1744,$C255,Pinjaman!$V$6:$V$1744,"&lt;36")</f>
        <v>0</v>
      </c>
      <c r="I255" s="203">
        <f>COUNTIFS(Pinjaman!$W$6:$W$1744,0,Pinjaman!$X$6:$X$1744,$C255,Pinjaman!$V$6:$V$1744,"&lt;=45")-COUNTIFS(Pinjaman!$W$6:$W$1744,0,Pinjaman!$X$6:$X$1744,$C255,Pinjaman!$V$6:$V$1744,"&lt;36")</f>
        <v>0</v>
      </c>
    </row>
    <row r="256" spans="2:9" x14ac:dyDescent="0.3">
      <c r="B256" s="327"/>
      <c r="C256" s="67" t="s">
        <v>9791</v>
      </c>
      <c r="D256" s="23">
        <f>COUNTIFS(Pinjaman!$W$6:$W$1744,D$222,Pinjaman!$X$6:$X$1744,$C256,Pinjaman!$V$6:$V$1744,"&lt;=45")-COUNTIFS(Pinjaman!$W$6:$W$1744,D$222,Pinjaman!$X$6:$X$1744,$C256,Pinjaman!$V$6:$V$1744,"&lt;36")</f>
        <v>0</v>
      </c>
      <c r="E256" s="23">
        <f>COUNTIFS(Pinjaman!$W$6:$W$1744,E$222,Pinjaman!$X$6:$X$1744,$C256,Pinjaman!$V$6:$V$1744,"&lt;=45")-COUNTIFS(Pinjaman!$W$6:$W$1744,E$222,Pinjaman!$X$6:$X$1744,$C256,Pinjaman!$V$6:$V$1744,"&lt;36")</f>
        <v>0</v>
      </c>
      <c r="F256" s="23">
        <f>COUNTIFS(Pinjaman!$W$6:$W$1744,F$222,Pinjaman!$X$6:$X$1744,$C256,Pinjaman!$V$6:$V$1744,"&lt;=45")-COUNTIFS(Pinjaman!$W$6:$W$1744,F$222,Pinjaman!$X$6:$X$1744,$C256,Pinjaman!$V$6:$V$1744,"&lt;36")</f>
        <v>0</v>
      </c>
      <c r="G256" s="23">
        <f>COUNTIFS(Pinjaman!$W$6:$W$1744,G$222,Pinjaman!$X$6:$X$1744,$C256,Pinjaman!$V$6:$V$1744,"&lt;=45")-COUNTIFS(Pinjaman!$W$6:$W$1744,G$222,Pinjaman!$X$6:$X$1744,$C256,Pinjaman!$V$6:$V$1744,"&lt;36")</f>
        <v>0</v>
      </c>
      <c r="H256" s="23">
        <f>COUNTIFS(Pinjaman!$W$6:$W$1744,H$222,Pinjaman!$X$6:$X$1744,$C256,Pinjaman!$V$6:$V$1744,"&lt;=45")-COUNTIFS(Pinjaman!$W$6:$W$1744,H$222,Pinjaman!$X$6:$X$1744,$C256,Pinjaman!$V$6:$V$1744,"&lt;36")</f>
        <v>0</v>
      </c>
      <c r="I256" s="203">
        <f>COUNTIFS(Pinjaman!$W$6:$W$1744,0,Pinjaman!$X$6:$X$1744,$C256,Pinjaman!$V$6:$V$1744,"&lt;=45")-COUNTIFS(Pinjaman!$W$6:$W$1744,0,Pinjaman!$X$6:$X$1744,$C256,Pinjaman!$V$6:$V$1744,"&lt;36")</f>
        <v>0</v>
      </c>
    </row>
    <row r="257" spans="2:9" x14ac:dyDescent="0.3">
      <c r="B257" s="327"/>
      <c r="C257" s="67" t="s">
        <v>31</v>
      </c>
      <c r="D257" s="23">
        <f>COUNTIFS(Pinjaman!$W$6:$W$1744,D$222,Pinjaman!$X$6:$X$1744,$C257,Pinjaman!$V$6:$V$1744,"&lt;=45")-COUNTIFS(Pinjaman!$W$6:$W$1744,D$222,Pinjaman!$X$6:$X$1744,$C257,Pinjaman!$V$6:$V$1744,"&lt;36")</f>
        <v>0</v>
      </c>
      <c r="E257" s="23">
        <f>COUNTIFS(Pinjaman!$W$6:$W$1744,E$222,Pinjaman!$X$6:$X$1744,$C257,Pinjaman!$V$6:$V$1744,"&lt;=45")-COUNTIFS(Pinjaman!$W$6:$W$1744,E$222,Pinjaman!$X$6:$X$1744,$C257,Pinjaman!$V$6:$V$1744,"&lt;36")</f>
        <v>12</v>
      </c>
      <c r="F257" s="23">
        <f>COUNTIFS(Pinjaman!$W$6:$W$1744,F$222,Pinjaman!$X$6:$X$1744,$C257,Pinjaman!$V$6:$V$1744,"&lt;=45")-COUNTIFS(Pinjaman!$W$6:$W$1744,F$222,Pinjaman!$X$6:$X$1744,$C257,Pinjaman!$V$6:$V$1744,"&lt;36")</f>
        <v>16</v>
      </c>
      <c r="G257" s="23">
        <f>COUNTIFS(Pinjaman!$W$6:$W$1744,G$222,Pinjaman!$X$6:$X$1744,$C257,Pinjaman!$V$6:$V$1744,"&lt;=45")-COUNTIFS(Pinjaman!$W$6:$W$1744,G$222,Pinjaman!$X$6:$X$1744,$C257,Pinjaman!$V$6:$V$1744,"&lt;36")</f>
        <v>13</v>
      </c>
      <c r="H257" s="23">
        <f>COUNTIFS(Pinjaman!$W$6:$W$1744,H$222,Pinjaman!$X$6:$X$1744,$C257,Pinjaman!$V$6:$V$1744,"&lt;=45")-COUNTIFS(Pinjaman!$W$6:$W$1744,H$222,Pinjaman!$X$6:$X$1744,$C257,Pinjaman!$V$6:$V$1744,"&lt;36")</f>
        <v>26</v>
      </c>
      <c r="I257" s="203">
        <f>COUNTIFS(Pinjaman!$W$6:$W$1744,0,Pinjaman!$X$6:$X$1744,$C257,Pinjaman!$V$6:$V$1744,"&lt;=45")-COUNTIFS(Pinjaman!$W$6:$W$1744,0,Pinjaman!$X$6:$X$1744,$C257,Pinjaman!$V$6:$V$1744,"&lt;36")</f>
        <v>4</v>
      </c>
    </row>
    <row r="258" spans="2:9" x14ac:dyDescent="0.3">
      <c r="B258" s="327"/>
      <c r="C258" s="67" t="s">
        <v>9787</v>
      </c>
      <c r="D258" s="23">
        <f>COUNTIFS(Pinjaman!$W$6:$W$1744,D$222,Pinjaman!$X$6:$X$1744,$C258,Pinjaman!$V$6:$V$1744,"&lt;=45")-COUNTIFS(Pinjaman!$W$6:$W$1744,D$222,Pinjaman!$X$6:$X$1744,$C258,Pinjaman!$V$6:$V$1744,"&lt;36")</f>
        <v>0</v>
      </c>
      <c r="E258" s="23">
        <f>COUNTIFS(Pinjaman!$W$6:$W$1744,E$222,Pinjaman!$X$6:$X$1744,$C258,Pinjaman!$V$6:$V$1744,"&lt;=45")-COUNTIFS(Pinjaman!$W$6:$W$1744,E$222,Pinjaman!$X$6:$X$1744,$C258,Pinjaman!$V$6:$V$1744,"&lt;36")</f>
        <v>0</v>
      </c>
      <c r="F258" s="23">
        <f>COUNTIFS(Pinjaman!$W$6:$W$1744,F$222,Pinjaman!$X$6:$X$1744,$C258,Pinjaman!$V$6:$V$1744,"&lt;=45")-COUNTIFS(Pinjaman!$W$6:$W$1744,F$222,Pinjaman!$X$6:$X$1744,$C258,Pinjaman!$V$6:$V$1744,"&lt;36")</f>
        <v>0</v>
      </c>
      <c r="G258" s="23">
        <f>COUNTIFS(Pinjaman!$W$6:$W$1744,G$222,Pinjaman!$X$6:$X$1744,$C258,Pinjaman!$V$6:$V$1744,"&lt;=45")-COUNTIFS(Pinjaman!$W$6:$W$1744,G$222,Pinjaman!$X$6:$X$1744,$C258,Pinjaman!$V$6:$V$1744,"&lt;36")</f>
        <v>0</v>
      </c>
      <c r="H258" s="23">
        <f>COUNTIFS(Pinjaman!$W$6:$W$1744,H$222,Pinjaman!$X$6:$X$1744,$C258,Pinjaman!$V$6:$V$1744,"&lt;=45")-COUNTIFS(Pinjaman!$W$6:$W$1744,H$222,Pinjaman!$X$6:$X$1744,$C258,Pinjaman!$V$6:$V$1744,"&lt;36")</f>
        <v>1</v>
      </c>
      <c r="I258" s="203">
        <f>COUNTIFS(Pinjaman!$W$6:$W$1744,0,Pinjaman!$X$6:$X$1744,$C258,Pinjaman!$V$6:$V$1744,"&lt;=45")-COUNTIFS(Pinjaman!$W$6:$W$1744,0,Pinjaman!$X$6:$X$1744,$C258,Pinjaman!$V$6:$V$1744,"&lt;36")</f>
        <v>0</v>
      </c>
    </row>
    <row r="259" spans="2:9" x14ac:dyDescent="0.3">
      <c r="B259" s="327"/>
      <c r="C259" s="67" t="s">
        <v>12065</v>
      </c>
      <c r="D259" s="23">
        <f>COUNTIFS(Pinjaman!$W$6:$W$1744,D$222,Pinjaman!$X$6:$X$1744,$C259,Pinjaman!$V$6:$V$1744,"&lt;=45")-COUNTIFS(Pinjaman!$W$6:$W$1744,D$222,Pinjaman!$X$6:$X$1744,$C259,Pinjaman!$V$6:$V$1744,"&lt;36")</f>
        <v>0</v>
      </c>
      <c r="E259" s="23">
        <f>COUNTIFS(Pinjaman!$W$6:$W$1744,E$222,Pinjaman!$X$6:$X$1744,$C259,Pinjaman!$V$6:$V$1744,"&lt;=45")-COUNTIFS(Pinjaman!$W$6:$W$1744,E$222,Pinjaman!$X$6:$X$1744,$C259,Pinjaman!$V$6:$V$1744,"&lt;36")</f>
        <v>1</v>
      </c>
      <c r="F259" s="23">
        <f>COUNTIFS(Pinjaman!$W$6:$W$1744,F$222,Pinjaman!$X$6:$X$1744,$C259,Pinjaman!$V$6:$V$1744,"&lt;=45")-COUNTIFS(Pinjaman!$W$6:$W$1744,F$222,Pinjaman!$X$6:$X$1744,$C259,Pinjaman!$V$6:$V$1744,"&lt;36")</f>
        <v>0</v>
      </c>
      <c r="G259" s="23">
        <f>COUNTIFS(Pinjaman!$W$6:$W$1744,G$222,Pinjaman!$X$6:$X$1744,$C259,Pinjaman!$V$6:$V$1744,"&lt;=45")-COUNTIFS(Pinjaman!$W$6:$W$1744,G$222,Pinjaman!$X$6:$X$1744,$C259,Pinjaman!$V$6:$V$1744,"&lt;36")</f>
        <v>2</v>
      </c>
      <c r="H259" s="23">
        <f>COUNTIFS(Pinjaman!$W$6:$W$1744,H$222,Pinjaman!$X$6:$X$1744,$C259,Pinjaman!$V$6:$V$1744,"&lt;=45")-COUNTIFS(Pinjaman!$W$6:$W$1744,H$222,Pinjaman!$X$6:$X$1744,$C259,Pinjaman!$V$6:$V$1744,"&lt;36")</f>
        <v>0</v>
      </c>
      <c r="I259" s="203">
        <f>COUNTIFS(Pinjaman!$W$6:$W$1744,0,Pinjaman!$X$6:$X$1744,$C259,Pinjaman!$V$6:$V$1744,"&lt;=45")-COUNTIFS(Pinjaman!$W$6:$W$1744,0,Pinjaman!$X$6:$X$1744,$C259,Pinjaman!$V$6:$V$1744,"&lt;36")</f>
        <v>0</v>
      </c>
    </row>
    <row r="260" spans="2:9" x14ac:dyDescent="0.3">
      <c r="B260" s="327"/>
      <c r="C260" s="67" t="s">
        <v>12074</v>
      </c>
      <c r="D260" s="23">
        <f>COUNTIFS(Pinjaman!$W$6:$W$1744,D$222,Pinjaman!$X$6:$X$1744,$C260,Pinjaman!$V$6:$V$1744,"&lt;=45")-COUNTIFS(Pinjaman!$W$6:$W$1744,D$222,Pinjaman!$X$6:$X$1744,$C260,Pinjaman!$V$6:$V$1744,"&lt;36")</f>
        <v>0</v>
      </c>
      <c r="E260" s="23">
        <f>COUNTIFS(Pinjaman!$W$6:$W$1744,E$222,Pinjaman!$X$6:$X$1744,$C260,Pinjaman!$V$6:$V$1744,"&lt;=45")-COUNTIFS(Pinjaman!$W$6:$W$1744,E$222,Pinjaman!$X$6:$X$1744,$C260,Pinjaman!$V$6:$V$1744,"&lt;36")</f>
        <v>0</v>
      </c>
      <c r="F260" s="23">
        <f>COUNTIFS(Pinjaman!$W$6:$W$1744,F$222,Pinjaman!$X$6:$X$1744,$C260,Pinjaman!$V$6:$V$1744,"&lt;=45")-COUNTIFS(Pinjaman!$W$6:$W$1744,F$222,Pinjaman!$X$6:$X$1744,$C260,Pinjaman!$V$6:$V$1744,"&lt;36")</f>
        <v>0</v>
      </c>
      <c r="G260" s="23">
        <f>COUNTIFS(Pinjaman!$W$6:$W$1744,G$222,Pinjaman!$X$6:$X$1744,$C260,Pinjaman!$V$6:$V$1744,"&lt;=45")-COUNTIFS(Pinjaman!$W$6:$W$1744,G$222,Pinjaman!$X$6:$X$1744,$C260,Pinjaman!$V$6:$V$1744,"&lt;36")</f>
        <v>0</v>
      </c>
      <c r="H260" s="23">
        <f>COUNTIFS(Pinjaman!$W$6:$W$1744,H$222,Pinjaman!$X$6:$X$1744,$C260,Pinjaman!$V$6:$V$1744,"&lt;=45")-COUNTIFS(Pinjaman!$W$6:$W$1744,H$222,Pinjaman!$X$6:$X$1744,$C260,Pinjaman!$V$6:$V$1744,"&lt;36")</f>
        <v>3</v>
      </c>
      <c r="I260" s="203">
        <f>COUNTIFS(Pinjaman!$W$6:$W$1744,0,Pinjaman!$X$6:$X$1744,$C260,Pinjaman!$V$6:$V$1744,"&lt;=45")-COUNTIFS(Pinjaman!$W$6:$W$1744,0,Pinjaman!$X$6:$X$1744,$C260,Pinjaman!$V$6:$V$1744,"&lt;36")</f>
        <v>0</v>
      </c>
    </row>
    <row r="261" spans="2:9" x14ac:dyDescent="0.3">
      <c r="B261" s="327"/>
      <c r="C261" s="67" t="s">
        <v>13</v>
      </c>
      <c r="D261" s="23">
        <f>COUNTIFS(Pinjaman!$W$6:$W$1744,D$222,Pinjaman!$X$6:$X$1744,$C261,Pinjaman!$V$6:$V$1744,"&lt;=45")-COUNTIFS(Pinjaman!$W$6:$W$1744,D$222,Pinjaman!$X$6:$X$1744,$C261,Pinjaman!$V$6:$V$1744,"&lt;36")</f>
        <v>0</v>
      </c>
      <c r="E261" s="23">
        <f>COUNTIFS(Pinjaman!$W$6:$W$1744,E$222,Pinjaman!$X$6:$X$1744,$C261,Pinjaman!$V$6:$V$1744,"&lt;=45")-COUNTIFS(Pinjaman!$W$6:$W$1744,E$222,Pinjaman!$X$6:$X$1744,$C261,Pinjaman!$V$6:$V$1744,"&lt;36")</f>
        <v>0</v>
      </c>
      <c r="F261" s="23">
        <f>COUNTIFS(Pinjaman!$W$6:$W$1744,F$222,Pinjaman!$X$6:$X$1744,$C261,Pinjaman!$V$6:$V$1744,"&lt;=45")-COUNTIFS(Pinjaman!$W$6:$W$1744,F$222,Pinjaman!$X$6:$X$1744,$C261,Pinjaman!$V$6:$V$1744,"&lt;36")</f>
        <v>0</v>
      </c>
      <c r="G261" s="23">
        <f>COUNTIFS(Pinjaman!$W$6:$W$1744,G$222,Pinjaman!$X$6:$X$1744,$C261,Pinjaman!$V$6:$V$1744,"&lt;=45")-COUNTIFS(Pinjaman!$W$6:$W$1744,G$222,Pinjaman!$X$6:$X$1744,$C261,Pinjaman!$V$6:$V$1744,"&lt;36")</f>
        <v>0</v>
      </c>
      <c r="H261" s="23">
        <f>COUNTIFS(Pinjaman!$W$6:$W$1744,H$222,Pinjaman!$X$6:$X$1744,$C261,Pinjaman!$V$6:$V$1744,"&lt;=45")-COUNTIFS(Pinjaman!$W$6:$W$1744,H$222,Pinjaman!$X$6:$X$1744,$C261,Pinjaman!$V$6:$V$1744,"&lt;36")</f>
        <v>0</v>
      </c>
      <c r="I261" s="203">
        <f>COUNTIFS(Pinjaman!$W$6:$W$1744,0,Pinjaman!$X$6:$X$1744,$C261,Pinjaman!$V$6:$V$1744,"&lt;=45")-COUNTIFS(Pinjaman!$W$6:$W$1744,0,Pinjaman!$X$6:$X$1744,$C261,Pinjaman!$V$6:$V$1744,"&lt;36")</f>
        <v>0</v>
      </c>
    </row>
    <row r="262" spans="2:9" x14ac:dyDescent="0.3">
      <c r="B262" s="327"/>
      <c r="C262" s="67" t="s">
        <v>243</v>
      </c>
      <c r="D262" s="23">
        <f>COUNTIFS(Pinjaman!$W$6:$W$1744,D$222,Pinjaman!$X$6:$X$1744,$C262,Pinjaman!$V$6:$V$1744,"&lt;=45")-COUNTIFS(Pinjaman!$W$6:$W$1744,D$222,Pinjaman!$X$6:$X$1744,$C262,Pinjaman!$V$6:$V$1744,"&lt;36")</f>
        <v>0</v>
      </c>
      <c r="E262" s="23">
        <f>COUNTIFS(Pinjaman!$W$6:$W$1744,E$222,Pinjaman!$X$6:$X$1744,$C262,Pinjaman!$V$6:$V$1744,"&lt;=45")-COUNTIFS(Pinjaman!$W$6:$W$1744,E$222,Pinjaman!$X$6:$X$1744,$C262,Pinjaman!$V$6:$V$1744,"&lt;36")</f>
        <v>0</v>
      </c>
      <c r="F262" s="23">
        <f>COUNTIFS(Pinjaman!$W$6:$W$1744,F$222,Pinjaman!$X$6:$X$1744,$C262,Pinjaman!$V$6:$V$1744,"&lt;=45")-COUNTIFS(Pinjaman!$W$6:$W$1744,F$222,Pinjaman!$X$6:$X$1744,$C262,Pinjaman!$V$6:$V$1744,"&lt;36")</f>
        <v>0</v>
      </c>
      <c r="G262" s="23">
        <f>COUNTIFS(Pinjaman!$W$6:$W$1744,G$222,Pinjaman!$X$6:$X$1744,$C262,Pinjaman!$V$6:$V$1744,"&lt;=45")-COUNTIFS(Pinjaman!$W$6:$W$1744,G$222,Pinjaman!$X$6:$X$1744,$C262,Pinjaman!$V$6:$V$1744,"&lt;36")</f>
        <v>0</v>
      </c>
      <c r="H262" s="23">
        <f>COUNTIFS(Pinjaman!$W$6:$W$1744,H$222,Pinjaman!$X$6:$X$1744,$C262,Pinjaman!$V$6:$V$1744,"&lt;=45")-COUNTIFS(Pinjaman!$W$6:$W$1744,H$222,Pinjaman!$X$6:$X$1744,$C262,Pinjaman!$V$6:$V$1744,"&lt;36")</f>
        <v>2</v>
      </c>
      <c r="I262" s="203">
        <f>COUNTIFS(Pinjaman!$W$6:$W$1744,0,Pinjaman!$X$6:$X$1744,$C262,Pinjaman!$V$6:$V$1744,"&lt;=45")-COUNTIFS(Pinjaman!$W$6:$W$1744,0,Pinjaman!$X$6:$X$1744,$C262,Pinjaman!$V$6:$V$1744,"&lt;36")</f>
        <v>1</v>
      </c>
    </row>
    <row r="263" spans="2:9" x14ac:dyDescent="0.3">
      <c r="B263" s="327"/>
      <c r="C263" s="67" t="s">
        <v>12075</v>
      </c>
      <c r="D263" s="23">
        <f>COUNTIFS(Pinjaman!$W$6:$W$1744,D$222,Pinjaman!$X$6:$X$1744,$C263,Pinjaman!$V$6:$V$1744,"&lt;=45")-COUNTIFS(Pinjaman!$W$6:$W$1744,D$222,Pinjaman!$X$6:$X$1744,$C263,Pinjaman!$V$6:$V$1744,"&lt;36")</f>
        <v>1</v>
      </c>
      <c r="E263" s="23">
        <f>COUNTIFS(Pinjaman!$W$6:$W$1744,E$222,Pinjaman!$X$6:$X$1744,$C263,Pinjaman!$V$6:$V$1744,"&lt;=45")-COUNTIFS(Pinjaman!$W$6:$W$1744,E$222,Pinjaman!$X$6:$X$1744,$C263,Pinjaman!$V$6:$V$1744,"&lt;36")</f>
        <v>11</v>
      </c>
      <c r="F263" s="23">
        <f>COUNTIFS(Pinjaman!$W$6:$W$1744,F$222,Pinjaman!$X$6:$X$1744,$C263,Pinjaman!$V$6:$V$1744,"&lt;=45")-COUNTIFS(Pinjaman!$W$6:$W$1744,F$222,Pinjaman!$X$6:$X$1744,$C263,Pinjaman!$V$6:$V$1744,"&lt;36")</f>
        <v>5</v>
      </c>
      <c r="G263" s="23">
        <f>COUNTIFS(Pinjaman!$W$6:$W$1744,G$222,Pinjaman!$X$6:$X$1744,$C263,Pinjaman!$V$6:$V$1744,"&lt;=45")-COUNTIFS(Pinjaman!$W$6:$W$1744,G$222,Pinjaman!$X$6:$X$1744,$C263,Pinjaman!$V$6:$V$1744,"&lt;36")</f>
        <v>3</v>
      </c>
      <c r="H263" s="23">
        <f>COUNTIFS(Pinjaman!$W$6:$W$1744,H$222,Pinjaman!$X$6:$X$1744,$C263,Pinjaman!$V$6:$V$1744,"&lt;=45")-COUNTIFS(Pinjaman!$W$6:$W$1744,H$222,Pinjaman!$X$6:$X$1744,$C263,Pinjaman!$V$6:$V$1744,"&lt;36")</f>
        <v>8</v>
      </c>
      <c r="I263" s="203">
        <f>COUNTIFS(Pinjaman!$W$6:$W$1744,0,Pinjaman!$X$6:$X$1744,$C263,Pinjaman!$V$6:$V$1744,"&lt;=45")-COUNTIFS(Pinjaman!$W$6:$W$1744,0,Pinjaman!$X$6:$X$1744,$C263,Pinjaman!$V$6:$V$1744,"&lt;36")</f>
        <v>3</v>
      </c>
    </row>
    <row r="264" spans="2:9" ht="15" thickBot="1" x14ac:dyDescent="0.35">
      <c r="B264" s="328"/>
      <c r="C264" s="183" t="s">
        <v>12076</v>
      </c>
      <c r="D264" s="278">
        <f>COUNTIFS(Pinjaman!$W$6:$W$1744,D$222,Pinjaman!$X$6:$X$1744,0,Pinjaman!$V$6:$V$1744,"&lt;=45")-COUNTIFS(Pinjaman!$W$6:$W$1744,D$222,Pinjaman!$X$6:$X$1744,0,Pinjaman!$V$6:$V$1744,"&lt;36")</f>
        <v>0</v>
      </c>
      <c r="E264" s="278">
        <f>COUNTIFS(Pinjaman!$W$6:$W$1744,E$222,Pinjaman!$X$6:$X$1744,0,Pinjaman!$V$6:$V$1744,"&lt;=45")-COUNTIFS(Pinjaman!$W$6:$W$1744,E$222,Pinjaman!$X$6:$X$1744,0,Pinjaman!$V$6:$V$1744,"&lt;36")</f>
        <v>0</v>
      </c>
      <c r="F264" s="278">
        <f>COUNTIFS(Pinjaman!$W$6:$W$1744,F$222,Pinjaman!$X$6:$X$1744,0,Pinjaman!$V$6:$V$1744,"&lt;=45")-COUNTIFS(Pinjaman!$W$6:$W$1744,F$222,Pinjaman!$X$6:$X$1744,0,Pinjaman!$V$6:$V$1744,"&lt;36")</f>
        <v>1</v>
      </c>
      <c r="G264" s="278">
        <f>COUNTIFS(Pinjaman!$W$6:$W$1744,G$222,Pinjaman!$X$6:$X$1744,0,Pinjaman!$V$6:$V$1744,"&lt;=45")-COUNTIFS(Pinjaman!$W$6:$W$1744,G$222,Pinjaman!$X$6:$X$1744,0,Pinjaman!$V$6:$V$1744,"&lt;36")</f>
        <v>1</v>
      </c>
      <c r="H264" s="278">
        <f>COUNTIFS(Pinjaman!$W$6:$W$1744,H$222,Pinjaman!$X$6:$X$1744,0,Pinjaman!$V$6:$V$1744,"&lt;=45")-COUNTIFS(Pinjaman!$W$6:$W$1744,H$222,Pinjaman!$X$6:$X$1744,0,Pinjaman!$V$6:$V$1744,"&lt;36")</f>
        <v>2</v>
      </c>
      <c r="I264" s="279">
        <f>COUNTIFS(Pinjaman!$W$6:$W$1744,I$222,Pinjaman!$X$6:$X$1744,0,Pinjaman!$V$6:$V$1744,"&lt;=45")-COUNTIFS(Pinjaman!$W$6:$W$1744,I$222,Pinjaman!$X$6:$X$1744,0,Pinjaman!$V$6:$V$1744,"&lt;36")</f>
        <v>0</v>
      </c>
    </row>
    <row r="265" spans="2:9" x14ac:dyDescent="0.3">
      <c r="B265" s="325" t="s">
        <v>22146</v>
      </c>
      <c r="C265" s="272" t="s">
        <v>46</v>
      </c>
      <c r="D265" s="273">
        <f>COUNTIFS(Pinjaman!$W$6:$W$1744,D$222,Pinjaman!$X$6:$X$1744,$C265,Pinjaman!$V$6:$V$1744,"&lt;=60")-COUNTIFS(Pinjaman!$W$6:$W$1744,D$222,Pinjaman!$X$6:$X$1744,$C265,Pinjaman!$V$6:$V$1744,"&lt;46")</f>
        <v>3</v>
      </c>
      <c r="E265" s="273">
        <f>COUNTIFS(Pinjaman!$W$6:$W$1744,E$222,Pinjaman!$X$6:$X$1744,$C265,Pinjaman!$V$6:$V$1744,"&lt;=60")-COUNTIFS(Pinjaman!$W$6:$W$1744,E$222,Pinjaman!$X$6:$X$1744,$C265,Pinjaman!$V$6:$V$1744,"&lt;46")</f>
        <v>25</v>
      </c>
      <c r="F265" s="273">
        <f>COUNTIFS(Pinjaman!$W$6:$W$1744,F$222,Pinjaman!$X$6:$X$1744,$C265,Pinjaman!$V$6:$V$1744,"&lt;=60")-COUNTIFS(Pinjaman!$W$6:$W$1744,F$222,Pinjaman!$X$6:$X$1744,$C265,Pinjaman!$V$6:$V$1744,"&lt;46")</f>
        <v>31</v>
      </c>
      <c r="G265" s="273">
        <f>COUNTIFS(Pinjaman!$W$6:$W$1744,G$222,Pinjaman!$X$6:$X$1744,$C265,Pinjaman!$V$6:$V$1744,"&lt;=60")-COUNTIFS(Pinjaman!$W$6:$W$1744,G$222,Pinjaman!$X$6:$X$1744,$C265,Pinjaman!$V$6:$V$1744,"&lt;46")</f>
        <v>34</v>
      </c>
      <c r="H265" s="274">
        <f>COUNTIFS(Pinjaman!$W$6:$W$1744,H$222,Pinjaman!$X$6:$X$1744,$C265,Pinjaman!$V$6:$V$1744,"&lt;=60")-COUNTIFS(Pinjaman!$W$6:$W$1744,H$222,Pinjaman!$X$6:$X$1744,$C265,Pinjaman!$V$6:$V$1744,"&lt;46")</f>
        <v>165</v>
      </c>
      <c r="I265" s="273">
        <f>COUNTIFS(Pinjaman!$W$6:$W$1744,0,Pinjaman!$X$6:$X$1744,$C265,Pinjaman!$V$6:$V$1744,"&lt;=60")-COUNTIFS(Pinjaman!$W$6:$W$1744,0,Pinjaman!$X$6:$X$1744,$C265,Pinjaman!$V$6:$V$1744,"&lt;46")</f>
        <v>21</v>
      </c>
    </row>
    <row r="266" spans="2:9" x14ac:dyDescent="0.3">
      <c r="B266" s="320"/>
      <c r="C266" s="67" t="s">
        <v>9788</v>
      </c>
      <c r="D266" s="23">
        <f>COUNTIFS(Pinjaman!$W$6:$W$1744,D$222,Pinjaman!$X$6:$X$1744,$C266,Pinjaman!$V$6:$V$1744,"&lt;=60")-COUNTIFS(Pinjaman!$W$6:$W$1744,D$222,Pinjaman!$X$6:$X$1744,$C266,Pinjaman!$V$6:$V$1744,"&lt;46")</f>
        <v>3</v>
      </c>
      <c r="E266" s="23">
        <f>COUNTIFS(Pinjaman!$W$6:$W$1744,E$222,Pinjaman!$X$6:$X$1744,$C266,Pinjaman!$V$6:$V$1744,"&lt;=60")-COUNTIFS(Pinjaman!$W$6:$W$1744,E$222,Pinjaman!$X$6:$X$1744,$C266,Pinjaman!$V$6:$V$1744,"&lt;46")</f>
        <v>29</v>
      </c>
      <c r="F266" s="23">
        <f>COUNTIFS(Pinjaman!$W$6:$W$1744,F$222,Pinjaman!$X$6:$X$1744,$C266,Pinjaman!$V$6:$V$1744,"&lt;=60")-COUNTIFS(Pinjaman!$W$6:$W$1744,F$222,Pinjaman!$X$6:$X$1744,$C266,Pinjaman!$V$6:$V$1744,"&lt;46")</f>
        <v>39</v>
      </c>
      <c r="G266" s="23">
        <f>COUNTIFS(Pinjaman!$W$6:$W$1744,G$222,Pinjaman!$X$6:$X$1744,$C266,Pinjaman!$V$6:$V$1744,"&lt;=60")-COUNTIFS(Pinjaman!$W$6:$W$1744,G$222,Pinjaman!$X$6:$X$1744,$C266,Pinjaman!$V$6:$V$1744,"&lt;46")</f>
        <v>31</v>
      </c>
      <c r="H266" s="23">
        <f>COUNTIFS(Pinjaman!$W$6:$W$1744,H$222,Pinjaman!$X$6:$X$1744,$C266,Pinjaman!$V$6:$V$1744,"&lt;=60")-COUNTIFS(Pinjaman!$W$6:$W$1744,H$222,Pinjaman!$X$6:$X$1744,$C266,Pinjaman!$V$6:$V$1744,"&lt;46")</f>
        <v>35</v>
      </c>
      <c r="I266" s="23">
        <f>COUNTIFS(Pinjaman!$W$6:$W$1744,0,Pinjaman!$X$6:$X$1744,$C266,Pinjaman!$V$6:$V$1744,"&lt;=60")-COUNTIFS(Pinjaman!$W$6:$W$1744,0,Pinjaman!$X$6:$X$1744,$C266,Pinjaman!$V$6:$V$1744,"&lt;46")</f>
        <v>11</v>
      </c>
    </row>
    <row r="267" spans="2:9" x14ac:dyDescent="0.3">
      <c r="B267" s="320"/>
      <c r="C267" s="67" t="s">
        <v>9785</v>
      </c>
      <c r="D267" s="23">
        <f>COUNTIFS(Pinjaman!$W$6:$W$1744,D$222,Pinjaman!$X$6:$X$1744,$C267,Pinjaman!$V$6:$V$1744,"&lt;=60")-COUNTIFS(Pinjaman!$W$6:$W$1744,D$222,Pinjaman!$X$6:$X$1744,$C267,Pinjaman!$V$6:$V$1744,"&lt;46")</f>
        <v>0</v>
      </c>
      <c r="E267" s="23">
        <f>COUNTIFS(Pinjaman!$W$6:$W$1744,E$222,Pinjaman!$X$6:$X$1744,$C267,Pinjaman!$V$6:$V$1744,"&lt;=60")-COUNTIFS(Pinjaman!$W$6:$W$1744,E$222,Pinjaman!$X$6:$X$1744,$C267,Pinjaman!$V$6:$V$1744,"&lt;46")</f>
        <v>12</v>
      </c>
      <c r="F267" s="23">
        <f>COUNTIFS(Pinjaman!$W$6:$W$1744,F$222,Pinjaman!$X$6:$X$1744,$C267,Pinjaman!$V$6:$V$1744,"&lt;=60")-COUNTIFS(Pinjaman!$W$6:$W$1744,F$222,Pinjaman!$X$6:$X$1744,$C267,Pinjaman!$V$6:$V$1744,"&lt;46")</f>
        <v>15</v>
      </c>
      <c r="G267" s="23">
        <f>COUNTIFS(Pinjaman!$W$6:$W$1744,G$222,Pinjaman!$X$6:$X$1744,$C267,Pinjaman!$V$6:$V$1744,"&lt;=60")-COUNTIFS(Pinjaman!$W$6:$W$1744,G$222,Pinjaman!$X$6:$X$1744,$C267,Pinjaman!$V$6:$V$1744,"&lt;46")</f>
        <v>24</v>
      </c>
      <c r="H267" s="23">
        <f>COUNTIFS(Pinjaman!$W$6:$W$1744,H$222,Pinjaman!$X$6:$X$1744,$C267,Pinjaman!$V$6:$V$1744,"&lt;=60")-COUNTIFS(Pinjaman!$W$6:$W$1744,H$222,Pinjaman!$X$6:$X$1744,$C267,Pinjaman!$V$6:$V$1744,"&lt;46")</f>
        <v>21</v>
      </c>
      <c r="I267" s="23">
        <f>COUNTIFS(Pinjaman!$W$6:$W$1744,0,Pinjaman!$X$6:$X$1744,$C267,Pinjaman!$V$6:$V$1744,"&lt;=60")-COUNTIFS(Pinjaman!$W$6:$W$1744,0,Pinjaman!$X$6:$X$1744,$C267,Pinjaman!$V$6:$V$1744,"&lt;46")</f>
        <v>3</v>
      </c>
    </row>
    <row r="268" spans="2:9" x14ac:dyDescent="0.3">
      <c r="B268" s="320"/>
      <c r="C268" s="67" t="s">
        <v>12099</v>
      </c>
      <c r="D268" s="23">
        <f>COUNTIFS(Pinjaman!$W$6:$W$1744,D$222,Pinjaman!$X$6:$X$1744,$C268,Pinjaman!$V$6:$V$1744,"&lt;=60")-COUNTIFS(Pinjaman!$W$6:$W$1744,D$222,Pinjaman!$X$6:$X$1744,$C268,Pinjaman!$V$6:$V$1744,"&lt;46")</f>
        <v>0</v>
      </c>
      <c r="E268" s="23">
        <f>COUNTIFS(Pinjaman!$W$6:$W$1744,E$222,Pinjaman!$X$6:$X$1744,$C268,Pinjaman!$V$6:$V$1744,"&lt;=60")-COUNTIFS(Pinjaman!$W$6:$W$1744,E$222,Pinjaman!$X$6:$X$1744,$C268,Pinjaman!$V$6:$V$1744,"&lt;46")</f>
        <v>6</v>
      </c>
      <c r="F268" s="23">
        <f>COUNTIFS(Pinjaman!$W$6:$W$1744,F$222,Pinjaman!$X$6:$X$1744,$C268,Pinjaman!$V$6:$V$1744,"&lt;=60")-COUNTIFS(Pinjaman!$W$6:$W$1744,F$222,Pinjaman!$X$6:$X$1744,$C268,Pinjaman!$V$6:$V$1744,"&lt;46")</f>
        <v>12</v>
      </c>
      <c r="G268" s="23">
        <f>COUNTIFS(Pinjaman!$W$6:$W$1744,G$222,Pinjaman!$X$6:$X$1744,$C268,Pinjaman!$V$6:$V$1744,"&lt;=60")-COUNTIFS(Pinjaman!$W$6:$W$1744,G$222,Pinjaman!$X$6:$X$1744,$C268,Pinjaman!$V$6:$V$1744,"&lt;46")</f>
        <v>12</v>
      </c>
      <c r="H268" s="23">
        <f>COUNTIFS(Pinjaman!$W$6:$W$1744,H$222,Pinjaman!$X$6:$X$1744,$C268,Pinjaman!$V$6:$V$1744,"&lt;=60")-COUNTIFS(Pinjaman!$W$6:$W$1744,H$222,Pinjaman!$X$6:$X$1744,$C268,Pinjaman!$V$6:$V$1744,"&lt;46")</f>
        <v>8</v>
      </c>
      <c r="I268" s="23">
        <f>COUNTIFS(Pinjaman!$W$6:$W$1744,0,Pinjaman!$X$6:$X$1744,$C268,Pinjaman!$V$6:$V$1744,"&lt;=60")-COUNTIFS(Pinjaman!$W$6:$W$1744,0,Pinjaman!$X$6:$X$1744,$C268,Pinjaman!$V$6:$V$1744,"&lt;46")</f>
        <v>2</v>
      </c>
    </row>
    <row r="269" spans="2:9" x14ac:dyDescent="0.3">
      <c r="B269" s="320"/>
      <c r="C269" s="67" t="s">
        <v>337</v>
      </c>
      <c r="D269" s="23">
        <f>COUNTIFS(Pinjaman!$W$6:$W$1744,D$222,Pinjaman!$X$6:$X$1744,$C269,Pinjaman!$V$6:$V$1744,"&lt;=60")-COUNTIFS(Pinjaman!$W$6:$W$1744,D$222,Pinjaman!$X$6:$X$1744,$C269,Pinjaman!$V$6:$V$1744,"&lt;46")</f>
        <v>0</v>
      </c>
      <c r="E269" s="23">
        <f>COUNTIFS(Pinjaman!$W$6:$W$1744,E$222,Pinjaman!$X$6:$X$1744,$C269,Pinjaman!$V$6:$V$1744,"&lt;=60")-COUNTIFS(Pinjaman!$W$6:$W$1744,E$222,Pinjaman!$X$6:$X$1744,$C269,Pinjaman!$V$6:$V$1744,"&lt;46")</f>
        <v>0</v>
      </c>
      <c r="F269" s="23">
        <f>COUNTIFS(Pinjaman!$W$6:$W$1744,F$222,Pinjaman!$X$6:$X$1744,$C269,Pinjaman!$V$6:$V$1744,"&lt;=60")-COUNTIFS(Pinjaman!$W$6:$W$1744,F$222,Pinjaman!$X$6:$X$1744,$C269,Pinjaman!$V$6:$V$1744,"&lt;46")</f>
        <v>0</v>
      </c>
      <c r="G269" s="23">
        <f>COUNTIFS(Pinjaman!$W$6:$W$1744,G$222,Pinjaman!$X$6:$X$1744,$C269,Pinjaman!$V$6:$V$1744,"&lt;=60")-COUNTIFS(Pinjaman!$W$6:$W$1744,G$222,Pinjaman!$X$6:$X$1744,$C269,Pinjaman!$V$6:$V$1744,"&lt;46")</f>
        <v>0</v>
      </c>
      <c r="H269" s="23">
        <f>COUNTIFS(Pinjaman!$W$6:$W$1744,H$222,Pinjaman!$X$6:$X$1744,$C269,Pinjaman!$V$6:$V$1744,"&lt;=60")-COUNTIFS(Pinjaman!$W$6:$W$1744,H$222,Pinjaman!$X$6:$X$1744,$C269,Pinjaman!$V$6:$V$1744,"&lt;46")</f>
        <v>0</v>
      </c>
      <c r="I269" s="23">
        <f>COUNTIFS(Pinjaman!$W$6:$W$1744,0,Pinjaman!$X$6:$X$1744,$C269,Pinjaman!$V$6:$V$1744,"&lt;=60")-COUNTIFS(Pinjaman!$W$6:$W$1744,0,Pinjaman!$X$6:$X$1744,$C269,Pinjaman!$V$6:$V$1744,"&lt;46")</f>
        <v>0</v>
      </c>
    </row>
    <row r="270" spans="2:9" x14ac:dyDescent="0.3">
      <c r="B270" s="320"/>
      <c r="C270" s="67" t="s">
        <v>9791</v>
      </c>
      <c r="D270" s="23">
        <f>COUNTIFS(Pinjaman!$W$6:$W$1744,D$222,Pinjaman!$X$6:$X$1744,$C270,Pinjaman!$V$6:$V$1744,"&lt;=60")-COUNTIFS(Pinjaman!$W$6:$W$1744,D$222,Pinjaman!$X$6:$X$1744,$C270,Pinjaman!$V$6:$V$1744,"&lt;46")</f>
        <v>0</v>
      </c>
      <c r="E270" s="23">
        <f>COUNTIFS(Pinjaman!$W$6:$W$1744,E$222,Pinjaman!$X$6:$X$1744,$C270,Pinjaman!$V$6:$V$1744,"&lt;=60")-COUNTIFS(Pinjaman!$W$6:$W$1744,E$222,Pinjaman!$X$6:$X$1744,$C270,Pinjaman!$V$6:$V$1744,"&lt;46")</f>
        <v>0</v>
      </c>
      <c r="F270" s="23">
        <f>COUNTIFS(Pinjaman!$W$6:$W$1744,F$222,Pinjaman!$X$6:$X$1744,$C270,Pinjaman!$V$6:$V$1744,"&lt;=60")-COUNTIFS(Pinjaman!$W$6:$W$1744,F$222,Pinjaman!$X$6:$X$1744,$C270,Pinjaman!$V$6:$V$1744,"&lt;46")</f>
        <v>0</v>
      </c>
      <c r="G270" s="23">
        <f>COUNTIFS(Pinjaman!$W$6:$W$1744,G$222,Pinjaman!$X$6:$X$1744,$C270,Pinjaman!$V$6:$V$1744,"&lt;=60")-COUNTIFS(Pinjaman!$W$6:$W$1744,G$222,Pinjaman!$X$6:$X$1744,$C270,Pinjaman!$V$6:$V$1744,"&lt;46")</f>
        <v>0</v>
      </c>
      <c r="H270" s="23">
        <f>COUNTIFS(Pinjaman!$W$6:$W$1744,H$222,Pinjaman!$X$6:$X$1744,$C270,Pinjaman!$V$6:$V$1744,"&lt;=60")-COUNTIFS(Pinjaman!$W$6:$W$1744,H$222,Pinjaman!$X$6:$X$1744,$C270,Pinjaman!$V$6:$V$1744,"&lt;46")</f>
        <v>0</v>
      </c>
      <c r="I270" s="23">
        <f>COUNTIFS(Pinjaman!$W$6:$W$1744,0,Pinjaman!$X$6:$X$1744,$C270,Pinjaman!$V$6:$V$1744,"&lt;=60")-COUNTIFS(Pinjaman!$W$6:$W$1744,0,Pinjaman!$X$6:$X$1744,$C270,Pinjaman!$V$6:$V$1744,"&lt;46")</f>
        <v>0</v>
      </c>
    </row>
    <row r="271" spans="2:9" x14ac:dyDescent="0.3">
      <c r="B271" s="320"/>
      <c r="C271" s="67" t="s">
        <v>31</v>
      </c>
      <c r="D271" s="23">
        <f>COUNTIFS(Pinjaman!$W$6:$W$1744,D$222,Pinjaman!$X$6:$X$1744,$C271,Pinjaman!$V$6:$V$1744,"&lt;=60")-COUNTIFS(Pinjaman!$W$6:$W$1744,D$222,Pinjaman!$X$6:$X$1744,$C271,Pinjaman!$V$6:$V$1744,"&lt;46")</f>
        <v>2</v>
      </c>
      <c r="E271" s="23">
        <f>COUNTIFS(Pinjaman!$W$6:$W$1744,E$222,Pinjaman!$X$6:$X$1744,$C271,Pinjaman!$V$6:$V$1744,"&lt;=60")-COUNTIFS(Pinjaman!$W$6:$W$1744,E$222,Pinjaman!$X$6:$X$1744,$C271,Pinjaman!$V$6:$V$1744,"&lt;46")</f>
        <v>8</v>
      </c>
      <c r="F271" s="23">
        <f>COUNTIFS(Pinjaman!$W$6:$W$1744,F$222,Pinjaman!$X$6:$X$1744,$C271,Pinjaman!$V$6:$V$1744,"&lt;=60")-COUNTIFS(Pinjaman!$W$6:$W$1744,F$222,Pinjaman!$X$6:$X$1744,$C271,Pinjaman!$V$6:$V$1744,"&lt;46")</f>
        <v>22</v>
      </c>
      <c r="G271" s="23">
        <f>COUNTIFS(Pinjaman!$W$6:$W$1744,G$222,Pinjaman!$X$6:$X$1744,$C271,Pinjaman!$V$6:$V$1744,"&lt;=60")-COUNTIFS(Pinjaman!$W$6:$W$1744,G$222,Pinjaman!$X$6:$X$1744,$C271,Pinjaman!$V$6:$V$1744,"&lt;46")</f>
        <v>13</v>
      </c>
      <c r="H271" s="23">
        <f>COUNTIFS(Pinjaman!$W$6:$W$1744,H$222,Pinjaman!$X$6:$X$1744,$C271,Pinjaman!$V$6:$V$1744,"&lt;=60")-COUNTIFS(Pinjaman!$W$6:$W$1744,H$222,Pinjaman!$X$6:$X$1744,$C271,Pinjaman!$V$6:$V$1744,"&lt;46")</f>
        <v>30</v>
      </c>
      <c r="I271" s="23">
        <f>COUNTIFS(Pinjaman!$W$6:$W$1744,0,Pinjaman!$X$6:$X$1744,$C271,Pinjaman!$V$6:$V$1744,"&lt;=60")-COUNTIFS(Pinjaman!$W$6:$W$1744,0,Pinjaman!$X$6:$X$1744,$C271,Pinjaman!$V$6:$V$1744,"&lt;46")</f>
        <v>9</v>
      </c>
    </row>
    <row r="272" spans="2:9" x14ac:dyDescent="0.3">
      <c r="B272" s="320"/>
      <c r="C272" s="67" t="s">
        <v>9787</v>
      </c>
      <c r="D272" s="23">
        <f>COUNTIFS(Pinjaman!$W$6:$W$1744,D$222,Pinjaman!$X$6:$X$1744,$C272,Pinjaman!$V$6:$V$1744,"&lt;=60")-COUNTIFS(Pinjaman!$W$6:$W$1744,D$222,Pinjaman!$X$6:$X$1744,$C272,Pinjaman!$V$6:$V$1744,"&lt;46")</f>
        <v>0</v>
      </c>
      <c r="E272" s="23">
        <f>COUNTIFS(Pinjaman!$W$6:$W$1744,E$222,Pinjaman!$X$6:$X$1744,$C272,Pinjaman!$V$6:$V$1744,"&lt;=60")-COUNTIFS(Pinjaman!$W$6:$W$1744,E$222,Pinjaman!$X$6:$X$1744,$C272,Pinjaman!$V$6:$V$1744,"&lt;46")</f>
        <v>1</v>
      </c>
      <c r="F272" s="23">
        <f>COUNTIFS(Pinjaman!$W$6:$W$1744,F$222,Pinjaman!$X$6:$X$1744,$C272,Pinjaman!$V$6:$V$1744,"&lt;=60")-COUNTIFS(Pinjaman!$W$6:$W$1744,F$222,Pinjaman!$X$6:$X$1744,$C272,Pinjaman!$V$6:$V$1744,"&lt;46")</f>
        <v>1</v>
      </c>
      <c r="G272" s="23">
        <f>COUNTIFS(Pinjaman!$W$6:$W$1744,G$222,Pinjaman!$X$6:$X$1744,$C272,Pinjaman!$V$6:$V$1744,"&lt;=60")-COUNTIFS(Pinjaman!$W$6:$W$1744,G$222,Pinjaman!$X$6:$X$1744,$C272,Pinjaman!$V$6:$V$1744,"&lt;46")</f>
        <v>0</v>
      </c>
      <c r="H272" s="23">
        <f>COUNTIFS(Pinjaman!$W$6:$W$1744,H$222,Pinjaman!$X$6:$X$1744,$C272,Pinjaman!$V$6:$V$1744,"&lt;=60")-COUNTIFS(Pinjaman!$W$6:$W$1744,H$222,Pinjaman!$X$6:$X$1744,$C272,Pinjaman!$V$6:$V$1744,"&lt;46")</f>
        <v>1</v>
      </c>
      <c r="I272" s="23">
        <f>COUNTIFS(Pinjaman!$W$6:$W$1744,0,Pinjaman!$X$6:$X$1744,$C272,Pinjaman!$V$6:$V$1744,"&lt;=60")-COUNTIFS(Pinjaman!$W$6:$W$1744,0,Pinjaman!$X$6:$X$1744,$C272,Pinjaman!$V$6:$V$1744,"&lt;46")</f>
        <v>0</v>
      </c>
    </row>
    <row r="273" spans="2:11" x14ac:dyDescent="0.3">
      <c r="B273" s="320"/>
      <c r="C273" s="67" t="s">
        <v>12065</v>
      </c>
      <c r="D273" s="23">
        <f>COUNTIFS(Pinjaman!$W$6:$W$1744,D$222,Pinjaman!$X$6:$X$1744,$C273,Pinjaman!$V$6:$V$1744,"&lt;=60")-COUNTIFS(Pinjaman!$W$6:$W$1744,D$222,Pinjaman!$X$6:$X$1744,$C273,Pinjaman!$V$6:$V$1744,"&lt;46")</f>
        <v>0</v>
      </c>
      <c r="E273" s="23">
        <f>COUNTIFS(Pinjaman!$W$6:$W$1744,E$222,Pinjaman!$X$6:$X$1744,$C273,Pinjaman!$V$6:$V$1744,"&lt;=60")-COUNTIFS(Pinjaman!$W$6:$W$1744,E$222,Pinjaman!$X$6:$X$1744,$C273,Pinjaman!$V$6:$V$1744,"&lt;46")</f>
        <v>0</v>
      </c>
      <c r="F273" s="23">
        <f>COUNTIFS(Pinjaman!$W$6:$W$1744,F$222,Pinjaman!$X$6:$X$1744,$C273,Pinjaman!$V$6:$V$1744,"&lt;=60")-COUNTIFS(Pinjaman!$W$6:$W$1744,F$222,Pinjaman!$X$6:$X$1744,$C273,Pinjaman!$V$6:$V$1744,"&lt;46")</f>
        <v>3</v>
      </c>
      <c r="G273" s="23">
        <f>COUNTIFS(Pinjaman!$W$6:$W$1744,G$222,Pinjaman!$X$6:$X$1744,$C273,Pinjaman!$V$6:$V$1744,"&lt;=60")-COUNTIFS(Pinjaman!$W$6:$W$1744,G$222,Pinjaman!$X$6:$X$1744,$C273,Pinjaman!$V$6:$V$1744,"&lt;46")</f>
        <v>2</v>
      </c>
      <c r="H273" s="23">
        <f>COUNTIFS(Pinjaman!$W$6:$W$1744,H$222,Pinjaman!$X$6:$X$1744,$C273,Pinjaman!$V$6:$V$1744,"&lt;=60")-COUNTIFS(Pinjaman!$W$6:$W$1744,H$222,Pinjaman!$X$6:$X$1744,$C273,Pinjaman!$V$6:$V$1744,"&lt;46")</f>
        <v>1</v>
      </c>
      <c r="I273" s="23">
        <f>COUNTIFS(Pinjaman!$W$6:$W$1744,0,Pinjaman!$X$6:$X$1744,$C273,Pinjaman!$V$6:$V$1744,"&lt;=60")-COUNTIFS(Pinjaman!$W$6:$W$1744,0,Pinjaman!$X$6:$X$1744,$C273,Pinjaman!$V$6:$V$1744,"&lt;46")</f>
        <v>1</v>
      </c>
    </row>
    <row r="274" spans="2:11" x14ac:dyDescent="0.3">
      <c r="B274" s="320"/>
      <c r="C274" s="67" t="s">
        <v>12074</v>
      </c>
      <c r="D274" s="23">
        <f>COUNTIFS(Pinjaman!$W$6:$W$1744,D$222,Pinjaman!$X$6:$X$1744,$C274,Pinjaman!$V$6:$V$1744,"&lt;=60")-COUNTIFS(Pinjaman!$W$6:$W$1744,D$222,Pinjaman!$X$6:$X$1744,$C274,Pinjaman!$V$6:$V$1744,"&lt;46")</f>
        <v>0</v>
      </c>
      <c r="E274" s="23">
        <f>COUNTIFS(Pinjaman!$W$6:$W$1744,E$222,Pinjaman!$X$6:$X$1744,$C274,Pinjaman!$V$6:$V$1744,"&lt;=60")-COUNTIFS(Pinjaman!$W$6:$W$1744,E$222,Pinjaman!$X$6:$X$1744,$C274,Pinjaman!$V$6:$V$1744,"&lt;46")</f>
        <v>1</v>
      </c>
      <c r="F274" s="23">
        <f>COUNTIFS(Pinjaman!$W$6:$W$1744,F$222,Pinjaman!$X$6:$X$1744,$C274,Pinjaman!$V$6:$V$1744,"&lt;=60")-COUNTIFS(Pinjaman!$W$6:$W$1744,F$222,Pinjaman!$X$6:$X$1744,$C274,Pinjaman!$V$6:$V$1744,"&lt;46")</f>
        <v>1</v>
      </c>
      <c r="G274" s="23">
        <f>COUNTIFS(Pinjaman!$W$6:$W$1744,G$222,Pinjaman!$X$6:$X$1744,$C274,Pinjaman!$V$6:$V$1744,"&lt;=60")-COUNTIFS(Pinjaman!$W$6:$W$1744,G$222,Pinjaman!$X$6:$X$1744,$C274,Pinjaman!$V$6:$V$1744,"&lt;46")</f>
        <v>1</v>
      </c>
      <c r="H274" s="23">
        <f>COUNTIFS(Pinjaman!$W$6:$W$1744,H$222,Pinjaman!$X$6:$X$1744,$C274,Pinjaman!$V$6:$V$1744,"&lt;=60")-COUNTIFS(Pinjaman!$W$6:$W$1744,H$222,Pinjaman!$X$6:$X$1744,$C274,Pinjaman!$V$6:$V$1744,"&lt;46")</f>
        <v>7</v>
      </c>
      <c r="I274" s="23">
        <f>COUNTIFS(Pinjaman!$W$6:$W$1744,0,Pinjaman!$X$6:$X$1744,$C274,Pinjaman!$V$6:$V$1744,"&lt;=60")-COUNTIFS(Pinjaman!$W$6:$W$1744,0,Pinjaman!$X$6:$X$1744,$C274,Pinjaman!$V$6:$V$1744,"&lt;46")</f>
        <v>1</v>
      </c>
    </row>
    <row r="275" spans="2:11" x14ac:dyDescent="0.3">
      <c r="B275" s="320"/>
      <c r="C275" s="67" t="s">
        <v>13</v>
      </c>
      <c r="D275" s="23">
        <f>COUNTIFS(Pinjaman!$W$6:$W$1744,D$222,Pinjaman!$X$6:$X$1744,$C275,Pinjaman!$V$6:$V$1744,"&lt;=60")-COUNTIFS(Pinjaman!$W$6:$W$1744,D$222,Pinjaman!$X$6:$X$1744,$C275,Pinjaman!$V$6:$V$1744,"&lt;46")</f>
        <v>0</v>
      </c>
      <c r="E275" s="23">
        <f>COUNTIFS(Pinjaman!$W$6:$W$1744,E$222,Pinjaman!$X$6:$X$1744,$C275,Pinjaman!$V$6:$V$1744,"&lt;=60")-COUNTIFS(Pinjaman!$W$6:$W$1744,E$222,Pinjaman!$X$6:$X$1744,$C275,Pinjaman!$V$6:$V$1744,"&lt;46")</f>
        <v>2</v>
      </c>
      <c r="F275" s="23">
        <f>COUNTIFS(Pinjaman!$W$6:$W$1744,F$222,Pinjaman!$X$6:$X$1744,$C275,Pinjaman!$V$6:$V$1744,"&lt;=60")-COUNTIFS(Pinjaman!$W$6:$W$1744,F$222,Pinjaman!$X$6:$X$1744,$C275,Pinjaman!$V$6:$V$1744,"&lt;46")</f>
        <v>2</v>
      </c>
      <c r="G275" s="23">
        <f>COUNTIFS(Pinjaman!$W$6:$W$1744,G$222,Pinjaman!$X$6:$X$1744,$C275,Pinjaman!$V$6:$V$1744,"&lt;=60")-COUNTIFS(Pinjaman!$W$6:$W$1744,G$222,Pinjaman!$X$6:$X$1744,$C275,Pinjaman!$V$6:$V$1744,"&lt;46")</f>
        <v>1</v>
      </c>
      <c r="H275" s="23">
        <f>COUNTIFS(Pinjaman!$W$6:$W$1744,H$222,Pinjaman!$X$6:$X$1744,$C275,Pinjaman!$V$6:$V$1744,"&lt;=60")-COUNTIFS(Pinjaman!$W$6:$W$1744,H$222,Pinjaman!$X$6:$X$1744,$C275,Pinjaman!$V$6:$V$1744,"&lt;46")</f>
        <v>3</v>
      </c>
      <c r="I275" s="23">
        <f>COUNTIFS(Pinjaman!$W$6:$W$1744,0,Pinjaman!$X$6:$X$1744,$C275,Pinjaman!$V$6:$V$1744,"&lt;=60")-COUNTIFS(Pinjaman!$W$6:$W$1744,0,Pinjaman!$X$6:$X$1744,$C275,Pinjaman!$V$6:$V$1744,"&lt;46")</f>
        <v>0</v>
      </c>
    </row>
    <row r="276" spans="2:11" x14ac:dyDescent="0.3">
      <c r="B276" s="320"/>
      <c r="C276" s="67" t="s">
        <v>243</v>
      </c>
      <c r="D276" s="23">
        <f>COUNTIFS(Pinjaman!$W$6:$W$1744,D$222,Pinjaman!$X$6:$X$1744,$C276,Pinjaman!$V$6:$V$1744,"&lt;=60")-COUNTIFS(Pinjaman!$W$6:$W$1744,D$222,Pinjaman!$X$6:$X$1744,$C276,Pinjaman!$V$6:$V$1744,"&lt;46")</f>
        <v>0</v>
      </c>
      <c r="E276" s="23">
        <f>COUNTIFS(Pinjaman!$W$6:$W$1744,E$222,Pinjaman!$X$6:$X$1744,$C276,Pinjaman!$V$6:$V$1744,"&lt;=60")-COUNTIFS(Pinjaman!$W$6:$W$1744,E$222,Pinjaman!$X$6:$X$1744,$C276,Pinjaman!$V$6:$V$1744,"&lt;46")</f>
        <v>1</v>
      </c>
      <c r="F276" s="23">
        <f>COUNTIFS(Pinjaman!$W$6:$W$1744,F$222,Pinjaman!$X$6:$X$1744,$C276,Pinjaman!$V$6:$V$1744,"&lt;=60")-COUNTIFS(Pinjaman!$W$6:$W$1744,F$222,Pinjaman!$X$6:$X$1744,$C276,Pinjaman!$V$6:$V$1744,"&lt;46")</f>
        <v>0</v>
      </c>
      <c r="G276" s="23">
        <f>COUNTIFS(Pinjaman!$W$6:$W$1744,G$222,Pinjaman!$X$6:$X$1744,$C276,Pinjaman!$V$6:$V$1744,"&lt;=60")-COUNTIFS(Pinjaman!$W$6:$W$1744,G$222,Pinjaman!$X$6:$X$1744,$C276,Pinjaman!$V$6:$V$1744,"&lt;46")</f>
        <v>2</v>
      </c>
      <c r="H276" s="23">
        <f>COUNTIFS(Pinjaman!$W$6:$W$1744,H$222,Pinjaman!$X$6:$X$1744,$C276,Pinjaman!$V$6:$V$1744,"&lt;=60")-COUNTIFS(Pinjaman!$W$6:$W$1744,H$222,Pinjaman!$X$6:$X$1744,$C276,Pinjaman!$V$6:$V$1744,"&lt;46")</f>
        <v>2</v>
      </c>
      <c r="I276" s="23">
        <f>COUNTIFS(Pinjaman!$W$6:$W$1744,0,Pinjaman!$X$6:$X$1744,$C276,Pinjaman!$V$6:$V$1744,"&lt;=60")-COUNTIFS(Pinjaman!$W$6:$W$1744,0,Pinjaman!$X$6:$X$1744,$C276,Pinjaman!$V$6:$V$1744,"&lt;46")</f>
        <v>0</v>
      </c>
      <c r="K276" s="150"/>
    </row>
    <row r="277" spans="2:11" x14ac:dyDescent="0.3">
      <c r="B277" s="320"/>
      <c r="C277" s="67" t="s">
        <v>12075</v>
      </c>
      <c r="D277" s="23">
        <f>COUNTIFS(Pinjaman!$W$6:$W$1744,D$222,Pinjaman!$X$6:$X$1744,$C277,Pinjaman!$V$6:$V$1744,"&lt;=60")-COUNTIFS(Pinjaman!$W$6:$W$1744,D$222,Pinjaman!$X$6:$X$1744,$C277,Pinjaman!$V$6:$V$1744,"&lt;46")</f>
        <v>1</v>
      </c>
      <c r="E277" s="23">
        <f>COUNTIFS(Pinjaman!$W$6:$W$1744,E$222,Pinjaman!$X$6:$X$1744,$C277,Pinjaman!$V$6:$V$1744,"&lt;=60")-COUNTIFS(Pinjaman!$W$6:$W$1744,E$222,Pinjaman!$X$6:$X$1744,$C277,Pinjaman!$V$6:$V$1744,"&lt;46")</f>
        <v>8</v>
      </c>
      <c r="F277" s="23">
        <f>COUNTIFS(Pinjaman!$W$6:$W$1744,F$222,Pinjaman!$X$6:$X$1744,$C277,Pinjaman!$V$6:$V$1744,"&lt;=60")-COUNTIFS(Pinjaman!$W$6:$W$1744,F$222,Pinjaman!$X$6:$X$1744,$C277,Pinjaman!$V$6:$V$1744,"&lt;46")</f>
        <v>14</v>
      </c>
      <c r="G277" s="23">
        <f>COUNTIFS(Pinjaman!$W$6:$W$1744,G$222,Pinjaman!$X$6:$X$1744,$C277,Pinjaman!$V$6:$V$1744,"&lt;=60")-COUNTIFS(Pinjaman!$W$6:$W$1744,G$222,Pinjaman!$X$6:$X$1744,$C277,Pinjaman!$V$6:$V$1744,"&lt;46")</f>
        <v>12</v>
      </c>
      <c r="H277" s="23">
        <f>COUNTIFS(Pinjaman!$W$6:$W$1744,H$222,Pinjaman!$X$6:$X$1744,$C277,Pinjaman!$V$6:$V$1744,"&lt;=60")-COUNTIFS(Pinjaman!$W$6:$W$1744,H$222,Pinjaman!$X$6:$X$1744,$C277,Pinjaman!$V$6:$V$1744,"&lt;46")</f>
        <v>12</v>
      </c>
      <c r="I277" s="23">
        <f>COUNTIFS(Pinjaman!$W$6:$W$1744,0,Pinjaman!$X$6:$X$1744,$C277,Pinjaman!$V$6:$V$1744,"&lt;=60")-COUNTIFS(Pinjaman!$W$6:$W$1744,0,Pinjaman!$X$6:$X$1744,$C277,Pinjaman!$V$6:$V$1744,"&lt;46")</f>
        <v>1</v>
      </c>
      <c r="K277" s="150"/>
    </row>
    <row r="278" spans="2:11" x14ac:dyDescent="0.3">
      <c r="B278" s="320"/>
      <c r="C278" s="67" t="s">
        <v>12076</v>
      </c>
      <c r="D278" s="23">
        <f>COUNTIFS(Pinjaman!$W$6:$W$1744,D$222,Pinjaman!$X$6:$X$1744,0,Pinjaman!$V$6:$V$1744,"&lt;=60")-COUNTIFS(Pinjaman!$W$6:$W$1744,D$222,Pinjaman!$X$6:$X$1744,0,Pinjaman!$V$6:$V$1744,"&lt;46")</f>
        <v>0</v>
      </c>
      <c r="E278" s="23">
        <f>COUNTIFS(Pinjaman!$W$6:$W$1744,E$222,Pinjaman!$X$6:$X$1744,0,Pinjaman!$V$6:$V$1744,"&lt;=60")-COUNTIFS(Pinjaman!$W$6:$W$1744,E$222,Pinjaman!$X$6:$X$1744,0,Pinjaman!$V$6:$V$1744,"&lt;46")</f>
        <v>0</v>
      </c>
      <c r="F278" s="23">
        <f>COUNTIFS(Pinjaman!$W$6:$W$1744,F$222,Pinjaman!$X$6:$X$1744,0,Pinjaman!$V$6:$V$1744,"&lt;=60")-COUNTIFS(Pinjaman!$W$6:$W$1744,F$222,Pinjaman!$X$6:$X$1744,0,Pinjaman!$V$6:$V$1744,"&lt;46")</f>
        <v>1</v>
      </c>
      <c r="G278" s="23">
        <f>COUNTIFS(Pinjaman!$W$6:$W$1744,G$222,Pinjaman!$X$6:$X$1744,0,Pinjaman!$V$6:$V$1744,"&lt;=60")-COUNTIFS(Pinjaman!$W$6:$W$1744,G$222,Pinjaman!$X$6:$X$1744,0,Pinjaman!$V$6:$V$1744,"&lt;46")</f>
        <v>0</v>
      </c>
      <c r="H278" s="23">
        <f>COUNTIFS(Pinjaman!$W$6:$W$1744,H$222,Pinjaman!$X$6:$X$1744,0,Pinjaman!$V$6:$V$1744,"&lt;=60")-COUNTIFS(Pinjaman!$W$6:$W$1744,H$222,Pinjaman!$X$6:$X$1744,0,Pinjaman!$V$6:$V$1744,"&lt;46")</f>
        <v>2</v>
      </c>
      <c r="I278" s="23">
        <f>COUNTIFS(Pinjaman!$W$6:$W$1744,0,Pinjaman!$X$6:$X$1744,0,Pinjaman!$V$6:$V$1744,"&lt;=60")-COUNTIFS(Pinjaman!$W$6:$W$1744,0,Pinjaman!$X$6:$X$1744,0,Pinjaman!$V$6:$V$1744,"&lt;46")</f>
        <v>1</v>
      </c>
    </row>
    <row r="279" spans="2:11" x14ac:dyDescent="0.3">
      <c r="B279" s="320" t="s">
        <v>12080</v>
      </c>
      <c r="C279" s="67" t="s">
        <v>46</v>
      </c>
      <c r="D279" s="23">
        <f>COUNTIFS(Pinjaman!$W$6:$W$1744,D$222,Pinjaman!$X$6:$X$1744,$C279,Pinjaman!$V$6:$V$1744,"&gt;60")</f>
        <v>1</v>
      </c>
      <c r="E279" s="23">
        <f>COUNTIFS(Pinjaman!$W$6:$W$1744,E$222,Pinjaman!$X$6:$X$1744,$C279,Pinjaman!$V$6:$V$1744,"&gt;60")</f>
        <v>5</v>
      </c>
      <c r="F279" s="23">
        <f>COUNTIFS(Pinjaman!$W$6:$W$1744,F$222,Pinjaman!$X$6:$X$1744,$C279,Pinjaman!$V$6:$V$1744,"&gt;60")</f>
        <v>10</v>
      </c>
      <c r="G279" s="23">
        <f>COUNTIFS(Pinjaman!$W$6:$W$1744,G$222,Pinjaman!$X$6:$X$1744,$C279,Pinjaman!$V$6:$V$1744,"&gt;60")</f>
        <v>2</v>
      </c>
      <c r="H279" s="53">
        <f>COUNTIFS(Pinjaman!$W$6:$W$1744,H$222,Pinjaman!$X$6:$X$1744,$C279,Pinjaman!$V$6:$V$1744,"&gt;60")</f>
        <v>32</v>
      </c>
      <c r="I279" s="23">
        <f>COUNTIFS(Pinjaman!$W$6:$W$1744,0,Pinjaman!$X$6:$X$1744,$C279,Pinjaman!$V$6:$V$1744,"&gt;60")</f>
        <v>7</v>
      </c>
    </row>
    <row r="280" spans="2:11" x14ac:dyDescent="0.3">
      <c r="B280" s="320"/>
      <c r="C280" s="67" t="s">
        <v>9788</v>
      </c>
      <c r="D280" s="23">
        <f>COUNTIFS(Pinjaman!$W$6:$W$1744,D$222,Pinjaman!$X$6:$X$1744,$C280,Pinjaman!$V$6:$V$1744,"&gt;60")</f>
        <v>0</v>
      </c>
      <c r="E280" s="23">
        <f>COUNTIFS(Pinjaman!$W$6:$W$1744,E$222,Pinjaman!$X$6:$X$1744,$C280,Pinjaman!$V$6:$V$1744,"&gt;60")</f>
        <v>3</v>
      </c>
      <c r="F280" s="23">
        <f>COUNTIFS(Pinjaman!$W$6:$W$1744,F$222,Pinjaman!$X$6:$X$1744,$C280,Pinjaman!$V$6:$V$1744,"&gt;60")</f>
        <v>3</v>
      </c>
      <c r="G280" s="23">
        <f>COUNTIFS(Pinjaman!$W$6:$W$1744,G$222,Pinjaman!$X$6:$X$1744,$C280,Pinjaman!$V$6:$V$1744,"&gt;60")</f>
        <v>2</v>
      </c>
      <c r="H280" s="23">
        <f>COUNTIFS(Pinjaman!$W$6:$W$1744,H$222,Pinjaman!$X$6:$X$1744,$C280,Pinjaman!$V$6:$V$1744,"&gt;60")</f>
        <v>4</v>
      </c>
      <c r="I280" s="23">
        <f>COUNTIFS(Pinjaman!$W$6:$W$1744,0,Pinjaman!$X$6:$X$1744,$C280,Pinjaman!$V$6:$V$1744,"&gt;60")</f>
        <v>1</v>
      </c>
    </row>
    <row r="281" spans="2:11" x14ac:dyDescent="0.3">
      <c r="B281" s="320"/>
      <c r="C281" s="67" t="s">
        <v>9785</v>
      </c>
      <c r="D281" s="23">
        <f>COUNTIFS(Pinjaman!$W$6:$W$1744,D$222,Pinjaman!$X$6:$X$1744,$C281,Pinjaman!$V$6:$V$1744,"&gt;60")</f>
        <v>0</v>
      </c>
      <c r="E281" s="23">
        <f>COUNTIFS(Pinjaman!$W$6:$W$1744,E$222,Pinjaman!$X$6:$X$1744,$C281,Pinjaman!$V$6:$V$1744,"&gt;60")</f>
        <v>1</v>
      </c>
      <c r="F281" s="23">
        <f>COUNTIFS(Pinjaman!$W$6:$W$1744,F$222,Pinjaman!$X$6:$X$1744,$C281,Pinjaman!$V$6:$V$1744,"&gt;60")</f>
        <v>1</v>
      </c>
      <c r="G281" s="23">
        <f>COUNTIFS(Pinjaman!$W$6:$W$1744,G$222,Pinjaman!$X$6:$X$1744,$C281,Pinjaman!$V$6:$V$1744,"&gt;60")</f>
        <v>1</v>
      </c>
      <c r="H281" s="23">
        <f>COUNTIFS(Pinjaman!$W$6:$W$1744,H$222,Pinjaman!$X$6:$X$1744,$C281,Pinjaman!$V$6:$V$1744,"&gt;60")</f>
        <v>1</v>
      </c>
      <c r="I281" s="23">
        <f>COUNTIFS(Pinjaman!$W$6:$W$1744,0,Pinjaman!$X$6:$X$1744,$C281,Pinjaman!$V$6:$V$1744,"&gt;60")</f>
        <v>1</v>
      </c>
    </row>
    <row r="282" spans="2:11" x14ac:dyDescent="0.3">
      <c r="B282" s="320"/>
      <c r="C282" s="67" t="s">
        <v>12099</v>
      </c>
      <c r="D282" s="23">
        <f>COUNTIFS(Pinjaman!$W$6:$W$1744,D$222,Pinjaman!$X$6:$X$1744,$C282,Pinjaman!$V$6:$V$1744,"&gt;60")</f>
        <v>0</v>
      </c>
      <c r="E282" s="23">
        <f>COUNTIFS(Pinjaman!$W$6:$W$1744,E$222,Pinjaman!$X$6:$X$1744,$C282,Pinjaman!$V$6:$V$1744,"&gt;60")</f>
        <v>3</v>
      </c>
      <c r="F282" s="23">
        <f>COUNTIFS(Pinjaman!$W$6:$W$1744,F$222,Pinjaman!$X$6:$X$1744,$C282,Pinjaman!$V$6:$V$1744,"&gt;60")</f>
        <v>1</v>
      </c>
      <c r="G282" s="23">
        <f>COUNTIFS(Pinjaman!$W$6:$W$1744,G$222,Pinjaman!$X$6:$X$1744,$C282,Pinjaman!$V$6:$V$1744,"&gt;60")</f>
        <v>0</v>
      </c>
      <c r="H282" s="23">
        <f>COUNTIFS(Pinjaman!$W$6:$W$1744,H$222,Pinjaman!$X$6:$X$1744,$C282,Pinjaman!$V$6:$V$1744,"&gt;60")</f>
        <v>3</v>
      </c>
      <c r="I282" s="23">
        <f>COUNTIFS(Pinjaman!$W$6:$W$1744,0,Pinjaman!$X$6:$X$1744,$C282,Pinjaman!$V$6:$V$1744,"&gt;60")</f>
        <v>0</v>
      </c>
    </row>
    <row r="283" spans="2:11" x14ac:dyDescent="0.3">
      <c r="B283" s="320"/>
      <c r="C283" s="67" t="s">
        <v>337</v>
      </c>
      <c r="D283" s="23">
        <f>COUNTIFS(Pinjaman!$W$6:$W$1744,D$222,Pinjaman!$X$6:$X$1744,$C283,Pinjaman!$V$6:$V$1744,"&gt;60")</f>
        <v>0</v>
      </c>
      <c r="E283" s="23">
        <f>COUNTIFS(Pinjaman!$W$6:$W$1744,E$222,Pinjaman!$X$6:$X$1744,$C283,Pinjaman!$V$6:$V$1744,"&gt;60")</f>
        <v>0</v>
      </c>
      <c r="F283" s="23">
        <f>COUNTIFS(Pinjaman!$W$6:$W$1744,F$222,Pinjaman!$X$6:$X$1744,$C283,Pinjaman!$V$6:$V$1744,"&gt;60")</f>
        <v>0</v>
      </c>
      <c r="G283" s="23">
        <f>COUNTIFS(Pinjaman!$W$6:$W$1744,G$222,Pinjaman!$X$6:$X$1744,$C283,Pinjaman!$V$6:$V$1744,"&gt;60")</f>
        <v>0</v>
      </c>
      <c r="H283" s="23">
        <f>COUNTIFS(Pinjaman!$W$6:$W$1744,H$222,Pinjaman!$X$6:$X$1744,$C283,Pinjaman!$V$6:$V$1744,"&gt;60")</f>
        <v>0</v>
      </c>
      <c r="I283" s="23">
        <f>COUNTIFS(Pinjaman!$W$6:$W$1744,0,Pinjaman!$X$6:$X$1744,$C283,Pinjaman!$V$6:$V$1744,"&gt;60")</f>
        <v>0</v>
      </c>
    </row>
    <row r="284" spans="2:11" x14ac:dyDescent="0.3">
      <c r="B284" s="320"/>
      <c r="C284" s="67" t="s">
        <v>9791</v>
      </c>
      <c r="D284" s="23">
        <f>COUNTIFS(Pinjaman!$W$6:$W$1744,D$222,Pinjaman!$X$6:$X$1744,$C284,Pinjaman!$V$6:$V$1744,"&gt;60")</f>
        <v>0</v>
      </c>
      <c r="E284" s="23">
        <f>COUNTIFS(Pinjaman!$W$6:$W$1744,E$222,Pinjaman!$X$6:$X$1744,$C284,Pinjaman!$V$6:$V$1744,"&gt;60")</f>
        <v>0</v>
      </c>
      <c r="F284" s="23">
        <f>COUNTIFS(Pinjaman!$W$6:$W$1744,F$222,Pinjaman!$X$6:$X$1744,$C284,Pinjaman!$V$6:$V$1744,"&gt;60")</f>
        <v>0</v>
      </c>
      <c r="G284" s="23">
        <f>COUNTIFS(Pinjaman!$W$6:$W$1744,G$222,Pinjaman!$X$6:$X$1744,$C284,Pinjaman!$V$6:$V$1744,"&gt;60")</f>
        <v>0</v>
      </c>
      <c r="H284" s="23">
        <f>COUNTIFS(Pinjaman!$W$6:$W$1744,H$222,Pinjaman!$X$6:$X$1744,$C284,Pinjaman!$V$6:$V$1744,"&gt;60")</f>
        <v>1</v>
      </c>
      <c r="I284" s="23">
        <f>COUNTIFS(Pinjaman!$W$6:$W$1744,0,Pinjaman!$X$6:$X$1744,$C284,Pinjaman!$V$6:$V$1744,"&gt;60")</f>
        <v>0</v>
      </c>
    </row>
    <row r="285" spans="2:11" x14ac:dyDescent="0.3">
      <c r="B285" s="320"/>
      <c r="C285" s="67" t="s">
        <v>31</v>
      </c>
      <c r="D285" s="23">
        <f>COUNTIFS(Pinjaman!$W$6:$W$1744,D$222,Pinjaman!$X$6:$X$1744,$C285,Pinjaman!$V$6:$V$1744,"&gt;60")</f>
        <v>0</v>
      </c>
      <c r="E285" s="23">
        <f>COUNTIFS(Pinjaman!$W$6:$W$1744,E$222,Pinjaman!$X$6:$X$1744,$C285,Pinjaman!$V$6:$V$1744,"&gt;60")</f>
        <v>7</v>
      </c>
      <c r="F285" s="23">
        <f>COUNTIFS(Pinjaman!$W$6:$W$1744,F$222,Pinjaman!$X$6:$X$1744,$C285,Pinjaman!$V$6:$V$1744,"&gt;60")</f>
        <v>8</v>
      </c>
      <c r="G285" s="23">
        <f>COUNTIFS(Pinjaman!$W$6:$W$1744,G$222,Pinjaman!$X$6:$X$1744,$C285,Pinjaman!$V$6:$V$1744,"&gt;60")</f>
        <v>1</v>
      </c>
      <c r="H285" s="23">
        <f>COUNTIFS(Pinjaman!$W$6:$W$1744,H$222,Pinjaman!$X$6:$X$1744,$C285,Pinjaman!$V$6:$V$1744,"&gt;60")</f>
        <v>9</v>
      </c>
      <c r="I285" s="23">
        <f>COUNTIFS(Pinjaman!$W$6:$W$1744,0,Pinjaman!$X$6:$X$1744,$C285,Pinjaman!$V$6:$V$1744,"&gt;60")</f>
        <v>0</v>
      </c>
    </row>
    <row r="286" spans="2:11" x14ac:dyDescent="0.3">
      <c r="B286" s="320"/>
      <c r="C286" s="67" t="s">
        <v>9787</v>
      </c>
      <c r="D286" s="23">
        <f>COUNTIFS(Pinjaman!$W$6:$W$1744,D$222,Pinjaman!$X$6:$X$1744,$C286,Pinjaman!$V$6:$V$1744,"&gt;60")</f>
        <v>0</v>
      </c>
      <c r="E286" s="23">
        <f>COUNTIFS(Pinjaman!$W$6:$W$1744,E$222,Pinjaman!$X$6:$X$1744,$C286,Pinjaman!$V$6:$V$1744,"&gt;60")</f>
        <v>0</v>
      </c>
      <c r="F286" s="23">
        <f>COUNTIFS(Pinjaman!$W$6:$W$1744,F$222,Pinjaman!$X$6:$X$1744,$C286,Pinjaman!$V$6:$V$1744,"&gt;60")</f>
        <v>0</v>
      </c>
      <c r="G286" s="23">
        <f>COUNTIFS(Pinjaman!$W$6:$W$1744,G$222,Pinjaman!$X$6:$X$1744,$C286,Pinjaman!$V$6:$V$1744,"&gt;60")</f>
        <v>0</v>
      </c>
      <c r="H286" s="23">
        <f>COUNTIFS(Pinjaman!$W$6:$W$1744,H$222,Pinjaman!$X$6:$X$1744,$C286,Pinjaman!$V$6:$V$1744,"&gt;60")</f>
        <v>0</v>
      </c>
      <c r="I286" s="23">
        <f>COUNTIFS(Pinjaman!$W$6:$W$1744,0,Pinjaman!$X$6:$X$1744,$C286,Pinjaman!$V$6:$V$1744,"&gt;60")</f>
        <v>0</v>
      </c>
    </row>
    <row r="287" spans="2:11" x14ac:dyDescent="0.3">
      <c r="B287" s="320"/>
      <c r="C287" s="67" t="s">
        <v>12065</v>
      </c>
      <c r="D287" s="23">
        <f>COUNTIFS(Pinjaman!$W$6:$W$1744,D$222,Pinjaman!$X$6:$X$1744,$C287,Pinjaman!$V$6:$V$1744,"&gt;60")</f>
        <v>0</v>
      </c>
      <c r="E287" s="23">
        <f>COUNTIFS(Pinjaman!$W$6:$W$1744,E$222,Pinjaman!$X$6:$X$1744,$C287,Pinjaman!$V$6:$V$1744,"&gt;60")</f>
        <v>0</v>
      </c>
      <c r="F287" s="23">
        <f>COUNTIFS(Pinjaman!$W$6:$W$1744,F$222,Pinjaman!$X$6:$X$1744,$C287,Pinjaman!$V$6:$V$1744,"&gt;60")</f>
        <v>0</v>
      </c>
      <c r="G287" s="23">
        <f>COUNTIFS(Pinjaman!$W$6:$W$1744,G$222,Pinjaman!$X$6:$X$1744,$C287,Pinjaman!$V$6:$V$1744,"&gt;60")</f>
        <v>0</v>
      </c>
      <c r="H287" s="23">
        <f>COUNTIFS(Pinjaman!$W$6:$W$1744,H$222,Pinjaman!$X$6:$X$1744,$C287,Pinjaman!$V$6:$V$1744,"&gt;60")</f>
        <v>1</v>
      </c>
      <c r="I287" s="23">
        <f>COUNTIFS(Pinjaman!$W$6:$W$1744,0,Pinjaman!$X$6:$X$1744,$C287,Pinjaman!$V$6:$V$1744,"&gt;60")</f>
        <v>0</v>
      </c>
    </row>
    <row r="288" spans="2:11" x14ac:dyDescent="0.3">
      <c r="B288" s="320"/>
      <c r="C288" s="67" t="s">
        <v>12074</v>
      </c>
      <c r="D288" s="23">
        <f>COUNTIFS(Pinjaman!$W$6:$W$1744,D$222,Pinjaman!$X$6:$X$1744,$C288,Pinjaman!$V$6:$V$1744,"&gt;60")</f>
        <v>0</v>
      </c>
      <c r="E288" s="23">
        <f>COUNTIFS(Pinjaman!$W$6:$W$1744,E$222,Pinjaman!$X$6:$X$1744,$C288,Pinjaman!$V$6:$V$1744,"&gt;60")</f>
        <v>1</v>
      </c>
      <c r="F288" s="23">
        <f>COUNTIFS(Pinjaman!$W$6:$W$1744,F$222,Pinjaman!$X$6:$X$1744,$C288,Pinjaman!$V$6:$V$1744,"&gt;60")</f>
        <v>0</v>
      </c>
      <c r="G288" s="23">
        <f>COUNTIFS(Pinjaman!$W$6:$W$1744,G$222,Pinjaman!$X$6:$X$1744,$C288,Pinjaman!$V$6:$V$1744,"&gt;60")</f>
        <v>0</v>
      </c>
      <c r="H288" s="23">
        <f>COUNTIFS(Pinjaman!$W$6:$W$1744,H$222,Pinjaman!$X$6:$X$1744,$C288,Pinjaman!$V$6:$V$1744,"&gt;60")</f>
        <v>3</v>
      </c>
      <c r="I288" s="23">
        <f>COUNTIFS(Pinjaman!$W$6:$W$1744,0,Pinjaman!$X$6:$X$1744,$C288,Pinjaman!$V$6:$V$1744,"&gt;60")</f>
        <v>1</v>
      </c>
    </row>
    <row r="289" spans="1:41" x14ac:dyDescent="0.3">
      <c r="B289" s="320"/>
      <c r="C289" s="67" t="s">
        <v>13</v>
      </c>
      <c r="D289" s="23">
        <f>COUNTIFS(Pinjaman!$W$6:$W$1744,D$222,Pinjaman!$X$6:$X$1744,$C289,Pinjaman!$V$6:$V$1744,"&gt;60")</f>
        <v>3</v>
      </c>
      <c r="E289" s="23">
        <f>COUNTIFS(Pinjaman!$W$6:$W$1744,E$222,Pinjaman!$X$6:$X$1744,$C289,Pinjaman!$V$6:$V$1744,"&gt;60")</f>
        <v>8</v>
      </c>
      <c r="F289" s="23">
        <f>COUNTIFS(Pinjaman!$W$6:$W$1744,F$222,Pinjaman!$X$6:$X$1744,$C289,Pinjaman!$V$6:$V$1744,"&gt;60")</f>
        <v>21</v>
      </c>
      <c r="G289" s="23">
        <f>COUNTIFS(Pinjaman!$W$6:$W$1744,G$222,Pinjaman!$X$6:$X$1744,$C289,Pinjaman!$V$6:$V$1744,"&gt;60")</f>
        <v>7</v>
      </c>
      <c r="H289" s="23">
        <f>COUNTIFS(Pinjaman!$W$6:$W$1744,H$222,Pinjaman!$X$6:$X$1744,$C289,Pinjaman!$V$6:$V$1744,"&gt;60")</f>
        <v>13</v>
      </c>
      <c r="I289" s="23">
        <f>COUNTIFS(Pinjaman!$W$6:$W$1744,0,Pinjaman!$X$6:$X$1744,$C289,Pinjaman!$V$6:$V$1744,"&gt;60")</f>
        <v>1</v>
      </c>
    </row>
    <row r="290" spans="1:41" x14ac:dyDescent="0.3">
      <c r="B290" s="320"/>
      <c r="C290" s="67" t="s">
        <v>243</v>
      </c>
      <c r="D290" s="23">
        <f>COUNTIFS(Pinjaman!$W$6:$W$1744,D$222,Pinjaman!$X$6:$X$1744,$C290,Pinjaman!$V$6:$V$1744,"&gt;60")</f>
        <v>0</v>
      </c>
      <c r="E290" s="23">
        <f>COUNTIFS(Pinjaman!$W$6:$W$1744,E$222,Pinjaman!$X$6:$X$1744,$C290,Pinjaman!$V$6:$V$1744,"&gt;60")</f>
        <v>0</v>
      </c>
      <c r="F290" s="23">
        <f>COUNTIFS(Pinjaman!$W$6:$W$1744,F$222,Pinjaman!$X$6:$X$1744,$C290,Pinjaman!$V$6:$V$1744,"&gt;60")</f>
        <v>0</v>
      </c>
      <c r="G290" s="23">
        <f>COUNTIFS(Pinjaman!$W$6:$W$1744,G$222,Pinjaman!$X$6:$X$1744,$C290,Pinjaman!$V$6:$V$1744,"&gt;60")</f>
        <v>0</v>
      </c>
      <c r="H290" s="23">
        <f>COUNTIFS(Pinjaman!$W$6:$W$1744,H$222,Pinjaman!$X$6:$X$1744,$C290,Pinjaman!$V$6:$V$1744,"&gt;60")</f>
        <v>0</v>
      </c>
      <c r="I290" s="23">
        <f>COUNTIFS(Pinjaman!$W$6:$W$1744,0,Pinjaman!$X$6:$X$1744,$C290,Pinjaman!$V$6:$V$1744,"&gt;60")</f>
        <v>0</v>
      </c>
    </row>
    <row r="291" spans="1:41" x14ac:dyDescent="0.3">
      <c r="B291" s="320"/>
      <c r="C291" s="67" t="s">
        <v>12075</v>
      </c>
      <c r="D291" s="23">
        <f>COUNTIFS(Pinjaman!$W$6:$W$1744,D$222,Pinjaman!$X$6:$X$1744,$C291,Pinjaman!$V$6:$V$1744,"&gt;60")</f>
        <v>0</v>
      </c>
      <c r="E291" s="23">
        <f>COUNTIFS(Pinjaman!$W$6:$W$1744,E$222,Pinjaman!$X$6:$X$1744,$C291,Pinjaman!$V$6:$V$1744,"&gt;60")</f>
        <v>1</v>
      </c>
      <c r="F291" s="23">
        <f>COUNTIFS(Pinjaman!$W$6:$W$1744,F$222,Pinjaman!$X$6:$X$1744,$C291,Pinjaman!$V$6:$V$1744,"&gt;60")</f>
        <v>3</v>
      </c>
      <c r="G291" s="23">
        <f>COUNTIFS(Pinjaman!$W$6:$W$1744,G$222,Pinjaman!$X$6:$X$1744,$C291,Pinjaman!$V$6:$V$1744,"&gt;60")</f>
        <v>1</v>
      </c>
      <c r="H291" s="23">
        <f>COUNTIFS(Pinjaman!$W$6:$W$1744,H$222,Pinjaman!$X$6:$X$1744,$C291,Pinjaman!$V$6:$V$1744,"&gt;60")</f>
        <v>3</v>
      </c>
      <c r="I291" s="23">
        <f>COUNTIFS(Pinjaman!$W$6:$W$1744,0,Pinjaman!$X$6:$X$1744,$C291,Pinjaman!$V$6:$V$1744,"&gt;60")</f>
        <v>0</v>
      </c>
    </row>
    <row r="292" spans="1:41" x14ac:dyDescent="0.3">
      <c r="B292" s="320"/>
      <c r="C292" s="67" t="s">
        <v>12076</v>
      </c>
      <c r="D292" s="23">
        <f>COUNTIFS(Pinjaman!$W$6:$W$1744,D$222,Pinjaman!$X$6:$X$1744,0,Pinjaman!$V$6:$V$1744,"&gt;60")</f>
        <v>0</v>
      </c>
      <c r="E292" s="23">
        <f>COUNTIFS(Pinjaman!$W$6:$W$1744,E$222,Pinjaman!$X$6:$X$1744,0,Pinjaman!$V$6:$V$1744,"&gt;60")</f>
        <v>2</v>
      </c>
      <c r="F292" s="23">
        <f>COUNTIFS(Pinjaman!$W$6:$W$1744,F$222,Pinjaman!$X$6:$X$1744,0,Pinjaman!$V$6:$V$1744,"&gt;60")</f>
        <v>0</v>
      </c>
      <c r="G292" s="23">
        <f>COUNTIFS(Pinjaman!$W$6:$W$1744,G$222,Pinjaman!$X$6:$X$1744,0,Pinjaman!$V$6:$V$1744,"&gt;60")</f>
        <v>0</v>
      </c>
      <c r="H292" s="23">
        <f>COUNTIFS(Pinjaman!$W$6:$W$1744,H$222,Pinjaman!$X$6:$X$1744,0,Pinjaman!$V$6:$V$1744,"&gt;60")</f>
        <v>0</v>
      </c>
      <c r="I292" s="23">
        <f>COUNTIFS(Pinjaman!$W$6:$W$1744,0,Pinjaman!$X$6:$X$1744,0,Pinjaman!$V$6:$V$1744,"&gt;60")</f>
        <v>0</v>
      </c>
    </row>
    <row r="293" spans="1:41" x14ac:dyDescent="0.3">
      <c r="B293" s="70"/>
      <c r="C293" s="71"/>
    </row>
    <row r="294" spans="1:41" x14ac:dyDescent="0.3">
      <c r="B294" s="70"/>
      <c r="C294" s="71"/>
    </row>
    <row r="295" spans="1:41" ht="15" thickBot="1" x14ac:dyDescent="0.35">
      <c r="A295" s="58">
        <v>8</v>
      </c>
      <c r="B295" s="24" t="s">
        <v>12089</v>
      </c>
      <c r="M295" s="24" t="s">
        <v>24220</v>
      </c>
      <c r="N295" s="24"/>
      <c r="O295" s="24"/>
      <c r="P295" s="24"/>
      <c r="Q295" s="24"/>
      <c r="R295" s="24"/>
      <c r="S295" s="24"/>
      <c r="T295" s="24"/>
    </row>
    <row r="296" spans="1:41" x14ac:dyDescent="0.3">
      <c r="M296" s="280" t="s">
        <v>24219</v>
      </c>
      <c r="N296" s="291" t="s">
        <v>12090</v>
      </c>
      <c r="O296" s="292"/>
      <c r="P296" s="292"/>
      <c r="Q296" s="292"/>
      <c r="R296" s="292"/>
      <c r="S296" s="292"/>
      <c r="T296" s="293"/>
      <c r="U296" s="299" t="s">
        <v>12091</v>
      </c>
      <c r="V296" s="300"/>
      <c r="W296" s="300"/>
      <c r="X296" s="300"/>
      <c r="Y296" s="300"/>
      <c r="Z296" s="300"/>
      <c r="AA296" s="301"/>
      <c r="AB296" s="302" t="s">
        <v>12092</v>
      </c>
      <c r="AC296" s="303"/>
      <c r="AD296" s="303"/>
      <c r="AE296" s="303"/>
      <c r="AF296" s="303"/>
      <c r="AG296" s="303"/>
      <c r="AH296" s="304"/>
      <c r="AI296" s="312" t="s">
        <v>12093</v>
      </c>
      <c r="AJ296" s="313"/>
      <c r="AK296" s="313"/>
      <c r="AL296" s="313"/>
      <c r="AM296" s="313"/>
      <c r="AN296" s="313"/>
      <c r="AO296" s="314"/>
    </row>
    <row r="297" spans="1:41" x14ac:dyDescent="0.3">
      <c r="B297" s="72" t="s">
        <v>9795</v>
      </c>
      <c r="C297" s="72" t="s">
        <v>12090</v>
      </c>
      <c r="D297" s="72" t="s">
        <v>12091</v>
      </c>
      <c r="E297" s="72" t="s">
        <v>12092</v>
      </c>
      <c r="F297" s="72" t="s">
        <v>12093</v>
      </c>
      <c r="G297" s="72" t="s">
        <v>9801</v>
      </c>
      <c r="H297" s="73" t="s">
        <v>9803</v>
      </c>
      <c r="M297" s="143" t="s">
        <v>9795</v>
      </c>
      <c r="N297" s="200" t="s">
        <v>20486</v>
      </c>
      <c r="O297" s="192" t="s">
        <v>20487</v>
      </c>
      <c r="P297" s="192" t="s">
        <v>20488</v>
      </c>
      <c r="Q297" s="192" t="s">
        <v>20491</v>
      </c>
      <c r="R297" s="192" t="s">
        <v>20489</v>
      </c>
      <c r="S297" s="192" t="s">
        <v>20490</v>
      </c>
      <c r="T297" s="201" t="s">
        <v>24217</v>
      </c>
      <c r="U297" s="207" t="s">
        <v>20486</v>
      </c>
      <c r="V297" s="99" t="s">
        <v>20487</v>
      </c>
      <c r="W297" s="99" t="s">
        <v>20488</v>
      </c>
      <c r="X297" s="99" t="s">
        <v>20491</v>
      </c>
      <c r="Y297" s="99" t="s">
        <v>20489</v>
      </c>
      <c r="Z297" s="99" t="s">
        <v>20490</v>
      </c>
      <c r="AA297" s="208" t="s">
        <v>24217</v>
      </c>
      <c r="AB297" s="212" t="s">
        <v>20486</v>
      </c>
      <c r="AC297" s="103" t="s">
        <v>20487</v>
      </c>
      <c r="AD297" s="103" t="s">
        <v>20488</v>
      </c>
      <c r="AE297" s="103" t="s">
        <v>20491</v>
      </c>
      <c r="AF297" s="103" t="s">
        <v>20489</v>
      </c>
      <c r="AG297" s="103" t="s">
        <v>20490</v>
      </c>
      <c r="AH297" s="213" t="s">
        <v>24217</v>
      </c>
      <c r="AI297" s="217" t="s">
        <v>20486</v>
      </c>
      <c r="AJ297" s="193" t="s">
        <v>20487</v>
      </c>
      <c r="AK297" s="193" t="s">
        <v>20488</v>
      </c>
      <c r="AL297" s="193" t="s">
        <v>20491</v>
      </c>
      <c r="AM297" s="193" t="s">
        <v>20489</v>
      </c>
      <c r="AN297" s="193" t="s">
        <v>20490</v>
      </c>
      <c r="AO297" s="218" t="s">
        <v>24217</v>
      </c>
    </row>
    <row r="298" spans="1:41" x14ac:dyDescent="0.3">
      <c r="B298" s="102" t="s">
        <v>12069</v>
      </c>
      <c r="C298" s="3">
        <f>COUNTIF(SSKA!$R$6:$R$464,"&lt;24")</f>
        <v>20</v>
      </c>
      <c r="D298" s="3">
        <f>COUNTIF(SJTA!$R$6:$R$331,"&lt;24")</f>
        <v>27</v>
      </c>
      <c r="E298" s="3">
        <f>COUNTIF(SPJ!$O$5:$O$136,"&lt;24")</f>
        <v>9</v>
      </c>
      <c r="F298" s="3">
        <f>COUNTIF(SMP!$O$6:$O$25,"&lt;24")</f>
        <v>1</v>
      </c>
      <c r="G298" s="3">
        <f>SUM(C298:F298)</f>
        <v>57</v>
      </c>
      <c r="H298" s="88">
        <f>G298/$G$303</f>
        <v>6.2295081967213117E-2</v>
      </c>
      <c r="M298" s="195" t="s">
        <v>12069</v>
      </c>
      <c r="N298" s="202">
        <f>COUNTIFS(SSKA!$T$5:$T$457,N297,SSKA!$R$5:$R$457,"&lt;24")</f>
        <v>14</v>
      </c>
      <c r="O298" s="23">
        <f>COUNTIFS(SSKA!$T$5:$T$457,O297,SSKA!$R$5:$R$457,"&lt;24")</f>
        <v>3</v>
      </c>
      <c r="P298" s="23">
        <f>COUNTIFS(SSKA!$T$5:$T$457,P297,SSKA!$R$5:$R$457,"&lt;24")</f>
        <v>0</v>
      </c>
      <c r="Q298" s="23">
        <f>COUNTIFS(SSKA!$T$5:$T$457,Q297,SSKA!$R$5:$R$457,"&lt;24")</f>
        <v>1</v>
      </c>
      <c r="R298" s="23">
        <f>COUNTIFS(SSKA!$T$5:$T$457,R297,SSKA!$R$5:$R$457,"&lt;24")</f>
        <v>1</v>
      </c>
      <c r="S298" s="23">
        <f>COUNTIFS(SSKA!$T$5:$T$457,S297,SSKA!$R$5:$R$457,"&lt;24")</f>
        <v>1</v>
      </c>
      <c r="T298" s="203">
        <f>COUNTIFS(SSKA!$T$5:$T$457,T297,SSKA!$R$5:$R$457,"&lt;24")</f>
        <v>0</v>
      </c>
      <c r="U298" s="202">
        <f>COUNTIFS(SJTA!$T$5:$T$457,U297,SJTA!$R$5:$R$457,"&lt;24")</f>
        <v>12</v>
      </c>
      <c r="V298" s="23">
        <f>COUNTIFS(SJTA!$T$5:$T$457,V297,SJTA!$R$5:$R$457,"&lt;24")</f>
        <v>1</v>
      </c>
      <c r="W298" s="23">
        <f>COUNTIFS(SJTA!$T$5:$T$457,W297,SJTA!$R$5:$R$457,"&lt;24")</f>
        <v>9</v>
      </c>
      <c r="X298" s="23">
        <f>COUNTIFS(SJTA!$T$5:$T$457,X297,SJTA!$R$5:$R$457,"&lt;24")</f>
        <v>0</v>
      </c>
      <c r="Y298" s="23">
        <f>COUNTIFS(SJTA!$T$5:$T$457,Y297,SJTA!$R$5:$R$457,"&lt;24")</f>
        <v>2</v>
      </c>
      <c r="Z298" s="23">
        <f>COUNTIFS(SJTA!$T$5:$T$457,Z297,SJTA!$R$5:$R$457,"&lt;24")</f>
        <v>3</v>
      </c>
      <c r="AA298" s="203">
        <f>COUNTIFS(SJTA!$T$5:$T$457,AA297,SJTA!$R$5:$R$457,"&lt;24")</f>
        <v>0</v>
      </c>
      <c r="AB298" s="202">
        <f>COUNTIFS(SPJ!$Q$5:$Q$457,AB297,SPJ!$O$5:$O$457,"&lt;24")</f>
        <v>5</v>
      </c>
      <c r="AC298" s="23">
        <f>COUNTIFS(SPJ!$Q$5:$Q$457,AC297,SPJ!$O$5:$O$457,"&lt;24")</f>
        <v>0</v>
      </c>
      <c r="AD298" s="23">
        <f>COUNTIFS(SPJ!$Q$5:$Q$457,AD297,SPJ!$O$5:$O$457,"&lt;24")</f>
        <v>6</v>
      </c>
      <c r="AE298" s="23">
        <f>COUNTIFS(SPJ!$Q$5:$Q$457,AE297,SPJ!$O$5:$O$457,"&lt;24")</f>
        <v>0</v>
      </c>
      <c r="AF298" s="23">
        <f>COUNTIFS(SPJ!$Q$5:$Q$457,AF297,SPJ!$O$5:$O$457,"&lt;24")</f>
        <v>0</v>
      </c>
      <c r="AG298" s="23">
        <f>COUNTIFS(SPJ!$Q$5:$Q$457,AG297,SPJ!$O$5:$O$457,"&lt;24")</f>
        <v>0</v>
      </c>
      <c r="AH298" s="203">
        <f>COUNTIFS(SPJ!$Q$5:$Q$457,AH297,SPJ!$O$5:$O$457,"&lt;24")</f>
        <v>0</v>
      </c>
      <c r="AI298" s="202">
        <f>COUNTIFS(SMP!$Q$5:$Q$457,AI297,SMP!$O$5:$O$457,"&lt;24")</f>
        <v>1</v>
      </c>
      <c r="AJ298" s="23">
        <f>COUNTIFS(SMP!$Q$5:$Q$457,AJ297,SMP!$O$5:$O$457,"&lt;24")</f>
        <v>0</v>
      </c>
      <c r="AK298" s="23">
        <f>COUNTIFS(SMP!$Q$5:$Q$457,AK297,SMP!$O$5:$O$457,"&lt;24")</f>
        <v>0</v>
      </c>
      <c r="AL298" s="23">
        <f>COUNTIFS(SMP!$Q$5:$Q$457,AL297,SMP!$O$5:$O$457,"&lt;24")</f>
        <v>0</v>
      </c>
      <c r="AM298" s="23">
        <f>COUNTIFS(SMP!$Q$5:$Q$457,AM297,SMP!$O$5:$O$457,"&lt;24")</f>
        <v>0</v>
      </c>
      <c r="AN298" s="23">
        <f>COUNTIFS(SMP!$Q$5:$Q$457,AN297,SMP!$O$5:$O$457,"&lt;24")</f>
        <v>0</v>
      </c>
      <c r="AO298" s="203">
        <f>COUNTIFS(SMP!$Q$5:$Q$457,AO297,SMP!$O$5:$O$457,"&lt;24")</f>
        <v>0</v>
      </c>
    </row>
    <row r="299" spans="1:41" x14ac:dyDescent="0.3">
      <c r="B299" s="99" t="s">
        <v>18801</v>
      </c>
      <c r="C299" s="3">
        <f>COUNTIF(SSKA!$R$6:$R$464,"&lt;=35")-COUNTIF(SSKA!$R$6:$R$464,"&lt;24")</f>
        <v>75</v>
      </c>
      <c r="D299" s="3">
        <f>COUNTIF(SJTA!$R$6:$R$331,"&lt;=35")-COUNTIF(SJTA!$R$6:$R$331,"&lt;24")</f>
        <v>41</v>
      </c>
      <c r="E299" s="3">
        <f>COUNTIF(SPJ!$O$5:$O$136,"&lt;=35")-COUNTIF(SPJ!$O$5:$O$136,"&lt;24")</f>
        <v>45</v>
      </c>
      <c r="F299" s="3">
        <f>COUNTIF(SMP!$O$6:$O$25,"&lt;=35")-COUNTIF(SMP!$O$6:$O$25,"&lt;24")</f>
        <v>8</v>
      </c>
      <c r="G299" s="3">
        <f t="shared" ref="G299:G302" si="20">SUM(C299:F299)</f>
        <v>169</v>
      </c>
      <c r="H299" s="88">
        <f t="shared" ref="H299:H302" si="21">G299/$G$303</f>
        <v>0.18469945355191256</v>
      </c>
      <c r="M299" s="196" t="s">
        <v>18801</v>
      </c>
      <c r="N299" s="202">
        <f>COUNTIFS(SSKA!$T$5:$T$457,N297,SSKA!$R$5:$R$457,"&lt;=35")-COUNTIFS(SSKA!$T$5:$T$457,N297,SSKA!$R$5:$R$457,"&lt;24")</f>
        <v>47</v>
      </c>
      <c r="O299" s="23">
        <f>COUNTIFS(SSKA!$T$5:$T$457,O297,SSKA!$R$5:$R$457,"&lt;=35")-COUNTIFS(SSKA!$T$5:$T$457,O297,SSKA!$R$5:$R$457,"&lt;24")</f>
        <v>3</v>
      </c>
      <c r="P299" s="23">
        <f>COUNTIFS(SSKA!$T$5:$T$457,P297,SSKA!$R$5:$R$457,"&lt;=35")-COUNTIFS(SSKA!$T$5:$T$457,P297,SSKA!$R$5:$R$457,"&lt;24")</f>
        <v>15</v>
      </c>
      <c r="Q299" s="23">
        <f>COUNTIFS(SSKA!$T$5:$T$457,Q297,SSKA!$R$5:$R$457,"&lt;=35")-COUNTIFS(SSKA!$T$5:$T$457,Q297,SSKA!$R$5:$R$457,"&lt;24")</f>
        <v>4</v>
      </c>
      <c r="R299" s="23">
        <f>COUNTIFS(SSKA!$T$5:$T$457,R297,SSKA!$R$5:$R$457,"&lt;=35")-COUNTIFS(SSKA!$T$5:$T$457,R297,SSKA!$R$5:$R$457,"&lt;24")</f>
        <v>4</v>
      </c>
      <c r="S299" s="23">
        <f>COUNTIFS(SSKA!$T$5:$T$457,S297,SSKA!$R$5:$R$457,"&lt;=35")-COUNTIFS(SSKA!$T$5:$T$457,S297,SSKA!$R$5:$R$457,"&lt;24")</f>
        <v>2</v>
      </c>
      <c r="T299" s="203">
        <f>COUNTIFS(SSKA!$T$5:$T$457,T297,SSKA!$R$5:$R$457,"&lt;=35")-COUNTIFS(SSKA!$T$5:$T$457,T297,SSKA!$R$5:$R$457,"&lt;24")</f>
        <v>0</v>
      </c>
      <c r="U299" s="202">
        <f>COUNTIFS(SJTA!$T$5:$T$457,U297,SJTA!$R$5:$R$457,"&lt;=35")-COUNTIFS(SJTA!$T$5:$T$457,U297,SJTA!$R$5:$R$457,"&lt;24")</f>
        <v>27</v>
      </c>
      <c r="V299" s="23">
        <f>COUNTIFS(SJTA!$T$5:$T$457,V297,SJTA!$R$5:$R$457,"&lt;=35")-COUNTIFS(SJTA!$T$5:$T$457,V297,SJTA!$R$5:$R$457,"&lt;24")</f>
        <v>2</v>
      </c>
      <c r="W299" s="23">
        <f>COUNTIFS(SJTA!$T$5:$T$457,W297,SJTA!$R$5:$R$457,"&lt;=35")-COUNTIFS(SJTA!$T$5:$T$457,W297,SJTA!$R$5:$R$457,"&lt;24")</f>
        <v>5</v>
      </c>
      <c r="X299" s="23">
        <f>COUNTIFS(SJTA!$T$5:$T$457,X297,SJTA!$R$5:$R$457,"&lt;=35")-COUNTIFS(SJTA!$T$5:$T$457,X297,SJTA!$R$5:$R$457,"&lt;24")</f>
        <v>4</v>
      </c>
      <c r="Y299" s="23">
        <f>COUNTIFS(SJTA!$T$5:$T$457,Y297,SJTA!$R$5:$R$457,"&lt;=35")-COUNTIFS(SJTA!$T$5:$T$457,Y297,SJTA!$R$5:$R$457,"&lt;24")</f>
        <v>2</v>
      </c>
      <c r="Z299" s="23">
        <f>COUNTIFS(SJTA!$T$5:$T$457,Z297,SJTA!$R$5:$R$457,"&lt;=35")-COUNTIFS(SJTA!$T$5:$T$457,Z297,SJTA!$R$5:$R$457,"&lt;24")</f>
        <v>1</v>
      </c>
      <c r="AA299" s="203">
        <f>COUNTIFS(SJTA!$T$5:$T$457,AA297,SJTA!$R$5:$R$457,"&lt;=35")-COUNTIFS(SJTA!$T$5:$T$457,AA297,SJTA!$R$5:$R$457,"&lt;24")</f>
        <v>0</v>
      </c>
      <c r="AB299" s="202">
        <f>COUNTIFS(SPJ!$Q$5:$Q$457,AB297,SPJ!$O$5:$O$457,"&lt;=35")-COUNTIFS(SPJ!$Q$5:$Q$457,AB297,SPJ!$O$5:$O$457,"&lt;24")</f>
        <v>30</v>
      </c>
      <c r="AC299" s="23">
        <f>COUNTIFS(SPJ!$Q$5:$Q$457,AC297,SPJ!$O$5:$O$457,"&lt;=35")-COUNTIFS(SPJ!$Q$5:$Q$457,AC297,SPJ!$O$5:$O$457,"&lt;24")</f>
        <v>1</v>
      </c>
      <c r="AD299" s="23">
        <f>COUNTIFS(SPJ!$Q$5:$Q$457,AD297,SPJ!$O$5:$O$457,"&lt;=35")-COUNTIFS(SPJ!$Q$5:$Q$457,AD297,SPJ!$O$5:$O$457,"&lt;24")</f>
        <v>9</v>
      </c>
      <c r="AE299" s="23">
        <f>COUNTIFS(SPJ!$Q$5:$Q$457,AE297,SPJ!$O$5:$O$457,"&lt;=35")-COUNTIFS(SPJ!$Q$5:$Q$457,AE297,SPJ!$O$5:$O$457,"&lt;24")</f>
        <v>2</v>
      </c>
      <c r="AF299" s="23">
        <f>COUNTIFS(SPJ!$Q$5:$Q$457,AF297,SPJ!$O$5:$O$457,"&lt;=35")-COUNTIFS(SPJ!$Q$5:$Q$457,AF297,SPJ!$O$5:$O$457,"&lt;24")</f>
        <v>4</v>
      </c>
      <c r="AG299" s="23">
        <f>COUNTIFS(SPJ!$Q$5:$Q$457,AG297,SPJ!$O$5:$O$457,"&lt;=35")-COUNTIFS(SPJ!$Q$5:$Q$457,AG297,SPJ!$O$5:$O$457,"&lt;24")</f>
        <v>0</v>
      </c>
      <c r="AH299" s="203">
        <f>COUNTIFS(SPJ!$Q$5:$Q$457,AH297,SPJ!$O$5:$O$457,"&lt;=35")-COUNTIFS(SPJ!$Q$5:$Q$457,AH297,SPJ!$O$5:$O$457,"&lt;24")</f>
        <v>0</v>
      </c>
      <c r="AI299" s="202">
        <f>COUNTIFS(SMP!$Q$5:$Q$457,AI297,SMP!$O$5:$O$457,"&lt;=35")-COUNTIFS(SMP!$Q$5:$Q$457,AI297,SMP!$O$5:$O$457,"&lt;24")</f>
        <v>2</v>
      </c>
      <c r="AJ299" s="23">
        <f>COUNTIFS(SMP!$Q$5:$Q$457,AJ297,SMP!$O$5:$O$457,"&lt;=35")-COUNTIFS(SMP!$Q$5:$Q$457,AJ297,SMP!$O$5:$O$457,"&lt;24")</f>
        <v>0</v>
      </c>
      <c r="AK299" s="23">
        <f>COUNTIFS(SMP!$Q$5:$Q$457,AK297,SMP!$O$5:$O$457,"&lt;=35")-COUNTIFS(SMP!$Q$5:$Q$457,AK297,SMP!$O$5:$O$457,"&lt;24")</f>
        <v>0</v>
      </c>
      <c r="AL299" s="23">
        <f>COUNTIFS(SMP!$Q$5:$Q$457,AL297,SMP!$O$5:$O$457,"&lt;=35")-COUNTIFS(SMP!$Q$5:$Q$457,AL297,SMP!$O$5:$O$457,"&lt;24")</f>
        <v>4</v>
      </c>
      <c r="AM299" s="23">
        <f>COUNTIFS(SMP!$Q$5:$Q$457,AM297,SMP!$O$5:$O$457,"&lt;=35")-COUNTIFS(SMP!$Q$5:$Q$457,AM297,SMP!$O$5:$O$457,"&lt;24")</f>
        <v>1</v>
      </c>
      <c r="AN299" s="23">
        <f>COUNTIFS(SMP!$Q$5:$Q$457,AN297,SMP!$O$5:$O$457,"&lt;=35")-COUNTIFS(SMP!$Q$5:$Q$457,AN297,SMP!$O$5:$O$457,"&lt;24")</f>
        <v>1</v>
      </c>
      <c r="AO299" s="203">
        <f>COUNTIFS(SMP!$Q$5:$Q$457,AO297,SMP!$O$5:$O$457,"&lt;=35")-COUNTIFS(SMP!$Q$5:$Q$457,AO297,SMP!$O$5:$O$457,"&lt;24")</f>
        <v>0</v>
      </c>
    </row>
    <row r="300" spans="1:41" x14ac:dyDescent="0.3">
      <c r="B300" s="107" t="s">
        <v>18803</v>
      </c>
      <c r="C300" s="3">
        <f>COUNTIF(SSKA!$R$6:$R$464,"&lt;=45")-COUNTIF(SSKA!$R$6:$R$464,"&lt;36")</f>
        <v>88</v>
      </c>
      <c r="D300" s="3">
        <f>COUNTIF(SJTA!$R$6:$R$331,"&lt;=45")-COUNTIF(SJTA!$R$6:$R$331,"&lt;36")</f>
        <v>65</v>
      </c>
      <c r="E300" s="3">
        <f>COUNTIF(SPJ!$O$5:$O$136,"&lt;=45")-COUNTIF(SPJ!$O$5:$O$136,"&lt;36")</f>
        <v>51</v>
      </c>
      <c r="F300" s="3">
        <f>COUNTIF(SMP!$O$6:$O$25,"&lt;=45")-COUNTIF(SMP!$O$6:$O$25,"&lt;36")</f>
        <v>2</v>
      </c>
      <c r="G300" s="3">
        <f t="shared" si="20"/>
        <v>206</v>
      </c>
      <c r="H300" s="88">
        <f t="shared" si="21"/>
        <v>0.22513661202185792</v>
      </c>
      <c r="M300" s="197" t="s">
        <v>18803</v>
      </c>
      <c r="N300" s="202">
        <f>COUNTIFS(SSKA!$T$5:$T$457,N297,SSKA!$R$5:$R$457,"&lt;=45")-COUNTIFS(SSKA!$T$5:$T$457,N297,SSKA!$R$5:$R$457,"&lt;36")</f>
        <v>52</v>
      </c>
      <c r="O300" s="23">
        <f>COUNTIFS(SSKA!$T$5:$T$457,O297,SSKA!$R$5:$R$457,"&lt;=45")-COUNTIFS(SSKA!$T$5:$T$457,O297,SSKA!$R$5:$R$457,"&lt;36")</f>
        <v>6</v>
      </c>
      <c r="P300" s="23">
        <f>COUNTIFS(SSKA!$T$5:$T$457,P297,SSKA!$R$5:$R$457,"&lt;=45")-COUNTIFS(SSKA!$T$5:$T$457,P297,SSKA!$R$5:$R$457,"&lt;36")</f>
        <v>15</v>
      </c>
      <c r="Q300" s="23">
        <f>COUNTIFS(SSKA!$T$5:$T$457,Q297,SSKA!$R$5:$R$457,"&lt;=45")-COUNTIFS(SSKA!$T$5:$T$457,Q297,SSKA!$R$5:$R$457,"&lt;36")</f>
        <v>6</v>
      </c>
      <c r="R300" s="23">
        <f>COUNTIFS(SSKA!$T$5:$T$457,R297,SSKA!$R$5:$R$457,"&lt;=45")-COUNTIFS(SSKA!$T$5:$T$457,R297,SSKA!$R$5:$R$457,"&lt;36")</f>
        <v>6</v>
      </c>
      <c r="S300" s="23">
        <f>COUNTIFS(SSKA!$T$5:$T$457,S297,SSKA!$R$5:$R$457,"&lt;=45")-COUNTIFS(SSKA!$T$5:$T$457,S297,SSKA!$R$5:$R$457,"&lt;36")</f>
        <v>3</v>
      </c>
      <c r="T300" s="203">
        <f>COUNTIFS(SSKA!$T$5:$T$457,T297,SSKA!$R$5:$R$457,"&lt;=45")-COUNTIFS(SSKA!$T$5:$T$457,T297,SSKA!$R$5:$R$457,"&lt;36")</f>
        <v>0</v>
      </c>
      <c r="U300" s="202">
        <f>COUNTIFS(SJTA!$T$5:$T$457,U297,SJTA!$R$5:$R$457,"&lt;=45")-COUNTIFS(SJTA!$T$5:$T$457,U297,SJTA!$R$5:$R$457,"&lt;36")</f>
        <v>41</v>
      </c>
      <c r="V300" s="23">
        <f>COUNTIFS(SJTA!$T$5:$T$457,V297,SJTA!$R$5:$R$457,"&lt;=45")-COUNTIFS(SJTA!$T$5:$T$457,V297,SJTA!$R$5:$R$457,"&lt;36")</f>
        <v>6</v>
      </c>
      <c r="W300" s="23">
        <f>COUNTIFS(SJTA!$T$5:$T$457,W297,SJTA!$R$5:$R$457,"&lt;=45")-COUNTIFS(SJTA!$T$5:$T$457,W297,SJTA!$R$5:$R$457,"&lt;36")</f>
        <v>11</v>
      </c>
      <c r="X300" s="23">
        <f>COUNTIFS(SJTA!$T$5:$T$457,X297,SJTA!$R$5:$R$457,"&lt;=45")-COUNTIFS(SJTA!$T$5:$T$457,X297,SJTA!$R$5:$R$457,"&lt;36")</f>
        <v>4</v>
      </c>
      <c r="Y300" s="23">
        <f>COUNTIFS(SJTA!$T$5:$T$457,Y297,SJTA!$R$5:$R$457,"&lt;=45")-COUNTIFS(SJTA!$T$5:$T$457,Y297,SJTA!$R$5:$R$457,"&lt;36")</f>
        <v>1</v>
      </c>
      <c r="Z300" s="23">
        <f>COUNTIFS(SJTA!$T$5:$T$457,Z297,SJTA!$R$5:$R$457,"&lt;=45")-COUNTIFS(SJTA!$T$5:$T$457,Z297,SJTA!$R$5:$R$457,"&lt;36")</f>
        <v>2</v>
      </c>
      <c r="AA300" s="203">
        <f>COUNTIFS(SJTA!$T$5:$T$457,AA297,SJTA!$R$5:$R$457,"&lt;=45")-COUNTIFS(SJTA!$T$5:$T$457,AA297,SJTA!$R$5:$R$457,"&lt;36")</f>
        <v>0</v>
      </c>
      <c r="AB300" s="202">
        <f>COUNTIFS(SPJ!$Q$5:$Q$457,AB297,SPJ!$O$5:$O$457,"&lt;=45")-COUNTIFS(SPJ!$Q$5:$Q$457,AB297,SPJ!$O$5:$O$457,"&lt;36")</f>
        <v>31</v>
      </c>
      <c r="AC300" s="23">
        <f>COUNTIFS(SPJ!$Q$5:$Q$457,AC297,SPJ!$O$5:$O$457,"&lt;=45")-COUNTIFS(SPJ!$Q$5:$Q$457,AC297,SPJ!$O$5:$O$457,"&lt;36")</f>
        <v>4</v>
      </c>
      <c r="AD300" s="23">
        <f>COUNTIFS(SPJ!$Q$5:$Q$457,AD297,SPJ!$O$5:$O$457,"&lt;=45")-COUNTIFS(SPJ!$Q$5:$Q$457,AD297,SPJ!$O$5:$O$457,"&lt;36")</f>
        <v>9</v>
      </c>
      <c r="AE300" s="23">
        <f>COUNTIFS(SPJ!$Q$5:$Q$457,AE297,SPJ!$O$5:$O$457,"&lt;=45")-COUNTIFS(SPJ!$Q$5:$Q$457,AE297,SPJ!$O$5:$O$457,"&lt;36")</f>
        <v>8</v>
      </c>
      <c r="AF300" s="23">
        <f>COUNTIFS(SPJ!$Q$5:$Q$457,AF297,SPJ!$O$5:$O$457,"&lt;=45")-COUNTIFS(SPJ!$Q$5:$Q$457,AF297,SPJ!$O$5:$O$457,"&lt;36")</f>
        <v>2</v>
      </c>
      <c r="AG300" s="23">
        <f>COUNTIFS(SPJ!$Q$5:$Q$457,AG297,SPJ!$O$5:$O$457,"&lt;=45")-COUNTIFS(SPJ!$Q$5:$Q$457,AG297,SPJ!$O$5:$O$457,"&lt;36")</f>
        <v>0</v>
      </c>
      <c r="AH300" s="203">
        <f>COUNTIFS(SPJ!$Q$5:$Q$457,AH297,SPJ!$O$5:$O$457,"&lt;=45")-COUNTIFS(SPJ!$Q$5:$Q$457,AH297,SPJ!$O$5:$O$457,"&lt;36")</f>
        <v>0</v>
      </c>
      <c r="AI300" s="202">
        <f>COUNTIFS(SMP!$Q$5:$Q$457,AI297,SMP!$O$5:$O$457,"&lt;=45")-COUNTIFS(SMP!$Q$5:$Q$457,AI297,SMP!$O$5:$O$457,"&lt;36")</f>
        <v>2</v>
      </c>
      <c r="AJ300" s="23">
        <f>COUNTIFS(SMP!$Q$5:$Q$457,AJ297,SMP!$O$5:$O$457,"&lt;=45")-COUNTIFS(SMP!$Q$5:$Q$457,AJ297,SMP!$O$5:$O$457,"&lt;36")</f>
        <v>1</v>
      </c>
      <c r="AK300" s="23">
        <f>COUNTIFS(SMP!$Q$5:$Q$457,AK297,SMP!$O$5:$O$457,"&lt;=45")-COUNTIFS(SMP!$Q$5:$Q$457,AK297,SMP!$O$5:$O$457,"&lt;36")</f>
        <v>0</v>
      </c>
      <c r="AL300" s="23">
        <f>COUNTIFS(SMP!$Q$5:$Q$457,AL297,SMP!$O$5:$O$457,"&lt;=45")-COUNTIFS(SMP!$Q$5:$Q$457,AL297,SMP!$O$5:$O$457,"&lt;36")</f>
        <v>0</v>
      </c>
      <c r="AM300" s="23">
        <f>COUNTIFS(SMP!$Q$5:$Q$457,AM297,SMP!$O$5:$O$457,"&lt;=45")-COUNTIFS(SMP!$Q$5:$Q$457,AM297,SMP!$O$5:$O$457,"&lt;36")</f>
        <v>0</v>
      </c>
      <c r="AN300" s="23">
        <f>COUNTIFS(SMP!$Q$5:$Q$457,AN297,SMP!$O$5:$O$457,"&lt;=45")-COUNTIFS(SMP!$Q$5:$Q$457,AN297,SMP!$O$5:$O$457,"&lt;36")</f>
        <v>0</v>
      </c>
      <c r="AO300" s="203">
        <f>COUNTIFS(SMP!$Q$5:$Q$457,AO297,SMP!$O$5:$O$457,"&lt;=45")-COUNTIFS(SMP!$Q$5:$Q$457,AO297,SMP!$O$5:$O$457,"&lt;36")</f>
        <v>0</v>
      </c>
    </row>
    <row r="301" spans="1:41" x14ac:dyDescent="0.3">
      <c r="B301" s="105" t="s">
        <v>18802</v>
      </c>
      <c r="C301" s="3">
        <f>COUNTIF(SSKA!$R$6:$R$464,"&lt;=60")-COUNTIF(SSKA!$R$6:$R$464,"&lt;46")</f>
        <v>154</v>
      </c>
      <c r="D301" s="3">
        <f>COUNTIF(SJTA!$R$6:$R$331,"&lt;=60")-COUNTIF(SJTA!$R$6:$R$331,"&lt;46")</f>
        <v>109</v>
      </c>
      <c r="E301" s="3">
        <f>COUNTIF(SPJ!$O$5:$O$136,"&lt;=60")-COUNTIF(SPJ!$O$5:$O$136,"&lt;46")</f>
        <v>25</v>
      </c>
      <c r="F301" s="3">
        <f>COUNTIF(SMP!$O$6:$O$25,"&lt;=60")-COUNTIF(SMP!$O$6:$O$25,"&lt;46")</f>
        <v>7</v>
      </c>
      <c r="G301" s="3">
        <f t="shared" si="20"/>
        <v>295</v>
      </c>
      <c r="H301" s="88">
        <f t="shared" si="21"/>
        <v>0.32240437158469948</v>
      </c>
      <c r="M301" s="198" t="s">
        <v>18802</v>
      </c>
      <c r="N301" s="202">
        <f>COUNTIFS(SSKA!$T$5:$T$457,N297,SSKA!$R$5:$R$457,"&lt;=60")-COUNTIFS(SSKA!$T$5:$T$457,N297,SSKA!$R$5:$R$457,"&lt;46")</f>
        <v>80</v>
      </c>
      <c r="O301" s="23">
        <f>COUNTIFS(SSKA!$T$5:$T$457,O297,SSKA!$R$5:$R$457,"&lt;=60")-COUNTIFS(SSKA!$T$5:$T$457,O297,SSKA!$R$5:$R$457,"&lt;46")</f>
        <v>12</v>
      </c>
      <c r="P301" s="23">
        <f>COUNTIFS(SSKA!$T$5:$T$457,P297,SSKA!$R$5:$R$457,"&lt;=60")-COUNTIFS(SSKA!$T$5:$T$457,P297,SSKA!$R$5:$R$457,"&lt;46")</f>
        <v>29</v>
      </c>
      <c r="Q301" s="23">
        <f>COUNTIFS(SSKA!$T$5:$T$457,Q297,SSKA!$R$5:$R$457,"&lt;=60")-COUNTIFS(SSKA!$T$5:$T$457,Q297,SSKA!$R$5:$R$457,"&lt;46")</f>
        <v>10</v>
      </c>
      <c r="R301" s="23">
        <f>COUNTIFS(SSKA!$T$5:$T$457,R297,SSKA!$R$5:$R$457,"&lt;=60")-COUNTIFS(SSKA!$T$5:$T$457,R297,SSKA!$R$5:$R$457,"&lt;46")</f>
        <v>12</v>
      </c>
      <c r="S301" s="23">
        <f>COUNTIFS(SSKA!$T$5:$T$457,S297,SSKA!$R$5:$R$457,"&lt;=60")-COUNTIFS(SSKA!$T$5:$T$457,S297,SSKA!$R$5:$R$457,"&lt;46")</f>
        <v>11</v>
      </c>
      <c r="T301" s="203">
        <f>COUNTIFS(SSKA!$T$5:$T$457,T297,SSKA!$R$5:$R$457,"&lt;=60")-COUNTIFS(SSKA!$T$5:$T$457,T297,SSKA!$R$5:$R$457,"&lt;46")</f>
        <v>0</v>
      </c>
      <c r="U301" s="202">
        <f>COUNTIFS(SJTA!$T$5:$T$457,U297,SJTA!$R$5:$R$457,"&lt;=60")-COUNTIFS(SJTA!$T$5:$T$457,U297,SJTA!$R$5:$R$457,"&lt;46")</f>
        <v>58</v>
      </c>
      <c r="V301" s="23">
        <f>COUNTIFS(SJTA!$T$5:$T$457,V297,SJTA!$R$5:$R$457,"&lt;=60")-COUNTIFS(SJTA!$T$5:$T$457,V297,SJTA!$R$5:$R$457,"&lt;46")</f>
        <v>5</v>
      </c>
      <c r="W301" s="23">
        <f>COUNTIFS(SJTA!$T$5:$T$457,W297,SJTA!$R$5:$R$457,"&lt;=60")-COUNTIFS(SJTA!$T$5:$T$457,W297,SJTA!$R$5:$R$457,"&lt;46")</f>
        <v>26</v>
      </c>
      <c r="X301" s="23">
        <f>COUNTIFS(SJTA!$T$5:$T$457,X297,SJTA!$R$5:$R$457,"&lt;=60")-COUNTIFS(SJTA!$T$5:$T$457,X297,SJTA!$R$5:$R$457,"&lt;46")</f>
        <v>2</v>
      </c>
      <c r="Y301" s="23">
        <f>COUNTIFS(SJTA!$T$5:$T$457,Y297,SJTA!$R$5:$R$457,"&lt;=60")-COUNTIFS(SJTA!$T$5:$T$457,Y297,SJTA!$R$5:$R$457,"&lt;46")</f>
        <v>9</v>
      </c>
      <c r="Z301" s="23">
        <f>COUNTIFS(SJTA!$T$5:$T$457,Z297,SJTA!$R$5:$R$457,"&lt;=60")-COUNTIFS(SJTA!$T$5:$T$457,Z297,SJTA!$R$5:$R$457,"&lt;46")</f>
        <v>8</v>
      </c>
      <c r="AA301" s="203">
        <f>COUNTIFS(SJTA!$T$5:$T$457,AA297,SJTA!$R$5:$R$457,"&lt;=60")-COUNTIFS(SJTA!$T$5:$T$457,AA297,SJTA!$R$5:$R$457,"&lt;46")</f>
        <v>1</v>
      </c>
      <c r="AB301" s="202">
        <f>COUNTIFS(SPJ!$Q$5:$Q$457,AB297,SPJ!$O$5:$O$457,"&lt;=60")-COUNTIFS(SPJ!$Q$5:$Q$457,AB297,SPJ!$O$5:$O$457,"&lt;46")</f>
        <v>17</v>
      </c>
      <c r="AC301" s="23">
        <f>COUNTIFS(SPJ!$Q$5:$Q$457,AC297,SPJ!$O$5:$O$457,"&lt;=60")-COUNTIFS(SPJ!$Q$5:$Q$457,AC297,SPJ!$O$5:$O$457,"&lt;46")</f>
        <v>2</v>
      </c>
      <c r="AD301" s="23">
        <f>COUNTIFS(SPJ!$Q$5:$Q$457,AD297,SPJ!$O$5:$O$457,"&lt;=60")-COUNTIFS(SPJ!$Q$5:$Q$457,AD297,SPJ!$O$5:$O$457,"&lt;46")</f>
        <v>4</v>
      </c>
      <c r="AE301" s="23">
        <f>COUNTIFS(SPJ!$Q$5:$Q$457,AE297,SPJ!$O$5:$O$457,"&lt;=60")-COUNTIFS(SPJ!$Q$5:$Q$457,AE297,SPJ!$O$5:$O$457,"&lt;46")</f>
        <v>1</v>
      </c>
      <c r="AF301" s="23">
        <f>COUNTIFS(SPJ!$Q$5:$Q$457,AF297,SPJ!$O$5:$O$457,"&lt;=60")-COUNTIFS(SPJ!$Q$5:$Q$457,AF297,SPJ!$O$5:$O$457,"&lt;46")</f>
        <v>1</v>
      </c>
      <c r="AG301" s="23">
        <f>COUNTIFS(SPJ!$Q$5:$Q$457,AG297,SPJ!$O$5:$O$457,"&lt;=60")-COUNTIFS(SPJ!$Q$5:$Q$457,AG297,SPJ!$O$5:$O$457,"&lt;46")</f>
        <v>1</v>
      </c>
      <c r="AH301" s="203">
        <f>COUNTIFS(SPJ!$Q$5:$Q$457,AH297,SPJ!$O$5:$O$457,"&lt;=60")-COUNTIFS(SPJ!$Q$5:$Q$457,AH297,SPJ!$O$5:$O$457,"&lt;46")</f>
        <v>0</v>
      </c>
      <c r="AI301" s="202">
        <f>COUNTIFS(SMP!$Q$5:$Q$457,AI297,SMP!$O$5:$O$457,"&lt;=60")-COUNTIFS(SMP!$Q$5:$Q$457,AI297,SMP!$O$5:$O$457,"&lt;46")</f>
        <v>1</v>
      </c>
      <c r="AJ301" s="23">
        <f>COUNTIFS(SMP!$Q$5:$Q$457,AJ297,SMP!$O$5:$O$457,"&lt;=60")-COUNTIFS(SMP!$Q$5:$Q$457,AJ297,SMP!$O$5:$O$457,"&lt;46")</f>
        <v>1</v>
      </c>
      <c r="AK301" s="23">
        <f>COUNTIFS(SMP!$Q$5:$Q$457,AK297,SMP!$O$5:$O$457,"&lt;=60")-COUNTIFS(SMP!$Q$5:$Q$457,AK297,SMP!$O$5:$O$457,"&lt;46")</f>
        <v>0</v>
      </c>
      <c r="AL301" s="23">
        <f>COUNTIFS(SMP!$Q$5:$Q$457,AL297,SMP!$O$5:$O$457,"&lt;=60")-COUNTIFS(SMP!$Q$5:$Q$457,AL297,SMP!$O$5:$O$457,"&lt;46")</f>
        <v>3</v>
      </c>
      <c r="AM301" s="23">
        <f>COUNTIFS(SMP!$Q$5:$Q$457,AM297,SMP!$O$5:$O$457,"&lt;=60")-COUNTIFS(SMP!$Q$5:$Q$457,AM297,SMP!$O$5:$O$457,"&lt;46")</f>
        <v>3</v>
      </c>
      <c r="AN301" s="23">
        <f>COUNTIFS(SMP!$Q$5:$Q$457,AN297,SMP!$O$5:$O$457,"&lt;=60")-COUNTIFS(SMP!$Q$5:$Q$457,AN297,SMP!$O$5:$O$457,"&lt;46")</f>
        <v>0</v>
      </c>
      <c r="AO301" s="203">
        <f>COUNTIFS(SMP!$Q$5:$Q$457,AO297,SMP!$O$5:$O$457,"&lt;=60")-COUNTIFS(SMP!$Q$5:$Q$457,AO297,SMP!$O$5:$O$457,"&lt;46")</f>
        <v>0</v>
      </c>
    </row>
    <row r="302" spans="1:41" x14ac:dyDescent="0.3">
      <c r="B302" s="103" t="s">
        <v>12070</v>
      </c>
      <c r="C302" s="3">
        <f>COUNTIF(SSKA!$R$6:$R$464,"&gt;60")</f>
        <v>110</v>
      </c>
      <c r="D302" s="3">
        <f>COUNTIF(SJTA!$R$6:$R$331,"&gt;60")</f>
        <v>74</v>
      </c>
      <c r="E302" s="3">
        <f>COUNTIF(SPJ!$O$5:$O$136,"&gt;60")</f>
        <v>2</v>
      </c>
      <c r="F302" s="3">
        <f>COUNTIF(SMP!$O$6:$O$25,"&gt;60")</f>
        <v>2</v>
      </c>
      <c r="G302" s="3">
        <f t="shared" si="20"/>
        <v>188</v>
      </c>
      <c r="H302" s="88">
        <f t="shared" si="21"/>
        <v>0.20546448087431693</v>
      </c>
      <c r="M302" s="199" t="s">
        <v>12070</v>
      </c>
      <c r="N302" s="202">
        <f>COUNTIFS(SSKA!$T$5:$T$457,N297,SSKA!$R$5:$R$457,"&gt;60")</f>
        <v>50</v>
      </c>
      <c r="O302" s="23">
        <f>COUNTIFS(SSKA!$T$5:$T$457,O297,SSKA!$R$5:$R$457,"&gt;60")</f>
        <v>9</v>
      </c>
      <c r="P302" s="23">
        <f>COUNTIFS(SSKA!$T$5:$T$457,P297,SSKA!$R$5:$R$457,"&gt;60")</f>
        <v>25</v>
      </c>
      <c r="Q302" s="23">
        <f>COUNTIFS(SSKA!$T$5:$T$457,Q297,SSKA!$R$5:$R$457,"&gt;60")</f>
        <v>12</v>
      </c>
      <c r="R302" s="23">
        <f>COUNTIFS(SSKA!$T$5:$T$457,R297,SSKA!$R$5:$R$457,"&gt;60")</f>
        <v>4</v>
      </c>
      <c r="S302" s="23">
        <f>COUNTIFS(SSKA!$T$5:$T$457,S297,SSKA!$R$5:$R$457,"&gt;60")</f>
        <v>10</v>
      </c>
      <c r="T302" s="203">
        <f>COUNTIFS(SSKA!$T$5:$T$457,T297,SSKA!$R$5:$R$457,"&gt;60")</f>
        <v>0</v>
      </c>
      <c r="U302" s="202">
        <f>COUNTIFS(SJTA!$T$5:$T$457,U297,SJTA!$R$5:$R$457,"&gt;60")</f>
        <v>40</v>
      </c>
      <c r="V302" s="23">
        <f>COUNTIFS(SJTA!$T$5:$T$457,V297,SJTA!$R$5:$R$457,"&gt;60")</f>
        <v>3</v>
      </c>
      <c r="W302" s="23">
        <f>COUNTIFS(SJTA!$T$5:$T$457,W297,SJTA!$R$5:$R$457,"&gt;60")</f>
        <v>15</v>
      </c>
      <c r="X302" s="23">
        <f>COUNTIFS(SJTA!$T$5:$T$457,X297,SJTA!$R$5:$R$457,"&gt;60")</f>
        <v>8</v>
      </c>
      <c r="Y302" s="23">
        <f>COUNTIFS(SJTA!$T$5:$T$457,Y297,SJTA!$R$5:$R$457,"&gt;60")</f>
        <v>4</v>
      </c>
      <c r="Z302" s="23">
        <f>COUNTIFS(SJTA!$T$5:$T$457,Z297,SJTA!$R$5:$R$457,"&gt;60")</f>
        <v>4</v>
      </c>
      <c r="AA302" s="203">
        <f>COUNTIFS(SJTA!$T$5:$T$457,AA297,SJTA!$R$5:$R$457,"&gt;60")</f>
        <v>0</v>
      </c>
      <c r="AB302" s="202">
        <f>COUNTIFS(SPJ!$Q$5:$Q$457,AB297,SPJ!$O$5:$O$457,"&gt;60")</f>
        <v>1</v>
      </c>
      <c r="AC302" s="23">
        <f>COUNTIFS(SPJ!$Q$5:$Q$457,AC297,SPJ!$O$5:$O$457,"&gt;60")</f>
        <v>1</v>
      </c>
      <c r="AD302" s="23">
        <f>COUNTIFS(SPJ!$Q$5:$Q$457,AD297,SPJ!$O$5:$O$457,"&gt;60")</f>
        <v>0</v>
      </c>
      <c r="AE302" s="23">
        <f>COUNTIFS(SPJ!$Q$5:$Q$457,AE297,SPJ!$O$5:$O$457,"&gt;60")</f>
        <v>0</v>
      </c>
      <c r="AF302" s="23">
        <f>COUNTIFS(SPJ!$Q$5:$Q$457,AF297,SPJ!$O$5:$O$457,"&gt;60")</f>
        <v>0</v>
      </c>
      <c r="AG302" s="23">
        <f>COUNTIFS(SPJ!$Q$5:$Q$457,AG297,SPJ!$O$5:$O$457,"&gt;60")</f>
        <v>0</v>
      </c>
      <c r="AH302" s="203">
        <f>COUNTIFS(SPJ!$Q$5:$Q$457,AH297,SPJ!$O$5:$O$457,"&gt;60")</f>
        <v>0</v>
      </c>
      <c r="AI302" s="202">
        <f>COUNTIFS(SMP!$Q$5:$Q$457,AI297,SMP!$O$5:$O$457,"&gt;60")</f>
        <v>1</v>
      </c>
      <c r="AJ302" s="23">
        <f>COUNTIFS(SMP!$Q$5:$Q$457,AJ297,SMP!$O$5:$O$457,"&gt;60")</f>
        <v>0</v>
      </c>
      <c r="AK302" s="23">
        <f>COUNTIFS(SMP!$Q$5:$Q$457,AK297,SMP!$O$5:$O$457,"&gt;60")</f>
        <v>1</v>
      </c>
      <c r="AL302" s="23">
        <f>COUNTIFS(SMP!$Q$5:$Q$457,AL297,SMP!$O$5:$O$457,"&gt;60")</f>
        <v>0</v>
      </c>
      <c r="AM302" s="23">
        <f>COUNTIFS(SMP!$Q$5:$Q$457,AM297,SMP!$O$5:$O$457,"&gt;60")</f>
        <v>0</v>
      </c>
      <c r="AN302" s="23">
        <f>COUNTIFS(SMP!$Q$5:$Q$457,AN297,SMP!$O$5:$O$457,"&gt;60")</f>
        <v>0</v>
      </c>
      <c r="AO302" s="203">
        <f>COUNTIFS(SMP!$Q$5:$Q$457,AO297,SMP!$O$5:$O$457,"&gt;60")</f>
        <v>0</v>
      </c>
    </row>
    <row r="303" spans="1:41" ht="15" thickBot="1" x14ac:dyDescent="0.35">
      <c r="B303" s="72" t="s">
        <v>10743</v>
      </c>
      <c r="C303" s="72">
        <f>SUM(C298:C302)</f>
        <v>447</v>
      </c>
      <c r="D303" s="72">
        <f>SUM(D298:D302)</f>
        <v>316</v>
      </c>
      <c r="E303" s="72">
        <f>SUM(E298:E302)</f>
        <v>132</v>
      </c>
      <c r="F303" s="72">
        <f>SUM(F298:F302)</f>
        <v>20</v>
      </c>
      <c r="G303" s="72">
        <f>SUM(G298:G302)</f>
        <v>915</v>
      </c>
      <c r="H303" s="72"/>
      <c r="M303" s="143" t="s">
        <v>10743</v>
      </c>
      <c r="N303" s="204">
        <f>SUM(N298:N302)</f>
        <v>243</v>
      </c>
      <c r="O303" s="205">
        <f t="shared" ref="O303:T303" si="22">SUM(O298:O302)</f>
        <v>33</v>
      </c>
      <c r="P303" s="205">
        <f t="shared" si="22"/>
        <v>84</v>
      </c>
      <c r="Q303" s="205">
        <f t="shared" si="22"/>
        <v>33</v>
      </c>
      <c r="R303" s="205">
        <f t="shared" si="22"/>
        <v>27</v>
      </c>
      <c r="S303" s="205">
        <f t="shared" si="22"/>
        <v>27</v>
      </c>
      <c r="T303" s="206">
        <f t="shared" si="22"/>
        <v>0</v>
      </c>
      <c r="U303" s="209">
        <f>SUM(U298:U302)</f>
        <v>178</v>
      </c>
      <c r="V303" s="210">
        <f t="shared" ref="V303" si="23">SUM(V298:V302)</f>
        <v>17</v>
      </c>
      <c r="W303" s="210">
        <f t="shared" ref="W303" si="24">SUM(W298:W302)</f>
        <v>66</v>
      </c>
      <c r="X303" s="210">
        <f t="shared" ref="X303" si="25">SUM(X298:X302)</f>
        <v>18</v>
      </c>
      <c r="Y303" s="210">
        <f t="shared" ref="Y303" si="26">SUM(Y298:Y302)</f>
        <v>18</v>
      </c>
      <c r="Z303" s="210">
        <f t="shared" ref="Z303" si="27">SUM(Z298:Z302)</f>
        <v>18</v>
      </c>
      <c r="AA303" s="211">
        <f t="shared" ref="AA303" si="28">SUM(AA298:AA302)</f>
        <v>1</v>
      </c>
      <c r="AB303" s="214">
        <f t="shared" ref="AB303:AK303" si="29">SUM(AB298:AB302)</f>
        <v>84</v>
      </c>
      <c r="AC303" s="215">
        <f t="shared" si="29"/>
        <v>8</v>
      </c>
      <c r="AD303" s="215">
        <f t="shared" si="29"/>
        <v>28</v>
      </c>
      <c r="AE303" s="215">
        <f t="shared" si="29"/>
        <v>11</v>
      </c>
      <c r="AF303" s="215">
        <f t="shared" si="29"/>
        <v>7</v>
      </c>
      <c r="AG303" s="215">
        <f t="shared" si="29"/>
        <v>1</v>
      </c>
      <c r="AH303" s="216">
        <f t="shared" si="29"/>
        <v>0</v>
      </c>
      <c r="AI303" s="219">
        <f t="shared" si="29"/>
        <v>7</v>
      </c>
      <c r="AJ303" s="220">
        <f t="shared" si="29"/>
        <v>2</v>
      </c>
      <c r="AK303" s="220">
        <f t="shared" si="29"/>
        <v>1</v>
      </c>
      <c r="AL303" s="220">
        <f t="shared" ref="AL303" si="30">SUM(AL298:AL302)</f>
        <v>7</v>
      </c>
      <c r="AM303" s="220">
        <f t="shared" ref="AM303" si="31">SUM(AM298:AM302)</f>
        <v>4</v>
      </c>
      <c r="AN303" s="220">
        <f t="shared" ref="AN303" si="32">SUM(AN298:AN302)</f>
        <v>1</v>
      </c>
      <c r="AO303" s="221">
        <f t="shared" ref="AO303" si="33">SUM(AO298:AO302)</f>
        <v>0</v>
      </c>
    </row>
    <row r="305" spans="1:41" ht="15" thickBot="1" x14ac:dyDescent="0.35">
      <c r="A305" s="58">
        <v>9</v>
      </c>
      <c r="B305" s="24" t="s">
        <v>12094</v>
      </c>
      <c r="M305" s="24" t="s">
        <v>24221</v>
      </c>
    </row>
    <row r="306" spans="1:41" x14ac:dyDescent="0.3">
      <c r="M306" s="225" t="s">
        <v>24219</v>
      </c>
      <c r="N306" s="291" t="s">
        <v>12090</v>
      </c>
      <c r="O306" s="292"/>
      <c r="P306" s="292"/>
      <c r="Q306" s="292"/>
      <c r="R306" s="292"/>
      <c r="S306" s="292"/>
      <c r="T306" s="293"/>
      <c r="U306" s="299" t="s">
        <v>12091</v>
      </c>
      <c r="V306" s="300"/>
      <c r="W306" s="300"/>
      <c r="X306" s="300"/>
      <c r="Y306" s="300"/>
      <c r="Z306" s="300"/>
      <c r="AA306" s="301"/>
      <c r="AB306" s="302" t="s">
        <v>12092</v>
      </c>
      <c r="AC306" s="303"/>
      <c r="AD306" s="303"/>
      <c r="AE306" s="303"/>
      <c r="AF306" s="303"/>
      <c r="AG306" s="303"/>
      <c r="AH306" s="304"/>
      <c r="AI306" s="312" t="s">
        <v>12093</v>
      </c>
      <c r="AJ306" s="313"/>
      <c r="AK306" s="313"/>
      <c r="AL306" s="313"/>
      <c r="AM306" s="313"/>
      <c r="AN306" s="313"/>
      <c r="AO306" s="314"/>
    </row>
    <row r="307" spans="1:41" x14ac:dyDescent="0.3">
      <c r="B307" s="72" t="s">
        <v>9804</v>
      </c>
      <c r="C307" s="72" t="s">
        <v>12090</v>
      </c>
      <c r="D307" s="72" t="s">
        <v>12091</v>
      </c>
      <c r="E307" s="72" t="s">
        <v>12092</v>
      </c>
      <c r="F307" s="72" t="s">
        <v>12093</v>
      </c>
      <c r="G307" s="72" t="s">
        <v>9801</v>
      </c>
      <c r="H307" s="80" t="s">
        <v>9803</v>
      </c>
      <c r="M307" s="143" t="s">
        <v>9804</v>
      </c>
      <c r="N307" s="200" t="s">
        <v>20486</v>
      </c>
      <c r="O307" s="192" t="s">
        <v>20487</v>
      </c>
      <c r="P307" s="192" t="s">
        <v>20488</v>
      </c>
      <c r="Q307" s="192" t="s">
        <v>20491</v>
      </c>
      <c r="R307" s="192" t="s">
        <v>20489</v>
      </c>
      <c r="S307" s="192" t="s">
        <v>20490</v>
      </c>
      <c r="T307" s="201" t="s">
        <v>24217</v>
      </c>
      <c r="U307" s="207" t="s">
        <v>20486</v>
      </c>
      <c r="V307" s="99" t="s">
        <v>20487</v>
      </c>
      <c r="W307" s="99" t="s">
        <v>20488</v>
      </c>
      <c r="X307" s="99" t="s">
        <v>20491</v>
      </c>
      <c r="Y307" s="99" t="s">
        <v>20489</v>
      </c>
      <c r="Z307" s="99" t="s">
        <v>20490</v>
      </c>
      <c r="AA307" s="208" t="s">
        <v>24217</v>
      </c>
      <c r="AB307" s="212" t="s">
        <v>20486</v>
      </c>
      <c r="AC307" s="103" t="s">
        <v>20487</v>
      </c>
      <c r="AD307" s="103" t="s">
        <v>20488</v>
      </c>
      <c r="AE307" s="103" t="s">
        <v>20491</v>
      </c>
      <c r="AF307" s="103" t="s">
        <v>20489</v>
      </c>
      <c r="AG307" s="103" t="s">
        <v>20490</v>
      </c>
      <c r="AH307" s="213" t="s">
        <v>24217</v>
      </c>
      <c r="AI307" s="217" t="s">
        <v>20486</v>
      </c>
      <c r="AJ307" s="193" t="s">
        <v>20487</v>
      </c>
      <c r="AK307" s="193" t="s">
        <v>20488</v>
      </c>
      <c r="AL307" s="193" t="s">
        <v>20491</v>
      </c>
      <c r="AM307" s="193" t="s">
        <v>20489</v>
      </c>
      <c r="AN307" s="193" t="s">
        <v>20490</v>
      </c>
      <c r="AO307" s="218" t="s">
        <v>24217</v>
      </c>
    </row>
    <row r="308" spans="1:41" x14ac:dyDescent="0.3">
      <c r="B308" s="67" t="s">
        <v>46</v>
      </c>
      <c r="C308" s="2">
        <f>COUNTIF(SSKA!$S$6:$S$464,$B308)</f>
        <v>90</v>
      </c>
      <c r="D308" s="2">
        <f>COUNTIF(SJTA!$S$6:$S$331,B308)</f>
        <v>42</v>
      </c>
      <c r="E308" s="2">
        <f>COUNTIF(SPJ!$P$5:$P$143,B308)</f>
        <v>29</v>
      </c>
      <c r="F308" s="2">
        <f>COUNTIF(SMP!$P$6:$P$30,B308)</f>
        <v>7</v>
      </c>
      <c r="G308" s="3">
        <f t="shared" ref="G308:G321" si="34">SUM(C308:F308)</f>
        <v>168</v>
      </c>
      <c r="H308" s="81">
        <f>G308/$G$322</f>
        <v>0.18181818181818182</v>
      </c>
      <c r="M308" s="226" t="s">
        <v>46</v>
      </c>
      <c r="N308" s="264">
        <f>COUNTIFS(SSKA!$S$6:$S$457,$M308,SSKA!$T$6:$T$457,N$307)</f>
        <v>50</v>
      </c>
      <c r="O308" s="53">
        <f>COUNTIFS(SSKA!$S$6:$S$457,$M308,SSKA!$T$6:$T$457,O$307)</f>
        <v>9</v>
      </c>
      <c r="P308" s="23">
        <f>COUNTIFS(SSKA!$S$6:$S$457,$M308,SSKA!$T$6:$T$457,P$307)</f>
        <v>7</v>
      </c>
      <c r="Q308" s="53">
        <f>COUNTIFS(SSKA!$S$6:$S$457,$M308,SSKA!$T$6:$T$457,Q$307)</f>
        <v>9</v>
      </c>
      <c r="R308" s="53">
        <f>COUNTIFS(SSKA!$S$6:$S$457,$M308,SSKA!$T$6:$T$457,R$307)</f>
        <v>8</v>
      </c>
      <c r="S308" s="53">
        <f>COUNTIFS(SSKA!$S$6:$S$457,$M308,SSKA!$T$6:$T$457,S$307)</f>
        <v>7</v>
      </c>
      <c r="T308" s="203">
        <f>COUNTIFS(SSKA!$S$6:$S$457,$M308,SSKA!$T$6:$T$457,T$307)</f>
        <v>0</v>
      </c>
      <c r="U308" s="202">
        <f>COUNTIFS(SJTA!$S$6:$S$457,$M308,SJTA!$T$6:$T$457,U$307)</f>
        <v>22</v>
      </c>
      <c r="V308" s="53">
        <f>COUNTIFS(SJTA!$S$6:$S$457,$M308,SJTA!$T$6:$T$457,V$307)</f>
        <v>6</v>
      </c>
      <c r="W308" s="23">
        <f>COUNTIFS(SJTA!$S$6:$S$457,$M308,SJTA!$T$6:$T$457,W$307)</f>
        <v>6</v>
      </c>
      <c r="X308" s="23">
        <f>COUNTIFS(SJTA!$S$6:$S$457,$M308,SJTA!$T$6:$T$457,X$307)</f>
        <v>0</v>
      </c>
      <c r="Y308" s="23">
        <f>COUNTIFS(SJTA!$S$6:$S$457,$M308,SJTA!$T$6:$T$457,Y$307)</f>
        <v>7</v>
      </c>
      <c r="Z308" s="23">
        <f>COUNTIFS(SJTA!$S$6:$S$457,$M308,SJTA!$T$6:$T$457,Z$307)</f>
        <v>1</v>
      </c>
      <c r="AA308" s="203">
        <f>COUNTIFS(SJTA!$S$6:$S$457,$M308,SJTA!$T$6:$T$457,AA$307)</f>
        <v>0</v>
      </c>
      <c r="AB308" s="264">
        <f>COUNTIFS(SPJ!$Q$5:$Q$143,AB$307,SPJ!$P$5:$P$143,$M308)</f>
        <v>19</v>
      </c>
      <c r="AC308" s="23">
        <f>COUNTIFS(SPJ!$Q$5:$Q$143,AC$307,SPJ!$P$5:$P$143,$M308)</f>
        <v>0</v>
      </c>
      <c r="AD308" s="53">
        <f>COUNTIFS(SPJ!$Q$5:$Q$143,AD$307,SPJ!$P$5:$P$143,$M308)</f>
        <v>6</v>
      </c>
      <c r="AE308" s="23">
        <f>COUNTIFS(SPJ!$Q$5:$Q$143,AE$307,SPJ!$P$5:$P$143,$M308)</f>
        <v>3</v>
      </c>
      <c r="AF308" s="23">
        <f>COUNTIFS(SPJ!$Q$5:$Q$143,AF$307,SPJ!$P$5:$P$143,$M308)</f>
        <v>1</v>
      </c>
      <c r="AG308" s="23">
        <f>COUNTIFS(SPJ!$Q$5:$Q$143,AG$307,SPJ!$P$5:$P$143,$M308)</f>
        <v>0</v>
      </c>
      <c r="AH308" s="203">
        <f>COUNTIFS(SPJ!$Q$5:$Q$143,AH$307,SPJ!$P$5:$P$143,$M308)</f>
        <v>0</v>
      </c>
      <c r="AI308" s="202">
        <f>COUNTIFS(SMP!$Q$5:$Q$143,AI$307,SMP!$P$5:$P$143,$M308)</f>
        <v>1</v>
      </c>
      <c r="AJ308" s="23">
        <f>COUNTIFS(SMP!$Q$5:$Q$143,AJ$307,SMP!$P$5:$P$143,$M308)</f>
        <v>1</v>
      </c>
      <c r="AK308" s="23">
        <f>COUNTIFS(SMP!$Q$5:$Q$143,AK$307,SMP!$P$5:$P$143,$M308)</f>
        <v>0</v>
      </c>
      <c r="AL308" s="23">
        <f>COUNTIFS(SMP!$Q$5:$Q$143,AL$307,SMP!$P$5:$P$143,$M308)</f>
        <v>1</v>
      </c>
      <c r="AM308" s="23">
        <f>COUNTIFS(SMP!$Q$5:$Q$143,AM$307,SMP!$P$5:$P$143,$M308)</f>
        <v>3</v>
      </c>
      <c r="AN308" s="23">
        <f>COUNTIFS(SMP!$Q$5:$Q$143,AN$307,SMP!$P$5:$P$143,$M308)</f>
        <v>1</v>
      </c>
      <c r="AO308" s="203">
        <f>COUNTIFS(SMP!$Q$5:$Q$143,AO$307,SMP!$P$5:$P$143,$M308)</f>
        <v>0</v>
      </c>
    </row>
    <row r="309" spans="1:41" x14ac:dyDescent="0.3">
      <c r="B309" s="67" t="s">
        <v>9788</v>
      </c>
      <c r="C309" s="56">
        <f>COUNTIF(SSKA!$S$6:$S$464,$B309)</f>
        <v>98</v>
      </c>
      <c r="D309" s="56">
        <f>COUNTIF(SJTA!$S$6:$S$331,B309)</f>
        <v>71</v>
      </c>
      <c r="E309" s="56">
        <f>COUNTIF(SPJ!$P$5:$P$143,B309)</f>
        <v>34</v>
      </c>
      <c r="F309" s="56">
        <f>COUNTIF(SMP!$P$6:$P$30,B309)</f>
        <v>9</v>
      </c>
      <c r="G309" s="3">
        <f t="shared" si="34"/>
        <v>212</v>
      </c>
      <c r="H309" s="81">
        <f t="shared" ref="H309:H321" si="35">G309/$G$322</f>
        <v>0.22943722943722944</v>
      </c>
      <c r="M309" s="226" t="s">
        <v>9788</v>
      </c>
      <c r="N309" s="264">
        <f>COUNTIFS(SSKA!$S$6:$S$457,$M309,SSKA!$T$6:$T$457,N$307)</f>
        <v>50</v>
      </c>
      <c r="O309" s="53">
        <f>COUNTIFS(SSKA!$S$6:$S$457,$M309,SSKA!$T$6:$T$457,O$307)</f>
        <v>9</v>
      </c>
      <c r="P309" s="53">
        <f>COUNTIFS(SSKA!$S$6:$S$457,$M309,SSKA!$T$6:$T$457,P$307)</f>
        <v>24</v>
      </c>
      <c r="Q309" s="23">
        <f>COUNTIFS(SSKA!$S$6:$S$457,$M309,SSKA!$T$6:$T$457,Q$307)</f>
        <v>5</v>
      </c>
      <c r="R309" s="23">
        <f>COUNTIFS(SSKA!$S$6:$S$457,$M309,SSKA!$T$6:$T$457,R$307)</f>
        <v>5</v>
      </c>
      <c r="S309" s="23">
        <f>COUNTIFS(SSKA!$S$6:$S$457,$M309,SSKA!$T$6:$T$457,S$307)</f>
        <v>5</v>
      </c>
      <c r="T309" s="203">
        <f>COUNTIFS(SSKA!$S$6:$S$457,$M309,SSKA!$T$6:$T$457,T$307)</f>
        <v>0</v>
      </c>
      <c r="U309" s="264">
        <f>COUNTIFS(SJTA!$S$6:$S$457,$M309,SJTA!$T$6:$T$457,U$307)</f>
        <v>38</v>
      </c>
      <c r="V309" s="23">
        <f>COUNTIFS(SJTA!$S$6:$S$457,$M309,SJTA!$T$6:$T$457,V$307)</f>
        <v>4</v>
      </c>
      <c r="W309" s="23">
        <f>COUNTIFS(SJTA!$S$6:$S$457,$M309,SJTA!$T$6:$T$457,W$307)</f>
        <v>9</v>
      </c>
      <c r="X309" s="53">
        <f>COUNTIFS(SJTA!$S$6:$S$457,$M309,SJTA!$T$6:$T$457,X$307)</f>
        <v>7</v>
      </c>
      <c r="Y309" s="53">
        <f>COUNTIFS(SJTA!$S$6:$S$457,$M309,SJTA!$T$6:$T$457,Y$307)</f>
        <v>4</v>
      </c>
      <c r="Z309" s="53">
        <f>COUNTIFS(SJTA!$S$6:$S$457,$M309,SJTA!$T$6:$T$457,Z$307)</f>
        <v>9</v>
      </c>
      <c r="AA309" s="203">
        <f>COUNTIFS(SJTA!$S$6:$S$457,$M309,SJTA!$T$6:$T$457,AA$307)</f>
        <v>0</v>
      </c>
      <c r="AB309" s="264">
        <f>COUNTIFS(SPJ!$Q$5:$Q$143,AB$307,SPJ!$P$5:$P$143,$M309)</f>
        <v>19</v>
      </c>
      <c r="AC309" s="53">
        <f>COUNTIFS(SPJ!$Q$5:$Q$143,AC$307,SPJ!$P$5:$P$143,$M309)</f>
        <v>3</v>
      </c>
      <c r="AD309" s="23">
        <f>COUNTIFS(SPJ!$Q$5:$Q$143,AD$307,SPJ!$P$5:$P$143,$M309)</f>
        <v>5</v>
      </c>
      <c r="AE309" s="53">
        <f>COUNTIFS(SPJ!$Q$5:$Q$143,AE$307,SPJ!$P$5:$P$143,$M309)</f>
        <v>4</v>
      </c>
      <c r="AF309" s="53">
        <f>COUNTIFS(SPJ!$Q$5:$Q$143,AF$307,SPJ!$P$5:$P$143,$M309)</f>
        <v>2</v>
      </c>
      <c r="AG309" s="23">
        <f>COUNTIFS(SPJ!$Q$5:$Q$143,AG$307,SPJ!$P$5:$P$143,$M309)</f>
        <v>1</v>
      </c>
      <c r="AH309" s="203">
        <f>COUNTIFS(SPJ!$Q$5:$Q$143,AH$307,SPJ!$P$5:$P$143,$M309)</f>
        <v>0</v>
      </c>
      <c r="AI309" s="264">
        <f>COUNTIFS(SMP!$Q$5:$Q$143,AI$307,SMP!$P$5:$P$143,$M309)</f>
        <v>5</v>
      </c>
      <c r="AJ309" s="23">
        <f>COUNTIFS(SMP!$Q$5:$Q$143,AJ$307,SMP!$P$5:$P$143,$M309)</f>
        <v>0</v>
      </c>
      <c r="AK309" s="23">
        <f>COUNTIFS(SMP!$Q$5:$Q$143,AK$307,SMP!$P$5:$P$143,$M309)</f>
        <v>0</v>
      </c>
      <c r="AL309" s="53">
        <f>COUNTIFS(SMP!$Q$5:$Q$143,AL$307,SMP!$P$5:$P$143,$M309)</f>
        <v>4</v>
      </c>
      <c r="AM309" s="23">
        <f>COUNTIFS(SMP!$Q$5:$Q$143,AM$307,SMP!$P$5:$P$143,$M309)</f>
        <v>0</v>
      </c>
      <c r="AN309" s="23">
        <f>COUNTIFS(SMP!$Q$5:$Q$143,AN$307,SMP!$P$5:$P$143,$M309)</f>
        <v>0</v>
      </c>
      <c r="AO309" s="203">
        <f>COUNTIFS(SMP!$Q$5:$Q$143,AO$307,SMP!$P$5:$P$143,$M309)</f>
        <v>0</v>
      </c>
    </row>
    <row r="310" spans="1:41" x14ac:dyDescent="0.3">
      <c r="B310" s="67" t="s">
        <v>9785</v>
      </c>
      <c r="C310" s="2">
        <f>COUNTIF(SSKA!$S$6:$S$464,$B310)</f>
        <v>41</v>
      </c>
      <c r="D310" s="2">
        <f>COUNTIF(SJTA!$S$6:$S$331,B310)</f>
        <v>37</v>
      </c>
      <c r="E310" s="2">
        <f>COUNTIF(SPJ!$P$5:$P$143,B310)</f>
        <v>14</v>
      </c>
      <c r="F310" s="2">
        <f>COUNTIF(SMP!$P$6:$P$30,B310)</f>
        <v>1</v>
      </c>
      <c r="G310" s="3">
        <f t="shared" si="34"/>
        <v>93</v>
      </c>
      <c r="H310" s="81">
        <f t="shared" si="35"/>
        <v>0.10064935064935066</v>
      </c>
      <c r="M310" s="226" t="s">
        <v>9785</v>
      </c>
      <c r="N310" s="202">
        <f>COUNTIFS(SSKA!$S$6:$S$457,$M310,SSKA!$T$6:$T$457,N$307)</f>
        <v>17</v>
      </c>
      <c r="O310" s="23">
        <f>COUNTIFS(SSKA!$S$6:$S$457,$M310,SSKA!$T$6:$T$457,O$307)</f>
        <v>5</v>
      </c>
      <c r="P310" s="23">
        <f>COUNTIFS(SSKA!$S$6:$S$457,$M310,SSKA!$T$6:$T$457,P$307)</f>
        <v>12</v>
      </c>
      <c r="Q310" s="23">
        <f>COUNTIFS(SSKA!$S$6:$S$457,$M310,SSKA!$T$6:$T$457,Q$307)</f>
        <v>1</v>
      </c>
      <c r="R310" s="23">
        <f>COUNTIFS(SSKA!$S$6:$S$457,$M310,SSKA!$T$6:$T$457,R$307)</f>
        <v>5</v>
      </c>
      <c r="S310" s="23">
        <f>COUNTIFS(SSKA!$S$6:$S$457,$M310,SSKA!$T$6:$T$457,S$307)</f>
        <v>1</v>
      </c>
      <c r="T310" s="203">
        <f>COUNTIFS(SSKA!$S$6:$S$457,$M310,SSKA!$T$6:$T$457,T$307)</f>
        <v>0</v>
      </c>
      <c r="U310" s="202">
        <f>COUNTIFS(SJTA!$S$6:$S$457,$M310,SJTA!$T$6:$T$457,U$307)</f>
        <v>18</v>
      </c>
      <c r="V310" s="23">
        <f>COUNTIFS(SJTA!$S$6:$S$457,$M310,SJTA!$T$6:$T$457,V$307)</f>
        <v>4</v>
      </c>
      <c r="W310" s="53">
        <f>COUNTIFS(SJTA!$S$6:$S$457,$M310,SJTA!$T$6:$T$457,W$307)</f>
        <v>14</v>
      </c>
      <c r="X310" s="23">
        <f>COUNTIFS(SJTA!$S$6:$S$457,$M310,SJTA!$T$6:$T$457,X$307)</f>
        <v>0</v>
      </c>
      <c r="Y310" s="23">
        <f>COUNTIFS(SJTA!$S$6:$S$457,$M310,SJTA!$T$6:$T$457,Y$307)</f>
        <v>1</v>
      </c>
      <c r="Z310" s="23">
        <f>COUNTIFS(SJTA!$S$6:$S$457,$M310,SJTA!$T$6:$T$457,Z$307)</f>
        <v>0</v>
      </c>
      <c r="AA310" s="203">
        <f>COUNTIFS(SJTA!$S$6:$S$457,$M310,SJTA!$T$6:$T$457,AA$307)</f>
        <v>0</v>
      </c>
      <c r="AB310" s="202">
        <f>COUNTIFS(SPJ!$Q$5:$Q$143,AB$307,SPJ!$P$5:$P$143,$M310)</f>
        <v>3</v>
      </c>
      <c r="AC310" s="23">
        <f>COUNTIFS(SPJ!$Q$5:$Q$143,AC$307,SPJ!$P$5:$P$143,$M310)</f>
        <v>1</v>
      </c>
      <c r="AD310" s="53">
        <f>COUNTIFS(SPJ!$Q$5:$Q$143,AD$307,SPJ!$P$5:$P$143,$M310)</f>
        <v>6</v>
      </c>
      <c r="AE310" s="23">
        <f>COUNTIFS(SPJ!$Q$5:$Q$143,AE$307,SPJ!$P$5:$P$143,$M310)</f>
        <v>2</v>
      </c>
      <c r="AF310" s="53">
        <f>COUNTIFS(SPJ!$Q$5:$Q$143,AF$307,SPJ!$P$5:$P$143,$M310)</f>
        <v>2</v>
      </c>
      <c r="AG310" s="23">
        <f>COUNTIFS(SPJ!$Q$5:$Q$143,AG$307,SPJ!$P$5:$P$143,$M310)</f>
        <v>0</v>
      </c>
      <c r="AH310" s="203">
        <f>COUNTIFS(SPJ!$Q$5:$Q$143,AH$307,SPJ!$P$5:$P$143,$M310)</f>
        <v>0</v>
      </c>
      <c r="AI310" s="202">
        <f>COUNTIFS(SMP!$Q$5:$Q$143,AI$307,SMP!$P$5:$P$143,$M310)</f>
        <v>0</v>
      </c>
      <c r="AJ310" s="23">
        <f>COUNTIFS(SMP!$Q$5:$Q$143,AJ$307,SMP!$P$5:$P$143,$M310)</f>
        <v>0</v>
      </c>
      <c r="AK310" s="23">
        <f>COUNTIFS(SMP!$Q$5:$Q$143,AK$307,SMP!$P$5:$P$143,$M310)</f>
        <v>0</v>
      </c>
      <c r="AL310" s="23">
        <f>COUNTIFS(SMP!$Q$5:$Q$143,AL$307,SMP!$P$5:$P$143,$M310)</f>
        <v>1</v>
      </c>
      <c r="AM310" s="23">
        <f>COUNTIFS(SMP!$Q$5:$Q$143,AM$307,SMP!$P$5:$P$143,$M310)</f>
        <v>0</v>
      </c>
      <c r="AN310" s="23">
        <f>COUNTIFS(SMP!$Q$5:$Q$143,AN$307,SMP!$P$5:$P$143,$M310)</f>
        <v>0</v>
      </c>
      <c r="AO310" s="203">
        <f>COUNTIFS(SMP!$Q$5:$Q$143,AO$307,SMP!$P$5:$P$143,$M310)</f>
        <v>0</v>
      </c>
    </row>
    <row r="311" spans="1:41" x14ac:dyDescent="0.3">
      <c r="B311" s="67" t="s">
        <v>12099</v>
      </c>
      <c r="C311" s="2">
        <f>COUNTIF(SSKA!$S$6:$S$464,$B311)</f>
        <v>23</v>
      </c>
      <c r="D311" s="2">
        <f>COUNTIF(SJTA!$S$6:$S$331,B311)</f>
        <v>15</v>
      </c>
      <c r="E311" s="2">
        <f>COUNTIF(SPJ!$P$5:$P$143,B311)</f>
        <v>12</v>
      </c>
      <c r="F311" s="2">
        <f>COUNTIF(SMP!$P$6:$P$30,B311)</f>
        <v>2</v>
      </c>
      <c r="G311" s="3">
        <f t="shared" si="34"/>
        <v>52</v>
      </c>
      <c r="H311" s="81">
        <f t="shared" si="35"/>
        <v>5.627705627705628E-2</v>
      </c>
      <c r="M311" s="226" t="s">
        <v>12099</v>
      </c>
      <c r="N311" s="202">
        <f>COUNTIFS(SSKA!$S$6:$S$457,$M311,SSKA!$T$6:$T$457,N$307)</f>
        <v>21</v>
      </c>
      <c r="O311" s="23">
        <f>COUNTIFS(SSKA!$S$6:$S$457,$M311,SSKA!$T$6:$T$457,O$307)</f>
        <v>0</v>
      </c>
      <c r="P311" s="23">
        <f>COUNTIFS(SSKA!$S$6:$S$457,$M311,SSKA!$T$6:$T$457,P$307)</f>
        <v>1</v>
      </c>
      <c r="Q311" s="23">
        <f>COUNTIFS(SSKA!$S$6:$S$457,$M311,SSKA!$T$6:$T$457,Q$307)</f>
        <v>1</v>
      </c>
      <c r="R311" s="23">
        <f>COUNTIFS(SSKA!$S$6:$S$457,$M311,SSKA!$T$6:$T$457,R$307)</f>
        <v>0</v>
      </c>
      <c r="S311" s="23">
        <f>COUNTIFS(SSKA!$S$6:$S$457,$M311,SSKA!$T$6:$T$457,S$307)</f>
        <v>0</v>
      </c>
      <c r="T311" s="203">
        <f>COUNTIFS(SSKA!$S$6:$S$457,$M311,SSKA!$T$6:$T$457,T$307)</f>
        <v>0</v>
      </c>
      <c r="U311" s="202">
        <f>COUNTIFS(SJTA!$S$6:$S$457,$M311,SJTA!$T$6:$T$457,U$307)</f>
        <v>10</v>
      </c>
      <c r="V311" s="23">
        <f>COUNTIFS(SJTA!$S$6:$S$457,$M311,SJTA!$T$6:$T$457,V$307)</f>
        <v>0</v>
      </c>
      <c r="W311" s="23">
        <f>COUNTIFS(SJTA!$S$6:$S$457,$M311,SJTA!$T$6:$T$457,W$307)</f>
        <v>2</v>
      </c>
      <c r="X311" s="23">
        <f>COUNTIFS(SJTA!$S$6:$S$457,$M311,SJTA!$T$6:$T$457,X$307)</f>
        <v>3</v>
      </c>
      <c r="Y311" s="23">
        <f>COUNTIFS(SJTA!$S$6:$S$457,$M311,SJTA!$T$6:$T$457,Y$307)</f>
        <v>0</v>
      </c>
      <c r="Z311" s="23">
        <f>COUNTIFS(SJTA!$S$6:$S$457,$M311,SJTA!$T$6:$T$457,Z$307)</f>
        <v>0</v>
      </c>
      <c r="AA311" s="203">
        <f>COUNTIFS(SJTA!$S$6:$S$457,$M311,SJTA!$T$6:$T$457,AA$307)</f>
        <v>0</v>
      </c>
      <c r="AB311" s="202">
        <f>COUNTIFS(SPJ!$Q$5:$Q$143,AB$307,SPJ!$P$5:$P$143,$M311)</f>
        <v>10</v>
      </c>
      <c r="AC311" s="23">
        <f>COUNTIFS(SPJ!$Q$5:$Q$143,AC$307,SPJ!$P$5:$P$143,$M311)</f>
        <v>1</v>
      </c>
      <c r="AD311" s="23">
        <f>COUNTIFS(SPJ!$Q$5:$Q$143,AD$307,SPJ!$P$5:$P$143,$M311)</f>
        <v>1</v>
      </c>
      <c r="AE311" s="23">
        <f>COUNTIFS(SPJ!$Q$5:$Q$143,AE$307,SPJ!$P$5:$P$143,$M311)</f>
        <v>0</v>
      </c>
      <c r="AF311" s="23">
        <f>COUNTIFS(SPJ!$Q$5:$Q$143,AF$307,SPJ!$P$5:$P$143,$M311)</f>
        <v>0</v>
      </c>
      <c r="AG311" s="23">
        <f>COUNTIFS(SPJ!$Q$5:$Q$143,AG$307,SPJ!$P$5:$P$143,$M311)</f>
        <v>0</v>
      </c>
      <c r="AH311" s="203">
        <f>COUNTIFS(SPJ!$Q$5:$Q$143,AH$307,SPJ!$P$5:$P$143,$M311)</f>
        <v>0</v>
      </c>
      <c r="AI311" s="202">
        <f>COUNTIFS(SMP!$Q$5:$Q$143,AI$307,SMP!$P$5:$P$143,$M311)</f>
        <v>1</v>
      </c>
      <c r="AJ311" s="23">
        <f>COUNTIFS(SMP!$Q$5:$Q$143,AJ$307,SMP!$P$5:$P$143,$M311)</f>
        <v>1</v>
      </c>
      <c r="AK311" s="23">
        <f>COUNTIFS(SMP!$Q$5:$Q$143,AK$307,SMP!$P$5:$P$143,$M311)</f>
        <v>0</v>
      </c>
      <c r="AL311" s="23">
        <f>COUNTIFS(SMP!$Q$5:$Q$143,AL$307,SMP!$P$5:$P$143,$M311)</f>
        <v>0</v>
      </c>
      <c r="AM311" s="23">
        <f>COUNTIFS(SMP!$Q$5:$Q$143,AM$307,SMP!$P$5:$P$143,$M311)</f>
        <v>0</v>
      </c>
      <c r="AN311" s="23">
        <f>COUNTIFS(SMP!$Q$5:$Q$143,AN$307,SMP!$P$5:$P$143,$M311)</f>
        <v>0</v>
      </c>
      <c r="AO311" s="203">
        <f>COUNTIFS(SMP!$Q$5:$Q$143,AO$307,SMP!$P$5:$P$143,$M311)</f>
        <v>0</v>
      </c>
    </row>
    <row r="312" spans="1:41" x14ac:dyDescent="0.3">
      <c r="B312" s="67" t="s">
        <v>337</v>
      </c>
      <c r="C312" s="2">
        <f>COUNTIF(SSKA!$S$6:$S$464,$B312)</f>
        <v>17</v>
      </c>
      <c r="D312" s="2">
        <f>COUNTIF(SJTA!$S$6:$S$331,B312)</f>
        <v>25</v>
      </c>
      <c r="E312" s="2">
        <f>COUNTIF(SPJ!$P$5:$P$143,B312)</f>
        <v>13</v>
      </c>
      <c r="F312" s="2">
        <f>COUNTIF(SMP!$P$6:$P$30,B312)</f>
        <v>0</v>
      </c>
      <c r="G312" s="3">
        <f t="shared" si="34"/>
        <v>55</v>
      </c>
      <c r="H312" s="81">
        <f t="shared" si="35"/>
        <v>5.9523809523809521E-2</v>
      </c>
      <c r="M312" s="226" t="s">
        <v>337</v>
      </c>
      <c r="N312" s="202">
        <f>COUNTIFS(SSKA!$S$6:$S$457,$M312,SSKA!$T$6:$T$457,N$307)</f>
        <v>12</v>
      </c>
      <c r="O312" s="23">
        <f>COUNTIFS(SSKA!$S$6:$S$457,$M312,SSKA!$T$6:$T$457,O$307)</f>
        <v>2</v>
      </c>
      <c r="P312" s="23">
        <f>COUNTIFS(SSKA!$S$6:$S$457,$M312,SSKA!$T$6:$T$457,P$307)</f>
        <v>1</v>
      </c>
      <c r="Q312" s="23">
        <f>COUNTIFS(SSKA!$S$6:$S$457,$M312,SSKA!$T$6:$T$457,Q$307)</f>
        <v>0</v>
      </c>
      <c r="R312" s="23">
        <f>COUNTIFS(SSKA!$S$6:$S$457,$M312,SSKA!$T$6:$T$457,R$307)</f>
        <v>1</v>
      </c>
      <c r="S312" s="23">
        <f>COUNTIFS(SSKA!$S$6:$S$457,$M312,SSKA!$T$6:$T$457,S$307)</f>
        <v>1</v>
      </c>
      <c r="T312" s="203">
        <f>COUNTIFS(SSKA!$S$6:$S$457,$M312,SSKA!$T$6:$T$457,T$307)</f>
        <v>0</v>
      </c>
      <c r="U312" s="202">
        <f>COUNTIFS(SJTA!$S$6:$S$457,$M312,SJTA!$T$6:$T$457,U$307)</f>
        <v>11</v>
      </c>
      <c r="V312" s="23">
        <f>COUNTIFS(SJTA!$S$6:$S$457,$M312,SJTA!$T$6:$T$457,V$307)</f>
        <v>0</v>
      </c>
      <c r="W312" s="23">
        <f>COUNTIFS(SJTA!$S$6:$S$457,$M312,SJTA!$T$6:$T$457,W$307)</f>
        <v>10</v>
      </c>
      <c r="X312" s="23">
        <f>COUNTIFS(SJTA!$S$6:$S$457,$M312,SJTA!$T$6:$T$457,X$307)</f>
        <v>0</v>
      </c>
      <c r="Y312" s="23">
        <f>COUNTIFS(SJTA!$S$6:$S$457,$M312,SJTA!$T$6:$T$457,Y$307)</f>
        <v>2</v>
      </c>
      <c r="Z312" s="23">
        <f>COUNTIFS(SJTA!$S$6:$S$457,$M312,SJTA!$T$6:$T$457,Z$307)</f>
        <v>2</v>
      </c>
      <c r="AA312" s="203">
        <f>COUNTIFS(SJTA!$S$6:$S$457,$M312,SJTA!$T$6:$T$457,AA$307)</f>
        <v>0</v>
      </c>
      <c r="AB312" s="202">
        <f>COUNTIFS(SPJ!$Q$5:$Q$143,AB$307,SPJ!$P$5:$P$143,$M312)</f>
        <v>6</v>
      </c>
      <c r="AC312" s="23">
        <f>COUNTIFS(SPJ!$Q$5:$Q$143,AC$307,SPJ!$P$5:$P$143,$M312)</f>
        <v>0</v>
      </c>
      <c r="AD312" s="23">
        <f>COUNTIFS(SPJ!$Q$5:$Q$143,AD$307,SPJ!$P$5:$P$143,$M312)</f>
        <v>7</v>
      </c>
      <c r="AE312" s="23">
        <f>COUNTIFS(SPJ!$Q$5:$Q$143,AE$307,SPJ!$P$5:$P$143,$M312)</f>
        <v>0</v>
      </c>
      <c r="AF312" s="23">
        <f>COUNTIFS(SPJ!$Q$5:$Q$143,AF$307,SPJ!$P$5:$P$143,$M312)</f>
        <v>0</v>
      </c>
      <c r="AG312" s="23">
        <f>COUNTIFS(SPJ!$Q$5:$Q$143,AG$307,SPJ!$P$5:$P$143,$M312)</f>
        <v>0</v>
      </c>
      <c r="AH312" s="203">
        <f>COUNTIFS(SPJ!$Q$5:$Q$143,AH$307,SPJ!$P$5:$P$143,$M312)</f>
        <v>0</v>
      </c>
      <c r="AI312" s="202">
        <f>COUNTIFS(SMP!$Q$5:$Q$143,AI$307,SMP!$P$5:$P$143,$M312)</f>
        <v>0</v>
      </c>
      <c r="AJ312" s="23">
        <f>COUNTIFS(SMP!$Q$5:$Q$143,AJ$307,SMP!$P$5:$P$143,$M312)</f>
        <v>0</v>
      </c>
      <c r="AK312" s="23">
        <f>COUNTIFS(SMP!$Q$5:$Q$143,AK$307,SMP!$P$5:$P$143,$M312)</f>
        <v>0</v>
      </c>
      <c r="AL312" s="23">
        <f>COUNTIFS(SMP!$Q$5:$Q$143,AL$307,SMP!$P$5:$P$143,$M312)</f>
        <v>0</v>
      </c>
      <c r="AM312" s="23">
        <f>COUNTIFS(SMP!$Q$5:$Q$143,AM$307,SMP!$P$5:$P$143,$M312)</f>
        <v>0</v>
      </c>
      <c r="AN312" s="23">
        <f>COUNTIFS(SMP!$Q$5:$Q$143,AN$307,SMP!$P$5:$P$143,$M312)</f>
        <v>0</v>
      </c>
      <c r="AO312" s="203">
        <f>COUNTIFS(SMP!$Q$5:$Q$143,AO$307,SMP!$P$5:$P$143,$M312)</f>
        <v>0</v>
      </c>
    </row>
    <row r="313" spans="1:41" x14ac:dyDescent="0.3">
      <c r="B313" s="67" t="s">
        <v>9791</v>
      </c>
      <c r="C313" s="2">
        <f>COUNTIF(SSKA!$S$6:$S$464,$B313)</f>
        <v>16</v>
      </c>
      <c r="D313" s="2">
        <f>COUNTIF(SJTA!$S$6:$S$331,B313)</f>
        <v>13</v>
      </c>
      <c r="E313" s="2">
        <f>COUNTIF(SPJ!$P$5:$P$143,B313)</f>
        <v>0</v>
      </c>
      <c r="F313" s="2">
        <f>COUNTIF(SMP!$P$6:$P$30,B313)</f>
        <v>0</v>
      </c>
      <c r="G313" s="3">
        <f t="shared" si="34"/>
        <v>29</v>
      </c>
      <c r="H313" s="81">
        <f t="shared" si="35"/>
        <v>3.1385281385281384E-2</v>
      </c>
      <c r="M313" s="226" t="s">
        <v>9791</v>
      </c>
      <c r="N313" s="202">
        <f>COUNTIFS(SSKA!$S$6:$S$457,$M313,SSKA!$T$6:$T$457,N$307)</f>
        <v>14</v>
      </c>
      <c r="O313" s="23">
        <f>COUNTIFS(SSKA!$S$6:$S$457,$M313,SSKA!$T$6:$T$457,O$307)</f>
        <v>0</v>
      </c>
      <c r="P313" s="23">
        <f>COUNTIFS(SSKA!$S$6:$S$457,$M313,SSKA!$T$6:$T$457,P$307)</f>
        <v>0</v>
      </c>
      <c r="Q313" s="23">
        <f>COUNTIFS(SSKA!$S$6:$S$457,$M313,SSKA!$T$6:$T$457,Q$307)</f>
        <v>1</v>
      </c>
      <c r="R313" s="23">
        <f>COUNTIFS(SSKA!$S$6:$S$457,$M313,SSKA!$T$6:$T$457,R$307)</f>
        <v>0</v>
      </c>
      <c r="S313" s="23">
        <f>COUNTIFS(SSKA!$S$6:$S$457,$M313,SSKA!$T$6:$T$457,S$307)</f>
        <v>1</v>
      </c>
      <c r="T313" s="203">
        <f>COUNTIFS(SSKA!$S$6:$S$457,$M313,SSKA!$T$6:$T$457,T$307)</f>
        <v>0</v>
      </c>
      <c r="U313" s="202">
        <f>COUNTIFS(SJTA!$S$6:$S$457,$M313,SJTA!$T$6:$T$457,U$307)</f>
        <v>11</v>
      </c>
      <c r="V313" s="23">
        <f>COUNTIFS(SJTA!$S$6:$S$457,$M313,SJTA!$T$6:$T$457,V$307)</f>
        <v>0</v>
      </c>
      <c r="W313" s="23">
        <f>COUNTIFS(SJTA!$S$6:$S$457,$M313,SJTA!$T$6:$T$457,W$307)</f>
        <v>1</v>
      </c>
      <c r="X313" s="23">
        <f>COUNTIFS(SJTA!$S$6:$S$457,$M313,SJTA!$T$6:$T$457,X$307)</f>
        <v>0</v>
      </c>
      <c r="Y313" s="23">
        <f>COUNTIFS(SJTA!$S$6:$S$457,$M313,SJTA!$T$6:$T$457,Y$307)</f>
        <v>0</v>
      </c>
      <c r="Z313" s="23">
        <f>COUNTIFS(SJTA!$S$6:$S$457,$M313,SJTA!$T$6:$T$457,Z$307)</f>
        <v>0</v>
      </c>
      <c r="AA313" s="203">
        <f>COUNTIFS(SJTA!$S$6:$S$457,$M313,SJTA!$T$6:$T$457,AA$307)</f>
        <v>1</v>
      </c>
      <c r="AB313" s="202">
        <f>COUNTIFS(SPJ!$Q$5:$Q$143,AB$307,SPJ!$P$5:$P$143,$M313)</f>
        <v>0</v>
      </c>
      <c r="AC313" s="23">
        <f>COUNTIFS(SPJ!$Q$5:$Q$143,AC$307,SPJ!$P$5:$P$143,$M313)</f>
        <v>0</v>
      </c>
      <c r="AD313" s="23">
        <f>COUNTIFS(SPJ!$Q$5:$Q$143,AD$307,SPJ!$P$5:$P$143,$M313)</f>
        <v>0</v>
      </c>
      <c r="AE313" s="23">
        <f>COUNTIFS(SPJ!$Q$5:$Q$143,AE$307,SPJ!$P$5:$P$143,$M313)</f>
        <v>0</v>
      </c>
      <c r="AF313" s="23">
        <f>COUNTIFS(SPJ!$Q$5:$Q$143,AF$307,SPJ!$P$5:$P$143,$M313)</f>
        <v>0</v>
      </c>
      <c r="AG313" s="23">
        <f>COUNTIFS(SPJ!$Q$5:$Q$143,AG$307,SPJ!$P$5:$P$143,$M313)</f>
        <v>0</v>
      </c>
      <c r="AH313" s="203">
        <f>COUNTIFS(SPJ!$Q$5:$Q$143,AH$307,SPJ!$P$5:$P$143,$M313)</f>
        <v>0</v>
      </c>
      <c r="AI313" s="202">
        <f>COUNTIFS(SMP!$Q$5:$Q$143,AI$307,SMP!$P$5:$P$143,$M313)</f>
        <v>0</v>
      </c>
      <c r="AJ313" s="23">
        <f>COUNTIFS(SMP!$Q$5:$Q$143,AJ$307,SMP!$P$5:$P$143,$M313)</f>
        <v>0</v>
      </c>
      <c r="AK313" s="23">
        <f>COUNTIFS(SMP!$Q$5:$Q$143,AK$307,SMP!$P$5:$P$143,$M313)</f>
        <v>0</v>
      </c>
      <c r="AL313" s="23">
        <f>COUNTIFS(SMP!$Q$5:$Q$143,AL$307,SMP!$P$5:$P$143,$M313)</f>
        <v>0</v>
      </c>
      <c r="AM313" s="23">
        <f>COUNTIFS(SMP!$Q$5:$Q$143,AM$307,SMP!$P$5:$P$143,$M313)</f>
        <v>0</v>
      </c>
      <c r="AN313" s="23">
        <f>COUNTIFS(SMP!$Q$5:$Q$143,AN$307,SMP!$P$5:$P$143,$M313)</f>
        <v>0</v>
      </c>
      <c r="AO313" s="203">
        <f>COUNTIFS(SMP!$Q$5:$Q$143,AO$307,SMP!$P$5:$P$143,$M313)</f>
        <v>0</v>
      </c>
    </row>
    <row r="314" spans="1:41" x14ac:dyDescent="0.3">
      <c r="B314" s="67" t="s">
        <v>31</v>
      </c>
      <c r="C314" s="2">
        <f>COUNTIF(SSKA!$S$6:$S$464,$B314)</f>
        <v>77</v>
      </c>
      <c r="D314" s="2">
        <f>COUNTIF(SJTA!$S$6:$S$331,B314)</f>
        <v>39</v>
      </c>
      <c r="E314" s="2">
        <f>COUNTIF(SPJ!$P$5:$P$143,B314)</f>
        <v>22</v>
      </c>
      <c r="F314" s="2">
        <f>COUNTIF(SMP!$P$6:$P$30,B314)</f>
        <v>2</v>
      </c>
      <c r="G314" s="3">
        <f t="shared" si="34"/>
        <v>140</v>
      </c>
      <c r="H314" s="81">
        <f t="shared" si="35"/>
        <v>0.15151515151515152</v>
      </c>
      <c r="M314" s="226" t="s">
        <v>31</v>
      </c>
      <c r="N314" s="264">
        <f>COUNTIFS(SSKA!$S$6:$S$457,$M314,SSKA!$T$6:$T$457,N$307)</f>
        <v>42</v>
      </c>
      <c r="O314" s="23">
        <f>COUNTIFS(SSKA!$S$6:$S$457,$M314,SSKA!$T$6:$T$457,O$307)</f>
        <v>3</v>
      </c>
      <c r="P314" s="53">
        <f>COUNTIFS(SSKA!$S$6:$S$457,$M314,SSKA!$T$6:$T$457,P$307)</f>
        <v>18</v>
      </c>
      <c r="Q314" s="23">
        <f>COUNTIFS(SSKA!$S$6:$S$457,$M314,SSKA!$T$6:$T$457,Q$307)</f>
        <v>8</v>
      </c>
      <c r="R314" s="23">
        <f>COUNTIFS(SSKA!$S$6:$S$457,$M314,SSKA!$T$6:$T$457,R$307)</f>
        <v>2</v>
      </c>
      <c r="S314" s="23">
        <f>COUNTIFS(SSKA!$S$6:$S$457,$M314,SSKA!$T$6:$T$457,S$307)</f>
        <v>4</v>
      </c>
      <c r="T314" s="203">
        <f>COUNTIFS(SSKA!$S$6:$S$457,$M314,SSKA!$T$6:$T$457,T$307)</f>
        <v>0</v>
      </c>
      <c r="U314" s="264">
        <f>COUNTIFS(SJTA!$S$6:$S$457,$M314,SJTA!$T$6:$T$457,U$307)</f>
        <v>25</v>
      </c>
      <c r="V314" s="23">
        <f>COUNTIFS(SJTA!$S$6:$S$457,$M314,SJTA!$T$6:$T$457,V$307)</f>
        <v>0</v>
      </c>
      <c r="W314" s="23">
        <f>COUNTIFS(SJTA!$S$6:$S$457,$M314,SJTA!$T$6:$T$457,W$307)</f>
        <v>11</v>
      </c>
      <c r="X314" s="23">
        <f>COUNTIFS(SJTA!$S$6:$S$457,$M314,SJTA!$T$6:$T$457,X$307)</f>
        <v>2</v>
      </c>
      <c r="Y314" s="23">
        <f>COUNTIFS(SJTA!$S$6:$S$457,$M314,SJTA!$T$6:$T$457,Y$307)</f>
        <v>1</v>
      </c>
      <c r="Z314" s="23">
        <f>COUNTIFS(SJTA!$S$6:$S$457,$M314,SJTA!$T$6:$T$457,Z$307)</f>
        <v>0</v>
      </c>
      <c r="AA314" s="203">
        <f>COUNTIFS(SJTA!$S$6:$S$457,$M314,SJTA!$T$6:$T$457,AA$307)</f>
        <v>0</v>
      </c>
      <c r="AB314" s="202">
        <f>COUNTIFS(SPJ!$Q$5:$Q$143,AB$307,SPJ!$P$5:$P$143,$M314)</f>
        <v>14</v>
      </c>
      <c r="AC314" s="23">
        <f>COUNTIFS(SPJ!$Q$5:$Q$143,AC$307,SPJ!$P$5:$P$143,$M314)</f>
        <v>2</v>
      </c>
      <c r="AD314" s="23">
        <f>COUNTIFS(SPJ!$Q$5:$Q$143,AD$307,SPJ!$P$5:$P$143,$M314)</f>
        <v>3</v>
      </c>
      <c r="AE314" s="23">
        <f>COUNTIFS(SPJ!$Q$5:$Q$143,AE$307,SPJ!$P$5:$P$143,$M314)</f>
        <v>2</v>
      </c>
      <c r="AF314" s="23">
        <f>COUNTIFS(SPJ!$Q$5:$Q$143,AF$307,SPJ!$P$5:$P$143,$M314)</f>
        <v>1</v>
      </c>
      <c r="AG314" s="23">
        <f>COUNTIFS(SPJ!$Q$5:$Q$143,AG$307,SPJ!$P$5:$P$143,$M314)</f>
        <v>0</v>
      </c>
      <c r="AH314" s="203">
        <f>COUNTIFS(SPJ!$Q$5:$Q$143,AH$307,SPJ!$P$5:$P$143,$M314)</f>
        <v>0</v>
      </c>
      <c r="AI314" s="202">
        <f>COUNTIFS(SMP!$Q$5:$Q$143,AI$307,SMP!$P$5:$P$143,$M314)</f>
        <v>0</v>
      </c>
      <c r="AJ314" s="23">
        <f>COUNTIFS(SMP!$Q$5:$Q$143,AJ$307,SMP!$P$5:$P$143,$M314)</f>
        <v>0</v>
      </c>
      <c r="AK314" s="23">
        <f>COUNTIFS(SMP!$Q$5:$Q$143,AK$307,SMP!$P$5:$P$143,$M314)</f>
        <v>0</v>
      </c>
      <c r="AL314" s="23">
        <f>COUNTIFS(SMP!$Q$5:$Q$143,AL$307,SMP!$P$5:$P$143,$M314)</f>
        <v>1</v>
      </c>
      <c r="AM314" s="23">
        <f>COUNTIFS(SMP!$Q$5:$Q$143,AM$307,SMP!$P$5:$P$143,$M314)</f>
        <v>1</v>
      </c>
      <c r="AN314" s="23">
        <f>COUNTIFS(SMP!$Q$5:$Q$143,AN$307,SMP!$P$5:$P$143,$M314)</f>
        <v>0</v>
      </c>
      <c r="AO314" s="203">
        <f>COUNTIFS(SMP!$Q$5:$Q$143,AO$307,SMP!$P$5:$P$143,$M314)</f>
        <v>0</v>
      </c>
    </row>
    <row r="315" spans="1:41" x14ac:dyDescent="0.3">
      <c r="B315" s="67" t="s">
        <v>9787</v>
      </c>
      <c r="C315" s="2">
        <f>COUNTIF(SSKA!$S$6:$S$464,$B315)</f>
        <v>3</v>
      </c>
      <c r="D315" s="2">
        <f>COUNTIF(SJTA!$S$6:$S$331,B315)</f>
        <v>1</v>
      </c>
      <c r="E315" s="2">
        <f>COUNTIF(SPJ!$P$5:$P$143,B315)</f>
        <v>0</v>
      </c>
      <c r="F315" s="2">
        <f>COUNTIF(SMP!$P$6:$P$30,B315)</f>
        <v>0</v>
      </c>
      <c r="G315" s="3">
        <f t="shared" si="34"/>
        <v>4</v>
      </c>
      <c r="H315" s="81">
        <f t="shared" si="35"/>
        <v>4.329004329004329E-3</v>
      </c>
      <c r="M315" s="226" t="s">
        <v>9787</v>
      </c>
      <c r="N315" s="202">
        <f>COUNTIFS(SSKA!$S$6:$S$457,$M315,SSKA!$T$6:$T$457,N$307)</f>
        <v>2</v>
      </c>
      <c r="O315" s="23">
        <f>COUNTIFS(SSKA!$S$6:$S$457,$M315,SSKA!$T$6:$T$457,O$307)</f>
        <v>0</v>
      </c>
      <c r="P315" s="23">
        <f>COUNTIFS(SSKA!$S$6:$S$457,$M315,SSKA!$T$6:$T$457,P$307)</f>
        <v>1</v>
      </c>
      <c r="Q315" s="23">
        <f>COUNTIFS(SSKA!$S$6:$S$457,$M315,SSKA!$T$6:$T$457,Q$307)</f>
        <v>0</v>
      </c>
      <c r="R315" s="23">
        <f>COUNTIFS(SSKA!$S$6:$S$457,$M315,SSKA!$T$6:$T$457,R$307)</f>
        <v>0</v>
      </c>
      <c r="S315" s="23">
        <f>COUNTIFS(SSKA!$S$6:$S$457,$M315,SSKA!$T$6:$T$457,S$307)</f>
        <v>0</v>
      </c>
      <c r="T315" s="203">
        <f>COUNTIFS(SSKA!$S$6:$S$457,$M315,SSKA!$T$6:$T$457,T$307)</f>
        <v>0</v>
      </c>
      <c r="U315" s="202">
        <f>COUNTIFS(SJTA!$S$6:$S$457,$M315,SJTA!$T$6:$T$457,U$307)</f>
        <v>1</v>
      </c>
      <c r="V315" s="23">
        <f>COUNTIFS(SJTA!$S$6:$S$457,$M315,SJTA!$T$6:$T$457,V$307)</f>
        <v>0</v>
      </c>
      <c r="W315" s="23">
        <f>COUNTIFS(SJTA!$S$6:$S$457,$M315,SJTA!$T$6:$T$457,W$307)</f>
        <v>0</v>
      </c>
      <c r="X315" s="23">
        <f>COUNTIFS(SJTA!$S$6:$S$457,$M315,SJTA!$T$6:$T$457,X$307)</f>
        <v>0</v>
      </c>
      <c r="Y315" s="23">
        <f>COUNTIFS(SJTA!$S$6:$S$457,$M315,SJTA!$T$6:$T$457,Y$307)</f>
        <v>0</v>
      </c>
      <c r="Z315" s="23">
        <f>COUNTIFS(SJTA!$S$6:$S$457,$M315,SJTA!$T$6:$T$457,Z$307)</f>
        <v>0</v>
      </c>
      <c r="AA315" s="203">
        <f>COUNTIFS(SJTA!$S$6:$S$457,$M315,SJTA!$T$6:$T$457,AA$307)</f>
        <v>0</v>
      </c>
      <c r="AB315" s="202">
        <f>COUNTIFS(SPJ!$Q$5:$Q$143,AB$307,SPJ!$P$5:$P$143,$M315)</f>
        <v>0</v>
      </c>
      <c r="AC315" s="23">
        <f>COUNTIFS(SPJ!$Q$5:$Q$143,AC$307,SPJ!$P$5:$P$143,$M315)</f>
        <v>0</v>
      </c>
      <c r="AD315" s="23">
        <f>COUNTIFS(SPJ!$Q$5:$Q$143,AD$307,SPJ!$P$5:$P$143,$M315)</f>
        <v>0</v>
      </c>
      <c r="AE315" s="23">
        <f>COUNTIFS(SPJ!$Q$5:$Q$143,AE$307,SPJ!$P$5:$P$143,$M315)</f>
        <v>0</v>
      </c>
      <c r="AF315" s="23">
        <f>COUNTIFS(SPJ!$Q$5:$Q$143,AF$307,SPJ!$P$5:$P$143,$M315)</f>
        <v>0</v>
      </c>
      <c r="AG315" s="23">
        <f>COUNTIFS(SPJ!$Q$5:$Q$143,AG$307,SPJ!$P$5:$P$143,$M315)</f>
        <v>0</v>
      </c>
      <c r="AH315" s="203">
        <f>COUNTIFS(SPJ!$Q$5:$Q$143,AH$307,SPJ!$P$5:$P$143,$M315)</f>
        <v>0</v>
      </c>
      <c r="AI315" s="202">
        <f>COUNTIFS(SMP!$Q$5:$Q$143,AI$307,SMP!$P$5:$P$143,$M315)</f>
        <v>0</v>
      </c>
      <c r="AJ315" s="23">
        <f>COUNTIFS(SMP!$Q$5:$Q$143,AJ$307,SMP!$P$5:$P$143,$M315)</f>
        <v>0</v>
      </c>
      <c r="AK315" s="23">
        <f>COUNTIFS(SMP!$Q$5:$Q$143,AK$307,SMP!$P$5:$P$143,$M315)</f>
        <v>0</v>
      </c>
      <c r="AL315" s="23">
        <f>COUNTIFS(SMP!$Q$5:$Q$143,AL$307,SMP!$P$5:$P$143,$M315)</f>
        <v>0</v>
      </c>
      <c r="AM315" s="23">
        <f>COUNTIFS(SMP!$Q$5:$Q$143,AM$307,SMP!$P$5:$P$143,$M315)</f>
        <v>0</v>
      </c>
      <c r="AN315" s="23">
        <f>COUNTIFS(SMP!$Q$5:$Q$143,AN$307,SMP!$P$5:$P$143,$M315)</f>
        <v>0</v>
      </c>
      <c r="AO315" s="203">
        <f>COUNTIFS(SMP!$Q$5:$Q$143,AO$307,SMP!$P$5:$P$143,$M315)</f>
        <v>0</v>
      </c>
    </row>
    <row r="316" spans="1:41" x14ac:dyDescent="0.3">
      <c r="B316" s="67" t="s">
        <v>12065</v>
      </c>
      <c r="C316" s="2">
        <f>COUNTIF(SSKA!$S$6:$S$464,$B316)</f>
        <v>9</v>
      </c>
      <c r="D316" s="2">
        <f>COUNTIF(SJTA!$S$6:$S$331,B316)</f>
        <v>6</v>
      </c>
      <c r="E316" s="2">
        <f>COUNTIF(SPJ!$P$5:$P$143,B316)</f>
        <v>1</v>
      </c>
      <c r="F316" s="2">
        <f>COUNTIF(SMP!$P$6:$P$30,B316)</f>
        <v>0</v>
      </c>
      <c r="G316" s="3">
        <f t="shared" si="34"/>
        <v>16</v>
      </c>
      <c r="H316" s="81">
        <f t="shared" si="35"/>
        <v>1.7316017316017316E-2</v>
      </c>
      <c r="M316" s="226" t="s">
        <v>12065</v>
      </c>
      <c r="N316" s="202">
        <f>COUNTIFS(SSKA!$S$6:$S$457,$M316,SSKA!$T$6:$T$457,N$307)</f>
        <v>2</v>
      </c>
      <c r="O316" s="23">
        <f>COUNTIFS(SSKA!$S$6:$S$457,$M316,SSKA!$T$6:$T$457,O$307)</f>
        <v>0</v>
      </c>
      <c r="P316" s="23">
        <f>COUNTIFS(SSKA!$S$6:$S$457,$M316,SSKA!$T$6:$T$457,P$307)</f>
        <v>3</v>
      </c>
      <c r="Q316" s="23">
        <f>COUNTIFS(SSKA!$S$6:$S$457,$M316,SSKA!$T$6:$T$457,Q$307)</f>
        <v>0</v>
      </c>
      <c r="R316" s="23">
        <f>COUNTIFS(SSKA!$S$6:$S$457,$M316,SSKA!$T$6:$T$457,R$307)</f>
        <v>2</v>
      </c>
      <c r="S316" s="23">
        <f>COUNTIFS(SSKA!$S$6:$S$457,$M316,SSKA!$T$6:$T$457,S$307)</f>
        <v>2</v>
      </c>
      <c r="T316" s="203">
        <f>COUNTIFS(SSKA!$S$6:$S$457,$M316,SSKA!$T$6:$T$457,T$307)</f>
        <v>0</v>
      </c>
      <c r="U316" s="202">
        <f>COUNTIFS(SJTA!$S$6:$S$457,$M316,SJTA!$T$6:$T$457,U$307)</f>
        <v>1</v>
      </c>
      <c r="V316" s="23">
        <f>COUNTIFS(SJTA!$S$6:$S$457,$M316,SJTA!$T$6:$T$457,V$307)</f>
        <v>0</v>
      </c>
      <c r="W316" s="23">
        <f>COUNTIFS(SJTA!$S$6:$S$457,$M316,SJTA!$T$6:$T$457,W$307)</f>
        <v>2</v>
      </c>
      <c r="X316" s="23">
        <f>COUNTIFS(SJTA!$S$6:$S$457,$M316,SJTA!$T$6:$T$457,X$307)</f>
        <v>0</v>
      </c>
      <c r="Y316" s="23">
        <f>COUNTIFS(SJTA!$S$6:$S$457,$M316,SJTA!$T$6:$T$457,Y$307)</f>
        <v>1</v>
      </c>
      <c r="Z316" s="23">
        <f>COUNTIFS(SJTA!$S$6:$S$457,$M316,SJTA!$T$6:$T$457,Z$307)</f>
        <v>2</v>
      </c>
      <c r="AA316" s="203">
        <f>COUNTIFS(SJTA!$S$6:$S$457,$M316,SJTA!$T$6:$T$457,AA$307)</f>
        <v>0</v>
      </c>
      <c r="AB316" s="202">
        <f>COUNTIFS(SPJ!$Q$5:$Q$143,AB$307,SPJ!$P$5:$P$143,$M316)</f>
        <v>1</v>
      </c>
      <c r="AC316" s="23">
        <f>COUNTIFS(SPJ!$Q$5:$Q$143,AC$307,SPJ!$P$5:$P$143,$M316)</f>
        <v>0</v>
      </c>
      <c r="AD316" s="23">
        <f>COUNTIFS(SPJ!$Q$5:$Q$143,AD$307,SPJ!$P$5:$P$143,$M316)</f>
        <v>0</v>
      </c>
      <c r="AE316" s="23">
        <f>COUNTIFS(SPJ!$Q$5:$Q$143,AE$307,SPJ!$P$5:$P$143,$M316)</f>
        <v>0</v>
      </c>
      <c r="AF316" s="23">
        <f>COUNTIFS(SPJ!$Q$5:$Q$143,AF$307,SPJ!$P$5:$P$143,$M316)</f>
        <v>0</v>
      </c>
      <c r="AG316" s="23">
        <f>COUNTIFS(SPJ!$Q$5:$Q$143,AG$307,SPJ!$P$5:$P$143,$M316)</f>
        <v>0</v>
      </c>
      <c r="AH316" s="203">
        <f>COUNTIFS(SPJ!$Q$5:$Q$143,AH$307,SPJ!$P$5:$P$143,$M316)</f>
        <v>0</v>
      </c>
      <c r="AI316" s="202">
        <f>COUNTIFS(SMP!$Q$5:$Q$143,AI$307,SMP!$P$5:$P$143,$M316)</f>
        <v>0</v>
      </c>
      <c r="AJ316" s="23">
        <f>COUNTIFS(SMP!$Q$5:$Q$143,AJ$307,SMP!$P$5:$P$143,$M316)</f>
        <v>0</v>
      </c>
      <c r="AK316" s="23">
        <f>COUNTIFS(SMP!$Q$5:$Q$143,AK$307,SMP!$P$5:$P$143,$M316)</f>
        <v>0</v>
      </c>
      <c r="AL316" s="23">
        <f>COUNTIFS(SMP!$Q$5:$Q$143,AL$307,SMP!$P$5:$P$143,$M316)</f>
        <v>0</v>
      </c>
      <c r="AM316" s="23">
        <f>COUNTIFS(SMP!$Q$5:$Q$143,AM$307,SMP!$P$5:$P$143,$M316)</f>
        <v>0</v>
      </c>
      <c r="AN316" s="23">
        <f>COUNTIFS(SMP!$Q$5:$Q$143,AN$307,SMP!$P$5:$P$143,$M316)</f>
        <v>0</v>
      </c>
      <c r="AO316" s="203">
        <f>COUNTIFS(SMP!$Q$5:$Q$143,AO$307,SMP!$P$5:$P$143,$M316)</f>
        <v>0</v>
      </c>
    </row>
    <row r="317" spans="1:41" x14ac:dyDescent="0.3">
      <c r="B317" s="67" t="s">
        <v>12074</v>
      </c>
      <c r="C317" s="2">
        <f>COUNTIF(SSKA!$S$6:$S$464,$B317)</f>
        <v>3</v>
      </c>
      <c r="D317" s="2">
        <f>COUNTIF(SJTA!$S$6:$S$331,B317)</f>
        <v>2</v>
      </c>
      <c r="E317" s="2">
        <f>COUNTIF(SPJ!$P$5:$P$143,B317)</f>
        <v>0</v>
      </c>
      <c r="F317" s="2">
        <f>COUNTIF(SMP!$P$6:$P$30,B317)</f>
        <v>0</v>
      </c>
      <c r="G317" s="3">
        <f t="shared" si="34"/>
        <v>5</v>
      </c>
      <c r="H317" s="81">
        <f t="shared" si="35"/>
        <v>5.411255411255411E-3</v>
      </c>
      <c r="M317" s="226" t="s">
        <v>12074</v>
      </c>
      <c r="N317" s="202">
        <f>COUNTIFS(SSKA!$S$6:$S$457,$M317,SSKA!$T$6:$T$457,N$307)</f>
        <v>0</v>
      </c>
      <c r="O317" s="23">
        <f>COUNTIFS(SSKA!$S$6:$S$457,$M317,SSKA!$T$6:$T$457,O$307)</f>
        <v>0</v>
      </c>
      <c r="P317" s="23">
        <f>COUNTIFS(SSKA!$S$6:$S$457,$M317,SSKA!$T$6:$T$457,P$307)</f>
        <v>3</v>
      </c>
      <c r="Q317" s="23">
        <f>COUNTIFS(SSKA!$S$6:$S$457,$M317,SSKA!$T$6:$T$457,Q$307)</f>
        <v>0</v>
      </c>
      <c r="R317" s="23">
        <f>COUNTIFS(SSKA!$S$6:$S$457,$M317,SSKA!$T$6:$T$457,R$307)</f>
        <v>0</v>
      </c>
      <c r="S317" s="23">
        <f>COUNTIFS(SSKA!$S$6:$S$457,$M317,SSKA!$T$6:$T$457,S$307)</f>
        <v>0</v>
      </c>
      <c r="T317" s="203">
        <f>COUNTIFS(SSKA!$S$6:$S$457,$M317,SSKA!$T$6:$T$457,T$307)</f>
        <v>0</v>
      </c>
      <c r="U317" s="202">
        <f>COUNTIFS(SJTA!$S$6:$S$457,$M317,SJTA!$T$6:$T$457,U$307)</f>
        <v>1</v>
      </c>
      <c r="V317" s="23">
        <f>COUNTIFS(SJTA!$S$6:$S$457,$M317,SJTA!$T$6:$T$457,V$307)</f>
        <v>0</v>
      </c>
      <c r="W317" s="23">
        <f>COUNTIFS(SJTA!$S$6:$S$457,$M317,SJTA!$T$6:$T$457,W$307)</f>
        <v>1</v>
      </c>
      <c r="X317" s="23">
        <f>COUNTIFS(SJTA!$S$6:$S$457,$M317,SJTA!$T$6:$T$457,X$307)</f>
        <v>0</v>
      </c>
      <c r="Y317" s="23">
        <f>COUNTIFS(SJTA!$S$6:$S$457,$M317,SJTA!$T$6:$T$457,Y$307)</f>
        <v>0</v>
      </c>
      <c r="Z317" s="23">
        <f>COUNTIFS(SJTA!$S$6:$S$457,$M317,SJTA!$T$6:$T$457,Z$307)</f>
        <v>0</v>
      </c>
      <c r="AA317" s="203">
        <f>COUNTIFS(SJTA!$S$6:$S$457,$M317,SJTA!$T$6:$T$457,AA$307)</f>
        <v>0</v>
      </c>
      <c r="AB317" s="202">
        <f>COUNTIFS(SPJ!$Q$5:$Q$143,AB$307,SPJ!$P$5:$P$143,$M317)</f>
        <v>0</v>
      </c>
      <c r="AC317" s="23">
        <f>COUNTIFS(SPJ!$Q$5:$Q$143,AC$307,SPJ!$P$5:$P$143,$M317)</f>
        <v>0</v>
      </c>
      <c r="AD317" s="23">
        <f>COUNTIFS(SPJ!$Q$5:$Q$143,AD$307,SPJ!$P$5:$P$143,$M317)</f>
        <v>0</v>
      </c>
      <c r="AE317" s="23">
        <f>COUNTIFS(SPJ!$Q$5:$Q$143,AE$307,SPJ!$P$5:$P$143,$M317)</f>
        <v>0</v>
      </c>
      <c r="AF317" s="23">
        <f>COUNTIFS(SPJ!$Q$5:$Q$143,AF$307,SPJ!$P$5:$P$143,$M317)</f>
        <v>0</v>
      </c>
      <c r="AG317" s="23">
        <f>COUNTIFS(SPJ!$Q$5:$Q$143,AG$307,SPJ!$P$5:$P$143,$M317)</f>
        <v>0</v>
      </c>
      <c r="AH317" s="203">
        <f>COUNTIFS(SPJ!$Q$5:$Q$143,AH$307,SPJ!$P$5:$P$143,$M317)</f>
        <v>0</v>
      </c>
      <c r="AI317" s="202">
        <f>COUNTIFS(SMP!$Q$5:$Q$143,AI$307,SMP!$P$5:$P$143,$M317)</f>
        <v>0</v>
      </c>
      <c r="AJ317" s="23">
        <f>COUNTIFS(SMP!$Q$5:$Q$143,AJ$307,SMP!$P$5:$P$143,$M317)</f>
        <v>0</v>
      </c>
      <c r="AK317" s="23">
        <f>COUNTIFS(SMP!$Q$5:$Q$143,AK$307,SMP!$P$5:$P$143,$M317)</f>
        <v>0</v>
      </c>
      <c r="AL317" s="23">
        <f>COUNTIFS(SMP!$Q$5:$Q$143,AL$307,SMP!$P$5:$P$143,$M317)</f>
        <v>0</v>
      </c>
      <c r="AM317" s="23">
        <f>COUNTIFS(SMP!$Q$5:$Q$143,AM$307,SMP!$P$5:$P$143,$M317)</f>
        <v>0</v>
      </c>
      <c r="AN317" s="23">
        <f>COUNTIFS(SMP!$Q$5:$Q$143,AN$307,SMP!$P$5:$P$143,$M317)</f>
        <v>0</v>
      </c>
      <c r="AO317" s="203">
        <f>COUNTIFS(SMP!$Q$5:$Q$143,AO$307,SMP!$P$5:$P$143,$M317)</f>
        <v>0</v>
      </c>
    </row>
    <row r="318" spans="1:41" x14ac:dyDescent="0.3">
      <c r="B318" s="67" t="s">
        <v>13</v>
      </c>
      <c r="C318" s="2">
        <f>COUNTIF(SSKA!$S$6:$S$464,$B318)</f>
        <v>38</v>
      </c>
      <c r="D318" s="2">
        <f>COUNTIF(SJTA!$S$6:$S$331,B318)</f>
        <v>32</v>
      </c>
      <c r="E318" s="2">
        <f>COUNTIF(SPJ!$P$5:$P$143,B318)</f>
        <v>4</v>
      </c>
      <c r="F318" s="2">
        <f>COUNTIF(SMP!$P$6:$P$30,B318)</f>
        <v>1</v>
      </c>
      <c r="G318" s="3">
        <f t="shared" si="34"/>
        <v>75</v>
      </c>
      <c r="H318" s="81">
        <f t="shared" si="35"/>
        <v>8.1168831168831168E-2</v>
      </c>
      <c r="M318" s="226" t="s">
        <v>13</v>
      </c>
      <c r="N318" s="202">
        <f>COUNTIFS(SSKA!$S$6:$S$457,$M318,SSKA!$T$6:$T$457,N$307)</f>
        <v>11</v>
      </c>
      <c r="O318" s="23">
        <f>COUNTIFS(SSKA!$S$6:$S$457,$M318,SSKA!$T$6:$T$457,O$307)</f>
        <v>2</v>
      </c>
      <c r="P318" s="23">
        <f>COUNTIFS(SSKA!$S$6:$S$457,$M318,SSKA!$T$6:$T$457,P$307)</f>
        <v>11</v>
      </c>
      <c r="Q318" s="23">
        <f>COUNTIFS(SSKA!$S$6:$S$457,$M318,SSKA!$T$6:$T$457,Q$307)</f>
        <v>7</v>
      </c>
      <c r="R318" s="23">
        <f>COUNTIFS(SSKA!$S$6:$S$457,$M318,SSKA!$T$6:$T$457,R$307)</f>
        <v>4</v>
      </c>
      <c r="S318" s="23">
        <f>COUNTIFS(SSKA!$S$6:$S$457,$M318,SSKA!$T$6:$T$457,S$307)</f>
        <v>3</v>
      </c>
      <c r="T318" s="203">
        <f>COUNTIFS(SSKA!$S$6:$S$457,$M318,SSKA!$T$6:$T$457,T$307)</f>
        <v>0</v>
      </c>
      <c r="U318" s="202">
        <f>COUNTIFS(SJTA!$S$6:$S$457,$M318,SJTA!$T$6:$T$457,U$307)</f>
        <v>16</v>
      </c>
      <c r="V318" s="23">
        <f>COUNTIFS(SJTA!$S$6:$S$457,$M318,SJTA!$T$6:$T$457,V$307)</f>
        <v>0</v>
      </c>
      <c r="W318" s="23">
        <f>COUNTIFS(SJTA!$S$6:$S$457,$M318,SJTA!$T$6:$T$457,W$307)</f>
        <v>8</v>
      </c>
      <c r="X318" s="23">
        <f>COUNTIFS(SJTA!$S$6:$S$457,$M318,SJTA!$T$6:$T$457,X$307)</f>
        <v>5</v>
      </c>
      <c r="Y318" s="23">
        <f>COUNTIFS(SJTA!$S$6:$S$457,$M318,SJTA!$T$6:$T$457,Y$307)</f>
        <v>2</v>
      </c>
      <c r="Z318" s="23">
        <f>COUNTIFS(SJTA!$S$6:$S$457,$M318,SJTA!$T$6:$T$457,Z$307)</f>
        <v>1</v>
      </c>
      <c r="AA318" s="203">
        <f>COUNTIFS(SJTA!$S$6:$S$457,$M318,SJTA!$T$6:$T$457,AA$307)</f>
        <v>0</v>
      </c>
      <c r="AB318" s="202">
        <f>COUNTIFS(SPJ!$Q$5:$Q$143,AB$307,SPJ!$P$5:$P$143,$M318)</f>
        <v>2</v>
      </c>
      <c r="AC318" s="23">
        <f>COUNTIFS(SPJ!$Q$5:$Q$143,AC$307,SPJ!$P$5:$P$143,$M318)</f>
        <v>1</v>
      </c>
      <c r="AD318" s="23">
        <f>COUNTIFS(SPJ!$Q$5:$Q$143,AD$307,SPJ!$P$5:$P$143,$M318)</f>
        <v>0</v>
      </c>
      <c r="AE318" s="23">
        <f>COUNTIFS(SPJ!$Q$5:$Q$143,AE$307,SPJ!$P$5:$P$143,$M318)</f>
        <v>0</v>
      </c>
      <c r="AF318" s="23">
        <f>COUNTIFS(SPJ!$Q$5:$Q$143,AF$307,SPJ!$P$5:$P$143,$M318)</f>
        <v>1</v>
      </c>
      <c r="AG318" s="23">
        <f>COUNTIFS(SPJ!$Q$5:$Q$143,AG$307,SPJ!$P$5:$P$143,$M318)</f>
        <v>0</v>
      </c>
      <c r="AH318" s="203">
        <f>COUNTIFS(SPJ!$Q$5:$Q$143,AH$307,SPJ!$P$5:$P$143,$M318)</f>
        <v>0</v>
      </c>
      <c r="AI318" s="202">
        <f>COUNTIFS(SMP!$Q$5:$Q$143,AI$307,SMP!$P$5:$P$143,$M318)</f>
        <v>0</v>
      </c>
      <c r="AJ318" s="23">
        <f>COUNTIFS(SMP!$Q$5:$Q$143,AJ$307,SMP!$P$5:$P$143,$M318)</f>
        <v>0</v>
      </c>
      <c r="AK318" s="23">
        <f>COUNTIFS(SMP!$Q$5:$Q$143,AK$307,SMP!$P$5:$P$143,$M318)</f>
        <v>1</v>
      </c>
      <c r="AL318" s="23">
        <f>COUNTIFS(SMP!$Q$5:$Q$143,AL$307,SMP!$P$5:$P$143,$M318)</f>
        <v>0</v>
      </c>
      <c r="AM318" s="23">
        <f>COUNTIFS(SMP!$Q$5:$Q$143,AM$307,SMP!$P$5:$P$143,$M318)</f>
        <v>0</v>
      </c>
      <c r="AN318" s="23">
        <f>COUNTIFS(SMP!$Q$5:$Q$143,AN$307,SMP!$P$5:$P$143,$M318)</f>
        <v>0</v>
      </c>
      <c r="AO318" s="203">
        <f>COUNTIFS(SMP!$Q$5:$Q$143,AO$307,SMP!$P$5:$P$143,$M318)</f>
        <v>0</v>
      </c>
    </row>
    <row r="319" spans="1:41" x14ac:dyDescent="0.3">
      <c r="B319" s="67" t="s">
        <v>243</v>
      </c>
      <c r="C319" s="2">
        <f>COUNTIF(SSKA!$S$6:$S$464,$B319)</f>
        <v>6</v>
      </c>
      <c r="D319" s="2">
        <f>COUNTIF(SJTA!$S$6:$S$331,B319)</f>
        <v>5</v>
      </c>
      <c r="E319" s="2">
        <f>COUNTIF(SPJ!$P$5:$P$143,B319)</f>
        <v>1</v>
      </c>
      <c r="F319" s="2">
        <f>COUNTIF(SMP!$P$6:$P$30,B319)</f>
        <v>0</v>
      </c>
      <c r="G319" s="3">
        <f t="shared" si="34"/>
        <v>12</v>
      </c>
      <c r="H319" s="81">
        <f t="shared" si="35"/>
        <v>1.2987012987012988E-2</v>
      </c>
      <c r="M319" s="226" t="s">
        <v>243</v>
      </c>
      <c r="N319" s="202">
        <f>COUNTIFS(SSKA!$S$6:$S$457,$M319,SSKA!$T$6:$T$457,N$307)</f>
        <v>2</v>
      </c>
      <c r="O319" s="23">
        <f>COUNTIFS(SSKA!$S$6:$S$457,$M319,SSKA!$T$6:$T$457,O$307)</f>
        <v>1</v>
      </c>
      <c r="P319" s="23">
        <f>COUNTIFS(SSKA!$S$6:$S$457,$M319,SSKA!$T$6:$T$457,P$307)</f>
        <v>1</v>
      </c>
      <c r="Q319" s="23">
        <f>COUNTIFS(SSKA!$S$6:$S$457,$M319,SSKA!$T$6:$T$457,Q$307)</f>
        <v>0</v>
      </c>
      <c r="R319" s="23">
        <f>COUNTIFS(SSKA!$S$6:$S$457,$M319,SSKA!$T$6:$T$457,R$307)</f>
        <v>0</v>
      </c>
      <c r="S319" s="23">
        <f>COUNTIFS(SSKA!$S$6:$S$457,$M319,SSKA!$T$6:$T$457,S$307)</f>
        <v>2</v>
      </c>
      <c r="T319" s="203">
        <f>COUNTIFS(SSKA!$S$6:$S$457,$M319,SSKA!$T$6:$T$457,T$307)</f>
        <v>0</v>
      </c>
      <c r="U319" s="202">
        <f>COUNTIFS(SJTA!$S$6:$S$457,$M319,SJTA!$T$6:$T$457,U$307)</f>
        <v>5</v>
      </c>
      <c r="V319" s="23">
        <f>COUNTIFS(SJTA!$S$6:$S$457,$M319,SJTA!$T$6:$T$457,V$307)</f>
        <v>0</v>
      </c>
      <c r="W319" s="23">
        <f>COUNTIFS(SJTA!$S$6:$S$457,$M319,SJTA!$T$6:$T$457,W$307)</f>
        <v>0</v>
      </c>
      <c r="X319" s="23">
        <f>COUNTIFS(SJTA!$S$6:$S$457,$M319,SJTA!$T$6:$T$457,X$307)</f>
        <v>0</v>
      </c>
      <c r="Y319" s="23">
        <f>COUNTIFS(SJTA!$S$6:$S$457,$M319,SJTA!$T$6:$T$457,Y$307)</f>
        <v>0</v>
      </c>
      <c r="Z319" s="23">
        <f>COUNTIFS(SJTA!$S$6:$S$457,$M319,SJTA!$T$6:$T$457,Z$307)</f>
        <v>0</v>
      </c>
      <c r="AA319" s="203">
        <f>COUNTIFS(SJTA!$S$6:$S$457,$M319,SJTA!$T$6:$T$457,AA$307)</f>
        <v>0</v>
      </c>
      <c r="AB319" s="202">
        <f>COUNTIFS(SPJ!$Q$5:$Q$143,AB$307,SPJ!$P$5:$P$143,$M319)</f>
        <v>1</v>
      </c>
      <c r="AC319" s="23">
        <f>COUNTIFS(SPJ!$Q$5:$Q$143,AC$307,SPJ!$P$5:$P$143,$M319)</f>
        <v>0</v>
      </c>
      <c r="AD319" s="23">
        <f>COUNTIFS(SPJ!$Q$5:$Q$143,AD$307,SPJ!$P$5:$P$143,$M319)</f>
        <v>0</v>
      </c>
      <c r="AE319" s="23">
        <f>COUNTIFS(SPJ!$Q$5:$Q$143,AE$307,SPJ!$P$5:$P$143,$M319)</f>
        <v>0</v>
      </c>
      <c r="AF319" s="23">
        <f>COUNTIFS(SPJ!$Q$5:$Q$143,AF$307,SPJ!$P$5:$P$143,$M319)</f>
        <v>0</v>
      </c>
      <c r="AG319" s="23">
        <f>COUNTIFS(SPJ!$Q$5:$Q$143,AG$307,SPJ!$P$5:$P$143,$M319)</f>
        <v>0</v>
      </c>
      <c r="AH319" s="203">
        <f>COUNTIFS(SPJ!$Q$5:$Q$143,AH$307,SPJ!$P$5:$P$143,$M319)</f>
        <v>0</v>
      </c>
      <c r="AI319" s="202">
        <f>COUNTIFS(SMP!$Q$5:$Q$143,AI$307,SMP!$P$5:$P$143,$M319)</f>
        <v>0</v>
      </c>
      <c r="AJ319" s="23">
        <f>COUNTIFS(SMP!$Q$5:$Q$143,AJ$307,SMP!$P$5:$P$143,$M319)</f>
        <v>0</v>
      </c>
      <c r="AK319" s="23">
        <f>COUNTIFS(SMP!$Q$5:$Q$143,AK$307,SMP!$P$5:$P$143,$M319)</f>
        <v>0</v>
      </c>
      <c r="AL319" s="23">
        <f>COUNTIFS(SMP!$Q$5:$Q$143,AL$307,SMP!$P$5:$P$143,$M319)</f>
        <v>0</v>
      </c>
      <c r="AM319" s="23">
        <f>COUNTIFS(SMP!$Q$5:$Q$143,AM$307,SMP!$P$5:$P$143,$M319)</f>
        <v>0</v>
      </c>
      <c r="AN319" s="23">
        <f>COUNTIFS(SMP!$Q$5:$Q$143,AN$307,SMP!$P$5:$P$143,$M319)</f>
        <v>0</v>
      </c>
      <c r="AO319" s="203">
        <f>COUNTIFS(SMP!$Q$5:$Q$143,AO$307,SMP!$P$5:$P$143,$M319)</f>
        <v>0</v>
      </c>
    </row>
    <row r="320" spans="1:41" x14ac:dyDescent="0.3">
      <c r="B320" s="67" t="s">
        <v>12075</v>
      </c>
      <c r="C320" s="2">
        <f>COUNTIF(SSKA!$S$6:$S$464,$B320)</f>
        <v>15</v>
      </c>
      <c r="D320" s="2">
        <f>COUNTIF(SJTA!$S$6:$S$331,B320)</f>
        <v>17</v>
      </c>
      <c r="E320" s="2">
        <f>COUNTIF(SPJ!$P$5:$P$143,B320)</f>
        <v>6</v>
      </c>
      <c r="F320" s="2">
        <f>COUNTIF(SMP!$P$6:$P$30,B320)</f>
        <v>0</v>
      </c>
      <c r="G320" s="3">
        <f t="shared" si="34"/>
        <v>38</v>
      </c>
      <c r="H320" s="81">
        <f t="shared" si="35"/>
        <v>4.1125541125541128E-2</v>
      </c>
      <c r="M320" s="226" t="s">
        <v>12075</v>
      </c>
      <c r="N320" s="202">
        <f>COUNTIFS(SSKA!$S$6:$S$457,$M320,SSKA!$T$6:$T$457,N$307)</f>
        <v>11</v>
      </c>
      <c r="O320" s="23">
        <f>COUNTIFS(SSKA!$S$6:$S$457,$M320,SSKA!$T$6:$T$457,O$307)</f>
        <v>0</v>
      </c>
      <c r="P320" s="23">
        <f>COUNTIFS(SSKA!$S$6:$S$457,$M320,SSKA!$T$6:$T$457,P$307)</f>
        <v>2</v>
      </c>
      <c r="Q320" s="23">
        <f>COUNTIFS(SSKA!$S$6:$S$457,$M320,SSKA!$T$6:$T$457,Q$307)</f>
        <v>1</v>
      </c>
      <c r="R320" s="23">
        <f>COUNTIFS(SSKA!$S$6:$S$457,$M320,SSKA!$T$6:$T$457,R$307)</f>
        <v>0</v>
      </c>
      <c r="S320" s="23">
        <f>COUNTIFS(SSKA!$S$6:$S$457,$M320,SSKA!$T$6:$T$457,S$307)</f>
        <v>1</v>
      </c>
      <c r="T320" s="203">
        <f>COUNTIFS(SSKA!$S$6:$S$457,$M320,SSKA!$T$6:$T$457,T$307)</f>
        <v>0</v>
      </c>
      <c r="U320" s="202">
        <f>COUNTIFS(SJTA!$S$6:$S$457,$M320,SJTA!$T$6:$T$457,U$307)</f>
        <v>11</v>
      </c>
      <c r="V320" s="23">
        <f>COUNTIFS(SJTA!$S$6:$S$457,$M320,SJTA!$T$6:$T$457,V$307)</f>
        <v>1</v>
      </c>
      <c r="W320" s="23">
        <f>COUNTIFS(SJTA!$S$6:$S$457,$M320,SJTA!$T$6:$T$457,W$307)</f>
        <v>2</v>
      </c>
      <c r="X320" s="23">
        <f>COUNTIFS(SJTA!$S$6:$S$457,$M320,SJTA!$T$6:$T$457,X$307)</f>
        <v>1</v>
      </c>
      <c r="Y320" s="23">
        <f>COUNTIFS(SJTA!$S$6:$S$457,$M320,SJTA!$T$6:$T$457,Y$307)</f>
        <v>0</v>
      </c>
      <c r="Z320" s="23">
        <f>COUNTIFS(SJTA!$S$6:$S$457,$M320,SJTA!$T$6:$T$457,Z$307)</f>
        <v>2</v>
      </c>
      <c r="AA320" s="203">
        <f>COUNTIFS(SJTA!$S$6:$S$457,$M320,SJTA!$T$6:$T$457,AA$307)</f>
        <v>0</v>
      </c>
      <c r="AB320" s="202">
        <f>COUNTIFS(SPJ!$Q$5:$Q$143,AB$307,SPJ!$P$5:$P$143,$M320)</f>
        <v>6</v>
      </c>
      <c r="AC320" s="23">
        <f>COUNTIFS(SPJ!$Q$5:$Q$143,AC$307,SPJ!$P$5:$P$143,$M320)</f>
        <v>0</v>
      </c>
      <c r="AD320" s="23">
        <f>COUNTIFS(SPJ!$Q$5:$Q$143,AD$307,SPJ!$P$5:$P$143,$M320)</f>
        <v>0</v>
      </c>
      <c r="AE320" s="23">
        <f>COUNTIFS(SPJ!$Q$5:$Q$143,AE$307,SPJ!$P$5:$P$143,$M320)</f>
        <v>0</v>
      </c>
      <c r="AF320" s="23">
        <f>COUNTIFS(SPJ!$Q$5:$Q$143,AF$307,SPJ!$P$5:$P$143,$M320)</f>
        <v>0</v>
      </c>
      <c r="AG320" s="23">
        <f>COUNTIFS(SPJ!$Q$5:$Q$143,AG$307,SPJ!$P$5:$P$143,$M320)</f>
        <v>0</v>
      </c>
      <c r="AH320" s="203">
        <f>COUNTIFS(SPJ!$Q$5:$Q$143,AH$307,SPJ!$P$5:$P$143,$M320)</f>
        <v>0</v>
      </c>
      <c r="AI320" s="202">
        <f>COUNTIFS(SMP!$Q$5:$Q$143,AI$307,SMP!$P$5:$P$143,$M320)</f>
        <v>0</v>
      </c>
      <c r="AJ320" s="23">
        <f>COUNTIFS(SMP!$Q$5:$Q$143,AJ$307,SMP!$P$5:$P$143,$M320)</f>
        <v>0</v>
      </c>
      <c r="AK320" s="23">
        <f>COUNTIFS(SMP!$Q$5:$Q$143,AK$307,SMP!$P$5:$P$143,$M320)</f>
        <v>0</v>
      </c>
      <c r="AL320" s="23">
        <f>COUNTIFS(SMP!$Q$5:$Q$143,AL$307,SMP!$P$5:$P$143,$M320)</f>
        <v>0</v>
      </c>
      <c r="AM320" s="23">
        <f>COUNTIFS(SMP!$Q$5:$Q$143,AM$307,SMP!$P$5:$P$143,$M320)</f>
        <v>0</v>
      </c>
      <c r="AN320" s="23">
        <f>COUNTIFS(SMP!$Q$5:$Q$143,AN$307,SMP!$P$5:$P$143,$M320)</f>
        <v>0</v>
      </c>
      <c r="AO320" s="203">
        <f>COUNTIFS(SMP!$Q$5:$Q$143,AO$307,SMP!$P$5:$P$143,$M320)</f>
        <v>0</v>
      </c>
    </row>
    <row r="321" spans="1:41" x14ac:dyDescent="0.3">
      <c r="B321" s="67" t="s">
        <v>12076</v>
      </c>
      <c r="C321" s="2">
        <f>COUNTIF(SSKA!$S$6:$S$464,0)</f>
        <v>11</v>
      </c>
      <c r="D321" s="2">
        <f>COUNTIF(SJTA!$S$6:$S$331,0)</f>
        <v>11</v>
      </c>
      <c r="E321" s="2">
        <f>COUNTIF(SPJ!$P$5:$P$143,0)</f>
        <v>3</v>
      </c>
      <c r="F321" s="2">
        <f>COUNTIF(SMP!$P$6:$P$30,0)</f>
        <v>0</v>
      </c>
      <c r="G321" s="3">
        <f t="shared" si="34"/>
        <v>25</v>
      </c>
      <c r="H321" s="81">
        <f t="shared" si="35"/>
        <v>2.7056277056277056E-2</v>
      </c>
      <c r="M321" s="226" t="s">
        <v>12076</v>
      </c>
      <c r="N321" s="202">
        <f>COUNTIFS(SSKA!$S$6:$S$457,0,SSKA!$T$6:$T$457,N$307)</f>
        <v>9</v>
      </c>
      <c r="O321" s="23">
        <f>COUNTIFS(SSKA!$S$6:$S$457,0,SSKA!$T$6:$T$457,O$307)</f>
        <v>2</v>
      </c>
      <c r="P321" s="23">
        <f>COUNTIFS(SSKA!$S$6:$S$457,0,SSKA!$T$6:$T$457,P$307)</f>
        <v>0</v>
      </c>
      <c r="Q321" s="23">
        <f>COUNTIFS(SSKA!$S$6:$S$457,0,SSKA!$T$6:$T$457,Q$307)</f>
        <v>0</v>
      </c>
      <c r="R321" s="23">
        <f>COUNTIFS(SSKA!$S$6:$S$457,0,SSKA!$T$6:$T$457,R$307)</f>
        <v>0</v>
      </c>
      <c r="S321" s="23">
        <f>COUNTIFS(SSKA!$S$6:$S$457,0,SSKA!$T$6:$T$457,S$307)</f>
        <v>0</v>
      </c>
      <c r="T321" s="203">
        <f>COUNTIFS(SSKA!$S$6:$S$457,0,SSKA!$T$6:$T$457,T$307)</f>
        <v>0</v>
      </c>
      <c r="U321" s="202">
        <f>COUNTIFS(SJTA!$S$6:$S$457,0,SJTA!$T$6:$T$457,U$307)</f>
        <v>8</v>
      </c>
      <c r="V321" s="23">
        <f>COUNTIFS(SJTA!$S$6:$S$457,0,SJTA!$T$6:$T$457,V$307)</f>
        <v>2</v>
      </c>
      <c r="W321" s="23">
        <f>COUNTIFS(SJTA!$S$6:$S$457,0,SJTA!$T$6:$T$457,W$307)</f>
        <v>0</v>
      </c>
      <c r="X321" s="23">
        <f>COUNTIFS(SJTA!$S$6:$S$457,0,SJTA!$T$6:$T$457,X$307)</f>
        <v>0</v>
      </c>
      <c r="Y321" s="23">
        <f>COUNTIFS(SJTA!$S$6:$S$457,0,SJTA!$T$6:$T$457,Y$307)</f>
        <v>0</v>
      </c>
      <c r="Z321" s="23">
        <f>COUNTIFS(SJTA!$S$6:$S$457,0,SJTA!$T$6:$T$457,Z$307)</f>
        <v>1</v>
      </c>
      <c r="AA321" s="203">
        <f>COUNTIFS(SJTA!$S$6:$S$457,0,SJTA!$T$6:$T$457,AA$307)</f>
        <v>0</v>
      </c>
      <c r="AB321" s="202">
        <f>COUNTIFS(SPJ!$Q$5:$Q$143,AB$307,SPJ!$P$5:$P$143,0)</f>
        <v>3</v>
      </c>
      <c r="AC321" s="23">
        <f>COUNTIFS(SPJ!$Q$5:$Q$143,AC$307,SPJ!$P$5:$P$143,0)</f>
        <v>0</v>
      </c>
      <c r="AD321" s="23">
        <f>COUNTIFS(SPJ!$Q$5:$Q$143,AD$307,SPJ!$P$5:$P$143,0)</f>
        <v>0</v>
      </c>
      <c r="AE321" s="23">
        <f>COUNTIFS(SPJ!$Q$5:$Q$143,AE$307,SPJ!$P$5:$P$143,0)</f>
        <v>0</v>
      </c>
      <c r="AF321" s="23">
        <f>COUNTIFS(SPJ!$Q$5:$Q$143,AF$307,SPJ!$P$5:$P$143,0)</f>
        <v>0</v>
      </c>
      <c r="AG321" s="23">
        <f>COUNTIFS(SPJ!$Q$5:$Q$143,AG$307,SPJ!$P$5:$P$143,0)</f>
        <v>0</v>
      </c>
      <c r="AH321" s="203">
        <f>COUNTIFS(SPJ!$Q$5:$Q$143,AH$307,SPJ!$P$5:$P$143,0)</f>
        <v>0</v>
      </c>
      <c r="AI321" s="202">
        <f>COUNTIFS(SMP!$Q$5:$Q$143,AI$307,SMP!$P$5:$P$143,0)</f>
        <v>0</v>
      </c>
      <c r="AJ321" s="23">
        <f>COUNTIFS(SMP!$Q$5:$Q$143,AJ$307,SMP!$P$5:$P$143,0)</f>
        <v>0</v>
      </c>
      <c r="AK321" s="23">
        <f>COUNTIFS(SMP!$Q$5:$Q$143,AK$307,SMP!$P$5:$P$143,0)</f>
        <v>0</v>
      </c>
      <c r="AL321" s="23">
        <f>COUNTIFS(SMP!$Q$5:$Q$143,AL$307,SMP!$P$5:$P$143,0)</f>
        <v>0</v>
      </c>
      <c r="AM321" s="23">
        <f>COUNTIFS(SMP!$Q$5:$Q$143,AM$307,SMP!$P$5:$P$143,0)</f>
        <v>0</v>
      </c>
      <c r="AN321" s="23">
        <f>COUNTIFS(SMP!$Q$5:$Q$143,AN$307,SMP!$P$5:$P$143,0)</f>
        <v>0</v>
      </c>
      <c r="AO321" s="203">
        <f>COUNTIFS(SMP!$Q$5:$Q$143,AO$307,SMP!$P$5:$P$143,0)</f>
        <v>0</v>
      </c>
    </row>
    <row r="322" spans="1:41" ht="15" thickBot="1" x14ac:dyDescent="0.35">
      <c r="B322" s="72" t="s">
        <v>10743</v>
      </c>
      <c r="C322" s="72">
        <f>SUM(C308:C321)</f>
        <v>447</v>
      </c>
      <c r="D322" s="72">
        <f t="shared" ref="D322:G322" si="36">SUM(D308:D321)</f>
        <v>316</v>
      </c>
      <c r="E322" s="72">
        <f t="shared" si="36"/>
        <v>139</v>
      </c>
      <c r="F322" s="72">
        <f t="shared" si="36"/>
        <v>22</v>
      </c>
      <c r="G322" s="72">
        <f t="shared" si="36"/>
        <v>924</v>
      </c>
      <c r="H322" s="72"/>
      <c r="M322" s="143" t="s">
        <v>10743</v>
      </c>
      <c r="N322" s="227">
        <f>SUM(N308:N321)</f>
        <v>243</v>
      </c>
      <c r="O322" s="228">
        <f t="shared" ref="O322:T322" si="37">SUM(O308:O321)</f>
        <v>33</v>
      </c>
      <c r="P322" s="228">
        <f t="shared" si="37"/>
        <v>84</v>
      </c>
      <c r="Q322" s="228">
        <f t="shared" si="37"/>
        <v>33</v>
      </c>
      <c r="R322" s="228">
        <f t="shared" si="37"/>
        <v>27</v>
      </c>
      <c r="S322" s="228">
        <f t="shared" si="37"/>
        <v>27</v>
      </c>
      <c r="T322" s="229">
        <f t="shared" si="37"/>
        <v>0</v>
      </c>
      <c r="U322" s="222">
        <f t="shared" ref="U322:AO322" si="38">SUM(U308:U321)</f>
        <v>178</v>
      </c>
      <c r="V322" s="223">
        <f t="shared" si="38"/>
        <v>17</v>
      </c>
      <c r="W322" s="223">
        <f t="shared" si="38"/>
        <v>66</v>
      </c>
      <c r="X322" s="223">
        <f t="shared" si="38"/>
        <v>18</v>
      </c>
      <c r="Y322" s="223">
        <f t="shared" si="38"/>
        <v>18</v>
      </c>
      <c r="Z322" s="223">
        <f t="shared" si="38"/>
        <v>18</v>
      </c>
      <c r="AA322" s="224">
        <f t="shared" si="38"/>
        <v>1</v>
      </c>
      <c r="AB322" s="230">
        <f t="shared" si="38"/>
        <v>84</v>
      </c>
      <c r="AC322" s="231">
        <f t="shared" si="38"/>
        <v>8</v>
      </c>
      <c r="AD322" s="231">
        <f t="shared" si="38"/>
        <v>28</v>
      </c>
      <c r="AE322" s="231">
        <f t="shared" si="38"/>
        <v>11</v>
      </c>
      <c r="AF322" s="231">
        <f t="shared" si="38"/>
        <v>7</v>
      </c>
      <c r="AG322" s="231">
        <f t="shared" si="38"/>
        <v>1</v>
      </c>
      <c r="AH322" s="232">
        <f t="shared" si="38"/>
        <v>0</v>
      </c>
      <c r="AI322" s="233">
        <f t="shared" si="38"/>
        <v>7</v>
      </c>
      <c r="AJ322" s="234">
        <f t="shared" si="38"/>
        <v>2</v>
      </c>
      <c r="AK322" s="234">
        <f t="shared" si="38"/>
        <v>1</v>
      </c>
      <c r="AL322" s="234">
        <f t="shared" si="38"/>
        <v>7</v>
      </c>
      <c r="AM322" s="234">
        <f t="shared" si="38"/>
        <v>4</v>
      </c>
      <c r="AN322" s="234">
        <f t="shared" si="38"/>
        <v>1</v>
      </c>
      <c r="AO322" s="235">
        <f t="shared" si="38"/>
        <v>0</v>
      </c>
    </row>
    <row r="324" spans="1:41" x14ac:dyDescent="0.3">
      <c r="A324" s="58">
        <v>10</v>
      </c>
      <c r="B324" s="24" t="s">
        <v>12095</v>
      </c>
    </row>
    <row r="325" spans="1:41" x14ac:dyDescent="0.3">
      <c r="B325" s="82"/>
    </row>
    <row r="326" spans="1:41" x14ac:dyDescent="0.3">
      <c r="B326" s="72" t="s">
        <v>9795</v>
      </c>
      <c r="C326" s="72" t="s">
        <v>9804</v>
      </c>
      <c r="D326" s="72" t="s">
        <v>12090</v>
      </c>
      <c r="E326" s="72" t="s">
        <v>12091</v>
      </c>
      <c r="F326" s="72" t="s">
        <v>12092</v>
      </c>
      <c r="G326" s="72" t="s">
        <v>12093</v>
      </c>
      <c r="H326" s="72" t="s">
        <v>9801</v>
      </c>
      <c r="I326" s="80" t="s">
        <v>9803</v>
      </c>
    </row>
    <row r="327" spans="1:41" x14ac:dyDescent="0.3">
      <c r="B327" s="320" t="s">
        <v>12079</v>
      </c>
      <c r="C327" s="67" t="s">
        <v>46</v>
      </c>
      <c r="D327" s="2">
        <f>COUNTIFS(SSKA!$S$6:$S$466,C327,SSKA!$R$6:$R$466,"&lt;24")</f>
        <v>0</v>
      </c>
      <c r="E327" s="2">
        <f>COUNTIFS(SJTA!$S$6:$S$331,C327,SJTA!$R$6:$R$331,"&lt;24")</f>
        <v>0</v>
      </c>
      <c r="F327" s="2">
        <f>COUNTIFS(SPJ!$P$5:$P$144,C327,SPJ!$O$5:$O$144,"&lt;24")</f>
        <v>0</v>
      </c>
      <c r="G327" s="2">
        <f>COUNTIFS(SMP!$P$6:$P$30,C327,SMP!$O$6:$O$30,"&lt;24")</f>
        <v>0</v>
      </c>
      <c r="H327" s="3">
        <f>SUM(D327:G327)</f>
        <v>0</v>
      </c>
      <c r="I327" s="81">
        <f>H327/$G$322</f>
        <v>0</v>
      </c>
    </row>
    <row r="328" spans="1:41" x14ac:dyDescent="0.3">
      <c r="B328" s="320"/>
      <c r="C328" s="67" t="s">
        <v>9788</v>
      </c>
      <c r="D328" s="2">
        <f>COUNTIFS(SSKA!$S$6:$S$466,C328,SSKA!$R$6:$R$466,"&lt;24")</f>
        <v>3</v>
      </c>
      <c r="E328" s="2">
        <f>COUNTIFS(SJTA!$S$6:$S$331,C328,SJTA!$R$6:$R$331,"&lt;24")</f>
        <v>1</v>
      </c>
      <c r="F328" s="2">
        <f>COUNTIFS(SPJ!$P$5:$P$144,C328,SPJ!$O$5:$O$144,"&lt;24")</f>
        <v>0</v>
      </c>
      <c r="G328" s="2">
        <f>COUNTIFS(SMP!$P$6:$P$30,C328,SMP!$O$6:$O$30,"&lt;24")</f>
        <v>1</v>
      </c>
      <c r="H328" s="3">
        <f t="shared" ref="H328:H396" si="39">SUM(D328:G328)</f>
        <v>5</v>
      </c>
      <c r="I328" s="81">
        <f t="shared" ref="I328:I396" si="40">H328/$G$322</f>
        <v>5.411255411255411E-3</v>
      </c>
    </row>
    <row r="329" spans="1:41" x14ac:dyDescent="0.3">
      <c r="B329" s="320"/>
      <c r="C329" s="67" t="s">
        <v>9785</v>
      </c>
      <c r="D329" s="2">
        <f>COUNTIFS(SSKA!$S$6:$S$466,C329,SSKA!$R$6:$R$466,"&lt;24")</f>
        <v>0</v>
      </c>
      <c r="E329" s="2">
        <f>COUNTIFS(SJTA!$S$6:$S$331,C329,SJTA!$R$6:$R$331,"&lt;24")</f>
        <v>0</v>
      </c>
      <c r="F329" s="2">
        <f>COUNTIFS(SPJ!$P$5:$P$144,C329,SPJ!$O$5:$O$144,"&lt;24")</f>
        <v>0</v>
      </c>
      <c r="G329" s="2">
        <f>COUNTIFS(SMP!$P$6:$P$30,C329,SMP!$O$6:$O$30,"&lt;24")</f>
        <v>0</v>
      </c>
      <c r="H329" s="3">
        <f t="shared" si="39"/>
        <v>0</v>
      </c>
      <c r="I329" s="81">
        <f t="shared" si="40"/>
        <v>0</v>
      </c>
    </row>
    <row r="330" spans="1:41" x14ac:dyDescent="0.3">
      <c r="B330" s="320"/>
      <c r="C330" s="67" t="s">
        <v>12099</v>
      </c>
      <c r="D330" s="2">
        <f>COUNTIFS(SSKA!$S$6:$S$466,C330,SSKA!$R$6:$R$466,"&lt;24")</f>
        <v>0</v>
      </c>
      <c r="E330" s="2">
        <f>COUNTIFS(SJTA!$S$6:$S$331,C330,SJTA!$R$6:$R$331,"&lt;24")</f>
        <v>0</v>
      </c>
      <c r="F330" s="2">
        <f>COUNTIFS(SPJ!$P$5:$P$144,C330,SPJ!$O$5:$O$144,"&lt;24")</f>
        <v>0</v>
      </c>
      <c r="G330" s="2">
        <f>COUNTIFS(SMP!$P$6:$P$30,C330,SMP!$O$6:$O$30,"&lt;24")</f>
        <v>0</v>
      </c>
      <c r="H330" s="3">
        <f t="shared" si="39"/>
        <v>0</v>
      </c>
      <c r="I330" s="81">
        <f t="shared" si="40"/>
        <v>0</v>
      </c>
    </row>
    <row r="331" spans="1:41" x14ac:dyDescent="0.3">
      <c r="B331" s="320"/>
      <c r="C331" s="67" t="s">
        <v>337</v>
      </c>
      <c r="D331" s="2">
        <f>COUNTIFS(SSKA!$S$6:$S$466,C331,SSKA!$R$6:$R$466,"&lt;24")</f>
        <v>14</v>
      </c>
      <c r="E331" s="56">
        <f>COUNTIFS(SJTA!$S$6:$S$331,C331,SJTA!$R$6:$R$331,"&lt;24")</f>
        <v>22</v>
      </c>
      <c r="F331" s="2">
        <f>COUNTIFS(SPJ!$P$5:$P$144,C331,SPJ!$O$5:$O$144,"&lt;24")</f>
        <v>10</v>
      </c>
      <c r="G331" s="2">
        <f>COUNTIFS(SMP!$P$6:$P$30,C331,SMP!$O$6:$O$30,"&lt;24")</f>
        <v>0</v>
      </c>
      <c r="H331" s="3">
        <f t="shared" si="39"/>
        <v>46</v>
      </c>
      <c r="I331" s="81">
        <f t="shared" si="40"/>
        <v>4.9783549783549784E-2</v>
      </c>
    </row>
    <row r="332" spans="1:41" x14ac:dyDescent="0.3">
      <c r="B332" s="320"/>
      <c r="C332" s="67" t="s">
        <v>9791</v>
      </c>
      <c r="D332" s="2">
        <f>COUNTIFS(SSKA!$S$6:$S$466,C332,SSKA!$R$6:$R$466,"&lt;24")</f>
        <v>0</v>
      </c>
      <c r="E332" s="2">
        <f>COUNTIFS(SJTA!$S$6:$S$331,C332,SJTA!$R$6:$R$331,"&lt;24")</f>
        <v>0</v>
      </c>
      <c r="F332" s="2">
        <f>COUNTIFS(SPJ!$P$5:$P$144,C332,SPJ!$O$5:$O$144,"&lt;24")</f>
        <v>0</v>
      </c>
      <c r="G332" s="2">
        <f>COUNTIFS(SMP!$P$6:$P$30,C332,SMP!$O$6:$O$30,"&lt;24")</f>
        <v>0</v>
      </c>
      <c r="H332" s="3">
        <f t="shared" si="39"/>
        <v>0</v>
      </c>
      <c r="I332" s="81">
        <f t="shared" si="40"/>
        <v>0</v>
      </c>
    </row>
    <row r="333" spans="1:41" x14ac:dyDescent="0.3">
      <c r="B333" s="320"/>
      <c r="C333" s="67" t="s">
        <v>31</v>
      </c>
      <c r="D333" s="2">
        <f>COUNTIFS(SSKA!$S$6:$S$466,C333,SSKA!$R$6:$R$466,"&lt;24")</f>
        <v>0</v>
      </c>
      <c r="E333" s="2">
        <f>COUNTIFS(SJTA!$S$6:$S$331,C333,SJTA!$R$6:$R$331,"&lt;24")</f>
        <v>0</v>
      </c>
      <c r="F333" s="2">
        <f>COUNTIFS(SPJ!$P$5:$P$144,C333,SPJ!$O$5:$O$144,"&lt;24")</f>
        <v>0</v>
      </c>
      <c r="G333" s="2">
        <f>COUNTIFS(SMP!$P$6:$P$30,C333,SMP!$O$6:$O$30,"&lt;24")</f>
        <v>0</v>
      </c>
      <c r="H333" s="3">
        <f t="shared" si="39"/>
        <v>0</v>
      </c>
      <c r="I333" s="81">
        <f t="shared" si="40"/>
        <v>0</v>
      </c>
    </row>
    <row r="334" spans="1:41" x14ac:dyDescent="0.3">
      <c r="B334" s="320"/>
      <c r="C334" s="67" t="s">
        <v>9787</v>
      </c>
      <c r="D334" s="2">
        <f>COUNTIFS(SSKA!$S$6:$S$466,C334,SSKA!$R$6:$R$466,"&lt;24")</f>
        <v>0</v>
      </c>
      <c r="E334" s="2">
        <f>COUNTIFS(SJTA!$S$6:$S$331,C334,SJTA!$R$6:$R$331,"&lt;24")</f>
        <v>0</v>
      </c>
      <c r="F334" s="2">
        <f>COUNTIFS(SPJ!$P$5:$P$144,C334,SPJ!$O$5:$O$144,"&lt;24")</f>
        <v>0</v>
      </c>
      <c r="G334" s="2">
        <f>COUNTIFS(SMP!$P$6:$P$30,C334,SMP!$O$6:$O$30,"&lt;24")</f>
        <v>0</v>
      </c>
      <c r="H334" s="3">
        <f t="shared" si="39"/>
        <v>0</v>
      </c>
      <c r="I334" s="81">
        <f t="shared" si="40"/>
        <v>0</v>
      </c>
    </row>
    <row r="335" spans="1:41" x14ac:dyDescent="0.3">
      <c r="B335" s="320"/>
      <c r="C335" s="67" t="s">
        <v>12065</v>
      </c>
      <c r="D335" s="2">
        <f>COUNTIFS(SSKA!$S$6:$S$466,C335,SSKA!$R$6:$R$466,"&lt;24")</f>
        <v>0</v>
      </c>
      <c r="E335" s="2">
        <f>COUNTIFS(SJTA!$S$6:$S$331,C335,SJTA!$R$6:$R$331,"&lt;24")</f>
        <v>0</v>
      </c>
      <c r="F335" s="2">
        <f>COUNTIFS(SPJ!$P$5:$P$144,C335,SPJ!$O$5:$O$144,"&lt;24")</f>
        <v>0</v>
      </c>
      <c r="G335" s="2">
        <f>COUNTIFS(SMP!$P$6:$P$30,C335,SMP!$O$6:$O$30,"&lt;24")</f>
        <v>0</v>
      </c>
      <c r="H335" s="3">
        <f t="shared" si="39"/>
        <v>0</v>
      </c>
      <c r="I335" s="81">
        <f t="shared" si="40"/>
        <v>0</v>
      </c>
    </row>
    <row r="336" spans="1:41" x14ac:dyDescent="0.3">
      <c r="B336" s="320"/>
      <c r="C336" s="67" t="s">
        <v>12074</v>
      </c>
      <c r="D336" s="2">
        <f>COUNTIFS(SSKA!$S$6:$S$466,C336,SSKA!$R$6:$R$466,"&lt;24")</f>
        <v>0</v>
      </c>
      <c r="E336" s="2">
        <f>COUNTIFS(SJTA!$S$6:$S$331,C336,SJTA!$R$6:$R$331,"&lt;24")</f>
        <v>0</v>
      </c>
      <c r="F336" s="2">
        <f>COUNTIFS(SPJ!$P$5:$P$144,C336,SPJ!$O$5:$O$144,"&lt;24")</f>
        <v>0</v>
      </c>
      <c r="G336" s="2">
        <f>COUNTIFS(SMP!$P$6:$P$30,C336,SMP!$O$6:$O$30,"&lt;24")</f>
        <v>0</v>
      </c>
      <c r="H336" s="3">
        <f t="shared" si="39"/>
        <v>0</v>
      </c>
      <c r="I336" s="81">
        <f t="shared" si="40"/>
        <v>0</v>
      </c>
    </row>
    <row r="337" spans="2:9" x14ac:dyDescent="0.3">
      <c r="B337" s="320"/>
      <c r="C337" s="67" t="s">
        <v>13</v>
      </c>
      <c r="D337" s="2">
        <f>COUNTIFS(SSKA!$S$6:$S$466,C337,SSKA!$R$6:$R$466,"&lt;24")</f>
        <v>0</v>
      </c>
      <c r="E337" s="2">
        <f>COUNTIFS(SJTA!$S$6:$S$331,C337,SJTA!$R$6:$R$331,"&lt;24")</f>
        <v>0</v>
      </c>
      <c r="F337" s="2">
        <f>COUNTIFS(SPJ!$P$5:$P$144,C337,SPJ!$O$5:$O$144,"&lt;24")</f>
        <v>0</v>
      </c>
      <c r="G337" s="2">
        <f>COUNTIFS(SMP!$P$6:$P$30,C337,SMP!$O$6:$O$30,"&lt;24")</f>
        <v>0</v>
      </c>
      <c r="H337" s="3">
        <f t="shared" si="39"/>
        <v>0</v>
      </c>
      <c r="I337" s="81">
        <f t="shared" si="40"/>
        <v>0</v>
      </c>
    </row>
    <row r="338" spans="2:9" x14ac:dyDescent="0.3">
      <c r="B338" s="320"/>
      <c r="C338" s="67" t="s">
        <v>243</v>
      </c>
      <c r="D338" s="2">
        <f>COUNTIFS(SSKA!$S$6:$S$466,C338,SSKA!$R$6:$R$466,"&lt;24")</f>
        <v>1</v>
      </c>
      <c r="E338" s="2">
        <f>COUNTIFS(SJTA!$S$6:$S$331,C338,SJTA!$R$6:$R$331,"&lt;24")</f>
        <v>1</v>
      </c>
      <c r="F338" s="2">
        <f>COUNTIFS(SPJ!$P$5:$P$144,C338,SPJ!$O$5:$O$144,"&lt;24")</f>
        <v>0</v>
      </c>
      <c r="G338" s="2">
        <f>COUNTIFS(SMP!$P$6:$P$30,C338,SMP!$O$6:$O$30,"&lt;24")</f>
        <v>0</v>
      </c>
      <c r="H338" s="3">
        <f t="shared" si="39"/>
        <v>2</v>
      </c>
      <c r="I338" s="81">
        <f t="shared" si="40"/>
        <v>2.1645021645021645E-3</v>
      </c>
    </row>
    <row r="339" spans="2:9" x14ac:dyDescent="0.3">
      <c r="B339" s="320"/>
      <c r="C339" s="67" t="s">
        <v>12075</v>
      </c>
      <c r="D339" s="2">
        <f>COUNTIFS(SSKA!$S$6:$S$466,C339,SSKA!$R$6:$R$466,"&lt;24")</f>
        <v>0</v>
      </c>
      <c r="E339" s="2">
        <f>COUNTIFS(SJTA!$S$6:$S$331,C339,SJTA!$R$6:$R$331,"&lt;24")</f>
        <v>0</v>
      </c>
      <c r="F339" s="2">
        <f>COUNTIFS(SPJ!$P$5:$P$144,C339,SPJ!$O$5:$O$144,"&lt;24")</f>
        <v>0</v>
      </c>
      <c r="G339" s="2">
        <f>COUNTIFS(SMP!$P$6:$P$30,C339,SMP!$O$6:$O$30,"&lt;24")</f>
        <v>0</v>
      </c>
      <c r="H339" s="3">
        <f t="shared" si="39"/>
        <v>0</v>
      </c>
      <c r="I339" s="81">
        <f t="shared" si="40"/>
        <v>0</v>
      </c>
    </row>
    <row r="340" spans="2:9" x14ac:dyDescent="0.3">
      <c r="B340" s="320"/>
      <c r="C340" s="67" t="s">
        <v>12076</v>
      </c>
      <c r="D340" s="2">
        <f>COUNTIFS(SSKA!$S$6:$S$466,0,SSKA!$R$6:$R$466,"&lt;24")</f>
        <v>2</v>
      </c>
      <c r="E340" s="2">
        <f>COUNTIFS(SJTA!$S$6:$S$331,0,SJTA!$R$6:$R$331,"&lt;24")</f>
        <v>3</v>
      </c>
      <c r="F340" s="2">
        <f>COUNTIFS(SPJ!$P$5:$P$144,0,SPJ!$O$5:$O$144,"&lt;24")</f>
        <v>1</v>
      </c>
      <c r="G340" s="2">
        <f>COUNTIFS(SMP!$P$6:$P$30,1,SMP!$O$6:$O$30,"&lt;24")</f>
        <v>0</v>
      </c>
      <c r="H340" s="3">
        <f t="shared" si="39"/>
        <v>6</v>
      </c>
      <c r="I340" s="81">
        <f t="shared" si="40"/>
        <v>6.4935064935064939E-3</v>
      </c>
    </row>
    <row r="341" spans="2:9" x14ac:dyDescent="0.3">
      <c r="B341" s="320" t="s">
        <v>22144</v>
      </c>
      <c r="C341" s="67" t="s">
        <v>46</v>
      </c>
      <c r="D341" s="2">
        <f>COUNTIFS(SSKA!$S$6:$S$466,C341,SSKA!$R$6:$R$466,"&lt;=35")-COUNTIFS(SSKA!$S$6:$S$466,C341,SSKA!$R$6:$R$466,"&lt;24")</f>
        <v>12</v>
      </c>
      <c r="E341" s="2">
        <f>COUNTIFS(SJTA!$S$6:$S$331,C341,SJTA!$R$6:$R$331,"&lt;=35")-COUNTIFS(SJTA!$S$6:$S$331,C341,SJTA!$R$6:$R$331,"&lt;24")</f>
        <v>3</v>
      </c>
      <c r="F341" s="2">
        <f>COUNTIFS(SPJ!$P$5:$P$144,C341,SPJ!$O$5:$O$144,"&lt;=35")-COUNTIFS(SPJ!$P$5:$P$144,C341,SPJ!$O$5:$O$144,"&lt;24")</f>
        <v>14</v>
      </c>
      <c r="G341" s="2">
        <f>COUNTIFS(SMP!$P$6:$P$30,C341,SMP!$O$6:$O$30,"&lt;=35")-COUNTIFS(SMP!$P$6:$P$30,C341,SMP!$O$6:$O$30,"&lt;24")</f>
        <v>1</v>
      </c>
      <c r="H341" s="3">
        <f t="shared" si="39"/>
        <v>30</v>
      </c>
      <c r="I341" s="81">
        <f t="shared" si="40"/>
        <v>3.2467532467532464E-2</v>
      </c>
    </row>
    <row r="342" spans="2:9" x14ac:dyDescent="0.3">
      <c r="B342" s="320"/>
      <c r="C342" s="67" t="s">
        <v>9788</v>
      </c>
      <c r="D342" s="56">
        <f>COUNTIFS(SSKA!$S$6:$S$466,C342,SSKA!$R$6:$R$466,"&lt;=35")-COUNTIFS(SSKA!$S$6:$S$466,C342,SSKA!$R$6:$R$466,"&lt;24")</f>
        <v>38</v>
      </c>
      <c r="E342" s="2">
        <f>COUNTIFS(SJTA!$S$6:$S$331,C342,SJTA!$R$6:$R$331,"&lt;=35")-COUNTIFS(SJTA!$S$6:$S$331,C342,SJTA!$R$6:$R$331,"&lt;24")</f>
        <v>19</v>
      </c>
      <c r="F342" s="2">
        <f>COUNTIFS(SPJ!$P$5:$P$144,C342,SPJ!$O$5:$O$144,"&lt;=35")-COUNTIFS(SPJ!$P$5:$P$144,C342,SPJ!$O$5:$O$144,"&lt;24")</f>
        <v>13</v>
      </c>
      <c r="G342" s="2">
        <f>COUNTIFS(SMP!$P$6:$P$30,C342,SMP!$O$6:$O$30,"&lt;=35")-COUNTIFS(SMP!$P$6:$P$30,C342,SMP!$O$6:$O$30,"&lt;24")</f>
        <v>6</v>
      </c>
      <c r="H342" s="3">
        <f t="shared" si="39"/>
        <v>76</v>
      </c>
      <c r="I342" s="81">
        <f t="shared" si="40"/>
        <v>8.2251082251082255E-2</v>
      </c>
    </row>
    <row r="343" spans="2:9" x14ac:dyDescent="0.3">
      <c r="B343" s="320"/>
      <c r="C343" s="67" t="s">
        <v>9785</v>
      </c>
      <c r="D343" s="2">
        <f>COUNTIFS(SSKA!$S$6:$S$466,C343,SSKA!$R$6:$R$466,"&lt;=35")-COUNTIFS(SSKA!$S$6:$S$466,C343,SSKA!$R$6:$R$466,"&lt;24")</f>
        <v>2</v>
      </c>
      <c r="E343" s="2">
        <f>COUNTIFS(SJTA!$S$6:$S$331,C343,SJTA!$R$6:$R$331,"&lt;=35")-COUNTIFS(SJTA!$S$6:$S$331,C343,SJTA!$R$6:$R$331,"&lt;24")</f>
        <v>4</v>
      </c>
      <c r="F343" s="2">
        <f>COUNTIFS(SPJ!$P$5:$P$144,C343,SPJ!$O$5:$O$144,"&lt;=35")-COUNTIFS(SPJ!$P$5:$P$144,C343,SPJ!$O$5:$O$144,"&lt;24")</f>
        <v>1</v>
      </c>
      <c r="G343" s="2">
        <f>COUNTIFS(SMP!$P$6:$P$30,C343,SMP!$O$6:$O$30,"&lt;=35")-COUNTIFS(SMP!$P$6:$P$30,C343,SMP!$O$6:$O$30,"&lt;24")</f>
        <v>0</v>
      </c>
      <c r="H343" s="3">
        <f t="shared" si="39"/>
        <v>7</v>
      </c>
      <c r="I343" s="81">
        <f t="shared" si="40"/>
        <v>7.575757575757576E-3</v>
      </c>
    </row>
    <row r="344" spans="2:9" x14ac:dyDescent="0.3">
      <c r="B344" s="320"/>
      <c r="C344" s="67" t="s">
        <v>12099</v>
      </c>
      <c r="D344" s="2">
        <f>COUNTIFS(SSKA!$S$6:$S$466,C344,SSKA!$R$6:$R$466,"&lt;=35")-COUNTIFS(SSKA!$S$6:$S$466,C344,SSKA!$R$6:$R$466,"&lt;24")</f>
        <v>5</v>
      </c>
      <c r="E344" s="2">
        <f>COUNTIFS(SJTA!$S$6:$S$331,C344,SJTA!$R$6:$R$331,"&lt;=35")-COUNTIFS(SJTA!$S$6:$S$331,C344,SJTA!$R$6:$R$331,"&lt;24")</f>
        <v>1</v>
      </c>
      <c r="F344" s="2">
        <f>COUNTIFS(SPJ!$P$5:$P$144,C344,SPJ!$O$5:$O$144,"&lt;=35")-COUNTIFS(SPJ!$P$5:$P$144,C344,SPJ!$O$5:$O$144,"&lt;24")</f>
        <v>3</v>
      </c>
      <c r="G344" s="2">
        <f>COUNTIFS(SMP!$P$6:$P$30,C344,SMP!$O$6:$O$30,"&lt;=35")-COUNTIFS(SMP!$P$6:$P$30,C344,SMP!$O$6:$O$30,"&lt;24")</f>
        <v>0</v>
      </c>
      <c r="H344" s="3">
        <f t="shared" si="39"/>
        <v>9</v>
      </c>
      <c r="I344" s="81">
        <f t="shared" si="40"/>
        <v>9.74025974025974E-3</v>
      </c>
    </row>
    <row r="345" spans="2:9" x14ac:dyDescent="0.3">
      <c r="B345" s="320"/>
      <c r="C345" s="67" t="s">
        <v>337</v>
      </c>
      <c r="D345" s="2">
        <f>COUNTIFS(SSKA!$S$6:$S$466,C345,SSKA!$R$6:$R$466,"&lt;=35")-COUNTIFS(SSKA!$S$6:$S$466,C345,SSKA!$R$6:$R$466,"&lt;24")</f>
        <v>3</v>
      </c>
      <c r="E345" s="2">
        <f>COUNTIFS(SJTA!$S$6:$S$331,C345,SJTA!$R$6:$R$331,"&lt;=35")-COUNTIFS(SJTA!$S$6:$S$331,C345,SJTA!$R$6:$R$331,"&lt;24")</f>
        <v>3</v>
      </c>
      <c r="F345" s="2">
        <f>COUNTIFS(SPJ!$P$5:$P$144,C345,SPJ!$O$5:$O$144,"&lt;=35")-COUNTIFS(SPJ!$P$5:$P$144,C345,SPJ!$O$5:$O$144,"&lt;24")</f>
        <v>3</v>
      </c>
      <c r="G345" s="2">
        <f>COUNTIFS(SMP!$P$6:$P$30,C345,SMP!$O$6:$O$30,"&lt;=35")-COUNTIFS(SMP!$P$6:$P$30,C345,SMP!$O$6:$O$30,"&lt;24")</f>
        <v>0</v>
      </c>
      <c r="H345" s="3">
        <f t="shared" si="39"/>
        <v>9</v>
      </c>
      <c r="I345" s="81">
        <f t="shared" si="40"/>
        <v>9.74025974025974E-3</v>
      </c>
    </row>
    <row r="346" spans="2:9" x14ac:dyDescent="0.3">
      <c r="B346" s="320"/>
      <c r="C346" s="67" t="s">
        <v>9791</v>
      </c>
      <c r="D346" s="2">
        <f>COUNTIFS(SSKA!$S$6:$S$466,C346,SSKA!$R$6:$R$466,"&lt;=35")-COUNTIFS(SSKA!$S$6:$S$466,C346,SSKA!$R$6:$R$466,"&lt;24")</f>
        <v>0</v>
      </c>
      <c r="E346" s="2">
        <f>COUNTIFS(SJTA!$S$6:$S$331,C346,SJTA!$R$6:$R$331,"&lt;=35")-COUNTIFS(SJTA!$S$6:$S$331,C346,SJTA!$R$6:$R$331,"&lt;24")</f>
        <v>0</v>
      </c>
      <c r="F346" s="2">
        <f>COUNTIFS(SPJ!$P$5:$P$144,C346,SPJ!$O$5:$O$144,"&lt;=35")-COUNTIFS(SPJ!$P$5:$P$144,C346,SPJ!$O$5:$O$144,"&lt;24")</f>
        <v>0</v>
      </c>
      <c r="G346" s="2">
        <f>COUNTIFS(SMP!$P$6:$P$30,C346,SMP!$O$6:$O$30,"&lt;=35")-COUNTIFS(SMP!$P$6:$P$30,C346,SMP!$O$6:$O$30,"&lt;24")</f>
        <v>0</v>
      </c>
      <c r="H346" s="3">
        <f t="shared" si="39"/>
        <v>0</v>
      </c>
      <c r="I346" s="81">
        <f t="shared" si="40"/>
        <v>0</v>
      </c>
    </row>
    <row r="347" spans="2:9" x14ac:dyDescent="0.3">
      <c r="B347" s="320"/>
      <c r="C347" s="67" t="s">
        <v>31</v>
      </c>
      <c r="D347" s="2">
        <f>COUNTIFS(SSKA!$S$6:$S$466,C347,SSKA!$R$6:$R$466,"&lt;=35")-COUNTIFS(SSKA!$S$6:$S$466,C347,SSKA!$R$6:$R$466,"&lt;24")</f>
        <v>5</v>
      </c>
      <c r="E347" s="2">
        <f>COUNTIFS(SJTA!$S$6:$S$331,C347,SJTA!$R$6:$R$331,"&lt;=35")-COUNTIFS(SJTA!$S$6:$S$331,C347,SJTA!$R$6:$R$331,"&lt;24")</f>
        <v>3</v>
      </c>
      <c r="F347" s="2">
        <f>COUNTIFS(SPJ!$P$5:$P$144,C347,SPJ!$O$5:$O$144,"&lt;=35")-COUNTIFS(SPJ!$P$5:$P$144,C347,SPJ!$O$5:$O$144,"&lt;24")</f>
        <v>8</v>
      </c>
      <c r="G347" s="2">
        <f>COUNTIFS(SMP!$P$6:$P$30,C347,SMP!$O$6:$O$30,"&lt;=35")-COUNTIFS(SMP!$P$6:$P$30,C347,SMP!$O$6:$O$30,"&lt;24")</f>
        <v>1</v>
      </c>
      <c r="H347" s="3">
        <f t="shared" si="39"/>
        <v>17</v>
      </c>
      <c r="I347" s="81">
        <f t="shared" si="40"/>
        <v>1.83982683982684E-2</v>
      </c>
    </row>
    <row r="348" spans="2:9" x14ac:dyDescent="0.3">
      <c r="B348" s="320"/>
      <c r="C348" s="67" t="s">
        <v>9787</v>
      </c>
      <c r="D348" s="2">
        <f>COUNTIFS(SSKA!$S$6:$S$466,C348,SSKA!$R$6:$R$466,"&lt;=35")-COUNTIFS(SSKA!$S$6:$S$466,C348,SSKA!$R$6:$R$466,"&lt;24")</f>
        <v>0</v>
      </c>
      <c r="E348" s="2">
        <f>COUNTIFS(SJTA!$S$6:$S$331,C348,SJTA!$R$6:$R$331,"&lt;=35")-COUNTIFS(SJTA!$S$6:$S$331,C348,SJTA!$R$6:$R$331,"&lt;24")</f>
        <v>0</v>
      </c>
      <c r="F348" s="2">
        <f>COUNTIFS(SPJ!$P$5:$P$144,C348,SPJ!$O$5:$O$144,"&lt;=35")-COUNTIFS(SPJ!$P$5:$P$144,C348,SPJ!$O$5:$O$144,"&lt;24")</f>
        <v>0</v>
      </c>
      <c r="G348" s="2">
        <f>COUNTIFS(SMP!$P$6:$P$30,C348,SMP!$O$6:$O$30,"&lt;=35")-COUNTIFS(SMP!$P$6:$P$30,C348,SMP!$O$6:$O$30,"&lt;24")</f>
        <v>0</v>
      </c>
      <c r="H348" s="3">
        <f t="shared" si="39"/>
        <v>0</v>
      </c>
      <c r="I348" s="81">
        <f t="shared" si="40"/>
        <v>0</v>
      </c>
    </row>
    <row r="349" spans="2:9" x14ac:dyDescent="0.3">
      <c r="B349" s="320"/>
      <c r="C349" s="67" t="s">
        <v>12065</v>
      </c>
      <c r="D349" s="2">
        <f>COUNTIFS(SSKA!$S$6:$S$466,C349,SSKA!$R$6:$R$466,"&lt;=35")-COUNTIFS(SSKA!$S$6:$S$466,C349,SSKA!$R$6:$R$466,"&lt;24")</f>
        <v>2</v>
      </c>
      <c r="E349" s="2">
        <f>COUNTIFS(SJTA!$S$6:$S$331,C349,SJTA!$R$6:$R$331,"&lt;=35")-COUNTIFS(SJTA!$S$6:$S$331,C349,SJTA!$R$6:$R$331,"&lt;24")</f>
        <v>2</v>
      </c>
      <c r="F349" s="2">
        <f>COUNTIFS(SPJ!$P$5:$P$144,C349,SPJ!$O$5:$O$144,"&lt;=35")-COUNTIFS(SPJ!$P$5:$P$144,C349,SPJ!$O$5:$O$144,"&lt;24")</f>
        <v>1</v>
      </c>
      <c r="G349" s="2">
        <f>COUNTIFS(SMP!$P$6:$P$30,C349,SMP!$O$6:$O$30,"&lt;=35")-COUNTIFS(SMP!$P$6:$P$30,C349,SMP!$O$6:$O$30,"&lt;24")</f>
        <v>0</v>
      </c>
      <c r="H349" s="3">
        <f t="shared" si="39"/>
        <v>5</v>
      </c>
      <c r="I349" s="81">
        <f t="shared" si="40"/>
        <v>5.411255411255411E-3</v>
      </c>
    </row>
    <row r="350" spans="2:9" x14ac:dyDescent="0.3">
      <c r="B350" s="320"/>
      <c r="C350" s="67" t="s">
        <v>12074</v>
      </c>
      <c r="D350" s="2">
        <f>COUNTIFS(SSKA!$S$6:$S$466,C350,SSKA!$R$6:$R$466,"&lt;=35")-COUNTIFS(SSKA!$S$6:$S$466,C350,SSKA!$R$6:$R$466,"&lt;24")</f>
        <v>0</v>
      </c>
      <c r="E350" s="2">
        <f>COUNTIFS(SJTA!$S$6:$S$331,C350,SJTA!$R$6:$R$331,"&lt;=35")-COUNTIFS(SJTA!$S$6:$S$331,C350,SJTA!$R$6:$R$331,"&lt;24")</f>
        <v>0</v>
      </c>
      <c r="F350" s="2">
        <f>COUNTIFS(SPJ!$P$5:$P$144,C350,SPJ!$O$5:$O$144,"&lt;=35")-COUNTIFS(SPJ!$P$5:$P$144,C350,SPJ!$O$5:$O$144,"&lt;24")</f>
        <v>0</v>
      </c>
      <c r="G350" s="2">
        <f>COUNTIFS(SMP!$P$6:$P$30,C350,SMP!$O$6:$O$30,"&lt;=35")-COUNTIFS(SMP!$P$6:$P$30,C350,SMP!$O$6:$O$30,"&lt;24")</f>
        <v>0</v>
      </c>
      <c r="H350" s="3">
        <f t="shared" si="39"/>
        <v>0</v>
      </c>
      <c r="I350" s="81">
        <f t="shared" si="40"/>
        <v>0</v>
      </c>
    </row>
    <row r="351" spans="2:9" x14ac:dyDescent="0.3">
      <c r="B351" s="320"/>
      <c r="C351" s="67" t="s">
        <v>13</v>
      </c>
      <c r="D351" s="2">
        <f>COUNTIFS(SSKA!$S$6:$S$466,C351,SSKA!$R$6:$R$466,"&lt;=35")-COUNTIFS(SSKA!$S$6:$S$466,C351,SSKA!$R$6:$R$466,"&lt;24")</f>
        <v>0</v>
      </c>
      <c r="E351" s="2">
        <f>COUNTIFS(SJTA!$S$6:$S$331,C351,SJTA!$R$6:$R$331,"&lt;=35")-COUNTIFS(SJTA!$S$6:$S$331,C351,SJTA!$R$6:$R$331,"&lt;24")</f>
        <v>0</v>
      </c>
      <c r="F351" s="2">
        <f>COUNTIFS(SPJ!$P$5:$P$144,C351,SPJ!$O$5:$O$144,"&lt;=35")-COUNTIFS(SPJ!$P$5:$P$144,C351,SPJ!$O$5:$O$144,"&lt;24")</f>
        <v>0</v>
      </c>
      <c r="G351" s="2">
        <f>COUNTIFS(SMP!$P$6:$P$30,C351,SMP!$O$6:$O$30,"&lt;=35")-COUNTIFS(SMP!$P$6:$P$30,C351,SMP!$O$6:$O$30,"&lt;24")</f>
        <v>0</v>
      </c>
      <c r="H351" s="3">
        <f t="shared" si="39"/>
        <v>0</v>
      </c>
      <c r="I351" s="81">
        <f t="shared" si="40"/>
        <v>0</v>
      </c>
    </row>
    <row r="352" spans="2:9" x14ac:dyDescent="0.3">
      <c r="B352" s="320"/>
      <c r="C352" s="67" t="s">
        <v>243</v>
      </c>
      <c r="D352" s="2">
        <f>COUNTIFS(SSKA!$S$6:$S$466,C352,SSKA!$R$6:$R$466,"&lt;=35")-COUNTIFS(SSKA!$S$6:$S$466,C352,SSKA!$R$6:$R$466,"&lt;24")</f>
        <v>0</v>
      </c>
      <c r="E352" s="2">
        <f>COUNTIFS(SJTA!$S$6:$S$331,C352,SJTA!$R$6:$R$331,"&lt;=35")-COUNTIFS(SJTA!$S$6:$S$331,C352,SJTA!$R$6:$R$331,"&lt;24")</f>
        <v>1</v>
      </c>
      <c r="F352" s="2">
        <f>COUNTIFS(SPJ!$P$5:$P$144,C352,SPJ!$O$5:$O$144,"&lt;=35")-COUNTIFS(SPJ!$P$5:$P$144,C352,SPJ!$O$5:$O$144,"&lt;24")</f>
        <v>0</v>
      </c>
      <c r="G352" s="2">
        <f>COUNTIFS(SMP!$P$6:$P$30,C352,SMP!$O$6:$O$30,"&lt;=35")-COUNTIFS(SMP!$P$6:$P$30,C352,SMP!$O$6:$O$30,"&lt;24")</f>
        <v>0</v>
      </c>
      <c r="H352" s="3">
        <f t="shared" si="39"/>
        <v>1</v>
      </c>
      <c r="I352" s="81">
        <f t="shared" si="40"/>
        <v>1.0822510822510823E-3</v>
      </c>
    </row>
    <row r="353" spans="2:9" x14ac:dyDescent="0.3">
      <c r="B353" s="320"/>
      <c r="C353" s="67" t="s">
        <v>12075</v>
      </c>
      <c r="D353" s="2">
        <f>COUNTIFS(SSKA!$S$6:$S$466,C353,SSKA!$R$6:$R$466,"&lt;=35")-COUNTIFS(SSKA!$S$6:$S$466,C353,SSKA!$R$6:$R$466,"&lt;24")</f>
        <v>5</v>
      </c>
      <c r="E353" s="2">
        <f>COUNTIFS(SJTA!$S$6:$S$331,C353,SJTA!$R$6:$R$331,"&lt;=35")-COUNTIFS(SJTA!$S$6:$S$331,C353,SJTA!$R$6:$R$331,"&lt;24")</f>
        <v>2</v>
      </c>
      <c r="F353" s="2">
        <f>COUNTIFS(SPJ!$P$5:$P$144,C353,SPJ!$O$5:$O$144,"&lt;=35")-COUNTIFS(SPJ!$P$5:$P$144,C353,SPJ!$O$5:$O$144,"&lt;24")</f>
        <v>1</v>
      </c>
      <c r="G353" s="2">
        <f>COUNTIFS(SMP!$P$6:$P$30,C353,SMP!$O$6:$O$30,"&lt;=35")-COUNTIFS(SMP!$P$6:$P$30,C353,SMP!$O$6:$O$30,"&lt;24")</f>
        <v>0</v>
      </c>
      <c r="H353" s="3">
        <f t="shared" si="39"/>
        <v>8</v>
      </c>
      <c r="I353" s="81">
        <f t="shared" si="40"/>
        <v>8.658008658008658E-3</v>
      </c>
    </row>
    <row r="354" spans="2:9" x14ac:dyDescent="0.3">
      <c r="B354" s="320"/>
      <c r="C354" s="67" t="s">
        <v>12076</v>
      </c>
      <c r="D354" s="2">
        <f>COUNTIFS(SSKA!$S$6:$S$466,0,SSKA!$R$6:$R$466,"&lt;=35")-COUNTIFS(SSKA!$S$6:$S$466,0,SSKA!$R$6:$R$466,"&lt;24")</f>
        <v>3</v>
      </c>
      <c r="E354" s="2">
        <f>COUNTIFS(SJTA!$S$6:$S$331,0,SJTA!$R$6:$R$331,"&lt;=35")-COUNTIFS(SJTA!$S$6:$S$331,0,SJTA!$R$6:$R$331,"&lt;24")</f>
        <v>3</v>
      </c>
      <c r="F354" s="2">
        <f>COUNTIFS(SPJ!$P$5:$P$144,0,SPJ!$O$5:$O$144,"&lt;=35")-COUNTIFS(SPJ!$P$5:$P$144,0,SPJ!$O$5:$O$144,"&lt;24")</f>
        <v>2</v>
      </c>
      <c r="G354" s="2">
        <f>COUNTIFS(SMP!$P$6:$P$30,0,SMP!$O$6:$O$30,"&lt;=35")-COUNTIFS(SMP!$P$6:$P$30,0,SMP!$O$6:$O$30,"&lt;24")</f>
        <v>0</v>
      </c>
      <c r="H354" s="3">
        <f t="shared" si="39"/>
        <v>8</v>
      </c>
      <c r="I354" s="81">
        <f t="shared" si="40"/>
        <v>8.658008658008658E-3</v>
      </c>
    </row>
    <row r="355" spans="2:9" x14ac:dyDescent="0.3">
      <c r="B355" s="320" t="s">
        <v>22145</v>
      </c>
      <c r="C355" s="67" t="s">
        <v>46</v>
      </c>
      <c r="D355" s="2">
        <f>COUNTIFS(SSKA!$S$6:$S$466,C355,SSKA!$R$6:$R$466,"&lt;=45")-COUNTIFS(SSKA!$S$6:$S$466,C355,SSKA!$R$6:$R$466,"&lt;36")</f>
        <v>18</v>
      </c>
      <c r="E355" s="2">
        <f>COUNTIFS(SJTA!$S$6:$S$331,C355,SJTA!$R$6:$R$331,"&lt;=45")-COUNTIFS(SJTA!$S$6:$S$331,C355,SJTA!$R$6:$R$331,"&lt;36")</f>
        <v>8</v>
      </c>
      <c r="F355" s="2">
        <f>COUNTIFS(SPJ!$P$5:$P$144,C355,SPJ!$O$5:$O$144,"&lt;=45")-COUNTIFS(SPJ!$P$5:$P$144,C355,SPJ!$O$5:$O$144,"&lt;36")</f>
        <v>10</v>
      </c>
      <c r="G355" s="2">
        <f>COUNTIFS(SMP!$P$6:$P$30,C355,SMP!$O$6:$O$30,"&lt;=45")-COUNTIFS(SMP!$P$6:$P$30,C355,SMP!$O$6:$O$30,"&lt;36")</f>
        <v>1</v>
      </c>
      <c r="H355" s="3">
        <f t="shared" ref="H355:H368" si="41">SUM(D355:G355)</f>
        <v>37</v>
      </c>
      <c r="I355" s="81">
        <f t="shared" ref="I355:I368" si="42">H355/$G$322</f>
        <v>4.004329004329004E-2</v>
      </c>
    </row>
    <row r="356" spans="2:9" x14ac:dyDescent="0.3">
      <c r="B356" s="320"/>
      <c r="C356" s="67" t="s">
        <v>9788</v>
      </c>
      <c r="D356" s="56">
        <f>COUNTIFS(SSKA!$S$6:$S$466,C356,SSKA!$R$6:$R$466,"&lt;=45")-COUNTIFS(SSKA!$S$6:$S$466,C356,SSKA!$R$6:$R$466,"&lt;36")</f>
        <v>23</v>
      </c>
      <c r="E356" s="2">
        <f>COUNTIFS(SJTA!$S$6:$S$331,C356,SJTA!$R$6:$R$331,"&lt;=45")-COUNTIFS(SJTA!$S$6:$S$331,C356,SJTA!$R$6:$R$331,"&lt;36")</f>
        <v>22</v>
      </c>
      <c r="F356" s="2">
        <f>COUNTIFS(SPJ!$P$5:$P$144,C356,SPJ!$O$5:$O$144,"&lt;=45")-COUNTIFS(SPJ!$P$5:$P$144,C356,SPJ!$O$5:$O$144,"&lt;36")</f>
        <v>13</v>
      </c>
      <c r="G356" s="2">
        <f>COUNTIFS(SMP!$P$6:$P$30,C356,SMP!$O$6:$O$30,"&lt;=45")-COUNTIFS(SMP!$P$6:$P$30,C356,SMP!$O$6:$O$30,"&lt;36")</f>
        <v>1</v>
      </c>
      <c r="H356" s="3">
        <f t="shared" si="41"/>
        <v>59</v>
      </c>
      <c r="I356" s="81">
        <f t="shared" si="42"/>
        <v>6.3852813852813856E-2</v>
      </c>
    </row>
    <row r="357" spans="2:9" x14ac:dyDescent="0.3">
      <c r="B357" s="320"/>
      <c r="C357" s="67" t="s">
        <v>9785</v>
      </c>
      <c r="D357" s="2">
        <f>COUNTIFS(SSKA!$S$6:$S$466,C357,SSKA!$R$6:$R$466,"&lt;=45")-COUNTIFS(SSKA!$S$6:$S$466,C357,SSKA!$R$6:$R$466,"&lt;36")</f>
        <v>13</v>
      </c>
      <c r="E357" s="2">
        <f>COUNTIFS(SJTA!$S$6:$S$331,C357,SJTA!$R$6:$R$331,"&lt;=45")-COUNTIFS(SJTA!$S$6:$S$331,C357,SJTA!$R$6:$R$331,"&lt;36")</f>
        <v>10</v>
      </c>
      <c r="F357" s="2">
        <f>COUNTIFS(SPJ!$P$5:$P$144,C357,SPJ!$O$5:$O$144,"&lt;=45")-COUNTIFS(SPJ!$P$5:$P$144,C357,SPJ!$O$5:$O$144,"&lt;36")</f>
        <v>10</v>
      </c>
      <c r="G357" s="2">
        <f>COUNTIFS(SMP!$P$6:$P$30,C357,SMP!$O$6:$O$30,"&lt;=45")-COUNTIFS(SMP!$P$6:$P$30,C357,SMP!$O$6:$O$30,"&lt;36")</f>
        <v>0</v>
      </c>
      <c r="H357" s="3">
        <f t="shared" si="41"/>
        <v>33</v>
      </c>
      <c r="I357" s="81">
        <f t="shared" si="42"/>
        <v>3.5714285714285712E-2</v>
      </c>
    </row>
    <row r="358" spans="2:9" x14ac:dyDescent="0.3">
      <c r="B358" s="320"/>
      <c r="C358" s="67" t="s">
        <v>12099</v>
      </c>
      <c r="D358" s="2">
        <f>COUNTIFS(SSKA!$S$6:$S$466,C358,SSKA!$R$6:$R$466,"&lt;=45")-COUNTIFS(SSKA!$S$6:$S$466,C358,SSKA!$R$6:$R$466,"&lt;36")</f>
        <v>7</v>
      </c>
      <c r="E358" s="2">
        <f>COUNTIFS(SJTA!$S$6:$S$331,C358,SJTA!$R$6:$R$331,"&lt;=45")-COUNTIFS(SJTA!$S$6:$S$331,C358,SJTA!$R$6:$R$331,"&lt;36")</f>
        <v>6</v>
      </c>
      <c r="F358" s="2">
        <f>COUNTIFS(SPJ!$P$5:$P$144,C358,SPJ!$O$5:$O$144,"&lt;=45")-COUNTIFS(SPJ!$P$5:$P$144,C358,SPJ!$O$5:$O$144,"&lt;36")</f>
        <v>5</v>
      </c>
      <c r="G358" s="2">
        <f>COUNTIFS(SMP!$P$6:$P$30,C358,SMP!$O$6:$O$30,"&lt;=45")-COUNTIFS(SMP!$P$6:$P$30,C358,SMP!$O$6:$O$30,"&lt;36")</f>
        <v>1</v>
      </c>
      <c r="H358" s="3">
        <f t="shared" si="41"/>
        <v>19</v>
      </c>
      <c r="I358" s="81">
        <f t="shared" si="42"/>
        <v>2.0562770562770564E-2</v>
      </c>
    </row>
    <row r="359" spans="2:9" x14ac:dyDescent="0.3">
      <c r="B359" s="320"/>
      <c r="C359" s="67" t="s">
        <v>337</v>
      </c>
      <c r="D359" s="2">
        <f>COUNTIFS(SSKA!$S$6:$S$466,C359,SSKA!$R$6:$R$466,"&lt;=45")-COUNTIFS(SSKA!$S$6:$S$466,C359,SSKA!$R$6:$R$466,"&lt;36")</f>
        <v>0</v>
      </c>
      <c r="E359" s="2">
        <f>COUNTIFS(SJTA!$S$6:$S$331,C359,SJTA!$R$6:$R$331,"&lt;=45")-COUNTIFS(SJTA!$S$6:$S$331,C359,SJTA!$R$6:$R$331,"&lt;36")</f>
        <v>0</v>
      </c>
      <c r="F359" s="2">
        <f>COUNTIFS(SPJ!$P$5:$P$144,C359,SPJ!$O$5:$O$144,"&lt;=45")-COUNTIFS(SPJ!$P$5:$P$144,C359,SPJ!$O$5:$O$144,"&lt;36")</f>
        <v>0</v>
      </c>
      <c r="G359" s="2">
        <f>COUNTIFS(SMP!$P$6:$P$30,C359,SMP!$O$6:$O$30,"&lt;=45")-COUNTIFS(SMP!$P$6:$P$30,C359,SMP!$O$6:$O$30,"&lt;36")</f>
        <v>0</v>
      </c>
      <c r="H359" s="3">
        <f t="shared" si="41"/>
        <v>0</v>
      </c>
      <c r="I359" s="81">
        <f t="shared" si="42"/>
        <v>0</v>
      </c>
    </row>
    <row r="360" spans="2:9" x14ac:dyDescent="0.3">
      <c r="B360" s="320"/>
      <c r="C360" s="67" t="s">
        <v>9791</v>
      </c>
      <c r="D360" s="2">
        <f>COUNTIFS(SSKA!$S$6:$S$466,C360,SSKA!$R$6:$R$466,"&lt;=45")-COUNTIFS(SSKA!$S$6:$S$466,C360,SSKA!$R$6:$R$466,"&lt;36")</f>
        <v>2</v>
      </c>
      <c r="E360" s="2">
        <f>COUNTIFS(SJTA!$S$6:$S$331,C360,SJTA!$R$6:$R$331,"&lt;=45")-COUNTIFS(SJTA!$S$6:$S$331,C360,SJTA!$R$6:$R$331,"&lt;36")</f>
        <v>1</v>
      </c>
      <c r="F360" s="2">
        <f>COUNTIFS(SPJ!$P$5:$P$144,C360,SPJ!$O$5:$O$144,"&lt;=45")-COUNTIFS(SPJ!$P$5:$P$144,C360,SPJ!$O$5:$O$144,"&lt;36")</f>
        <v>0</v>
      </c>
      <c r="G360" s="2">
        <f>COUNTIFS(SMP!$P$6:$P$30,C360,SMP!$O$6:$O$30,"&lt;=45")-COUNTIFS(SMP!$P$6:$P$30,C360,SMP!$O$6:$O$30,"&lt;36")</f>
        <v>0</v>
      </c>
      <c r="H360" s="3">
        <f t="shared" si="41"/>
        <v>3</v>
      </c>
      <c r="I360" s="81">
        <f t="shared" si="42"/>
        <v>3.246753246753247E-3</v>
      </c>
    </row>
    <row r="361" spans="2:9" x14ac:dyDescent="0.3">
      <c r="B361" s="320"/>
      <c r="C361" s="67" t="s">
        <v>31</v>
      </c>
      <c r="D361" s="2">
        <f>COUNTIFS(SSKA!$S$6:$S$466,C361,SSKA!$R$6:$R$466,"&lt;=45")-COUNTIFS(SSKA!$S$6:$S$466,C361,SSKA!$R$6:$R$466,"&lt;36")</f>
        <v>13</v>
      </c>
      <c r="E361" s="2">
        <f>COUNTIFS(SJTA!$S$6:$S$331,C361,SJTA!$R$6:$R$331,"&lt;=45")-COUNTIFS(SJTA!$S$6:$S$331,C361,SJTA!$R$6:$R$331,"&lt;36")</f>
        <v>10</v>
      </c>
      <c r="F361" s="2">
        <f>COUNTIFS(SPJ!$P$5:$P$144,C361,SPJ!$O$5:$O$144,"&lt;=45")-COUNTIFS(SPJ!$P$5:$P$144,C361,SPJ!$O$5:$O$144,"&lt;36")</f>
        <v>11</v>
      </c>
      <c r="G361" s="2">
        <f>COUNTIFS(SMP!$P$6:$P$30,C361,SMP!$O$6:$O$30,"&lt;=45")-COUNTIFS(SMP!$P$6:$P$30,C361,SMP!$O$6:$O$30,"&lt;36")</f>
        <v>0</v>
      </c>
      <c r="H361" s="3">
        <f t="shared" si="41"/>
        <v>34</v>
      </c>
      <c r="I361" s="81">
        <f t="shared" si="42"/>
        <v>3.67965367965368E-2</v>
      </c>
    </row>
    <row r="362" spans="2:9" x14ac:dyDescent="0.3">
      <c r="B362" s="320"/>
      <c r="C362" s="67" t="s">
        <v>9787</v>
      </c>
      <c r="D362" s="2">
        <f>COUNTIFS(SSKA!$S$6:$S$466,C362,SSKA!$R$6:$R$466,"&lt;=45")-COUNTIFS(SSKA!$S$6:$S$466,C362,SSKA!$R$6:$R$466,"&lt;36")</f>
        <v>2</v>
      </c>
      <c r="E362" s="2">
        <f>COUNTIFS(SJTA!$S$6:$S$331,C362,SJTA!$R$6:$R$331,"&lt;=45")-COUNTIFS(SJTA!$S$6:$S$331,C362,SJTA!$R$6:$R$331,"&lt;36")</f>
        <v>0</v>
      </c>
      <c r="F362" s="2">
        <f>COUNTIFS(SPJ!$P$5:$P$144,C362,SPJ!$O$5:$O$144,"&lt;=45")-COUNTIFS(SPJ!$P$5:$P$144,C362,SPJ!$O$5:$O$144,"&lt;36")</f>
        <v>0</v>
      </c>
      <c r="G362" s="2">
        <f>COUNTIFS(SMP!$P$6:$P$30,C362,SMP!$O$6:$O$30,"&lt;=45")-COUNTIFS(SMP!$P$6:$P$30,C362,SMP!$O$6:$O$30,"&lt;36")</f>
        <v>0</v>
      </c>
      <c r="H362" s="3">
        <f t="shared" si="41"/>
        <v>2</v>
      </c>
      <c r="I362" s="81">
        <f t="shared" si="42"/>
        <v>2.1645021645021645E-3</v>
      </c>
    </row>
    <row r="363" spans="2:9" x14ac:dyDescent="0.3">
      <c r="B363" s="320"/>
      <c r="C363" s="67" t="s">
        <v>12065</v>
      </c>
      <c r="D363" s="2">
        <f>COUNTIFS(SSKA!$S$6:$S$466,C363,SSKA!$R$6:$R$466,"&lt;=45")-COUNTIFS(SSKA!$S$6:$S$466,C363,SSKA!$R$6:$R$466,"&lt;36")</f>
        <v>1</v>
      </c>
      <c r="E363" s="2">
        <f>COUNTIFS(SJTA!$S$6:$S$331,C363,SJTA!$R$6:$R$331,"&lt;=45")-COUNTIFS(SJTA!$S$6:$S$331,C363,SJTA!$R$6:$R$331,"&lt;36")</f>
        <v>1</v>
      </c>
      <c r="F363" s="2">
        <f>COUNTIFS(SPJ!$P$5:$P$144,C363,SPJ!$O$5:$O$144,"&lt;=45")-COUNTIFS(SPJ!$P$5:$P$144,C363,SPJ!$O$5:$O$144,"&lt;36")</f>
        <v>0</v>
      </c>
      <c r="G363" s="2">
        <f>COUNTIFS(SMP!$P$6:$P$30,C363,SMP!$O$6:$O$30,"&lt;=45")-COUNTIFS(SMP!$P$6:$P$30,C363,SMP!$O$6:$O$30,"&lt;36")</f>
        <v>0</v>
      </c>
      <c r="H363" s="3">
        <f t="shared" si="41"/>
        <v>2</v>
      </c>
      <c r="I363" s="81">
        <f t="shared" si="42"/>
        <v>2.1645021645021645E-3</v>
      </c>
    </row>
    <row r="364" spans="2:9" x14ac:dyDescent="0.3">
      <c r="B364" s="320"/>
      <c r="C364" s="67" t="s">
        <v>12074</v>
      </c>
      <c r="D364" s="2">
        <f>COUNTIFS(SSKA!$S$6:$S$466,C364,SSKA!$R$6:$R$466,"&lt;=45")-COUNTIFS(SSKA!$S$6:$S$466,C364,SSKA!$R$6:$R$466,"&lt;36")</f>
        <v>0</v>
      </c>
      <c r="E364" s="2">
        <f>COUNTIFS(SJTA!$S$6:$S$331,C364,SJTA!$R$6:$R$331,"&lt;=45")-COUNTIFS(SJTA!$S$6:$S$331,C364,SJTA!$R$6:$R$331,"&lt;36")</f>
        <v>0</v>
      </c>
      <c r="F364" s="2">
        <f>COUNTIFS(SPJ!$P$5:$P$144,C364,SPJ!$O$5:$O$144,"&lt;=45")-COUNTIFS(SPJ!$P$5:$P$144,C364,SPJ!$O$5:$O$144,"&lt;36")</f>
        <v>0</v>
      </c>
      <c r="G364" s="2">
        <f>COUNTIFS(SMP!$P$6:$P$30,C364,SMP!$O$6:$O$30,"&lt;=45")-COUNTIFS(SMP!$P$6:$P$30,C364,SMP!$O$6:$O$30,"&lt;36")</f>
        <v>0</v>
      </c>
      <c r="H364" s="3">
        <f t="shared" si="41"/>
        <v>0</v>
      </c>
      <c r="I364" s="81">
        <f t="shared" si="42"/>
        <v>0</v>
      </c>
    </row>
    <row r="365" spans="2:9" x14ac:dyDescent="0.3">
      <c r="B365" s="320"/>
      <c r="C365" s="67" t="s">
        <v>13</v>
      </c>
      <c r="D365" s="2">
        <f>COUNTIFS(SSKA!$S$6:$S$466,C365,SSKA!$R$6:$R$466,"&lt;=45")-COUNTIFS(SSKA!$S$6:$S$466,C365,SSKA!$R$6:$R$466,"&lt;36")</f>
        <v>0</v>
      </c>
      <c r="E365" s="2">
        <f>COUNTIFS(SJTA!$S$6:$S$331,C365,SJTA!$R$6:$R$331,"&lt;=45")-COUNTIFS(SJTA!$S$6:$S$331,C365,SJTA!$R$6:$R$331,"&lt;36")</f>
        <v>0</v>
      </c>
      <c r="F365" s="2">
        <f>COUNTIFS(SPJ!$P$5:$P$144,C365,SPJ!$O$5:$O$144,"&lt;=45")-COUNTIFS(SPJ!$P$5:$P$144,C365,SPJ!$O$5:$O$144,"&lt;36")</f>
        <v>0</v>
      </c>
      <c r="G365" s="2">
        <f>COUNTIFS(SMP!$P$6:$P$30,C365,SMP!$O$6:$O$30,"&lt;=45")-COUNTIFS(SMP!$P$6:$P$30,C365,SMP!$O$6:$O$30,"&lt;36")</f>
        <v>0</v>
      </c>
      <c r="H365" s="3">
        <f t="shared" si="41"/>
        <v>0</v>
      </c>
      <c r="I365" s="81">
        <f t="shared" si="42"/>
        <v>0</v>
      </c>
    </row>
    <row r="366" spans="2:9" x14ac:dyDescent="0.3">
      <c r="B366" s="320"/>
      <c r="C366" s="67" t="s">
        <v>243</v>
      </c>
      <c r="D366" s="2">
        <f>COUNTIFS(SSKA!$S$6:$S$466,C366,SSKA!$R$6:$R$466,"&lt;=45")-COUNTIFS(SSKA!$S$6:$S$466,C366,SSKA!$R$6:$R$466,"&lt;36")</f>
        <v>1</v>
      </c>
      <c r="E366" s="2">
        <f>COUNTIFS(SJTA!$S$6:$S$331,C366,SJTA!$R$6:$R$331,"&lt;=45")-COUNTIFS(SJTA!$S$6:$S$331,C366,SJTA!$R$6:$R$331,"&lt;36")</f>
        <v>1</v>
      </c>
      <c r="F366" s="2">
        <f>COUNTIFS(SPJ!$P$5:$P$144,C366,SPJ!$O$5:$O$144,"&lt;=45")-COUNTIFS(SPJ!$P$5:$P$144,C366,SPJ!$O$5:$O$144,"&lt;36")</f>
        <v>1</v>
      </c>
      <c r="G366" s="2">
        <f>COUNTIFS(SMP!$P$6:$P$30,C366,SMP!$O$6:$O$30,"&lt;=45")-COUNTIFS(SMP!$P$6:$P$30,C366,SMP!$O$6:$O$30,"&lt;36")</f>
        <v>0</v>
      </c>
      <c r="H366" s="3">
        <f t="shared" si="41"/>
        <v>3</v>
      </c>
      <c r="I366" s="81">
        <f t="shared" si="42"/>
        <v>3.246753246753247E-3</v>
      </c>
    </row>
    <row r="367" spans="2:9" x14ac:dyDescent="0.3">
      <c r="B367" s="320"/>
      <c r="C367" s="67" t="s">
        <v>12075</v>
      </c>
      <c r="D367" s="2">
        <f>COUNTIFS(SSKA!$S$6:$S$466,C367,SSKA!$R$6:$R$466,"&lt;=45")-COUNTIFS(SSKA!$S$6:$S$466,C367,SSKA!$R$6:$R$466,"&lt;36")</f>
        <v>5</v>
      </c>
      <c r="E367" s="2">
        <f>COUNTIFS(SJTA!$S$6:$S$331,C367,SJTA!$R$6:$R$331,"&lt;=45")-COUNTIFS(SJTA!$S$6:$S$331,C367,SJTA!$R$6:$R$331,"&lt;36")</f>
        <v>4</v>
      </c>
      <c r="F367" s="2">
        <f>COUNTIFS(SPJ!$P$5:$P$144,C367,SPJ!$O$5:$O$144,"&lt;=45")-COUNTIFS(SPJ!$P$5:$P$144,C367,SPJ!$O$5:$O$144,"&lt;36")</f>
        <v>4</v>
      </c>
      <c r="G367" s="2">
        <f>COUNTIFS(SMP!$P$6:$P$30,C367,SMP!$O$6:$O$30,"&lt;=45")-COUNTIFS(SMP!$P$6:$P$30,C367,SMP!$O$6:$O$30,"&lt;36")</f>
        <v>0</v>
      </c>
      <c r="H367" s="3">
        <f t="shared" si="41"/>
        <v>13</v>
      </c>
      <c r="I367" s="81">
        <f t="shared" si="42"/>
        <v>1.406926406926407E-2</v>
      </c>
    </row>
    <row r="368" spans="2:9" x14ac:dyDescent="0.3">
      <c r="B368" s="320"/>
      <c r="C368" s="67" t="s">
        <v>12076</v>
      </c>
      <c r="D368" s="2">
        <f>COUNTIFS(SSKA!$S$6:$S$466,0,SSKA!$R$6:$R$466,"&lt;=45")-COUNTIFS(SSKA!$S$6:$S$466,0,SSKA!$R$6:$R$466,"&lt;36")</f>
        <v>3</v>
      </c>
      <c r="E368" s="2">
        <f>COUNTIFS(SJTA!$S$6:$S$331,0,SJTA!$R$6:$R$331,"&lt;=45")-COUNTIFS(SJTA!$S$6:$S$331,0,SJTA!$R$6:$R$331,"&lt;36")</f>
        <v>2</v>
      </c>
      <c r="F368" s="2">
        <f>COUNTIFS(SPJ!$P$5:$P$144,0,SPJ!$O$5:$O$144,"&lt;=45")-COUNTIFS(SPJ!$P$5:$P$144,0,SPJ!$O$5:$O$144,"&lt;36")</f>
        <v>0</v>
      </c>
      <c r="G368" s="2">
        <f>COUNTIFS(SMP!$P$6:$P$30,0,SMP!$O$6:$O$30,"&lt;=45")-COUNTIFS(SMP!$P$6:$P$30,0,SMP!$O$6:$O$30,"&lt;36")</f>
        <v>0</v>
      </c>
      <c r="H368" s="3">
        <f t="shared" si="41"/>
        <v>5</v>
      </c>
      <c r="I368" s="81">
        <f t="shared" si="42"/>
        <v>5.411255411255411E-3</v>
      </c>
    </row>
    <row r="369" spans="2:9" x14ac:dyDescent="0.3">
      <c r="B369" s="320" t="s">
        <v>22146</v>
      </c>
      <c r="C369" s="67" t="s">
        <v>46</v>
      </c>
      <c r="D369" s="56">
        <f>COUNTIFS(SSKA!$S$6:$S$466,C369,SSKA!$R$6:$R$466,"&lt;=60")-COUNTIFS(SSKA!$S$6:$S$466,C369,SSKA!$R$6:$R$466,"&lt;46")</f>
        <v>35</v>
      </c>
      <c r="E369" s="2">
        <f>COUNTIFS(SJTA!$S$6:$S$331,C369,SJTA!$R$6:$R$331,"&lt;=60")-COUNTIFS(SJTA!$S$6:$S$331,C369,SJTA!$R$6:$R$331,"&lt;46")</f>
        <v>19</v>
      </c>
      <c r="F369" s="2">
        <f>COUNTIFS(SPJ!$P$5:$P$144,C369,SPJ!$O$5:$O$144,"&lt;=60")-COUNTIFS(SPJ!$P$5:$P$144,C369,SPJ!$O$5:$O$144,"&lt;46")</f>
        <v>5</v>
      </c>
      <c r="G369" s="2">
        <f>COUNTIFS(SMP!$P$6:$P$30,C369,SMP!$O$6:$O$30,"&lt;=60")-COUNTIFS(SMP!$P$6:$P$30,C369,SMP!$O$6:$O$30,"&lt;46")</f>
        <v>5</v>
      </c>
      <c r="H369" s="3">
        <f t="shared" si="39"/>
        <v>64</v>
      </c>
      <c r="I369" s="81">
        <f t="shared" si="40"/>
        <v>6.9264069264069264E-2</v>
      </c>
    </row>
    <row r="370" spans="2:9" x14ac:dyDescent="0.3">
      <c r="B370" s="320"/>
      <c r="C370" s="67" t="s">
        <v>9788</v>
      </c>
      <c r="D370" s="2">
        <f>COUNTIFS(SSKA!$S$6:$S$466,C370,SSKA!$R$6:$R$466,"&lt;=60")-COUNTIFS(SSKA!$S$6:$S$466,C370,SSKA!$R$6:$R$466,"&lt;46")</f>
        <v>27</v>
      </c>
      <c r="E370" s="2">
        <f>COUNTIFS(SJTA!$S$6:$S$331,C370,SJTA!$R$6:$R$331,"&lt;=60")-COUNTIFS(SJTA!$S$6:$S$331,C370,SJTA!$R$6:$R$331,"&lt;46")</f>
        <v>25</v>
      </c>
      <c r="F370" s="2">
        <f>COUNTIFS(SPJ!$P$5:$P$144,C370,SPJ!$O$5:$O$144,"&lt;=60")-COUNTIFS(SPJ!$P$5:$P$144,C370,SPJ!$O$5:$O$144,"&lt;46")</f>
        <v>8</v>
      </c>
      <c r="G370" s="2">
        <f>COUNTIFS(SMP!$P$6:$P$30,C370,SMP!$O$6:$O$30,"&lt;=60")-COUNTIFS(SMP!$P$6:$P$30,C370,SMP!$O$6:$O$30,"&lt;46")</f>
        <v>1</v>
      </c>
      <c r="H370" s="3">
        <f t="shared" si="39"/>
        <v>61</v>
      </c>
      <c r="I370" s="81">
        <f t="shared" si="40"/>
        <v>6.6017316017316016E-2</v>
      </c>
    </row>
    <row r="371" spans="2:9" x14ac:dyDescent="0.3">
      <c r="B371" s="320"/>
      <c r="C371" s="67" t="s">
        <v>9785</v>
      </c>
      <c r="D371" s="2">
        <f>COUNTIFS(SSKA!$S$6:$S$466,C371,SSKA!$R$6:$R$466,"&lt;=60")-COUNTIFS(SSKA!$S$6:$S$466,C371,SSKA!$R$6:$R$466,"&lt;46")</f>
        <v>25</v>
      </c>
      <c r="E371" s="2">
        <f>COUNTIFS(SJTA!$S$6:$S$331,C371,SJTA!$R$6:$R$331,"&lt;=60")-COUNTIFS(SJTA!$S$6:$S$331,C371,SJTA!$R$6:$R$331,"&lt;46")</f>
        <v>21</v>
      </c>
      <c r="F371" s="2">
        <f>COUNTIFS(SPJ!$P$5:$P$144,C371,SPJ!$O$5:$O$144,"&lt;=60")-COUNTIFS(SPJ!$P$5:$P$144,C371,SPJ!$O$5:$O$144,"&lt;46")</f>
        <v>3</v>
      </c>
      <c r="G371" s="2">
        <f>COUNTIFS(SMP!$P$6:$P$30,C371,SMP!$O$6:$O$30,"&lt;=60")-COUNTIFS(SMP!$P$6:$P$30,C371,SMP!$O$6:$O$30,"&lt;46")</f>
        <v>1</v>
      </c>
      <c r="H371" s="3">
        <f t="shared" si="39"/>
        <v>50</v>
      </c>
      <c r="I371" s="81">
        <f t="shared" si="40"/>
        <v>5.4112554112554112E-2</v>
      </c>
    </row>
    <row r="372" spans="2:9" x14ac:dyDescent="0.3">
      <c r="B372" s="320"/>
      <c r="C372" s="67" t="s">
        <v>12099</v>
      </c>
      <c r="D372" s="2">
        <f>COUNTIFS(SSKA!$S$6:$S$466,C372,SSKA!$R$6:$R$466,"&lt;=60")-COUNTIFS(SSKA!$S$6:$S$466,C372,SSKA!$R$6:$R$466,"&lt;46")</f>
        <v>6</v>
      </c>
      <c r="E372" s="2">
        <f>COUNTIFS(SJTA!$S$6:$S$331,C372,SJTA!$R$6:$R$331,"&lt;=60")-COUNTIFS(SJTA!$S$6:$S$331,C372,SJTA!$R$6:$R$331,"&lt;46")</f>
        <v>5</v>
      </c>
      <c r="F372" s="2">
        <f>COUNTIFS(SPJ!$P$5:$P$144,C372,SPJ!$O$5:$O$144,"&lt;=60")-COUNTIFS(SPJ!$P$5:$P$144,C372,SPJ!$O$5:$O$144,"&lt;46")</f>
        <v>4</v>
      </c>
      <c r="G372" s="2">
        <f>COUNTIFS(SMP!$P$6:$P$30,C372,SMP!$O$6:$O$30,"&lt;=60")-COUNTIFS(SMP!$P$6:$P$30,C372,SMP!$O$6:$O$30,"&lt;46")</f>
        <v>0</v>
      </c>
      <c r="H372" s="3">
        <f t="shared" si="39"/>
        <v>15</v>
      </c>
      <c r="I372" s="81">
        <f t="shared" si="40"/>
        <v>1.6233766233766232E-2</v>
      </c>
    </row>
    <row r="373" spans="2:9" x14ac:dyDescent="0.3">
      <c r="B373" s="320"/>
      <c r="C373" s="67" t="s">
        <v>337</v>
      </c>
      <c r="D373" s="2">
        <f>COUNTIFS(SSKA!$S$6:$S$466,C373,SSKA!$R$6:$R$466,"&lt;=60")-COUNTIFS(SSKA!$S$6:$S$466,C373,SSKA!$R$6:$R$466,"&lt;46")</f>
        <v>0</v>
      </c>
      <c r="E373" s="2">
        <f>COUNTIFS(SJTA!$S$6:$S$331,C373,SJTA!$R$6:$R$331,"&lt;=60")-COUNTIFS(SJTA!$S$6:$S$331,C373,SJTA!$R$6:$R$331,"&lt;46")</f>
        <v>0</v>
      </c>
      <c r="F373" s="2">
        <f>COUNTIFS(SPJ!$P$5:$P$144,C373,SPJ!$O$5:$O$144,"&lt;=60")-COUNTIFS(SPJ!$P$5:$P$144,C373,SPJ!$O$5:$O$144,"&lt;46")</f>
        <v>0</v>
      </c>
      <c r="G373" s="2">
        <f>COUNTIFS(SMP!$P$6:$P$30,C373,SMP!$O$6:$O$30,"&lt;=60")-COUNTIFS(SMP!$P$6:$P$30,C373,SMP!$O$6:$O$30,"&lt;46")</f>
        <v>0</v>
      </c>
      <c r="H373" s="3">
        <f t="shared" si="39"/>
        <v>0</v>
      </c>
      <c r="I373" s="81">
        <f t="shared" si="40"/>
        <v>0</v>
      </c>
    </row>
    <row r="374" spans="2:9" x14ac:dyDescent="0.3">
      <c r="B374" s="320"/>
      <c r="C374" s="67" t="s">
        <v>9791</v>
      </c>
      <c r="D374" s="2">
        <f>COUNTIFS(SSKA!$S$6:$S$466,C374,SSKA!$R$6:$R$466,"&lt;=60")-COUNTIFS(SSKA!$S$6:$S$466,C374,SSKA!$R$6:$R$466,"&lt;46")</f>
        <v>13</v>
      </c>
      <c r="E374" s="2">
        <f>COUNTIFS(SJTA!$S$6:$S$331,C374,SJTA!$R$6:$R$331,"&lt;=60")-COUNTIFS(SJTA!$S$6:$S$331,C374,SJTA!$R$6:$R$331,"&lt;46")</f>
        <v>8</v>
      </c>
      <c r="F374" s="2">
        <f>COUNTIFS(SPJ!$P$5:$P$144,C374,SPJ!$O$5:$O$144,"&lt;=60")-COUNTIFS(SPJ!$P$5:$P$144,C374,SPJ!$O$5:$O$144,"&lt;46")</f>
        <v>0</v>
      </c>
      <c r="G374" s="2">
        <f>COUNTIFS(SMP!$P$6:$P$30,C374,SMP!$O$6:$O$30,"&lt;=60")-COUNTIFS(SMP!$P$6:$P$30,C374,SMP!$O$6:$O$30,"&lt;46")</f>
        <v>0</v>
      </c>
      <c r="H374" s="3">
        <f t="shared" si="39"/>
        <v>21</v>
      </c>
      <c r="I374" s="81">
        <f t="shared" si="40"/>
        <v>2.2727272727272728E-2</v>
      </c>
    </row>
    <row r="375" spans="2:9" x14ac:dyDescent="0.3">
      <c r="B375" s="320"/>
      <c r="C375" s="67" t="s">
        <v>31</v>
      </c>
      <c r="D375" s="2">
        <f>COUNTIFS(SSKA!$S$6:$S$466,C375,SSKA!$R$6:$R$466,"&lt;=60")-COUNTIFS(SSKA!$S$6:$S$466,C375,SSKA!$R$6:$R$466,"&lt;46")</f>
        <v>30</v>
      </c>
      <c r="E375" s="2">
        <f>COUNTIFS(SJTA!$S$6:$S$331,C375,SJTA!$R$6:$R$331,"&lt;=60")-COUNTIFS(SJTA!$S$6:$S$331,C375,SJTA!$R$6:$R$331,"&lt;46")</f>
        <v>12</v>
      </c>
      <c r="F375" s="2">
        <f>COUNTIFS(SPJ!$P$5:$P$144,C375,SPJ!$O$5:$O$144,"&lt;=60")-COUNTIFS(SPJ!$P$5:$P$144,C375,SPJ!$O$5:$O$144,"&lt;46")</f>
        <v>3</v>
      </c>
      <c r="G375" s="2">
        <f>COUNTIFS(SMP!$P$6:$P$30,C375,SMP!$O$6:$O$30,"&lt;=60")-COUNTIFS(SMP!$P$6:$P$30,C375,SMP!$O$6:$O$30,"&lt;46")</f>
        <v>1</v>
      </c>
      <c r="H375" s="3">
        <f t="shared" si="39"/>
        <v>46</v>
      </c>
      <c r="I375" s="81">
        <f t="shared" si="40"/>
        <v>4.9783549783549784E-2</v>
      </c>
    </row>
    <row r="376" spans="2:9" x14ac:dyDescent="0.3">
      <c r="B376" s="320"/>
      <c r="C376" s="67" t="s">
        <v>9787</v>
      </c>
      <c r="D376" s="2">
        <f>COUNTIFS(SSKA!$S$6:$S$466,C376,SSKA!$R$6:$R$466,"&lt;=60")-COUNTIFS(SSKA!$S$6:$S$466,C376,SSKA!$R$6:$R$466,"&lt;46")</f>
        <v>1</v>
      </c>
      <c r="E376" s="2">
        <f>COUNTIFS(SJTA!$S$6:$S$331,C376,SJTA!$R$6:$R$331,"&lt;=60")-COUNTIFS(SJTA!$S$6:$S$331,C376,SJTA!$R$6:$R$331,"&lt;46")</f>
        <v>1</v>
      </c>
      <c r="F376" s="2">
        <f>COUNTIFS(SPJ!$P$5:$P$144,C376,SPJ!$O$5:$O$144,"&lt;=60")-COUNTIFS(SPJ!$P$5:$P$144,C376,SPJ!$O$5:$O$144,"&lt;46")</f>
        <v>0</v>
      </c>
      <c r="G376" s="2">
        <f>COUNTIFS(SMP!$P$6:$P$30,C376,SMP!$O$6:$O$30,"&lt;=60")-COUNTIFS(SMP!$P$6:$P$30,C376,SMP!$O$6:$O$30,"&lt;46")</f>
        <v>0</v>
      </c>
      <c r="H376" s="3">
        <f t="shared" si="39"/>
        <v>2</v>
      </c>
      <c r="I376" s="81">
        <f t="shared" si="40"/>
        <v>2.1645021645021645E-3</v>
      </c>
    </row>
    <row r="377" spans="2:9" x14ac:dyDescent="0.3">
      <c r="B377" s="320"/>
      <c r="C377" s="67" t="s">
        <v>12065</v>
      </c>
      <c r="D377" s="2">
        <f>COUNTIFS(SSKA!$S$6:$S$466,C377,SSKA!$R$6:$R$466,"&lt;=60")-COUNTIFS(SSKA!$S$6:$S$466,C377,SSKA!$R$6:$R$466,"&lt;46")</f>
        <v>4</v>
      </c>
      <c r="E377" s="2">
        <f>COUNTIFS(SJTA!$S$6:$S$331,C377,SJTA!$R$6:$R$331,"&lt;=60")-COUNTIFS(SJTA!$S$6:$S$331,C377,SJTA!$R$6:$R$331,"&lt;46")</f>
        <v>2</v>
      </c>
      <c r="F377" s="2">
        <f>COUNTIFS(SPJ!$P$5:$P$144,C377,SPJ!$O$5:$O$144,"&lt;=60")-COUNTIFS(SPJ!$P$5:$P$144,C377,SPJ!$O$5:$O$144,"&lt;46")</f>
        <v>0</v>
      </c>
      <c r="G377" s="2">
        <f>COUNTIFS(SMP!$P$6:$P$30,C377,SMP!$O$6:$O$30,"&lt;=60")-COUNTIFS(SMP!$P$6:$P$30,C377,SMP!$O$6:$O$30,"&lt;46")</f>
        <v>0</v>
      </c>
      <c r="H377" s="3">
        <f t="shared" si="39"/>
        <v>6</v>
      </c>
      <c r="I377" s="81">
        <f t="shared" si="40"/>
        <v>6.4935064935064939E-3</v>
      </c>
    </row>
    <row r="378" spans="2:9" x14ac:dyDescent="0.3">
      <c r="B378" s="320"/>
      <c r="C378" s="67" t="s">
        <v>12074</v>
      </c>
      <c r="D378" s="2">
        <f>COUNTIFS(SSKA!$S$6:$S$466,C378,SSKA!$R$6:$R$466,"&lt;=60")-COUNTIFS(SSKA!$S$6:$S$466,C378,SSKA!$R$6:$R$466,"&lt;46")</f>
        <v>3</v>
      </c>
      <c r="E378" s="2">
        <f>COUNTIFS(SJTA!$S$6:$S$331,C378,SJTA!$R$6:$R$331,"&lt;=60")-COUNTIFS(SJTA!$S$6:$S$331,C378,SJTA!$R$6:$R$331,"&lt;46")</f>
        <v>2</v>
      </c>
      <c r="F378" s="2">
        <f>COUNTIFS(SPJ!$P$5:$P$144,C378,SPJ!$O$5:$O$144,"&lt;=60")-COUNTIFS(SPJ!$P$5:$P$144,C378,SPJ!$O$5:$O$144,"&lt;46")</f>
        <v>0</v>
      </c>
      <c r="G378" s="2">
        <f>COUNTIFS(SMP!$P$6:$P$30,C378,SMP!$O$6:$O$30,"&lt;=60")-COUNTIFS(SMP!$P$6:$P$30,C378,SMP!$O$6:$O$30,"&lt;46")</f>
        <v>0</v>
      </c>
      <c r="H378" s="3">
        <f t="shared" si="39"/>
        <v>5</v>
      </c>
      <c r="I378" s="81">
        <f t="shared" si="40"/>
        <v>5.411255411255411E-3</v>
      </c>
    </row>
    <row r="379" spans="2:9" x14ac:dyDescent="0.3">
      <c r="B379" s="320"/>
      <c r="C379" s="67" t="s">
        <v>13</v>
      </c>
      <c r="D379" s="2">
        <f>COUNTIFS(SSKA!$S$6:$S$466,C379,SSKA!$R$6:$R$466,"&lt;=60")-COUNTIFS(SSKA!$S$6:$S$466,C379,SSKA!$R$6:$R$466,"&lt;46")</f>
        <v>3</v>
      </c>
      <c r="E379" s="2">
        <f>COUNTIFS(SJTA!$S$6:$S$331,C379,SJTA!$R$6:$R$331,"&lt;=60")-COUNTIFS(SJTA!$S$6:$S$331,C379,SJTA!$R$6:$R$331,"&lt;46")</f>
        <v>3</v>
      </c>
      <c r="F379" s="2">
        <f>COUNTIFS(SPJ!$P$5:$P$144,C379,SPJ!$O$5:$O$144,"&lt;=60")-COUNTIFS(SPJ!$P$5:$P$144,C379,SPJ!$O$5:$O$144,"&lt;46")</f>
        <v>2</v>
      </c>
      <c r="G379" s="2">
        <f>COUNTIFS(SMP!$P$6:$P$30,C379,SMP!$O$6:$O$30,"&lt;=60")-COUNTIFS(SMP!$P$6:$P$30,C379,SMP!$O$6:$O$30,"&lt;46")</f>
        <v>0</v>
      </c>
      <c r="H379" s="3">
        <f t="shared" si="39"/>
        <v>8</v>
      </c>
      <c r="I379" s="81">
        <f t="shared" si="40"/>
        <v>8.658008658008658E-3</v>
      </c>
    </row>
    <row r="380" spans="2:9" x14ac:dyDescent="0.3">
      <c r="B380" s="320"/>
      <c r="C380" s="67" t="s">
        <v>243</v>
      </c>
      <c r="D380" s="2">
        <f>COUNTIFS(SSKA!$S$6:$S$466,C380,SSKA!$R$6:$R$466,"&lt;=60")-COUNTIFS(SSKA!$S$6:$S$466,C380,SSKA!$R$6:$R$466,"&lt;46")</f>
        <v>1</v>
      </c>
      <c r="E380" s="2">
        <f>COUNTIFS(SJTA!$S$6:$S$331,C380,SJTA!$R$6:$R$331,"&lt;=60")-COUNTIFS(SJTA!$S$6:$S$331,C380,SJTA!$R$6:$R$331,"&lt;46")</f>
        <v>1</v>
      </c>
      <c r="F380" s="2">
        <f>COUNTIFS(SPJ!$P$5:$P$144,C380,SPJ!$O$5:$O$144,"&lt;=60")-COUNTIFS(SPJ!$P$5:$P$144,C380,SPJ!$O$5:$O$144,"&lt;46")</f>
        <v>0</v>
      </c>
      <c r="G380" s="2">
        <f>COUNTIFS(SMP!$P$6:$P$30,C380,SMP!$O$6:$O$30,"&lt;=60")-COUNTIFS(SMP!$P$6:$P$30,C380,SMP!$O$6:$O$30,"&lt;46")</f>
        <v>0</v>
      </c>
      <c r="H380" s="3">
        <f t="shared" si="39"/>
        <v>2</v>
      </c>
      <c r="I380" s="81">
        <f t="shared" si="40"/>
        <v>2.1645021645021645E-3</v>
      </c>
    </row>
    <row r="381" spans="2:9" x14ac:dyDescent="0.3">
      <c r="B381" s="320"/>
      <c r="C381" s="67" t="s">
        <v>12075</v>
      </c>
      <c r="D381" s="2">
        <f>COUNTIFS(SSKA!$S$6:$S$466,C381,SSKA!$R$6:$R$466,"&lt;=60")-COUNTIFS(SSKA!$S$6:$S$466,C381,SSKA!$R$6:$R$466,"&lt;46")</f>
        <v>4</v>
      </c>
      <c r="E381" s="2">
        <f>COUNTIFS(SJTA!$S$6:$S$331,C381,SJTA!$R$6:$R$331,"&lt;=60")-COUNTIFS(SJTA!$S$6:$S$331,C381,SJTA!$R$6:$R$331,"&lt;46")</f>
        <v>8</v>
      </c>
      <c r="F381" s="2">
        <f>COUNTIFS(SPJ!$P$5:$P$144,C381,SPJ!$O$5:$O$144,"&lt;=60")-COUNTIFS(SPJ!$P$5:$P$144,C381,SPJ!$O$5:$O$144,"&lt;46")</f>
        <v>1</v>
      </c>
      <c r="G381" s="2">
        <f>COUNTIFS(SMP!$P$6:$P$30,C381,SMP!$O$6:$O$30,"&lt;=60")-COUNTIFS(SMP!$P$6:$P$30,C381,SMP!$O$6:$O$30,"&lt;46")</f>
        <v>0</v>
      </c>
      <c r="H381" s="3">
        <f t="shared" si="39"/>
        <v>13</v>
      </c>
      <c r="I381" s="81">
        <f t="shared" si="40"/>
        <v>1.406926406926407E-2</v>
      </c>
    </row>
    <row r="382" spans="2:9" x14ac:dyDescent="0.3">
      <c r="B382" s="320"/>
      <c r="C382" s="67" t="s">
        <v>12076</v>
      </c>
      <c r="D382" s="2">
        <f>COUNTIFS(SSKA!$S$6:$S$466,0,SSKA!$R$6:$R$466,"&lt;=60")-COUNTIFS(SSKA!$S$6:$S$466,0,SSKA!$R$6:$R$466,"&lt;46")</f>
        <v>2</v>
      </c>
      <c r="E382" s="2">
        <f>COUNTIFS(SJTA!$S$6:$S$331,0,SJTA!$R$6:$R$331,"&lt;=60")-COUNTIFS(SJTA!$S$6:$S$331,0,SJTA!$R$6:$R$331,"&lt;46")</f>
        <v>2</v>
      </c>
      <c r="F382" s="2">
        <f>COUNTIFS(SPJ!$P$5:$P$144,0,SPJ!$O$5:$O$144,"&lt;=60")-COUNTIFS(SPJ!$P$5:$P$144,0,SPJ!$O$5:$O$144,"&lt;46")</f>
        <v>0</v>
      </c>
      <c r="G382" s="2">
        <f>COUNTIFS(SMP!$P$6:$P$30,0,SMP!$O$6:$O$30,"&lt;=60")-COUNTIFS(SMP!$P$6:$P$30,0,SMP!$O$6:$O$30,"&lt;46")</f>
        <v>0</v>
      </c>
      <c r="H382" s="3">
        <f t="shared" si="39"/>
        <v>4</v>
      </c>
      <c r="I382" s="81">
        <f t="shared" si="40"/>
        <v>4.329004329004329E-3</v>
      </c>
    </row>
    <row r="383" spans="2:9" x14ac:dyDescent="0.3">
      <c r="B383" s="320" t="s">
        <v>12080</v>
      </c>
      <c r="C383" s="67" t="s">
        <v>46</v>
      </c>
      <c r="D383" s="2">
        <f>COUNTIFS(SSKA!$S$6:$S$466,C383,SSKA!$R$6:$R$466,"&gt;60")</f>
        <v>25</v>
      </c>
      <c r="E383" s="2">
        <f>COUNTIFS(SJTA!$S$6:$S$331,C383,SJTA!$R$6:$R$331,"&gt;60")</f>
        <v>12</v>
      </c>
      <c r="F383" s="2">
        <f>COUNTIFS(SPJ!$P$5:$P$144,C383,SPJ!$O$5:$O$144,"&gt;60")</f>
        <v>0</v>
      </c>
      <c r="G383" s="2">
        <f>COUNTIFS(SMP!$P$6:$P$30,C369,SMP!$O$6:$O$30,"&gt;60")</f>
        <v>0</v>
      </c>
      <c r="H383" s="3">
        <f t="shared" si="39"/>
        <v>37</v>
      </c>
      <c r="I383" s="81">
        <f t="shared" si="40"/>
        <v>4.004329004329004E-2</v>
      </c>
    </row>
    <row r="384" spans="2:9" x14ac:dyDescent="0.3">
      <c r="B384" s="320"/>
      <c r="C384" s="67" t="s">
        <v>9788</v>
      </c>
      <c r="D384" s="2">
        <f>COUNTIFS(SSKA!$S$6:$S$466,C384,SSKA!$R$6:$R$466,"&gt;60")</f>
        <v>7</v>
      </c>
      <c r="E384" s="2">
        <f>COUNTIFS(SJTA!$S$6:$S$331,C384,SJTA!$R$6:$R$331,"&gt;60")</f>
        <v>4</v>
      </c>
      <c r="F384" s="2">
        <f>COUNTIFS(SPJ!$P$5:$P$144,C384,SPJ!$O$5:$O$144,"&gt;60")</f>
        <v>0</v>
      </c>
      <c r="G384" s="2">
        <f>COUNTIFS(SMP!$P$6:$P$30,C370,SMP!$O$6:$O$30,"&gt;60")</f>
        <v>0</v>
      </c>
      <c r="H384" s="3">
        <f t="shared" si="39"/>
        <v>11</v>
      </c>
      <c r="I384" s="81">
        <f t="shared" si="40"/>
        <v>1.1904761904761904E-2</v>
      </c>
    </row>
    <row r="385" spans="1:43" x14ac:dyDescent="0.3">
      <c r="B385" s="320"/>
      <c r="C385" s="67" t="s">
        <v>9785</v>
      </c>
      <c r="D385" s="2">
        <f>COUNTIFS(SSKA!$S$6:$S$466,C385,SSKA!$R$6:$R$466,"&gt;60")</f>
        <v>1</v>
      </c>
      <c r="E385" s="2">
        <f>COUNTIFS(SJTA!$S$6:$S$331,C385,SJTA!$R$6:$R$331,"&gt;60")</f>
        <v>2</v>
      </c>
      <c r="F385" s="2">
        <f>COUNTIFS(SPJ!$P$5:$P$144,C385,SPJ!$O$5:$O$144,"&gt;60")</f>
        <v>0</v>
      </c>
      <c r="G385" s="2">
        <f>COUNTIFS(SMP!$P$6:$P$30,C371,SMP!$O$6:$O$30,"&gt;60")</f>
        <v>0</v>
      </c>
      <c r="H385" s="3">
        <f t="shared" si="39"/>
        <v>3</v>
      </c>
      <c r="I385" s="81">
        <f t="shared" si="40"/>
        <v>3.246753246753247E-3</v>
      </c>
    </row>
    <row r="386" spans="1:43" x14ac:dyDescent="0.3">
      <c r="B386" s="320"/>
      <c r="C386" s="67" t="s">
        <v>12099</v>
      </c>
      <c r="D386" s="2">
        <f>COUNTIFS(SSKA!$S$6:$S$466,C386,SSKA!$R$6:$R$466,"&gt;60")</f>
        <v>5</v>
      </c>
      <c r="E386" s="2">
        <f>COUNTIFS(SJTA!$S$6:$S$331,C386,SJTA!$R$6:$R$331,"&gt;60")</f>
        <v>3</v>
      </c>
      <c r="F386" s="2">
        <f>COUNTIFS(SPJ!$P$5:$P$144,C386,SPJ!$O$5:$O$144,"&gt;60")</f>
        <v>0</v>
      </c>
      <c r="G386" s="2">
        <f>COUNTIFS(SMP!$P$6:$P$30,C372,SMP!$O$6:$O$30,"&gt;60")</f>
        <v>1</v>
      </c>
      <c r="H386" s="3">
        <f t="shared" si="39"/>
        <v>9</v>
      </c>
      <c r="I386" s="81">
        <f t="shared" si="40"/>
        <v>9.74025974025974E-3</v>
      </c>
    </row>
    <row r="387" spans="1:43" x14ac:dyDescent="0.3">
      <c r="B387" s="320"/>
      <c r="C387" s="67" t="s">
        <v>337</v>
      </c>
      <c r="D387" s="2">
        <f>COUNTIFS(SSKA!$S$6:$S$466,C387,SSKA!$R$6:$R$466,"&gt;60")</f>
        <v>0</v>
      </c>
      <c r="E387" s="2">
        <f>COUNTIFS(SJTA!$S$6:$S$331,C387,SJTA!$R$6:$R$331,"&gt;60")</f>
        <v>0</v>
      </c>
      <c r="F387" s="2">
        <f>COUNTIFS(SPJ!$P$5:$P$144,C387,SPJ!$O$5:$O$144,"&gt;60")</f>
        <v>0</v>
      </c>
      <c r="G387" s="2">
        <f>COUNTIFS(SMP!$P$6:$P$30,C373,SMP!$O$6:$O$30,"&gt;60")</f>
        <v>0</v>
      </c>
      <c r="H387" s="3">
        <f t="shared" si="39"/>
        <v>0</v>
      </c>
      <c r="I387" s="81">
        <f t="shared" si="40"/>
        <v>0</v>
      </c>
    </row>
    <row r="388" spans="1:43" x14ac:dyDescent="0.3">
      <c r="B388" s="320"/>
      <c r="C388" s="67" t="s">
        <v>9791</v>
      </c>
      <c r="D388" s="2">
        <f>COUNTIFS(SSKA!$S$6:$S$466,C388,SSKA!$R$6:$R$466,"&gt;60")</f>
        <v>1</v>
      </c>
      <c r="E388" s="2">
        <f>COUNTIFS(SJTA!$S$6:$S$331,C388,SJTA!$R$6:$R$331,"&gt;60")</f>
        <v>4</v>
      </c>
      <c r="F388" s="2">
        <f>COUNTIFS(SPJ!$P$5:$P$144,C388,SPJ!$O$5:$O$144,"&gt;60")</f>
        <v>0</v>
      </c>
      <c r="G388" s="2">
        <f>COUNTIFS(SMP!$P$6:$P$30,C374,SMP!$O$6:$O$30,"&gt;60")</f>
        <v>0</v>
      </c>
      <c r="H388" s="3">
        <f t="shared" si="39"/>
        <v>5</v>
      </c>
      <c r="I388" s="81">
        <f t="shared" si="40"/>
        <v>5.411255411255411E-3</v>
      </c>
    </row>
    <row r="389" spans="1:43" x14ac:dyDescent="0.3">
      <c r="B389" s="320"/>
      <c r="C389" s="67" t="s">
        <v>31</v>
      </c>
      <c r="D389" s="2">
        <f>COUNTIFS(SSKA!$S$6:$S$466,C389,SSKA!$R$6:$R$466,"&gt;60")</f>
        <v>29</v>
      </c>
      <c r="E389" s="2">
        <f>COUNTIFS(SJTA!$S$6:$S$331,C389,SJTA!$R$6:$R$331,"&gt;60")</f>
        <v>14</v>
      </c>
      <c r="F389" s="2">
        <f>COUNTIFS(SPJ!$P$5:$P$144,C389,SPJ!$O$5:$O$144,"&gt;60")</f>
        <v>0</v>
      </c>
      <c r="G389" s="2">
        <f>COUNTIFS(SMP!$P$6:$P$30,C375,SMP!$O$6:$O$30,"&gt;60")</f>
        <v>0</v>
      </c>
      <c r="H389" s="3">
        <f t="shared" si="39"/>
        <v>43</v>
      </c>
      <c r="I389" s="81">
        <f t="shared" si="40"/>
        <v>4.6536796536796536E-2</v>
      </c>
    </row>
    <row r="390" spans="1:43" x14ac:dyDescent="0.3">
      <c r="B390" s="320"/>
      <c r="C390" s="67" t="s">
        <v>9787</v>
      </c>
      <c r="D390" s="2">
        <f>COUNTIFS(SSKA!$S$6:$S$466,C390,SSKA!$R$6:$R$466,"&gt;60")</f>
        <v>0</v>
      </c>
      <c r="E390" s="2">
        <f>COUNTIFS(SJTA!$S$6:$S$331,C390,SJTA!$R$6:$R$331,"&gt;60")</f>
        <v>0</v>
      </c>
      <c r="F390" s="2">
        <f>COUNTIFS(SPJ!$P$5:$P$144,C390,SPJ!$O$5:$O$144,"&gt;60")</f>
        <v>0</v>
      </c>
      <c r="G390" s="2">
        <f>COUNTIFS(SMP!$P$6:$P$30,C376,SMP!$O$6:$O$30,"&gt;60")</f>
        <v>0</v>
      </c>
      <c r="H390" s="3">
        <f t="shared" si="39"/>
        <v>0</v>
      </c>
      <c r="I390" s="81">
        <f t="shared" si="40"/>
        <v>0</v>
      </c>
    </row>
    <row r="391" spans="1:43" x14ac:dyDescent="0.3">
      <c r="B391" s="320"/>
      <c r="C391" s="67" t="s">
        <v>12065</v>
      </c>
      <c r="D391" s="2">
        <f>COUNTIFS(SSKA!$S$6:$S$466,C391,SSKA!$R$6:$R$466,"&gt;60")</f>
        <v>2</v>
      </c>
      <c r="E391" s="2">
        <f>COUNTIFS(SJTA!$S$6:$S$331,C391,SJTA!$R$6:$R$331,"&gt;60")</f>
        <v>1</v>
      </c>
      <c r="F391" s="2">
        <f>COUNTIFS(SPJ!$P$5:$P$144,C391,SPJ!$O$5:$O$144,"&gt;60")</f>
        <v>0</v>
      </c>
      <c r="G391" s="2">
        <f>COUNTIFS(SMP!$P$6:$P$30,C377,SMP!$O$6:$O$30,"&gt;60")</f>
        <v>0</v>
      </c>
      <c r="H391" s="3">
        <f t="shared" si="39"/>
        <v>3</v>
      </c>
      <c r="I391" s="81">
        <f t="shared" si="40"/>
        <v>3.246753246753247E-3</v>
      </c>
    </row>
    <row r="392" spans="1:43" x14ac:dyDescent="0.3">
      <c r="B392" s="320"/>
      <c r="C392" s="67" t="s">
        <v>12074</v>
      </c>
      <c r="D392" s="2">
        <f>COUNTIFS(SSKA!$S$6:$S$466,C392,SSKA!$R$6:$R$466,"&gt;60")</f>
        <v>0</v>
      </c>
      <c r="E392" s="2">
        <f>COUNTIFS(SJTA!$S$6:$S$331,C392,SJTA!$R$6:$R$331,"&gt;60")</f>
        <v>0</v>
      </c>
      <c r="F392" s="2">
        <f>COUNTIFS(SPJ!$P$5:$P$144,C392,SPJ!$O$5:$O$144,"&gt;60")</f>
        <v>0</v>
      </c>
      <c r="G392" s="2">
        <f>COUNTIFS(SMP!$P$6:$P$30,C378,SMP!$O$6:$O$30,"&gt;60")</f>
        <v>0</v>
      </c>
      <c r="H392" s="3">
        <f t="shared" si="39"/>
        <v>0</v>
      </c>
      <c r="I392" s="81">
        <f t="shared" si="40"/>
        <v>0</v>
      </c>
    </row>
    <row r="393" spans="1:43" x14ac:dyDescent="0.3">
      <c r="B393" s="320"/>
      <c r="C393" s="67" t="s">
        <v>13</v>
      </c>
      <c r="D393" s="56">
        <f>COUNTIFS(SSKA!$S$6:$S$466,C393,SSKA!$R$6:$R$466,"&gt;60")</f>
        <v>35</v>
      </c>
      <c r="E393" s="56">
        <f>COUNTIFS(SJTA!$S$6:$S$331,C393,SJTA!$R$6:$R$331,"&gt;60")</f>
        <v>29</v>
      </c>
      <c r="F393" s="2">
        <f>COUNTIFS(SPJ!$P$5:$P$144,C393,SPJ!$O$5:$O$144,"&gt;60")</f>
        <v>2</v>
      </c>
      <c r="G393" s="2">
        <f>COUNTIFS(SMP!$P$6:$P$30,C379,SMP!$O$6:$O$30,"&gt;60")</f>
        <v>1</v>
      </c>
      <c r="H393" s="3">
        <f t="shared" si="39"/>
        <v>67</v>
      </c>
      <c r="I393" s="81">
        <f t="shared" si="40"/>
        <v>7.2510822510822512E-2</v>
      </c>
    </row>
    <row r="394" spans="1:43" x14ac:dyDescent="0.3">
      <c r="B394" s="320"/>
      <c r="C394" s="67" t="s">
        <v>243</v>
      </c>
      <c r="D394" s="2">
        <f>COUNTIFS(SSKA!$S$6:$S$466,C394,SSKA!$R$6:$R$466,"&gt;60")</f>
        <v>3</v>
      </c>
      <c r="E394" s="2">
        <f>COUNTIFS(SJTA!$S$6:$S$331,C394,SJTA!$R$6:$R$331,"&gt;60")</f>
        <v>1</v>
      </c>
      <c r="F394" s="2">
        <f>COUNTIFS(SPJ!$P$5:$P$144,C394,SPJ!$O$5:$O$144,"&gt;60")</f>
        <v>0</v>
      </c>
      <c r="G394" s="2">
        <f>COUNTIFS(SMP!$P$6:$P$30,C380,SMP!$O$6:$O$30,"&gt;60")</f>
        <v>0</v>
      </c>
      <c r="H394" s="3">
        <f t="shared" si="39"/>
        <v>4</v>
      </c>
      <c r="I394" s="81">
        <f t="shared" si="40"/>
        <v>4.329004329004329E-3</v>
      </c>
    </row>
    <row r="395" spans="1:43" x14ac:dyDescent="0.3">
      <c r="B395" s="320"/>
      <c r="C395" s="67" t="s">
        <v>12075</v>
      </c>
      <c r="D395" s="2">
        <f>COUNTIFS(SSKA!$S$6:$S$466,C395,SSKA!$R$6:$R$466,"&gt;60")</f>
        <v>1</v>
      </c>
      <c r="E395" s="2">
        <f>COUNTIFS(SJTA!$S$6:$S$331,C395,SJTA!$R$6:$R$331,"&gt;60")</f>
        <v>3</v>
      </c>
      <c r="F395" s="2">
        <f>COUNTIFS(SPJ!$P$5:$P$144,C395,SPJ!$O$5:$O$144,"&gt;60")</f>
        <v>0</v>
      </c>
      <c r="G395" s="2">
        <f>COUNTIFS(SMP!$P$6:$P$30,C381,SMP!$O$6:$O$30,"&gt;60")</f>
        <v>0</v>
      </c>
      <c r="H395" s="3">
        <f t="shared" si="39"/>
        <v>4</v>
      </c>
      <c r="I395" s="81">
        <f t="shared" si="40"/>
        <v>4.329004329004329E-3</v>
      </c>
    </row>
    <row r="396" spans="1:43" x14ac:dyDescent="0.3">
      <c r="B396" s="320"/>
      <c r="C396" s="67" t="s">
        <v>12076</v>
      </c>
      <c r="D396" s="2">
        <f>COUNTIFS(SSKA!$S$6:$S$466,0,SSKA!$R$6:$R$466,"&gt;60")</f>
        <v>1</v>
      </c>
      <c r="E396" s="2">
        <f>COUNTIFS(SJTA!$S$6:$S$331,0,SJTA!$R$6:$R$331,"&gt;60")</f>
        <v>1</v>
      </c>
      <c r="F396" s="2">
        <f>COUNTIFS(SPJ!$P$5:$P$144,C396,SPJ!$O$5:$O$144,"&gt;60")</f>
        <v>0</v>
      </c>
      <c r="G396" s="2">
        <f>COUNTIFS(SMP!$P$6:$P$30,0,SMP!$O$6:$O$30,"&gt;60")</f>
        <v>0</v>
      </c>
      <c r="H396" s="3">
        <f t="shared" si="39"/>
        <v>2</v>
      </c>
      <c r="I396" s="81">
        <f t="shared" si="40"/>
        <v>2.1645021645021645E-3</v>
      </c>
    </row>
    <row r="399" spans="1:43" ht="15" thickBot="1" x14ac:dyDescent="0.35">
      <c r="A399" s="58">
        <v>11</v>
      </c>
      <c r="B399" s="64" t="s">
        <v>24222</v>
      </c>
      <c r="M399" s="64" t="s">
        <v>24222</v>
      </c>
    </row>
    <row r="400" spans="1:43" x14ac:dyDescent="0.3">
      <c r="M400" s="225" t="s">
        <v>12057</v>
      </c>
      <c r="N400" s="299" t="s">
        <v>10</v>
      </c>
      <c r="O400" s="300"/>
      <c r="P400" s="300"/>
      <c r="Q400" s="300"/>
      <c r="R400" s="301"/>
      <c r="S400" s="291" t="s">
        <v>448</v>
      </c>
      <c r="T400" s="292"/>
      <c r="U400" s="292"/>
      <c r="V400" s="292"/>
      <c r="W400" s="293"/>
      <c r="X400" s="302" t="s">
        <v>568</v>
      </c>
      <c r="Y400" s="303"/>
      <c r="Z400" s="303"/>
      <c r="AA400" s="303"/>
      <c r="AB400" s="304"/>
      <c r="AC400" s="305" t="s">
        <v>1783</v>
      </c>
      <c r="AD400" s="306"/>
      <c r="AE400" s="306"/>
      <c r="AF400" s="306"/>
      <c r="AG400" s="307"/>
      <c r="AH400" s="286" t="s">
        <v>626</v>
      </c>
      <c r="AI400" s="287"/>
      <c r="AJ400" s="287"/>
      <c r="AK400" s="287"/>
      <c r="AL400" s="288"/>
      <c r="AM400" s="291" t="s">
        <v>195</v>
      </c>
      <c r="AN400" s="292"/>
      <c r="AO400" s="292"/>
      <c r="AP400" s="292"/>
      <c r="AQ400" s="293"/>
    </row>
    <row r="401" spans="1:43" ht="28.8" x14ac:dyDescent="0.3">
      <c r="B401" s="322" t="s">
        <v>9786</v>
      </c>
      <c r="C401" s="323" t="s">
        <v>12096</v>
      </c>
      <c r="D401" s="83" t="s">
        <v>12058</v>
      </c>
      <c r="E401" s="83" t="s">
        <v>12059</v>
      </c>
      <c r="F401" s="83" t="s">
        <v>12060</v>
      </c>
      <c r="G401" s="83" t="s">
        <v>12061</v>
      </c>
      <c r="M401" s="296" t="s">
        <v>9786</v>
      </c>
      <c r="N401" s="297" t="s">
        <v>12096</v>
      </c>
      <c r="O401" s="238" t="s">
        <v>12058</v>
      </c>
      <c r="P401" s="239" t="s">
        <v>12059</v>
      </c>
      <c r="Q401" s="238" t="s">
        <v>12060</v>
      </c>
      <c r="R401" s="248" t="s">
        <v>12061</v>
      </c>
      <c r="S401" s="294" t="s">
        <v>12096</v>
      </c>
      <c r="T401" s="236" t="s">
        <v>12058</v>
      </c>
      <c r="U401" s="237" t="s">
        <v>12059</v>
      </c>
      <c r="V401" s="236" t="s">
        <v>12060</v>
      </c>
      <c r="W401" s="249" t="s">
        <v>12061</v>
      </c>
      <c r="X401" s="308" t="s">
        <v>12096</v>
      </c>
      <c r="Y401" s="240" t="s">
        <v>12058</v>
      </c>
      <c r="Z401" s="241" t="s">
        <v>12059</v>
      </c>
      <c r="AA401" s="240" t="s">
        <v>12060</v>
      </c>
      <c r="AB401" s="250" t="s">
        <v>12061</v>
      </c>
      <c r="AC401" s="310" t="s">
        <v>12096</v>
      </c>
      <c r="AD401" s="242" t="s">
        <v>12058</v>
      </c>
      <c r="AE401" s="243" t="s">
        <v>12059</v>
      </c>
      <c r="AF401" s="242" t="s">
        <v>12060</v>
      </c>
      <c r="AG401" s="251" t="s">
        <v>12061</v>
      </c>
      <c r="AH401" s="289" t="s">
        <v>12096</v>
      </c>
      <c r="AI401" s="244" t="s">
        <v>12058</v>
      </c>
      <c r="AJ401" s="245" t="s">
        <v>12059</v>
      </c>
      <c r="AK401" s="244" t="s">
        <v>12060</v>
      </c>
      <c r="AL401" s="255" t="s">
        <v>12061</v>
      </c>
      <c r="AM401" s="294" t="s">
        <v>12096</v>
      </c>
      <c r="AN401" s="236" t="s">
        <v>12058</v>
      </c>
      <c r="AO401" s="237" t="s">
        <v>12059</v>
      </c>
      <c r="AP401" s="236" t="s">
        <v>12060</v>
      </c>
      <c r="AQ401" s="249" t="s">
        <v>12061</v>
      </c>
    </row>
    <row r="402" spans="1:43" x14ac:dyDescent="0.3">
      <c r="B402" s="322"/>
      <c r="C402" s="324"/>
      <c r="D402" s="83" t="s">
        <v>12066</v>
      </c>
      <c r="E402" s="83" t="s">
        <v>12063</v>
      </c>
      <c r="F402" s="83" t="s">
        <v>12064</v>
      </c>
      <c r="G402" s="83" t="s">
        <v>12097</v>
      </c>
      <c r="M402" s="296"/>
      <c r="N402" s="298"/>
      <c r="O402" s="238" t="s">
        <v>12066</v>
      </c>
      <c r="P402" s="238" t="s">
        <v>12063</v>
      </c>
      <c r="Q402" s="238" t="s">
        <v>12064</v>
      </c>
      <c r="R402" s="248" t="s">
        <v>12097</v>
      </c>
      <c r="S402" s="295"/>
      <c r="T402" s="236" t="s">
        <v>12066</v>
      </c>
      <c r="U402" s="236" t="s">
        <v>12063</v>
      </c>
      <c r="V402" s="236" t="s">
        <v>12064</v>
      </c>
      <c r="W402" s="249" t="s">
        <v>12097</v>
      </c>
      <c r="X402" s="309"/>
      <c r="Y402" s="240" t="s">
        <v>12066</v>
      </c>
      <c r="Z402" s="240" t="s">
        <v>12063</v>
      </c>
      <c r="AA402" s="240" t="s">
        <v>12064</v>
      </c>
      <c r="AB402" s="250" t="s">
        <v>12097</v>
      </c>
      <c r="AC402" s="311"/>
      <c r="AD402" s="242" t="s">
        <v>12066</v>
      </c>
      <c r="AE402" s="242" t="s">
        <v>12063</v>
      </c>
      <c r="AF402" s="242" t="s">
        <v>12064</v>
      </c>
      <c r="AG402" s="251" t="s">
        <v>12097</v>
      </c>
      <c r="AH402" s="290"/>
      <c r="AI402" s="244" t="s">
        <v>12066</v>
      </c>
      <c r="AJ402" s="244" t="s">
        <v>12063</v>
      </c>
      <c r="AK402" s="244" t="s">
        <v>12064</v>
      </c>
      <c r="AL402" s="255" t="s">
        <v>12097</v>
      </c>
      <c r="AM402" s="295"/>
      <c r="AN402" s="236" t="s">
        <v>12066</v>
      </c>
      <c r="AO402" s="236" t="s">
        <v>12063</v>
      </c>
      <c r="AP402" s="236" t="s">
        <v>12064</v>
      </c>
      <c r="AQ402" s="249" t="s">
        <v>12097</v>
      </c>
    </row>
    <row r="403" spans="1:43" x14ac:dyDescent="0.3">
      <c r="B403" s="33" t="s">
        <v>12069</v>
      </c>
      <c r="C403" s="2">
        <f>COUNTIF(Kredit!$O$7:$O$1870,"&lt;24")</f>
        <v>51</v>
      </c>
      <c r="D403" s="2">
        <f>COUNTIFS(Kredit!$L$8:$L$1870,D401,Kredit!$O$8:$O$1870,"&lt;24")</f>
        <v>50</v>
      </c>
      <c r="E403" s="2">
        <f>COUNTIFS(Kredit!$L$8:$L$1870,E401,Kredit!$O$8:$O$1870,"&lt;24")</f>
        <v>0</v>
      </c>
      <c r="F403" s="2">
        <f>COUNTIFS(Kredit!$L$8:$L$1870,F401,Kredit!$O$8:$O$1870,"&lt;24")</f>
        <v>0</v>
      </c>
      <c r="G403" s="2">
        <f>COUNTIFS(Kredit!$L$8:$L$1870,G401,Kredit!$O$8:$O$1870,"&lt;24")</f>
        <v>1</v>
      </c>
      <c r="M403" s="194" t="s">
        <v>12069</v>
      </c>
      <c r="N403" s="202">
        <f>COUNTIFS(Kredit!$M$8:$M$1871,1,Kredit!$O$7:$O$1870,"&lt;24")</f>
        <v>21</v>
      </c>
      <c r="O403" s="23">
        <f>COUNTIFS(Kredit!$M$8:$M$1870,1,Kredit!$L$8:$L$1870,O401,Kredit!$O$8:$O$1870,"&lt;24")</f>
        <v>20</v>
      </c>
      <c r="P403" s="23">
        <f>COUNTIFS(Kredit!$M$8:$M$1870,1,Kredit!$L$8:$L$1870,P401,Kredit!$O$8:$O$1870,"&lt;24")</f>
        <v>0</v>
      </c>
      <c r="Q403" s="23">
        <f>COUNTIFS(Kredit!$M$8:$M$1870,1,Kredit!$L$8:$L$1870,Q401,Kredit!$O$8:$O$1870,"&lt;24")</f>
        <v>0</v>
      </c>
      <c r="R403" s="203">
        <f>COUNTIFS(Kredit!$M$8:$M$1870,1,Kredit!$L$8:$L$1870,R401,Kredit!$O$8:$O$1870,"&lt;24")</f>
        <v>1</v>
      </c>
      <c r="S403" s="202">
        <f>COUNTIFS(Kredit!$M$8:$M$1871,2,Kredit!$O$7:$O$1870,"&lt;24")</f>
        <v>5</v>
      </c>
      <c r="T403" s="23">
        <f>COUNTIFS(Kredit!$M$8:$M$1870,2,Kredit!$L$8:$L$1870,T401,Kredit!$O$8:$O$1870,"&lt;24")</f>
        <v>5</v>
      </c>
      <c r="U403" s="23">
        <f>COUNTIFS(Kredit!$M$8:$M$1870,2,Kredit!$L$8:$L$1870,U401,Kredit!$O$8:$O$1870,"&lt;24")</f>
        <v>0</v>
      </c>
      <c r="V403" s="23">
        <f>COUNTIFS(Kredit!$M$8:$M$1870,2,Kredit!$L$8:$L$1870,V401,Kredit!$O$8:$O$1870,"&lt;24")</f>
        <v>0</v>
      </c>
      <c r="W403" s="203">
        <f>COUNTIFS(Kredit!$M$8:$M$1870,2,Kredit!$L$8:$L$1870,W401,Kredit!$O$8:$O$1870,"&lt;24")</f>
        <v>0</v>
      </c>
      <c r="X403" s="202">
        <f>COUNTIFS(Kredit!$M$8:$M$1871,3,Kredit!$O$7:$O$1870,"&lt;24")</f>
        <v>1</v>
      </c>
      <c r="Y403" s="23">
        <f>COUNTIFS(Kredit!$M$8:$M$1870,3,Kredit!$L$8:$L$1870,Y401,Kredit!$O$8:$O$1870,"&lt;24")</f>
        <v>1</v>
      </c>
      <c r="Z403" s="23">
        <f>COUNTIFS(Kredit!$M$8:$M$1870,3,Kredit!$L$8:$L$1870,Z401,Kredit!$O$8:$O$1870,"&lt;24")</f>
        <v>0</v>
      </c>
      <c r="AA403" s="23">
        <f>COUNTIFS(Kredit!$M$8:$M$1870,3,Kredit!$L$8:$L$1870,AA401,Kredit!$O$8:$O$1870,"&lt;24")</f>
        <v>0</v>
      </c>
      <c r="AB403" s="203">
        <f>COUNTIFS(Kredit!$M$8:$M$1870,3,Kredit!$L$8:$L$1870,AB401,Kredit!$O$8:$O$1870,"&lt;24")</f>
        <v>0</v>
      </c>
      <c r="AC403" s="202">
        <f>COUNTIFS(Kredit!$M$8:$M$1871,4,Kredit!$O$7:$O$1870,"&lt;24")</f>
        <v>19</v>
      </c>
      <c r="AD403" s="23">
        <f>COUNTIFS(Kredit!$M$8:$M$1870,4,Kredit!$L$8:$L$1870,AD401,Kredit!$O$8:$O$1870,"&lt;24")</f>
        <v>19</v>
      </c>
      <c r="AE403" s="23">
        <f>COUNTIFS(Kredit!$M$8:$M$1870,4,Kredit!$L$8:$L$1870,AE401,Kredit!$O$8:$O$1870,"&lt;24")</f>
        <v>0</v>
      </c>
      <c r="AF403" s="23">
        <f>COUNTIFS(Kredit!$M$8:$M$1870,4,Kredit!$L$8:$L$1870,AF401,Kredit!$O$8:$O$1870,"&lt;24")</f>
        <v>0</v>
      </c>
      <c r="AG403" s="203">
        <f>COUNTIFS(Kredit!$M$8:$M$1870,4,Kredit!$L$8:$L$1870,AG401,Kredit!$O$8:$O$1870,"&lt;24")</f>
        <v>0</v>
      </c>
      <c r="AH403" s="202">
        <f>COUNTIFS(Kredit!$M$8:$M$1871,5,Kredit!$O$7:$O$1870,"&lt;24")</f>
        <v>2</v>
      </c>
      <c r="AI403" s="23">
        <f>COUNTIFS(Kredit!$M$8:$M$1870,5,Kredit!$L$8:$L$1870,AI401,Kredit!$O$8:$O$1870,"&lt;24")</f>
        <v>2</v>
      </c>
      <c r="AJ403" s="23">
        <f>COUNTIFS(Kredit!$M$8:$M$1870,5,Kredit!$L$8:$L$1870,AJ401,Kredit!$O$8:$O$1870,"&lt;24")</f>
        <v>0</v>
      </c>
      <c r="AK403" s="23">
        <f>COUNTIFS(Kredit!$M$8:$M$1870,5,Kredit!$L$8:$L$1870,AK401,Kredit!$O$8:$O$1870,"&lt;24")</f>
        <v>0</v>
      </c>
      <c r="AL403" s="203">
        <f>COUNTIFS(Kredit!$M$8:$M$1870,5,Kredit!$L$8:$L$1870,AL401,Kredit!$O$8:$O$1870,"&lt;24")</f>
        <v>0</v>
      </c>
      <c r="AM403" s="202">
        <f>COUNTIFS(Kredit!$M$8:$M$1871,6,Kredit!$O$7:$O$1870,"&lt;24")</f>
        <v>3</v>
      </c>
      <c r="AN403" s="23">
        <f>COUNTIFS(Kredit!$M$8:$M$1870,6,Kredit!$L$8:$L$1870,AN401,Kredit!$O$8:$O$1870,"&lt;24")</f>
        <v>3</v>
      </c>
      <c r="AO403" s="23">
        <f>COUNTIFS(Kredit!$M$8:$M$1870,6,Kredit!$L$8:$L$1870,AO401,Kredit!$O$8:$O$1870,"&lt;24")</f>
        <v>0</v>
      </c>
      <c r="AP403" s="23">
        <f>COUNTIFS(Kredit!$M$8:$M$1870,6,Kredit!$L$8:$L$1870,AP401,Kredit!$O$8:$O$1870,"&lt;24")</f>
        <v>0</v>
      </c>
      <c r="AQ403" s="203">
        <f>COUNTIFS(Kredit!$M$8:$M$1870,6,Kredit!$L$8:$L$1870,AQ401,Kredit!$O$8:$O$1870,"&lt;24")</f>
        <v>0</v>
      </c>
    </row>
    <row r="404" spans="1:43" x14ac:dyDescent="0.3">
      <c r="B404" s="3" t="s">
        <v>18801</v>
      </c>
      <c r="C404" s="2">
        <f>COUNTIF(Kredit!$O$7:$O$1870,"&lt;=35")-COUNTIF(Kredit!$O$7:$O$1870,"&lt;24")</f>
        <v>342</v>
      </c>
      <c r="D404" s="89">
        <f>COUNTIFS(Kredit!$L$8:$L$1870,D401,Kredit!$O$8:$O$1870,"&lt;=35")-COUNTIFS(Kredit!$L$8:$L$1870,D401,Kredit!$O$8:$O$1870,"&lt;24")</f>
        <v>325</v>
      </c>
      <c r="E404" s="89">
        <f>COUNTIFS(Kredit!$L$8:$L$1870,E401,Kredit!$O$8:$O$1870,"&lt;=35")-COUNTIFS(Kredit!$L$8:$L$1870,E401,Kredit!$O$8:$O$1870,"&lt;24")</f>
        <v>3</v>
      </c>
      <c r="F404" s="89">
        <f>COUNTIFS(Kredit!$L$8:$L$1870,F401,Kredit!$O$8:$O$1870,"&lt;=35")-COUNTIFS(Kredit!$L$8:$L$1870,F401,Kredit!$O$8:$O$1870,"&lt;24")</f>
        <v>6</v>
      </c>
      <c r="G404" s="89">
        <f>COUNTIFS(Kredit!$L$8:$L$1870,G401,Kredit!$O$8:$O$1870,"&lt;=35")-COUNTIFS(Kredit!$L$8:$L$1870,G401,Kredit!$O$8:$O$1870,"&lt;24")</f>
        <v>8</v>
      </c>
      <c r="M404" s="246" t="s">
        <v>18801</v>
      </c>
      <c r="N404" s="202">
        <f>COUNTIFS(Kredit!$M$8:$M$1871,1,Kredit!$O$7:$O$1870,"&lt;=35")-COUNTIFS(Kredit!$M$8:$M$1871,1,Kredit!$O$7:$O$1870,"&lt;24")</f>
        <v>140</v>
      </c>
      <c r="O404" s="23">
        <f>COUNTIFS(Kredit!$M$8:$M$1870,1,Kredit!$L$8:$L$1870,O401,Kredit!$O$8:$O$1870,"&lt;=35")-COUNTIFS(Kredit!$M$8:$M$1870,1,Kredit!$L$8:$L$1870,O401,Kredit!$O$8:$O$1870,"&lt;24")</f>
        <v>136</v>
      </c>
      <c r="P404" s="23">
        <f>COUNTIFS(Kredit!$M$8:$M$1870,1,Kredit!$L$8:$L$1870,P401,Kredit!$O$8:$O$1870,"&lt;=35")-COUNTIFS(Kredit!$M$8:$M$1870,1,Kredit!$L$8:$L$1870,P401,Kredit!$O$8:$O$1870,"&lt;24")</f>
        <v>0</v>
      </c>
      <c r="Q404" s="23">
        <f>COUNTIFS(Kredit!$M$8:$M$1870,1,Kredit!$L$8:$L$1870,Q401,Kredit!$O$8:$O$1870,"&lt;=35")-COUNTIFS(Kredit!$M$8:$M$1870,1,Kredit!$L$8:$L$1870,Q401,Kredit!$O$8:$O$1870,"&lt;24")</f>
        <v>2</v>
      </c>
      <c r="R404" s="203">
        <f>COUNTIFS(Kredit!$M$8:$M$1870,1,Kredit!$L$8:$L$1870,R401,Kredit!$O$8:$O$1870,"&lt;=35")-COUNTIFS(Kredit!$M$8:$M$1870,1,Kredit!$L$8:$L$1870,R401,Kredit!$O$8:$O$1870,"&lt;24")</f>
        <v>2</v>
      </c>
      <c r="S404" s="202">
        <f>COUNTIFS(Kredit!$M$8:$M$1871,2,Kredit!$O$7:$O$1870,"&lt;=35")-COUNTIFS(Kredit!$M$8:$M$1871,2,Kredit!$O$7:$O$1870,"&lt;24")</f>
        <v>54</v>
      </c>
      <c r="T404" s="23">
        <f>COUNTIFS(Kredit!$M$8:$M$1870,2,Kredit!$L$8:$L$1870,T401,Kredit!$O$8:$O$1870,"&lt;=35")-COUNTIFS(Kredit!$M$8:$M$1870,2,Kredit!$L$8:$L$1870,T401,Kredit!$O$8:$O$1870,"&lt;24")</f>
        <v>51</v>
      </c>
      <c r="U404" s="23">
        <f>COUNTIFS(Kredit!$M$8:$M$1870,2,Kredit!$L$8:$L$1870,U401,Kredit!$O$8:$O$1870,"&lt;=35")-COUNTIFS(Kredit!$M$8:$M$1870,2,Kredit!$L$8:$L$1870,U401,Kredit!$O$8:$O$1870,"&lt;24")</f>
        <v>1</v>
      </c>
      <c r="V404" s="23">
        <f>COUNTIFS(Kredit!$M$8:$M$1870,2,Kredit!$L$8:$L$1870,V401,Kredit!$O$8:$O$1870,"&lt;=35")-COUNTIFS(Kredit!$M$8:$M$1870,2,Kredit!$L$8:$L$1870,V401,Kredit!$O$8:$O$1870,"&lt;24")</f>
        <v>0</v>
      </c>
      <c r="W404" s="203">
        <f>COUNTIFS(Kredit!$M$8:$M$1870,2,Kredit!$L$8:$L$1870,W401,Kredit!$O$8:$O$1870,"&lt;=35")-COUNTIFS(Kredit!$M$8:$M$1870,2,Kredit!$L$8:$L$1870,W401,Kredit!$O$8:$O$1870,"&lt;24")</f>
        <v>2</v>
      </c>
      <c r="X404" s="202">
        <f>COUNTIFS(Kredit!$M$8:$M$1871,3,Kredit!$O$7:$O$1870,"&lt;=35")-COUNTIFS(Kredit!$M$8:$M$1871,3,Kredit!$O$7:$O$1870,"&lt;24")</f>
        <v>53</v>
      </c>
      <c r="Y404" s="23">
        <f>COUNTIFS(Kredit!$M$8:$M$1870,3,Kredit!$L$8:$L$1870,Y401,Kredit!$O$8:$O$1870,"&lt;=35")-COUNTIFS(Kredit!$M$8:$M$1870,3,Kredit!$L$8:$L$1870,Y401,Kredit!$O$8:$O$1870,"&lt;24")</f>
        <v>50</v>
      </c>
      <c r="Z404" s="23">
        <f>COUNTIFS(Kredit!$M$8:$M$1870,3,Kredit!$L$8:$L$1870,Z401,Kredit!$O$8:$O$1870,"&lt;=35")-COUNTIFS(Kredit!$M$8:$M$1870,3,Kredit!$L$8:$L$1870,Z401,Kredit!$O$8:$O$1870,"&lt;24")</f>
        <v>1</v>
      </c>
      <c r="AA404" s="23">
        <f>COUNTIFS(Kredit!$M$8:$M$1870,3,Kredit!$L$8:$L$1870,AA401,Kredit!$O$8:$O$1870,"&lt;=35")-COUNTIFS(Kredit!$M$8:$M$1870,3,Kredit!$L$8:$L$1870,AA401,Kredit!$O$8:$O$1870,"&lt;24")</f>
        <v>1</v>
      </c>
      <c r="AB404" s="203">
        <f>COUNTIFS(Kredit!$M$8:$M$1870,3,Kredit!$L$8:$L$1870,AB401,Kredit!$O$8:$O$1870,"&lt;=35")-COUNTIFS(Kredit!$M$8:$M$1870,3,Kredit!$L$8:$L$1870,AB401,Kredit!$O$8:$O$1870,"&lt;24")</f>
        <v>1</v>
      </c>
      <c r="AC404" s="202">
        <f>COUNTIFS(Kredit!$M$8:$M$1871,4,Kredit!$O$7:$O$1870,"&lt;=35")-COUNTIFS(Kredit!$M$8:$M$1871,4,Kredit!$O$7:$O$1870,"&lt;24")</f>
        <v>63</v>
      </c>
      <c r="AD404" s="23">
        <f>COUNTIFS(Kredit!$M$8:$M$1870,4,Kredit!$L$8:$L$1870,AD401,Kredit!$O$8:$O$1870,"&lt;=35")-COUNTIFS(Kredit!$M$8:$M$1870,4,Kredit!$L$8:$L$1870,AD401,Kredit!$O$8:$O$1870,"&lt;24")</f>
        <v>59</v>
      </c>
      <c r="AE404" s="23">
        <f>COUNTIFS(Kredit!$M$8:$M$1870,4,Kredit!$L$8:$L$1870,AE401,Kredit!$O$8:$O$1870,"&lt;=35")-COUNTIFS(Kredit!$M$8:$M$1870,4,Kredit!$L$8:$L$1870,AE401,Kredit!$O$8:$O$1870,"&lt;24")</f>
        <v>0</v>
      </c>
      <c r="AF404" s="23">
        <f>COUNTIFS(Kredit!$M$8:$M$1870,4,Kredit!$L$8:$L$1870,AF401,Kredit!$O$8:$O$1870,"&lt;=35")-COUNTIFS(Kredit!$M$8:$M$1870,4,Kredit!$L$8:$L$1870,AF401,Kredit!$O$8:$O$1870,"&lt;24")</f>
        <v>3</v>
      </c>
      <c r="AG404" s="203">
        <f>COUNTIFS(Kredit!$M$8:$M$1870,4,Kredit!$L$8:$L$1870,AG401,Kredit!$O$8:$O$1870,"&lt;=35")-COUNTIFS(Kredit!$M$8:$M$1870,4,Kredit!$L$8:$L$1870,AG401,Kredit!$O$8:$O$1870,"&lt;24")</f>
        <v>1</v>
      </c>
      <c r="AH404" s="202">
        <f>COUNTIFS(Kredit!$M$8:$M$1871,5,Kredit!$O$7:$O$1870,"&lt;=35")-COUNTIFS(Kredit!$M$8:$M$1871,5,Kredit!$O$7:$O$1870,"&lt;24")</f>
        <v>13</v>
      </c>
      <c r="AI404" s="23">
        <f>COUNTIFS(Kredit!$M$8:$M$1870,5,Kredit!$L$8:$L$1870,AI401,Kredit!$O$8:$O$1870,"&lt;=35")-COUNTIFS(Kredit!$M$8:$M$1870,5,Kredit!$L$8:$L$1870,AI401,Kredit!$O$8:$O$1870,"&lt;24")</f>
        <v>12</v>
      </c>
      <c r="AJ404" s="23">
        <f>COUNTIFS(Kredit!$M$8:$M$1870,5,Kredit!$L$8:$L$1870,AJ401,Kredit!$O$8:$O$1870,"&lt;=35")-COUNTIFS(Kredit!$M$8:$M$1870,5,Kredit!$L$8:$L$1870,AJ401,Kredit!$O$8:$O$1870,"&lt;24")</f>
        <v>0</v>
      </c>
      <c r="AK404" s="23">
        <f>COUNTIFS(Kredit!$M$8:$M$1870,5,Kredit!$L$8:$L$1870,AK401,Kredit!$O$8:$O$1870,"&lt;=35")-COUNTIFS(Kredit!$M$8:$M$1870,5,Kredit!$L$8:$L$1870,AK401,Kredit!$O$8:$O$1870,"&lt;24")</f>
        <v>0</v>
      </c>
      <c r="AL404" s="203">
        <f>COUNTIFS(Kredit!$M$8:$M$1870,5,Kredit!$L$8:$L$1870,AL401,Kredit!$O$8:$O$1870,"&lt;=35")-COUNTIFS(Kredit!$M$8:$M$1870,5,Kredit!$L$8:$L$1870,AL401,Kredit!$O$8:$O$1870,"&lt;24")</f>
        <v>1</v>
      </c>
      <c r="AM404" s="202">
        <f>COUNTIFS(Kredit!$M$8:$M$1871,6,Kredit!$O$7:$O$1870,"&lt;=35")-COUNTIFS(Kredit!$M$8:$M$1871,6,Kredit!$O$7:$O$1870,"&lt;24")</f>
        <v>18</v>
      </c>
      <c r="AN404" s="23">
        <f>COUNTIFS(Kredit!$M$8:$M$1870,6,Kredit!$L$8:$L$1870,AN401,Kredit!$O$8:$O$1870,"&lt;=35")-COUNTIFS(Kredit!$M$8:$M$1870,6,Kredit!$L$8:$L$1870,AN401,Kredit!$O$8:$O$1870,"&lt;24")</f>
        <v>17</v>
      </c>
      <c r="AO404" s="23">
        <f>COUNTIFS(Kredit!$M$8:$M$1870,6,Kredit!$L$8:$L$1870,AO401,Kredit!$O$8:$O$1870,"&lt;=35")-COUNTIFS(Kredit!$M$8:$M$1870,6,Kredit!$L$8:$L$1870,AO401,Kredit!$O$8:$O$1870,"&lt;24")</f>
        <v>1</v>
      </c>
      <c r="AP404" s="23">
        <f>COUNTIFS(Kredit!$M$8:$M$1870,6,Kredit!$L$8:$L$1870,AP401,Kredit!$O$8:$O$1870,"&lt;=35")-COUNTIFS(Kredit!$M$8:$M$1870,6,Kredit!$L$8:$L$1870,AP401,Kredit!$O$8:$O$1870,"&lt;24")</f>
        <v>0</v>
      </c>
      <c r="AQ404" s="203">
        <f>COUNTIFS(Kredit!$M$8:$M$1870,6,Kredit!$L$8:$L$1870,AQ401,Kredit!$O$8:$O$1870,"&lt;=35")-COUNTIFS(Kredit!$M$8:$M$1870,6,Kredit!$L$8:$L$1870,AQ401,Kredit!$O$8:$O$1870,"&lt;24")</f>
        <v>1</v>
      </c>
    </row>
    <row r="405" spans="1:43" x14ac:dyDescent="0.3">
      <c r="B405" s="3" t="s">
        <v>18803</v>
      </c>
      <c r="C405" s="2">
        <f>COUNTIF(Kredit!$O$7:$O$1870,"&lt;=45")-COUNTIF(Kredit!$O$7:$O$1870,"&lt;36")</f>
        <v>510</v>
      </c>
      <c r="D405" s="89">
        <f>COUNTIFS(Kredit!$L$8:$L$1870,D401,Kredit!$O$8:$O$1870,"&lt;=45")-COUNTIFS(Kredit!$L$8:$L$1870,D401,Kredit!$O$8:$O$1870,"&lt;36")</f>
        <v>436</v>
      </c>
      <c r="E405" s="89">
        <f>COUNTIFS(Kredit!$L$8:$L$1870,E401,Kredit!$O$8:$O$1870,"&lt;=45")-COUNTIFS(Kredit!$L$8:$L$1870,E401,Kredit!$O$8:$O$1870,"&lt;36")</f>
        <v>18</v>
      </c>
      <c r="F405" s="89">
        <f>COUNTIFS(Kredit!$L$8:$L$1870,F401,Kredit!$O$8:$O$1870,"&lt;=45")-COUNTIFS(Kredit!$L$8:$L$1870,F401,Kredit!$O$8:$O$1870,"&lt;36")</f>
        <v>13</v>
      </c>
      <c r="G405" s="89">
        <f>COUNTIFS(Kredit!$L$8:$L$1870,G401,Kredit!$O$8:$O$1870,"&lt;=45")-COUNTIFS(Kredit!$L$8:$L$1870,G401,Kredit!$O$8:$O$1870,"&lt;36")</f>
        <v>43</v>
      </c>
      <c r="M405" s="246" t="s">
        <v>18803</v>
      </c>
      <c r="N405" s="202">
        <f>COUNTIFS(Kredit!$M$8:$M$1871,1,Kredit!$O$7:$O$1870,"&lt;=45")-COUNTIFS(Kredit!$M$8:$M$1871,1,Kredit!$O$7:$O$1870,"&lt;36")</f>
        <v>201</v>
      </c>
      <c r="O405" s="23">
        <f>COUNTIFS(Kredit!$M$8:$M$1870,1,Kredit!$L$8:$L$1870,O401,Kredit!$O$8:$O$1870,"&lt;=45")-COUNTIFS(Kredit!$M$8:$M$1870,1,Kredit!$L$8:$L$1870,O401,Kredit!$O$8:$O$1870,"&lt;36")</f>
        <v>177</v>
      </c>
      <c r="P405" s="23">
        <f>COUNTIFS(Kredit!$M$8:$M$1870,1,Kredit!$L$8:$L$1870,P401,Kredit!$O$8:$O$1870,"&lt;=45")-COUNTIFS(Kredit!$M$8:$M$1870,1,Kredit!$L$8:$L$1870,P401,Kredit!$O$8:$O$1870,"&lt;36")</f>
        <v>9</v>
      </c>
      <c r="Q405" s="23">
        <f>COUNTIFS(Kredit!$M$8:$M$1870,1,Kredit!$L$8:$L$1870,Q401,Kredit!$O$8:$O$1870,"&lt;=45")-COUNTIFS(Kredit!$M$8:$M$1870,1,Kredit!$L$8:$L$1870,Q401,Kredit!$O$8:$O$1870,"&lt;36")</f>
        <v>4</v>
      </c>
      <c r="R405" s="266">
        <f>COUNTIFS(Kredit!$M$8:$M$1870,1,Kredit!$L$8:$L$1870,R401,Kredit!$O$8:$O$1870,"&lt;=45")-COUNTIFS(Kredit!$M$8:$M$1870,1,Kredit!$L$8:$L$1870,R401,Kredit!$O$8:$O$1870,"&lt;36")</f>
        <v>11</v>
      </c>
      <c r="S405" s="202">
        <f>COUNTIFS(Kredit!$M$8:$M$1871,2,Kredit!$O$7:$O$1870,"&lt;=45")-COUNTIFS(Kredit!$M$8:$M$1871,2,Kredit!$O$7:$O$1870,"&lt;36")</f>
        <v>112</v>
      </c>
      <c r="T405" s="23">
        <f>COUNTIFS(Kredit!$M$8:$M$1870,2,Kredit!$L$8:$L$1870,T401,Kredit!$O$8:$O$1870,"&lt;=45")-COUNTIFS(Kredit!$M$8:$M$1870,2,Kredit!$L$8:$L$1870,T401,Kredit!$O$8:$O$1870,"&lt;36")</f>
        <v>90</v>
      </c>
      <c r="U405" s="23">
        <f>COUNTIFS(Kredit!$M$8:$M$1870,2,Kredit!$L$8:$L$1870,U401,Kredit!$O$8:$O$1870,"&lt;=45")-COUNTIFS(Kredit!$M$8:$M$1870,2,Kredit!$L$8:$L$1870,U401,Kredit!$O$8:$O$1870,"&lt;36")</f>
        <v>2</v>
      </c>
      <c r="V405" s="23">
        <f>COUNTIFS(Kredit!$M$8:$M$1870,2,Kredit!$L$8:$L$1870,V401,Kredit!$O$8:$O$1870,"&lt;=45")-COUNTIFS(Kredit!$M$8:$M$1870,2,Kredit!$L$8:$L$1870,V401,Kredit!$O$8:$O$1870,"&lt;36")</f>
        <v>2</v>
      </c>
      <c r="W405" s="266">
        <f>COUNTIFS(Kredit!$M$8:$M$1870,2,Kredit!$L$8:$L$1870,W401,Kredit!$O$8:$O$1870,"&lt;=45")-COUNTIFS(Kredit!$M$8:$M$1870,2,Kredit!$L$8:$L$1870,W401,Kredit!$O$8:$O$1870,"&lt;36")</f>
        <v>19</v>
      </c>
      <c r="X405" s="202">
        <f>COUNTIFS(Kredit!$M$8:$M$1871,3,Kredit!$O$7:$O$1870,"&lt;=45")-COUNTIFS(Kredit!$M$8:$M$1871,3,Kredit!$O$7:$O$1870,"&lt;36")</f>
        <v>66</v>
      </c>
      <c r="Y405" s="23">
        <f>COUNTIFS(Kredit!$M$8:$M$1870,3,Kredit!$L$8:$L$1870,Y401,Kredit!$O$8:$O$1870,"&lt;=45")-COUNTIFS(Kredit!$M$8:$M$1870,3,Kredit!$L$8:$L$1870,Y401,Kredit!$O$8:$O$1870,"&lt;36")</f>
        <v>56</v>
      </c>
      <c r="Z405" s="23">
        <f>COUNTIFS(Kredit!$M$8:$M$1870,3,Kredit!$L$8:$L$1870,Z401,Kredit!$O$8:$O$1870,"&lt;=45")-COUNTIFS(Kredit!$M$8:$M$1870,3,Kredit!$L$8:$L$1870,Z401,Kredit!$O$8:$O$1870,"&lt;36")</f>
        <v>2</v>
      </c>
      <c r="AA405" s="23">
        <f>COUNTIFS(Kredit!$M$8:$M$1870,3,Kredit!$L$8:$L$1870,AA401,Kredit!$O$8:$O$1870,"&lt;=45")-COUNTIFS(Kredit!$M$8:$M$1870,3,Kredit!$L$8:$L$1870,AA401,Kredit!$O$8:$O$1870,"&lt;36")</f>
        <v>2</v>
      </c>
      <c r="AB405" s="203">
        <f>COUNTIFS(Kredit!$M$8:$M$1870,3,Kredit!$L$8:$L$1870,AB401,Kredit!$O$8:$O$1870,"&lt;=45")-COUNTIFS(Kredit!$M$8:$M$1870,3,Kredit!$L$8:$L$1870,AB401,Kredit!$O$8:$O$1870,"&lt;36")</f>
        <v>5</v>
      </c>
      <c r="AC405" s="202">
        <f>COUNTIFS(Kredit!$M$8:$M$1871,4,Kredit!$O$7:$O$1870,"&lt;=45")-COUNTIFS(Kredit!$M$8:$M$1871,4,Kredit!$O$7:$O$1870,"&lt;36")</f>
        <v>64</v>
      </c>
      <c r="AD405" s="23">
        <f>COUNTIFS(Kredit!$M$8:$M$1870,4,Kredit!$L$8:$L$1870,AD401,Kredit!$O$8:$O$1870,"&lt;=45")-COUNTIFS(Kredit!$M$8:$M$1870,4,Kredit!$L$8:$L$1870,AD401,Kredit!$O$8:$O$1870,"&lt;36")</f>
        <v>56</v>
      </c>
      <c r="AE405" s="23">
        <f>COUNTIFS(Kredit!$M$8:$M$1870,4,Kredit!$L$8:$L$1870,AE401,Kredit!$O$8:$O$1870,"&lt;=45")-COUNTIFS(Kredit!$M$8:$M$1870,4,Kredit!$L$8:$L$1870,AE401,Kredit!$O$8:$O$1870,"&lt;36")</f>
        <v>2</v>
      </c>
      <c r="AF405" s="23">
        <f>COUNTIFS(Kredit!$M$8:$M$1870,4,Kredit!$L$8:$L$1870,AF401,Kredit!$O$8:$O$1870,"&lt;=45")-COUNTIFS(Kredit!$M$8:$M$1870,4,Kredit!$L$8:$L$1870,AF401,Kredit!$O$8:$O$1870,"&lt;36")</f>
        <v>1</v>
      </c>
      <c r="AG405" s="203">
        <f>COUNTIFS(Kredit!$M$8:$M$1870,4,Kredit!$L$8:$L$1870,AG401,Kredit!$O$8:$O$1870,"&lt;=45")-COUNTIFS(Kredit!$M$8:$M$1870,4,Kredit!$L$8:$L$1870,AG401,Kredit!$O$8:$O$1870,"&lt;36")</f>
        <v>5</v>
      </c>
      <c r="AH405" s="202">
        <f>COUNTIFS(Kredit!$M$8:$M$1871,5,Kredit!$O$7:$O$1870,"&lt;=45")-COUNTIFS(Kredit!$M$8:$M$1871,5,Kredit!$O$7:$O$1870,"&lt;36")</f>
        <v>28</v>
      </c>
      <c r="AI405" s="23">
        <f>COUNTIFS(Kredit!$M$8:$M$1870,5,Kredit!$L$8:$L$1870,AI401,Kredit!$O$8:$O$1870,"&lt;=45")-COUNTIFS(Kredit!$M$8:$M$1870,5,Kredit!$L$8:$L$1870,AI401,Kredit!$O$8:$O$1870,"&lt;36")</f>
        <v>27</v>
      </c>
      <c r="AJ405" s="23">
        <f>COUNTIFS(Kredit!$M$8:$M$1870,5,Kredit!$L$8:$L$1870,AJ401,Kredit!$O$8:$O$1870,"&lt;=45")-COUNTIFS(Kredit!$M$8:$M$1870,5,Kredit!$L$8:$L$1870,AJ401,Kredit!$O$8:$O$1870,"&lt;36")</f>
        <v>0</v>
      </c>
      <c r="AK405" s="23">
        <f>COUNTIFS(Kredit!$M$8:$M$1870,5,Kredit!$L$8:$L$1870,AK401,Kredit!$O$8:$O$1870,"&lt;=45")-COUNTIFS(Kredit!$M$8:$M$1870,5,Kredit!$L$8:$L$1870,AK401,Kredit!$O$8:$O$1870,"&lt;36")</f>
        <v>0</v>
      </c>
      <c r="AL405" s="203">
        <f>COUNTIFS(Kredit!$M$8:$M$1870,5,Kredit!$L$8:$L$1870,AL401,Kredit!$O$8:$O$1870,"&lt;=45")-COUNTIFS(Kredit!$M$8:$M$1870,5,Kredit!$L$8:$L$1870,AL401,Kredit!$O$8:$O$1870,"&lt;36")</f>
        <v>1</v>
      </c>
      <c r="AM405" s="202">
        <f>COUNTIFS(Kredit!$M$8:$M$1871,6,Kredit!$O$7:$O$1870,"&lt;=45")-COUNTIFS(Kredit!$M$8:$M$1871,6,Kredit!$O$7:$O$1870,"&lt;36")</f>
        <v>39</v>
      </c>
      <c r="AN405" s="23">
        <f>COUNTIFS(Kredit!$M$8:$M$1870,6,Kredit!$L$8:$L$1870,AN401,Kredit!$O$8:$O$1870,"&lt;=45")-COUNTIFS(Kredit!$M$8:$M$1870,6,Kredit!$L$8:$L$1870,AN401,Kredit!$O$8:$O$1870,"&lt;36")</f>
        <v>30</v>
      </c>
      <c r="AO405" s="23">
        <f>COUNTIFS(Kredit!$M$8:$M$1870,6,Kredit!$L$8:$L$1870,AO401,Kredit!$O$8:$O$1870,"&lt;=45")-COUNTIFS(Kredit!$M$8:$M$1870,6,Kredit!$L$8:$L$1870,AO401,Kredit!$O$8:$O$1870,"&lt;36")</f>
        <v>3</v>
      </c>
      <c r="AP405" s="23">
        <f>COUNTIFS(Kredit!$M$8:$M$1870,6,Kredit!$L$8:$L$1870,AP401,Kredit!$O$8:$O$1870,"&lt;=45")-COUNTIFS(Kredit!$M$8:$M$1870,6,Kredit!$L$8:$L$1870,AP401,Kredit!$O$8:$O$1870,"&lt;36")</f>
        <v>4</v>
      </c>
      <c r="AQ405" s="203">
        <f>COUNTIFS(Kredit!$M$8:$M$1870,6,Kredit!$L$8:$L$1870,AQ401,Kredit!$O$8:$O$1870,"&lt;=45")-COUNTIFS(Kredit!$M$8:$M$1870,6,Kredit!$L$8:$L$1870,AQ401,Kredit!$O$8:$O$1870,"&lt;36")</f>
        <v>2</v>
      </c>
    </row>
    <row r="406" spans="1:43" x14ac:dyDescent="0.3">
      <c r="B406" s="3" t="s">
        <v>18802</v>
      </c>
      <c r="C406" s="56">
        <f>COUNTIF(Kredit!$O$7:$O$1870,"&lt;=60")-COUNTIF(Kredit!$O$7:$O$1870,"&lt;46")</f>
        <v>770</v>
      </c>
      <c r="D406" s="89">
        <f>COUNTIFS(Kredit!$L$8:$L$1870,D401,Kredit!$O$8:$O$1870,"&lt;=60")-COUNTIFS(Kredit!$L$8:$L$1870,D401,Kredit!$O$8:$O$1870,"&lt;46")</f>
        <v>690</v>
      </c>
      <c r="E406" s="89">
        <f>COUNTIFS(Kredit!$L$8:$L$1870,E401,Kredit!$O$8:$O$1870,"&lt;=60")-COUNTIFS(Kredit!$L$8:$L$1870,E401,Kredit!$O$8:$O$1870,"&lt;46")</f>
        <v>11</v>
      </c>
      <c r="F406" s="89">
        <f>COUNTIFS(Kredit!$L$8:$L$1870,F401,Kredit!$O$8:$O$1870,"&lt;=60")-COUNTIFS(Kredit!$L$8:$L$1870,F401,Kredit!$O$8:$O$1870,"&lt;46")</f>
        <v>14</v>
      </c>
      <c r="G406" s="265">
        <f>COUNTIFS(Kredit!$L$8:$L$1870,G401,Kredit!$O$8:$O$1870,"&lt;=60")-COUNTIFS(Kredit!$L$8:$L$1870,G401,Kredit!$O$8:$O$1870,"&lt;46")</f>
        <v>55</v>
      </c>
      <c r="H406" s="141"/>
      <c r="M406" s="246" t="s">
        <v>18802</v>
      </c>
      <c r="N406" s="264">
        <f>COUNTIFS(Kredit!$M$8:$M$1871,1,Kredit!$O$7:$O$1870,"&lt;=60")-COUNTIFS(Kredit!$M$8:$M$1871,1,Kredit!$O$7:$O$1870,"&lt;46")</f>
        <v>287</v>
      </c>
      <c r="O406" s="23">
        <f>COUNTIFS(Kredit!$M$8:$M$1870,1,Kredit!$L$8:$L$1870,O401,Kredit!$O$8:$O$1870,"&lt;=60")-COUNTIFS(Kredit!$M$8:$M$1870,1,Kredit!$L$8:$L$1870,O401,Kredit!$O$8:$O$1870,"&lt;46")</f>
        <v>272</v>
      </c>
      <c r="P406" s="23">
        <f>COUNTIFS(Kredit!$M$8:$M$1870,1,Kredit!$L$8:$L$1870,P401,Kredit!$O$8:$O$1870,"&lt;=60")-COUNTIFS(Kredit!$M$8:$M$1870,1,Kredit!$L$8:$L$1870,P401,Kredit!$O$8:$O$1870,"&lt;46")</f>
        <v>1</v>
      </c>
      <c r="Q406" s="23">
        <f>COUNTIFS(Kredit!$M$8:$M$1870,1,Kredit!$L$8:$L$1870,Q401,Kredit!$O$8:$O$1870,"&lt;=60")-COUNTIFS(Kredit!$M$8:$M$1870,1,Kredit!$L$8:$L$1870,Q401,Kredit!$O$8:$O$1870,"&lt;46")</f>
        <v>5</v>
      </c>
      <c r="R406" s="203">
        <f>COUNTIFS(Kredit!$M$8:$M$1870,1,Kredit!$L$8:$L$1870,R401,Kredit!$O$8:$O$1870,"&lt;=60")-COUNTIFS(Kredit!$M$8:$M$1870,1,Kredit!$L$8:$L$1870,R401,Kredit!$O$8:$O$1870,"&lt;46")</f>
        <v>9</v>
      </c>
      <c r="S406" s="264">
        <f>COUNTIFS(Kredit!$M$8:$M$1871,2,Kredit!$O$7:$O$1870,"&lt;=60")-COUNTIFS(Kredit!$M$8:$M$1871,2,Kredit!$O$7:$O$1870,"&lt;46")</f>
        <v>119</v>
      </c>
      <c r="T406" s="23">
        <f>COUNTIFS(Kredit!$M$8:$M$1870,2,Kredit!$L$8:$L$1870,T401,Kredit!$O$8:$O$1870,"&lt;=60")-COUNTIFS(Kredit!$M$8:$M$1870,2,Kredit!$L$8:$L$1870,T401,Kredit!$O$8:$O$1870,"&lt;46")</f>
        <v>97</v>
      </c>
      <c r="U406" s="23">
        <f>COUNTIFS(Kredit!$M$8:$M$1870,2,Kredit!$L$8:$L$1870,U401,Kredit!$O$8:$O$1870,"&lt;=60")-COUNTIFS(Kredit!$M$8:$M$1870,2,Kredit!$L$8:$L$1870,U401,Kredit!$O$8:$O$1870,"&lt;46")</f>
        <v>3</v>
      </c>
      <c r="V406" s="23">
        <f>COUNTIFS(Kredit!$M$8:$M$1870,2,Kredit!$L$8:$L$1870,V401,Kredit!$O$8:$O$1870,"&lt;=60")-COUNTIFS(Kredit!$M$8:$M$1870,2,Kredit!$L$8:$L$1870,V401,Kredit!$O$8:$O$1870,"&lt;46")</f>
        <v>1</v>
      </c>
      <c r="W406" s="203">
        <f>COUNTIFS(Kredit!$M$8:$M$1870,2,Kredit!$L$8:$L$1870,W401,Kredit!$O$8:$O$1870,"&lt;=60")-COUNTIFS(Kredit!$M$8:$M$1870,2,Kredit!$L$8:$L$1870,W401,Kredit!$O$8:$O$1870,"&lt;46")</f>
        <v>18</v>
      </c>
      <c r="X406" s="264">
        <f>COUNTIFS(Kredit!$M$8:$M$1871,3,Kredit!$O$7:$O$1870,"&lt;=60")-COUNTIFS(Kredit!$M$8:$M$1871,3,Kredit!$O$7:$O$1870,"&lt;46")</f>
        <v>135</v>
      </c>
      <c r="Y406" s="23">
        <f>COUNTIFS(Kredit!$M$8:$M$1870,3,Kredit!$L$8:$L$1870,Y401,Kredit!$O$8:$O$1870,"&lt;=60")-COUNTIFS(Kredit!$M$8:$M$1870,3,Kredit!$L$8:$L$1870,Y401,Kredit!$O$8:$O$1870,"&lt;46")</f>
        <v>120</v>
      </c>
      <c r="Z406" s="23">
        <f>COUNTIFS(Kredit!$M$8:$M$1870,3,Kredit!$L$8:$L$1870,Z401,Kredit!$O$8:$O$1870,"&lt;=60")-COUNTIFS(Kredit!$M$8:$M$1870,3,Kredit!$L$8:$L$1870,Z401,Kredit!$O$8:$O$1870,"&lt;46")</f>
        <v>5</v>
      </c>
      <c r="AA406" s="23">
        <f>COUNTIFS(Kredit!$M$8:$M$1870,3,Kredit!$L$8:$L$1870,AA401,Kredit!$O$8:$O$1870,"&lt;=60")-COUNTIFS(Kredit!$M$8:$M$1870,3,Kredit!$L$8:$L$1870,AA401,Kredit!$O$8:$O$1870,"&lt;46")</f>
        <v>3</v>
      </c>
      <c r="AB406" s="266">
        <f>COUNTIFS(Kredit!$M$8:$M$1870,3,Kredit!$L$8:$L$1870,AB401,Kredit!$O$8:$O$1870,"&lt;=60")-COUNTIFS(Kredit!$M$8:$M$1870,3,Kredit!$L$8:$L$1870,AB401,Kredit!$O$8:$O$1870,"&lt;46")</f>
        <v>7</v>
      </c>
      <c r="AC406" s="264">
        <f>COUNTIFS(Kredit!$M$8:$M$1871,4,Kredit!$O$7:$O$1870,"&lt;=60")-COUNTIFS(Kredit!$M$8:$M$1871,4,Kredit!$O$7:$O$1870,"&lt;46")</f>
        <v>91</v>
      </c>
      <c r="AD406" s="23">
        <f>COUNTIFS(Kredit!$M$8:$M$1870,4,Kredit!$L$8:$L$1870,AD401,Kredit!$O$8:$O$1870,"&lt;=60")-COUNTIFS(Kredit!$M$8:$M$1870,4,Kredit!$L$8:$L$1870,AD401,Kredit!$O$8:$O$1870,"&lt;46")</f>
        <v>83</v>
      </c>
      <c r="AE406" s="23">
        <f>COUNTIFS(Kredit!$M$8:$M$1870,4,Kredit!$L$8:$L$1870,AE401,Kredit!$O$8:$O$1870,"&lt;=60")-COUNTIFS(Kredit!$M$8:$M$1870,4,Kredit!$L$8:$L$1870,AE401,Kredit!$O$8:$O$1870,"&lt;46")</f>
        <v>1</v>
      </c>
      <c r="AF406" s="23">
        <f>COUNTIFS(Kredit!$M$8:$M$1870,4,Kredit!$L$8:$L$1870,AF401,Kredit!$O$8:$O$1870,"&lt;=60")-COUNTIFS(Kredit!$M$8:$M$1870,4,Kredit!$L$8:$L$1870,AF401,Kredit!$O$8:$O$1870,"&lt;46")</f>
        <v>1</v>
      </c>
      <c r="AG406" s="266">
        <f>COUNTIFS(Kredit!$M$8:$M$1870,4,Kredit!$L$8:$L$1870,AG401,Kredit!$O$8:$O$1870,"&lt;=60")-COUNTIFS(Kredit!$M$8:$M$1870,4,Kredit!$L$8:$L$1870,AG401,Kredit!$O$8:$O$1870,"&lt;46")</f>
        <v>7</v>
      </c>
      <c r="AH406" s="264">
        <f>COUNTIFS(Kredit!$M$8:$M$1871,5,Kredit!$O$7:$O$1870,"&lt;=60")-COUNTIFS(Kredit!$M$8:$M$1871,5,Kredit!$O$7:$O$1870,"&lt;46")</f>
        <v>59</v>
      </c>
      <c r="AI406" s="23">
        <f>COUNTIFS(Kredit!$M$8:$M$1870,5,Kredit!$L$8:$L$1870,AI401,Kredit!$O$8:$O$1870,"&lt;=60")-COUNTIFS(Kredit!$M$8:$M$1870,5,Kredit!$L$8:$L$1870,AI401,Kredit!$O$8:$O$1870,"&lt;46")</f>
        <v>55</v>
      </c>
      <c r="AJ406" s="23">
        <f>COUNTIFS(Kredit!$M$8:$M$1870,5,Kredit!$L$8:$L$1870,AJ401,Kredit!$O$8:$O$1870,"&lt;=60")-COUNTIFS(Kredit!$M$8:$M$1870,5,Kredit!$L$8:$L$1870,AJ401,Kredit!$O$8:$O$1870,"&lt;46")</f>
        <v>0</v>
      </c>
      <c r="AK406" s="23">
        <f>COUNTIFS(Kredit!$M$8:$M$1870,5,Kredit!$L$8:$L$1870,AK401,Kredit!$O$8:$O$1870,"&lt;=60")-COUNTIFS(Kredit!$M$8:$M$1870,5,Kredit!$L$8:$L$1870,AK401,Kredit!$O$8:$O$1870,"&lt;46")</f>
        <v>1</v>
      </c>
      <c r="AL406" s="266">
        <f>COUNTIFS(Kredit!$M$8:$M$1870,5,Kredit!$L$8:$L$1870,AL401,Kredit!$O$8:$O$1870,"&lt;=60")-COUNTIFS(Kredit!$M$8:$M$1870,5,Kredit!$L$8:$L$1870,AL401,Kredit!$O$8:$O$1870,"&lt;46")</f>
        <v>3</v>
      </c>
      <c r="AM406" s="264">
        <f>COUNTIFS(Kredit!$M$8:$M$1871,6,Kredit!$O$7:$O$1870,"&lt;=60")-COUNTIFS(Kredit!$M$8:$M$1871,6,Kredit!$O$7:$O$1870,"&lt;46")</f>
        <v>79</v>
      </c>
      <c r="AN406" s="23">
        <f>COUNTIFS(Kredit!$M$8:$M$1870,6,Kredit!$L$8:$L$1870,AN401,Kredit!$O$8:$O$1870,"&lt;=60")-COUNTIFS(Kredit!$M$8:$M$1870,6,Kredit!$L$8:$L$1870,AN401,Kredit!$O$8:$O$1870,"&lt;46")</f>
        <v>63</v>
      </c>
      <c r="AO406" s="23">
        <f>COUNTIFS(Kredit!$M$8:$M$1870,6,Kredit!$L$8:$L$1870,AO401,Kredit!$O$8:$O$1870,"&lt;=60")-COUNTIFS(Kredit!$M$8:$M$1870,6,Kredit!$L$8:$L$1870,AO401,Kredit!$O$8:$O$1870,"&lt;46")</f>
        <v>1</v>
      </c>
      <c r="AP406" s="23">
        <f>COUNTIFS(Kredit!$M$8:$M$1870,6,Kredit!$L$8:$L$1870,AP401,Kredit!$O$8:$O$1870,"&lt;=60")-COUNTIFS(Kredit!$M$8:$M$1870,6,Kredit!$L$8:$L$1870,AP401,Kredit!$O$8:$O$1870,"&lt;46")</f>
        <v>3</v>
      </c>
      <c r="AQ406" s="266">
        <f>COUNTIFS(Kredit!$M$8:$M$1870,6,Kredit!$L$8:$L$1870,AQ401,Kredit!$O$8:$O$1870,"&lt;=60")-COUNTIFS(Kredit!$M$8:$M$1870,6,Kredit!$L$8:$L$1870,AQ401,Kredit!$O$8:$O$1870,"&lt;46")</f>
        <v>11</v>
      </c>
    </row>
    <row r="407" spans="1:43" x14ac:dyDescent="0.3">
      <c r="B407" s="3" t="s">
        <v>12070</v>
      </c>
      <c r="C407" s="2">
        <f>COUNTIF(Kredit!$O$7:$O$1870,"&gt;60")</f>
        <v>188</v>
      </c>
      <c r="D407" s="2">
        <f>COUNTIFS(Kredit!$L$8:$L$1870,D401,Kredit!$O$8:$O$1870,"&gt;60")</f>
        <v>175</v>
      </c>
      <c r="E407" s="2">
        <f>COUNTIFS(Kredit!$L$8:$L$1870,E401,Kredit!$O$8:$O$1870,"&gt;60")</f>
        <v>3</v>
      </c>
      <c r="F407" s="2">
        <f>COUNTIFS(Kredit!$L$8:$L$1870,F401,Kredit!$O$8:$O$1870,"&gt;60")</f>
        <v>2</v>
      </c>
      <c r="G407" s="2">
        <f>COUNTIFS(Kredit!$L$8:$L$1870,G401,Kredit!$O$8:$O$1870,"&gt;60")</f>
        <v>8</v>
      </c>
      <c r="M407" s="246" t="s">
        <v>12070</v>
      </c>
      <c r="N407" s="202">
        <f>COUNTIFS(Kredit!$M$8:$M$1871,1,Kredit!$O$7:$O$1870,"&gt;60")</f>
        <v>76</v>
      </c>
      <c r="O407" s="23">
        <f>COUNTIFS(Kredit!$M$8:$M$1870,1,Kredit!$L$8:$L$1870,O401,Kredit!$O$8:$O$1870,"&gt;60")</f>
        <v>75</v>
      </c>
      <c r="P407" s="23">
        <f>COUNTIFS(Kredit!$M$8:$M$1870,1,Kredit!$L$8:$L$1870,P401,Kredit!$O$8:$O$1870,"&gt;60")</f>
        <v>0</v>
      </c>
      <c r="Q407" s="23">
        <f>COUNTIFS(Kredit!$M$8:$M$1870,1,Kredit!$L$8:$L$1870,Q401,Kredit!$O$8:$O$1870,"&gt;60")</f>
        <v>1</v>
      </c>
      <c r="R407" s="203">
        <f>COUNTIFS(Kredit!$M$8:$M$1870,1,Kredit!$L$8:$L$1870,R401,Kredit!$O$8:$O$1870,"&gt;60")</f>
        <v>0</v>
      </c>
      <c r="S407" s="202">
        <f>COUNTIFS(Kredit!$M$8:$M$1871,2,Kredit!$O$7:$O$1870,"&gt;60")</f>
        <v>35</v>
      </c>
      <c r="T407" s="23">
        <f>COUNTIFS(Kredit!$M$8:$M$1870,2,Kredit!$L$8:$L$1870,T401,Kredit!$O$8:$O$1870,"&gt;60")</f>
        <v>31</v>
      </c>
      <c r="U407" s="23">
        <f>COUNTIFS(Kredit!$M$8:$M$1870,2,Kredit!$L$8:$L$1870,U401,Kredit!$O$8:$O$1870,"&gt;60")</f>
        <v>0</v>
      </c>
      <c r="V407" s="23">
        <f>COUNTIFS(Kredit!$M$8:$M$1870,2,Kredit!$L$8:$L$1870,V401,Kredit!$O$8:$O$1870,"&gt;60")</f>
        <v>0</v>
      </c>
      <c r="W407" s="203">
        <f>COUNTIFS(Kredit!$M$8:$M$1870,2,Kredit!$L$8:$L$1870,W401,Kredit!$O$8:$O$1870,"&gt;60")</f>
        <v>4</v>
      </c>
      <c r="X407" s="202">
        <f>COUNTIFS(Kredit!$M$8:$M$1871,3,Kredit!$O$7:$O$1870,"&gt;60")</f>
        <v>32</v>
      </c>
      <c r="Y407" s="23">
        <f>COUNTIFS(Kredit!$M$8:$M$1870,3,Kredit!$L$8:$L$1870,Y401,Kredit!$O$8:$O$1870,"&gt;60")</f>
        <v>28</v>
      </c>
      <c r="Z407" s="23">
        <f>COUNTIFS(Kredit!$M$8:$M$1870,3,Kredit!$L$8:$L$1870,Z401,Kredit!$O$8:$O$1870,"&gt;60")</f>
        <v>2</v>
      </c>
      <c r="AA407" s="23">
        <f>COUNTIFS(Kredit!$M$8:$M$1870,3,Kredit!$L$8:$L$1870,AA401,Kredit!$O$8:$O$1870,"&gt;60")</f>
        <v>0</v>
      </c>
      <c r="AB407" s="203">
        <f>COUNTIFS(Kredit!$M$8:$M$1870,3,Kredit!$L$8:$L$1870,AB401,Kredit!$O$8:$O$1870,"&gt;60")</f>
        <v>3</v>
      </c>
      <c r="AC407" s="202">
        <f>COUNTIFS(Kredit!$M$8:$M$1871,4,Kredit!$O$7:$O$1870,"&gt;60")</f>
        <v>19</v>
      </c>
      <c r="AD407" s="23">
        <f>COUNTIFS(Kredit!$M$8:$M$1870,4,Kredit!$L$8:$L$1870,AD401,Kredit!$O$8:$O$1870,"&gt;60")</f>
        <v>17</v>
      </c>
      <c r="AE407" s="23">
        <f>COUNTIFS(Kredit!$M$8:$M$1870,4,Kredit!$L$8:$L$1870,AE401,Kredit!$O$8:$O$1870,"&gt;60")</f>
        <v>0</v>
      </c>
      <c r="AF407" s="23">
        <f>COUNTIFS(Kredit!$M$8:$M$1870,4,Kredit!$L$8:$L$1870,AF401,Kredit!$O$8:$O$1870,"&gt;60")</f>
        <v>0</v>
      </c>
      <c r="AG407" s="203">
        <f>COUNTIFS(Kredit!$M$8:$M$1870,4,Kredit!$L$8:$L$1870,AG401,Kredit!$O$8:$O$1870,"&gt;60")</f>
        <v>1</v>
      </c>
      <c r="AH407" s="202">
        <f>COUNTIFS(Kredit!$M$8:$M$1871,5,Kredit!$O$7:$O$1870,"&gt;60")</f>
        <v>11</v>
      </c>
      <c r="AI407" s="23">
        <f>COUNTIFS(Kredit!$M$8:$M$1870,5,Kredit!$L$8:$L$1870,AI401,Kredit!$O$8:$O$1870,"&gt;60")</f>
        <v>11</v>
      </c>
      <c r="AJ407" s="23">
        <f>COUNTIFS(Kredit!$M$8:$M$1870,5,Kredit!$L$8:$L$1870,AJ401,Kredit!$O$8:$O$1870,"&gt;60")</f>
        <v>0</v>
      </c>
      <c r="AK407" s="23">
        <f>COUNTIFS(Kredit!$M$8:$M$1870,5,Kredit!$L$8:$L$1870,AK401,Kredit!$O$8:$O$1870,"&gt;60")</f>
        <v>0</v>
      </c>
      <c r="AL407" s="203">
        <f>COUNTIFS(Kredit!$M$8:$M$1870,5,Kredit!$L$8:$L$1870,AL401,Kredit!$O$8:$O$1870,"&gt;60")</f>
        <v>0</v>
      </c>
      <c r="AM407" s="202">
        <f>COUNTIFS(Kredit!$M$8:$M$1871,6,Kredit!$O$7:$O$1870,"&gt;60")</f>
        <v>15</v>
      </c>
      <c r="AN407" s="23">
        <f>COUNTIFS(Kredit!$M$8:$M$1870,6,Kredit!$L$8:$L$1870,AN401,Kredit!$O$8:$O$1870,"&gt;60")</f>
        <v>13</v>
      </c>
      <c r="AO407" s="23">
        <f>COUNTIFS(Kredit!$M$8:$M$1870,6,Kredit!$L$8:$L$1870,AO401,Kredit!$O$8:$O$1870,"&gt;60")</f>
        <v>1</v>
      </c>
      <c r="AP407" s="23">
        <f>COUNTIFS(Kredit!$M$8:$M$1870,6,Kredit!$L$8:$L$1870,AP401,Kredit!$O$8:$O$1870,"&gt;60")</f>
        <v>1</v>
      </c>
      <c r="AQ407" s="203">
        <f>COUNTIFS(Kredit!$M$8:$M$1870,6,Kredit!$L$8:$L$1870,AQ401,Kredit!$O$8:$O$1870,"&gt;60")</f>
        <v>0</v>
      </c>
    </row>
    <row r="408" spans="1:43" ht="15" thickBot="1" x14ac:dyDescent="0.35">
      <c r="B408" s="95" t="s">
        <v>12078</v>
      </c>
      <c r="C408" s="75">
        <f>SUM(C403:C407)</f>
        <v>1861</v>
      </c>
      <c r="D408" s="75">
        <f t="shared" ref="D408:G408" si="43">SUM(D403:D407)</f>
        <v>1676</v>
      </c>
      <c r="E408" s="75">
        <f t="shared" si="43"/>
        <v>35</v>
      </c>
      <c r="F408" s="75">
        <f t="shared" si="43"/>
        <v>35</v>
      </c>
      <c r="G408" s="75">
        <f t="shared" si="43"/>
        <v>115</v>
      </c>
      <c r="M408" s="247" t="s">
        <v>12078</v>
      </c>
      <c r="N408" s="209">
        <f>SUM(N403:N407)</f>
        <v>725</v>
      </c>
      <c r="O408" s="210">
        <f t="shared" ref="O408" si="44">SUM(O403:O407)</f>
        <v>680</v>
      </c>
      <c r="P408" s="210">
        <f t="shared" ref="P408" si="45">SUM(P403:P407)</f>
        <v>10</v>
      </c>
      <c r="Q408" s="210">
        <f t="shared" ref="Q408" si="46">SUM(Q403:Q407)</f>
        <v>12</v>
      </c>
      <c r="R408" s="211">
        <f t="shared" ref="R408" si="47">SUM(R403:R407)</f>
        <v>23</v>
      </c>
      <c r="S408" s="204">
        <f>SUM(S403:S407)</f>
        <v>325</v>
      </c>
      <c r="T408" s="205">
        <f t="shared" ref="T408" si="48">SUM(T403:T407)</f>
        <v>274</v>
      </c>
      <c r="U408" s="205">
        <f t="shared" ref="U408" si="49">SUM(U403:U407)</f>
        <v>6</v>
      </c>
      <c r="V408" s="205">
        <f t="shared" ref="V408" si="50">SUM(V403:V407)</f>
        <v>3</v>
      </c>
      <c r="W408" s="206">
        <f t="shared" ref="W408" si="51">SUM(W403:W407)</f>
        <v>43</v>
      </c>
      <c r="X408" s="214">
        <f>SUM(X403:X407)</f>
        <v>287</v>
      </c>
      <c r="Y408" s="215">
        <f t="shared" ref="Y408" si="52">SUM(Y403:Y407)</f>
        <v>255</v>
      </c>
      <c r="Z408" s="215">
        <f t="shared" ref="Z408" si="53">SUM(Z403:Z407)</f>
        <v>10</v>
      </c>
      <c r="AA408" s="215">
        <f t="shared" ref="AA408" si="54">SUM(AA403:AA407)</f>
        <v>6</v>
      </c>
      <c r="AB408" s="216">
        <f t="shared" ref="AB408" si="55">SUM(AB403:AB407)</f>
        <v>16</v>
      </c>
      <c r="AC408" s="252">
        <f>SUM(AC403:AC407)</f>
        <v>256</v>
      </c>
      <c r="AD408" s="253">
        <f t="shared" ref="AD408" si="56">SUM(AD403:AD407)</f>
        <v>234</v>
      </c>
      <c r="AE408" s="253">
        <f t="shared" ref="AE408" si="57">SUM(AE403:AE407)</f>
        <v>3</v>
      </c>
      <c r="AF408" s="253">
        <f t="shared" ref="AF408" si="58">SUM(AF403:AF407)</f>
        <v>5</v>
      </c>
      <c r="AG408" s="254">
        <f t="shared" ref="AG408" si="59">SUM(AG403:AG407)</f>
        <v>14</v>
      </c>
      <c r="AH408" s="256">
        <f>SUM(AH403:AH407)</f>
        <v>113</v>
      </c>
      <c r="AI408" s="257">
        <f t="shared" ref="AI408" si="60">SUM(AI403:AI407)</f>
        <v>107</v>
      </c>
      <c r="AJ408" s="257">
        <f t="shared" ref="AJ408" si="61">SUM(AJ403:AJ407)</f>
        <v>0</v>
      </c>
      <c r="AK408" s="257">
        <f t="shared" ref="AK408" si="62">SUM(AK403:AK407)</f>
        <v>1</v>
      </c>
      <c r="AL408" s="258">
        <f t="shared" ref="AL408" si="63">SUM(AL403:AL407)</f>
        <v>5</v>
      </c>
      <c r="AM408" s="204">
        <f>SUM(AM403:AM407)</f>
        <v>154</v>
      </c>
      <c r="AN408" s="205">
        <f t="shared" ref="AN408" si="64">SUM(AN403:AN407)</f>
        <v>126</v>
      </c>
      <c r="AO408" s="205">
        <f t="shared" ref="AO408" si="65">SUM(AO403:AO407)</f>
        <v>6</v>
      </c>
      <c r="AP408" s="205">
        <f t="shared" ref="AP408" si="66">SUM(AP403:AP407)</f>
        <v>8</v>
      </c>
      <c r="AQ408" s="206">
        <f t="shared" ref="AQ408" si="67">SUM(AQ403:AQ407)</f>
        <v>14</v>
      </c>
    </row>
    <row r="410" spans="1:43" ht="15" thickBot="1" x14ac:dyDescent="0.35">
      <c r="A410" s="58">
        <v>12</v>
      </c>
      <c r="B410" s="64" t="s">
        <v>24223</v>
      </c>
      <c r="M410" s="64" t="s">
        <v>24223</v>
      </c>
    </row>
    <row r="411" spans="1:43" x14ac:dyDescent="0.3">
      <c r="N411" s="299" t="s">
        <v>10</v>
      </c>
      <c r="O411" s="300"/>
      <c r="P411" s="300"/>
      <c r="Q411" s="300"/>
      <c r="R411" s="301"/>
      <c r="S411" s="291" t="s">
        <v>448</v>
      </c>
      <c r="T411" s="292"/>
      <c r="U411" s="292"/>
      <c r="V411" s="292"/>
      <c r="W411" s="293"/>
      <c r="X411" s="302" t="s">
        <v>568</v>
      </c>
      <c r="Y411" s="303"/>
      <c r="Z411" s="303"/>
      <c r="AA411" s="303"/>
      <c r="AB411" s="304"/>
      <c r="AC411" s="305" t="s">
        <v>1783</v>
      </c>
      <c r="AD411" s="306"/>
      <c r="AE411" s="306"/>
      <c r="AF411" s="306"/>
      <c r="AG411" s="307"/>
      <c r="AH411" s="286" t="s">
        <v>626</v>
      </c>
      <c r="AI411" s="287"/>
      <c r="AJ411" s="287"/>
      <c r="AK411" s="287"/>
      <c r="AL411" s="288"/>
      <c r="AM411" s="291" t="s">
        <v>195</v>
      </c>
      <c r="AN411" s="292"/>
      <c r="AO411" s="292"/>
      <c r="AP411" s="292"/>
      <c r="AQ411" s="293"/>
    </row>
    <row r="412" spans="1:43" ht="30" customHeight="1" x14ac:dyDescent="0.3">
      <c r="B412" s="322" t="s">
        <v>9792</v>
      </c>
      <c r="C412" s="322" t="s">
        <v>12096</v>
      </c>
      <c r="D412" s="83" t="s">
        <v>12058</v>
      </c>
      <c r="E412" s="83" t="s">
        <v>12059</v>
      </c>
      <c r="F412" s="83" t="s">
        <v>12060</v>
      </c>
      <c r="G412" s="83" t="s">
        <v>12061</v>
      </c>
      <c r="M412" s="296" t="s">
        <v>9792</v>
      </c>
      <c r="N412" s="297" t="s">
        <v>12096</v>
      </c>
      <c r="O412" s="238" t="s">
        <v>12058</v>
      </c>
      <c r="P412" s="239" t="s">
        <v>12059</v>
      </c>
      <c r="Q412" s="238" t="s">
        <v>12060</v>
      </c>
      <c r="R412" s="248" t="s">
        <v>12061</v>
      </c>
      <c r="S412" s="294" t="s">
        <v>12096</v>
      </c>
      <c r="T412" s="236" t="s">
        <v>12058</v>
      </c>
      <c r="U412" s="237" t="s">
        <v>12059</v>
      </c>
      <c r="V412" s="236" t="s">
        <v>12060</v>
      </c>
      <c r="W412" s="249" t="s">
        <v>12061</v>
      </c>
      <c r="X412" s="308" t="s">
        <v>12096</v>
      </c>
      <c r="Y412" s="240" t="s">
        <v>12058</v>
      </c>
      <c r="Z412" s="241" t="s">
        <v>12059</v>
      </c>
      <c r="AA412" s="240" t="s">
        <v>12060</v>
      </c>
      <c r="AB412" s="250" t="s">
        <v>12061</v>
      </c>
      <c r="AC412" s="310" t="s">
        <v>12096</v>
      </c>
      <c r="AD412" s="242" t="s">
        <v>12058</v>
      </c>
      <c r="AE412" s="243" t="s">
        <v>12059</v>
      </c>
      <c r="AF412" s="242" t="s">
        <v>12060</v>
      </c>
      <c r="AG412" s="251" t="s">
        <v>12061</v>
      </c>
      <c r="AH412" s="289" t="s">
        <v>12096</v>
      </c>
      <c r="AI412" s="244" t="s">
        <v>12058</v>
      </c>
      <c r="AJ412" s="245" t="s">
        <v>12059</v>
      </c>
      <c r="AK412" s="244" t="s">
        <v>12060</v>
      </c>
      <c r="AL412" s="255" t="s">
        <v>12061</v>
      </c>
      <c r="AM412" s="294" t="s">
        <v>12096</v>
      </c>
      <c r="AN412" s="236" t="s">
        <v>12058</v>
      </c>
      <c r="AO412" s="237" t="s">
        <v>12059</v>
      </c>
      <c r="AP412" s="236" t="s">
        <v>12060</v>
      </c>
      <c r="AQ412" s="249" t="s">
        <v>12061</v>
      </c>
    </row>
    <row r="413" spans="1:43" x14ac:dyDescent="0.3">
      <c r="B413" s="322"/>
      <c r="C413" s="322"/>
      <c r="D413" s="83" t="s">
        <v>12066</v>
      </c>
      <c r="E413" s="83" t="s">
        <v>12063</v>
      </c>
      <c r="F413" s="83" t="s">
        <v>12064</v>
      </c>
      <c r="G413" s="83" t="s">
        <v>12097</v>
      </c>
      <c r="M413" s="296"/>
      <c r="N413" s="298"/>
      <c r="O413" s="238" t="s">
        <v>12066</v>
      </c>
      <c r="P413" s="238" t="s">
        <v>12063</v>
      </c>
      <c r="Q413" s="238" t="s">
        <v>12064</v>
      </c>
      <c r="R413" s="248" t="s">
        <v>12097</v>
      </c>
      <c r="S413" s="295"/>
      <c r="T413" s="236" t="s">
        <v>12066</v>
      </c>
      <c r="U413" s="236" t="s">
        <v>12063</v>
      </c>
      <c r="V413" s="236" t="s">
        <v>12064</v>
      </c>
      <c r="W413" s="249" t="s">
        <v>12097</v>
      </c>
      <c r="X413" s="309"/>
      <c r="Y413" s="240" t="s">
        <v>12066</v>
      </c>
      <c r="Z413" s="240" t="s">
        <v>12063</v>
      </c>
      <c r="AA413" s="240" t="s">
        <v>12064</v>
      </c>
      <c r="AB413" s="250" t="s">
        <v>12097</v>
      </c>
      <c r="AC413" s="311"/>
      <c r="AD413" s="242" t="s">
        <v>12066</v>
      </c>
      <c r="AE413" s="242" t="s">
        <v>12063</v>
      </c>
      <c r="AF413" s="242" t="s">
        <v>12064</v>
      </c>
      <c r="AG413" s="251" t="s">
        <v>12097</v>
      </c>
      <c r="AH413" s="290"/>
      <c r="AI413" s="244" t="s">
        <v>12066</v>
      </c>
      <c r="AJ413" s="244" t="s">
        <v>12063</v>
      </c>
      <c r="AK413" s="244" t="s">
        <v>12064</v>
      </c>
      <c r="AL413" s="255" t="s">
        <v>12097</v>
      </c>
      <c r="AM413" s="295"/>
      <c r="AN413" s="236" t="s">
        <v>12066</v>
      </c>
      <c r="AO413" s="236" t="s">
        <v>12063</v>
      </c>
      <c r="AP413" s="236" t="s">
        <v>12064</v>
      </c>
      <c r="AQ413" s="249" t="s">
        <v>12097</v>
      </c>
    </row>
    <row r="414" spans="1:43" x14ac:dyDescent="0.3">
      <c r="B414" s="67" t="s">
        <v>46</v>
      </c>
      <c r="C414" s="2">
        <f>COUNTIF(Kredit!$P$7:$P$1870,B414)</f>
        <v>594</v>
      </c>
      <c r="D414" s="2">
        <f>COUNTIFS(Kredit!$P$8:$P$1870,$B414,Kredit!$L$8:$L$1870,D$412)</f>
        <v>506</v>
      </c>
      <c r="E414" s="2">
        <f>COUNTIFS(Kredit!$P$8:$P$1870,$B414,Kredit!$L$8:$L$1870,E$412)</f>
        <v>17</v>
      </c>
      <c r="F414" s="2">
        <f>COUNTIFS(Kredit!$P$8:$P$1870,$B414,Kredit!$L$8:$L$1870,F$412)</f>
        <v>19</v>
      </c>
      <c r="G414" s="2">
        <f>COUNTIFS(Kredit!$P$8:$P$1870,$B414,Kredit!$L$8:$L$1870,G$412)</f>
        <v>52</v>
      </c>
      <c r="H414" s="141">
        <f>SUM(E414:G414)/C414</f>
        <v>0.14814814814814814</v>
      </c>
      <c r="M414" s="226" t="s">
        <v>46</v>
      </c>
      <c r="N414" s="259">
        <f>COUNTIFS(Kredit!$M$8:$M$1871,1,Kredit!$P$7:$P$1870,$M414)</f>
        <v>177</v>
      </c>
      <c r="O414" s="2">
        <f>COUNTIFS(Kredit!$M$8:$M$1870,1,Kredit!$P$8:$P$1870,$M414,Kredit!$L$8:$L$1870,O$412)</f>
        <v>161</v>
      </c>
      <c r="P414" s="2">
        <f>COUNTIFS(Kredit!$M$8:$M$1870,1,Kredit!$P$8:$P$1870,$M414,Kredit!$L$8:$L$1870,P$412)</f>
        <v>2</v>
      </c>
      <c r="Q414" s="2">
        <f>COUNTIFS(Kredit!$M$8:$M$1870,1,Kredit!$P$8:$P$1870,$M414,Kredit!$L$8:$L$1870,Q$412)</f>
        <v>6</v>
      </c>
      <c r="R414" s="187">
        <f>COUNTIFS(Kredit!$M$8:$M$1870,1,Kredit!$P$8:$P$1870,$M414,Kredit!$L$8:$L$1870,R$412)</f>
        <v>8</v>
      </c>
      <c r="S414" s="267">
        <f>COUNTIFS(Kredit!$M$7:$M$1870,2,Kredit!$P$7:$P$1870,$M414)</f>
        <v>98</v>
      </c>
      <c r="T414" s="2">
        <f>COUNTIFS(Kredit!$M$8:$M$1870,2,Kredit!$P$8:$P$1870,$M414,Kredit!$L$8:$L$1870,T$412)</f>
        <v>81</v>
      </c>
      <c r="U414" s="2">
        <f>COUNTIFS(Kredit!$M$8:$M$1870,2,Kredit!$P$8:$P$1870,$M414,Kredit!$L$8:$L$1870,U$412)</f>
        <v>3</v>
      </c>
      <c r="V414" s="2">
        <f>COUNTIFS(Kredit!$M$8:$M$1870,2,Kredit!$P$8:$P$1870,$M414,Kredit!$L$8:$L$1870,V$412)</f>
        <v>0</v>
      </c>
      <c r="W414" s="187">
        <f>COUNTIFS(Kredit!$M$8:$M$1870,2,Kredit!$P$8:$P$1870,$M414,Kredit!$L$8:$L$1870,W$412)</f>
        <v>14</v>
      </c>
      <c r="X414" s="267">
        <f>COUNTIFS(Kredit!$M$8:$M$1871,3,Kredit!$P$7:$P$1870,$M414)</f>
        <v>119</v>
      </c>
      <c r="Y414" s="2">
        <f>COUNTIFS(Kredit!$M$8:$M$1870,3,Kredit!$P$8:$P$1870,$M414,Kredit!$L$8:$L$1870,Y$412)</f>
        <v>102</v>
      </c>
      <c r="Z414" s="2">
        <f>COUNTIFS(Kredit!$M$8:$M$1870,3,Kredit!$P$8:$P$1870,$M414,Kredit!$L$8:$L$1870,Z$412)</f>
        <v>5</v>
      </c>
      <c r="AA414" s="2">
        <f>COUNTIFS(Kredit!$M$8:$M$1870,3,Kredit!$P$8:$P$1870,$M414,Kredit!$L$8:$L$1870,AA$412)</f>
        <v>5</v>
      </c>
      <c r="AB414" s="187">
        <f>COUNTIFS(Kredit!$M$8:$M$1870,3,Kredit!$P$8:$P$1870,$M414,Kredit!$L$8:$L$1870,AB$412)</f>
        <v>7</v>
      </c>
      <c r="AC414" s="267">
        <f>COUNTIFS(Kredit!$M$7:$M$1870,4,Kredit!$P$7:$P$1870,$M414)</f>
        <v>102</v>
      </c>
      <c r="AD414" s="2">
        <f>COUNTIFS(Kredit!$M$8:$M$1870,4,Kredit!$P$8:$P$1870,$M414,Kredit!$L$8:$L$1870,AD$412)</f>
        <v>86</v>
      </c>
      <c r="AE414" s="2">
        <f>COUNTIFS(Kredit!$M$8:$M$1870,4,Kredit!$P$8:$P$1870,$M414,Kredit!$L$8:$L$1870,AE$412)</f>
        <v>2</v>
      </c>
      <c r="AF414" s="2">
        <f>COUNTIFS(Kredit!$M$8:$M$1870,4,Kredit!$P$8:$P$1870,$M414,Kredit!$L$8:$L$1870,AF$412)</f>
        <v>4</v>
      </c>
      <c r="AG414" s="187">
        <f>COUNTIFS(Kredit!$M$8:$M$1870,4,Kredit!$P$8:$P$1870,$M414,Kredit!$L$8:$L$1870,AG$412)</f>
        <v>10</v>
      </c>
      <c r="AH414" s="267">
        <f>COUNTIFS(Kredit!$M$7:$M$1870,5,Kredit!$P$7:$P$1870,$M414)</f>
        <v>44</v>
      </c>
      <c r="AI414" s="2">
        <f>COUNTIFS(Kredit!$M$8:$M$1870,5,Kredit!$P$8:$P$1870,$M414,Kredit!$L$8:$L$1870,AI$412)</f>
        <v>43</v>
      </c>
      <c r="AJ414" s="2">
        <f>COUNTIFS(Kredit!$M$8:$M$1870,5,Kredit!$P$8:$P$1870,$M414,Kredit!$L$8:$L$1870,AJ$412)</f>
        <v>0</v>
      </c>
      <c r="AK414" s="2">
        <f>COUNTIFS(Kredit!$M$8:$M$1870,5,Kredit!$P$8:$P$1870,$M414,Kredit!$L$8:$L$1870,AK$412)</f>
        <v>1</v>
      </c>
      <c r="AL414" s="187">
        <f>COUNTIFS(Kredit!$M$8:$M$1870,5,Kredit!$P$8:$P$1870,$M414,Kredit!$L$8:$L$1870,AL$412)</f>
        <v>0</v>
      </c>
      <c r="AM414" s="267">
        <f>COUNTIFS(Kredit!$M$7:$M$1870,6,Kredit!$P$7:$P$1870,$M414)</f>
        <v>54</v>
      </c>
      <c r="AN414" s="2">
        <f>COUNTIFS(Kredit!$M$8:$M$1870,6,Kredit!$P$8:$P$1870,$M414,Kredit!$L$8:$L$1870,AN$412)</f>
        <v>33</v>
      </c>
      <c r="AO414" s="2">
        <f>COUNTIFS(Kredit!$M$8:$M$1870,6,Kredit!$P$8:$P$1870,$M414,Kredit!$L$8:$L$1870,AO$412)</f>
        <v>5</v>
      </c>
      <c r="AP414" s="2">
        <f>COUNTIFS(Kredit!$M$8:$M$1870,6,Kredit!$P$8:$P$1870,$M414,Kredit!$L$8:$L$1870,AP$412)</f>
        <v>3</v>
      </c>
      <c r="AQ414" s="187">
        <f>COUNTIFS(Kredit!$M$8:$M$1870,6,Kredit!$P$8:$P$1870,$M414,Kredit!$L$8:$L$1870,AQ$412)</f>
        <v>13</v>
      </c>
    </row>
    <row r="415" spans="1:43" x14ac:dyDescent="0.3">
      <c r="B415" s="67" t="s">
        <v>9788</v>
      </c>
      <c r="C415" s="2">
        <f>COUNTIF(Kredit!$P$7:$P$1870,B415)</f>
        <v>546</v>
      </c>
      <c r="D415" s="2">
        <f>COUNTIFS(Kredit!$P$8:$P$1870,$B415,Kredit!$L$8:$L$1870,D$412)</f>
        <v>507</v>
      </c>
      <c r="E415" s="2">
        <f>COUNTIFS(Kredit!$P$8:$P$1870,$B415,Kredit!$L$8:$L$1870,E$412)</f>
        <v>8</v>
      </c>
      <c r="F415" s="2">
        <f>COUNTIFS(Kredit!$P$8:$P$1870,$B415,Kredit!$L$8:$L$1870,F$412)</f>
        <v>8</v>
      </c>
      <c r="G415" s="2">
        <f>COUNTIFS(Kredit!$P$8:$P$1870,$B415,Kredit!$L$8:$L$1870,G$412)</f>
        <v>23</v>
      </c>
      <c r="H415" s="141">
        <f t="shared" ref="H415:H420" si="68">SUM(E415:G415)/C415</f>
        <v>7.1428571428571425E-2</v>
      </c>
      <c r="M415" s="226" t="s">
        <v>9788</v>
      </c>
      <c r="N415" s="267">
        <f>COUNTIFS(Kredit!$M$8:$M$1871,1,Kredit!$P$7:$P$1870,$M415)</f>
        <v>237</v>
      </c>
      <c r="O415" s="2">
        <f>COUNTIFS(Kredit!$M$8:$M$1870,1,Kredit!$P$8:$P$1870,$M415,Kredit!$L$8:$L$1870,O$412)</f>
        <v>223</v>
      </c>
      <c r="P415" s="2">
        <f>COUNTIFS(Kredit!$M$8:$M$1870,1,Kredit!$P$8:$P$1870,$M415,Kredit!$L$8:$L$1870,P$412)</f>
        <v>3</v>
      </c>
      <c r="Q415" s="2">
        <f>COUNTIFS(Kredit!$M$8:$M$1870,1,Kredit!$P$8:$P$1870,$M415,Kredit!$L$8:$L$1870,Q$412)</f>
        <v>3</v>
      </c>
      <c r="R415" s="187">
        <f>COUNTIFS(Kredit!$M$8:$M$1870,1,Kredit!$P$8:$P$1870,$M415,Kredit!$L$8:$L$1870,R$412)</f>
        <v>8</v>
      </c>
      <c r="S415" s="259">
        <f>COUNTIFS(Kredit!$M$7:$M$1870,2,Kredit!$P$7:$P$1870,$M415)</f>
        <v>95</v>
      </c>
      <c r="T415" s="2">
        <f>COUNTIFS(Kredit!$M$8:$M$1870,2,Kredit!$P$8:$P$1870,$M415,Kredit!$L$8:$L$1870,T$412)</f>
        <v>79</v>
      </c>
      <c r="U415" s="2">
        <f>COUNTIFS(Kredit!$M$8:$M$1870,2,Kredit!$P$8:$P$1870,$M415,Kredit!$L$8:$L$1870,U$412)</f>
        <v>3</v>
      </c>
      <c r="V415" s="2">
        <f>COUNTIFS(Kredit!$M$8:$M$1870,2,Kredit!$P$8:$P$1870,$M415,Kredit!$L$8:$L$1870,V$412)</f>
        <v>2</v>
      </c>
      <c r="W415" s="187">
        <f>COUNTIFS(Kredit!$M$8:$M$1870,2,Kredit!$P$8:$P$1870,$M415,Kredit!$L$8:$L$1870,W$412)</f>
        <v>11</v>
      </c>
      <c r="X415" s="259">
        <f>COUNTIFS(Kredit!$M$8:$M$1871,3,Kredit!$P$7:$P$1870,$M415)</f>
        <v>64</v>
      </c>
      <c r="Y415" s="2">
        <f>COUNTIFS(Kredit!$M$8:$M$1870,3,Kredit!$P$8:$P$1870,$M415,Kredit!$L$8:$L$1870,Y$412)</f>
        <v>62</v>
      </c>
      <c r="Z415" s="2">
        <f>COUNTIFS(Kredit!$M$8:$M$1870,3,Kredit!$P$8:$P$1870,$M415,Kredit!$L$8:$L$1870,Z$412)</f>
        <v>1</v>
      </c>
      <c r="AA415" s="2">
        <f>COUNTIFS(Kredit!$M$8:$M$1870,3,Kredit!$P$8:$P$1870,$M415,Kredit!$L$8:$L$1870,AA$412)</f>
        <v>0</v>
      </c>
      <c r="AB415" s="187">
        <f>COUNTIFS(Kredit!$M$8:$M$1870,3,Kredit!$P$8:$P$1870,$M415,Kredit!$L$8:$L$1870,AB$412)</f>
        <v>1</v>
      </c>
      <c r="AC415" s="259">
        <f>COUNTIFS(Kredit!$M$7:$M$1870,4,Kredit!$P$7:$P$1870,$M415)</f>
        <v>75</v>
      </c>
      <c r="AD415" s="2">
        <f>COUNTIFS(Kredit!$M$8:$M$1870,4,Kredit!$P$8:$P$1870,$M415,Kredit!$L$8:$L$1870,AD$412)</f>
        <v>72</v>
      </c>
      <c r="AE415" s="2">
        <f>COUNTIFS(Kredit!$M$8:$M$1870,4,Kredit!$P$8:$P$1870,$M415,Kredit!$L$8:$L$1870,AE$412)</f>
        <v>1</v>
      </c>
      <c r="AF415" s="2">
        <f>COUNTIFS(Kredit!$M$8:$M$1870,4,Kredit!$P$8:$P$1870,$M415,Kredit!$L$8:$L$1870,AF$412)</f>
        <v>1</v>
      </c>
      <c r="AG415" s="187">
        <f>COUNTIFS(Kredit!$M$8:$M$1870,4,Kredit!$P$8:$P$1870,$M415,Kredit!$L$8:$L$1870,AG$412)</f>
        <v>1</v>
      </c>
      <c r="AH415" s="259">
        <f>COUNTIFS(Kredit!$M$7:$M$1870,5,Kredit!$P$7:$P$1870,$M415)</f>
        <v>28</v>
      </c>
      <c r="AI415" s="2">
        <f>COUNTIFS(Kredit!$M$8:$M$1870,5,Kredit!$P$8:$P$1870,$M415,Kredit!$L$8:$L$1870,AI$412)</f>
        <v>26</v>
      </c>
      <c r="AJ415" s="2">
        <f>COUNTIFS(Kredit!$M$8:$M$1870,5,Kredit!$P$8:$P$1870,$M415,Kredit!$L$8:$L$1870,AJ$412)</f>
        <v>0</v>
      </c>
      <c r="AK415" s="2">
        <f>COUNTIFS(Kredit!$M$8:$M$1870,5,Kredit!$P$8:$P$1870,$M415,Kredit!$L$8:$L$1870,AK$412)</f>
        <v>0</v>
      </c>
      <c r="AL415" s="187">
        <f>COUNTIFS(Kredit!$M$8:$M$1870,5,Kredit!$P$8:$P$1870,$M415,Kredit!$L$8:$L$1870,AL$412)</f>
        <v>2</v>
      </c>
      <c r="AM415" s="259">
        <f>COUNTIFS(Kredit!$M$7:$M$1870,6,Kredit!$P$7:$P$1870,$M415)</f>
        <v>47</v>
      </c>
      <c r="AN415" s="2">
        <f>COUNTIFS(Kredit!$M$8:$M$1870,6,Kredit!$P$8:$P$1870,$M415,Kredit!$L$8:$L$1870,AN$412)</f>
        <v>45</v>
      </c>
      <c r="AO415" s="2">
        <f>COUNTIFS(Kredit!$M$8:$M$1870,6,Kredit!$P$8:$P$1870,$M415,Kredit!$L$8:$L$1870,AO$412)</f>
        <v>0</v>
      </c>
      <c r="AP415" s="2">
        <f>COUNTIFS(Kredit!$M$8:$M$1870,6,Kredit!$P$8:$P$1870,$M415,Kredit!$L$8:$L$1870,AP$412)</f>
        <v>2</v>
      </c>
      <c r="AQ415" s="187">
        <f>COUNTIFS(Kredit!$M$8:$M$1870,6,Kredit!$P$8:$P$1870,$M415,Kredit!$L$8:$L$1870,AQ$412)</f>
        <v>0</v>
      </c>
    </row>
    <row r="416" spans="1:43" x14ac:dyDescent="0.3">
      <c r="B416" s="67" t="s">
        <v>9785</v>
      </c>
      <c r="C416" s="2">
        <f>COUNTIF(Kredit!$P$7:$P$1870,B416)</f>
        <v>176</v>
      </c>
      <c r="D416" s="2">
        <f>COUNTIFS(Kredit!$P$8:$P$1870,$B416,Kredit!$L$8:$L$1870,D$412)</f>
        <v>163</v>
      </c>
      <c r="E416" s="2">
        <f>COUNTIFS(Kredit!$P$8:$P$1870,$B416,Kredit!$L$8:$L$1870,E$412)</f>
        <v>2</v>
      </c>
      <c r="F416" s="2">
        <f>COUNTIFS(Kredit!$P$8:$P$1870,$B416,Kredit!$L$8:$L$1870,F$412)</f>
        <v>1</v>
      </c>
      <c r="G416" s="2">
        <f>COUNTIFS(Kredit!$P$8:$P$1870,$B416,Kredit!$L$8:$L$1870,G$412)</f>
        <v>10</v>
      </c>
      <c r="H416" s="141">
        <f t="shared" si="68"/>
        <v>7.3863636363636367E-2</v>
      </c>
      <c r="M416" s="226" t="s">
        <v>9785</v>
      </c>
      <c r="N416" s="259">
        <f>COUNTIFS(Kredit!$M$8:$M$1871,1,Kredit!$P$7:$P$1870,$M416)</f>
        <v>53</v>
      </c>
      <c r="O416" s="2">
        <f>COUNTIFS(Kredit!$M$8:$M$1870,1,Kredit!$P$8:$P$1870,$M416,Kredit!$L$8:$L$1870,O$412)</f>
        <v>49</v>
      </c>
      <c r="P416" s="2">
        <f>COUNTIFS(Kredit!$M$8:$M$1870,1,Kredit!$P$8:$P$1870,$M416,Kredit!$L$8:$L$1870,P$412)</f>
        <v>2</v>
      </c>
      <c r="Q416" s="2">
        <f>COUNTIFS(Kredit!$M$8:$M$1870,1,Kredit!$P$8:$P$1870,$M416,Kredit!$L$8:$L$1870,Q$412)</f>
        <v>0</v>
      </c>
      <c r="R416" s="187">
        <f>COUNTIFS(Kredit!$M$8:$M$1870,1,Kredit!$P$8:$P$1870,$M416,Kredit!$L$8:$L$1870,R$412)</f>
        <v>2</v>
      </c>
      <c r="S416" s="259">
        <f>COUNTIFS(Kredit!$M$7:$M$1870,2,Kredit!$P$7:$P$1870,$M416)</f>
        <v>37</v>
      </c>
      <c r="T416" s="2">
        <f>COUNTIFS(Kredit!$M$8:$M$1870,2,Kredit!$P$8:$P$1870,$M416,Kredit!$L$8:$L$1870,T$412)</f>
        <v>31</v>
      </c>
      <c r="U416" s="2">
        <f>COUNTIFS(Kredit!$M$8:$M$1870,2,Kredit!$P$8:$P$1870,$M416,Kredit!$L$8:$L$1870,U$412)</f>
        <v>0</v>
      </c>
      <c r="V416" s="2">
        <f>COUNTIFS(Kredit!$M$8:$M$1870,2,Kredit!$P$8:$P$1870,$M416,Kredit!$L$8:$L$1870,V$412)</f>
        <v>0</v>
      </c>
      <c r="W416" s="187">
        <f>COUNTIFS(Kredit!$M$8:$M$1870,2,Kredit!$P$8:$P$1870,$M416,Kredit!$L$8:$L$1870,W$412)</f>
        <v>6</v>
      </c>
      <c r="X416" s="259">
        <f>COUNTIFS(Kredit!$M$8:$M$1871,3,Kredit!$P$7:$P$1870,$M416)</f>
        <v>32</v>
      </c>
      <c r="Y416" s="2">
        <f>COUNTIFS(Kredit!$M$8:$M$1870,3,Kredit!$P$8:$P$1870,$M416,Kredit!$L$8:$L$1870,Y$412)</f>
        <v>31</v>
      </c>
      <c r="Z416" s="2">
        <f>COUNTIFS(Kredit!$M$8:$M$1870,3,Kredit!$P$8:$P$1870,$M416,Kredit!$L$8:$L$1870,Z$412)</f>
        <v>0</v>
      </c>
      <c r="AA416" s="2">
        <f>COUNTIFS(Kredit!$M$8:$M$1870,3,Kredit!$P$8:$P$1870,$M416,Kredit!$L$8:$L$1870,AA$412)</f>
        <v>0</v>
      </c>
      <c r="AB416" s="187">
        <f>COUNTIFS(Kredit!$M$8:$M$1870,3,Kredit!$P$8:$P$1870,$M416,Kredit!$L$8:$L$1870,AB$412)</f>
        <v>1</v>
      </c>
      <c r="AC416" s="259">
        <f>COUNTIFS(Kredit!$M$7:$M$1870,4,Kredit!$P$7:$P$1870,$M416)</f>
        <v>28</v>
      </c>
      <c r="AD416" s="2">
        <f>COUNTIFS(Kredit!$M$8:$M$1870,4,Kredit!$P$8:$P$1870,$M416,Kredit!$L$8:$L$1870,AD$412)</f>
        <v>27</v>
      </c>
      <c r="AE416" s="2">
        <f>COUNTIFS(Kredit!$M$8:$M$1870,4,Kredit!$P$8:$P$1870,$M416,Kredit!$L$8:$L$1870,AE$412)</f>
        <v>0</v>
      </c>
      <c r="AF416" s="2">
        <f>COUNTIFS(Kredit!$M$8:$M$1870,4,Kredit!$P$8:$P$1870,$M416,Kredit!$L$8:$L$1870,AF$412)</f>
        <v>0</v>
      </c>
      <c r="AG416" s="187">
        <f>COUNTIFS(Kredit!$M$8:$M$1870,4,Kredit!$P$8:$P$1870,$M416,Kredit!$L$8:$L$1870,AG$412)</f>
        <v>1</v>
      </c>
      <c r="AH416" s="259">
        <f>COUNTIFS(Kredit!$M$7:$M$1870,5,Kredit!$P$7:$P$1870,$M416)</f>
        <v>16</v>
      </c>
      <c r="AI416" s="2">
        <f>COUNTIFS(Kredit!$M$8:$M$1870,5,Kredit!$P$8:$P$1870,$M416,Kredit!$L$8:$L$1870,AI$412)</f>
        <v>16</v>
      </c>
      <c r="AJ416" s="2">
        <f>COUNTIFS(Kredit!$M$8:$M$1870,5,Kredit!$P$8:$P$1870,$M416,Kredit!$L$8:$L$1870,AJ$412)</f>
        <v>0</v>
      </c>
      <c r="AK416" s="2">
        <f>COUNTIFS(Kredit!$M$8:$M$1870,5,Kredit!$P$8:$P$1870,$M416,Kredit!$L$8:$L$1870,AK$412)</f>
        <v>0</v>
      </c>
      <c r="AL416" s="187">
        <f>COUNTIFS(Kredit!$M$8:$M$1870,5,Kredit!$P$8:$P$1870,$M416,Kredit!$L$8:$L$1870,AL$412)</f>
        <v>0</v>
      </c>
      <c r="AM416" s="259">
        <f>COUNTIFS(Kredit!$M$7:$M$1870,6,Kredit!$P$7:$P$1870,$M416)</f>
        <v>10</v>
      </c>
      <c r="AN416" s="2">
        <f>COUNTIFS(Kredit!$M$8:$M$1870,6,Kredit!$P$8:$P$1870,$M416,Kredit!$L$8:$L$1870,AN$412)</f>
        <v>9</v>
      </c>
      <c r="AO416" s="2">
        <f>COUNTIFS(Kredit!$M$8:$M$1870,6,Kredit!$P$8:$P$1870,$M416,Kredit!$L$8:$L$1870,AO$412)</f>
        <v>0</v>
      </c>
      <c r="AP416" s="2">
        <f>COUNTIFS(Kredit!$M$8:$M$1870,6,Kredit!$P$8:$P$1870,$M416,Kredit!$L$8:$L$1870,AP$412)</f>
        <v>1</v>
      </c>
      <c r="AQ416" s="187">
        <f>COUNTIFS(Kredit!$M$8:$M$1870,6,Kredit!$P$8:$P$1870,$M416,Kredit!$L$8:$L$1870,AQ$412)</f>
        <v>0</v>
      </c>
    </row>
    <row r="417" spans="1:43" x14ac:dyDescent="0.3">
      <c r="B417" s="67" t="s">
        <v>12099</v>
      </c>
      <c r="C417" s="2">
        <f>COUNTIF(Kredit!$P$7:$P$1870,B417)</f>
        <v>67</v>
      </c>
      <c r="D417" s="2">
        <f>COUNTIFS(Kredit!$P$8:$P$1870,$B417,Kredit!$L$8:$L$1870,D$412)</f>
        <v>61</v>
      </c>
      <c r="E417" s="2">
        <f>COUNTIFS(Kredit!$P$8:$P$1870,$B417,Kredit!$L$8:$L$1870,E$412)</f>
        <v>2</v>
      </c>
      <c r="F417" s="2">
        <f>COUNTIFS(Kredit!$P$8:$P$1870,$B417,Kredit!$L$8:$L$1870,F$412)</f>
        <v>2</v>
      </c>
      <c r="G417" s="2">
        <f>COUNTIFS(Kredit!$P$8:$P$1870,$B417,Kredit!$L$8:$L$1870,G$412)</f>
        <v>2</v>
      </c>
      <c r="H417" s="141">
        <f t="shared" si="68"/>
        <v>8.9552238805970144E-2</v>
      </c>
      <c r="M417" s="226" t="s">
        <v>12099</v>
      </c>
      <c r="N417" s="259">
        <f>COUNTIFS(Kredit!$M$8:$M$1871,1,Kredit!$P$7:$P$1870,$M417)</f>
        <v>36</v>
      </c>
      <c r="O417" s="2">
        <f>COUNTIFS(Kredit!$M$8:$M$1870,1,Kredit!$P$8:$P$1870,$M417,Kredit!$L$8:$L$1870,O$412)</f>
        <v>35</v>
      </c>
      <c r="P417" s="2">
        <f>COUNTIFS(Kredit!$M$8:$M$1870,1,Kredit!$P$8:$P$1870,$M417,Kredit!$L$8:$L$1870,P$412)</f>
        <v>0</v>
      </c>
      <c r="Q417" s="2">
        <f>COUNTIFS(Kredit!$M$8:$M$1870,1,Kredit!$P$8:$P$1870,$M417,Kredit!$L$8:$L$1870,Q$412)</f>
        <v>1</v>
      </c>
      <c r="R417" s="187">
        <f>COUNTIFS(Kredit!$M$8:$M$1870,1,Kredit!$P$8:$P$1870,$M417,Kredit!$L$8:$L$1870,R$412)</f>
        <v>0</v>
      </c>
      <c r="S417" s="259">
        <f>COUNTIFS(Kredit!$M$7:$M$1870,2,Kredit!$P$7:$P$1870,$M417)</f>
        <v>16</v>
      </c>
      <c r="T417" s="2">
        <f>COUNTIFS(Kredit!$M$8:$M$1870,2,Kredit!$P$8:$P$1870,$M417,Kredit!$L$8:$L$1870,T$412)</f>
        <v>13</v>
      </c>
      <c r="U417" s="2">
        <f>COUNTIFS(Kredit!$M$8:$M$1870,2,Kredit!$P$8:$P$1870,$M417,Kredit!$L$8:$L$1870,U$412)</f>
        <v>0</v>
      </c>
      <c r="V417" s="2">
        <f>COUNTIFS(Kredit!$M$8:$M$1870,2,Kredit!$P$8:$P$1870,$M417,Kredit!$L$8:$L$1870,V$412)</f>
        <v>1</v>
      </c>
      <c r="W417" s="187">
        <f>COUNTIFS(Kredit!$M$8:$M$1870,2,Kredit!$P$8:$P$1870,$M417,Kredit!$L$8:$L$1870,W$412)</f>
        <v>2</v>
      </c>
      <c r="X417" s="259">
        <f>COUNTIFS(Kredit!$M$8:$M$1871,3,Kredit!$P$7:$P$1870,$M417)</f>
        <v>4</v>
      </c>
      <c r="Y417" s="2">
        <f>COUNTIFS(Kredit!$M$8:$M$1870,3,Kredit!$P$8:$P$1870,$M417,Kredit!$L$8:$L$1870,Y$412)</f>
        <v>2</v>
      </c>
      <c r="Z417" s="2">
        <f>COUNTIFS(Kredit!$M$8:$M$1870,3,Kredit!$P$8:$P$1870,$M417,Kredit!$L$8:$L$1870,Z$412)</f>
        <v>2</v>
      </c>
      <c r="AA417" s="2">
        <f>COUNTIFS(Kredit!$M$8:$M$1870,3,Kredit!$P$8:$P$1870,$M417,Kredit!$L$8:$L$1870,AA$412)</f>
        <v>0</v>
      </c>
      <c r="AB417" s="187">
        <f>COUNTIFS(Kredit!$M$8:$M$1870,3,Kredit!$P$8:$P$1870,$M417,Kredit!$L$8:$L$1870,AB$412)</f>
        <v>0</v>
      </c>
      <c r="AC417" s="259">
        <f>COUNTIFS(Kredit!$M$7:$M$1870,4,Kredit!$P$7:$P$1870,$M417)</f>
        <v>6</v>
      </c>
      <c r="AD417" s="2">
        <f>COUNTIFS(Kredit!$M$8:$M$1870,4,Kredit!$P$8:$P$1870,$M417,Kredit!$L$8:$L$1870,AD$412)</f>
        <v>6</v>
      </c>
      <c r="AE417" s="2">
        <f>COUNTIFS(Kredit!$M$8:$M$1870,4,Kredit!$P$8:$P$1870,$M417,Kredit!$L$8:$L$1870,AE$412)</f>
        <v>0</v>
      </c>
      <c r="AF417" s="2">
        <f>COUNTIFS(Kredit!$M$8:$M$1870,4,Kredit!$P$8:$P$1870,$M417,Kredit!$L$8:$L$1870,AF$412)</f>
        <v>0</v>
      </c>
      <c r="AG417" s="187">
        <f>COUNTIFS(Kredit!$M$8:$M$1870,4,Kredit!$P$8:$P$1870,$M417,Kredit!$L$8:$L$1870,AG$412)</f>
        <v>0</v>
      </c>
      <c r="AH417" s="259">
        <f>COUNTIFS(Kredit!$M$7:$M$1870,5,Kredit!$P$7:$P$1870,$M417)</f>
        <v>3</v>
      </c>
      <c r="AI417" s="2">
        <f>COUNTIFS(Kredit!$M$8:$M$1870,5,Kredit!$P$8:$P$1870,$M417,Kredit!$L$8:$L$1870,AI$412)</f>
        <v>3</v>
      </c>
      <c r="AJ417" s="2">
        <f>COUNTIFS(Kredit!$M$8:$M$1870,5,Kredit!$P$8:$P$1870,$M417,Kredit!$L$8:$L$1870,AJ$412)</f>
        <v>0</v>
      </c>
      <c r="AK417" s="2">
        <f>COUNTIFS(Kredit!$M$8:$M$1870,5,Kredit!$P$8:$P$1870,$M417,Kredit!$L$8:$L$1870,AK$412)</f>
        <v>0</v>
      </c>
      <c r="AL417" s="187">
        <f>COUNTIFS(Kredit!$M$8:$M$1870,5,Kredit!$P$8:$P$1870,$M417,Kredit!$L$8:$L$1870,AL$412)</f>
        <v>0</v>
      </c>
      <c r="AM417" s="259">
        <f>COUNTIFS(Kredit!$M$7:$M$1870,6,Kredit!$P$7:$P$1870,$M417)</f>
        <v>2</v>
      </c>
      <c r="AN417" s="2">
        <f>COUNTIFS(Kredit!$M$8:$M$1870,6,Kredit!$P$8:$P$1870,$M417,Kredit!$L$8:$L$1870,AN$412)</f>
        <v>2</v>
      </c>
      <c r="AO417" s="2">
        <f>COUNTIFS(Kredit!$M$8:$M$1870,6,Kredit!$P$8:$P$1870,$M417,Kredit!$L$8:$L$1870,AO$412)</f>
        <v>0</v>
      </c>
      <c r="AP417" s="2">
        <f>COUNTIFS(Kredit!$M$8:$M$1870,6,Kredit!$P$8:$P$1870,$M417,Kredit!$L$8:$L$1870,AP$412)</f>
        <v>0</v>
      </c>
      <c r="AQ417" s="187">
        <f>COUNTIFS(Kredit!$M$8:$M$1870,6,Kredit!$P$8:$P$1870,$M417,Kredit!$L$8:$L$1870,AQ$412)</f>
        <v>0</v>
      </c>
    </row>
    <row r="418" spans="1:43" x14ac:dyDescent="0.3">
      <c r="B418" s="67" t="s">
        <v>337</v>
      </c>
      <c r="C418" s="2">
        <f>COUNTIF(Kredit!$P$7:$P$1870,B418)</f>
        <v>12</v>
      </c>
      <c r="D418" s="2">
        <f>COUNTIFS(Kredit!$P$8:$P$1870,$B418,Kredit!$L$8:$L$1870,D$412)</f>
        <v>12</v>
      </c>
      <c r="E418" s="2">
        <f>COUNTIFS(Kredit!$P$8:$P$1870,$B418,Kredit!$L$8:$L$1870,E$412)</f>
        <v>0</v>
      </c>
      <c r="F418" s="2">
        <f>COUNTIFS(Kredit!$P$8:$P$1870,$B418,Kredit!$L$8:$L$1870,F$412)</f>
        <v>0</v>
      </c>
      <c r="G418" s="2">
        <f>COUNTIFS(Kredit!$P$8:$P$1870,$B418,Kredit!$L$8:$L$1870,G$412)</f>
        <v>0</v>
      </c>
      <c r="H418" s="141">
        <f t="shared" si="68"/>
        <v>0</v>
      </c>
      <c r="M418" s="226" t="s">
        <v>337</v>
      </c>
      <c r="N418" s="259">
        <f>COUNTIFS(Kredit!$M$8:$M$1871,1,Kredit!$P$7:$P$1870,$M418)</f>
        <v>4</v>
      </c>
      <c r="O418" s="2">
        <f>COUNTIFS(Kredit!$M$8:$M$1870,1,Kredit!$P$8:$P$1870,$M418,Kredit!$L$8:$L$1870,O$412)</f>
        <v>4</v>
      </c>
      <c r="P418" s="2">
        <f>COUNTIFS(Kredit!$M$8:$M$1870,1,Kredit!$P$8:$P$1870,$M418,Kredit!$L$8:$L$1870,P$412)</f>
        <v>0</v>
      </c>
      <c r="Q418" s="2">
        <f>COUNTIFS(Kredit!$M$8:$M$1870,1,Kredit!$P$8:$P$1870,$M418,Kredit!$L$8:$L$1870,Q$412)</f>
        <v>0</v>
      </c>
      <c r="R418" s="187">
        <f>COUNTIFS(Kredit!$M$8:$M$1870,1,Kredit!$P$8:$P$1870,$M418,Kredit!$L$8:$L$1870,R$412)</f>
        <v>0</v>
      </c>
      <c r="S418" s="259">
        <f>COUNTIFS(Kredit!$M$7:$M$1870,2,Kredit!$P$7:$P$1870,$M418)</f>
        <v>2</v>
      </c>
      <c r="T418" s="2">
        <f>COUNTIFS(Kredit!$M$8:$M$1870,2,Kredit!$P$8:$P$1870,$M418,Kredit!$L$8:$L$1870,T$412)</f>
        <v>2</v>
      </c>
      <c r="U418" s="2">
        <f>COUNTIFS(Kredit!$M$8:$M$1870,2,Kredit!$P$8:$P$1870,$M418,Kredit!$L$8:$L$1870,U$412)</f>
        <v>0</v>
      </c>
      <c r="V418" s="2">
        <f>COUNTIFS(Kredit!$M$8:$M$1870,2,Kredit!$P$8:$P$1870,$M418,Kredit!$L$8:$L$1870,V$412)</f>
        <v>0</v>
      </c>
      <c r="W418" s="187">
        <f>COUNTIFS(Kredit!$M$8:$M$1870,2,Kredit!$P$8:$P$1870,$M418,Kredit!$L$8:$L$1870,W$412)</f>
        <v>0</v>
      </c>
      <c r="X418" s="259">
        <f>COUNTIFS(Kredit!$M$8:$M$1871,3,Kredit!$P$7:$P$1870,$M418)</f>
        <v>2</v>
      </c>
      <c r="Y418" s="2">
        <f>COUNTIFS(Kredit!$M$8:$M$1870,3,Kredit!$P$8:$P$1870,$M418,Kredit!$L$8:$L$1870,Y$412)</f>
        <v>2</v>
      </c>
      <c r="Z418" s="2">
        <f>COUNTIFS(Kredit!$M$8:$M$1870,3,Kredit!$P$8:$P$1870,$M418,Kredit!$L$8:$L$1870,Z$412)</f>
        <v>0</v>
      </c>
      <c r="AA418" s="2">
        <f>COUNTIFS(Kredit!$M$8:$M$1870,3,Kredit!$P$8:$P$1870,$M418,Kredit!$L$8:$L$1870,AA$412)</f>
        <v>0</v>
      </c>
      <c r="AB418" s="187">
        <f>COUNTIFS(Kredit!$M$8:$M$1870,3,Kredit!$P$8:$P$1870,$M418,Kredit!$L$8:$L$1870,AB$412)</f>
        <v>0</v>
      </c>
      <c r="AC418" s="259">
        <f>COUNTIFS(Kredit!$M$7:$M$1870,4,Kredit!$P$7:$P$1870,$M418)</f>
        <v>2</v>
      </c>
      <c r="AD418" s="2">
        <f>COUNTIFS(Kredit!$M$8:$M$1870,4,Kredit!$P$8:$P$1870,$M418,Kredit!$L$8:$L$1870,AD$412)</f>
        <v>2</v>
      </c>
      <c r="AE418" s="2">
        <f>COUNTIFS(Kredit!$M$8:$M$1870,4,Kredit!$P$8:$P$1870,$M418,Kredit!$L$8:$L$1870,AE$412)</f>
        <v>0</v>
      </c>
      <c r="AF418" s="2">
        <f>COUNTIFS(Kredit!$M$8:$M$1870,4,Kredit!$P$8:$P$1870,$M418,Kredit!$L$8:$L$1870,AF$412)</f>
        <v>0</v>
      </c>
      <c r="AG418" s="187">
        <f>COUNTIFS(Kredit!$M$8:$M$1870,4,Kredit!$P$8:$P$1870,$M418,Kredit!$L$8:$L$1870,AG$412)</f>
        <v>0</v>
      </c>
      <c r="AH418" s="259">
        <f>COUNTIFS(Kredit!$M$7:$M$1870,5,Kredit!$P$7:$P$1870,$M418)</f>
        <v>0</v>
      </c>
      <c r="AI418" s="2">
        <f>COUNTIFS(Kredit!$M$8:$M$1870,5,Kredit!$P$8:$P$1870,$M418,Kredit!$L$8:$L$1870,AI$412)</f>
        <v>0</v>
      </c>
      <c r="AJ418" s="2">
        <f>COUNTIFS(Kredit!$M$8:$M$1870,5,Kredit!$P$8:$P$1870,$M418,Kredit!$L$8:$L$1870,AJ$412)</f>
        <v>0</v>
      </c>
      <c r="AK418" s="2">
        <f>COUNTIFS(Kredit!$M$8:$M$1870,5,Kredit!$P$8:$P$1870,$M418,Kredit!$L$8:$L$1870,AK$412)</f>
        <v>0</v>
      </c>
      <c r="AL418" s="187">
        <f>COUNTIFS(Kredit!$M$8:$M$1870,5,Kredit!$P$8:$P$1870,$M418,Kredit!$L$8:$L$1870,AL$412)</f>
        <v>0</v>
      </c>
      <c r="AM418" s="259">
        <f>COUNTIFS(Kredit!$M$7:$M$1870,6,Kredit!$P$7:$P$1870,$M418)</f>
        <v>2</v>
      </c>
      <c r="AN418" s="2">
        <f>COUNTIFS(Kredit!$M$8:$M$1870,6,Kredit!$P$8:$P$1870,$M418,Kredit!$L$8:$L$1870,AN$412)</f>
        <v>2</v>
      </c>
      <c r="AO418" s="2">
        <f>COUNTIFS(Kredit!$M$8:$M$1870,6,Kredit!$P$8:$P$1870,$M418,Kredit!$L$8:$L$1870,AO$412)</f>
        <v>0</v>
      </c>
      <c r="AP418" s="2">
        <f>COUNTIFS(Kredit!$M$8:$M$1870,6,Kredit!$P$8:$P$1870,$M418,Kredit!$L$8:$L$1870,AP$412)</f>
        <v>0</v>
      </c>
      <c r="AQ418" s="187">
        <f>COUNTIFS(Kredit!$M$8:$M$1870,6,Kredit!$P$8:$P$1870,$M418,Kredit!$L$8:$L$1870,AQ$412)</f>
        <v>0</v>
      </c>
    </row>
    <row r="419" spans="1:43" x14ac:dyDescent="0.3">
      <c r="B419" s="67" t="s">
        <v>9791</v>
      </c>
      <c r="C419" s="2">
        <f>COUNTIF(Kredit!$P$7:$P$1870,B419)</f>
        <v>1</v>
      </c>
      <c r="D419" s="2">
        <f>COUNTIFS(Kredit!$P$8:$P$1870,$B419,Kredit!$L$8:$L$1870,D$412)</f>
        <v>1</v>
      </c>
      <c r="E419" s="2">
        <f>COUNTIFS(Kredit!$P$8:$P$1870,$B419,Kredit!$L$8:$L$1870,E$412)</f>
        <v>0</v>
      </c>
      <c r="F419" s="2">
        <f>COUNTIFS(Kredit!$P$8:$P$1870,$B419,Kredit!$L$8:$L$1870,F$412)</f>
        <v>0</v>
      </c>
      <c r="G419" s="2">
        <f>COUNTIFS(Kredit!$P$8:$P$1870,$B419,Kredit!$L$8:$L$1870,G$412)</f>
        <v>0</v>
      </c>
      <c r="H419" s="141">
        <f t="shared" si="68"/>
        <v>0</v>
      </c>
      <c r="M419" s="226" t="s">
        <v>9791</v>
      </c>
      <c r="N419" s="259">
        <f>COUNTIFS(Kredit!$M$8:$M$1871,1,Kredit!$P$7:$P$1870,$M419)</f>
        <v>1</v>
      </c>
      <c r="O419" s="2">
        <f>COUNTIFS(Kredit!$M$8:$M$1870,1,Kredit!$P$8:$P$1870,$M419,Kredit!$L$8:$L$1870,O$412)</f>
        <v>1</v>
      </c>
      <c r="P419" s="2">
        <f>COUNTIFS(Kredit!$M$8:$M$1870,1,Kredit!$P$8:$P$1870,$M419,Kredit!$L$8:$L$1870,P$412)</f>
        <v>0</v>
      </c>
      <c r="Q419" s="2">
        <f>COUNTIFS(Kredit!$M$8:$M$1870,1,Kredit!$P$8:$P$1870,$M419,Kredit!$L$8:$L$1870,Q$412)</f>
        <v>0</v>
      </c>
      <c r="R419" s="187">
        <f>COUNTIFS(Kredit!$M$8:$M$1870,1,Kredit!$P$8:$P$1870,$M419,Kredit!$L$8:$L$1870,R$412)</f>
        <v>0</v>
      </c>
      <c r="S419" s="259">
        <f>COUNTIFS(Kredit!$M$7:$M$1870,2,Kredit!$P$7:$P$1870,$M419)</f>
        <v>0</v>
      </c>
      <c r="T419" s="2">
        <f>COUNTIFS(Kredit!$M$8:$M$1870,2,Kredit!$P$8:$P$1870,$M419,Kredit!$L$8:$L$1870,T$412)</f>
        <v>0</v>
      </c>
      <c r="U419" s="2">
        <f>COUNTIFS(Kredit!$M$8:$M$1870,2,Kredit!$P$8:$P$1870,$M419,Kredit!$L$8:$L$1870,U$412)</f>
        <v>0</v>
      </c>
      <c r="V419" s="2">
        <f>COUNTIFS(Kredit!$M$8:$M$1870,2,Kredit!$P$8:$P$1870,$M419,Kredit!$L$8:$L$1870,V$412)</f>
        <v>0</v>
      </c>
      <c r="W419" s="187">
        <f>COUNTIFS(Kredit!$M$8:$M$1870,2,Kredit!$P$8:$P$1870,$M419,Kredit!$L$8:$L$1870,W$412)</f>
        <v>0</v>
      </c>
      <c r="X419" s="259">
        <f>COUNTIFS(Kredit!$M$8:$M$1871,3,Kredit!$P$7:$P$1870,$M419)</f>
        <v>0</v>
      </c>
      <c r="Y419" s="2">
        <f>COUNTIFS(Kredit!$M$8:$M$1870,3,Kredit!$P$8:$P$1870,$M419,Kredit!$L$8:$L$1870,Y$412)</f>
        <v>0</v>
      </c>
      <c r="Z419" s="2">
        <f>COUNTIFS(Kredit!$M$8:$M$1870,3,Kredit!$P$8:$P$1870,$M419,Kredit!$L$8:$L$1870,Z$412)</f>
        <v>0</v>
      </c>
      <c r="AA419" s="2">
        <f>COUNTIFS(Kredit!$M$8:$M$1870,3,Kredit!$P$8:$P$1870,$M419,Kredit!$L$8:$L$1870,AA$412)</f>
        <v>0</v>
      </c>
      <c r="AB419" s="187">
        <f>COUNTIFS(Kredit!$M$8:$M$1870,3,Kredit!$P$8:$P$1870,$M419,Kredit!$L$8:$L$1870,AB$412)</f>
        <v>0</v>
      </c>
      <c r="AC419" s="259">
        <f>COUNTIFS(Kredit!$M$7:$M$1870,4,Kredit!$P$7:$P$1870,$M419)</f>
        <v>0</v>
      </c>
      <c r="AD419" s="2">
        <f>COUNTIFS(Kredit!$M$8:$M$1870,4,Kredit!$P$8:$P$1870,$M419,Kredit!$L$8:$L$1870,AD$412)</f>
        <v>0</v>
      </c>
      <c r="AE419" s="2">
        <f>COUNTIFS(Kredit!$M$8:$M$1870,4,Kredit!$P$8:$P$1870,$M419,Kredit!$L$8:$L$1870,AE$412)</f>
        <v>0</v>
      </c>
      <c r="AF419" s="2">
        <f>COUNTIFS(Kredit!$M$8:$M$1870,4,Kredit!$P$8:$P$1870,$M419,Kredit!$L$8:$L$1870,AF$412)</f>
        <v>0</v>
      </c>
      <c r="AG419" s="187">
        <f>COUNTIFS(Kredit!$M$8:$M$1870,4,Kredit!$P$8:$P$1870,$M419,Kredit!$L$8:$L$1870,AG$412)</f>
        <v>0</v>
      </c>
      <c r="AH419" s="259">
        <f>COUNTIFS(Kredit!$M$7:$M$1870,5,Kredit!$P$7:$P$1870,$M419)</f>
        <v>0</v>
      </c>
      <c r="AI419" s="2">
        <f>COUNTIFS(Kredit!$M$8:$M$1870,5,Kredit!$P$8:$P$1870,$M419,Kredit!$L$8:$L$1870,AI$412)</f>
        <v>0</v>
      </c>
      <c r="AJ419" s="2">
        <f>COUNTIFS(Kredit!$M$8:$M$1870,5,Kredit!$P$8:$P$1870,$M419,Kredit!$L$8:$L$1870,AJ$412)</f>
        <v>0</v>
      </c>
      <c r="AK419" s="2">
        <f>COUNTIFS(Kredit!$M$8:$M$1870,5,Kredit!$P$8:$P$1870,$M419,Kredit!$L$8:$L$1870,AK$412)</f>
        <v>0</v>
      </c>
      <c r="AL419" s="187">
        <f>COUNTIFS(Kredit!$M$8:$M$1870,5,Kredit!$P$8:$P$1870,$M419,Kredit!$L$8:$L$1870,AL$412)</f>
        <v>0</v>
      </c>
      <c r="AM419" s="259">
        <f>COUNTIFS(Kredit!$M$7:$M$1870,6,Kredit!$P$7:$P$1870,$M419)</f>
        <v>0</v>
      </c>
      <c r="AN419" s="2">
        <f>COUNTIFS(Kredit!$M$8:$M$1870,6,Kredit!$P$8:$P$1870,$M419,Kredit!$L$8:$L$1870,AN$412)</f>
        <v>0</v>
      </c>
      <c r="AO419" s="2">
        <f>COUNTIFS(Kredit!$M$8:$M$1870,6,Kredit!$P$8:$P$1870,$M419,Kredit!$L$8:$L$1870,AO$412)</f>
        <v>0</v>
      </c>
      <c r="AP419" s="2">
        <f>COUNTIFS(Kredit!$M$8:$M$1870,6,Kredit!$P$8:$P$1870,$M419,Kredit!$L$8:$L$1870,AP$412)</f>
        <v>0</v>
      </c>
      <c r="AQ419" s="187">
        <f>COUNTIFS(Kredit!$M$8:$M$1870,6,Kredit!$P$8:$P$1870,$M419,Kredit!$L$8:$L$1870,AQ$412)</f>
        <v>0</v>
      </c>
    </row>
    <row r="420" spans="1:43" x14ac:dyDescent="0.3">
      <c r="B420" s="67" t="s">
        <v>31</v>
      </c>
      <c r="C420" s="2">
        <f>COUNTIF(Kredit!$P$7:$P$1870,B420)</f>
        <v>218</v>
      </c>
      <c r="D420" s="2">
        <f>COUNTIFS(Kredit!$P$8:$P$1870,$B420,Kredit!$L$8:$L$1870,D$412)</f>
        <v>198</v>
      </c>
      <c r="E420" s="2">
        <f>COUNTIFS(Kredit!$P$8:$P$1870,$B420,Kredit!$L$8:$L$1870,E$412)</f>
        <v>3</v>
      </c>
      <c r="F420" s="2">
        <f>COUNTIFS(Kredit!$P$8:$P$1870,$B420,Kredit!$L$8:$L$1870,F$412)</f>
        <v>2</v>
      </c>
      <c r="G420" s="2">
        <f>COUNTIFS(Kredit!$P$8:$P$1870,$B420,Kredit!$L$8:$L$1870,G$412)</f>
        <v>15</v>
      </c>
      <c r="H420" s="141">
        <f t="shared" si="68"/>
        <v>9.1743119266055051E-2</v>
      </c>
      <c r="M420" s="226" t="s">
        <v>31</v>
      </c>
      <c r="N420" s="259">
        <f>COUNTIFS(Kredit!$M$8:$M$1871,1,Kredit!$P$7:$P$1870,$M420)</f>
        <v>101</v>
      </c>
      <c r="O420" s="2">
        <f>COUNTIFS(Kredit!$M$8:$M$1870,1,Kredit!$P$8:$P$1870,$M420,Kredit!$L$8:$L$1870,O$412)</f>
        <v>95</v>
      </c>
      <c r="P420" s="2">
        <f>COUNTIFS(Kredit!$M$8:$M$1870,1,Kredit!$P$8:$P$1870,$M420,Kredit!$L$8:$L$1870,P$412)</f>
        <v>2</v>
      </c>
      <c r="Q420" s="2">
        <f>COUNTIFS(Kredit!$M$8:$M$1870,1,Kredit!$P$8:$P$1870,$M420,Kredit!$L$8:$L$1870,Q$412)</f>
        <v>1</v>
      </c>
      <c r="R420" s="187">
        <f>COUNTIFS(Kredit!$M$8:$M$1870,1,Kredit!$P$8:$P$1870,$M420,Kredit!$L$8:$L$1870,R$412)</f>
        <v>3</v>
      </c>
      <c r="S420" s="259">
        <f>COUNTIFS(Kredit!$M$7:$M$1870,2,Kredit!$P$7:$P$1870,$M420)</f>
        <v>27</v>
      </c>
      <c r="T420" s="2">
        <f>COUNTIFS(Kredit!$M$8:$M$1870,2,Kredit!$P$8:$P$1870,$M420,Kredit!$L$8:$L$1870,T$412)</f>
        <v>24</v>
      </c>
      <c r="U420" s="2">
        <f>COUNTIFS(Kredit!$M$8:$M$1870,2,Kredit!$P$8:$P$1870,$M420,Kredit!$L$8:$L$1870,U$412)</f>
        <v>0</v>
      </c>
      <c r="V420" s="2">
        <f>COUNTIFS(Kredit!$M$8:$M$1870,2,Kredit!$P$8:$P$1870,$M420,Kredit!$L$8:$L$1870,V$412)</f>
        <v>0</v>
      </c>
      <c r="W420" s="187">
        <f>COUNTIFS(Kredit!$M$8:$M$1870,2,Kredit!$P$8:$P$1870,$M420,Kredit!$L$8:$L$1870,W$412)</f>
        <v>3</v>
      </c>
      <c r="X420" s="259">
        <f>COUNTIFS(Kredit!$M$8:$M$1871,3,Kredit!$P$7:$P$1870,$M420)</f>
        <v>45</v>
      </c>
      <c r="Y420" s="2">
        <f>COUNTIFS(Kredit!$M$8:$M$1870,3,Kredit!$P$8:$P$1870,$M420,Kredit!$L$8:$L$1870,Y$412)</f>
        <v>39</v>
      </c>
      <c r="Z420" s="2">
        <f>COUNTIFS(Kredit!$M$8:$M$1870,3,Kredit!$P$8:$P$1870,$M420,Kredit!$L$8:$L$1870,Z$412)</f>
        <v>1</v>
      </c>
      <c r="AA420" s="2">
        <f>COUNTIFS(Kredit!$M$8:$M$1870,3,Kredit!$P$8:$P$1870,$M420,Kredit!$L$8:$L$1870,AA$412)</f>
        <v>0</v>
      </c>
      <c r="AB420" s="187">
        <f>COUNTIFS(Kredit!$M$8:$M$1870,3,Kredit!$P$8:$P$1870,$M420,Kredit!$L$8:$L$1870,AB$412)</f>
        <v>5</v>
      </c>
      <c r="AC420" s="259">
        <f>COUNTIFS(Kredit!$M$7:$M$1870,4,Kredit!$P$7:$P$1870,$M420)</f>
        <v>24</v>
      </c>
      <c r="AD420" s="2">
        <f>COUNTIFS(Kredit!$M$8:$M$1870,4,Kredit!$P$8:$P$1870,$M420,Kredit!$L$8:$L$1870,AD$412)</f>
        <v>22</v>
      </c>
      <c r="AE420" s="2">
        <f>COUNTIFS(Kredit!$M$8:$M$1870,4,Kredit!$P$8:$P$1870,$M420,Kredit!$L$8:$L$1870,AE$412)</f>
        <v>0</v>
      </c>
      <c r="AF420" s="2">
        <f>COUNTIFS(Kredit!$M$8:$M$1870,4,Kredit!$P$8:$P$1870,$M420,Kredit!$L$8:$L$1870,AF$412)</f>
        <v>0</v>
      </c>
      <c r="AG420" s="187">
        <f>COUNTIFS(Kredit!$M$8:$M$1870,4,Kredit!$P$8:$P$1870,$M420,Kredit!$L$8:$L$1870,AG$412)</f>
        <v>2</v>
      </c>
      <c r="AH420" s="259">
        <f>COUNTIFS(Kredit!$M$7:$M$1870,5,Kredit!$P$7:$P$1870,$M420)</f>
        <v>8</v>
      </c>
      <c r="AI420" s="2">
        <f>COUNTIFS(Kredit!$M$8:$M$1870,5,Kredit!$P$8:$P$1870,$M420,Kredit!$L$8:$L$1870,AI$412)</f>
        <v>6</v>
      </c>
      <c r="AJ420" s="2">
        <f>COUNTIFS(Kredit!$M$8:$M$1870,5,Kredit!$P$8:$P$1870,$M420,Kredit!$L$8:$L$1870,AJ$412)</f>
        <v>0</v>
      </c>
      <c r="AK420" s="2">
        <f>COUNTIFS(Kredit!$M$8:$M$1870,5,Kredit!$P$8:$P$1870,$M420,Kredit!$L$8:$L$1870,AK$412)</f>
        <v>0</v>
      </c>
      <c r="AL420" s="187">
        <f>COUNTIFS(Kredit!$M$8:$M$1870,5,Kredit!$P$8:$P$1870,$M420,Kredit!$L$8:$L$1870,AL$412)</f>
        <v>2</v>
      </c>
      <c r="AM420" s="259">
        <f>COUNTIFS(Kredit!$M$7:$M$1870,6,Kredit!$P$7:$P$1870,$M420)</f>
        <v>13</v>
      </c>
      <c r="AN420" s="2">
        <f>COUNTIFS(Kredit!$M$8:$M$1870,6,Kredit!$P$8:$P$1870,$M420,Kredit!$L$8:$L$1870,AN$412)</f>
        <v>12</v>
      </c>
      <c r="AO420" s="2">
        <f>COUNTIFS(Kredit!$M$8:$M$1870,6,Kredit!$P$8:$P$1870,$M420,Kredit!$L$8:$L$1870,AO$412)</f>
        <v>0</v>
      </c>
      <c r="AP420" s="2">
        <f>COUNTIFS(Kredit!$M$8:$M$1870,6,Kredit!$P$8:$P$1870,$M420,Kredit!$L$8:$L$1870,AP$412)</f>
        <v>1</v>
      </c>
      <c r="AQ420" s="187">
        <f>COUNTIFS(Kredit!$M$8:$M$1870,6,Kredit!$P$8:$P$1870,$M420,Kredit!$L$8:$L$1870,AQ$412)</f>
        <v>0</v>
      </c>
    </row>
    <row r="421" spans="1:43" x14ac:dyDescent="0.3">
      <c r="B421" s="67" t="s">
        <v>9787</v>
      </c>
      <c r="C421" s="2">
        <f>COUNTIF(Kredit!$P$7:$P$1870,B421)</f>
        <v>4</v>
      </c>
      <c r="D421" s="2">
        <f>COUNTIFS(Kredit!$P$8:$P$1870,$B421,Kredit!$L$8:$L$1870,D$412)</f>
        <v>4</v>
      </c>
      <c r="E421" s="2">
        <f>COUNTIFS(Kredit!$P$8:$P$1870,$B421,Kredit!$L$8:$L$1870,E$412)</f>
        <v>0</v>
      </c>
      <c r="F421" s="2">
        <f>COUNTIFS(Kredit!$P$8:$P$1870,$B421,Kredit!$L$8:$L$1870,F$412)</f>
        <v>0</v>
      </c>
      <c r="G421" s="2">
        <f>COUNTIFS(Kredit!$P$8:$P$1870,$B421,Kredit!$L$8:$L$1870,G$412)</f>
        <v>0</v>
      </c>
      <c r="M421" s="226" t="s">
        <v>9787</v>
      </c>
      <c r="N421" s="259">
        <f>COUNTIFS(Kredit!$M$8:$M$1871,1,Kredit!$P$7:$P$1870,$M421)</f>
        <v>4</v>
      </c>
      <c r="O421" s="2">
        <f>COUNTIFS(Kredit!$M$8:$M$1870,1,Kredit!$P$8:$P$1870,$M421,Kredit!$L$8:$L$1870,O$412)</f>
        <v>4</v>
      </c>
      <c r="P421" s="2">
        <f>COUNTIFS(Kredit!$M$8:$M$1870,1,Kredit!$P$8:$P$1870,$M421,Kredit!$L$8:$L$1870,P$412)</f>
        <v>0</v>
      </c>
      <c r="Q421" s="2">
        <f>COUNTIFS(Kredit!$M$8:$M$1870,1,Kredit!$P$8:$P$1870,$M421,Kredit!$L$8:$L$1870,Q$412)</f>
        <v>0</v>
      </c>
      <c r="R421" s="187">
        <f>COUNTIFS(Kredit!$M$8:$M$1870,1,Kredit!$P$8:$P$1870,$M421,Kredit!$L$8:$L$1870,R$412)</f>
        <v>0</v>
      </c>
      <c r="S421" s="259">
        <f>COUNTIFS(Kredit!$M$7:$M$1870,2,Kredit!$P$7:$P$1870,$M421)</f>
        <v>0</v>
      </c>
      <c r="T421" s="2">
        <f>COUNTIFS(Kredit!$M$8:$M$1870,2,Kredit!$P$8:$P$1870,$M421,Kredit!$L$8:$L$1870,T$412)</f>
        <v>0</v>
      </c>
      <c r="U421" s="2">
        <f>COUNTIFS(Kredit!$M$8:$M$1870,2,Kredit!$P$8:$P$1870,$M421,Kredit!$L$8:$L$1870,U$412)</f>
        <v>0</v>
      </c>
      <c r="V421" s="2">
        <f>COUNTIFS(Kredit!$M$8:$M$1870,2,Kredit!$P$8:$P$1870,$M421,Kredit!$L$8:$L$1870,V$412)</f>
        <v>0</v>
      </c>
      <c r="W421" s="187">
        <f>COUNTIFS(Kredit!$M$8:$M$1870,2,Kredit!$P$8:$P$1870,$M421,Kredit!$L$8:$L$1870,W$412)</f>
        <v>0</v>
      </c>
      <c r="X421" s="259">
        <f>COUNTIFS(Kredit!$M$8:$M$1871,3,Kredit!$P$7:$P$1870,$M421)</f>
        <v>0</v>
      </c>
      <c r="Y421" s="2">
        <f>COUNTIFS(Kredit!$M$8:$M$1870,3,Kredit!$P$8:$P$1870,$M421,Kredit!$L$8:$L$1870,Y$412)</f>
        <v>0</v>
      </c>
      <c r="Z421" s="2">
        <f>COUNTIFS(Kredit!$M$8:$M$1870,3,Kredit!$P$8:$P$1870,$M421,Kredit!$L$8:$L$1870,Z$412)</f>
        <v>0</v>
      </c>
      <c r="AA421" s="2">
        <f>COUNTIFS(Kredit!$M$8:$M$1870,3,Kredit!$P$8:$P$1870,$M421,Kredit!$L$8:$L$1870,AA$412)</f>
        <v>0</v>
      </c>
      <c r="AB421" s="187">
        <f>COUNTIFS(Kredit!$M$8:$M$1870,3,Kredit!$P$8:$P$1870,$M421,Kredit!$L$8:$L$1870,AB$412)</f>
        <v>0</v>
      </c>
      <c r="AC421" s="259">
        <f>COUNTIFS(Kredit!$M$7:$M$1870,4,Kredit!$P$7:$P$1870,$M421)</f>
        <v>0</v>
      </c>
      <c r="AD421" s="2">
        <f>COUNTIFS(Kredit!$M$8:$M$1870,4,Kredit!$P$8:$P$1870,$M421,Kredit!$L$8:$L$1870,AD$412)</f>
        <v>0</v>
      </c>
      <c r="AE421" s="2">
        <f>COUNTIFS(Kredit!$M$8:$M$1870,4,Kredit!$P$8:$P$1870,$M421,Kredit!$L$8:$L$1870,AE$412)</f>
        <v>0</v>
      </c>
      <c r="AF421" s="2">
        <f>COUNTIFS(Kredit!$M$8:$M$1870,4,Kredit!$P$8:$P$1870,$M421,Kredit!$L$8:$L$1870,AF$412)</f>
        <v>0</v>
      </c>
      <c r="AG421" s="187">
        <f>COUNTIFS(Kredit!$M$8:$M$1870,4,Kredit!$P$8:$P$1870,$M421,Kredit!$L$8:$L$1870,AG$412)</f>
        <v>0</v>
      </c>
      <c r="AH421" s="259">
        <f>COUNTIFS(Kredit!$M$7:$M$1870,5,Kredit!$P$7:$P$1870,$M421)</f>
        <v>0</v>
      </c>
      <c r="AI421" s="2">
        <f>COUNTIFS(Kredit!$M$8:$M$1870,5,Kredit!$P$8:$P$1870,$M421,Kredit!$L$8:$L$1870,AI$412)</f>
        <v>0</v>
      </c>
      <c r="AJ421" s="2">
        <f>COUNTIFS(Kredit!$M$8:$M$1870,5,Kredit!$P$8:$P$1870,$M421,Kredit!$L$8:$L$1870,AJ$412)</f>
        <v>0</v>
      </c>
      <c r="AK421" s="2">
        <f>COUNTIFS(Kredit!$M$8:$M$1870,5,Kredit!$P$8:$P$1870,$M421,Kredit!$L$8:$L$1870,AK$412)</f>
        <v>0</v>
      </c>
      <c r="AL421" s="187">
        <f>COUNTIFS(Kredit!$M$8:$M$1870,5,Kredit!$P$8:$P$1870,$M421,Kredit!$L$8:$L$1870,AL$412)</f>
        <v>0</v>
      </c>
      <c r="AM421" s="259">
        <f>COUNTIFS(Kredit!$M$7:$M$1870,6,Kredit!$P$7:$P$1870,$M421)</f>
        <v>0</v>
      </c>
      <c r="AN421" s="2">
        <f>COUNTIFS(Kredit!$M$8:$M$1870,6,Kredit!$P$8:$P$1870,$M421,Kredit!$L$8:$L$1870,AN$412)</f>
        <v>0</v>
      </c>
      <c r="AO421" s="2">
        <f>COUNTIFS(Kredit!$M$8:$M$1870,6,Kredit!$P$8:$P$1870,$M421,Kredit!$L$8:$L$1870,AO$412)</f>
        <v>0</v>
      </c>
      <c r="AP421" s="2">
        <f>COUNTIFS(Kredit!$M$8:$M$1870,6,Kredit!$P$8:$P$1870,$M421,Kredit!$L$8:$L$1870,AP$412)</f>
        <v>0</v>
      </c>
      <c r="AQ421" s="187">
        <f>COUNTIFS(Kredit!$M$8:$M$1870,6,Kredit!$P$8:$P$1870,$M421,Kredit!$L$8:$L$1870,AQ$412)</f>
        <v>0</v>
      </c>
    </row>
    <row r="422" spans="1:43" x14ac:dyDescent="0.3">
      <c r="B422" s="67" t="s">
        <v>12065</v>
      </c>
      <c r="C422" s="2">
        <f>COUNTIF(Kredit!$P$7:$P$1870,B422)</f>
        <v>13</v>
      </c>
      <c r="D422" s="2">
        <f>COUNTIFS(Kredit!$P$8:$P$1870,$B422,Kredit!$L$8:$L$1870,D$412)</f>
        <v>11</v>
      </c>
      <c r="E422" s="2">
        <f>COUNTIFS(Kredit!$P$8:$P$1870,$B422,Kredit!$L$8:$L$1870,E$412)</f>
        <v>1</v>
      </c>
      <c r="F422" s="2">
        <f>COUNTIFS(Kredit!$P$8:$P$1870,$B422,Kredit!$L$8:$L$1870,F$412)</f>
        <v>1</v>
      </c>
      <c r="G422" s="2">
        <f>COUNTIFS(Kredit!$P$8:$P$1870,$B422,Kredit!$L$8:$L$1870,G$412)</f>
        <v>0</v>
      </c>
      <c r="M422" s="226" t="s">
        <v>12065</v>
      </c>
      <c r="N422" s="259">
        <f>COUNTIFS(Kredit!$M$8:$M$1871,1,Kredit!$P$7:$P$1870,$M422)</f>
        <v>1</v>
      </c>
      <c r="O422" s="2">
        <f>COUNTIFS(Kredit!$M$8:$M$1870,1,Kredit!$P$8:$P$1870,$M422,Kredit!$L$8:$L$1870,O$412)</f>
        <v>1</v>
      </c>
      <c r="P422" s="2">
        <f>COUNTIFS(Kredit!$M$8:$M$1870,1,Kredit!$P$8:$P$1870,$M422,Kredit!$L$8:$L$1870,P$412)</f>
        <v>0</v>
      </c>
      <c r="Q422" s="2">
        <f>COUNTIFS(Kredit!$M$8:$M$1870,1,Kredit!$P$8:$P$1870,$M422,Kredit!$L$8:$L$1870,Q$412)</f>
        <v>0</v>
      </c>
      <c r="R422" s="187">
        <f>COUNTIFS(Kredit!$M$8:$M$1870,1,Kredit!$P$8:$P$1870,$M422,Kredit!$L$8:$L$1870,R$412)</f>
        <v>0</v>
      </c>
      <c r="S422" s="259">
        <f>COUNTIFS(Kredit!$M$7:$M$1870,2,Kredit!$P$7:$P$1870,$M422)</f>
        <v>3</v>
      </c>
      <c r="T422" s="2">
        <f>COUNTIFS(Kredit!$M$8:$M$1870,2,Kredit!$P$8:$P$1870,$M422,Kredit!$L$8:$L$1870,T$412)</f>
        <v>3</v>
      </c>
      <c r="U422" s="2">
        <f>COUNTIFS(Kredit!$M$8:$M$1870,2,Kredit!$P$8:$P$1870,$M422,Kredit!$L$8:$L$1870,U$412)</f>
        <v>0</v>
      </c>
      <c r="V422" s="2">
        <f>COUNTIFS(Kredit!$M$8:$M$1870,2,Kredit!$P$8:$P$1870,$M422,Kredit!$L$8:$L$1870,V$412)</f>
        <v>0</v>
      </c>
      <c r="W422" s="187">
        <f>COUNTIFS(Kredit!$M$8:$M$1870,2,Kredit!$P$8:$P$1870,$M422,Kredit!$L$8:$L$1870,W$412)</f>
        <v>0</v>
      </c>
      <c r="X422" s="259">
        <f>COUNTIFS(Kredit!$M$8:$M$1871,3,Kredit!$P$7:$P$1870,$M422)</f>
        <v>4</v>
      </c>
      <c r="Y422" s="2">
        <f>COUNTIFS(Kredit!$M$8:$M$1870,3,Kredit!$P$8:$P$1870,$M422,Kredit!$L$8:$L$1870,Y$412)</f>
        <v>2</v>
      </c>
      <c r="Z422" s="2">
        <f>COUNTIFS(Kredit!$M$8:$M$1870,3,Kredit!$P$8:$P$1870,$M422,Kredit!$L$8:$L$1870,Z$412)</f>
        <v>1</v>
      </c>
      <c r="AA422" s="2">
        <f>COUNTIFS(Kredit!$M$8:$M$1870,3,Kredit!$P$8:$P$1870,$M422,Kredit!$L$8:$L$1870,AA$412)</f>
        <v>1</v>
      </c>
      <c r="AB422" s="187">
        <f>COUNTIFS(Kredit!$M$8:$M$1870,3,Kredit!$P$8:$P$1870,$M422,Kredit!$L$8:$L$1870,AB$412)</f>
        <v>0</v>
      </c>
      <c r="AC422" s="259">
        <f>COUNTIFS(Kredit!$M$7:$M$1870,4,Kredit!$P$7:$P$1870,$M422)</f>
        <v>0</v>
      </c>
      <c r="AD422" s="2">
        <f>COUNTIFS(Kredit!$M$8:$M$1870,4,Kredit!$P$8:$P$1870,$M422,Kredit!$L$8:$L$1870,AD$412)</f>
        <v>0</v>
      </c>
      <c r="AE422" s="2">
        <f>COUNTIFS(Kredit!$M$8:$M$1870,4,Kredit!$P$8:$P$1870,$M422,Kredit!$L$8:$L$1870,AE$412)</f>
        <v>0</v>
      </c>
      <c r="AF422" s="2">
        <f>COUNTIFS(Kredit!$M$8:$M$1870,4,Kredit!$P$8:$P$1870,$M422,Kredit!$L$8:$L$1870,AF$412)</f>
        <v>0</v>
      </c>
      <c r="AG422" s="187">
        <f>COUNTIFS(Kredit!$M$8:$M$1870,4,Kredit!$P$8:$P$1870,$M422,Kredit!$L$8:$L$1870,AG$412)</f>
        <v>0</v>
      </c>
      <c r="AH422" s="259">
        <f>COUNTIFS(Kredit!$M$7:$M$1870,5,Kredit!$P$7:$P$1870,$M422)</f>
        <v>2</v>
      </c>
      <c r="AI422" s="2">
        <f>COUNTIFS(Kredit!$M$8:$M$1870,5,Kredit!$P$8:$P$1870,$M422,Kredit!$L$8:$L$1870,AI$412)</f>
        <v>2</v>
      </c>
      <c r="AJ422" s="2">
        <f>COUNTIFS(Kredit!$M$8:$M$1870,5,Kredit!$P$8:$P$1870,$M422,Kredit!$L$8:$L$1870,AJ$412)</f>
        <v>0</v>
      </c>
      <c r="AK422" s="2">
        <f>COUNTIFS(Kredit!$M$8:$M$1870,5,Kredit!$P$8:$P$1870,$M422,Kredit!$L$8:$L$1870,AK$412)</f>
        <v>0</v>
      </c>
      <c r="AL422" s="187">
        <f>COUNTIFS(Kredit!$M$8:$M$1870,5,Kredit!$P$8:$P$1870,$M422,Kredit!$L$8:$L$1870,AL$412)</f>
        <v>0</v>
      </c>
      <c r="AM422" s="259">
        <f>COUNTIFS(Kredit!$M$7:$M$1870,6,Kredit!$P$7:$P$1870,$M422)</f>
        <v>3</v>
      </c>
      <c r="AN422" s="2">
        <f>COUNTIFS(Kredit!$M$8:$M$1870,6,Kredit!$P$8:$P$1870,$M422,Kredit!$L$8:$L$1870,AN$412)</f>
        <v>3</v>
      </c>
      <c r="AO422" s="2">
        <f>COUNTIFS(Kredit!$M$8:$M$1870,6,Kredit!$P$8:$P$1870,$M422,Kredit!$L$8:$L$1870,AO$412)</f>
        <v>0</v>
      </c>
      <c r="AP422" s="2">
        <f>COUNTIFS(Kredit!$M$8:$M$1870,6,Kredit!$P$8:$P$1870,$M422,Kredit!$L$8:$L$1870,AP$412)</f>
        <v>0</v>
      </c>
      <c r="AQ422" s="187">
        <f>COUNTIFS(Kredit!$M$8:$M$1870,6,Kredit!$P$8:$P$1870,$M422,Kredit!$L$8:$L$1870,AQ$412)</f>
        <v>0</v>
      </c>
    </row>
    <row r="423" spans="1:43" x14ac:dyDescent="0.3">
      <c r="B423" s="67" t="s">
        <v>12074</v>
      </c>
      <c r="C423" s="2">
        <f>COUNTIF(Kredit!$P$7:$P$1870,B423)</f>
        <v>19</v>
      </c>
      <c r="D423" s="2">
        <f>COUNTIFS(Kredit!$P$8:$P$1870,$B423,Kredit!$L$8:$L$1870,D$412)</f>
        <v>18</v>
      </c>
      <c r="E423" s="2">
        <f>COUNTIFS(Kredit!$P$8:$P$1870,$B423,Kredit!$L$8:$L$1870,E$412)</f>
        <v>0</v>
      </c>
      <c r="F423" s="2">
        <f>COUNTIFS(Kredit!$P$8:$P$1870,$B423,Kredit!$L$8:$L$1870,F$412)</f>
        <v>0</v>
      </c>
      <c r="G423" s="2">
        <f>COUNTIFS(Kredit!$P$8:$P$1870,$B423,Kredit!$L$8:$L$1870,G$412)</f>
        <v>1</v>
      </c>
      <c r="M423" s="226" t="s">
        <v>12074</v>
      </c>
      <c r="N423" s="259">
        <f>COUNTIFS(Kredit!$M$8:$M$1871,1,Kredit!$P$7:$P$1870,$M423)</f>
        <v>2</v>
      </c>
      <c r="O423" s="2">
        <f>COUNTIFS(Kredit!$M$8:$M$1870,1,Kredit!$P$8:$P$1870,$M423,Kredit!$L$8:$L$1870,O$412)</f>
        <v>2</v>
      </c>
      <c r="P423" s="2">
        <f>COUNTIFS(Kredit!$M$8:$M$1870,1,Kredit!$P$8:$P$1870,$M423,Kredit!$L$8:$L$1870,P$412)</f>
        <v>0</v>
      </c>
      <c r="Q423" s="2">
        <f>COUNTIFS(Kredit!$M$8:$M$1870,1,Kredit!$P$8:$P$1870,$M423,Kredit!$L$8:$L$1870,Q$412)</f>
        <v>0</v>
      </c>
      <c r="R423" s="187">
        <f>COUNTIFS(Kredit!$M$8:$M$1870,1,Kredit!$P$8:$P$1870,$M423,Kredit!$L$8:$L$1870,R$412)</f>
        <v>0</v>
      </c>
      <c r="S423" s="259">
        <f>COUNTIFS(Kredit!$M$7:$M$1870,2,Kredit!$P$7:$P$1870,$M423)</f>
        <v>12</v>
      </c>
      <c r="T423" s="2">
        <f>COUNTIFS(Kredit!$M$8:$M$1870,2,Kredit!$P$8:$P$1870,$M423,Kredit!$L$8:$L$1870,T$412)</f>
        <v>11</v>
      </c>
      <c r="U423" s="2">
        <f>COUNTIFS(Kredit!$M$8:$M$1870,2,Kredit!$P$8:$P$1870,$M423,Kredit!$L$8:$L$1870,U$412)</f>
        <v>0</v>
      </c>
      <c r="V423" s="2">
        <f>COUNTIFS(Kredit!$M$8:$M$1870,2,Kredit!$P$8:$P$1870,$M423,Kredit!$L$8:$L$1870,V$412)</f>
        <v>0</v>
      </c>
      <c r="W423" s="187">
        <f>COUNTIFS(Kredit!$M$8:$M$1870,2,Kredit!$P$8:$P$1870,$M423,Kredit!$L$8:$L$1870,W$412)</f>
        <v>1</v>
      </c>
      <c r="X423" s="259">
        <f>COUNTIFS(Kredit!$M$8:$M$1871,3,Kredit!$P$7:$P$1870,$M423)</f>
        <v>2</v>
      </c>
      <c r="Y423" s="2">
        <f>COUNTIFS(Kredit!$M$8:$M$1870,3,Kredit!$P$8:$P$1870,$M423,Kredit!$L$8:$L$1870,Y$412)</f>
        <v>2</v>
      </c>
      <c r="Z423" s="2">
        <f>COUNTIFS(Kredit!$M$8:$M$1870,3,Kredit!$P$8:$P$1870,$M423,Kredit!$L$8:$L$1870,Z$412)</f>
        <v>0</v>
      </c>
      <c r="AA423" s="2">
        <f>COUNTIFS(Kredit!$M$8:$M$1870,3,Kredit!$P$8:$P$1870,$M423,Kredit!$L$8:$L$1870,AA$412)</f>
        <v>0</v>
      </c>
      <c r="AB423" s="187">
        <f>COUNTIFS(Kredit!$M$8:$M$1870,3,Kredit!$P$8:$P$1870,$M423,Kredit!$L$8:$L$1870,AB$412)</f>
        <v>0</v>
      </c>
      <c r="AC423" s="259">
        <f>COUNTIFS(Kredit!$M$7:$M$1870,4,Kredit!$P$7:$P$1870,$M423)</f>
        <v>2</v>
      </c>
      <c r="AD423" s="2">
        <f>COUNTIFS(Kredit!$M$8:$M$1870,4,Kredit!$P$8:$P$1870,$M423,Kredit!$L$8:$L$1870,AD$412)</f>
        <v>2</v>
      </c>
      <c r="AE423" s="2">
        <f>COUNTIFS(Kredit!$M$8:$M$1870,4,Kredit!$P$8:$P$1870,$M423,Kredit!$L$8:$L$1870,AE$412)</f>
        <v>0</v>
      </c>
      <c r="AF423" s="2">
        <f>COUNTIFS(Kredit!$M$8:$M$1870,4,Kredit!$P$8:$P$1870,$M423,Kredit!$L$8:$L$1870,AF$412)</f>
        <v>0</v>
      </c>
      <c r="AG423" s="187">
        <f>COUNTIFS(Kredit!$M$8:$M$1870,4,Kredit!$P$8:$P$1870,$M423,Kredit!$L$8:$L$1870,AG$412)</f>
        <v>0</v>
      </c>
      <c r="AH423" s="259">
        <f>COUNTIFS(Kredit!$M$7:$M$1870,5,Kredit!$P$7:$P$1870,$M423)</f>
        <v>0</v>
      </c>
      <c r="AI423" s="2">
        <f>COUNTIFS(Kredit!$M$8:$M$1870,5,Kredit!$P$8:$P$1870,$M423,Kredit!$L$8:$L$1870,AI$412)</f>
        <v>0</v>
      </c>
      <c r="AJ423" s="2">
        <f>COUNTIFS(Kredit!$M$8:$M$1870,5,Kredit!$P$8:$P$1870,$M423,Kredit!$L$8:$L$1870,AJ$412)</f>
        <v>0</v>
      </c>
      <c r="AK423" s="2">
        <f>COUNTIFS(Kredit!$M$8:$M$1870,5,Kredit!$P$8:$P$1870,$M423,Kredit!$L$8:$L$1870,AK$412)</f>
        <v>0</v>
      </c>
      <c r="AL423" s="187">
        <f>COUNTIFS(Kredit!$M$8:$M$1870,5,Kredit!$P$8:$P$1870,$M423,Kredit!$L$8:$L$1870,AL$412)</f>
        <v>0</v>
      </c>
      <c r="AM423" s="259">
        <f>COUNTIFS(Kredit!$M$7:$M$1870,6,Kredit!$P$7:$P$1870,$M423)</f>
        <v>1</v>
      </c>
      <c r="AN423" s="2">
        <f>COUNTIFS(Kredit!$M$8:$M$1870,6,Kredit!$P$8:$P$1870,$M423,Kredit!$L$8:$L$1870,AN$412)</f>
        <v>1</v>
      </c>
      <c r="AO423" s="2">
        <f>COUNTIFS(Kredit!$M$8:$M$1870,6,Kredit!$P$8:$P$1870,$M423,Kredit!$L$8:$L$1870,AO$412)</f>
        <v>0</v>
      </c>
      <c r="AP423" s="2">
        <f>COUNTIFS(Kredit!$M$8:$M$1870,6,Kredit!$P$8:$P$1870,$M423,Kredit!$L$8:$L$1870,AP$412)</f>
        <v>0</v>
      </c>
      <c r="AQ423" s="187">
        <f>COUNTIFS(Kredit!$M$8:$M$1870,6,Kredit!$P$8:$P$1870,$M423,Kredit!$L$8:$L$1870,AQ$412)</f>
        <v>0</v>
      </c>
    </row>
    <row r="424" spans="1:43" x14ac:dyDescent="0.3">
      <c r="B424" s="67" t="s">
        <v>13</v>
      </c>
      <c r="C424" s="2">
        <f>COUNTIF(Kredit!$P$7:$P$1870,B424)</f>
        <v>68</v>
      </c>
      <c r="D424" s="2">
        <f>COUNTIFS(Kredit!$P$8:$P$1870,$B424,Kredit!$L$8:$L$1870,D$412)</f>
        <v>65</v>
      </c>
      <c r="E424" s="2">
        <f>COUNTIFS(Kredit!$P$8:$P$1870,$B424,Kredit!$L$8:$L$1870,E$412)</f>
        <v>1</v>
      </c>
      <c r="F424" s="2">
        <f>COUNTIFS(Kredit!$P$8:$P$1870,$B424,Kredit!$L$8:$L$1870,F$412)</f>
        <v>0</v>
      </c>
      <c r="G424" s="2">
        <f>COUNTIFS(Kredit!$P$8:$P$1870,$B424,Kredit!$L$8:$L$1870,G$412)</f>
        <v>2</v>
      </c>
      <c r="M424" s="226" t="s">
        <v>13</v>
      </c>
      <c r="N424" s="259">
        <f>COUNTIFS(Kredit!$M$8:$M$1871,1,Kredit!$P$7:$P$1870,$M424)</f>
        <v>29</v>
      </c>
      <c r="O424" s="2">
        <f>COUNTIFS(Kredit!$M$8:$M$1870,1,Kredit!$P$8:$P$1870,$M424,Kredit!$L$8:$L$1870,O$412)</f>
        <v>29</v>
      </c>
      <c r="P424" s="2">
        <f>COUNTIFS(Kredit!$M$8:$M$1870,1,Kredit!$P$8:$P$1870,$M424,Kredit!$L$8:$L$1870,P$412)</f>
        <v>0</v>
      </c>
      <c r="Q424" s="2">
        <f>COUNTIFS(Kredit!$M$8:$M$1870,1,Kredit!$P$8:$P$1870,$M424,Kredit!$L$8:$L$1870,Q$412)</f>
        <v>0</v>
      </c>
      <c r="R424" s="187">
        <f>COUNTIFS(Kredit!$M$8:$M$1870,1,Kredit!$P$8:$P$1870,$M424,Kredit!$L$8:$L$1870,R$412)</f>
        <v>0</v>
      </c>
      <c r="S424" s="259">
        <f>COUNTIFS(Kredit!$M$7:$M$1870,2,Kredit!$P$7:$P$1870,$M424)</f>
        <v>13</v>
      </c>
      <c r="T424" s="2">
        <f>COUNTIFS(Kredit!$M$8:$M$1870,2,Kredit!$P$8:$P$1870,$M424,Kredit!$L$8:$L$1870,T$412)</f>
        <v>12</v>
      </c>
      <c r="U424" s="2">
        <f>COUNTIFS(Kredit!$M$8:$M$1870,2,Kredit!$P$8:$P$1870,$M424,Kredit!$L$8:$L$1870,U$412)</f>
        <v>0</v>
      </c>
      <c r="V424" s="2">
        <f>COUNTIFS(Kredit!$M$8:$M$1870,2,Kredit!$P$8:$P$1870,$M424,Kredit!$L$8:$L$1870,V$412)</f>
        <v>0</v>
      </c>
      <c r="W424" s="187">
        <f>COUNTIFS(Kredit!$M$8:$M$1870,2,Kredit!$P$8:$P$1870,$M424,Kredit!$L$8:$L$1870,W$412)</f>
        <v>1</v>
      </c>
      <c r="X424" s="259">
        <f>COUNTIFS(Kredit!$M$8:$M$1871,3,Kredit!$P$7:$P$1870,$M424)</f>
        <v>8</v>
      </c>
      <c r="Y424" s="2">
        <f>COUNTIFS(Kredit!$M$8:$M$1870,3,Kredit!$P$8:$P$1870,$M424,Kredit!$L$8:$L$1870,Y$412)</f>
        <v>7</v>
      </c>
      <c r="Z424" s="2">
        <f>COUNTIFS(Kredit!$M$8:$M$1870,3,Kredit!$P$8:$P$1870,$M424,Kredit!$L$8:$L$1870,Z$412)</f>
        <v>0</v>
      </c>
      <c r="AA424" s="2">
        <f>COUNTIFS(Kredit!$M$8:$M$1870,3,Kredit!$P$8:$P$1870,$M424,Kredit!$L$8:$L$1870,AA$412)</f>
        <v>0</v>
      </c>
      <c r="AB424" s="187">
        <f>COUNTIFS(Kredit!$M$8:$M$1870,3,Kredit!$P$8:$P$1870,$M424,Kredit!$L$8:$L$1870,AB$412)</f>
        <v>1</v>
      </c>
      <c r="AC424" s="259">
        <f>COUNTIFS(Kredit!$M$7:$M$1870,4,Kredit!$P$7:$P$1870,$M424)</f>
        <v>7</v>
      </c>
      <c r="AD424" s="2">
        <f>COUNTIFS(Kredit!$M$8:$M$1870,4,Kredit!$P$8:$P$1870,$M424,Kredit!$L$8:$L$1870,AD$412)</f>
        <v>7</v>
      </c>
      <c r="AE424" s="2">
        <f>COUNTIFS(Kredit!$M$8:$M$1870,4,Kredit!$P$8:$P$1870,$M424,Kredit!$L$8:$L$1870,AE$412)</f>
        <v>0</v>
      </c>
      <c r="AF424" s="2">
        <f>COUNTIFS(Kredit!$M$8:$M$1870,4,Kredit!$P$8:$P$1870,$M424,Kredit!$L$8:$L$1870,AF$412)</f>
        <v>0</v>
      </c>
      <c r="AG424" s="187">
        <f>COUNTIFS(Kredit!$M$8:$M$1870,4,Kredit!$P$8:$P$1870,$M424,Kredit!$L$8:$L$1870,AG$412)</f>
        <v>0</v>
      </c>
      <c r="AH424" s="259">
        <f>COUNTIFS(Kredit!$M$7:$M$1870,5,Kredit!$P$7:$P$1870,$M424)</f>
        <v>7</v>
      </c>
      <c r="AI424" s="2">
        <f>COUNTIFS(Kredit!$M$8:$M$1870,5,Kredit!$P$8:$P$1870,$M424,Kredit!$L$8:$L$1870,AI$412)</f>
        <v>7</v>
      </c>
      <c r="AJ424" s="2">
        <f>COUNTIFS(Kredit!$M$8:$M$1870,5,Kredit!$P$8:$P$1870,$M424,Kredit!$L$8:$L$1870,AJ$412)</f>
        <v>0</v>
      </c>
      <c r="AK424" s="2">
        <f>COUNTIFS(Kredit!$M$8:$M$1870,5,Kredit!$P$8:$P$1870,$M424,Kredit!$L$8:$L$1870,AK$412)</f>
        <v>0</v>
      </c>
      <c r="AL424" s="187">
        <f>COUNTIFS(Kredit!$M$8:$M$1870,5,Kredit!$P$8:$P$1870,$M424,Kredit!$L$8:$L$1870,AL$412)</f>
        <v>0</v>
      </c>
      <c r="AM424" s="259">
        <f>COUNTIFS(Kredit!$M$7:$M$1870,6,Kredit!$P$7:$P$1870,$M424)</f>
        <v>4</v>
      </c>
      <c r="AN424" s="2">
        <f>COUNTIFS(Kredit!$M$8:$M$1870,6,Kredit!$P$8:$P$1870,$M424,Kredit!$L$8:$L$1870,AN$412)</f>
        <v>3</v>
      </c>
      <c r="AO424" s="2">
        <f>COUNTIFS(Kredit!$M$8:$M$1870,6,Kredit!$P$8:$P$1870,$M424,Kredit!$L$8:$L$1870,AO$412)</f>
        <v>1</v>
      </c>
      <c r="AP424" s="2">
        <f>COUNTIFS(Kredit!$M$8:$M$1870,6,Kredit!$P$8:$P$1870,$M424,Kredit!$L$8:$L$1870,AP$412)</f>
        <v>0</v>
      </c>
      <c r="AQ424" s="187">
        <f>COUNTIFS(Kredit!$M$8:$M$1870,6,Kredit!$P$8:$P$1870,$M424,Kredit!$L$8:$L$1870,AQ$412)</f>
        <v>0</v>
      </c>
    </row>
    <row r="425" spans="1:43" x14ac:dyDescent="0.3">
      <c r="B425" s="67" t="s">
        <v>243</v>
      </c>
      <c r="C425" s="2">
        <f>COUNTIF(Kredit!$P$7:$P$1870,B425)</f>
        <v>11</v>
      </c>
      <c r="D425" s="2">
        <f>COUNTIFS(Kredit!$P$8:$P$1870,$B425,Kredit!$L$8:$L$1870,D$412)</f>
        <v>9</v>
      </c>
      <c r="E425" s="2">
        <f>COUNTIFS(Kredit!$P$8:$P$1870,$B425,Kredit!$L$8:$L$1870,E$412)</f>
        <v>0</v>
      </c>
      <c r="F425" s="2">
        <f>COUNTIFS(Kredit!$P$8:$P$1870,$B425,Kredit!$L$8:$L$1870,F$412)</f>
        <v>1</v>
      </c>
      <c r="G425" s="2">
        <f>COUNTIFS(Kredit!$P$8:$P$1870,$B425,Kredit!$L$8:$L$1870,G$412)</f>
        <v>1</v>
      </c>
      <c r="M425" s="226" t="s">
        <v>243</v>
      </c>
      <c r="N425" s="259">
        <f>COUNTIFS(Kredit!$M$8:$M$1871,1,Kredit!$P$7:$P$1870,$M425)</f>
        <v>1</v>
      </c>
      <c r="O425" s="2">
        <f>COUNTIFS(Kredit!$M$8:$M$1870,1,Kredit!$P$8:$P$1870,$M425,Kredit!$L$8:$L$1870,O$412)</f>
        <v>1</v>
      </c>
      <c r="P425" s="2">
        <f>COUNTIFS(Kredit!$M$8:$M$1870,1,Kredit!$P$8:$P$1870,$M425,Kredit!$L$8:$L$1870,P$412)</f>
        <v>0</v>
      </c>
      <c r="Q425" s="2">
        <f>COUNTIFS(Kredit!$M$8:$M$1870,1,Kredit!$P$8:$P$1870,$M425,Kredit!$L$8:$L$1870,Q$412)</f>
        <v>0</v>
      </c>
      <c r="R425" s="187">
        <f>COUNTIFS(Kredit!$M$8:$M$1870,1,Kredit!$P$8:$P$1870,$M425,Kredit!$L$8:$L$1870,R$412)</f>
        <v>0</v>
      </c>
      <c r="S425" s="259">
        <f>COUNTIFS(Kredit!$M$7:$M$1870,2,Kredit!$P$7:$P$1870,$M425)</f>
        <v>2</v>
      </c>
      <c r="T425" s="2">
        <f>COUNTIFS(Kredit!$M$8:$M$1870,2,Kredit!$P$8:$P$1870,$M425,Kredit!$L$8:$L$1870,T$412)</f>
        <v>2</v>
      </c>
      <c r="U425" s="2">
        <f>COUNTIFS(Kredit!$M$8:$M$1870,2,Kredit!$P$8:$P$1870,$M425,Kredit!$L$8:$L$1870,U$412)</f>
        <v>0</v>
      </c>
      <c r="V425" s="2">
        <f>COUNTIFS(Kredit!$M$8:$M$1870,2,Kredit!$P$8:$P$1870,$M425,Kredit!$L$8:$L$1870,V$412)</f>
        <v>0</v>
      </c>
      <c r="W425" s="187">
        <f>COUNTIFS(Kredit!$M$8:$M$1870,2,Kredit!$P$8:$P$1870,$M425,Kredit!$L$8:$L$1870,W$412)</f>
        <v>0</v>
      </c>
      <c r="X425" s="259">
        <f>COUNTIFS(Kredit!$M$8:$M$1871,3,Kredit!$P$7:$P$1870,$M425)</f>
        <v>1</v>
      </c>
      <c r="Y425" s="2">
        <f>COUNTIFS(Kredit!$M$8:$M$1870,3,Kredit!$P$8:$P$1870,$M425,Kredit!$L$8:$L$1870,Y$412)</f>
        <v>1</v>
      </c>
      <c r="Z425" s="2">
        <f>COUNTIFS(Kredit!$M$8:$M$1870,3,Kredit!$P$8:$P$1870,$M425,Kredit!$L$8:$L$1870,Z$412)</f>
        <v>0</v>
      </c>
      <c r="AA425" s="2">
        <f>COUNTIFS(Kredit!$M$8:$M$1870,3,Kredit!$P$8:$P$1870,$M425,Kredit!$L$8:$L$1870,AA$412)</f>
        <v>0</v>
      </c>
      <c r="AB425" s="187">
        <f>COUNTIFS(Kredit!$M$8:$M$1870,3,Kredit!$P$8:$P$1870,$M425,Kredit!$L$8:$L$1870,AB$412)</f>
        <v>0</v>
      </c>
      <c r="AC425" s="259">
        <f>COUNTIFS(Kredit!$M$7:$M$1870,4,Kredit!$P$7:$P$1870,$M425)</f>
        <v>2</v>
      </c>
      <c r="AD425" s="2">
        <f>COUNTIFS(Kredit!$M$8:$M$1870,4,Kredit!$P$8:$P$1870,$M425,Kredit!$L$8:$L$1870,AD$412)</f>
        <v>2</v>
      </c>
      <c r="AE425" s="2">
        <f>COUNTIFS(Kredit!$M$8:$M$1870,4,Kredit!$P$8:$P$1870,$M425,Kredit!$L$8:$L$1870,AE$412)</f>
        <v>0</v>
      </c>
      <c r="AF425" s="2">
        <f>COUNTIFS(Kredit!$M$8:$M$1870,4,Kredit!$P$8:$P$1870,$M425,Kredit!$L$8:$L$1870,AF$412)</f>
        <v>0</v>
      </c>
      <c r="AG425" s="187">
        <f>COUNTIFS(Kredit!$M$8:$M$1870,4,Kredit!$P$8:$P$1870,$M425,Kredit!$L$8:$L$1870,AG$412)</f>
        <v>0</v>
      </c>
      <c r="AH425" s="259">
        <f>COUNTIFS(Kredit!$M$7:$M$1870,5,Kredit!$P$7:$P$1870,$M425)</f>
        <v>2</v>
      </c>
      <c r="AI425" s="2">
        <f>COUNTIFS(Kredit!$M$8:$M$1870,5,Kredit!$P$8:$P$1870,$M425,Kredit!$L$8:$L$1870,AI$412)</f>
        <v>1</v>
      </c>
      <c r="AJ425" s="2">
        <f>COUNTIFS(Kredit!$M$8:$M$1870,5,Kredit!$P$8:$P$1870,$M425,Kredit!$L$8:$L$1870,AJ$412)</f>
        <v>0</v>
      </c>
      <c r="AK425" s="2">
        <f>COUNTIFS(Kredit!$M$8:$M$1870,5,Kredit!$P$8:$P$1870,$M425,Kredit!$L$8:$L$1870,AK$412)</f>
        <v>0</v>
      </c>
      <c r="AL425" s="187">
        <f>COUNTIFS(Kredit!$M$8:$M$1870,5,Kredit!$P$8:$P$1870,$M425,Kredit!$L$8:$L$1870,AL$412)</f>
        <v>1</v>
      </c>
      <c r="AM425" s="259">
        <f>COUNTIFS(Kredit!$M$7:$M$1870,6,Kredit!$P$7:$P$1870,$M425)</f>
        <v>3</v>
      </c>
      <c r="AN425" s="2">
        <f>COUNTIFS(Kredit!$M$8:$M$1870,6,Kredit!$P$8:$P$1870,$M425,Kredit!$L$8:$L$1870,AN$412)</f>
        <v>2</v>
      </c>
      <c r="AO425" s="2">
        <f>COUNTIFS(Kredit!$M$8:$M$1870,6,Kredit!$P$8:$P$1870,$M425,Kredit!$L$8:$L$1870,AO$412)</f>
        <v>0</v>
      </c>
      <c r="AP425" s="2">
        <f>COUNTIFS(Kredit!$M$8:$M$1870,6,Kredit!$P$8:$P$1870,$M425,Kredit!$L$8:$L$1870,AP$412)</f>
        <v>1</v>
      </c>
      <c r="AQ425" s="187">
        <f>COUNTIFS(Kredit!$M$8:$M$1870,6,Kredit!$P$8:$P$1870,$M425,Kredit!$L$8:$L$1870,AQ$412)</f>
        <v>0</v>
      </c>
    </row>
    <row r="426" spans="1:43" x14ac:dyDescent="0.3">
      <c r="B426" s="67" t="s">
        <v>12075</v>
      </c>
      <c r="C426" s="2">
        <f>COUNTIF(Kredit!$P$7:$P$1870,B426)</f>
        <v>114</v>
      </c>
      <c r="D426" s="2">
        <f>COUNTIFS(Kredit!$P$8:$P$1870,$B426,Kredit!$L$8:$L$1870,D$412)</f>
        <v>107</v>
      </c>
      <c r="E426" s="2">
        <f>COUNTIFS(Kredit!$P$8:$P$1870,$B426,Kredit!$L$8:$L$1870,E$412)</f>
        <v>1</v>
      </c>
      <c r="F426" s="2">
        <f>COUNTIFS(Kredit!$P$8:$P$1870,$B426,Kredit!$L$8:$L$1870,F$412)</f>
        <v>1</v>
      </c>
      <c r="G426" s="2">
        <f>COUNTIFS(Kredit!$P$8:$P$1870,$B426,Kredit!$L$8:$L$1870,G$412)</f>
        <v>5</v>
      </c>
      <c r="M426" s="226" t="s">
        <v>12075</v>
      </c>
      <c r="N426" s="259">
        <f>COUNTIFS(Kredit!$M$8:$M$1871,1,Kredit!$P$7:$P$1870,$M426)</f>
        <v>67</v>
      </c>
      <c r="O426" s="2">
        <f>COUNTIFS(Kredit!$M$8:$M$1870,1,Kredit!$P$8:$P$1870,$M426,Kredit!$L$8:$L$1870,O$412)</f>
        <v>63</v>
      </c>
      <c r="P426" s="2">
        <f>COUNTIFS(Kredit!$M$8:$M$1870,1,Kredit!$P$8:$P$1870,$M426,Kredit!$L$8:$L$1870,P$412)</f>
        <v>1</v>
      </c>
      <c r="Q426" s="2">
        <f>COUNTIFS(Kredit!$M$8:$M$1870,1,Kredit!$P$8:$P$1870,$M426,Kredit!$L$8:$L$1870,Q$412)</f>
        <v>1</v>
      </c>
      <c r="R426" s="187">
        <f>COUNTIFS(Kredit!$M$8:$M$1870,1,Kredit!$P$8:$P$1870,$M426,Kredit!$L$8:$L$1870,R$412)</f>
        <v>2</v>
      </c>
      <c r="S426" s="259">
        <f>COUNTIFS(Kredit!$M$7:$M$1870,2,Kredit!$P$7:$P$1870,$M426)</f>
        <v>16</v>
      </c>
      <c r="T426" s="2">
        <f>COUNTIFS(Kredit!$M$8:$M$1870,2,Kredit!$P$8:$P$1870,$M426,Kredit!$L$8:$L$1870,T$412)</f>
        <v>15</v>
      </c>
      <c r="U426" s="2">
        <f>COUNTIFS(Kredit!$M$8:$M$1870,2,Kredit!$P$8:$P$1870,$M426,Kredit!$L$8:$L$1870,U$412)</f>
        <v>0</v>
      </c>
      <c r="V426" s="2">
        <f>COUNTIFS(Kredit!$M$8:$M$1870,2,Kredit!$P$8:$P$1870,$M426,Kredit!$L$8:$L$1870,V$412)</f>
        <v>0</v>
      </c>
      <c r="W426" s="187">
        <f>COUNTIFS(Kredit!$M$8:$M$1870,2,Kredit!$P$8:$P$1870,$M426,Kredit!$L$8:$L$1870,W$412)</f>
        <v>1</v>
      </c>
      <c r="X426" s="259">
        <f>COUNTIFS(Kredit!$M$8:$M$1871,3,Kredit!$P$7:$P$1870,$M426)</f>
        <v>6</v>
      </c>
      <c r="Y426" s="2">
        <f>COUNTIFS(Kredit!$M$8:$M$1870,3,Kredit!$P$8:$P$1870,$M426,Kredit!$L$8:$L$1870,Y$412)</f>
        <v>5</v>
      </c>
      <c r="Z426" s="2">
        <f>COUNTIFS(Kredit!$M$8:$M$1870,3,Kredit!$P$8:$P$1870,$M426,Kredit!$L$8:$L$1870,Z$412)</f>
        <v>0</v>
      </c>
      <c r="AA426" s="2">
        <f>COUNTIFS(Kredit!$M$8:$M$1870,3,Kredit!$P$8:$P$1870,$M426,Kredit!$L$8:$L$1870,AA$412)</f>
        <v>0</v>
      </c>
      <c r="AB426" s="187">
        <f>COUNTIFS(Kredit!$M$8:$M$1870,3,Kredit!$P$8:$P$1870,$M426,Kredit!$L$8:$L$1870,AB$412)</f>
        <v>1</v>
      </c>
      <c r="AC426" s="259">
        <f>COUNTIFS(Kredit!$M$7:$M$1870,4,Kredit!$P$7:$P$1870,$M426)</f>
        <v>7</v>
      </c>
      <c r="AD426" s="2">
        <f>COUNTIFS(Kredit!$M$8:$M$1870,4,Kredit!$P$8:$P$1870,$M426,Kredit!$L$8:$L$1870,AD$412)</f>
        <v>7</v>
      </c>
      <c r="AE426" s="2">
        <f>COUNTIFS(Kredit!$M$8:$M$1870,4,Kredit!$P$8:$P$1870,$M426,Kredit!$L$8:$L$1870,AE$412)</f>
        <v>0</v>
      </c>
      <c r="AF426" s="2">
        <f>COUNTIFS(Kredit!$M$8:$M$1870,4,Kredit!$P$8:$P$1870,$M426,Kredit!$L$8:$L$1870,AF$412)</f>
        <v>0</v>
      </c>
      <c r="AG426" s="187">
        <f>COUNTIFS(Kredit!$M$8:$M$1870,4,Kredit!$P$8:$P$1870,$M426,Kredit!$L$8:$L$1870,AG$412)</f>
        <v>0</v>
      </c>
      <c r="AH426" s="259">
        <f>COUNTIFS(Kredit!$M$7:$M$1870,5,Kredit!$P$7:$P$1870,$M426)</f>
        <v>3</v>
      </c>
      <c r="AI426" s="2">
        <f>COUNTIFS(Kredit!$M$8:$M$1870,5,Kredit!$P$8:$P$1870,$M426,Kredit!$L$8:$L$1870,AI$412)</f>
        <v>3</v>
      </c>
      <c r="AJ426" s="2">
        <f>COUNTIFS(Kredit!$M$8:$M$1870,5,Kredit!$P$8:$P$1870,$M426,Kredit!$L$8:$L$1870,AJ$412)</f>
        <v>0</v>
      </c>
      <c r="AK426" s="2">
        <f>COUNTIFS(Kredit!$M$8:$M$1870,5,Kredit!$P$8:$P$1870,$M426,Kredit!$L$8:$L$1870,AK$412)</f>
        <v>0</v>
      </c>
      <c r="AL426" s="187">
        <f>COUNTIFS(Kredit!$M$8:$M$1870,5,Kredit!$P$8:$P$1870,$M426,Kredit!$L$8:$L$1870,AL$412)</f>
        <v>0</v>
      </c>
      <c r="AM426" s="259">
        <f>COUNTIFS(Kredit!$M$7:$M$1870,6,Kredit!$P$7:$P$1870,$M426)</f>
        <v>15</v>
      </c>
      <c r="AN426" s="2">
        <f>COUNTIFS(Kredit!$M$8:$M$1870,6,Kredit!$P$8:$P$1870,$M426,Kredit!$L$8:$L$1870,AN$412)</f>
        <v>14</v>
      </c>
      <c r="AO426" s="2">
        <f>COUNTIFS(Kredit!$M$8:$M$1870,6,Kredit!$P$8:$P$1870,$M426,Kredit!$L$8:$L$1870,AO$412)</f>
        <v>0</v>
      </c>
      <c r="AP426" s="2">
        <f>COUNTIFS(Kredit!$M$8:$M$1870,6,Kredit!$P$8:$P$1870,$M426,Kredit!$L$8:$L$1870,AP$412)</f>
        <v>0</v>
      </c>
      <c r="AQ426" s="187">
        <f>COUNTIFS(Kredit!$M$8:$M$1870,6,Kredit!$P$8:$P$1870,$M426,Kredit!$L$8:$L$1870,AQ$412)</f>
        <v>1</v>
      </c>
    </row>
    <row r="427" spans="1:43" x14ac:dyDescent="0.3">
      <c r="B427" s="67" t="s">
        <v>12076</v>
      </c>
      <c r="C427" s="2">
        <f>COUNTIF(Kredit!$P$7:$P$1870,0)</f>
        <v>18</v>
      </c>
      <c r="D427" s="2">
        <f>COUNTIFS(Kredit!$P$8:$P$1870,0,Kredit!$L$8:$L$1870,D$412)</f>
        <v>14</v>
      </c>
      <c r="E427" s="2">
        <f>COUNTIFS(Kredit!$P$8:$P$1870,0,Kredit!$L$8:$L$1870,E$412)</f>
        <v>0</v>
      </c>
      <c r="F427" s="2">
        <f>COUNTIFS(Kredit!$P$8:$P$1870,0,Kredit!$L$8:$L$1870,F$412)</f>
        <v>0</v>
      </c>
      <c r="G427" s="2">
        <f>COUNTIFS(Kredit!$P$8:$P$1870,0,Kredit!$L$8:$L$1870,G$412)</f>
        <v>4</v>
      </c>
      <c r="M427" s="226" t="s">
        <v>12076</v>
      </c>
      <c r="N427" s="259">
        <f>COUNTIFS(Kredit!$M$8:$M$1871,1,Kredit!$P$7:$P$1870,0)</f>
        <v>12</v>
      </c>
      <c r="O427" s="2">
        <f>COUNTIFS(Kredit!$M$8:$M$1870,1,Kredit!$P$8:$P$1870,0,Kredit!$L$8:$L$1870,O$412)</f>
        <v>12</v>
      </c>
      <c r="P427" s="2">
        <f>COUNTIFS(Kredit!$M$8:$M$1870,1,Kredit!$P$8:$P$1870,0,Kredit!$L$8:$L$1870,P$412)</f>
        <v>0</v>
      </c>
      <c r="Q427" s="2">
        <f>COUNTIFS(Kredit!$M$8:$M$1870,1,Kredit!$P$8:$P$1870,0,Kredit!$L$8:$L$1870,Q$412)</f>
        <v>0</v>
      </c>
      <c r="R427" s="187">
        <f>COUNTIFS(Kredit!$M$8:$M$1870,1,Kredit!$P$8:$P$1870,0,Kredit!$L$8:$L$1870,R$412)</f>
        <v>0</v>
      </c>
      <c r="S427" s="259">
        <f>COUNTIFS(Kredit!$M$7:$M$1870,2,Kredit!$P$7:$P$1870,0)</f>
        <v>5</v>
      </c>
      <c r="T427" s="2">
        <f>COUNTIFS(Kredit!$M$8:$M$1870,2,Kredit!$P$8:$P$1870,0,Kredit!$L$8:$L$1870,T$412)</f>
        <v>1</v>
      </c>
      <c r="U427" s="2">
        <f>COUNTIFS(Kredit!$M$8:$M$1870,2,Kredit!$P$8:$P$1870,0,Kredit!$L$8:$L$1870,U$412)</f>
        <v>0</v>
      </c>
      <c r="V427" s="2">
        <f>COUNTIFS(Kredit!$M$8:$M$1870,2,Kredit!$P$8:$P$1870,0,Kredit!$L$8:$L$1870,V$412)</f>
        <v>0</v>
      </c>
      <c r="W427" s="187">
        <f>COUNTIFS(Kredit!$M$8:$M$1870,2,Kredit!$P$8:$P$1870,0,Kredit!$L$8:$L$1870,W$412)</f>
        <v>4</v>
      </c>
      <c r="X427" s="259">
        <f>COUNTIFS(Kredit!$M$8:$M$1871,3,Kredit!$P$7:$P$1870,0)</f>
        <v>0</v>
      </c>
      <c r="Y427" s="2">
        <f>COUNTIFS(Kredit!$M$8:$M$1870,3,Kredit!$P$8:$P$1870,0,Kredit!$L$8:$L$1870,Y$412)</f>
        <v>0</v>
      </c>
      <c r="Z427" s="2">
        <f>COUNTIFS(Kredit!$M$8:$M$1870,3,Kredit!$P$8:$P$1870,0,Kredit!$L$8:$L$1870,Z$412)</f>
        <v>0</v>
      </c>
      <c r="AA427" s="2">
        <f>COUNTIFS(Kredit!$M$8:$M$1870,3,Kredit!$P$8:$P$1870,0,Kredit!$L$8:$L$1870,AA$412)</f>
        <v>0</v>
      </c>
      <c r="AB427" s="187">
        <f>COUNTIFS(Kredit!$M$8:$M$1870,3,Kredit!$P$8:$P$1870,0,Kredit!$L$8:$L$1870,AB$412)</f>
        <v>0</v>
      </c>
      <c r="AC427" s="259">
        <f>COUNTIFS(Kredit!$M$7:$M$1870,4,Kredit!$P$7:$P$1870,0)</f>
        <v>1</v>
      </c>
      <c r="AD427" s="2">
        <f>COUNTIFS(Kredit!$M$8:$M$1870,4,Kredit!$P$8:$P$1870,0,Kredit!$L$8:$L$1870,AD$412)</f>
        <v>1</v>
      </c>
      <c r="AE427" s="2">
        <f>COUNTIFS(Kredit!$M$8:$M$1870,4,Kredit!$P$8:$P$1870,0,Kredit!$L$8:$L$1870,AE$412)</f>
        <v>0</v>
      </c>
      <c r="AF427" s="2">
        <f>COUNTIFS(Kredit!$M$8:$M$1870,4,Kredit!$P$8:$P$1870,0,Kredit!$L$8:$L$1870,AF$412)</f>
        <v>0</v>
      </c>
      <c r="AG427" s="187">
        <f>COUNTIFS(Kredit!$M$8:$M$1870,4,Kredit!$P$8:$P$1870,0,Kredit!$L$8:$L$1870,AG$412)</f>
        <v>0</v>
      </c>
      <c r="AH427" s="259">
        <f>COUNTIFS(Kredit!$M$7:$M$1870,5,Kredit!$P$7:$P$1870,0)</f>
        <v>0</v>
      </c>
      <c r="AI427" s="2">
        <f>COUNTIFS(Kredit!$M$8:$M$1870,5,Kredit!$P$8:$P$1870,0,Kredit!$L$8:$L$1870,AI$412)</f>
        <v>0</v>
      </c>
      <c r="AJ427" s="2">
        <f>COUNTIFS(Kredit!$M$8:$M$1870,5,Kredit!$P$8:$P$1870,0,Kredit!$L$8:$L$1870,AJ$412)</f>
        <v>0</v>
      </c>
      <c r="AK427" s="2">
        <f>COUNTIFS(Kredit!$M$8:$M$1870,5,Kredit!$P$8:$P$1870,0,Kredit!$L$8:$L$1870,AK$412)</f>
        <v>0</v>
      </c>
      <c r="AL427" s="187">
        <f>COUNTIFS(Kredit!$M$8:$M$1870,5,Kredit!$P$8:$P$1870,0,Kredit!$L$8:$L$1870,AL$412)</f>
        <v>0</v>
      </c>
      <c r="AM427" s="259">
        <f>COUNTIFS(Kredit!$M$7:$M$1870,6,Kredit!$P$7:$P$1870,0)</f>
        <v>0</v>
      </c>
      <c r="AN427" s="2">
        <f>COUNTIFS(Kredit!$M$8:$M$1870,6,Kredit!$P$8:$P$1870,0,Kredit!$L$8:$L$1870,AN$412)</f>
        <v>0</v>
      </c>
      <c r="AO427" s="2">
        <f>COUNTIFS(Kredit!$M$8:$M$1870,6,Kredit!$P$8:$P$1870,0,Kredit!$L$8:$L$1870,AO$412)</f>
        <v>0</v>
      </c>
      <c r="AP427" s="2">
        <f>COUNTIFS(Kredit!$M$8:$M$1870,6,Kredit!$P$8:$P$1870,0,Kredit!$L$8:$L$1870,AP$412)</f>
        <v>0</v>
      </c>
      <c r="AQ427" s="187">
        <f>COUNTIFS(Kredit!$M$8:$M$1870,6,Kredit!$P$8:$P$1870,0,Kredit!$L$8:$L$1870,AQ$412)</f>
        <v>0</v>
      </c>
    </row>
    <row r="428" spans="1:43" ht="15" thickBot="1" x14ac:dyDescent="0.35">
      <c r="B428" s="268" t="s">
        <v>9805</v>
      </c>
      <c r="C428" s="2">
        <f>SUM(C414:C427)</f>
        <v>1861</v>
      </c>
      <c r="D428" s="2">
        <f t="shared" ref="D428:G428" si="69">SUM(D414:D427)</f>
        <v>1676</v>
      </c>
      <c r="E428" s="2">
        <f t="shared" si="69"/>
        <v>35</v>
      </c>
      <c r="F428" s="2">
        <f t="shared" si="69"/>
        <v>35</v>
      </c>
      <c r="G428" s="2">
        <f t="shared" si="69"/>
        <v>115</v>
      </c>
      <c r="M428" s="247" t="s">
        <v>12078</v>
      </c>
      <c r="N428" s="209">
        <f t="shared" ref="N428:AQ428" si="70">SUM(N414:N427)</f>
        <v>725</v>
      </c>
      <c r="O428" s="210">
        <f t="shared" si="70"/>
        <v>680</v>
      </c>
      <c r="P428" s="210">
        <f t="shared" si="70"/>
        <v>10</v>
      </c>
      <c r="Q428" s="210">
        <f t="shared" si="70"/>
        <v>12</v>
      </c>
      <c r="R428" s="211">
        <f t="shared" si="70"/>
        <v>23</v>
      </c>
      <c r="S428" s="204">
        <f t="shared" si="70"/>
        <v>326</v>
      </c>
      <c r="T428" s="205">
        <f t="shared" si="70"/>
        <v>274</v>
      </c>
      <c r="U428" s="205">
        <f t="shared" si="70"/>
        <v>6</v>
      </c>
      <c r="V428" s="205">
        <f t="shared" si="70"/>
        <v>3</v>
      </c>
      <c r="W428" s="206">
        <f t="shared" si="70"/>
        <v>43</v>
      </c>
      <c r="X428" s="214">
        <f t="shared" si="70"/>
        <v>287</v>
      </c>
      <c r="Y428" s="215">
        <f t="shared" si="70"/>
        <v>255</v>
      </c>
      <c r="Z428" s="215">
        <f t="shared" si="70"/>
        <v>10</v>
      </c>
      <c r="AA428" s="215">
        <f t="shared" si="70"/>
        <v>6</v>
      </c>
      <c r="AB428" s="216">
        <f t="shared" si="70"/>
        <v>16</v>
      </c>
      <c r="AC428" s="252">
        <f t="shared" si="70"/>
        <v>256</v>
      </c>
      <c r="AD428" s="253">
        <f t="shared" si="70"/>
        <v>234</v>
      </c>
      <c r="AE428" s="253">
        <f t="shared" si="70"/>
        <v>3</v>
      </c>
      <c r="AF428" s="253">
        <f t="shared" si="70"/>
        <v>5</v>
      </c>
      <c r="AG428" s="254">
        <f t="shared" si="70"/>
        <v>14</v>
      </c>
      <c r="AH428" s="256">
        <f t="shared" si="70"/>
        <v>113</v>
      </c>
      <c r="AI428" s="257">
        <f t="shared" si="70"/>
        <v>107</v>
      </c>
      <c r="AJ428" s="257">
        <f t="shared" si="70"/>
        <v>0</v>
      </c>
      <c r="AK428" s="257">
        <f t="shared" si="70"/>
        <v>1</v>
      </c>
      <c r="AL428" s="258">
        <f t="shared" si="70"/>
        <v>5</v>
      </c>
      <c r="AM428" s="204">
        <f t="shared" si="70"/>
        <v>154</v>
      </c>
      <c r="AN428" s="205">
        <f t="shared" si="70"/>
        <v>126</v>
      </c>
      <c r="AO428" s="205">
        <f t="shared" si="70"/>
        <v>6</v>
      </c>
      <c r="AP428" s="205">
        <f t="shared" si="70"/>
        <v>8</v>
      </c>
      <c r="AQ428" s="206">
        <f t="shared" si="70"/>
        <v>14</v>
      </c>
    </row>
    <row r="429" spans="1:43" x14ac:dyDescent="0.3">
      <c r="A429" s="58">
        <v>13</v>
      </c>
      <c r="B429" s="84" t="s">
        <v>12098</v>
      </c>
      <c r="N429" s="269">
        <f>N428-SUM(O428:R428)</f>
        <v>0</v>
      </c>
      <c r="O429" s="269"/>
      <c r="P429" s="269"/>
      <c r="Q429" s="269"/>
      <c r="R429" s="269"/>
      <c r="S429" s="269">
        <f>S428-SUM(T428:W428)</f>
        <v>0</v>
      </c>
      <c r="X429" s="269">
        <f>X428-SUM(Y428:AB428)</f>
        <v>0</v>
      </c>
      <c r="AC429" s="269">
        <f>AC428-SUM(AD428:AG428)</f>
        <v>0</v>
      </c>
      <c r="AH429" s="269">
        <f>AH428-SUM(AI428:AL428)</f>
        <v>0</v>
      </c>
      <c r="AM429" s="269">
        <f>AM428-SUM(AN428:AQ428)</f>
        <v>0</v>
      </c>
    </row>
    <row r="431" spans="1:43" x14ac:dyDescent="0.3">
      <c r="B431" s="321" t="s">
        <v>12067</v>
      </c>
      <c r="C431" s="321" t="s">
        <v>12096</v>
      </c>
      <c r="D431" s="85" t="s">
        <v>12058</v>
      </c>
      <c r="E431" s="85" t="s">
        <v>12059</v>
      </c>
      <c r="F431" s="85" t="s">
        <v>12060</v>
      </c>
      <c r="G431" s="85" t="s">
        <v>12061</v>
      </c>
    </row>
    <row r="432" spans="1:43" x14ac:dyDescent="0.3">
      <c r="B432" s="321"/>
      <c r="C432" s="321"/>
      <c r="D432" s="85" t="s">
        <v>12066</v>
      </c>
      <c r="E432" s="85" t="s">
        <v>12063</v>
      </c>
      <c r="F432" s="85" t="s">
        <v>12064</v>
      </c>
      <c r="G432" s="85" t="s">
        <v>12097</v>
      </c>
    </row>
    <row r="433" spans="2:8" x14ac:dyDescent="0.3">
      <c r="B433" s="25" t="s">
        <v>9828</v>
      </c>
      <c r="C433" s="2">
        <f>COUNTIF(Kredit!$N$7:$N$1870,B433)</f>
        <v>455</v>
      </c>
      <c r="D433" s="2">
        <f>COUNTIFS(Kredit!$N$7:$N$1870,$B433,Kredit!$L$7:$L$1870,D$431)</f>
        <v>426</v>
      </c>
      <c r="E433" s="2">
        <f>COUNTIFS(Kredit!$N$7:$N$1870,$B433,Kredit!$L$7:$L$1870,E$431)</f>
        <v>6</v>
      </c>
      <c r="F433" s="2">
        <f>COUNTIFS(Kredit!$N$7:$N$1870,$B433,Kredit!$L$7:$L$1870,F$431)</f>
        <v>4</v>
      </c>
      <c r="G433" s="2">
        <f>COUNTIFS(Kredit!$N$7:$N$1870,$B433,Kredit!$L$7:$L$1870,G$431)</f>
        <v>19</v>
      </c>
      <c r="H433" s="141">
        <f t="shared" ref="H433:H439" si="71">SUM(E433:G433)/C433</f>
        <v>6.3736263736263732E-2</v>
      </c>
    </row>
    <row r="434" spans="2:8" x14ac:dyDescent="0.3">
      <c r="B434" s="25" t="s">
        <v>9830</v>
      </c>
      <c r="C434" s="2">
        <f>COUNTIF(Kredit!$N$7:$N$1870,B434)</f>
        <v>282</v>
      </c>
      <c r="D434" s="2">
        <f>COUNTIFS(Kredit!$N$7:$N$1870,$B434,Kredit!$L$7:$L$1870,D$431)</f>
        <v>260</v>
      </c>
      <c r="E434" s="2">
        <f>COUNTIFS(Kredit!$N$7:$N$1870,$B434,Kredit!$L$7:$L$1870,E$431)</f>
        <v>5</v>
      </c>
      <c r="F434" s="2">
        <f>COUNTIFS(Kredit!$N$7:$N$1870,$B434,Kredit!$L$7:$L$1870,F$431)</f>
        <v>8</v>
      </c>
      <c r="G434" s="2">
        <f>COUNTIFS(Kredit!$N$7:$N$1870,$B434,Kredit!$L$7:$L$1870,G$431)</f>
        <v>9</v>
      </c>
      <c r="H434" s="141">
        <f t="shared" si="71"/>
        <v>7.8014184397163122E-2</v>
      </c>
    </row>
    <row r="435" spans="2:8" x14ac:dyDescent="0.3">
      <c r="B435" s="25" t="s">
        <v>17</v>
      </c>
      <c r="C435" s="2">
        <f>COUNTIF(Kredit!$N$7:$N$1870,B435)</f>
        <v>292</v>
      </c>
      <c r="D435" s="2">
        <f>COUNTIFS(Kredit!$N$7:$N$1870,$B435,Kredit!$L$7:$L$1870,D$431)</f>
        <v>280</v>
      </c>
      <c r="E435" s="2">
        <f>COUNTIFS(Kredit!$N$7:$N$1870,$B435,Kredit!$L$7:$L$1870,E$431)</f>
        <v>4</v>
      </c>
      <c r="F435" s="2">
        <f>COUNTIFS(Kredit!$N$7:$N$1870,$B435,Kredit!$L$7:$L$1870,F$431)</f>
        <v>3</v>
      </c>
      <c r="G435" s="2">
        <f>COUNTIFS(Kredit!$N$7:$N$1870,$B435,Kredit!$L$7:$L$1870,G$431)</f>
        <v>5</v>
      </c>
      <c r="H435" s="141">
        <f t="shared" si="71"/>
        <v>4.1095890410958902E-2</v>
      </c>
    </row>
    <row r="436" spans="2:8" x14ac:dyDescent="0.3">
      <c r="B436" s="25" t="s">
        <v>9834</v>
      </c>
      <c r="C436" s="2">
        <f>COUNTIF(Kredit!$N$7:$N$1870,B436)</f>
        <v>726</v>
      </c>
      <c r="D436" s="2">
        <f>COUNTIFS(Kredit!$N$7:$N$1870,$B436,Kredit!$L$7:$L$1870,D$431)</f>
        <v>648</v>
      </c>
      <c r="E436" s="2">
        <f>COUNTIFS(Kredit!$N$7:$N$1870,$B436,Kredit!$L$7:$L$1870,E$431)</f>
        <v>17</v>
      </c>
      <c r="F436" s="2">
        <f>COUNTIFS(Kredit!$N$7:$N$1870,$B436,Kredit!$L$7:$L$1870,F$431)</f>
        <v>19</v>
      </c>
      <c r="G436" s="2">
        <f>COUNTIFS(Kredit!$N$7:$N$1870,$B436,Kredit!$L$7:$L$1870,G$431)</f>
        <v>42</v>
      </c>
      <c r="H436" s="141">
        <f t="shared" si="71"/>
        <v>0.10743801652892562</v>
      </c>
    </row>
    <row r="437" spans="2:8" x14ac:dyDescent="0.3">
      <c r="B437" s="25" t="s">
        <v>110</v>
      </c>
      <c r="C437" s="2">
        <f>COUNTIF(Kredit!$N$7:$N$1870,B437)</f>
        <v>22</v>
      </c>
      <c r="D437" s="2">
        <f>COUNTIFS(Kredit!$N$7:$N$1870,$B437,Kredit!$L$7:$L$1870,D$431)</f>
        <v>22</v>
      </c>
      <c r="E437" s="2">
        <f>COUNTIFS(Kredit!$N$7:$N$1870,$B437,Kredit!$L$7:$L$1870,E$431)</f>
        <v>0</v>
      </c>
      <c r="F437" s="2">
        <f>COUNTIFS(Kredit!$N$7:$N$1870,$B437,Kredit!$L$7:$L$1870,F$431)</f>
        <v>0</v>
      </c>
      <c r="G437" s="2">
        <f>COUNTIFS(Kredit!$N$7:$N$1870,$B437,Kredit!$L$7:$L$1870,G$431)</f>
        <v>0</v>
      </c>
      <c r="H437" s="141">
        <f t="shared" si="71"/>
        <v>0</v>
      </c>
    </row>
    <row r="438" spans="2:8" x14ac:dyDescent="0.3">
      <c r="B438" s="2"/>
      <c r="C438" s="2">
        <f>COUNTIF(Kredit!$N$7:$N$1870,B438)</f>
        <v>85</v>
      </c>
      <c r="D438" s="2">
        <f>COUNTIFS(Kredit!$N$7:$N$1870,$B438,Kredit!$L$7:$L$1870,D$431)</f>
        <v>41</v>
      </c>
      <c r="E438" s="2">
        <f>COUNTIFS(Kredit!$N$7:$N$1870,$B438,Kredit!$L$7:$L$1870,E$431)</f>
        <v>3</v>
      </c>
      <c r="F438" s="2">
        <f>COUNTIFS(Kredit!$N$7:$N$1870,$B438,Kredit!$L$7:$L$1870,F$431)</f>
        <v>1</v>
      </c>
      <c r="G438" s="2">
        <f>COUNTIFS(Kredit!$N$7:$N$1870,$B438,Kredit!$L$7:$L$1870,G$431)</f>
        <v>40</v>
      </c>
      <c r="H438" s="141">
        <f t="shared" si="71"/>
        <v>0.51764705882352946</v>
      </c>
    </row>
    <row r="439" spans="2:8" x14ac:dyDescent="0.3">
      <c r="B439" s="2" t="s">
        <v>9805</v>
      </c>
      <c r="C439" s="2">
        <f>SUM(C433:C438)</f>
        <v>1862</v>
      </c>
      <c r="D439" s="2">
        <f t="shared" ref="D439:G439" si="72">SUM(D433:D438)</f>
        <v>1677</v>
      </c>
      <c r="E439" s="2">
        <f t="shared" si="72"/>
        <v>35</v>
      </c>
      <c r="F439" s="2">
        <f t="shared" si="72"/>
        <v>35</v>
      </c>
      <c r="G439" s="2">
        <f t="shared" si="72"/>
        <v>115</v>
      </c>
      <c r="H439" s="141">
        <f t="shared" si="71"/>
        <v>9.9355531686358758E-2</v>
      </c>
    </row>
  </sheetData>
  <mergeCells count="72">
    <mergeCell ref="C158:H158"/>
    <mergeCell ref="B223:B236"/>
    <mergeCell ref="B61:B74"/>
    <mergeCell ref="B75:B88"/>
    <mergeCell ref="B103:B116"/>
    <mergeCell ref="B279:B292"/>
    <mergeCell ref="B265:B278"/>
    <mergeCell ref="B47:B60"/>
    <mergeCell ref="B89:B102"/>
    <mergeCell ref="B117:B130"/>
    <mergeCell ref="B251:B264"/>
    <mergeCell ref="B237:B250"/>
    <mergeCell ref="B341:B354"/>
    <mergeCell ref="N296:T296"/>
    <mergeCell ref="M401:M402"/>
    <mergeCell ref="N401:N402"/>
    <mergeCell ref="B431:B432"/>
    <mergeCell ref="C431:C432"/>
    <mergeCell ref="B327:B340"/>
    <mergeCell ref="B369:B382"/>
    <mergeCell ref="B383:B396"/>
    <mergeCell ref="B401:B402"/>
    <mergeCell ref="C401:C402"/>
    <mergeCell ref="B412:B413"/>
    <mergeCell ref="C412:C413"/>
    <mergeCell ref="B355:B368"/>
    <mergeCell ref="N400:R400"/>
    <mergeCell ref="S400:W400"/>
    <mergeCell ref="X3:Y3"/>
    <mergeCell ref="Z3:AA3"/>
    <mergeCell ref="N3:O3"/>
    <mergeCell ref="P3:Q3"/>
    <mergeCell ref="R3:S3"/>
    <mergeCell ref="T3:U3"/>
    <mergeCell ref="V3:W3"/>
    <mergeCell ref="AB13:AC13"/>
    <mergeCell ref="N13:O13"/>
    <mergeCell ref="P13:Q13"/>
    <mergeCell ref="R13:S13"/>
    <mergeCell ref="T13:U13"/>
    <mergeCell ref="V13:W13"/>
    <mergeCell ref="X13:Y13"/>
    <mergeCell ref="Z13:AA13"/>
    <mergeCell ref="U296:AA296"/>
    <mergeCell ref="AB296:AH296"/>
    <mergeCell ref="AI296:AO296"/>
    <mergeCell ref="N306:T306"/>
    <mergeCell ref="U306:AA306"/>
    <mergeCell ref="AB306:AH306"/>
    <mergeCell ref="AI306:AO306"/>
    <mergeCell ref="AM412:AM413"/>
    <mergeCell ref="S401:S402"/>
    <mergeCell ref="X400:AB400"/>
    <mergeCell ref="X401:X402"/>
    <mergeCell ref="AC400:AG400"/>
    <mergeCell ref="AC401:AC402"/>
    <mergeCell ref="AH400:AL400"/>
    <mergeCell ref="AH401:AH402"/>
    <mergeCell ref="AM400:AQ400"/>
    <mergeCell ref="AM401:AM402"/>
    <mergeCell ref="M412:M413"/>
    <mergeCell ref="N412:N413"/>
    <mergeCell ref="N411:R411"/>
    <mergeCell ref="S411:W411"/>
    <mergeCell ref="X411:AB411"/>
    <mergeCell ref="AC411:AG411"/>
    <mergeCell ref="AH411:AL411"/>
    <mergeCell ref="AM411:AQ411"/>
    <mergeCell ref="S412:S413"/>
    <mergeCell ref="X412:X413"/>
    <mergeCell ref="AC412:AC413"/>
    <mergeCell ref="AH412:AH413"/>
  </mergeCells>
  <pageMargins left="0.7" right="0.7" top="0.75" bottom="0.75" header="0.3" footer="0.3"/>
  <pageSetup orientation="portrait" r:id="rId1"/>
  <ignoredErrors>
    <ignoredError sqref="R4:AA8 P14:AC19"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3838B-A240-46E3-84ED-96CF0661E3A2}">
  <dimension ref="A1:Z1869"/>
  <sheetViews>
    <sheetView topLeftCell="A1843" workbookViewId="0">
      <selection activeCell="J1868" sqref="J1868"/>
    </sheetView>
  </sheetViews>
  <sheetFormatPr defaultColWidth="9.109375" defaultRowHeight="14.4" x14ac:dyDescent="0.3"/>
  <cols>
    <col min="1" max="1" width="5" style="5" bestFit="1" customWidth="1"/>
    <col min="2" max="2" width="18" style="5" bestFit="1" customWidth="1"/>
    <col min="3" max="3" width="26.77734375" style="5" customWidth="1"/>
    <col min="4" max="4" width="36.5546875" style="5" bestFit="1" customWidth="1"/>
    <col min="5" max="5" width="12.6640625" style="5" bestFit="1" customWidth="1"/>
    <col min="6" max="7" width="10.6640625" style="5" bestFit="1" customWidth="1"/>
    <col min="8" max="8" width="14" style="5" bestFit="1" customWidth="1"/>
    <col min="9" max="9" width="6.88671875" style="5" bestFit="1" customWidth="1"/>
    <col min="10" max="10" width="14.6640625" style="5" bestFit="1" customWidth="1"/>
    <col min="11" max="11" width="13.109375" style="5" bestFit="1" customWidth="1"/>
    <col min="12" max="12" width="26.88671875" style="5" bestFit="1" customWidth="1"/>
    <col min="13" max="13" width="36.5546875" style="5" bestFit="1" customWidth="1"/>
    <col min="14" max="14" width="15.6640625" style="5" bestFit="1" customWidth="1"/>
    <col min="15" max="15" width="14.6640625" style="5" bestFit="1" customWidth="1"/>
    <col min="16" max="16" width="18.6640625" style="5" bestFit="1" customWidth="1"/>
    <col min="17" max="18" width="36.5546875" style="5" bestFit="1" customWidth="1"/>
    <col min="19" max="19" width="9.109375" style="5"/>
    <col min="20" max="20" width="18" style="5" bestFit="1" customWidth="1"/>
    <col min="21" max="21" width="9.6640625" style="5" bestFit="1" customWidth="1"/>
    <col min="22" max="22" width="5.5546875" style="5" bestFit="1" customWidth="1"/>
    <col min="23" max="23" width="15.6640625" style="5" bestFit="1" customWidth="1"/>
    <col min="24" max="24" width="33.109375" style="5" bestFit="1" customWidth="1"/>
    <col min="25" max="25" width="14.33203125" style="5" bestFit="1" customWidth="1"/>
    <col min="26" max="16384" width="9.109375" style="5"/>
  </cols>
  <sheetData>
    <row r="1" spans="1:25" ht="15" customHeight="1" x14ac:dyDescent="0.3">
      <c r="A1" s="331" t="s">
        <v>9806</v>
      </c>
      <c r="B1" s="332"/>
      <c r="C1" s="332"/>
      <c r="D1" s="332"/>
      <c r="E1" s="332"/>
      <c r="F1" s="332"/>
      <c r="G1" s="332"/>
      <c r="H1" s="332"/>
      <c r="I1" s="332"/>
      <c r="J1" s="332"/>
      <c r="K1" s="332"/>
      <c r="L1" s="332"/>
      <c r="M1" s="332"/>
      <c r="N1" s="332"/>
      <c r="O1" s="332"/>
      <c r="P1" s="332"/>
      <c r="Q1" s="332"/>
      <c r="R1" s="332"/>
    </row>
    <row r="2" spans="1:25" ht="15" customHeight="1" x14ac:dyDescent="0.3">
      <c r="A2" s="333"/>
      <c r="B2" s="332"/>
      <c r="C2" s="332"/>
      <c r="D2" s="332"/>
      <c r="E2" s="332"/>
      <c r="F2" s="332"/>
      <c r="G2" s="332"/>
      <c r="H2" s="332"/>
      <c r="I2" s="332"/>
      <c r="J2" s="332"/>
      <c r="K2" s="332"/>
      <c r="L2" s="332"/>
      <c r="M2" s="332"/>
      <c r="N2" s="332"/>
      <c r="O2" s="332"/>
      <c r="P2" s="332"/>
      <c r="Q2" s="332"/>
      <c r="R2" s="332"/>
    </row>
    <row r="3" spans="1:25" ht="15" customHeight="1" x14ac:dyDescent="0.3">
      <c r="A3" s="333" t="s">
        <v>9808</v>
      </c>
      <c r="B3" s="332"/>
      <c r="C3" s="332"/>
      <c r="D3" s="332"/>
      <c r="E3" s="332"/>
      <c r="F3" s="332"/>
      <c r="G3" s="332"/>
      <c r="H3" s="332"/>
      <c r="I3" s="332"/>
      <c r="J3" s="332"/>
      <c r="K3" s="332"/>
      <c r="L3" s="332"/>
      <c r="M3" s="332"/>
      <c r="N3" s="332"/>
      <c r="O3" s="332"/>
      <c r="P3" s="332"/>
      <c r="Q3" s="332"/>
      <c r="R3" s="332"/>
    </row>
    <row r="4" spans="1:25" ht="15" thickBot="1" x14ac:dyDescent="0.35">
      <c r="A4" s="333" t="s">
        <v>9809</v>
      </c>
      <c r="B4" s="332"/>
      <c r="C4" s="332"/>
      <c r="D4" s="332"/>
      <c r="E4" s="332"/>
      <c r="F4" s="332"/>
      <c r="G4" s="332"/>
      <c r="H4" s="332"/>
      <c r="I4" s="332"/>
      <c r="J4" s="332"/>
      <c r="K4" s="332"/>
      <c r="L4" s="332"/>
      <c r="M4" s="332"/>
      <c r="N4" s="332"/>
      <c r="O4" s="332"/>
      <c r="P4" s="332"/>
      <c r="Q4" s="332"/>
      <c r="R4" s="332"/>
    </row>
    <row r="5" spans="1:25" ht="15" customHeight="1" x14ac:dyDescent="0.3">
      <c r="A5" s="346" t="s">
        <v>9810</v>
      </c>
      <c r="B5" s="336" t="s">
        <v>9811</v>
      </c>
      <c r="C5" s="334" t="s">
        <v>30029</v>
      </c>
      <c r="D5" s="336" t="s">
        <v>9812</v>
      </c>
      <c r="E5" s="334" t="s">
        <v>9813</v>
      </c>
      <c r="F5" s="336" t="s">
        <v>9814</v>
      </c>
      <c r="G5" s="6" t="s">
        <v>9815</v>
      </c>
      <c r="H5" s="336" t="s">
        <v>9816</v>
      </c>
      <c r="I5" s="6" t="s">
        <v>9817</v>
      </c>
      <c r="J5" s="336" t="s">
        <v>9818</v>
      </c>
      <c r="K5" s="336" t="s">
        <v>9819</v>
      </c>
      <c r="L5" s="334" t="s">
        <v>9820</v>
      </c>
      <c r="M5" s="336" t="s">
        <v>9821</v>
      </c>
      <c r="N5" s="334" t="s">
        <v>9822</v>
      </c>
      <c r="O5" s="336" t="s">
        <v>9823</v>
      </c>
      <c r="P5" s="334" t="s">
        <v>22186</v>
      </c>
      <c r="Q5" s="336" t="s">
        <v>22187</v>
      </c>
      <c r="R5" s="338" t="s">
        <v>22188</v>
      </c>
      <c r="T5" s="5" t="s">
        <v>10745</v>
      </c>
      <c r="U5" s="5" t="s">
        <v>10746</v>
      </c>
      <c r="V5" s="5" t="s">
        <v>9786</v>
      </c>
      <c r="W5" s="19" t="s">
        <v>10747</v>
      </c>
      <c r="X5" s="19" t="s">
        <v>9792</v>
      </c>
      <c r="Y5" s="19" t="s">
        <v>19267</v>
      </c>
    </row>
    <row r="6" spans="1:25" ht="15" customHeight="1" x14ac:dyDescent="0.3">
      <c r="A6" s="347"/>
      <c r="B6" s="337"/>
      <c r="C6" s="335"/>
      <c r="D6" s="337"/>
      <c r="E6" s="335"/>
      <c r="F6" s="337"/>
      <c r="G6" s="7" t="s">
        <v>9824</v>
      </c>
      <c r="H6" s="337"/>
      <c r="I6" s="7" t="s">
        <v>9825</v>
      </c>
      <c r="J6" s="337"/>
      <c r="K6" s="337"/>
      <c r="L6" s="335"/>
      <c r="M6" s="337"/>
      <c r="N6" s="335"/>
      <c r="O6" s="337"/>
      <c r="P6" s="335"/>
      <c r="Q6" s="337"/>
      <c r="R6" s="339"/>
      <c r="T6" s="92" t="s">
        <v>26</v>
      </c>
      <c r="U6">
        <v>1</v>
      </c>
      <c r="V6">
        <f>VLOOKUP(T6,'Data Angt'!$A$5:$F$5810,6,FALSE)</f>
        <v>58</v>
      </c>
      <c r="W6" s="5" t="str">
        <f>VLOOKUP(T6,$B$7:$N$1869,13,FALSE)</f>
        <v>PRODUKTIF</v>
      </c>
      <c r="X6" s="5" t="str">
        <f>VLOOKUP(T6,'Data Angt'!$A$5:$H$5810,8,FALSE)</f>
        <v>Lain-Lain</v>
      </c>
      <c r="Y6" s="5" t="str">
        <f>VLOOKUP(T6,'Data Angt'!$A$5:$C$5808,3,FALSE)</f>
        <v>PBL</v>
      </c>
    </row>
    <row r="7" spans="1:25" x14ac:dyDescent="0.3">
      <c r="A7" s="8">
        <v>1</v>
      </c>
      <c r="B7" s="9" t="s">
        <v>26</v>
      </c>
      <c r="C7" s="10" t="str">
        <f>VLOOKUP(B7,'Data Angt'!$A$5:$B$5809,2,FALSE)</f>
        <v>A5</v>
      </c>
      <c r="D7" s="11" t="s">
        <v>9833</v>
      </c>
      <c r="E7" s="12" t="s">
        <v>15335</v>
      </c>
      <c r="F7" s="13">
        <v>45638</v>
      </c>
      <c r="G7" s="14">
        <v>45910</v>
      </c>
      <c r="H7" s="15">
        <v>20000000</v>
      </c>
      <c r="I7" s="16">
        <v>10</v>
      </c>
      <c r="J7" s="17">
        <v>24</v>
      </c>
      <c r="K7" s="9" t="s">
        <v>9831</v>
      </c>
      <c r="L7" s="10" t="s">
        <v>15336</v>
      </c>
      <c r="M7" s="9" t="s">
        <v>15337</v>
      </c>
      <c r="N7" s="10" t="s">
        <v>9834</v>
      </c>
      <c r="O7" s="15">
        <v>2182600</v>
      </c>
      <c r="P7" s="145">
        <v>833247</v>
      </c>
      <c r="Q7" s="9" t="s">
        <v>22189</v>
      </c>
      <c r="R7" s="146" t="s">
        <v>22190</v>
      </c>
      <c r="T7" s="92" t="s">
        <v>29</v>
      </c>
      <c r="U7">
        <v>1</v>
      </c>
      <c r="V7">
        <f>VLOOKUP(T7,'Data Angt'!$A$5:$F$5810,6,FALSE)</f>
        <v>58</v>
      </c>
      <c r="W7" s="5" t="str">
        <f t="shared" ref="W7:W70" si="0">VLOOKUP(T7,$B$7:$N$1869,13,FALSE)</f>
        <v>KONSUMTIF</v>
      </c>
      <c r="X7" s="5" t="str">
        <f>VLOOKUP(T7,'Data Angt'!$A$5:$H$5810,8,FALSE)</f>
        <v>Mengurus Rumah Tangga</v>
      </c>
      <c r="Y7" s="5" t="str">
        <f>VLOOKUP(T7,'Data Angt'!$A$5:$C$5808,3,FALSE)</f>
        <v>PBL</v>
      </c>
    </row>
    <row r="8" spans="1:25" x14ac:dyDescent="0.3">
      <c r="A8" s="8">
        <v>2</v>
      </c>
      <c r="B8" s="9" t="s">
        <v>29</v>
      </c>
      <c r="C8" s="10" t="str">
        <f>VLOOKUP(B8,'Data Angt'!$A$5:$B$5809,2,FALSE)</f>
        <v>A6</v>
      </c>
      <c r="D8" s="11" t="s">
        <v>9829</v>
      </c>
      <c r="E8" s="12" t="s">
        <v>15338</v>
      </c>
      <c r="F8" s="13">
        <v>45594</v>
      </c>
      <c r="G8" s="14">
        <v>45909</v>
      </c>
      <c r="H8" s="15">
        <v>6000000</v>
      </c>
      <c r="I8" s="16">
        <v>18</v>
      </c>
      <c r="J8" s="17">
        <v>24</v>
      </c>
      <c r="K8" s="9" t="s">
        <v>9827</v>
      </c>
      <c r="L8" s="10" t="s">
        <v>15339</v>
      </c>
      <c r="M8" s="9" t="s">
        <v>15340</v>
      </c>
      <c r="N8" s="10" t="s">
        <v>9828</v>
      </c>
      <c r="O8" s="15">
        <v>2332600</v>
      </c>
      <c r="P8" s="145">
        <v>357636</v>
      </c>
      <c r="Q8" s="9"/>
      <c r="R8" s="146"/>
      <c r="T8" s="92" t="s">
        <v>38</v>
      </c>
      <c r="U8">
        <v>1</v>
      </c>
      <c r="V8">
        <f>VLOOKUP(T8,'Data Angt'!$A$5:$F$5810,6,FALSE)</f>
        <v>60</v>
      </c>
      <c r="W8" s="5" t="str">
        <f t="shared" si="0"/>
        <v>KESEJAHTERAAN</v>
      </c>
      <c r="X8" s="5" t="str">
        <f>VLOOKUP(T8,'Data Angt'!$A$5:$H$5810,8,FALSE)</f>
        <v>Pensiunan</v>
      </c>
      <c r="Y8" s="5" t="str">
        <f>VLOOKUP(T8,'Data Angt'!$A$5:$C$5808,3,FALSE)</f>
        <v>PBL</v>
      </c>
    </row>
    <row r="9" spans="1:25" x14ac:dyDescent="0.3">
      <c r="A9" s="8">
        <v>3</v>
      </c>
      <c r="B9" s="9" t="s">
        <v>38</v>
      </c>
      <c r="C9" s="10" t="str">
        <f>VLOOKUP(B9,'Data Angt'!$A$5:$B$5809,2,FALSE)</f>
        <v>A9</v>
      </c>
      <c r="D9" s="11" t="s">
        <v>9829</v>
      </c>
      <c r="E9" s="12" t="s">
        <v>15341</v>
      </c>
      <c r="F9" s="13">
        <v>45681</v>
      </c>
      <c r="G9" s="14">
        <v>45920</v>
      </c>
      <c r="H9" s="15">
        <v>11000000</v>
      </c>
      <c r="I9" s="16">
        <v>12</v>
      </c>
      <c r="J9" s="17">
        <v>11.88</v>
      </c>
      <c r="K9" s="9" t="s">
        <v>9831</v>
      </c>
      <c r="L9" s="10" t="s">
        <v>15342</v>
      </c>
      <c r="M9" s="9" t="s">
        <v>15343</v>
      </c>
      <c r="N9" s="10" t="s">
        <v>9830</v>
      </c>
      <c r="O9" s="15">
        <v>3811800</v>
      </c>
      <c r="P9" s="145">
        <v>234822</v>
      </c>
      <c r="Q9" s="9"/>
      <c r="R9" s="146"/>
      <c r="T9" s="92" t="s">
        <v>49</v>
      </c>
      <c r="U9">
        <v>2</v>
      </c>
      <c r="V9">
        <f>VLOOKUP(T9,'Data Angt'!$A$5:$F$5810,6,FALSE)</f>
        <v>62</v>
      </c>
      <c r="W9" s="5" t="str">
        <f t="shared" si="0"/>
        <v>PRODUKTIF</v>
      </c>
      <c r="X9" s="5" t="str">
        <f>VLOOKUP(T9,'Data Angt'!$A$5:$H$5810,8,FALSE)</f>
        <v>Wiraswasta</v>
      </c>
      <c r="Y9" s="5" t="str">
        <f>VLOOKUP(T9,'Data Angt'!$A$5:$C$5808,3,FALSE)</f>
        <v>PBL</v>
      </c>
    </row>
    <row r="10" spans="1:25" x14ac:dyDescent="0.3">
      <c r="A10" s="8">
        <v>4</v>
      </c>
      <c r="B10" s="9" t="s">
        <v>49</v>
      </c>
      <c r="C10" s="10" t="str">
        <f>VLOOKUP(B10,'Data Angt'!$A$5:$B$5809,2,FALSE)</f>
        <v>A13</v>
      </c>
      <c r="D10" s="11" t="s">
        <v>9826</v>
      </c>
      <c r="E10" s="12" t="s">
        <v>15344</v>
      </c>
      <c r="F10" s="13">
        <v>45370</v>
      </c>
      <c r="G10" s="14">
        <v>45919</v>
      </c>
      <c r="H10" s="15">
        <v>11000000</v>
      </c>
      <c r="I10" s="16">
        <v>24</v>
      </c>
      <c r="J10" s="17">
        <v>11.64</v>
      </c>
      <c r="K10" s="9" t="s">
        <v>9831</v>
      </c>
      <c r="L10" s="10" t="s">
        <v>15345</v>
      </c>
      <c r="M10" s="9" t="s">
        <v>15346</v>
      </c>
      <c r="N10" s="10" t="s">
        <v>9834</v>
      </c>
      <c r="O10" s="15">
        <v>2993400</v>
      </c>
      <c r="P10" s="145">
        <v>480520</v>
      </c>
      <c r="Q10" s="9"/>
      <c r="R10" s="146"/>
      <c r="T10" s="92" t="s">
        <v>55</v>
      </c>
      <c r="U10">
        <v>1</v>
      </c>
      <c r="V10">
        <f>VLOOKUP(T10,'Data Angt'!$A$5:$F$5810,6,FALSE)</f>
        <v>55</v>
      </c>
      <c r="W10" s="5" t="str">
        <f t="shared" si="0"/>
        <v>PRODUKTIF</v>
      </c>
      <c r="X10" s="5" t="str">
        <f>VLOOKUP(T10,'Data Angt'!$A$5:$H$5810,8,FALSE)</f>
        <v>Tenaga Pengajar</v>
      </c>
      <c r="Y10" s="5" t="str">
        <f>VLOOKUP(T10,'Data Angt'!$A$5:$C$5808,3,FALSE)</f>
        <v>PBL</v>
      </c>
    </row>
    <row r="11" spans="1:25" x14ac:dyDescent="0.3">
      <c r="A11" s="8">
        <v>5</v>
      </c>
      <c r="B11" s="9" t="s">
        <v>49</v>
      </c>
      <c r="C11" s="10" t="str">
        <f>VLOOKUP(B11,'Data Angt'!$A$5:$B$5809,2,FALSE)</f>
        <v>A13</v>
      </c>
      <c r="D11" s="11" t="s">
        <v>9829</v>
      </c>
      <c r="E11" s="12" t="s">
        <v>15347</v>
      </c>
      <c r="F11" s="13">
        <v>45511</v>
      </c>
      <c r="G11" s="14">
        <v>45908</v>
      </c>
      <c r="H11" s="15">
        <v>40000000</v>
      </c>
      <c r="I11" s="16">
        <v>24</v>
      </c>
      <c r="J11" s="17">
        <v>21</v>
      </c>
      <c r="K11" s="9" t="s">
        <v>9831</v>
      </c>
      <c r="L11" s="10" t="s">
        <v>15348</v>
      </c>
      <c r="M11" s="9" t="s">
        <v>15349</v>
      </c>
      <c r="N11" s="10" t="s">
        <v>9828</v>
      </c>
      <c r="O11" s="15">
        <v>20404600</v>
      </c>
      <c r="P11" s="145">
        <v>2672286</v>
      </c>
      <c r="Q11" s="9" t="s">
        <v>22191</v>
      </c>
      <c r="R11" s="146" t="s">
        <v>22192</v>
      </c>
      <c r="T11" s="92" t="s">
        <v>57</v>
      </c>
      <c r="U11">
        <v>1</v>
      </c>
      <c r="V11">
        <f>VLOOKUP(T11,'Data Angt'!$A$5:$F$5810,6,FALSE)</f>
        <v>55</v>
      </c>
      <c r="W11" s="5" t="str">
        <f t="shared" si="0"/>
        <v>KESEJAHTERAAN</v>
      </c>
      <c r="X11" s="5" t="str">
        <f>VLOOKUP(T11,'Data Angt'!$A$5:$H$5810,8,FALSE)</f>
        <v>Tenaga Pengajar</v>
      </c>
      <c r="Y11" s="5" t="str">
        <f>VLOOKUP(T11,'Data Angt'!$A$5:$C$5808,3,FALSE)</f>
        <v>PBL</v>
      </c>
    </row>
    <row r="12" spans="1:25" x14ac:dyDescent="0.3">
      <c r="A12" s="8">
        <v>6</v>
      </c>
      <c r="B12" s="9" t="s">
        <v>55</v>
      </c>
      <c r="C12" s="10" t="str">
        <f>VLOOKUP(B12,'Data Angt'!$A$5:$B$5809,2,FALSE)</f>
        <v>A15</v>
      </c>
      <c r="D12" s="11" t="s">
        <v>9829</v>
      </c>
      <c r="E12" s="12" t="s">
        <v>15350</v>
      </c>
      <c r="F12" s="13">
        <v>45355</v>
      </c>
      <c r="G12" s="14">
        <v>45904</v>
      </c>
      <c r="H12" s="15">
        <v>50000000</v>
      </c>
      <c r="I12" s="16">
        <v>60</v>
      </c>
      <c r="J12" s="17">
        <v>21</v>
      </c>
      <c r="K12" s="9" t="s">
        <v>9831</v>
      </c>
      <c r="L12" s="10" t="s">
        <v>15351</v>
      </c>
      <c r="M12" s="9" t="s">
        <v>15352</v>
      </c>
      <c r="N12" s="10" t="s">
        <v>9834</v>
      </c>
      <c r="O12" s="15">
        <v>39995600</v>
      </c>
      <c r="P12" s="145">
        <v>5379071</v>
      </c>
      <c r="Q12" s="9" t="s">
        <v>22193</v>
      </c>
      <c r="R12" s="146" t="s">
        <v>22194</v>
      </c>
      <c r="T12" s="92" t="s">
        <v>75</v>
      </c>
      <c r="U12">
        <v>1</v>
      </c>
      <c r="V12">
        <f>VLOOKUP(T12,'Data Angt'!$A$5:$F$5810,6,FALSE)</f>
        <v>53</v>
      </c>
      <c r="W12" s="5" t="str">
        <f t="shared" si="0"/>
        <v>PENDIDIKAN</v>
      </c>
      <c r="X12" s="5" t="str">
        <f>VLOOKUP(T12,'Data Angt'!$A$5:$H$5810,8,FALSE)</f>
        <v>Tenaga Pengajar</v>
      </c>
      <c r="Y12" s="5" t="str">
        <f>VLOOKUP(T12,'Data Angt'!$A$5:$C$5808,3,FALSE)</f>
        <v>PBL</v>
      </c>
    </row>
    <row r="13" spans="1:25" x14ac:dyDescent="0.3">
      <c r="A13" s="8">
        <v>7</v>
      </c>
      <c r="B13" s="9" t="s">
        <v>57</v>
      </c>
      <c r="C13" s="10" t="str">
        <f>VLOOKUP(B13,'Data Angt'!$A$5:$B$5809,2,FALSE)</f>
        <v>A16</v>
      </c>
      <c r="D13" s="11" t="s">
        <v>9829</v>
      </c>
      <c r="E13" s="12" t="s">
        <v>15353</v>
      </c>
      <c r="F13" s="13">
        <v>45365</v>
      </c>
      <c r="G13" s="14">
        <v>45916</v>
      </c>
      <c r="H13" s="15">
        <v>14000000</v>
      </c>
      <c r="I13" s="16">
        <v>24</v>
      </c>
      <c r="J13" s="17">
        <v>11.64</v>
      </c>
      <c r="K13" s="9" t="s">
        <v>9831</v>
      </c>
      <c r="L13" s="10" t="s">
        <v>15354</v>
      </c>
      <c r="M13" s="9" t="s">
        <v>15355</v>
      </c>
      <c r="N13" s="10" t="s">
        <v>9830</v>
      </c>
      <c r="O13" s="15">
        <v>3810200</v>
      </c>
      <c r="P13" s="145">
        <v>611545</v>
      </c>
      <c r="Q13" s="9"/>
      <c r="R13" s="146"/>
      <c r="T13" s="92" t="s">
        <v>104</v>
      </c>
      <c r="U13">
        <v>1</v>
      </c>
      <c r="V13">
        <f>VLOOKUP(T13,'Data Angt'!$A$5:$F$5810,6,FALSE)</f>
        <v>54</v>
      </c>
      <c r="W13" s="5" t="str">
        <f t="shared" si="0"/>
        <v>PENDIDIKAN</v>
      </c>
      <c r="X13" s="5" t="str">
        <f>VLOOKUP(T13,'Data Angt'!$A$5:$H$5810,8,FALSE)</f>
        <v>Tenaga Pengajar</v>
      </c>
      <c r="Y13" s="5" t="str">
        <f>VLOOKUP(T13,'Data Angt'!$A$5:$C$5808,3,FALSE)</f>
        <v>PBL</v>
      </c>
    </row>
    <row r="14" spans="1:25" x14ac:dyDescent="0.3">
      <c r="A14" s="8">
        <v>8</v>
      </c>
      <c r="B14" s="9" t="s">
        <v>75</v>
      </c>
      <c r="C14" s="10" t="str">
        <f>VLOOKUP(B14,'Data Angt'!$A$5:$B$5809,2,FALSE)</f>
        <v>A23</v>
      </c>
      <c r="D14" s="11" t="s">
        <v>9826</v>
      </c>
      <c r="E14" s="12" t="s">
        <v>22195</v>
      </c>
      <c r="F14" s="13">
        <v>45919</v>
      </c>
      <c r="G14" s="14">
        <v>45919</v>
      </c>
      <c r="H14" s="15">
        <v>5000000</v>
      </c>
      <c r="I14" s="16">
        <v>10</v>
      </c>
      <c r="J14" s="17">
        <v>24</v>
      </c>
      <c r="K14" s="9" t="s">
        <v>9831</v>
      </c>
      <c r="L14" s="10" t="s">
        <v>22196</v>
      </c>
      <c r="M14" s="9" t="s">
        <v>9841</v>
      </c>
      <c r="N14" s="10" t="s">
        <v>17</v>
      </c>
      <c r="O14" s="15">
        <v>5000000</v>
      </c>
      <c r="P14" s="147">
        <v>0</v>
      </c>
      <c r="Q14" s="9"/>
      <c r="R14" s="146"/>
      <c r="T14" s="92" t="s">
        <v>107</v>
      </c>
      <c r="U14">
        <v>1</v>
      </c>
      <c r="V14">
        <f>VLOOKUP(T14,'Data Angt'!$A$5:$F$5810,6,FALSE)</f>
        <v>62</v>
      </c>
      <c r="W14" s="5" t="str">
        <f t="shared" si="0"/>
        <v>KONSUMTIF</v>
      </c>
      <c r="X14" s="5" t="str">
        <f>VLOOKUP(T14,'Data Angt'!$A$5:$H$5810,8,FALSE)</f>
        <v>Karyawan</v>
      </c>
      <c r="Y14" s="5" t="str">
        <f>VLOOKUP(T14,'Data Angt'!$A$5:$C$5808,3,FALSE)</f>
        <v>PBL</v>
      </c>
    </row>
    <row r="15" spans="1:25" x14ac:dyDescent="0.3">
      <c r="A15" s="8">
        <v>9</v>
      </c>
      <c r="B15" s="9" t="s">
        <v>75</v>
      </c>
      <c r="C15" s="10" t="str">
        <f>VLOOKUP(B15,'Data Angt'!$A$5:$B$5809,2,FALSE)</f>
        <v>A23</v>
      </c>
      <c r="D15" s="11" t="s">
        <v>9829</v>
      </c>
      <c r="E15" s="12" t="s">
        <v>9836</v>
      </c>
      <c r="F15" s="13">
        <v>45226</v>
      </c>
      <c r="G15" s="14">
        <v>45920</v>
      </c>
      <c r="H15" s="15">
        <v>48000000</v>
      </c>
      <c r="I15" s="16">
        <v>48</v>
      </c>
      <c r="J15" s="17">
        <v>21</v>
      </c>
      <c r="K15" s="9" t="s">
        <v>9831</v>
      </c>
      <c r="L15" s="10" t="s">
        <v>9837</v>
      </c>
      <c r="M15" s="9" t="s">
        <v>9838</v>
      </c>
      <c r="N15" s="10" t="s">
        <v>9830</v>
      </c>
      <c r="O15" s="15">
        <v>29888700</v>
      </c>
      <c r="P15" s="145">
        <v>6028456</v>
      </c>
      <c r="Q15" s="9" t="s">
        <v>22197</v>
      </c>
      <c r="R15" s="146" t="s">
        <v>22198</v>
      </c>
      <c r="T15" s="92" t="s">
        <v>121</v>
      </c>
      <c r="U15">
        <v>1</v>
      </c>
      <c r="V15">
        <f>VLOOKUP(T15,'Data Angt'!$A$5:$F$5810,6,FALSE)</f>
        <v>49</v>
      </c>
      <c r="W15" s="5">
        <f t="shared" si="0"/>
        <v>0</v>
      </c>
      <c r="X15" s="5" t="str">
        <f>VLOOKUP(T15,'Data Angt'!$A$5:$H$5810,8,FALSE)</f>
        <v>Karyawan</v>
      </c>
      <c r="Y15" s="5" t="str">
        <f>VLOOKUP(T15,'Data Angt'!$A$5:$C$5808,3,FALSE)</f>
        <v>PBL</v>
      </c>
    </row>
    <row r="16" spans="1:25" x14ac:dyDescent="0.3">
      <c r="A16" s="8">
        <v>10</v>
      </c>
      <c r="B16" s="9" t="s">
        <v>104</v>
      </c>
      <c r="C16" s="10" t="str">
        <f>VLOOKUP(B16,'Data Angt'!$A$5:$B$5809,2,FALSE)</f>
        <v>A33</v>
      </c>
      <c r="D16" s="11" t="s">
        <v>9826</v>
      </c>
      <c r="E16" s="12" t="s">
        <v>15356</v>
      </c>
      <c r="F16" s="13">
        <v>45721</v>
      </c>
      <c r="G16" s="14">
        <v>45903</v>
      </c>
      <c r="H16" s="15">
        <v>5000000</v>
      </c>
      <c r="I16" s="16">
        <v>12</v>
      </c>
      <c r="J16" s="17">
        <v>11.88</v>
      </c>
      <c r="K16" s="9" t="s">
        <v>9831</v>
      </c>
      <c r="L16" s="10" t="s">
        <v>15357</v>
      </c>
      <c r="M16" s="9" t="s">
        <v>9841</v>
      </c>
      <c r="N16" s="10" t="s">
        <v>17</v>
      </c>
      <c r="O16" s="15">
        <v>2573800</v>
      </c>
      <c r="P16" s="145">
        <v>89173</v>
      </c>
      <c r="Q16" s="9"/>
      <c r="R16" s="146"/>
      <c r="T16" s="92" t="s">
        <v>127</v>
      </c>
      <c r="U16">
        <v>1</v>
      </c>
      <c r="V16">
        <f>VLOOKUP(T16,'Data Angt'!$A$5:$F$5810,6,FALSE)</f>
        <v>56</v>
      </c>
      <c r="W16" s="5">
        <f t="shared" si="0"/>
        <v>0</v>
      </c>
      <c r="X16" s="5" t="str">
        <f>VLOOKUP(T16,'Data Angt'!$A$5:$H$5810,8,FALSE)</f>
        <v>Tenaga Pengajar</v>
      </c>
      <c r="Y16" s="5" t="str">
        <f>VLOOKUP(T16,'Data Angt'!$A$5:$C$5808,3,FALSE)</f>
        <v>PBL</v>
      </c>
    </row>
    <row r="17" spans="1:25" x14ac:dyDescent="0.3">
      <c r="A17" s="8">
        <v>11</v>
      </c>
      <c r="B17" s="9" t="s">
        <v>107</v>
      </c>
      <c r="C17" s="10" t="str">
        <f>VLOOKUP(B17,'Data Angt'!$A$5:$B$5809,2,FALSE)</f>
        <v>A34</v>
      </c>
      <c r="D17" s="11" t="s">
        <v>9829</v>
      </c>
      <c r="E17" s="12" t="s">
        <v>15358</v>
      </c>
      <c r="F17" s="13">
        <v>45568</v>
      </c>
      <c r="G17" s="14">
        <v>45902</v>
      </c>
      <c r="H17" s="15">
        <v>20000000</v>
      </c>
      <c r="I17" s="16">
        <v>25</v>
      </c>
      <c r="J17" s="17">
        <v>24</v>
      </c>
      <c r="K17" s="9" t="s">
        <v>9827</v>
      </c>
      <c r="L17" s="10" t="s">
        <v>15359</v>
      </c>
      <c r="M17" s="9" t="s">
        <v>10642</v>
      </c>
      <c r="N17" s="10" t="s">
        <v>9828</v>
      </c>
      <c r="O17" s="15">
        <v>11200000</v>
      </c>
      <c r="P17" s="145">
        <v>1320000</v>
      </c>
      <c r="Q17" s="9" t="s">
        <v>12090</v>
      </c>
      <c r="R17" s="146" t="s">
        <v>22199</v>
      </c>
      <c r="T17" s="92" t="s">
        <v>137</v>
      </c>
      <c r="U17">
        <v>1</v>
      </c>
      <c r="V17">
        <f>VLOOKUP(T17,'Data Angt'!$A$5:$F$5810,6,FALSE)</f>
        <v>67</v>
      </c>
      <c r="W17" s="5">
        <f t="shared" si="0"/>
        <v>0</v>
      </c>
      <c r="X17" s="5" t="str">
        <f>VLOOKUP(T17,'Data Angt'!$A$5:$H$5810,8,FALSE)</f>
        <v>Wiraswasta</v>
      </c>
      <c r="Y17" s="5" t="str">
        <f>VLOOKUP(T17,'Data Angt'!$A$5:$C$5808,3,FALSE)</f>
        <v>PBL</v>
      </c>
    </row>
    <row r="18" spans="1:25" x14ac:dyDescent="0.3">
      <c r="A18" s="8">
        <v>12</v>
      </c>
      <c r="B18" s="9" t="s">
        <v>121</v>
      </c>
      <c r="C18" s="10" t="str">
        <f>VLOOKUP(B18,'Data Angt'!$A$5:$B$5809,2,FALSE)</f>
        <v>A39</v>
      </c>
      <c r="D18" s="11" t="s">
        <v>9843</v>
      </c>
      <c r="E18" s="12" t="s">
        <v>9844</v>
      </c>
      <c r="F18" s="13">
        <v>40897</v>
      </c>
      <c r="G18" s="14">
        <v>45902</v>
      </c>
      <c r="H18" s="15">
        <v>70000000</v>
      </c>
      <c r="I18" s="16">
        <v>180</v>
      </c>
      <c r="J18" s="17">
        <v>14.5</v>
      </c>
      <c r="K18" s="9" t="s">
        <v>9831</v>
      </c>
      <c r="L18" s="10" t="s">
        <v>9844</v>
      </c>
      <c r="M18" s="9"/>
      <c r="N18" s="10"/>
      <c r="O18" s="15">
        <v>12006650</v>
      </c>
      <c r="P18" s="145">
        <v>22724818</v>
      </c>
      <c r="Q18" s="9"/>
      <c r="R18" s="146"/>
      <c r="T18" s="92" t="s">
        <v>141</v>
      </c>
      <c r="U18">
        <v>1</v>
      </c>
      <c r="V18">
        <f>VLOOKUP(T18,'Data Angt'!$A$5:$F$5810,6,FALSE)</f>
        <v>54</v>
      </c>
      <c r="W18" s="5" t="str">
        <f t="shared" si="0"/>
        <v>KONSUMTIF</v>
      </c>
      <c r="X18" s="5" t="str">
        <f>VLOOKUP(T18,'Data Angt'!$A$5:$H$5810,8,FALSE)</f>
        <v>Tenaga Pengajar</v>
      </c>
      <c r="Y18" s="5" t="str">
        <f>VLOOKUP(T18,'Data Angt'!$A$5:$C$5808,3,FALSE)</f>
        <v>PBL</v>
      </c>
    </row>
    <row r="19" spans="1:25" x14ac:dyDescent="0.3">
      <c r="A19" s="8">
        <v>13</v>
      </c>
      <c r="B19" s="9" t="s">
        <v>127</v>
      </c>
      <c r="C19" s="10" t="str">
        <f>VLOOKUP(B19,'Data Angt'!$A$5:$B$5809,2,FALSE)</f>
        <v>A41</v>
      </c>
      <c r="D19" s="11" t="s">
        <v>9843</v>
      </c>
      <c r="E19" s="12" t="s">
        <v>9848</v>
      </c>
      <c r="F19" s="13">
        <v>42940</v>
      </c>
      <c r="G19" s="14">
        <v>45920</v>
      </c>
      <c r="H19" s="15">
        <v>150000000</v>
      </c>
      <c r="I19" s="16">
        <v>120</v>
      </c>
      <c r="J19" s="17">
        <v>11.4</v>
      </c>
      <c r="K19" s="9" t="s">
        <v>9831</v>
      </c>
      <c r="L19" s="10" t="s">
        <v>9848</v>
      </c>
      <c r="M19" s="9"/>
      <c r="N19" s="10"/>
      <c r="O19" s="15">
        <v>41522800</v>
      </c>
      <c r="P19" s="145">
        <v>41728778</v>
      </c>
      <c r="Q19" s="9"/>
      <c r="R19" s="146"/>
      <c r="T19" s="92" t="s">
        <v>145</v>
      </c>
      <c r="U19">
        <v>2</v>
      </c>
      <c r="V19">
        <f>VLOOKUP(T19,'Data Angt'!$A$5:$F$5810,6,FALSE)</f>
        <v>65</v>
      </c>
      <c r="W19" s="5" t="str">
        <f t="shared" si="0"/>
        <v>KONSUMTIF</v>
      </c>
      <c r="X19" s="5" t="str">
        <f>VLOOKUP(T19,'Data Angt'!$A$5:$H$5810,8,FALSE)</f>
        <v>Pensiunan</v>
      </c>
      <c r="Y19" s="5" t="str">
        <f>VLOOKUP(T19,'Data Angt'!$A$5:$C$5808,3,FALSE)</f>
        <v>PBL</v>
      </c>
    </row>
    <row r="20" spans="1:25" x14ac:dyDescent="0.3">
      <c r="A20" s="8">
        <v>14</v>
      </c>
      <c r="B20" s="9" t="s">
        <v>137</v>
      </c>
      <c r="C20" s="10" t="str">
        <f>VLOOKUP(B20,'Data Angt'!$A$5:$B$5809,2,FALSE)</f>
        <v>A44</v>
      </c>
      <c r="D20" s="11" t="s">
        <v>9833</v>
      </c>
      <c r="E20" s="12" t="s">
        <v>9850</v>
      </c>
      <c r="F20" s="13">
        <v>44597</v>
      </c>
      <c r="G20" s="14">
        <v>45910</v>
      </c>
      <c r="H20" s="15">
        <v>145000000</v>
      </c>
      <c r="I20" s="16">
        <v>60</v>
      </c>
      <c r="J20" s="17">
        <v>21</v>
      </c>
      <c r="K20" s="9" t="s">
        <v>9831</v>
      </c>
      <c r="L20" s="10" t="s">
        <v>9851</v>
      </c>
      <c r="M20" s="9"/>
      <c r="N20" s="10"/>
      <c r="O20" s="15">
        <v>134668400</v>
      </c>
      <c r="P20" s="145">
        <v>38061963</v>
      </c>
      <c r="Q20" s="9" t="s">
        <v>22200</v>
      </c>
      <c r="R20" s="146" t="s">
        <v>22201</v>
      </c>
      <c r="T20" s="92" t="s">
        <v>160</v>
      </c>
      <c r="U20">
        <v>1</v>
      </c>
      <c r="V20">
        <f>VLOOKUP(T20,'Data Angt'!$A$5:$F$5810,6,FALSE)</f>
        <v>64</v>
      </c>
      <c r="W20" s="5" t="str">
        <f t="shared" si="0"/>
        <v>KESEJAHTERAAN</v>
      </c>
      <c r="X20" s="5" t="str">
        <f>VLOOKUP(T20,'Data Angt'!$A$5:$H$5810,8,FALSE)</f>
        <v>Lain-Lain</v>
      </c>
      <c r="Y20" s="5" t="str">
        <f>VLOOKUP(T20,'Data Angt'!$A$5:$C$5808,3,FALSE)</f>
        <v>PBL</v>
      </c>
    </row>
    <row r="21" spans="1:25" x14ac:dyDescent="0.3">
      <c r="A21" s="8">
        <v>15</v>
      </c>
      <c r="B21" s="9" t="s">
        <v>137</v>
      </c>
      <c r="C21" s="10" t="str">
        <f>VLOOKUP(B21,'Data Angt'!$A$5:$B$5809,2,FALSE)</f>
        <v>A44</v>
      </c>
      <c r="D21" s="11" t="s">
        <v>9826</v>
      </c>
      <c r="E21" s="12" t="s">
        <v>15360</v>
      </c>
      <c r="F21" s="13">
        <v>45797</v>
      </c>
      <c r="G21" s="14">
        <v>45920</v>
      </c>
      <c r="H21" s="15">
        <v>5000000</v>
      </c>
      <c r="I21" s="16">
        <v>12</v>
      </c>
      <c r="J21" s="17">
        <v>24</v>
      </c>
      <c r="K21" s="9" t="s">
        <v>9827</v>
      </c>
      <c r="L21" s="10" t="s">
        <v>15361</v>
      </c>
      <c r="M21" s="9" t="s">
        <v>9977</v>
      </c>
      <c r="N21" s="10" t="s">
        <v>9834</v>
      </c>
      <c r="O21" s="15">
        <v>3333200</v>
      </c>
      <c r="P21" s="145">
        <v>131287</v>
      </c>
      <c r="Q21" s="9"/>
      <c r="R21" s="146"/>
      <c r="T21" s="92" t="s">
        <v>167</v>
      </c>
      <c r="U21">
        <v>1</v>
      </c>
      <c r="V21">
        <f>VLOOKUP(T21,'Data Angt'!$A$5:$F$5810,6,FALSE)</f>
        <v>54</v>
      </c>
      <c r="W21" s="5" t="str">
        <f t="shared" si="0"/>
        <v>PENDIDIKAN</v>
      </c>
      <c r="X21" s="5" t="str">
        <f>VLOOKUP(T21,'Data Angt'!$A$5:$H$5810,8,FALSE)</f>
        <v>Lain-Lain</v>
      </c>
      <c r="Y21" s="5" t="str">
        <f>VLOOKUP(T21,'Data Angt'!$A$5:$C$5808,3,FALSE)</f>
        <v>PBL</v>
      </c>
    </row>
    <row r="22" spans="1:25" x14ac:dyDescent="0.3">
      <c r="A22" s="8">
        <v>16</v>
      </c>
      <c r="B22" s="9" t="s">
        <v>141</v>
      </c>
      <c r="C22" s="10" t="str">
        <f>VLOOKUP(B22,'Data Angt'!$A$5:$B$5809,2,FALSE)</f>
        <v>A45</v>
      </c>
      <c r="D22" s="11" t="s">
        <v>9829</v>
      </c>
      <c r="E22" s="12" t="s">
        <v>15362</v>
      </c>
      <c r="F22" s="13">
        <v>45738</v>
      </c>
      <c r="G22" s="14">
        <v>45902</v>
      </c>
      <c r="H22" s="15">
        <v>8000000</v>
      </c>
      <c r="I22" s="16">
        <v>12</v>
      </c>
      <c r="J22" s="17">
        <v>11.9</v>
      </c>
      <c r="K22" s="9" t="s">
        <v>9831</v>
      </c>
      <c r="L22" s="10" t="s">
        <v>15363</v>
      </c>
      <c r="M22" s="9" t="s">
        <v>9828</v>
      </c>
      <c r="N22" s="10" t="s">
        <v>9828</v>
      </c>
      <c r="O22" s="15">
        <v>4118200</v>
      </c>
      <c r="P22" s="145">
        <v>142949</v>
      </c>
      <c r="Q22" s="9"/>
      <c r="R22" s="146"/>
      <c r="T22" s="92" t="s">
        <v>182</v>
      </c>
      <c r="U22">
        <v>2</v>
      </c>
      <c r="V22">
        <f>VLOOKUP(T22,'Data Angt'!$A$5:$F$5810,6,FALSE)</f>
        <v>56</v>
      </c>
      <c r="W22" s="5" t="str">
        <f t="shared" si="0"/>
        <v>KONSUMTIF</v>
      </c>
      <c r="X22" s="5" t="str">
        <f>VLOOKUP(T22,'Data Angt'!$A$5:$H$5810,8,FALSE)</f>
        <v>Tenaga Pengajar</v>
      </c>
      <c r="Y22" s="5" t="str">
        <f>VLOOKUP(T22,'Data Angt'!$A$5:$C$5808,3,FALSE)</f>
        <v>PBL</v>
      </c>
    </row>
    <row r="23" spans="1:25" x14ac:dyDescent="0.3">
      <c r="A23" s="8">
        <v>17</v>
      </c>
      <c r="B23" s="9" t="s">
        <v>145</v>
      </c>
      <c r="C23" s="10" t="str">
        <f>VLOOKUP(B23,'Data Angt'!$A$5:$B$5809,2,FALSE)</f>
        <v>A47</v>
      </c>
      <c r="D23" s="11" t="s">
        <v>9829</v>
      </c>
      <c r="E23" s="12" t="s">
        <v>9852</v>
      </c>
      <c r="F23" s="13">
        <v>43916</v>
      </c>
      <c r="G23" s="14">
        <v>45832</v>
      </c>
      <c r="H23" s="15">
        <v>80000000</v>
      </c>
      <c r="I23" s="16">
        <v>60</v>
      </c>
      <c r="J23" s="17">
        <v>21</v>
      </c>
      <c r="K23" s="9" t="s">
        <v>9831</v>
      </c>
      <c r="L23" s="10" t="s">
        <v>9853</v>
      </c>
      <c r="M23" s="9" t="s">
        <v>9840</v>
      </c>
      <c r="N23" s="10" t="s">
        <v>9828</v>
      </c>
      <c r="O23" s="15">
        <v>60823200</v>
      </c>
      <c r="P23" s="145">
        <v>17534508</v>
      </c>
      <c r="Q23" s="9"/>
      <c r="R23" s="146"/>
      <c r="T23" s="92" t="s">
        <v>221</v>
      </c>
      <c r="U23">
        <v>1</v>
      </c>
      <c r="V23">
        <f>VLOOKUP(T23,'Data Angt'!$A$5:$F$5810,6,FALSE)</f>
        <v>49</v>
      </c>
      <c r="W23" s="5" t="str">
        <f t="shared" si="0"/>
        <v>KONSUMTIF</v>
      </c>
      <c r="X23" s="5" t="str">
        <f>VLOOKUP(T23,'Data Angt'!$A$5:$H$5810,8,FALSE)</f>
        <v>Karyawan</v>
      </c>
      <c r="Y23" s="5" t="str">
        <f>VLOOKUP(T23,'Data Angt'!$A$5:$C$5808,3,FALSE)</f>
        <v>PBL</v>
      </c>
    </row>
    <row r="24" spans="1:25" x14ac:dyDescent="0.3">
      <c r="A24" s="8">
        <v>18</v>
      </c>
      <c r="B24" s="9" t="s">
        <v>160</v>
      </c>
      <c r="C24" s="10" t="str">
        <f>VLOOKUP(B24,'Data Angt'!$A$5:$B$5809,2,FALSE)</f>
        <v>A52</v>
      </c>
      <c r="D24" s="11" t="s">
        <v>9829</v>
      </c>
      <c r="E24" s="12" t="s">
        <v>15364</v>
      </c>
      <c r="F24" s="13">
        <v>45334</v>
      </c>
      <c r="G24" s="14">
        <v>45912</v>
      </c>
      <c r="H24" s="15">
        <v>15000000</v>
      </c>
      <c r="I24" s="16">
        <v>20</v>
      </c>
      <c r="J24" s="17">
        <v>24</v>
      </c>
      <c r="K24" s="9" t="s">
        <v>9831</v>
      </c>
      <c r="L24" s="10" t="s">
        <v>15365</v>
      </c>
      <c r="M24" s="9" t="s">
        <v>9838</v>
      </c>
      <c r="N24" s="10" t="s">
        <v>9830</v>
      </c>
      <c r="O24" s="15">
        <v>899600</v>
      </c>
      <c r="P24" s="145">
        <v>1248820</v>
      </c>
      <c r="Q24" s="9" t="s">
        <v>22189</v>
      </c>
      <c r="R24" s="146" t="s">
        <v>22202</v>
      </c>
      <c r="T24" s="92" t="s">
        <v>226</v>
      </c>
      <c r="U24">
        <v>1</v>
      </c>
      <c r="V24">
        <f>VLOOKUP(T24,'Data Angt'!$A$5:$F$5810,6,FALSE)</f>
        <v>60</v>
      </c>
      <c r="W24" s="5" t="str">
        <f t="shared" si="0"/>
        <v>KESEHATAN</v>
      </c>
      <c r="X24" s="5" t="str">
        <f>VLOOKUP(T24,'Data Angt'!$A$5:$H$5810,8,FALSE)</f>
        <v>Wiraswasta</v>
      </c>
      <c r="Y24" s="5" t="str">
        <f>VLOOKUP(T24,'Data Angt'!$A$5:$C$5808,3,FALSE)</f>
        <v>PBL</v>
      </c>
    </row>
    <row r="25" spans="1:25" x14ac:dyDescent="0.3">
      <c r="A25" s="8">
        <v>19</v>
      </c>
      <c r="B25" s="9" t="s">
        <v>167</v>
      </c>
      <c r="C25" s="10" t="str">
        <f>VLOOKUP(B25,'Data Angt'!$A$5:$B$5809,2,FALSE)</f>
        <v>A54</v>
      </c>
      <c r="D25" s="11" t="s">
        <v>9833</v>
      </c>
      <c r="E25" s="12" t="s">
        <v>22203</v>
      </c>
      <c r="F25" s="13">
        <v>45859</v>
      </c>
      <c r="G25" s="14">
        <v>45916</v>
      </c>
      <c r="H25" s="15">
        <v>7000000</v>
      </c>
      <c r="I25" s="16">
        <v>24</v>
      </c>
      <c r="J25" s="17">
        <v>24</v>
      </c>
      <c r="K25" s="9" t="s">
        <v>9831</v>
      </c>
      <c r="L25" s="10" t="s">
        <v>22204</v>
      </c>
      <c r="M25" s="9" t="s">
        <v>10008</v>
      </c>
      <c r="N25" s="10" t="s">
        <v>17</v>
      </c>
      <c r="O25" s="15">
        <v>6535200</v>
      </c>
      <c r="P25" s="145">
        <v>103275</v>
      </c>
      <c r="Q25" s="9"/>
      <c r="R25" s="146"/>
      <c r="T25" s="92" t="s">
        <v>232</v>
      </c>
      <c r="U25">
        <v>1</v>
      </c>
      <c r="V25">
        <f>VLOOKUP(T25,'Data Angt'!$A$5:$F$5810,6,FALSE)</f>
        <v>62</v>
      </c>
      <c r="W25" s="5" t="str">
        <f t="shared" si="0"/>
        <v>PENDIDIKAN</v>
      </c>
      <c r="X25" s="5" t="str">
        <f>VLOOKUP(T25,'Data Angt'!$A$5:$H$5810,8,FALSE)</f>
        <v>Pensiunan</v>
      </c>
      <c r="Y25" s="5" t="str">
        <f>VLOOKUP(T25,'Data Angt'!$A$5:$C$5808,3,FALSE)</f>
        <v>PBL</v>
      </c>
    </row>
    <row r="26" spans="1:25" x14ac:dyDescent="0.3">
      <c r="A26" s="8">
        <v>20</v>
      </c>
      <c r="B26" s="9" t="s">
        <v>182</v>
      </c>
      <c r="C26" s="10" t="str">
        <f>VLOOKUP(B26,'Data Angt'!$A$5:$B$5809,2,FALSE)</f>
        <v>A58</v>
      </c>
      <c r="D26" s="11" t="s">
        <v>9826</v>
      </c>
      <c r="E26" s="12" t="s">
        <v>22205</v>
      </c>
      <c r="F26" s="13">
        <v>45847</v>
      </c>
      <c r="G26" s="14">
        <v>45911</v>
      </c>
      <c r="H26" s="15">
        <v>5000000</v>
      </c>
      <c r="I26" s="16">
        <v>12</v>
      </c>
      <c r="J26" s="17">
        <v>24</v>
      </c>
      <c r="K26" s="9" t="s">
        <v>9831</v>
      </c>
      <c r="L26" s="10" t="s">
        <v>22206</v>
      </c>
      <c r="M26" s="9" t="s">
        <v>9835</v>
      </c>
      <c r="N26" s="10" t="s">
        <v>9828</v>
      </c>
      <c r="O26" s="15">
        <v>3866800</v>
      </c>
      <c r="P26" s="145">
        <v>72225</v>
      </c>
      <c r="Q26" s="9"/>
      <c r="R26" s="146"/>
      <c r="T26" s="92" t="s">
        <v>245</v>
      </c>
      <c r="U26">
        <v>1</v>
      </c>
      <c r="V26">
        <f>VLOOKUP(T26,'Data Angt'!$A$5:$F$5810,6,FALSE)</f>
        <v>60</v>
      </c>
      <c r="W26" s="5" t="str">
        <f t="shared" si="0"/>
        <v>PRODUKTIF</v>
      </c>
      <c r="X26" s="5" t="str">
        <f>VLOOKUP(T26,'Data Angt'!$A$5:$H$5810,8,FALSE)</f>
        <v>Karyawan</v>
      </c>
      <c r="Y26" s="5" t="str">
        <f>VLOOKUP(T26,'Data Angt'!$A$5:$C$5808,3,FALSE)</f>
        <v>PBL</v>
      </c>
    </row>
    <row r="27" spans="1:25" x14ac:dyDescent="0.3">
      <c r="A27" s="8">
        <v>21</v>
      </c>
      <c r="B27" s="9" t="s">
        <v>182</v>
      </c>
      <c r="C27" s="10" t="str">
        <f>VLOOKUP(B27,'Data Angt'!$A$5:$B$5809,2,FALSE)</f>
        <v>A58</v>
      </c>
      <c r="D27" s="11" t="s">
        <v>9829</v>
      </c>
      <c r="E27" s="12" t="s">
        <v>15366</v>
      </c>
      <c r="F27" s="13">
        <v>45629</v>
      </c>
      <c r="G27" s="14">
        <v>45903</v>
      </c>
      <c r="H27" s="15">
        <v>40000000</v>
      </c>
      <c r="I27" s="16">
        <v>48</v>
      </c>
      <c r="J27" s="17">
        <v>21</v>
      </c>
      <c r="K27" s="9" t="s">
        <v>9831</v>
      </c>
      <c r="L27" s="10" t="s">
        <v>15367</v>
      </c>
      <c r="M27" s="9" t="s">
        <v>10008</v>
      </c>
      <c r="N27" s="10" t="s">
        <v>17</v>
      </c>
      <c r="O27" s="15">
        <v>34798500</v>
      </c>
      <c r="P27" s="145">
        <v>2230048</v>
      </c>
      <c r="Q27" s="9"/>
      <c r="R27" s="146"/>
      <c r="T27" s="92" t="s">
        <v>248</v>
      </c>
      <c r="U27">
        <v>2</v>
      </c>
      <c r="V27">
        <f>VLOOKUP(T27,'Data Angt'!$A$5:$F$5810,6,FALSE)</f>
        <v>43</v>
      </c>
      <c r="W27" s="5">
        <f t="shared" si="0"/>
        <v>0</v>
      </c>
      <c r="X27" s="5" t="str">
        <f>VLOOKUP(T27,'Data Angt'!$A$5:$H$5810,8,FALSE)</f>
        <v>Wiraswasta</v>
      </c>
      <c r="Y27" s="5" t="str">
        <f>VLOOKUP(T27,'Data Angt'!$A$5:$C$5808,3,FALSE)</f>
        <v>PBL</v>
      </c>
    </row>
    <row r="28" spans="1:25" x14ac:dyDescent="0.3">
      <c r="A28" s="8">
        <v>22</v>
      </c>
      <c r="B28" s="9" t="s">
        <v>221</v>
      </c>
      <c r="C28" s="10" t="str">
        <f>VLOOKUP(B28,'Data Angt'!$A$5:$B$5809,2,FALSE)</f>
        <v>A70</v>
      </c>
      <c r="D28" s="11" t="s">
        <v>9881</v>
      </c>
      <c r="E28" s="12" t="s">
        <v>22207</v>
      </c>
      <c r="F28" s="13">
        <v>45849</v>
      </c>
      <c r="G28" s="14">
        <v>45925</v>
      </c>
      <c r="H28" s="15">
        <v>5200000</v>
      </c>
      <c r="I28" s="16">
        <v>18</v>
      </c>
      <c r="J28" s="17">
        <v>12</v>
      </c>
      <c r="K28" s="9" t="s">
        <v>9831</v>
      </c>
      <c r="L28" s="10" t="s">
        <v>22208</v>
      </c>
      <c r="M28" s="9" t="s">
        <v>9835</v>
      </c>
      <c r="N28" s="10" t="s">
        <v>9828</v>
      </c>
      <c r="O28" s="15">
        <v>4667000</v>
      </c>
      <c r="P28" s="145">
        <v>38025</v>
      </c>
      <c r="Q28" s="9"/>
      <c r="R28" s="146"/>
      <c r="T28" s="92" t="s">
        <v>262</v>
      </c>
      <c r="U28">
        <v>1</v>
      </c>
      <c r="V28">
        <f>VLOOKUP(T28,'Data Angt'!$A$5:$F$5810,6,FALSE)</f>
        <v>51</v>
      </c>
      <c r="W28" s="5" t="str">
        <f t="shared" si="0"/>
        <v>PRODUKTIF</v>
      </c>
      <c r="X28" s="5" t="str">
        <f>VLOOKUP(T28,'Data Angt'!$A$5:$H$5810,8,FALSE)</f>
        <v>Wiraswasta</v>
      </c>
      <c r="Y28" s="5" t="str">
        <f>VLOOKUP(T28,'Data Angt'!$A$5:$C$5808,3,FALSE)</f>
        <v>PBL</v>
      </c>
    </row>
    <row r="29" spans="1:25" x14ac:dyDescent="0.3">
      <c r="A29" s="8">
        <v>23</v>
      </c>
      <c r="B29" s="9" t="s">
        <v>221</v>
      </c>
      <c r="C29" s="10" t="str">
        <f>VLOOKUP(B29,'Data Angt'!$A$5:$B$5809,2,FALSE)</f>
        <v>A70</v>
      </c>
      <c r="D29" s="11" t="s">
        <v>9842</v>
      </c>
      <c r="E29" s="12" t="s">
        <v>9857</v>
      </c>
      <c r="F29" s="13">
        <v>43757</v>
      </c>
      <c r="G29" s="14">
        <v>45925</v>
      </c>
      <c r="H29" s="15">
        <v>125000000</v>
      </c>
      <c r="I29" s="16">
        <v>84</v>
      </c>
      <c r="J29" s="17">
        <v>2.4</v>
      </c>
      <c r="K29" s="9" t="s">
        <v>9831</v>
      </c>
      <c r="L29" s="10" t="s">
        <v>9858</v>
      </c>
      <c r="M29" s="9" t="s">
        <v>9859</v>
      </c>
      <c r="N29" s="10" t="s">
        <v>9830</v>
      </c>
      <c r="O29" s="15">
        <v>20745200</v>
      </c>
      <c r="P29" s="145">
        <v>3986346</v>
      </c>
      <c r="Q29" s="9"/>
      <c r="R29" s="146"/>
      <c r="T29" s="92" t="s">
        <v>270</v>
      </c>
      <c r="U29">
        <v>1</v>
      </c>
      <c r="V29">
        <f>VLOOKUP(T29,'Data Angt'!$A$5:$F$5810,6,FALSE)</f>
        <v>77</v>
      </c>
      <c r="W29" s="5" t="str">
        <f t="shared" si="0"/>
        <v>PENDIDIKAN</v>
      </c>
      <c r="X29" s="5" t="str">
        <f>VLOOKUP(T29,'Data Angt'!$A$5:$H$5810,8,FALSE)</f>
        <v>Pensiunan</v>
      </c>
      <c r="Y29" s="5" t="str">
        <f>VLOOKUP(T29,'Data Angt'!$A$5:$C$5808,3,FALSE)</f>
        <v>PBL</v>
      </c>
    </row>
    <row r="30" spans="1:25" x14ac:dyDescent="0.3">
      <c r="A30" s="8">
        <v>24</v>
      </c>
      <c r="B30" s="9" t="s">
        <v>226</v>
      </c>
      <c r="C30" s="10" t="str">
        <f>VLOOKUP(B30,'Data Angt'!$A$5:$B$5809,2,FALSE)</f>
        <v>A71</v>
      </c>
      <c r="D30" s="11" t="s">
        <v>9829</v>
      </c>
      <c r="E30" s="12" t="s">
        <v>15368</v>
      </c>
      <c r="F30" s="13">
        <v>45805</v>
      </c>
      <c r="G30" s="14">
        <v>45920</v>
      </c>
      <c r="H30" s="15">
        <v>25000000</v>
      </c>
      <c r="I30" s="16">
        <v>30</v>
      </c>
      <c r="J30" s="17">
        <v>21</v>
      </c>
      <c r="K30" s="9" t="s">
        <v>9831</v>
      </c>
      <c r="L30" s="10" t="s">
        <v>15369</v>
      </c>
      <c r="M30" s="9" t="s">
        <v>15370</v>
      </c>
      <c r="N30" s="10" t="s">
        <v>110</v>
      </c>
      <c r="O30" s="15">
        <v>22368800</v>
      </c>
      <c r="P30" s="145">
        <v>630748</v>
      </c>
      <c r="Q30" s="9" t="s">
        <v>22189</v>
      </c>
      <c r="R30" s="146" t="s">
        <v>22209</v>
      </c>
      <c r="T30" s="92" t="s">
        <v>321</v>
      </c>
      <c r="U30">
        <v>1</v>
      </c>
      <c r="V30">
        <f>VLOOKUP(T30,'Data Angt'!$A$5:$F$5810,6,FALSE)</f>
        <v>56</v>
      </c>
      <c r="W30" s="5" t="str">
        <f t="shared" si="0"/>
        <v>PENDIDIKAN</v>
      </c>
      <c r="X30" s="5" t="str">
        <f>VLOOKUP(T30,'Data Angt'!$A$5:$H$5810,8,FALSE)</f>
        <v>Karyawan</v>
      </c>
      <c r="Y30" s="5" t="str">
        <f>VLOOKUP(T30,'Data Angt'!$A$5:$C$5808,3,FALSE)</f>
        <v>PBL</v>
      </c>
    </row>
    <row r="31" spans="1:25" x14ac:dyDescent="0.3">
      <c r="A31" s="8">
        <v>25</v>
      </c>
      <c r="B31" s="9" t="s">
        <v>232</v>
      </c>
      <c r="C31" s="10" t="str">
        <f>VLOOKUP(B31,'Data Angt'!$A$5:$B$5809,2,FALSE)</f>
        <v>A73</v>
      </c>
      <c r="D31" s="11" t="s">
        <v>9829</v>
      </c>
      <c r="E31" s="12" t="s">
        <v>15371</v>
      </c>
      <c r="F31" s="13">
        <v>45742</v>
      </c>
      <c r="G31" s="14">
        <v>45926</v>
      </c>
      <c r="H31" s="15">
        <v>35000000</v>
      </c>
      <c r="I31" s="16">
        <v>36</v>
      </c>
      <c r="J31" s="17">
        <v>21</v>
      </c>
      <c r="K31" s="9" t="s">
        <v>9827</v>
      </c>
      <c r="L31" s="10" t="s">
        <v>15372</v>
      </c>
      <c r="M31" s="9" t="s">
        <v>9832</v>
      </c>
      <c r="N31" s="10" t="s">
        <v>17</v>
      </c>
      <c r="O31" s="15">
        <v>32083100</v>
      </c>
      <c r="P31" s="145">
        <v>1314373</v>
      </c>
      <c r="Q31" s="9" t="s">
        <v>22197</v>
      </c>
      <c r="R31" s="146" t="s">
        <v>22210</v>
      </c>
      <c r="T31" s="92" t="s">
        <v>331</v>
      </c>
      <c r="U31">
        <v>1</v>
      </c>
      <c r="V31">
        <f>VLOOKUP(T31,'Data Angt'!$A$5:$F$5810,6,FALSE)</f>
        <v>67</v>
      </c>
      <c r="W31" s="5" t="str">
        <f t="shared" si="0"/>
        <v>PRODUKTIF</v>
      </c>
      <c r="X31" s="5" t="str">
        <f>VLOOKUP(T31,'Data Angt'!$A$5:$H$5810,8,FALSE)</f>
        <v>Pemuka Agama</v>
      </c>
      <c r="Y31" s="5" t="str">
        <f>VLOOKUP(T31,'Data Angt'!$A$5:$C$5808,3,FALSE)</f>
        <v>PBL</v>
      </c>
    </row>
    <row r="32" spans="1:25" x14ac:dyDescent="0.3">
      <c r="A32" s="8">
        <v>26</v>
      </c>
      <c r="B32" s="9" t="s">
        <v>245</v>
      </c>
      <c r="C32" s="10" t="str">
        <f>VLOOKUP(B32,'Data Angt'!$A$5:$B$5809,2,FALSE)</f>
        <v>A77</v>
      </c>
      <c r="D32" s="11" t="s">
        <v>9833</v>
      </c>
      <c r="E32" s="12" t="s">
        <v>22211</v>
      </c>
      <c r="F32" s="13">
        <v>45915</v>
      </c>
      <c r="G32" s="14">
        <v>45915</v>
      </c>
      <c r="H32" s="15">
        <v>10000000</v>
      </c>
      <c r="I32" s="16">
        <v>10</v>
      </c>
      <c r="J32" s="17">
        <v>24</v>
      </c>
      <c r="K32" s="9" t="s">
        <v>9827</v>
      </c>
      <c r="L32" s="10" t="s">
        <v>22212</v>
      </c>
      <c r="M32" s="9" t="s">
        <v>16456</v>
      </c>
      <c r="N32" s="10" t="s">
        <v>9834</v>
      </c>
      <c r="O32" s="15">
        <v>10000000</v>
      </c>
      <c r="P32" s="147">
        <v>0</v>
      </c>
      <c r="Q32" s="9"/>
      <c r="R32" s="146"/>
      <c r="T32" s="92" t="s">
        <v>344</v>
      </c>
      <c r="U32">
        <v>1</v>
      </c>
      <c r="V32">
        <f>VLOOKUP(T32,'Data Angt'!$A$5:$F$5810,6,FALSE)</f>
        <v>76</v>
      </c>
      <c r="W32" s="5" t="str">
        <f t="shared" si="0"/>
        <v>KONSUMTIF</v>
      </c>
      <c r="X32" s="5" t="str">
        <f>VLOOKUP(T32,'Data Angt'!$A$5:$H$5810,8,FALSE)</f>
        <v>Wiraswasta</v>
      </c>
      <c r="Y32" s="5" t="str">
        <f>VLOOKUP(T32,'Data Angt'!$A$5:$C$5808,3,FALSE)</f>
        <v>PBL</v>
      </c>
    </row>
    <row r="33" spans="1:25" x14ac:dyDescent="0.3">
      <c r="A33" s="8">
        <v>27</v>
      </c>
      <c r="B33" s="9" t="s">
        <v>248</v>
      </c>
      <c r="C33" s="10" t="str">
        <f>VLOOKUP(B33,'Data Angt'!$A$5:$B$5809,2,FALSE)</f>
        <v>A78</v>
      </c>
      <c r="D33" s="11" t="s">
        <v>9829</v>
      </c>
      <c r="E33" s="12" t="s">
        <v>9860</v>
      </c>
      <c r="F33" s="13">
        <v>39854</v>
      </c>
      <c r="G33" s="14">
        <v>45027</v>
      </c>
      <c r="H33" s="15">
        <v>131000000</v>
      </c>
      <c r="I33" s="16">
        <v>60</v>
      </c>
      <c r="J33" s="17">
        <v>0</v>
      </c>
      <c r="K33" s="9" t="s">
        <v>9827</v>
      </c>
      <c r="L33" s="10"/>
      <c r="M33" s="9"/>
      <c r="N33" s="10"/>
      <c r="O33" s="15">
        <v>101725000</v>
      </c>
      <c r="P33" s="147">
        <v>0</v>
      </c>
      <c r="Q33" s="9"/>
      <c r="R33" s="146"/>
      <c r="T33" s="92" t="s">
        <v>358</v>
      </c>
      <c r="U33">
        <v>1</v>
      </c>
      <c r="V33">
        <f>VLOOKUP(T33,'Data Angt'!$A$5:$F$5810,6,FALSE)</f>
        <v>31</v>
      </c>
      <c r="W33" s="5" t="str">
        <f t="shared" si="0"/>
        <v>KESEJAHTERAAN</v>
      </c>
      <c r="X33" s="5" t="str">
        <f>VLOOKUP(T33,'Data Angt'!$A$5:$H$5810,8,FALSE)</f>
        <v>Karyawan</v>
      </c>
      <c r="Y33" s="5" t="str">
        <f>VLOOKUP(T33,'Data Angt'!$A$5:$C$5808,3,FALSE)</f>
        <v>PBL</v>
      </c>
    </row>
    <row r="34" spans="1:25" x14ac:dyDescent="0.3">
      <c r="A34" s="8">
        <v>28</v>
      </c>
      <c r="B34" s="9" t="s">
        <v>262</v>
      </c>
      <c r="C34" s="10" t="str">
        <f>VLOOKUP(B34,'Data Angt'!$A$5:$B$5809,2,FALSE)</f>
        <v>A83</v>
      </c>
      <c r="D34" s="11" t="s">
        <v>9826</v>
      </c>
      <c r="E34" s="12" t="s">
        <v>22213</v>
      </c>
      <c r="F34" s="13">
        <v>45894</v>
      </c>
      <c r="G34" s="14">
        <v>45919</v>
      </c>
      <c r="H34" s="15">
        <v>2500000</v>
      </c>
      <c r="I34" s="16">
        <v>12</v>
      </c>
      <c r="J34" s="17">
        <v>24</v>
      </c>
      <c r="K34" s="9" t="s">
        <v>9831</v>
      </c>
      <c r="L34" s="10" t="s">
        <v>22214</v>
      </c>
      <c r="M34" s="9" t="s">
        <v>9962</v>
      </c>
      <c r="N34" s="10" t="s">
        <v>9834</v>
      </c>
      <c r="O34" s="15">
        <v>2313600</v>
      </c>
      <c r="P34" s="145">
        <v>18750</v>
      </c>
      <c r="Q34" s="9"/>
      <c r="R34" s="146"/>
      <c r="T34" s="92" t="s">
        <v>389</v>
      </c>
      <c r="U34">
        <v>1</v>
      </c>
      <c r="V34">
        <f>VLOOKUP(T34,'Data Angt'!$A$5:$F$5810,6,FALSE)</f>
        <v>63</v>
      </c>
      <c r="W34" s="5" t="str">
        <f t="shared" si="0"/>
        <v>KESEJAHTERAAN</v>
      </c>
      <c r="X34" s="5" t="str">
        <f>VLOOKUP(T34,'Data Angt'!$A$5:$H$5810,8,FALSE)</f>
        <v>Pensiunan</v>
      </c>
      <c r="Y34" s="5" t="str">
        <f>VLOOKUP(T34,'Data Angt'!$A$5:$C$5808,3,FALSE)</f>
        <v>PBL</v>
      </c>
    </row>
    <row r="35" spans="1:25" x14ac:dyDescent="0.3">
      <c r="A35" s="8">
        <v>29</v>
      </c>
      <c r="B35" s="9" t="s">
        <v>262</v>
      </c>
      <c r="C35" s="10" t="str">
        <f>VLOOKUP(B35,'Data Angt'!$A$5:$B$5809,2,FALSE)</f>
        <v>A83</v>
      </c>
      <c r="D35" s="11" t="s">
        <v>9829</v>
      </c>
      <c r="E35" s="12" t="s">
        <v>15373</v>
      </c>
      <c r="F35" s="13">
        <v>45520</v>
      </c>
      <c r="G35" s="14">
        <v>45911</v>
      </c>
      <c r="H35" s="15">
        <v>6000000</v>
      </c>
      <c r="I35" s="16">
        <v>36</v>
      </c>
      <c r="J35" s="17">
        <v>11.88</v>
      </c>
      <c r="K35" s="9" t="s">
        <v>9831</v>
      </c>
      <c r="L35" s="10" t="s">
        <v>15374</v>
      </c>
      <c r="M35" s="9" t="s">
        <v>9856</v>
      </c>
      <c r="N35" s="10" t="s">
        <v>9830</v>
      </c>
      <c r="O35" s="15">
        <v>4074100</v>
      </c>
      <c r="P35" s="145">
        <v>247909</v>
      </c>
      <c r="Q35" s="9"/>
      <c r="R35" s="146"/>
      <c r="T35" s="92" t="s">
        <v>396</v>
      </c>
      <c r="U35">
        <v>1</v>
      </c>
      <c r="V35">
        <f>VLOOKUP(T35,'Data Angt'!$A$5:$F$5810,6,FALSE)</f>
        <v>59</v>
      </c>
      <c r="W35" s="5" t="str">
        <f t="shared" si="0"/>
        <v>PRODUKTIF</v>
      </c>
      <c r="X35" s="5" t="str">
        <f>VLOOKUP(T35,'Data Angt'!$A$5:$H$5810,8,FALSE)</f>
        <v>Wiraswasta</v>
      </c>
      <c r="Y35" s="5" t="str">
        <f>VLOOKUP(T35,'Data Angt'!$A$5:$C$5808,3,FALSE)</f>
        <v>PBL</v>
      </c>
    </row>
    <row r="36" spans="1:25" x14ac:dyDescent="0.3">
      <c r="A36" s="8">
        <v>30</v>
      </c>
      <c r="B36" s="9" t="s">
        <v>270</v>
      </c>
      <c r="C36" s="10" t="str">
        <f>VLOOKUP(B36,'Data Angt'!$A$5:$B$5809,2,FALSE)</f>
        <v>A87</v>
      </c>
      <c r="D36" s="11" t="s">
        <v>9829</v>
      </c>
      <c r="E36" s="12" t="s">
        <v>22215</v>
      </c>
      <c r="F36" s="13">
        <v>45849</v>
      </c>
      <c r="G36" s="14">
        <v>45909</v>
      </c>
      <c r="H36" s="15">
        <v>49000000</v>
      </c>
      <c r="I36" s="16">
        <v>10</v>
      </c>
      <c r="J36" s="17">
        <v>21</v>
      </c>
      <c r="K36" s="9" t="s">
        <v>9827</v>
      </c>
      <c r="L36" s="10" t="s">
        <v>22216</v>
      </c>
      <c r="M36" s="9" t="s">
        <v>22217</v>
      </c>
      <c r="N36" s="10" t="s">
        <v>17</v>
      </c>
      <c r="O36" s="15">
        <v>39200000</v>
      </c>
      <c r="P36" s="145">
        <v>610987</v>
      </c>
      <c r="Q36" s="9" t="s">
        <v>22218</v>
      </c>
      <c r="R36" s="146" t="s">
        <v>22219</v>
      </c>
      <c r="T36" s="92" t="s">
        <v>417</v>
      </c>
      <c r="U36">
        <v>1</v>
      </c>
      <c r="V36">
        <f>VLOOKUP(T36,'Data Angt'!$A$5:$F$5810,6,FALSE)</f>
        <v>44</v>
      </c>
      <c r="W36" s="5" t="str">
        <f t="shared" si="0"/>
        <v>KESEJAHTERAAN</v>
      </c>
      <c r="X36" s="5" t="str">
        <f>VLOOKUP(T36,'Data Angt'!$A$5:$H$5810,8,FALSE)</f>
        <v>Mengurus Rumah Tangga</v>
      </c>
      <c r="Y36" s="5" t="str">
        <f>VLOOKUP(T36,'Data Angt'!$A$5:$C$5808,3,FALSE)</f>
        <v>PBL</v>
      </c>
    </row>
    <row r="37" spans="1:25" x14ac:dyDescent="0.3">
      <c r="A37" s="8">
        <v>31</v>
      </c>
      <c r="B37" s="9" t="s">
        <v>321</v>
      </c>
      <c r="C37" s="10" t="str">
        <f>VLOOKUP(B37,'Data Angt'!$A$5:$B$5809,2,FALSE)</f>
        <v>A112</v>
      </c>
      <c r="D37" s="11" t="s">
        <v>9829</v>
      </c>
      <c r="E37" s="12" t="s">
        <v>15375</v>
      </c>
      <c r="F37" s="13">
        <v>45612</v>
      </c>
      <c r="G37" s="14">
        <v>45916</v>
      </c>
      <c r="H37" s="15">
        <v>55000000</v>
      </c>
      <c r="I37" s="16">
        <v>60</v>
      </c>
      <c r="J37" s="17">
        <v>21</v>
      </c>
      <c r="K37" s="9" t="s">
        <v>9831</v>
      </c>
      <c r="L37" s="10" t="s">
        <v>15376</v>
      </c>
      <c r="M37" s="9" t="s">
        <v>10571</v>
      </c>
      <c r="N37" s="10" t="s">
        <v>17</v>
      </c>
      <c r="O37" s="15">
        <v>49311800</v>
      </c>
      <c r="P37" s="145">
        <v>3446922</v>
      </c>
      <c r="Q37" s="9"/>
      <c r="R37" s="146"/>
      <c r="T37" s="92" t="s">
        <v>419</v>
      </c>
      <c r="U37">
        <v>1</v>
      </c>
      <c r="V37">
        <f>VLOOKUP(T37,'Data Angt'!$A$5:$F$5810,6,FALSE)</f>
        <v>49</v>
      </c>
      <c r="W37" s="5" t="str">
        <f t="shared" si="0"/>
        <v>KONSUMTIF</v>
      </c>
      <c r="X37" s="5" t="str">
        <f>VLOOKUP(T37,'Data Angt'!$A$5:$H$5810,8,FALSE)</f>
        <v>Aparatur/Pejabat Negara</v>
      </c>
      <c r="Y37" s="5" t="str">
        <f>VLOOKUP(T37,'Data Angt'!$A$5:$C$5808,3,FALSE)</f>
        <v>PBL</v>
      </c>
    </row>
    <row r="38" spans="1:25" x14ac:dyDescent="0.3">
      <c r="A38" s="8">
        <v>32</v>
      </c>
      <c r="B38" s="9" t="s">
        <v>331</v>
      </c>
      <c r="C38" s="10" t="str">
        <f>VLOOKUP(B38,'Data Angt'!$A$5:$B$5809,2,FALSE)</f>
        <v>A115</v>
      </c>
      <c r="D38" s="11" t="s">
        <v>9833</v>
      </c>
      <c r="E38" s="12" t="s">
        <v>15377</v>
      </c>
      <c r="F38" s="13">
        <v>45679</v>
      </c>
      <c r="G38" s="14">
        <v>45920</v>
      </c>
      <c r="H38" s="15">
        <v>2000000000</v>
      </c>
      <c r="I38" s="16">
        <v>36</v>
      </c>
      <c r="J38" s="17">
        <v>12</v>
      </c>
      <c r="K38" s="9" t="s">
        <v>9831</v>
      </c>
      <c r="L38" s="10" t="s">
        <v>15378</v>
      </c>
      <c r="M38" s="9" t="s">
        <v>15379</v>
      </c>
      <c r="N38" s="10" t="s">
        <v>9834</v>
      </c>
      <c r="O38" s="15">
        <v>1615307500</v>
      </c>
      <c r="P38" s="145">
        <v>55026411</v>
      </c>
      <c r="Q38" s="9"/>
      <c r="R38" s="146"/>
      <c r="T38" s="92" t="s">
        <v>423</v>
      </c>
      <c r="U38">
        <v>1</v>
      </c>
      <c r="V38">
        <f>VLOOKUP(T38,'Data Angt'!$A$5:$F$5810,6,FALSE)</f>
        <v>71</v>
      </c>
      <c r="W38" s="5" t="str">
        <f t="shared" si="0"/>
        <v>PRODUKTIF</v>
      </c>
      <c r="X38" s="5" t="str">
        <f>VLOOKUP(T38,'Data Angt'!$A$5:$H$5810,8,FALSE)</f>
        <v>Wiraswasta</v>
      </c>
      <c r="Y38" s="5" t="str">
        <f>VLOOKUP(T38,'Data Angt'!$A$5:$C$5808,3,FALSE)</f>
        <v>PBL</v>
      </c>
    </row>
    <row r="39" spans="1:25" x14ac:dyDescent="0.3">
      <c r="A39" s="8">
        <v>33</v>
      </c>
      <c r="B39" s="9" t="s">
        <v>344</v>
      </c>
      <c r="C39" s="10" t="str">
        <f>VLOOKUP(B39,'Data Angt'!$A$5:$B$5809,2,FALSE)</f>
        <v>A119</v>
      </c>
      <c r="D39" s="11" t="s">
        <v>9829</v>
      </c>
      <c r="E39" s="12" t="s">
        <v>15380</v>
      </c>
      <c r="F39" s="13">
        <v>45670</v>
      </c>
      <c r="G39" s="14">
        <v>45916</v>
      </c>
      <c r="H39" s="15">
        <v>2000000</v>
      </c>
      <c r="I39" s="16">
        <v>12</v>
      </c>
      <c r="J39" s="17">
        <v>11.9</v>
      </c>
      <c r="K39" s="9" t="s">
        <v>9831</v>
      </c>
      <c r="L39" s="10" t="s">
        <v>15381</v>
      </c>
      <c r="M39" s="9" t="s">
        <v>15382</v>
      </c>
      <c r="N39" s="10" t="s">
        <v>9828</v>
      </c>
      <c r="O39" s="15">
        <v>523600</v>
      </c>
      <c r="P39" s="145">
        <v>42859</v>
      </c>
      <c r="Q39" s="9"/>
      <c r="R39" s="146"/>
      <c r="T39" s="92" t="s">
        <v>442</v>
      </c>
      <c r="U39">
        <v>1</v>
      </c>
      <c r="V39">
        <f>VLOOKUP(T39,'Data Angt'!$A$5:$F$5810,6,FALSE)</f>
        <v>65</v>
      </c>
      <c r="W39" s="5" t="str">
        <f t="shared" si="0"/>
        <v>KONSUMTIF</v>
      </c>
      <c r="X39" s="5" t="str">
        <f>VLOOKUP(T39,'Data Angt'!$A$5:$H$5810,8,FALSE)</f>
        <v>Pensiunan</v>
      </c>
      <c r="Y39" s="5" t="str">
        <f>VLOOKUP(T39,'Data Angt'!$A$5:$C$5808,3,FALSE)</f>
        <v>PBL</v>
      </c>
    </row>
    <row r="40" spans="1:25" x14ac:dyDescent="0.3">
      <c r="A40" s="8">
        <v>34</v>
      </c>
      <c r="B40" s="9" t="s">
        <v>358</v>
      </c>
      <c r="C40" s="10" t="str">
        <f>VLOOKUP(B40,'Data Angt'!$A$5:$B$5809,2,FALSE)</f>
        <v>A123</v>
      </c>
      <c r="D40" s="11" t="s">
        <v>9842</v>
      </c>
      <c r="E40" s="12" t="s">
        <v>9863</v>
      </c>
      <c r="F40" s="13">
        <v>45152</v>
      </c>
      <c r="G40" s="14">
        <v>45916</v>
      </c>
      <c r="H40" s="15">
        <v>100000000</v>
      </c>
      <c r="I40" s="16">
        <v>60</v>
      </c>
      <c r="J40" s="17">
        <v>11.4</v>
      </c>
      <c r="K40" s="9" t="s">
        <v>9831</v>
      </c>
      <c r="L40" s="10" t="s">
        <v>9864</v>
      </c>
      <c r="M40" s="9" t="s">
        <v>9865</v>
      </c>
      <c r="N40" s="10" t="s">
        <v>9830</v>
      </c>
      <c r="O40" s="15">
        <v>63514000</v>
      </c>
      <c r="P40" s="145">
        <v>7474756</v>
      </c>
      <c r="Q40" s="9" t="s">
        <v>22220</v>
      </c>
      <c r="R40" s="146" t="s">
        <v>22221</v>
      </c>
      <c r="T40" s="92" t="s">
        <v>476</v>
      </c>
      <c r="U40">
        <v>1</v>
      </c>
      <c r="V40">
        <f>VLOOKUP(T40,'Data Angt'!$A$5:$F$5810,6,FALSE)</f>
        <v>58</v>
      </c>
      <c r="W40" s="5" t="str">
        <f t="shared" si="0"/>
        <v>PRODUKTIF</v>
      </c>
      <c r="X40" s="5" t="str">
        <f>VLOOKUP(T40,'Data Angt'!$A$5:$H$5810,8,FALSE)</f>
        <v>Pensiunan</v>
      </c>
      <c r="Y40" s="5" t="str">
        <f>VLOOKUP(T40,'Data Angt'!$A$5:$C$5808,3,FALSE)</f>
        <v>PBL</v>
      </c>
    </row>
    <row r="41" spans="1:25" x14ac:dyDescent="0.3">
      <c r="A41" s="8">
        <v>35</v>
      </c>
      <c r="B41" s="9" t="s">
        <v>389</v>
      </c>
      <c r="C41" s="10" t="str">
        <f>VLOOKUP(B41,'Data Angt'!$A$5:$B$5809,2,FALSE)</f>
        <v>A133</v>
      </c>
      <c r="D41" s="11" t="s">
        <v>9829</v>
      </c>
      <c r="E41" s="12" t="s">
        <v>15383</v>
      </c>
      <c r="F41" s="13">
        <v>45401</v>
      </c>
      <c r="G41" s="14">
        <v>45919</v>
      </c>
      <c r="H41" s="15">
        <v>10000000</v>
      </c>
      <c r="I41" s="16">
        <v>24</v>
      </c>
      <c r="J41" s="17">
        <v>11.88</v>
      </c>
      <c r="K41" s="9" t="s">
        <v>9831</v>
      </c>
      <c r="L41" s="10" t="s">
        <v>15384</v>
      </c>
      <c r="M41" s="9" t="s">
        <v>9838</v>
      </c>
      <c r="N41" s="10" t="s">
        <v>9830</v>
      </c>
      <c r="O41" s="15">
        <v>3165000</v>
      </c>
      <c r="P41" s="145">
        <v>434396</v>
      </c>
      <c r="Q41" s="9"/>
      <c r="R41" s="146"/>
      <c r="T41" s="92" t="s">
        <v>494</v>
      </c>
      <c r="U41">
        <v>1</v>
      </c>
      <c r="V41">
        <f>VLOOKUP(T41,'Data Angt'!$A$5:$F$5810,6,FALSE)</f>
        <v>45</v>
      </c>
      <c r="W41" s="5" t="str">
        <f t="shared" si="0"/>
        <v>PENDIDIKAN</v>
      </c>
      <c r="X41" s="5" t="str">
        <f>VLOOKUP(T41,'Data Angt'!$A$5:$H$5810,8,FALSE)</f>
        <v>Karyawan</v>
      </c>
      <c r="Y41" s="5" t="str">
        <f>VLOOKUP(T41,'Data Angt'!$A$5:$C$5808,3,FALSE)</f>
        <v>PBL</v>
      </c>
    </row>
    <row r="42" spans="1:25" x14ac:dyDescent="0.3">
      <c r="A42" s="8">
        <v>36</v>
      </c>
      <c r="B42" s="9" t="s">
        <v>396</v>
      </c>
      <c r="C42" s="10" t="str">
        <f>VLOOKUP(B42,'Data Angt'!$A$5:$B$5809,2,FALSE)</f>
        <v>A136</v>
      </c>
      <c r="D42" s="11" t="s">
        <v>9833</v>
      </c>
      <c r="E42" s="12" t="s">
        <v>15385</v>
      </c>
      <c r="F42" s="13">
        <v>45565</v>
      </c>
      <c r="G42" s="14">
        <v>45930</v>
      </c>
      <c r="H42" s="15">
        <v>150000000</v>
      </c>
      <c r="I42" s="16">
        <v>60</v>
      </c>
      <c r="J42" s="17">
        <v>21</v>
      </c>
      <c r="K42" s="9" t="s">
        <v>9831</v>
      </c>
      <c r="L42" s="10" t="s">
        <v>15386</v>
      </c>
      <c r="M42" s="9" t="s">
        <v>15387</v>
      </c>
      <c r="N42" s="10" t="s">
        <v>9834</v>
      </c>
      <c r="O42" s="15">
        <v>131077700</v>
      </c>
      <c r="P42" s="145">
        <v>11165584</v>
      </c>
      <c r="Q42" s="9" t="s">
        <v>22197</v>
      </c>
      <c r="R42" s="146" t="s">
        <v>22222</v>
      </c>
      <c r="T42" s="92" t="s">
        <v>518</v>
      </c>
      <c r="U42">
        <v>1</v>
      </c>
      <c r="V42">
        <f>VLOOKUP(T42,'Data Angt'!$A$5:$F$5810,6,FALSE)</f>
        <v>69</v>
      </c>
      <c r="W42" s="5" t="str">
        <f t="shared" si="0"/>
        <v>PRODUKTIF</v>
      </c>
      <c r="X42" s="5" t="str">
        <f>VLOOKUP(T42,'Data Angt'!$A$5:$H$5810,8,FALSE)</f>
        <v>Pensiunan</v>
      </c>
      <c r="Y42" s="5" t="str">
        <f>VLOOKUP(T42,'Data Angt'!$A$5:$C$5808,3,FALSE)</f>
        <v>PBL</v>
      </c>
    </row>
    <row r="43" spans="1:25" x14ac:dyDescent="0.3">
      <c r="A43" s="8">
        <v>37</v>
      </c>
      <c r="B43" s="9" t="s">
        <v>417</v>
      </c>
      <c r="C43" s="10" t="str">
        <f>VLOOKUP(B43,'Data Angt'!$A$5:$B$5809,2,FALSE)</f>
        <v>A145</v>
      </c>
      <c r="D43" s="11" t="s">
        <v>9829</v>
      </c>
      <c r="E43" s="12" t="s">
        <v>15388</v>
      </c>
      <c r="F43" s="13">
        <v>45762</v>
      </c>
      <c r="G43" s="14">
        <v>45918</v>
      </c>
      <c r="H43" s="15">
        <v>35000000</v>
      </c>
      <c r="I43" s="16">
        <v>36</v>
      </c>
      <c r="J43" s="17">
        <v>21</v>
      </c>
      <c r="K43" s="9" t="s">
        <v>9831</v>
      </c>
      <c r="L43" s="10" t="s">
        <v>15389</v>
      </c>
      <c r="M43" s="9" t="s">
        <v>9838</v>
      </c>
      <c r="N43" s="10" t="s">
        <v>9830</v>
      </c>
      <c r="O43" s="15">
        <v>31343400</v>
      </c>
      <c r="P43" s="145">
        <v>1101337</v>
      </c>
      <c r="Q43" s="9" t="s">
        <v>22197</v>
      </c>
      <c r="R43" s="146" t="s">
        <v>22223</v>
      </c>
      <c r="T43" s="92" t="s">
        <v>527</v>
      </c>
      <c r="U43">
        <v>1</v>
      </c>
      <c r="V43">
        <f>VLOOKUP(T43,'Data Angt'!$A$5:$F$5810,6,FALSE)</f>
        <v>62</v>
      </c>
      <c r="W43" s="5" t="str">
        <f t="shared" si="0"/>
        <v>PRODUKTIF</v>
      </c>
      <c r="X43" s="5" t="str">
        <f>VLOOKUP(T43,'Data Angt'!$A$5:$H$5810,8,FALSE)</f>
        <v>Wiraswasta</v>
      </c>
      <c r="Y43" s="5" t="str">
        <f>VLOOKUP(T43,'Data Angt'!$A$5:$C$5808,3,FALSE)</f>
        <v>PBL</v>
      </c>
    </row>
    <row r="44" spans="1:25" x14ac:dyDescent="0.3">
      <c r="A44" s="8">
        <v>38</v>
      </c>
      <c r="B44" s="9" t="s">
        <v>419</v>
      </c>
      <c r="C44" s="10" t="str">
        <f>VLOOKUP(B44,'Data Angt'!$A$5:$B$5809,2,FALSE)</f>
        <v>A146</v>
      </c>
      <c r="D44" s="11" t="s">
        <v>9829</v>
      </c>
      <c r="E44" s="12" t="s">
        <v>15390</v>
      </c>
      <c r="F44" s="13">
        <v>45430</v>
      </c>
      <c r="G44" s="14">
        <v>45920</v>
      </c>
      <c r="H44" s="15">
        <v>35000000</v>
      </c>
      <c r="I44" s="16">
        <v>36</v>
      </c>
      <c r="J44" s="17">
        <v>21</v>
      </c>
      <c r="K44" s="9" t="s">
        <v>9831</v>
      </c>
      <c r="L44" s="10" t="s">
        <v>15391</v>
      </c>
      <c r="M44" s="9" t="s">
        <v>15392</v>
      </c>
      <c r="N44" s="10" t="s">
        <v>9828</v>
      </c>
      <c r="O44" s="15">
        <v>22090400</v>
      </c>
      <c r="P44" s="145">
        <v>3071097</v>
      </c>
      <c r="Q44" s="9" t="s">
        <v>22220</v>
      </c>
      <c r="R44" s="146" t="s">
        <v>22224</v>
      </c>
      <c r="T44" s="92" t="s">
        <v>529</v>
      </c>
      <c r="U44">
        <v>1</v>
      </c>
      <c r="V44">
        <f>VLOOKUP(T44,'Data Angt'!$A$5:$F$5810,6,FALSE)</f>
        <v>68</v>
      </c>
      <c r="W44" s="5" t="str">
        <f t="shared" si="0"/>
        <v>KESEJAHTERAAN</v>
      </c>
      <c r="X44" s="5" t="str">
        <f>VLOOKUP(T44,'Data Angt'!$A$5:$H$5810,8,FALSE)</f>
        <v>Wiraswasta</v>
      </c>
      <c r="Y44" s="5" t="str">
        <f>VLOOKUP(T44,'Data Angt'!$A$5:$C$5808,3,FALSE)</f>
        <v>PBL</v>
      </c>
    </row>
    <row r="45" spans="1:25" x14ac:dyDescent="0.3">
      <c r="A45" s="8">
        <v>39</v>
      </c>
      <c r="B45" s="9" t="s">
        <v>423</v>
      </c>
      <c r="C45" s="10" t="str">
        <f>VLOOKUP(B45,'Data Angt'!$A$5:$B$5809,2,FALSE)</f>
        <v>A147</v>
      </c>
      <c r="D45" s="11" t="s">
        <v>9826</v>
      </c>
      <c r="E45" s="12" t="s">
        <v>15393</v>
      </c>
      <c r="F45" s="13">
        <v>45302</v>
      </c>
      <c r="G45" s="14">
        <v>45911</v>
      </c>
      <c r="H45" s="15">
        <v>31000000</v>
      </c>
      <c r="I45" s="16">
        <v>48</v>
      </c>
      <c r="J45" s="17">
        <v>11.04</v>
      </c>
      <c r="K45" s="9" t="s">
        <v>9831</v>
      </c>
      <c r="L45" s="10" t="s">
        <v>15394</v>
      </c>
      <c r="M45" s="9" t="s">
        <v>15395</v>
      </c>
      <c r="N45" s="10" t="s">
        <v>9834</v>
      </c>
      <c r="O45" s="15">
        <v>19712100</v>
      </c>
      <c r="P45" s="145">
        <v>1781282</v>
      </c>
      <c r="Q45" s="9"/>
      <c r="R45" s="146"/>
      <c r="T45" s="92" t="s">
        <v>554</v>
      </c>
      <c r="U45">
        <v>1</v>
      </c>
      <c r="V45">
        <f>VLOOKUP(T45,'Data Angt'!$A$5:$F$5810,6,FALSE)</f>
        <v>73</v>
      </c>
      <c r="W45" s="5" t="str">
        <f t="shared" si="0"/>
        <v>PRODUKTIF</v>
      </c>
      <c r="X45" s="5" t="str">
        <f>VLOOKUP(T45,'Data Angt'!$A$5:$H$5810,8,FALSE)</f>
        <v>pensiunan</v>
      </c>
      <c r="Y45" s="5" t="str">
        <f>VLOOKUP(T45,'Data Angt'!$A$5:$C$5808,3,FALSE)</f>
        <v>PBL</v>
      </c>
    </row>
    <row r="46" spans="1:25" x14ac:dyDescent="0.3">
      <c r="A46" s="8">
        <v>40</v>
      </c>
      <c r="B46" s="9" t="s">
        <v>442</v>
      </c>
      <c r="C46" s="10" t="str">
        <f>VLOOKUP(B46,'Data Angt'!$A$5:$B$5809,2,FALSE)</f>
        <v>A155</v>
      </c>
      <c r="D46" s="11" t="s">
        <v>9829</v>
      </c>
      <c r="E46" s="12" t="s">
        <v>15396</v>
      </c>
      <c r="F46" s="13">
        <v>45743</v>
      </c>
      <c r="G46" s="14">
        <v>45908</v>
      </c>
      <c r="H46" s="15">
        <v>2000000</v>
      </c>
      <c r="I46" s="16">
        <v>12</v>
      </c>
      <c r="J46" s="17">
        <v>24</v>
      </c>
      <c r="K46" s="9" t="s">
        <v>9831</v>
      </c>
      <c r="L46" s="10" t="s">
        <v>15397</v>
      </c>
      <c r="M46" s="9" t="s">
        <v>15398</v>
      </c>
      <c r="N46" s="10" t="s">
        <v>9828</v>
      </c>
      <c r="O46" s="15">
        <v>1059100</v>
      </c>
      <c r="P46" s="145">
        <v>72861</v>
      </c>
      <c r="Q46" s="9"/>
      <c r="R46" s="146"/>
      <c r="T46" s="92" t="s">
        <v>561</v>
      </c>
      <c r="U46">
        <v>1</v>
      </c>
      <c r="V46">
        <f>VLOOKUP(T46,'Data Angt'!$A$5:$F$5810,6,FALSE)</f>
        <v>51</v>
      </c>
      <c r="W46" s="5" t="str">
        <f t="shared" si="0"/>
        <v>KONSUMTIF</v>
      </c>
      <c r="X46" s="5" t="str">
        <f>VLOOKUP(T46,'Data Angt'!$A$5:$H$5810,8,FALSE)</f>
        <v>Karyawan</v>
      </c>
      <c r="Y46" s="5" t="str">
        <f>VLOOKUP(T46,'Data Angt'!$A$5:$C$5808,3,FALSE)</f>
        <v>PBL</v>
      </c>
    </row>
    <row r="47" spans="1:25" x14ac:dyDescent="0.3">
      <c r="A47" s="8">
        <v>41</v>
      </c>
      <c r="B47" s="9" t="s">
        <v>476</v>
      </c>
      <c r="C47" s="10" t="str">
        <f>VLOOKUP(B47,'Data Angt'!$A$5:$B$5809,2,FALSE)</f>
        <v>A168</v>
      </c>
      <c r="D47" s="11" t="s">
        <v>9833</v>
      </c>
      <c r="E47" s="12" t="s">
        <v>15399</v>
      </c>
      <c r="F47" s="13">
        <v>45722</v>
      </c>
      <c r="G47" s="14">
        <v>45908</v>
      </c>
      <c r="H47" s="15">
        <v>25000000</v>
      </c>
      <c r="I47" s="16">
        <v>24</v>
      </c>
      <c r="J47" s="17">
        <v>21</v>
      </c>
      <c r="K47" s="9" t="s">
        <v>9831</v>
      </c>
      <c r="L47" s="10" t="s">
        <v>15400</v>
      </c>
      <c r="M47" s="9" t="s">
        <v>15401</v>
      </c>
      <c r="N47" s="10" t="s">
        <v>9834</v>
      </c>
      <c r="O47" s="15">
        <v>19689400</v>
      </c>
      <c r="P47" s="145">
        <v>899098</v>
      </c>
      <c r="Q47" s="9" t="s">
        <v>22225</v>
      </c>
      <c r="R47" s="146" t="s">
        <v>22226</v>
      </c>
      <c r="T47" s="92" t="s">
        <v>596</v>
      </c>
      <c r="U47">
        <v>1</v>
      </c>
      <c r="V47">
        <f>VLOOKUP(T47,'Data Angt'!$A$5:$F$5810,6,FALSE)</f>
        <v>68</v>
      </c>
      <c r="W47" s="5" t="str">
        <f t="shared" si="0"/>
        <v>PRODUKTIF</v>
      </c>
      <c r="X47" s="5" t="str">
        <f>VLOOKUP(T47,'Data Angt'!$A$5:$H$5810,8,FALSE)</f>
        <v>Pensiunan</v>
      </c>
      <c r="Y47" s="5" t="str">
        <f>VLOOKUP(T47,'Data Angt'!$A$5:$C$5808,3,FALSE)</f>
        <v>PBL</v>
      </c>
    </row>
    <row r="48" spans="1:25" x14ac:dyDescent="0.3">
      <c r="A48" s="8">
        <v>42</v>
      </c>
      <c r="B48" s="9" t="s">
        <v>494</v>
      </c>
      <c r="C48" s="10" t="str">
        <f>VLOOKUP(B48,'Data Angt'!$A$5:$B$5809,2,FALSE)</f>
        <v>A174</v>
      </c>
      <c r="D48" s="11" t="s">
        <v>9829</v>
      </c>
      <c r="E48" s="12" t="s">
        <v>22227</v>
      </c>
      <c r="F48" s="13">
        <v>45842</v>
      </c>
      <c r="G48" s="14">
        <v>45909</v>
      </c>
      <c r="H48" s="15">
        <v>10000000</v>
      </c>
      <c r="I48" s="16">
        <v>15</v>
      </c>
      <c r="J48" s="17">
        <v>24</v>
      </c>
      <c r="K48" s="9" t="s">
        <v>9827</v>
      </c>
      <c r="L48" s="10" t="s">
        <v>22228</v>
      </c>
      <c r="M48" s="9" t="s">
        <v>9964</v>
      </c>
      <c r="N48" s="10" t="s">
        <v>17</v>
      </c>
      <c r="O48" s="15">
        <v>8666600</v>
      </c>
      <c r="P48" s="145">
        <v>145012</v>
      </c>
      <c r="Q48" s="9" t="s">
        <v>22189</v>
      </c>
      <c r="R48" s="146" t="s">
        <v>22229</v>
      </c>
      <c r="T48" s="92" t="s">
        <v>624</v>
      </c>
      <c r="U48">
        <v>2</v>
      </c>
      <c r="V48">
        <f>VLOOKUP(T48,'Data Angt'!$A$5:$F$5810,6,FALSE)</f>
        <v>40</v>
      </c>
      <c r="W48" s="5" t="str">
        <f t="shared" si="0"/>
        <v>PRODUKTIF</v>
      </c>
      <c r="X48" s="5" t="str">
        <f>VLOOKUP(T48,'Data Angt'!$A$5:$H$5810,8,FALSE)</f>
        <v>Karyawan</v>
      </c>
      <c r="Y48" s="5" t="str">
        <f>VLOOKUP(T48,'Data Angt'!$A$5:$C$5808,3,FALSE)</f>
        <v>PBL</v>
      </c>
    </row>
    <row r="49" spans="1:26" x14ac:dyDescent="0.3">
      <c r="A49" s="8">
        <v>43</v>
      </c>
      <c r="B49" s="9" t="s">
        <v>518</v>
      </c>
      <c r="C49" s="10" t="str">
        <f>VLOOKUP(B49,'Data Angt'!$A$5:$B$5809,2,FALSE)</f>
        <v>A186</v>
      </c>
      <c r="D49" s="11" t="s">
        <v>9833</v>
      </c>
      <c r="E49" s="12" t="s">
        <v>15402</v>
      </c>
      <c r="F49" s="13">
        <v>45342</v>
      </c>
      <c r="G49" s="14">
        <v>45919</v>
      </c>
      <c r="H49" s="15">
        <v>16000000</v>
      </c>
      <c r="I49" s="16">
        <v>30</v>
      </c>
      <c r="J49" s="17">
        <v>24</v>
      </c>
      <c r="K49" s="9" t="s">
        <v>9831</v>
      </c>
      <c r="L49" s="10" t="s">
        <v>15403</v>
      </c>
      <c r="M49" s="9" t="s">
        <v>10521</v>
      </c>
      <c r="N49" s="10" t="s">
        <v>9834</v>
      </c>
      <c r="O49" s="15">
        <v>6992900</v>
      </c>
      <c r="P49" s="145">
        <v>1712432</v>
      </c>
      <c r="Q49" s="9" t="s">
        <v>22189</v>
      </c>
      <c r="R49" s="146" t="s">
        <v>22230</v>
      </c>
      <c r="T49" s="92" t="s">
        <v>664</v>
      </c>
      <c r="U49">
        <v>1</v>
      </c>
      <c r="V49">
        <f>VLOOKUP(T49,'Data Angt'!$A$5:$F$5810,6,FALSE)</f>
        <v>55</v>
      </c>
      <c r="W49" s="5" t="str">
        <f t="shared" si="0"/>
        <v>KONSUMTIF</v>
      </c>
      <c r="X49" s="5" t="str">
        <f>VLOOKUP(T49,'Data Angt'!$A$5:$H$5810,8,FALSE)</f>
        <v>Mengurus Rumah Tangga</v>
      </c>
      <c r="Y49" s="5" t="str">
        <f>VLOOKUP(T49,'Data Angt'!$A$5:$C$5808,3,FALSE)</f>
        <v>PBL</v>
      </c>
    </row>
    <row r="50" spans="1:26" x14ac:dyDescent="0.3">
      <c r="A50" s="8">
        <v>44</v>
      </c>
      <c r="B50" s="9" t="s">
        <v>518</v>
      </c>
      <c r="C50" s="10" t="str">
        <f>VLOOKUP(B50,'Data Angt'!$A$5:$B$5809,2,FALSE)</f>
        <v>A186</v>
      </c>
      <c r="D50" s="11" t="s">
        <v>9826</v>
      </c>
      <c r="E50" s="12" t="s">
        <v>22231</v>
      </c>
      <c r="F50" s="13">
        <v>45877</v>
      </c>
      <c r="G50" s="14">
        <v>45908</v>
      </c>
      <c r="H50" s="15">
        <v>5000000</v>
      </c>
      <c r="I50" s="16">
        <v>12</v>
      </c>
      <c r="J50" s="17">
        <v>24</v>
      </c>
      <c r="K50" s="9" t="s">
        <v>9831</v>
      </c>
      <c r="L50" s="10" t="s">
        <v>22232</v>
      </c>
      <c r="M50" s="9" t="s">
        <v>9977</v>
      </c>
      <c r="N50" s="10" t="s">
        <v>9834</v>
      </c>
      <c r="O50" s="15">
        <v>4627200</v>
      </c>
      <c r="P50" s="145">
        <v>37500</v>
      </c>
      <c r="Q50" s="9"/>
      <c r="R50" s="146"/>
      <c r="T50" s="92" t="s">
        <v>674</v>
      </c>
      <c r="U50">
        <v>2</v>
      </c>
      <c r="V50">
        <f>VLOOKUP(T50,'Data Angt'!$A$5:$F$5810,6,FALSE)</f>
        <v>53</v>
      </c>
      <c r="W50" s="5" t="str">
        <f t="shared" si="0"/>
        <v>KESEJAHTERAAN</v>
      </c>
      <c r="X50" s="5" t="str">
        <f>VLOOKUP(T50,'Data Angt'!$A$5:$H$5810,8,FALSE)</f>
        <v>Wiraswasta</v>
      </c>
      <c r="Y50" s="5" t="str">
        <f>VLOOKUP(T50,'Data Angt'!$A$5:$C$5808,3,FALSE)</f>
        <v>PBL</v>
      </c>
    </row>
    <row r="51" spans="1:26" x14ac:dyDescent="0.3">
      <c r="A51" s="8">
        <v>45</v>
      </c>
      <c r="B51" s="9" t="s">
        <v>527</v>
      </c>
      <c r="C51" s="10" t="str">
        <f>VLOOKUP(B51,'Data Angt'!$A$5:$B$5809,2,FALSE)</f>
        <v>A190</v>
      </c>
      <c r="D51" s="11" t="s">
        <v>9826</v>
      </c>
      <c r="E51" s="12" t="s">
        <v>15404</v>
      </c>
      <c r="F51" s="13">
        <v>45800</v>
      </c>
      <c r="G51" s="14">
        <v>45920</v>
      </c>
      <c r="H51" s="15">
        <v>3000000</v>
      </c>
      <c r="I51" s="16">
        <v>12</v>
      </c>
      <c r="J51" s="17">
        <v>11.88</v>
      </c>
      <c r="K51" s="9" t="s">
        <v>9831</v>
      </c>
      <c r="L51" s="10" t="s">
        <v>15405</v>
      </c>
      <c r="M51" s="9" t="s">
        <v>9862</v>
      </c>
      <c r="N51" s="10" t="s">
        <v>9834</v>
      </c>
      <c r="O51" s="15">
        <v>2039200</v>
      </c>
      <c r="P51" s="145">
        <v>39299</v>
      </c>
      <c r="Q51" s="9"/>
      <c r="R51" s="146"/>
      <c r="T51" s="92" t="s">
        <v>701</v>
      </c>
      <c r="U51">
        <v>1</v>
      </c>
      <c r="V51">
        <f>VLOOKUP(T51,'Data Angt'!$A$5:$F$5810,6,FALSE)</f>
        <v>48</v>
      </c>
      <c r="W51" s="5" t="str">
        <f t="shared" si="0"/>
        <v>PENDIDIKAN</v>
      </c>
      <c r="X51" s="5" t="str">
        <f>VLOOKUP(T51,'Data Angt'!$A$5:$H$5810,8,FALSE)</f>
        <v>Karyawan</v>
      </c>
      <c r="Y51" s="5" t="str">
        <f>VLOOKUP(T51,'Data Angt'!$A$5:$C$5808,3,FALSE)</f>
        <v>PBL</v>
      </c>
    </row>
    <row r="52" spans="1:26" x14ac:dyDescent="0.3">
      <c r="A52" s="8">
        <v>46</v>
      </c>
      <c r="B52" s="9" t="s">
        <v>529</v>
      </c>
      <c r="C52" s="10" t="str">
        <f>VLOOKUP(B52,'Data Angt'!$A$5:$B$5809,2,FALSE)</f>
        <v>A191</v>
      </c>
      <c r="D52" s="11" t="s">
        <v>9826</v>
      </c>
      <c r="E52" s="12" t="s">
        <v>15406</v>
      </c>
      <c r="F52" s="13">
        <v>45709</v>
      </c>
      <c r="G52" s="14">
        <v>45922</v>
      </c>
      <c r="H52" s="15">
        <v>5000000</v>
      </c>
      <c r="I52" s="16">
        <v>10</v>
      </c>
      <c r="J52" s="17">
        <v>24</v>
      </c>
      <c r="K52" s="9" t="s">
        <v>9831</v>
      </c>
      <c r="L52" s="10" t="s">
        <v>15407</v>
      </c>
      <c r="M52" s="9" t="s">
        <v>9849</v>
      </c>
      <c r="N52" s="10" t="s">
        <v>9830</v>
      </c>
      <c r="O52" s="15">
        <v>1605000</v>
      </c>
      <c r="P52" s="145">
        <v>188211</v>
      </c>
      <c r="Q52" s="9"/>
      <c r="R52" s="146"/>
      <c r="T52" s="92" t="s">
        <v>706</v>
      </c>
      <c r="U52">
        <v>1</v>
      </c>
      <c r="V52">
        <f>VLOOKUP(T52,'Data Angt'!$A$5:$F$5810,6,FALSE)</f>
        <v>68</v>
      </c>
      <c r="W52" s="5" t="str">
        <f t="shared" si="0"/>
        <v>KESEJAHTERAAN</v>
      </c>
      <c r="X52" s="5" t="str">
        <f>VLOOKUP(T52,'Data Angt'!$A$5:$H$5810,8,FALSE)</f>
        <v>Aparatur/Pejabat Negara</v>
      </c>
      <c r="Y52" s="5" t="str">
        <f>VLOOKUP(T52,'Data Angt'!$A$5:$C$5808,3,FALSE)</f>
        <v>PBL</v>
      </c>
      <c r="Z52" s="20"/>
    </row>
    <row r="53" spans="1:26" x14ac:dyDescent="0.3">
      <c r="A53" s="8">
        <v>47</v>
      </c>
      <c r="B53" s="9" t="s">
        <v>554</v>
      </c>
      <c r="C53" s="10" t="str">
        <f>VLOOKUP(B53,'Data Angt'!$A$5:$B$5809,2,FALSE)</f>
        <v>A200</v>
      </c>
      <c r="D53" s="11" t="s">
        <v>9833</v>
      </c>
      <c r="E53" s="12" t="s">
        <v>15408</v>
      </c>
      <c r="F53" s="13">
        <v>45663</v>
      </c>
      <c r="G53" s="14">
        <v>45908</v>
      </c>
      <c r="H53" s="15">
        <v>10000000</v>
      </c>
      <c r="I53" s="16">
        <v>18</v>
      </c>
      <c r="J53" s="17">
        <v>24</v>
      </c>
      <c r="K53" s="9" t="s">
        <v>9831</v>
      </c>
      <c r="L53" s="10" t="s">
        <v>15409</v>
      </c>
      <c r="M53" s="9" t="s">
        <v>15410</v>
      </c>
      <c r="N53" s="10" t="s">
        <v>9834</v>
      </c>
      <c r="O53" s="15">
        <v>5991200</v>
      </c>
      <c r="P53" s="145">
        <v>497998</v>
      </c>
      <c r="Q53" s="9"/>
      <c r="R53" s="146"/>
      <c r="T53" s="92" t="s">
        <v>749</v>
      </c>
      <c r="U53">
        <v>1</v>
      </c>
      <c r="V53">
        <f>VLOOKUP(T53,'Data Angt'!$A$5:$F$5810,6,FALSE)</f>
        <v>59</v>
      </c>
      <c r="W53" s="5" t="str">
        <f t="shared" si="0"/>
        <v>KONSUMTIF</v>
      </c>
      <c r="X53" s="5" t="str">
        <f>VLOOKUP(T53,'Data Angt'!$A$5:$H$5810,8,FALSE)</f>
        <v>Mengurus Rumah Tangga</v>
      </c>
      <c r="Y53" s="5" t="str">
        <f>VLOOKUP(T53,'Data Angt'!$A$5:$C$5808,3,FALSE)</f>
        <v>PBL</v>
      </c>
    </row>
    <row r="54" spans="1:26" x14ac:dyDescent="0.3">
      <c r="A54" s="8">
        <v>48</v>
      </c>
      <c r="B54" s="9" t="s">
        <v>561</v>
      </c>
      <c r="C54" s="10" t="str">
        <f>VLOOKUP(B54,'Data Angt'!$A$5:$B$5809,2,FALSE)</f>
        <v>A202</v>
      </c>
      <c r="D54" s="11" t="s">
        <v>9829</v>
      </c>
      <c r="E54" s="12" t="s">
        <v>15411</v>
      </c>
      <c r="F54" s="13">
        <v>45680</v>
      </c>
      <c r="G54" s="14">
        <v>45910</v>
      </c>
      <c r="H54" s="15">
        <v>8000000</v>
      </c>
      <c r="I54" s="16">
        <v>24</v>
      </c>
      <c r="J54" s="17">
        <v>24</v>
      </c>
      <c r="K54" s="9" t="s">
        <v>9831</v>
      </c>
      <c r="L54" s="10" t="s">
        <v>15412</v>
      </c>
      <c r="M54" s="9" t="s">
        <v>9909</v>
      </c>
      <c r="N54" s="10" t="s">
        <v>9828</v>
      </c>
      <c r="O54" s="15">
        <v>5743200</v>
      </c>
      <c r="P54" s="145">
        <v>422699</v>
      </c>
      <c r="Q54" s="9" t="s">
        <v>22220</v>
      </c>
      <c r="R54" s="146" t="s">
        <v>22233</v>
      </c>
      <c r="T54" s="92" t="s">
        <v>777</v>
      </c>
      <c r="U54">
        <v>2</v>
      </c>
      <c r="V54">
        <f>VLOOKUP(T54,'Data Angt'!$A$5:$F$5810,6,FALSE)</f>
        <v>44</v>
      </c>
      <c r="W54" s="5" t="str">
        <f t="shared" si="0"/>
        <v>PRODUKTIF</v>
      </c>
      <c r="X54" s="5" t="str">
        <f>VLOOKUP(T54,'Data Angt'!$A$5:$H$5810,8,FALSE)</f>
        <v>Karyawan</v>
      </c>
      <c r="Y54" s="5" t="str">
        <f>VLOOKUP(T54,'Data Angt'!$A$5:$C$5808,3,FALSE)</f>
        <v>PBL</v>
      </c>
    </row>
    <row r="55" spans="1:26" x14ac:dyDescent="0.3">
      <c r="A55" s="8">
        <v>49</v>
      </c>
      <c r="B55" s="9" t="s">
        <v>596</v>
      </c>
      <c r="C55" s="10" t="str">
        <f>VLOOKUP(B55,'Data Angt'!$A$5:$B$5809,2,FALSE)</f>
        <v>A216</v>
      </c>
      <c r="D55" s="11" t="s">
        <v>9826</v>
      </c>
      <c r="E55" s="12" t="s">
        <v>15413</v>
      </c>
      <c r="F55" s="13">
        <v>45621</v>
      </c>
      <c r="G55" s="14">
        <v>45919</v>
      </c>
      <c r="H55" s="15">
        <v>5000000</v>
      </c>
      <c r="I55" s="16">
        <v>12</v>
      </c>
      <c r="J55" s="17">
        <v>11.88</v>
      </c>
      <c r="K55" s="9" t="s">
        <v>9831</v>
      </c>
      <c r="L55" s="10" t="s">
        <v>15414</v>
      </c>
      <c r="M55" s="9" t="s">
        <v>15415</v>
      </c>
      <c r="N55" s="10" t="s">
        <v>9834</v>
      </c>
      <c r="O55" s="15">
        <v>874900</v>
      </c>
      <c r="P55" s="145">
        <v>118085</v>
      </c>
      <c r="Q55" s="9"/>
      <c r="R55" s="146"/>
      <c r="T55" s="92" t="s">
        <v>841</v>
      </c>
      <c r="U55">
        <v>1</v>
      </c>
      <c r="V55">
        <f>VLOOKUP(T55,'Data Angt'!$A$5:$F$5810,6,FALSE)</f>
        <v>45</v>
      </c>
      <c r="W55" s="5" t="str">
        <f t="shared" si="0"/>
        <v>KESEJAHTERAAN</v>
      </c>
      <c r="X55" s="5" t="str">
        <f>VLOOKUP(T55,'Data Angt'!$A$5:$H$5810,8,FALSE)</f>
        <v>Tenaga Pengajar</v>
      </c>
      <c r="Y55" s="5" t="str">
        <f>VLOOKUP(T55,'Data Angt'!$A$5:$C$5808,3,FALSE)</f>
        <v>PBL</v>
      </c>
    </row>
    <row r="56" spans="1:26" x14ac:dyDescent="0.3">
      <c r="A56" s="8">
        <v>50</v>
      </c>
      <c r="B56" s="9" t="s">
        <v>624</v>
      </c>
      <c r="C56" s="10" t="str">
        <f>VLOOKUP(B56,'Data Angt'!$A$5:$B$5809,2,FALSE)</f>
        <v>A228</v>
      </c>
      <c r="D56" s="11" t="s">
        <v>9826</v>
      </c>
      <c r="E56" s="12" t="s">
        <v>15416</v>
      </c>
      <c r="F56" s="13">
        <v>45579</v>
      </c>
      <c r="G56" s="14">
        <v>45915</v>
      </c>
      <c r="H56" s="15">
        <v>5000000</v>
      </c>
      <c r="I56" s="16">
        <v>12</v>
      </c>
      <c r="J56" s="17">
        <v>18</v>
      </c>
      <c r="K56" s="9" t="s">
        <v>9831</v>
      </c>
      <c r="L56" s="10" t="s">
        <v>15417</v>
      </c>
      <c r="M56" s="9" t="s">
        <v>9862</v>
      </c>
      <c r="N56" s="10" t="s">
        <v>9834</v>
      </c>
      <c r="O56" s="15">
        <v>452100</v>
      </c>
      <c r="P56" s="145">
        <v>185434</v>
      </c>
      <c r="Q56" s="9"/>
      <c r="R56" s="146"/>
      <c r="T56" s="92" t="s">
        <v>884</v>
      </c>
      <c r="U56">
        <v>1</v>
      </c>
      <c r="V56">
        <f>VLOOKUP(T56,'Data Angt'!$A$5:$F$5810,6,FALSE)</f>
        <v>57</v>
      </c>
      <c r="W56" s="5" t="str">
        <f t="shared" si="0"/>
        <v>KONSUMTIF</v>
      </c>
      <c r="X56" s="5" t="str">
        <f>VLOOKUP(T56,'Data Angt'!$A$5:$H$5810,8,FALSE)</f>
        <v>Wiraswasta</v>
      </c>
      <c r="Y56" s="5" t="str">
        <f>VLOOKUP(T56,'Data Angt'!$A$5:$C$5808,3,FALSE)</f>
        <v>PBL</v>
      </c>
    </row>
    <row r="57" spans="1:26" x14ac:dyDescent="0.3">
      <c r="A57" s="8">
        <v>51</v>
      </c>
      <c r="B57" s="9" t="s">
        <v>624</v>
      </c>
      <c r="C57" s="10" t="str">
        <f>VLOOKUP(B57,'Data Angt'!$A$5:$B$5809,2,FALSE)</f>
        <v>A228</v>
      </c>
      <c r="D57" s="11" t="s">
        <v>9829</v>
      </c>
      <c r="E57" s="12" t="s">
        <v>9869</v>
      </c>
      <c r="F57" s="13">
        <v>44677</v>
      </c>
      <c r="G57" s="14">
        <v>45926</v>
      </c>
      <c r="H57" s="15">
        <v>160000000</v>
      </c>
      <c r="I57" s="16">
        <v>84</v>
      </c>
      <c r="J57" s="17">
        <v>2.4</v>
      </c>
      <c r="K57" s="9" t="s">
        <v>9831</v>
      </c>
      <c r="L57" s="10" t="s">
        <v>9870</v>
      </c>
      <c r="M57" s="9" t="s">
        <v>9871</v>
      </c>
      <c r="N57" s="10" t="s">
        <v>9828</v>
      </c>
      <c r="O57" s="15">
        <v>218044200</v>
      </c>
      <c r="P57" s="145">
        <v>4508691</v>
      </c>
      <c r="Q57" s="9" t="s">
        <v>22197</v>
      </c>
      <c r="R57" s="146" t="s">
        <v>22234</v>
      </c>
      <c r="T57" s="92" t="s">
        <v>915</v>
      </c>
      <c r="U57">
        <v>1</v>
      </c>
      <c r="V57">
        <f>VLOOKUP(T57,'Data Angt'!$A$5:$F$5810,6,FALSE)</f>
        <v>35</v>
      </c>
      <c r="W57" s="5" t="str">
        <f t="shared" si="0"/>
        <v>KONSUMTIF</v>
      </c>
      <c r="X57" s="5" t="str">
        <f>VLOOKUP(T57,'Data Angt'!$A$5:$H$5810,8,FALSE)</f>
        <v>Wiraswasta</v>
      </c>
      <c r="Y57" s="5" t="str">
        <f>VLOOKUP(T57,'Data Angt'!$A$5:$C$5808,3,FALSE)</f>
        <v>PBL</v>
      </c>
    </row>
    <row r="58" spans="1:26" x14ac:dyDescent="0.3">
      <c r="A58" s="8">
        <v>52</v>
      </c>
      <c r="B58" s="9" t="s">
        <v>664</v>
      </c>
      <c r="C58" s="10" t="str">
        <f>VLOOKUP(B58,'Data Angt'!$A$5:$B$5809,2,FALSE)</f>
        <v>A245</v>
      </c>
      <c r="D58" s="11" t="s">
        <v>9829</v>
      </c>
      <c r="E58" s="12" t="s">
        <v>15418</v>
      </c>
      <c r="F58" s="13">
        <v>45442</v>
      </c>
      <c r="G58" s="14">
        <v>45903</v>
      </c>
      <c r="H58" s="15">
        <v>12000000</v>
      </c>
      <c r="I58" s="16">
        <v>24</v>
      </c>
      <c r="J58" s="17">
        <v>24</v>
      </c>
      <c r="K58" s="9" t="s">
        <v>9831</v>
      </c>
      <c r="L58" s="10" t="s">
        <v>15419</v>
      </c>
      <c r="M58" s="9" t="s">
        <v>9909</v>
      </c>
      <c r="N58" s="10" t="s">
        <v>9828</v>
      </c>
      <c r="O58" s="15">
        <v>4647500</v>
      </c>
      <c r="P58" s="145">
        <v>1049809</v>
      </c>
      <c r="Q58" s="9" t="s">
        <v>22235</v>
      </c>
      <c r="R58" s="146" t="s">
        <v>22236</v>
      </c>
      <c r="T58" s="92" t="s">
        <v>924</v>
      </c>
      <c r="U58">
        <v>1</v>
      </c>
      <c r="V58">
        <f>VLOOKUP(T58,'Data Angt'!$A$5:$F$5810,6,FALSE)</f>
        <v>59</v>
      </c>
      <c r="W58" s="5" t="str">
        <f t="shared" si="0"/>
        <v>KONSUMTIF</v>
      </c>
      <c r="X58" s="5" t="str">
        <f>VLOOKUP(T58,'Data Angt'!$A$5:$H$5810,8,FALSE)</f>
        <v>Wiraswasta</v>
      </c>
      <c r="Y58" s="5" t="str">
        <f>VLOOKUP(T58,'Data Angt'!$A$5:$C$5808,3,FALSE)</f>
        <v>PBL</v>
      </c>
    </row>
    <row r="59" spans="1:26" x14ac:dyDescent="0.3">
      <c r="A59" s="8">
        <v>53</v>
      </c>
      <c r="B59" s="9" t="s">
        <v>674</v>
      </c>
      <c r="C59" s="10" t="str">
        <f>VLOOKUP(B59,'Data Angt'!$A$5:$B$5809,2,FALSE)</f>
        <v>A248</v>
      </c>
      <c r="D59" s="11" t="s">
        <v>9829</v>
      </c>
      <c r="E59" s="12" t="s">
        <v>15420</v>
      </c>
      <c r="F59" s="13">
        <v>45782</v>
      </c>
      <c r="G59" s="14">
        <v>45905</v>
      </c>
      <c r="H59" s="15">
        <v>40000000</v>
      </c>
      <c r="I59" s="16">
        <v>24</v>
      </c>
      <c r="J59" s="17">
        <v>21</v>
      </c>
      <c r="K59" s="9" t="s">
        <v>9831</v>
      </c>
      <c r="L59" s="10" t="s">
        <v>15421</v>
      </c>
      <c r="M59" s="9" t="s">
        <v>15422</v>
      </c>
      <c r="N59" s="10" t="s">
        <v>9830</v>
      </c>
      <c r="O59" s="15">
        <v>34434100</v>
      </c>
      <c r="P59" s="145">
        <v>996037</v>
      </c>
      <c r="Q59" s="9" t="s">
        <v>22197</v>
      </c>
      <c r="R59" s="146" t="s">
        <v>22237</v>
      </c>
      <c r="T59" s="92" t="s">
        <v>930</v>
      </c>
      <c r="U59">
        <v>1</v>
      </c>
      <c r="V59">
        <f>VLOOKUP(T59,'Data Angt'!$A$5:$F$5810,6,FALSE)</f>
        <v>41</v>
      </c>
      <c r="W59" s="5">
        <f t="shared" si="0"/>
        <v>0</v>
      </c>
      <c r="X59" s="5" t="str">
        <f>VLOOKUP(T59,'Data Angt'!$A$5:$H$5810,8,FALSE)</f>
        <v>Karyawan</v>
      </c>
      <c r="Y59" s="5" t="str">
        <f>VLOOKUP(T59,'Data Angt'!$A$5:$C$5808,3,FALSE)</f>
        <v>PBL</v>
      </c>
    </row>
    <row r="60" spans="1:26" x14ac:dyDescent="0.3">
      <c r="A60" s="8">
        <v>54</v>
      </c>
      <c r="B60" s="9" t="s">
        <v>701</v>
      </c>
      <c r="C60" s="10" t="str">
        <f>VLOOKUP(B60,'Data Angt'!$A$5:$B$5809,2,FALSE)</f>
        <v>A260</v>
      </c>
      <c r="D60" s="11" t="s">
        <v>9829</v>
      </c>
      <c r="E60" s="12" t="s">
        <v>9873</v>
      </c>
      <c r="F60" s="13">
        <v>45182</v>
      </c>
      <c r="G60" s="14">
        <v>45926</v>
      </c>
      <c r="H60" s="15">
        <v>22000000</v>
      </c>
      <c r="I60" s="16">
        <v>30</v>
      </c>
      <c r="J60" s="17">
        <v>24</v>
      </c>
      <c r="K60" s="9" t="s">
        <v>9827</v>
      </c>
      <c r="L60" s="10" t="s">
        <v>9874</v>
      </c>
      <c r="M60" s="9" t="s">
        <v>9841</v>
      </c>
      <c r="N60" s="10" t="s">
        <v>17</v>
      </c>
      <c r="O60" s="15">
        <v>5131800</v>
      </c>
      <c r="P60" s="145">
        <v>2442296</v>
      </c>
      <c r="Q60" s="9" t="s">
        <v>22238</v>
      </c>
      <c r="R60" s="146" t="s">
        <v>22239</v>
      </c>
      <c r="T60" s="92" t="s">
        <v>933</v>
      </c>
      <c r="U60">
        <v>1</v>
      </c>
      <c r="V60">
        <f>VLOOKUP(T60,'Data Angt'!$A$5:$F$5810,6,FALSE)</f>
        <v>33</v>
      </c>
      <c r="W60" s="5" t="str">
        <f t="shared" si="0"/>
        <v>KESEJAHTERAAN</v>
      </c>
      <c r="X60" s="5" t="str">
        <f>VLOOKUP(T60,'Data Angt'!$A$5:$H$5810,8,FALSE)</f>
        <v>Karyawan</v>
      </c>
      <c r="Y60" s="5" t="str">
        <f>VLOOKUP(T60,'Data Angt'!$A$5:$C$5808,3,FALSE)</f>
        <v>PBL</v>
      </c>
    </row>
    <row r="61" spans="1:26" x14ac:dyDescent="0.3">
      <c r="A61" s="8">
        <v>55</v>
      </c>
      <c r="B61" s="9" t="s">
        <v>706</v>
      </c>
      <c r="C61" s="10" t="str">
        <f>VLOOKUP(B61,'Data Angt'!$A$5:$B$5809,2,FALSE)</f>
        <v>A262</v>
      </c>
      <c r="D61" s="11" t="s">
        <v>9829</v>
      </c>
      <c r="E61" s="12" t="s">
        <v>15423</v>
      </c>
      <c r="F61" s="13">
        <v>45617</v>
      </c>
      <c r="G61" s="14">
        <v>45920</v>
      </c>
      <c r="H61" s="15">
        <v>10000000</v>
      </c>
      <c r="I61" s="16">
        <v>24</v>
      </c>
      <c r="J61" s="17">
        <v>24</v>
      </c>
      <c r="K61" s="9" t="s">
        <v>9831</v>
      </c>
      <c r="L61" s="10" t="s">
        <v>15424</v>
      </c>
      <c r="M61" s="9" t="s">
        <v>9838</v>
      </c>
      <c r="N61" s="10" t="s">
        <v>9830</v>
      </c>
      <c r="O61" s="15">
        <v>6400200</v>
      </c>
      <c r="P61" s="145">
        <v>633073</v>
      </c>
      <c r="Q61" s="9"/>
      <c r="R61" s="146"/>
      <c r="T61" s="92" t="s">
        <v>937</v>
      </c>
      <c r="U61">
        <v>1</v>
      </c>
      <c r="V61">
        <f>VLOOKUP(T61,'Data Angt'!$A$5:$F$5810,6,FALSE)</f>
        <v>31</v>
      </c>
      <c r="W61" s="5" t="str">
        <f t="shared" si="0"/>
        <v>KESEJAHTERAAN</v>
      </c>
      <c r="X61" s="5" t="str">
        <f>VLOOKUP(T61,'Data Angt'!$A$5:$H$5810,8,FALSE)</f>
        <v>Karyawan</v>
      </c>
      <c r="Y61" s="5" t="str">
        <f>VLOOKUP(T61,'Data Angt'!$A$5:$C$5808,3,FALSE)</f>
        <v>PBL</v>
      </c>
    </row>
    <row r="62" spans="1:26" x14ac:dyDescent="0.3">
      <c r="A62" s="8">
        <v>56</v>
      </c>
      <c r="B62" s="9" t="s">
        <v>749</v>
      </c>
      <c r="C62" s="10" t="str">
        <f>VLOOKUP(B62,'Data Angt'!$A$5:$B$5809,2,FALSE)</f>
        <v>A278</v>
      </c>
      <c r="D62" s="11" t="s">
        <v>9829</v>
      </c>
      <c r="E62" s="12" t="s">
        <v>15425</v>
      </c>
      <c r="F62" s="13">
        <v>45763</v>
      </c>
      <c r="G62" s="14">
        <v>45917</v>
      </c>
      <c r="H62" s="15">
        <v>5000000</v>
      </c>
      <c r="I62" s="16">
        <v>10</v>
      </c>
      <c r="J62" s="17">
        <v>24</v>
      </c>
      <c r="K62" s="9" t="s">
        <v>9831</v>
      </c>
      <c r="L62" s="10" t="s">
        <v>15426</v>
      </c>
      <c r="M62" s="9" t="s">
        <v>15427</v>
      </c>
      <c r="N62" s="10" t="s">
        <v>9828</v>
      </c>
      <c r="O62" s="15">
        <v>2129200</v>
      </c>
      <c r="P62" s="145">
        <v>152624</v>
      </c>
      <c r="Q62" s="9"/>
      <c r="R62" s="146"/>
      <c r="T62" s="92" t="s">
        <v>939</v>
      </c>
      <c r="U62">
        <v>2</v>
      </c>
      <c r="V62">
        <f>VLOOKUP(T62,'Data Angt'!$A$5:$F$5810,6,FALSE)</f>
        <v>53</v>
      </c>
      <c r="W62" s="5" t="str">
        <f t="shared" si="0"/>
        <v>PRODUKTIF</v>
      </c>
      <c r="X62" s="5" t="str">
        <f>VLOOKUP(T62,'Data Angt'!$A$5:$H$5810,8,FALSE)</f>
        <v>Karyawan</v>
      </c>
      <c r="Y62" s="5" t="str">
        <f>VLOOKUP(T62,'Data Angt'!$A$5:$C$5808,3,FALSE)</f>
        <v>PBL</v>
      </c>
    </row>
    <row r="63" spans="1:26" x14ac:dyDescent="0.3">
      <c r="A63" s="8">
        <v>57</v>
      </c>
      <c r="B63" s="9" t="s">
        <v>777</v>
      </c>
      <c r="C63" s="10" t="str">
        <f>VLOOKUP(B63,'Data Angt'!$A$5:$B$5809,2,FALSE)</f>
        <v>A288</v>
      </c>
      <c r="D63" s="11" t="s">
        <v>9829</v>
      </c>
      <c r="E63" s="12" t="s">
        <v>9875</v>
      </c>
      <c r="F63" s="13">
        <v>45000</v>
      </c>
      <c r="G63" s="14">
        <v>45930</v>
      </c>
      <c r="H63" s="15">
        <v>30000000</v>
      </c>
      <c r="I63" s="16">
        <v>48</v>
      </c>
      <c r="J63" s="17">
        <v>21</v>
      </c>
      <c r="K63" s="9" t="s">
        <v>9831</v>
      </c>
      <c r="L63" s="10" t="s">
        <v>9876</v>
      </c>
      <c r="M63" s="9" t="s">
        <v>9877</v>
      </c>
      <c r="N63" s="10" t="s">
        <v>9834</v>
      </c>
      <c r="O63" s="15">
        <v>14284900</v>
      </c>
      <c r="P63" s="145">
        <v>4558082</v>
      </c>
      <c r="Q63" s="9" t="s">
        <v>22240</v>
      </c>
      <c r="R63" s="146" t="s">
        <v>22241</v>
      </c>
      <c r="T63" s="92" t="s">
        <v>944</v>
      </c>
      <c r="U63">
        <v>2</v>
      </c>
      <c r="V63">
        <f>VLOOKUP(T63,'Data Angt'!$A$5:$F$5810,6,FALSE)</f>
        <v>52</v>
      </c>
      <c r="W63" s="5" t="str">
        <f t="shared" si="0"/>
        <v>KESEJAHTERAAN</v>
      </c>
      <c r="X63" s="5" t="str">
        <f>VLOOKUP(T63,'Data Angt'!$A$5:$H$5810,8,FALSE)</f>
        <v>Lain-Lain</v>
      </c>
      <c r="Y63" s="5" t="str">
        <f>VLOOKUP(T63,'Data Angt'!$A$5:$C$5808,3,FALSE)</f>
        <v>PBL</v>
      </c>
    </row>
    <row r="64" spans="1:26" x14ac:dyDescent="0.3">
      <c r="A64" s="8">
        <v>58</v>
      </c>
      <c r="B64" s="9" t="s">
        <v>841</v>
      </c>
      <c r="C64" s="10" t="str">
        <f>VLOOKUP(B64,'Data Angt'!$A$5:$B$5809,2,FALSE)</f>
        <v>A314</v>
      </c>
      <c r="D64" s="11" t="s">
        <v>9829</v>
      </c>
      <c r="E64" s="12" t="s">
        <v>22242</v>
      </c>
      <c r="F64" s="13">
        <v>45862</v>
      </c>
      <c r="G64" s="14">
        <v>45920</v>
      </c>
      <c r="H64" s="15">
        <v>120000000</v>
      </c>
      <c r="I64" s="16">
        <v>60</v>
      </c>
      <c r="J64" s="17">
        <v>11.4</v>
      </c>
      <c r="K64" s="9" t="s">
        <v>9831</v>
      </c>
      <c r="L64" s="10" t="s">
        <v>22243</v>
      </c>
      <c r="M64" s="9" t="s">
        <v>9838</v>
      </c>
      <c r="N64" s="10" t="s">
        <v>9830</v>
      </c>
      <c r="O64" s="15">
        <v>116999700</v>
      </c>
      <c r="P64" s="145">
        <v>849712</v>
      </c>
      <c r="Q64" s="9" t="s">
        <v>22197</v>
      </c>
      <c r="R64" s="146" t="s">
        <v>22244</v>
      </c>
      <c r="T64" s="92" t="s">
        <v>966</v>
      </c>
      <c r="U64">
        <v>1</v>
      </c>
      <c r="V64">
        <f>VLOOKUP(T64,'Data Angt'!$A$5:$F$5810,6,FALSE)</f>
        <v>47</v>
      </c>
      <c r="W64" s="5" t="str">
        <f t="shared" si="0"/>
        <v>KESEJAHTERAAN</v>
      </c>
      <c r="X64" s="5" t="str">
        <f>VLOOKUP(T64,'Data Angt'!$A$5:$H$5810,8,FALSE)</f>
        <v>Karyawan</v>
      </c>
      <c r="Y64" s="5" t="str">
        <f>VLOOKUP(T64,'Data Angt'!$A$5:$C$5808,3,FALSE)</f>
        <v>PBL</v>
      </c>
    </row>
    <row r="65" spans="1:25" x14ac:dyDescent="0.3">
      <c r="A65" s="8">
        <v>59</v>
      </c>
      <c r="B65" s="9" t="s">
        <v>841</v>
      </c>
      <c r="C65" s="10" t="str">
        <f>VLOOKUP(B65,'Data Angt'!$A$5:$B$5809,2,FALSE)</f>
        <v>A314</v>
      </c>
      <c r="D65" s="11" t="s">
        <v>9826</v>
      </c>
      <c r="E65" s="12" t="s">
        <v>15428</v>
      </c>
      <c r="F65" s="13">
        <v>45636</v>
      </c>
      <c r="G65" s="14">
        <v>45912</v>
      </c>
      <c r="H65" s="15">
        <v>5000000</v>
      </c>
      <c r="I65" s="16">
        <v>12</v>
      </c>
      <c r="J65" s="17">
        <v>11.88</v>
      </c>
      <c r="K65" s="9" t="s">
        <v>9831</v>
      </c>
      <c r="L65" s="10" t="s">
        <v>15429</v>
      </c>
      <c r="M65" s="9" t="s">
        <v>15430</v>
      </c>
      <c r="N65" s="10" t="s">
        <v>9828</v>
      </c>
      <c r="O65" s="15">
        <v>879100</v>
      </c>
      <c r="P65" s="145">
        <v>113210</v>
      </c>
      <c r="Q65" s="9"/>
      <c r="R65" s="146"/>
      <c r="T65" s="92" t="s">
        <v>969</v>
      </c>
      <c r="U65">
        <v>1</v>
      </c>
      <c r="V65">
        <f>VLOOKUP(T65,'Data Angt'!$A$5:$F$5810,6,FALSE)</f>
        <v>51</v>
      </c>
      <c r="W65" s="5" t="str">
        <f t="shared" si="0"/>
        <v>KONSUMTIF</v>
      </c>
      <c r="X65" s="5" t="str">
        <f>VLOOKUP(T65,'Data Angt'!$A$5:$H$5810,8,FALSE)</f>
        <v>Karyawan</v>
      </c>
      <c r="Y65" s="5" t="str">
        <f>VLOOKUP(T65,'Data Angt'!$A$5:$C$5808,3,FALSE)</f>
        <v>PBL</v>
      </c>
    </row>
    <row r="66" spans="1:25" x14ac:dyDescent="0.3">
      <c r="A66" s="8">
        <v>60</v>
      </c>
      <c r="B66" s="9" t="s">
        <v>884</v>
      </c>
      <c r="C66" s="10" t="str">
        <f>VLOOKUP(B66,'Data Angt'!$A$5:$B$5809,2,FALSE)</f>
        <v>A336</v>
      </c>
      <c r="D66" s="11" t="s">
        <v>9829</v>
      </c>
      <c r="E66" s="12" t="s">
        <v>15431</v>
      </c>
      <c r="F66" s="13">
        <v>45455</v>
      </c>
      <c r="G66" s="14">
        <v>45908</v>
      </c>
      <c r="H66" s="15">
        <v>4000000</v>
      </c>
      <c r="I66" s="16">
        <v>24</v>
      </c>
      <c r="J66" s="17">
        <v>24</v>
      </c>
      <c r="K66" s="9" t="s">
        <v>9831</v>
      </c>
      <c r="L66" s="10" t="s">
        <v>15432</v>
      </c>
      <c r="M66" s="9" t="s">
        <v>15433</v>
      </c>
      <c r="N66" s="10" t="s">
        <v>9828</v>
      </c>
      <c r="O66" s="15">
        <v>1726900</v>
      </c>
      <c r="P66" s="145">
        <v>337271</v>
      </c>
      <c r="Q66" s="9"/>
      <c r="R66" s="146"/>
      <c r="T66" s="92" t="s">
        <v>984</v>
      </c>
      <c r="U66">
        <v>1</v>
      </c>
      <c r="V66">
        <f>VLOOKUP(T66,'Data Angt'!$A$5:$F$5810,6,FALSE)</f>
        <v>44</v>
      </c>
      <c r="W66" s="5" t="str">
        <f t="shared" si="0"/>
        <v>PRODUKTIF</v>
      </c>
      <c r="X66" s="5" t="str">
        <f>VLOOKUP(T66,'Data Angt'!$A$5:$H$5810,8,FALSE)</f>
        <v>Aparatur/Pejabat Negara</v>
      </c>
      <c r="Y66" s="5" t="str">
        <f>VLOOKUP(T66,'Data Angt'!$A$5:$C$5808,3,FALSE)</f>
        <v>PBL</v>
      </c>
    </row>
    <row r="67" spans="1:25" x14ac:dyDescent="0.3">
      <c r="A67" s="8">
        <v>61</v>
      </c>
      <c r="B67" s="9" t="s">
        <v>915</v>
      </c>
      <c r="C67" s="10" t="str">
        <f>VLOOKUP(B67,'Data Angt'!$A$5:$B$5809,2,FALSE)</f>
        <v>A350</v>
      </c>
      <c r="D67" s="11" t="s">
        <v>9829</v>
      </c>
      <c r="E67" s="12" t="s">
        <v>22245</v>
      </c>
      <c r="F67" s="13">
        <v>45866</v>
      </c>
      <c r="G67" s="14">
        <v>45919</v>
      </c>
      <c r="H67" s="15">
        <v>11000000</v>
      </c>
      <c r="I67" s="16">
        <v>12</v>
      </c>
      <c r="J67" s="17">
        <v>24</v>
      </c>
      <c r="K67" s="9" t="s">
        <v>9831</v>
      </c>
      <c r="L67" s="10" t="s">
        <v>22246</v>
      </c>
      <c r="M67" s="9" t="s">
        <v>22247</v>
      </c>
      <c r="N67" s="10" t="s">
        <v>9828</v>
      </c>
      <c r="O67" s="15">
        <v>9343200</v>
      </c>
      <c r="P67" s="145">
        <v>158850</v>
      </c>
      <c r="Q67" s="9"/>
      <c r="R67" s="146"/>
      <c r="T67" s="92" t="s">
        <v>987</v>
      </c>
      <c r="U67">
        <v>1</v>
      </c>
      <c r="V67">
        <f>VLOOKUP(T67,'Data Angt'!$A$5:$F$5810,6,FALSE)</f>
        <v>53</v>
      </c>
      <c r="W67" s="5" t="str">
        <f t="shared" si="0"/>
        <v>KONSUMTIF</v>
      </c>
      <c r="X67" s="5" t="str">
        <f>VLOOKUP(T67,'Data Angt'!$A$5:$H$5810,8,FALSE)</f>
        <v>Mengurus Rumah Tangga</v>
      </c>
      <c r="Y67" s="5" t="str">
        <f>VLOOKUP(T67,'Data Angt'!$A$5:$C$5808,3,FALSE)</f>
        <v>PBL</v>
      </c>
    </row>
    <row r="68" spans="1:25" x14ac:dyDescent="0.3">
      <c r="A68" s="8">
        <v>62</v>
      </c>
      <c r="B68" s="9" t="s">
        <v>924</v>
      </c>
      <c r="C68" s="10" t="str">
        <f>VLOOKUP(B68,'Data Angt'!$A$5:$B$5809,2,FALSE)</f>
        <v>A353</v>
      </c>
      <c r="D68" s="11" t="s">
        <v>9829</v>
      </c>
      <c r="E68" s="12" t="s">
        <v>15434</v>
      </c>
      <c r="F68" s="13">
        <v>45836</v>
      </c>
      <c r="G68" s="14">
        <v>45922</v>
      </c>
      <c r="H68" s="15">
        <v>30000000</v>
      </c>
      <c r="I68" s="16">
        <v>36</v>
      </c>
      <c r="J68" s="17">
        <v>21</v>
      </c>
      <c r="K68" s="9" t="s">
        <v>9827</v>
      </c>
      <c r="L68" s="10" t="s">
        <v>15435</v>
      </c>
      <c r="M68" s="9" t="s">
        <v>15436</v>
      </c>
      <c r="N68" s="10" t="s">
        <v>9828</v>
      </c>
      <c r="O68" s="15">
        <v>27499800</v>
      </c>
      <c r="P68" s="145">
        <v>574274</v>
      </c>
      <c r="Q68" s="9" t="s">
        <v>22248</v>
      </c>
      <c r="R68" s="146" t="s">
        <v>22249</v>
      </c>
      <c r="T68" s="92" t="s">
        <v>1004</v>
      </c>
      <c r="U68">
        <v>1</v>
      </c>
      <c r="V68">
        <f>VLOOKUP(T68,'Data Angt'!$A$5:$F$5810,6,FALSE)</f>
        <v>50</v>
      </c>
      <c r="W68" s="5" t="str">
        <f t="shared" si="0"/>
        <v>KONSUMTIF</v>
      </c>
      <c r="X68" s="5" t="str">
        <f>VLOOKUP(T68,'Data Angt'!$A$5:$H$5810,8,FALSE)</f>
        <v>Aparatur/Pejabat Negara</v>
      </c>
      <c r="Y68" s="5" t="str">
        <f>VLOOKUP(T68,'Data Angt'!$A$5:$C$5808,3,FALSE)</f>
        <v>PBL</v>
      </c>
    </row>
    <row r="69" spans="1:25" x14ac:dyDescent="0.3">
      <c r="A69" s="8">
        <v>63</v>
      </c>
      <c r="B69" s="9" t="s">
        <v>930</v>
      </c>
      <c r="C69" s="10" t="str">
        <f>VLOOKUP(B69,'Data Angt'!$A$5:$B$5809,2,FALSE)</f>
        <v>A355</v>
      </c>
      <c r="D69" s="11" t="s">
        <v>9843</v>
      </c>
      <c r="E69" s="12" t="s">
        <v>9879</v>
      </c>
      <c r="F69" s="13">
        <v>41575</v>
      </c>
      <c r="G69" s="14">
        <v>45930</v>
      </c>
      <c r="H69" s="15">
        <v>150000000</v>
      </c>
      <c r="I69" s="16">
        <v>84</v>
      </c>
      <c r="J69" s="17">
        <v>7.77</v>
      </c>
      <c r="K69" s="9" t="s">
        <v>9831</v>
      </c>
      <c r="L69" s="10" t="s">
        <v>9879</v>
      </c>
      <c r="M69" s="9"/>
      <c r="N69" s="10"/>
      <c r="O69" s="15">
        <v>27825700</v>
      </c>
      <c r="P69" s="145">
        <v>7381590</v>
      </c>
      <c r="Q69" s="9"/>
      <c r="R69" s="146"/>
      <c r="T69" s="92" t="s">
        <v>1016</v>
      </c>
      <c r="U69">
        <v>1</v>
      </c>
      <c r="V69">
        <f>VLOOKUP(T69,'Data Angt'!$A$5:$F$5810,6,FALSE)</f>
        <v>54</v>
      </c>
      <c r="W69" s="5" t="str">
        <f t="shared" si="0"/>
        <v>PRODUKTIF</v>
      </c>
      <c r="X69" s="5" t="str">
        <f>VLOOKUP(T69,'Data Angt'!$A$5:$H$5810,8,FALSE)</f>
        <v>Wiraswasta</v>
      </c>
      <c r="Y69" s="5" t="str">
        <f>VLOOKUP(T69,'Data Angt'!$A$5:$C$5808,3,FALSE)</f>
        <v>PBL</v>
      </c>
    </row>
    <row r="70" spans="1:25" x14ac:dyDescent="0.3">
      <c r="A70" s="8">
        <v>64</v>
      </c>
      <c r="B70" s="9" t="s">
        <v>933</v>
      </c>
      <c r="C70" s="10" t="str">
        <f>VLOOKUP(B70,'Data Angt'!$A$5:$B$5809,2,FALSE)</f>
        <v>A356</v>
      </c>
      <c r="D70" s="11" t="s">
        <v>9829</v>
      </c>
      <c r="E70" s="12" t="s">
        <v>22250</v>
      </c>
      <c r="F70" s="13">
        <v>45875</v>
      </c>
      <c r="G70" s="14">
        <v>45904</v>
      </c>
      <c r="H70" s="15">
        <v>15000000</v>
      </c>
      <c r="I70" s="16">
        <v>12</v>
      </c>
      <c r="J70" s="17">
        <v>24</v>
      </c>
      <c r="K70" s="9" t="s">
        <v>9831</v>
      </c>
      <c r="L70" s="10" t="s">
        <v>22251</v>
      </c>
      <c r="M70" s="9" t="s">
        <v>9838</v>
      </c>
      <c r="N70" s="10" t="s">
        <v>9830</v>
      </c>
      <c r="O70" s="15">
        <v>13881600</v>
      </c>
      <c r="P70" s="145">
        <v>112500</v>
      </c>
      <c r="Q70" s="9" t="s">
        <v>22189</v>
      </c>
      <c r="R70" s="146" t="s">
        <v>22252</v>
      </c>
      <c r="T70" s="92" t="s">
        <v>1072</v>
      </c>
      <c r="U70">
        <v>1</v>
      </c>
      <c r="V70">
        <f>VLOOKUP(T70,'Data Angt'!$A$5:$F$5810,6,FALSE)</f>
        <v>52</v>
      </c>
      <c r="W70" s="5" t="str">
        <f t="shared" si="0"/>
        <v>KONSUMTIF</v>
      </c>
      <c r="X70" s="5" t="str">
        <f>VLOOKUP(T70,'Data Angt'!$A$5:$H$5810,8,FALSE)</f>
        <v>Lain-Lain</v>
      </c>
      <c r="Y70" s="5" t="str">
        <f>VLOOKUP(T70,'Data Angt'!$A$5:$C$5808,3,FALSE)</f>
        <v>PBL</v>
      </c>
    </row>
    <row r="71" spans="1:25" x14ac:dyDescent="0.3">
      <c r="A71" s="8">
        <v>65</v>
      </c>
      <c r="B71" s="9" t="s">
        <v>937</v>
      </c>
      <c r="C71" s="10" t="str">
        <f>VLOOKUP(B71,'Data Angt'!$A$5:$B$5809,2,FALSE)</f>
        <v>A357</v>
      </c>
      <c r="D71" s="11" t="s">
        <v>9842</v>
      </c>
      <c r="E71" s="12" t="s">
        <v>15437</v>
      </c>
      <c r="F71" s="13">
        <v>45455</v>
      </c>
      <c r="G71" s="14">
        <v>45913</v>
      </c>
      <c r="H71" s="15">
        <v>200000000</v>
      </c>
      <c r="I71" s="16">
        <v>120</v>
      </c>
      <c r="J71" s="17">
        <v>11.4</v>
      </c>
      <c r="K71" s="9" t="s">
        <v>9831</v>
      </c>
      <c r="L71" s="10" t="s">
        <v>15438</v>
      </c>
      <c r="M71" s="9" t="s">
        <v>10082</v>
      </c>
      <c r="N71" s="10" t="s">
        <v>9830</v>
      </c>
      <c r="O71" s="15">
        <v>184529200</v>
      </c>
      <c r="P71" s="145">
        <v>10336720</v>
      </c>
      <c r="Q71" s="9" t="s">
        <v>22220</v>
      </c>
      <c r="R71" s="146" t="s">
        <v>22253</v>
      </c>
      <c r="T71" s="92" t="s">
        <v>1098</v>
      </c>
      <c r="U71">
        <v>2</v>
      </c>
      <c r="V71">
        <f>VLOOKUP(T71,'Data Angt'!$A$5:$F$5810,6,FALSE)</f>
        <v>57</v>
      </c>
      <c r="W71" s="5" t="str">
        <f t="shared" ref="W71:W134" si="1">VLOOKUP(T71,$B$7:$N$1869,13,FALSE)</f>
        <v>PRODUKTIF</v>
      </c>
      <c r="X71" s="5" t="str">
        <f>VLOOKUP(T71,'Data Angt'!$A$5:$H$5810,8,FALSE)</f>
        <v>Mengurus Rumah Tangga</v>
      </c>
      <c r="Y71" s="5" t="str">
        <f>VLOOKUP(T71,'Data Angt'!$A$5:$C$5808,3,FALSE)</f>
        <v>PBL</v>
      </c>
    </row>
    <row r="72" spans="1:25" x14ac:dyDescent="0.3">
      <c r="A72" s="8">
        <v>66</v>
      </c>
      <c r="B72" s="9" t="s">
        <v>939</v>
      </c>
      <c r="C72" s="10" t="str">
        <f>VLOOKUP(B72,'Data Angt'!$A$5:$B$5809,2,FALSE)</f>
        <v>A358</v>
      </c>
      <c r="D72" s="11" t="s">
        <v>9833</v>
      </c>
      <c r="E72" s="12" t="s">
        <v>15439</v>
      </c>
      <c r="F72" s="13">
        <v>45453</v>
      </c>
      <c r="G72" s="14">
        <v>45926</v>
      </c>
      <c r="H72" s="15">
        <v>7000000</v>
      </c>
      <c r="I72" s="16">
        <v>20</v>
      </c>
      <c r="J72" s="17">
        <v>24</v>
      </c>
      <c r="K72" s="9" t="s">
        <v>9831</v>
      </c>
      <c r="L72" s="10" t="s">
        <v>15440</v>
      </c>
      <c r="M72" s="9" t="s">
        <v>10187</v>
      </c>
      <c r="N72" s="10" t="s">
        <v>9834</v>
      </c>
      <c r="O72" s="15">
        <v>2413200</v>
      </c>
      <c r="P72" s="145">
        <v>545583</v>
      </c>
      <c r="Q72" s="9" t="s">
        <v>22254</v>
      </c>
      <c r="R72" s="146" t="s">
        <v>22255</v>
      </c>
      <c r="T72" s="92" t="s">
        <v>1116</v>
      </c>
      <c r="U72">
        <v>1</v>
      </c>
      <c r="V72">
        <f>VLOOKUP(T72,'Data Angt'!$A$5:$F$5810,6,FALSE)</f>
        <v>60</v>
      </c>
      <c r="W72" s="5" t="str">
        <f t="shared" si="1"/>
        <v>PRODUKTIF</v>
      </c>
      <c r="X72" s="5" t="str">
        <f>VLOOKUP(T72,'Data Angt'!$A$5:$H$5810,8,FALSE)</f>
        <v>Tenaga Pengajar</v>
      </c>
      <c r="Y72" s="5" t="str">
        <f>VLOOKUP(T72,'Data Angt'!$A$5:$C$5808,3,FALSE)</f>
        <v>PBL</v>
      </c>
    </row>
    <row r="73" spans="1:25" x14ac:dyDescent="0.3">
      <c r="A73" s="8">
        <v>67</v>
      </c>
      <c r="B73" s="9" t="s">
        <v>944</v>
      </c>
      <c r="C73" s="10" t="str">
        <f>VLOOKUP(B73,'Data Angt'!$A$5:$B$5809,2,FALSE)</f>
        <v>A360</v>
      </c>
      <c r="D73" s="11" t="s">
        <v>9829</v>
      </c>
      <c r="E73" s="12" t="s">
        <v>15441</v>
      </c>
      <c r="F73" s="13">
        <v>45419</v>
      </c>
      <c r="G73" s="14">
        <v>45915</v>
      </c>
      <c r="H73" s="15">
        <v>15000000</v>
      </c>
      <c r="I73" s="16">
        <v>24</v>
      </c>
      <c r="J73" s="17">
        <v>24</v>
      </c>
      <c r="K73" s="9" t="s">
        <v>9831</v>
      </c>
      <c r="L73" s="10" t="s">
        <v>15442</v>
      </c>
      <c r="M73" s="9" t="s">
        <v>15443</v>
      </c>
      <c r="N73" s="10" t="s">
        <v>9830</v>
      </c>
      <c r="O73" s="15">
        <v>5835900</v>
      </c>
      <c r="P73" s="145">
        <v>1322058</v>
      </c>
      <c r="Q73" s="9" t="s">
        <v>22197</v>
      </c>
      <c r="R73" s="146" t="s">
        <v>22256</v>
      </c>
      <c r="T73" s="92" t="s">
        <v>1128</v>
      </c>
      <c r="U73">
        <v>1</v>
      </c>
      <c r="V73">
        <f>VLOOKUP(T73,'Data Angt'!$A$5:$F$5810,6,FALSE)</f>
        <v>72</v>
      </c>
      <c r="W73" s="5" t="str">
        <f t="shared" si="1"/>
        <v>KONSUMTIF</v>
      </c>
      <c r="X73" s="5" t="str">
        <f>VLOOKUP(T73,'Data Angt'!$A$5:$H$5810,8,FALSE)</f>
        <v>Lain-Lain</v>
      </c>
      <c r="Y73" s="5" t="str">
        <f>VLOOKUP(T73,'Data Angt'!$A$5:$C$5808,3,FALSE)</f>
        <v>PBL</v>
      </c>
    </row>
    <row r="74" spans="1:25" x14ac:dyDescent="0.3">
      <c r="A74" s="8">
        <v>68</v>
      </c>
      <c r="B74" s="9" t="s">
        <v>966</v>
      </c>
      <c r="C74" s="10" t="str">
        <f>VLOOKUP(B74,'Data Angt'!$A$5:$B$5809,2,FALSE)</f>
        <v>A368</v>
      </c>
      <c r="D74" s="11" t="s">
        <v>9829</v>
      </c>
      <c r="E74" s="12" t="s">
        <v>15444</v>
      </c>
      <c r="F74" s="13">
        <v>45810</v>
      </c>
      <c r="G74" s="14">
        <v>45902</v>
      </c>
      <c r="H74" s="15">
        <v>120000000</v>
      </c>
      <c r="I74" s="16">
        <v>60</v>
      </c>
      <c r="J74" s="17">
        <v>21</v>
      </c>
      <c r="K74" s="9" t="s">
        <v>9831</v>
      </c>
      <c r="L74" s="10" t="s">
        <v>15445</v>
      </c>
      <c r="M74" s="9" t="s">
        <v>9838</v>
      </c>
      <c r="N74" s="10" t="s">
        <v>9830</v>
      </c>
      <c r="O74" s="15">
        <v>116500100</v>
      </c>
      <c r="P74" s="145">
        <v>2339850</v>
      </c>
      <c r="Q74" s="9" t="s">
        <v>22220</v>
      </c>
      <c r="R74" s="146" t="s">
        <v>22257</v>
      </c>
      <c r="T74" s="92" t="s">
        <v>1131</v>
      </c>
      <c r="U74">
        <v>1</v>
      </c>
      <c r="V74">
        <f>VLOOKUP(T74,'Data Angt'!$A$5:$F$5810,6,FALSE)</f>
        <v>32</v>
      </c>
      <c r="W74" s="5" t="str">
        <f t="shared" si="1"/>
        <v>KONSUMTIF</v>
      </c>
      <c r="X74" s="5" t="str">
        <f>VLOOKUP(T74,'Data Angt'!$A$5:$H$5810,8,FALSE)</f>
        <v>Karyawan</v>
      </c>
      <c r="Y74" s="5" t="str">
        <f>VLOOKUP(T74,'Data Angt'!$A$5:$C$5808,3,FALSE)</f>
        <v>PBL</v>
      </c>
    </row>
    <row r="75" spans="1:25" x14ac:dyDescent="0.3">
      <c r="A75" s="8">
        <v>69</v>
      </c>
      <c r="B75" s="9" t="s">
        <v>969</v>
      </c>
      <c r="C75" s="10" t="str">
        <f>VLOOKUP(B75,'Data Angt'!$A$5:$B$5809,2,FALSE)</f>
        <v>A369</v>
      </c>
      <c r="D75" s="11" t="s">
        <v>9881</v>
      </c>
      <c r="E75" s="12" t="s">
        <v>15446</v>
      </c>
      <c r="F75" s="13">
        <v>45813</v>
      </c>
      <c r="G75" s="14">
        <v>45926</v>
      </c>
      <c r="H75" s="15">
        <v>1500000</v>
      </c>
      <c r="I75" s="16">
        <v>7</v>
      </c>
      <c r="J75" s="17">
        <v>18</v>
      </c>
      <c r="K75" s="9" t="s">
        <v>9831</v>
      </c>
      <c r="L75" s="10" t="s">
        <v>15447</v>
      </c>
      <c r="M75" s="9" t="s">
        <v>9835</v>
      </c>
      <c r="N75" s="10" t="s">
        <v>9828</v>
      </c>
      <c r="O75" s="15">
        <v>876200</v>
      </c>
      <c r="P75" s="145">
        <v>21899</v>
      </c>
      <c r="Q75" s="9"/>
      <c r="R75" s="146"/>
      <c r="T75" s="92" t="s">
        <v>1135</v>
      </c>
      <c r="U75">
        <v>1</v>
      </c>
      <c r="V75">
        <f>VLOOKUP(T75,'Data Angt'!$A$5:$F$5810,6,FALSE)</f>
        <v>45</v>
      </c>
      <c r="W75" s="5" t="str">
        <f t="shared" si="1"/>
        <v>PRODUKTIF</v>
      </c>
      <c r="X75" s="5" t="str">
        <f>VLOOKUP(T75,'Data Angt'!$A$5:$H$5810,8,FALSE)</f>
        <v>Wiraswasta</v>
      </c>
      <c r="Y75" s="5" t="str">
        <f>VLOOKUP(T75,'Data Angt'!$A$5:$C$5808,3,FALSE)</f>
        <v>PBL</v>
      </c>
    </row>
    <row r="76" spans="1:25" x14ac:dyDescent="0.3">
      <c r="A76" s="8">
        <v>70</v>
      </c>
      <c r="B76" s="9" t="s">
        <v>969</v>
      </c>
      <c r="C76" s="10" t="str">
        <f>VLOOKUP(B76,'Data Angt'!$A$5:$B$5809,2,FALSE)</f>
        <v>A369</v>
      </c>
      <c r="D76" s="11" t="s">
        <v>9829</v>
      </c>
      <c r="E76" s="12" t="s">
        <v>9882</v>
      </c>
      <c r="F76" s="13">
        <v>43993</v>
      </c>
      <c r="G76" s="14">
        <v>45926</v>
      </c>
      <c r="H76" s="15">
        <v>212116700</v>
      </c>
      <c r="I76" s="16">
        <v>60</v>
      </c>
      <c r="J76" s="17">
        <v>2.4</v>
      </c>
      <c r="K76" s="9" t="s">
        <v>9831</v>
      </c>
      <c r="L76" s="10" t="s">
        <v>9883</v>
      </c>
      <c r="M76" s="9" t="s">
        <v>9884</v>
      </c>
      <c r="N76" s="10" t="s">
        <v>9830</v>
      </c>
      <c r="O76" s="15">
        <v>193386100</v>
      </c>
      <c r="P76" s="145">
        <v>5510687</v>
      </c>
      <c r="Q76" s="9" t="s">
        <v>12091</v>
      </c>
      <c r="R76" s="146" t="s">
        <v>22258</v>
      </c>
      <c r="T76" s="92" t="s">
        <v>1138</v>
      </c>
      <c r="U76">
        <v>1</v>
      </c>
      <c r="V76">
        <f>VLOOKUP(T76,'Data Angt'!$A$5:$F$5810,6,FALSE)</f>
        <v>67</v>
      </c>
      <c r="W76" s="5" t="str">
        <f t="shared" si="1"/>
        <v>KONSUMTIF</v>
      </c>
      <c r="X76" s="5" t="str">
        <f>VLOOKUP(T76,'Data Angt'!$A$5:$H$5810,8,FALSE)</f>
        <v>Mengurus Rumah Tangga</v>
      </c>
      <c r="Y76" s="5" t="str">
        <f>VLOOKUP(T76,'Data Angt'!$A$5:$C$5808,3,FALSE)</f>
        <v>PBL</v>
      </c>
    </row>
    <row r="77" spans="1:25" x14ac:dyDescent="0.3">
      <c r="A77" s="8">
        <v>71</v>
      </c>
      <c r="B77" s="9" t="s">
        <v>984</v>
      </c>
      <c r="C77" s="10" t="str">
        <f>VLOOKUP(B77,'Data Angt'!$A$5:$B$5809,2,FALSE)</f>
        <v>A374</v>
      </c>
      <c r="D77" s="11" t="s">
        <v>9833</v>
      </c>
      <c r="E77" s="12" t="s">
        <v>15448</v>
      </c>
      <c r="F77" s="13">
        <v>45677</v>
      </c>
      <c r="G77" s="14">
        <v>45919</v>
      </c>
      <c r="H77" s="15">
        <v>400000000</v>
      </c>
      <c r="I77" s="16">
        <v>120</v>
      </c>
      <c r="J77" s="17">
        <v>15</v>
      </c>
      <c r="K77" s="9" t="s">
        <v>9831</v>
      </c>
      <c r="L77" s="10" t="s">
        <v>15449</v>
      </c>
      <c r="M77" s="9" t="s">
        <v>15450</v>
      </c>
      <c r="N77" s="10" t="s">
        <v>9834</v>
      </c>
      <c r="O77" s="15">
        <v>387851600</v>
      </c>
      <c r="P77" s="145">
        <v>14804548</v>
      </c>
      <c r="Q77" s="9" t="s">
        <v>22220</v>
      </c>
      <c r="R77" s="146" t="s">
        <v>22259</v>
      </c>
      <c r="T77" s="92" t="s">
        <v>1153</v>
      </c>
      <c r="U77">
        <v>1</v>
      </c>
      <c r="V77">
        <f>VLOOKUP(T77,'Data Angt'!$A$5:$F$5810,6,FALSE)</f>
        <v>57</v>
      </c>
      <c r="W77" s="5" t="str">
        <f t="shared" si="1"/>
        <v>PRODUKTIF</v>
      </c>
      <c r="X77" s="5" t="str">
        <f>VLOOKUP(T77,'Data Angt'!$A$5:$H$5810,8,FALSE)</f>
        <v>Karyawan</v>
      </c>
      <c r="Y77" s="5" t="str">
        <f>VLOOKUP(T77,'Data Angt'!$A$5:$C$5808,3,FALSE)</f>
        <v>PBL</v>
      </c>
    </row>
    <row r="78" spans="1:25" x14ac:dyDescent="0.3">
      <c r="A78" s="8">
        <v>72</v>
      </c>
      <c r="B78" s="9" t="s">
        <v>987</v>
      </c>
      <c r="C78" s="10" t="str">
        <f>VLOOKUP(B78,'Data Angt'!$A$5:$B$5809,2,FALSE)</f>
        <v>A375</v>
      </c>
      <c r="D78" s="11" t="s">
        <v>9829</v>
      </c>
      <c r="E78" s="12" t="s">
        <v>15451</v>
      </c>
      <c r="F78" s="13">
        <v>45527</v>
      </c>
      <c r="G78" s="14">
        <v>45925</v>
      </c>
      <c r="H78" s="15">
        <v>100000000</v>
      </c>
      <c r="I78" s="16">
        <v>24</v>
      </c>
      <c r="J78" s="17">
        <v>21</v>
      </c>
      <c r="K78" s="9" t="s">
        <v>9827</v>
      </c>
      <c r="L78" s="10" t="s">
        <v>15452</v>
      </c>
      <c r="M78" s="9" t="s">
        <v>15453</v>
      </c>
      <c r="N78" s="10" t="s">
        <v>9828</v>
      </c>
      <c r="O78" s="15">
        <v>45832900</v>
      </c>
      <c r="P78" s="145">
        <v>6398622</v>
      </c>
      <c r="Q78" s="9" t="s">
        <v>22197</v>
      </c>
      <c r="R78" s="146" t="s">
        <v>22260</v>
      </c>
      <c r="T78" s="92" t="s">
        <v>1157</v>
      </c>
      <c r="U78">
        <v>1</v>
      </c>
      <c r="V78">
        <f>VLOOKUP(T78,'Data Angt'!$A$5:$F$5810,6,FALSE)</f>
        <v>47</v>
      </c>
      <c r="W78" s="5" t="str">
        <f t="shared" si="1"/>
        <v>KONSUMTIF</v>
      </c>
      <c r="X78" s="5" t="str">
        <f>VLOOKUP(T78,'Data Angt'!$A$5:$H$5810,8,FALSE)</f>
        <v>Karyawan</v>
      </c>
      <c r="Y78" s="5" t="str">
        <f>VLOOKUP(T78,'Data Angt'!$A$5:$C$5808,3,FALSE)</f>
        <v>PBL</v>
      </c>
    </row>
    <row r="79" spans="1:25" x14ac:dyDescent="0.3">
      <c r="A79" s="8">
        <v>73</v>
      </c>
      <c r="B79" s="9" t="s">
        <v>1004</v>
      </c>
      <c r="C79" s="10" t="str">
        <f>VLOOKUP(B79,'Data Angt'!$A$5:$B$5809,2,FALSE)</f>
        <v>A383</v>
      </c>
      <c r="D79" s="11" t="s">
        <v>9829</v>
      </c>
      <c r="E79" s="12" t="s">
        <v>15454</v>
      </c>
      <c r="F79" s="13">
        <v>45656</v>
      </c>
      <c r="G79" s="14">
        <v>45915</v>
      </c>
      <c r="H79" s="15">
        <v>10000000</v>
      </c>
      <c r="I79" s="16">
        <v>12</v>
      </c>
      <c r="J79" s="17">
        <v>11.9</v>
      </c>
      <c r="K79" s="9" t="s">
        <v>9831</v>
      </c>
      <c r="L79" s="10" t="s">
        <v>15455</v>
      </c>
      <c r="M79" s="9" t="s">
        <v>10352</v>
      </c>
      <c r="N79" s="10" t="s">
        <v>9828</v>
      </c>
      <c r="O79" s="15">
        <v>2611800</v>
      </c>
      <c r="P79" s="145">
        <v>226760</v>
      </c>
      <c r="Q79" s="9"/>
      <c r="R79" s="146"/>
      <c r="T79" s="92" t="s">
        <v>1159</v>
      </c>
      <c r="U79">
        <v>1</v>
      </c>
      <c r="V79">
        <f>VLOOKUP(T79,'Data Angt'!$A$5:$F$5810,6,FALSE)</f>
        <v>56</v>
      </c>
      <c r="W79" s="5" t="str">
        <f t="shared" si="1"/>
        <v>KESEJAHTERAAN</v>
      </c>
      <c r="X79" s="5" t="str">
        <f>VLOOKUP(T79,'Data Angt'!$A$5:$H$5810,8,FALSE)</f>
        <v>Lain-Lain</v>
      </c>
      <c r="Y79" s="5" t="str">
        <f>VLOOKUP(T79,'Data Angt'!$A$5:$C$5808,3,FALSE)</f>
        <v>PBL</v>
      </c>
    </row>
    <row r="80" spans="1:25" x14ac:dyDescent="0.3">
      <c r="A80" s="8">
        <v>74</v>
      </c>
      <c r="B80" s="9" t="s">
        <v>1016</v>
      </c>
      <c r="C80" s="10" t="str">
        <f>VLOOKUP(B80,'Data Angt'!$A$5:$B$5809,2,FALSE)</f>
        <v>A388</v>
      </c>
      <c r="D80" s="11" t="s">
        <v>9833</v>
      </c>
      <c r="E80" s="12" t="s">
        <v>15456</v>
      </c>
      <c r="F80" s="13">
        <v>45457</v>
      </c>
      <c r="G80" s="14">
        <v>45910</v>
      </c>
      <c r="H80" s="15">
        <v>17000000</v>
      </c>
      <c r="I80" s="16">
        <v>20</v>
      </c>
      <c r="J80" s="17">
        <v>24</v>
      </c>
      <c r="K80" s="9" t="s">
        <v>9831</v>
      </c>
      <c r="L80" s="10" t="s">
        <v>15457</v>
      </c>
      <c r="M80" s="9" t="s">
        <v>10177</v>
      </c>
      <c r="N80" s="10" t="s">
        <v>9834</v>
      </c>
      <c r="O80" s="15">
        <v>4900600</v>
      </c>
      <c r="P80" s="145">
        <v>1311036</v>
      </c>
      <c r="Q80" s="9" t="s">
        <v>22254</v>
      </c>
      <c r="R80" s="146" t="s">
        <v>22261</v>
      </c>
      <c r="T80" s="92" t="s">
        <v>1179</v>
      </c>
      <c r="U80">
        <v>1</v>
      </c>
      <c r="V80">
        <f>VLOOKUP(T80,'Data Angt'!$A$5:$F$5810,6,FALSE)</f>
        <v>47</v>
      </c>
      <c r="W80" s="5" t="str">
        <f t="shared" si="1"/>
        <v>PENDIDIKAN</v>
      </c>
      <c r="X80" s="5" t="str">
        <f>VLOOKUP(T80,'Data Angt'!$A$5:$H$5810,8,FALSE)</f>
        <v>Wiraswasta</v>
      </c>
      <c r="Y80" s="5" t="str">
        <f>VLOOKUP(T80,'Data Angt'!$A$5:$C$5808,3,FALSE)</f>
        <v>PBL</v>
      </c>
    </row>
    <row r="81" spans="1:25" x14ac:dyDescent="0.3">
      <c r="A81" s="8">
        <v>75</v>
      </c>
      <c r="B81" s="9" t="s">
        <v>1072</v>
      </c>
      <c r="C81" s="10" t="str">
        <f>VLOOKUP(B81,'Data Angt'!$A$5:$B$5809,2,FALSE)</f>
        <v>A414</v>
      </c>
      <c r="D81" s="11" t="s">
        <v>9829</v>
      </c>
      <c r="E81" s="12" t="s">
        <v>15458</v>
      </c>
      <c r="F81" s="13">
        <v>45642</v>
      </c>
      <c r="G81" s="14">
        <v>45908</v>
      </c>
      <c r="H81" s="15">
        <v>10000000</v>
      </c>
      <c r="I81" s="16">
        <v>24</v>
      </c>
      <c r="J81" s="17">
        <v>24</v>
      </c>
      <c r="K81" s="9" t="s">
        <v>9831</v>
      </c>
      <c r="L81" s="10" t="s">
        <v>15459</v>
      </c>
      <c r="M81" s="9" t="s">
        <v>9840</v>
      </c>
      <c r="N81" s="10" t="s">
        <v>9828</v>
      </c>
      <c r="O81" s="15">
        <v>6793100</v>
      </c>
      <c r="P81" s="145">
        <v>582111</v>
      </c>
      <c r="Q81" s="9"/>
      <c r="R81" s="146"/>
      <c r="T81" s="92" t="s">
        <v>1194</v>
      </c>
      <c r="U81">
        <v>1</v>
      </c>
      <c r="V81">
        <f>VLOOKUP(T81,'Data Angt'!$A$5:$F$5810,6,FALSE)</f>
        <v>57</v>
      </c>
      <c r="W81" s="5">
        <f t="shared" si="1"/>
        <v>0</v>
      </c>
      <c r="X81" s="5" t="str">
        <f>VLOOKUP(T81,'Data Angt'!$A$5:$H$5810,8,FALSE)</f>
        <v>Tenaga Pengajar</v>
      </c>
      <c r="Y81" s="5" t="str">
        <f>VLOOKUP(T81,'Data Angt'!$A$5:$C$5808,3,FALSE)</f>
        <v>PBL</v>
      </c>
    </row>
    <row r="82" spans="1:25" x14ac:dyDescent="0.3">
      <c r="A82" s="8">
        <v>76</v>
      </c>
      <c r="B82" s="9" t="s">
        <v>1098</v>
      </c>
      <c r="C82" s="10" t="str">
        <f>VLOOKUP(B82,'Data Angt'!$A$5:$B$5809,2,FALSE)</f>
        <v>A425</v>
      </c>
      <c r="D82" s="11" t="s">
        <v>9833</v>
      </c>
      <c r="E82" s="12" t="s">
        <v>15460</v>
      </c>
      <c r="F82" s="13">
        <v>45570</v>
      </c>
      <c r="G82" s="14">
        <v>45930</v>
      </c>
      <c r="H82" s="15">
        <v>10000000</v>
      </c>
      <c r="I82" s="16">
        <v>36</v>
      </c>
      <c r="J82" s="17">
        <v>24</v>
      </c>
      <c r="K82" s="9" t="s">
        <v>9831</v>
      </c>
      <c r="L82" s="10" t="s">
        <v>15461</v>
      </c>
      <c r="M82" s="9" t="s">
        <v>9885</v>
      </c>
      <c r="N82" s="10" t="s">
        <v>9834</v>
      </c>
      <c r="O82" s="15">
        <v>7663900</v>
      </c>
      <c r="P82" s="145">
        <v>742610</v>
      </c>
      <c r="Q82" s="9" t="s">
        <v>22189</v>
      </c>
      <c r="R82" s="146" t="s">
        <v>22262</v>
      </c>
      <c r="T82" s="92" t="s">
        <v>1198</v>
      </c>
      <c r="U82">
        <v>1</v>
      </c>
      <c r="V82">
        <f>VLOOKUP(T82,'Data Angt'!$A$5:$F$5810,6,FALSE)</f>
        <v>40</v>
      </c>
      <c r="W82" s="5" t="str">
        <f t="shared" si="1"/>
        <v>KESEJAHTERAAN</v>
      </c>
      <c r="X82" s="5" t="str">
        <f>VLOOKUP(T82,'Data Angt'!$A$5:$H$5810,8,FALSE)</f>
        <v>Karyawan</v>
      </c>
      <c r="Y82" s="5" t="str">
        <f>VLOOKUP(T82,'Data Angt'!$A$5:$C$5808,3,FALSE)</f>
        <v>PBL</v>
      </c>
    </row>
    <row r="83" spans="1:25" x14ac:dyDescent="0.3">
      <c r="A83" s="8">
        <v>77</v>
      </c>
      <c r="B83" s="9" t="s">
        <v>1116</v>
      </c>
      <c r="C83" s="10" t="str">
        <f>VLOOKUP(B83,'Data Angt'!$A$5:$B$5809,2,FALSE)</f>
        <v>A434</v>
      </c>
      <c r="D83" s="11" t="s">
        <v>9833</v>
      </c>
      <c r="E83" s="12" t="s">
        <v>15462</v>
      </c>
      <c r="F83" s="13">
        <v>45733</v>
      </c>
      <c r="G83" s="14">
        <v>45916</v>
      </c>
      <c r="H83" s="15">
        <v>75000000</v>
      </c>
      <c r="I83" s="16">
        <v>36</v>
      </c>
      <c r="J83" s="17">
        <v>21</v>
      </c>
      <c r="K83" s="9" t="s">
        <v>9831</v>
      </c>
      <c r="L83" s="10" t="s">
        <v>15463</v>
      </c>
      <c r="M83" s="9" t="s">
        <v>15464</v>
      </c>
      <c r="N83" s="10" t="s">
        <v>9834</v>
      </c>
      <c r="O83" s="15">
        <v>65514400</v>
      </c>
      <c r="P83" s="145">
        <v>2800723</v>
      </c>
      <c r="Q83" s="9" t="s">
        <v>22240</v>
      </c>
      <c r="R83" s="146" t="s">
        <v>22263</v>
      </c>
      <c r="T83" s="92" t="s">
        <v>1202</v>
      </c>
      <c r="U83">
        <v>1</v>
      </c>
      <c r="V83">
        <f>VLOOKUP(T83,'Data Angt'!$A$5:$F$5810,6,FALSE)</f>
        <v>47</v>
      </c>
      <c r="W83" s="5" t="str">
        <f t="shared" si="1"/>
        <v>PRODUKTIF</v>
      </c>
      <c r="X83" s="5" t="str">
        <f>VLOOKUP(T83,'Data Angt'!$A$5:$H$5810,8,FALSE)</f>
        <v>Aparatur/Pejabat Negara</v>
      </c>
      <c r="Y83" s="5" t="str">
        <f>VLOOKUP(T83,'Data Angt'!$A$5:$C$5808,3,FALSE)</f>
        <v>PBL</v>
      </c>
    </row>
    <row r="84" spans="1:25" x14ac:dyDescent="0.3">
      <c r="A84" s="8">
        <v>78</v>
      </c>
      <c r="B84" s="9" t="s">
        <v>1128</v>
      </c>
      <c r="C84" s="10" t="str">
        <f>VLOOKUP(B84,'Data Angt'!$A$5:$B$5809,2,FALSE)</f>
        <v>A440</v>
      </c>
      <c r="D84" s="11" t="s">
        <v>9895</v>
      </c>
      <c r="E84" s="12" t="s">
        <v>15465</v>
      </c>
      <c r="F84" s="13">
        <v>45757</v>
      </c>
      <c r="G84" s="14">
        <v>45929</v>
      </c>
      <c r="H84" s="15">
        <v>8730000</v>
      </c>
      <c r="I84" s="16">
        <v>18</v>
      </c>
      <c r="J84" s="17">
        <v>24</v>
      </c>
      <c r="K84" s="9" t="s">
        <v>9831</v>
      </c>
      <c r="L84" s="10" t="s">
        <v>15466</v>
      </c>
      <c r="M84" s="9" t="s">
        <v>9896</v>
      </c>
      <c r="N84" s="10" t="s">
        <v>9828</v>
      </c>
      <c r="O84" s="15">
        <v>6608000</v>
      </c>
      <c r="P84" s="145">
        <v>296249</v>
      </c>
      <c r="Q84" s="9" t="s">
        <v>22189</v>
      </c>
      <c r="R84" s="146" t="s">
        <v>22264</v>
      </c>
      <c r="T84" s="92" t="s">
        <v>1214</v>
      </c>
      <c r="U84">
        <v>1</v>
      </c>
      <c r="V84">
        <f>VLOOKUP(T84,'Data Angt'!$A$5:$F$5810,6,FALSE)</f>
        <v>63</v>
      </c>
      <c r="W84" s="5" t="str">
        <f t="shared" si="1"/>
        <v>KONSUMTIF</v>
      </c>
      <c r="X84" s="5" t="str">
        <f>VLOOKUP(T84,'Data Angt'!$A$5:$H$5810,8,FALSE)</f>
        <v>Aparatur/Pejabat Negara</v>
      </c>
      <c r="Y84" s="5" t="str">
        <f>VLOOKUP(T84,'Data Angt'!$A$5:$C$5808,3,FALSE)</f>
        <v>PBL</v>
      </c>
    </row>
    <row r="85" spans="1:25" x14ac:dyDescent="0.3">
      <c r="A85" s="8">
        <v>79</v>
      </c>
      <c r="B85" s="9" t="s">
        <v>1131</v>
      </c>
      <c r="C85" s="10" t="str">
        <f>VLOOKUP(B85,'Data Angt'!$A$5:$B$5809,2,FALSE)</f>
        <v>A441</v>
      </c>
      <c r="D85" s="11" t="s">
        <v>9829</v>
      </c>
      <c r="E85" s="12" t="s">
        <v>9887</v>
      </c>
      <c r="F85" s="13">
        <v>45241</v>
      </c>
      <c r="G85" s="14">
        <v>45901</v>
      </c>
      <c r="H85" s="15">
        <v>14000000</v>
      </c>
      <c r="I85" s="16">
        <v>24</v>
      </c>
      <c r="J85" s="17">
        <v>11.64</v>
      </c>
      <c r="K85" s="9" t="s">
        <v>9831</v>
      </c>
      <c r="L85" s="10" t="s">
        <v>9888</v>
      </c>
      <c r="M85" s="9" t="s">
        <v>9889</v>
      </c>
      <c r="N85" s="10" t="s">
        <v>9828</v>
      </c>
      <c r="O85" s="15">
        <v>1295100</v>
      </c>
      <c r="P85" s="145">
        <v>653432</v>
      </c>
      <c r="Q85" s="9"/>
      <c r="R85" s="146"/>
      <c r="T85" s="92" t="s">
        <v>1239</v>
      </c>
      <c r="U85">
        <v>1</v>
      </c>
      <c r="V85">
        <f>VLOOKUP(T85,'Data Angt'!$A$5:$F$5810,6,FALSE)</f>
        <v>58</v>
      </c>
      <c r="W85" s="5" t="str">
        <f t="shared" si="1"/>
        <v>KONSUMTIF</v>
      </c>
      <c r="X85" s="5" t="str">
        <f>VLOOKUP(T85,'Data Angt'!$A$5:$H$5810,8,FALSE)</f>
        <v>Aparatur/Pejabat Negara</v>
      </c>
      <c r="Y85" s="5" t="str">
        <f>VLOOKUP(T85,'Data Angt'!$A$5:$C$5808,3,FALSE)</f>
        <v>PBL</v>
      </c>
    </row>
    <row r="86" spans="1:25" x14ac:dyDescent="0.3">
      <c r="A86" s="8">
        <v>80</v>
      </c>
      <c r="B86" s="9" t="s">
        <v>1135</v>
      </c>
      <c r="C86" s="10" t="str">
        <f>VLOOKUP(B86,'Data Angt'!$A$5:$B$5809,2,FALSE)</f>
        <v>A443</v>
      </c>
      <c r="D86" s="11" t="s">
        <v>9826</v>
      </c>
      <c r="E86" s="12" t="s">
        <v>15467</v>
      </c>
      <c r="F86" s="13">
        <v>45812</v>
      </c>
      <c r="G86" s="14">
        <v>45904</v>
      </c>
      <c r="H86" s="15">
        <v>10000000</v>
      </c>
      <c r="I86" s="16">
        <v>12</v>
      </c>
      <c r="J86" s="17">
        <v>11.9</v>
      </c>
      <c r="K86" s="9" t="s">
        <v>9831</v>
      </c>
      <c r="L86" s="10" t="s">
        <v>15468</v>
      </c>
      <c r="M86" s="9" t="s">
        <v>9962</v>
      </c>
      <c r="N86" s="10" t="s">
        <v>9834</v>
      </c>
      <c r="O86" s="15">
        <v>7609800</v>
      </c>
      <c r="P86" s="145">
        <v>102787</v>
      </c>
      <c r="Q86" s="9"/>
      <c r="R86" s="146"/>
      <c r="T86" s="92" t="s">
        <v>1329</v>
      </c>
      <c r="U86">
        <v>1</v>
      </c>
      <c r="V86">
        <f>VLOOKUP(T86,'Data Angt'!$A$5:$F$5810,6,FALSE)</f>
        <v>49</v>
      </c>
      <c r="W86" s="5" t="str">
        <f t="shared" si="1"/>
        <v>PRODUKTIF</v>
      </c>
      <c r="X86" s="5" t="str">
        <f>VLOOKUP(T86,'Data Angt'!$A$5:$H$5810,8,FALSE)</f>
        <v>Karyawan</v>
      </c>
      <c r="Y86" s="5" t="str">
        <f>VLOOKUP(T86,'Data Angt'!$A$5:$C$5808,3,FALSE)</f>
        <v>PBL</v>
      </c>
    </row>
    <row r="87" spans="1:25" x14ac:dyDescent="0.3">
      <c r="A87" s="8">
        <v>81</v>
      </c>
      <c r="B87" s="9" t="s">
        <v>1138</v>
      </c>
      <c r="C87" s="10" t="str">
        <f>VLOOKUP(B87,'Data Angt'!$A$5:$B$5809,2,FALSE)</f>
        <v>A444</v>
      </c>
      <c r="D87" s="11" t="s">
        <v>9895</v>
      </c>
      <c r="E87" s="12" t="s">
        <v>22265</v>
      </c>
      <c r="F87" s="13">
        <v>45896</v>
      </c>
      <c r="G87" s="14">
        <v>45923</v>
      </c>
      <c r="H87" s="15">
        <v>7000000</v>
      </c>
      <c r="I87" s="16">
        <v>12</v>
      </c>
      <c r="J87" s="17">
        <v>24</v>
      </c>
      <c r="K87" s="9" t="s">
        <v>9831</v>
      </c>
      <c r="L87" s="10" t="s">
        <v>22266</v>
      </c>
      <c r="M87" s="9" t="s">
        <v>22267</v>
      </c>
      <c r="N87" s="10" t="s">
        <v>9828</v>
      </c>
      <c r="O87" s="15">
        <v>6478000</v>
      </c>
      <c r="P87" s="145">
        <v>52500</v>
      </c>
      <c r="Q87" s="9"/>
      <c r="R87" s="146"/>
      <c r="T87" s="92" t="s">
        <v>1332</v>
      </c>
      <c r="U87">
        <v>1</v>
      </c>
      <c r="V87">
        <f>VLOOKUP(T87,'Data Angt'!$A$5:$F$5810,6,FALSE)</f>
        <v>45</v>
      </c>
      <c r="W87" s="5" t="str">
        <f t="shared" si="1"/>
        <v>PENDIDIKAN</v>
      </c>
      <c r="X87" s="5" t="str">
        <f>VLOOKUP(T87,'Data Angt'!$A$5:$H$5810,8,FALSE)</f>
        <v>Wiraswasta</v>
      </c>
      <c r="Y87" s="5" t="str">
        <f>VLOOKUP(T87,'Data Angt'!$A$5:$C$5808,3,FALSE)</f>
        <v>PBL</v>
      </c>
    </row>
    <row r="88" spans="1:25" x14ac:dyDescent="0.3">
      <c r="A88" s="8">
        <v>82</v>
      </c>
      <c r="B88" s="9" t="s">
        <v>1153</v>
      </c>
      <c r="C88" s="10" t="str">
        <f>VLOOKUP(B88,'Data Angt'!$A$5:$B$5809,2,FALSE)</f>
        <v>A450</v>
      </c>
      <c r="D88" s="11" t="s">
        <v>9833</v>
      </c>
      <c r="E88" s="12" t="s">
        <v>15469</v>
      </c>
      <c r="F88" s="13">
        <v>45742</v>
      </c>
      <c r="G88" s="14">
        <v>45926</v>
      </c>
      <c r="H88" s="15">
        <v>60000000</v>
      </c>
      <c r="I88" s="16">
        <v>48</v>
      </c>
      <c r="J88" s="17">
        <v>21</v>
      </c>
      <c r="K88" s="9" t="s">
        <v>9831</v>
      </c>
      <c r="L88" s="10" t="s">
        <v>15470</v>
      </c>
      <c r="M88" s="9" t="s">
        <v>9862</v>
      </c>
      <c r="N88" s="10" t="s">
        <v>9834</v>
      </c>
      <c r="O88" s="15">
        <v>55816300</v>
      </c>
      <c r="P88" s="145">
        <v>2281161</v>
      </c>
      <c r="Q88" s="9" t="s">
        <v>22197</v>
      </c>
      <c r="R88" s="146" t="s">
        <v>22268</v>
      </c>
      <c r="T88" s="92" t="s">
        <v>1349</v>
      </c>
      <c r="U88">
        <v>1</v>
      </c>
      <c r="V88">
        <f>VLOOKUP(T88,'Data Angt'!$A$5:$F$5810,6,FALSE)</f>
        <v>45</v>
      </c>
      <c r="W88" s="5">
        <f t="shared" si="1"/>
        <v>0</v>
      </c>
      <c r="X88" s="5" t="str">
        <f>VLOOKUP(T88,'Data Angt'!$A$5:$H$5810,8,FALSE)</f>
        <v>Mengurus Rumah Tangga</v>
      </c>
      <c r="Y88" s="5" t="str">
        <f>VLOOKUP(T88,'Data Angt'!$A$5:$C$5808,3,FALSE)</f>
        <v>PBL</v>
      </c>
    </row>
    <row r="89" spans="1:25" x14ac:dyDescent="0.3">
      <c r="A89" s="8">
        <v>83</v>
      </c>
      <c r="B89" s="9" t="s">
        <v>1157</v>
      </c>
      <c r="C89" s="10" t="str">
        <f>VLOOKUP(B89,'Data Angt'!$A$5:$B$5809,2,FALSE)</f>
        <v>A452</v>
      </c>
      <c r="D89" s="11" t="s">
        <v>9833</v>
      </c>
      <c r="E89" s="12" t="s">
        <v>15471</v>
      </c>
      <c r="F89" s="13">
        <v>45646</v>
      </c>
      <c r="G89" s="14">
        <v>45920</v>
      </c>
      <c r="H89" s="15">
        <v>12000000</v>
      </c>
      <c r="I89" s="16">
        <v>30</v>
      </c>
      <c r="J89" s="17">
        <v>24</v>
      </c>
      <c r="K89" s="9" t="s">
        <v>9831</v>
      </c>
      <c r="L89" s="10" t="s">
        <v>15472</v>
      </c>
      <c r="M89" s="9" t="s">
        <v>15473</v>
      </c>
      <c r="N89" s="10" t="s">
        <v>9828</v>
      </c>
      <c r="O89" s="15">
        <v>9115000</v>
      </c>
      <c r="P89" s="145">
        <v>726446</v>
      </c>
      <c r="Q89" s="9" t="s">
        <v>22189</v>
      </c>
      <c r="R89" s="146" t="s">
        <v>22269</v>
      </c>
      <c r="T89" s="92" t="s">
        <v>1375</v>
      </c>
      <c r="U89">
        <v>1</v>
      </c>
      <c r="V89">
        <f>VLOOKUP(T89,'Data Angt'!$A$5:$F$5810,6,FALSE)</f>
        <v>41</v>
      </c>
      <c r="W89" s="5" t="str">
        <f t="shared" si="1"/>
        <v>PENDIDIKAN</v>
      </c>
      <c r="X89" s="5" t="str">
        <f>VLOOKUP(T89,'Data Angt'!$A$5:$H$5810,8,FALSE)</f>
        <v>Karyawan</v>
      </c>
      <c r="Y89" s="5" t="str">
        <f>VLOOKUP(T89,'Data Angt'!$A$5:$C$5808,3,FALSE)</f>
        <v>PBL</v>
      </c>
    </row>
    <row r="90" spans="1:25" x14ac:dyDescent="0.3">
      <c r="A90" s="8">
        <v>84</v>
      </c>
      <c r="B90" s="9" t="s">
        <v>1159</v>
      </c>
      <c r="C90" s="10" t="str">
        <f>VLOOKUP(B90,'Data Angt'!$A$5:$B$5809,2,FALSE)</f>
        <v>A453</v>
      </c>
      <c r="D90" s="11" t="s">
        <v>9829</v>
      </c>
      <c r="E90" s="12" t="s">
        <v>15474</v>
      </c>
      <c r="F90" s="13">
        <v>45579</v>
      </c>
      <c r="G90" s="14">
        <v>45915</v>
      </c>
      <c r="H90" s="15">
        <v>5000000</v>
      </c>
      <c r="I90" s="16">
        <v>24</v>
      </c>
      <c r="J90" s="17">
        <v>24</v>
      </c>
      <c r="K90" s="9" t="s">
        <v>9827</v>
      </c>
      <c r="L90" s="10" t="s">
        <v>15475</v>
      </c>
      <c r="M90" s="9" t="s">
        <v>9849</v>
      </c>
      <c r="N90" s="10" t="s">
        <v>9830</v>
      </c>
      <c r="O90" s="15">
        <v>2707600</v>
      </c>
      <c r="P90" s="145">
        <v>326697</v>
      </c>
      <c r="Q90" s="9"/>
      <c r="R90" s="146"/>
      <c r="T90" s="92" t="s">
        <v>1397</v>
      </c>
      <c r="U90">
        <v>1</v>
      </c>
      <c r="V90">
        <f>VLOOKUP(T90,'Data Angt'!$A$5:$F$5810,6,FALSE)</f>
        <v>59</v>
      </c>
      <c r="W90" s="5" t="str">
        <f t="shared" si="1"/>
        <v>PENDIDIKAN</v>
      </c>
      <c r="X90" s="5" t="str">
        <f>VLOOKUP(T90,'Data Angt'!$A$5:$H$5810,8,FALSE)</f>
        <v>Tenaga Medis</v>
      </c>
      <c r="Y90" s="5" t="str">
        <f>VLOOKUP(T90,'Data Angt'!$A$5:$C$5808,3,FALSE)</f>
        <v>PBL</v>
      </c>
    </row>
    <row r="91" spans="1:25" x14ac:dyDescent="0.3">
      <c r="A91" s="8">
        <v>85</v>
      </c>
      <c r="B91" s="9" t="s">
        <v>1179</v>
      </c>
      <c r="C91" s="10" t="str">
        <f>VLOOKUP(B91,'Data Angt'!$A$5:$B$5809,2,FALSE)</f>
        <v>A461</v>
      </c>
      <c r="D91" s="11" t="s">
        <v>9829</v>
      </c>
      <c r="E91" s="12" t="s">
        <v>15476</v>
      </c>
      <c r="F91" s="13">
        <v>45490</v>
      </c>
      <c r="G91" s="14">
        <v>45917</v>
      </c>
      <c r="H91" s="15">
        <v>12000000</v>
      </c>
      <c r="I91" s="16">
        <v>36</v>
      </c>
      <c r="J91" s="17">
        <v>24</v>
      </c>
      <c r="K91" s="9" t="s">
        <v>9831</v>
      </c>
      <c r="L91" s="10" t="s">
        <v>15477</v>
      </c>
      <c r="M91" s="9" t="s">
        <v>10008</v>
      </c>
      <c r="N91" s="10" t="s">
        <v>17</v>
      </c>
      <c r="O91" s="15">
        <v>8313600</v>
      </c>
      <c r="P91" s="145">
        <v>1089296</v>
      </c>
      <c r="Q91" s="9" t="s">
        <v>22254</v>
      </c>
      <c r="R91" s="146" t="s">
        <v>22270</v>
      </c>
      <c r="T91" s="92" t="s">
        <v>1401</v>
      </c>
      <c r="U91">
        <v>1</v>
      </c>
      <c r="V91">
        <f>VLOOKUP(T91,'Data Angt'!$A$5:$F$5810,6,FALSE)</f>
        <v>53</v>
      </c>
      <c r="W91" s="5" t="str">
        <f t="shared" si="1"/>
        <v>PRODUKTIF</v>
      </c>
      <c r="X91" s="5" t="str">
        <f>VLOOKUP(T91,'Data Angt'!$A$5:$H$5810,8,FALSE)</f>
        <v>Lain-Lain</v>
      </c>
      <c r="Y91" s="5" t="str">
        <f>VLOOKUP(T91,'Data Angt'!$A$5:$C$5808,3,FALSE)</f>
        <v>PBL</v>
      </c>
    </row>
    <row r="92" spans="1:25" x14ac:dyDescent="0.3">
      <c r="A92" s="8">
        <v>86</v>
      </c>
      <c r="B92" s="9" t="s">
        <v>1194</v>
      </c>
      <c r="C92" s="10" t="str">
        <f>VLOOKUP(B92,'Data Angt'!$A$5:$B$5809,2,FALSE)</f>
        <v>A467</v>
      </c>
      <c r="D92" s="11" t="s">
        <v>9829</v>
      </c>
      <c r="E92" s="12" t="s">
        <v>9892</v>
      </c>
      <c r="F92" s="13">
        <v>43173</v>
      </c>
      <c r="G92" s="14">
        <v>44924</v>
      </c>
      <c r="H92" s="15">
        <v>60000000</v>
      </c>
      <c r="I92" s="16">
        <v>60</v>
      </c>
      <c r="J92" s="17">
        <v>21</v>
      </c>
      <c r="K92" s="9" t="s">
        <v>9827</v>
      </c>
      <c r="L92" s="10"/>
      <c r="M92" s="9"/>
      <c r="N92" s="10"/>
      <c r="O92" s="15">
        <v>43447200</v>
      </c>
      <c r="P92" s="145">
        <v>7103733</v>
      </c>
      <c r="Q92" s="9"/>
      <c r="R92" s="146"/>
      <c r="T92" s="92" t="s">
        <v>1405</v>
      </c>
      <c r="U92">
        <v>1</v>
      </c>
      <c r="V92">
        <f>VLOOKUP(T92,'Data Angt'!$A$5:$F$5810,6,FALSE)</f>
        <v>33</v>
      </c>
      <c r="W92" s="5" t="str">
        <f t="shared" si="1"/>
        <v>KESEJAHTERAAN</v>
      </c>
      <c r="X92" s="5" t="str">
        <f>VLOOKUP(T92,'Data Angt'!$A$5:$H$5810,8,FALSE)</f>
        <v>Tenaga Pengajar</v>
      </c>
      <c r="Y92" s="5" t="str">
        <f>VLOOKUP(T92,'Data Angt'!$A$5:$C$5808,3,FALSE)</f>
        <v>PBL</v>
      </c>
    </row>
    <row r="93" spans="1:25" x14ac:dyDescent="0.3">
      <c r="A93" s="8">
        <v>87</v>
      </c>
      <c r="B93" s="9" t="s">
        <v>1198</v>
      </c>
      <c r="C93" s="10" t="str">
        <f>VLOOKUP(B93,'Data Angt'!$A$5:$B$5809,2,FALSE)</f>
        <v>A468</v>
      </c>
      <c r="D93" s="11" t="s">
        <v>9829</v>
      </c>
      <c r="E93" s="12" t="s">
        <v>9893</v>
      </c>
      <c r="F93" s="13">
        <v>44979</v>
      </c>
      <c r="G93" s="14">
        <v>45920</v>
      </c>
      <c r="H93" s="15">
        <v>40000000</v>
      </c>
      <c r="I93" s="16">
        <v>48</v>
      </c>
      <c r="J93" s="17">
        <v>21</v>
      </c>
      <c r="K93" s="9" t="s">
        <v>9831</v>
      </c>
      <c r="L93" s="10" t="s">
        <v>9894</v>
      </c>
      <c r="M93" s="9" t="s">
        <v>9838</v>
      </c>
      <c r="N93" s="10" t="s">
        <v>9830</v>
      </c>
      <c r="O93" s="15">
        <v>18076800</v>
      </c>
      <c r="P93" s="145">
        <v>6178681</v>
      </c>
      <c r="Q93" s="9" t="s">
        <v>22220</v>
      </c>
      <c r="R93" s="146" t="s">
        <v>22271</v>
      </c>
      <c r="T93" s="92" t="s">
        <v>1442</v>
      </c>
      <c r="U93">
        <v>1</v>
      </c>
      <c r="V93">
        <f>VLOOKUP(T93,'Data Angt'!$A$5:$F$5810,6,FALSE)</f>
        <v>41</v>
      </c>
      <c r="W93" s="5" t="str">
        <f t="shared" si="1"/>
        <v>KESEJAHTERAAN</v>
      </c>
      <c r="X93" s="5" t="str">
        <f>VLOOKUP(T93,'Data Angt'!$A$5:$H$5810,8,FALSE)</f>
        <v>Karyawan</v>
      </c>
      <c r="Y93" s="5" t="str">
        <f>VLOOKUP(T93,'Data Angt'!$A$5:$C$5808,3,FALSE)</f>
        <v>PBL</v>
      </c>
    </row>
    <row r="94" spans="1:25" x14ac:dyDescent="0.3">
      <c r="A94" s="8">
        <v>88</v>
      </c>
      <c r="B94" s="9" t="s">
        <v>1202</v>
      </c>
      <c r="C94" s="10" t="str">
        <f>VLOOKUP(B94,'Data Angt'!$A$5:$B$5809,2,FALSE)</f>
        <v>A469</v>
      </c>
      <c r="D94" s="11" t="s">
        <v>9833</v>
      </c>
      <c r="E94" s="12" t="s">
        <v>15478</v>
      </c>
      <c r="F94" s="13">
        <v>45519</v>
      </c>
      <c r="G94" s="14">
        <v>45909</v>
      </c>
      <c r="H94" s="15">
        <v>200000000</v>
      </c>
      <c r="I94" s="16">
        <v>60</v>
      </c>
      <c r="J94" s="17">
        <v>21</v>
      </c>
      <c r="K94" s="9" t="s">
        <v>9831</v>
      </c>
      <c r="L94" s="10" t="s">
        <v>15479</v>
      </c>
      <c r="M94" s="9" t="s">
        <v>15480</v>
      </c>
      <c r="N94" s="10" t="s">
        <v>9834</v>
      </c>
      <c r="O94" s="15">
        <v>172378500</v>
      </c>
      <c r="P94" s="145">
        <v>16019098</v>
      </c>
      <c r="Q94" s="9" t="s">
        <v>22220</v>
      </c>
      <c r="R94" s="146" t="s">
        <v>22272</v>
      </c>
      <c r="T94" s="92" t="s">
        <v>1450</v>
      </c>
      <c r="U94">
        <v>1</v>
      </c>
      <c r="V94">
        <f>VLOOKUP(T94,'Data Angt'!$A$5:$F$5810,6,FALSE)</f>
        <v>60</v>
      </c>
      <c r="W94" s="5" t="str">
        <f t="shared" si="1"/>
        <v>KESEJAHTERAAN</v>
      </c>
      <c r="X94" s="5" t="str">
        <f>VLOOKUP(T94,'Data Angt'!$A$5:$H$5810,8,FALSE)</f>
        <v>Aparatur/Pejabat Negara</v>
      </c>
      <c r="Y94" s="5" t="str">
        <f>VLOOKUP(T94,'Data Angt'!$A$5:$C$5808,3,FALSE)</f>
        <v>PBL</v>
      </c>
    </row>
    <row r="95" spans="1:25" x14ac:dyDescent="0.3">
      <c r="A95" s="8">
        <v>89</v>
      </c>
      <c r="B95" s="9" t="s">
        <v>1214</v>
      </c>
      <c r="C95" s="10" t="str">
        <f>VLOOKUP(B95,'Data Angt'!$A$5:$B$5809,2,FALSE)</f>
        <v>A473</v>
      </c>
      <c r="D95" s="11" t="s">
        <v>9829</v>
      </c>
      <c r="E95" s="12" t="s">
        <v>22273</v>
      </c>
      <c r="F95" s="13">
        <v>45880</v>
      </c>
      <c r="G95" s="14">
        <v>45904</v>
      </c>
      <c r="H95" s="15">
        <v>25000000</v>
      </c>
      <c r="I95" s="16">
        <v>60</v>
      </c>
      <c r="J95" s="17">
        <v>21</v>
      </c>
      <c r="K95" s="9" t="s">
        <v>9827</v>
      </c>
      <c r="L95" s="10" t="s">
        <v>22274</v>
      </c>
      <c r="M95" s="9" t="s">
        <v>22275</v>
      </c>
      <c r="N95" s="10" t="s">
        <v>9828</v>
      </c>
      <c r="O95" s="15">
        <v>24583300</v>
      </c>
      <c r="P95" s="145">
        <v>164062</v>
      </c>
      <c r="Q95" s="9" t="s">
        <v>22276</v>
      </c>
      <c r="R95" s="146" t="s">
        <v>22277</v>
      </c>
      <c r="T95" s="92" t="s">
        <v>1460</v>
      </c>
      <c r="U95">
        <v>1</v>
      </c>
      <c r="V95">
        <f>VLOOKUP(T95,'Data Angt'!$A$5:$F$5810,6,FALSE)</f>
        <v>52</v>
      </c>
      <c r="W95" s="5" t="str">
        <f t="shared" si="1"/>
        <v>KESEJAHTERAAN</v>
      </c>
      <c r="X95" s="5" t="str">
        <f>VLOOKUP(T95,'Data Angt'!$A$5:$H$5810,8,FALSE)</f>
        <v>Karyawan</v>
      </c>
      <c r="Y95" s="5" t="str">
        <f>VLOOKUP(T95,'Data Angt'!$A$5:$C$5808,3,FALSE)</f>
        <v>PBL</v>
      </c>
    </row>
    <row r="96" spans="1:25" x14ac:dyDescent="0.3">
      <c r="A96" s="8">
        <v>90</v>
      </c>
      <c r="B96" s="9" t="s">
        <v>1239</v>
      </c>
      <c r="C96" s="10" t="str">
        <f>VLOOKUP(B96,'Data Angt'!$A$5:$B$5809,2,FALSE)</f>
        <v>A482</v>
      </c>
      <c r="D96" s="11" t="s">
        <v>9829</v>
      </c>
      <c r="E96" s="12" t="s">
        <v>15481</v>
      </c>
      <c r="F96" s="13">
        <v>45674</v>
      </c>
      <c r="G96" s="14">
        <v>45901</v>
      </c>
      <c r="H96" s="15">
        <v>3000000</v>
      </c>
      <c r="I96" s="16">
        <v>10</v>
      </c>
      <c r="J96" s="17">
        <v>24</v>
      </c>
      <c r="K96" s="9" t="s">
        <v>9831</v>
      </c>
      <c r="L96" s="10" t="s">
        <v>15482</v>
      </c>
      <c r="M96" s="9" t="s">
        <v>15483</v>
      </c>
      <c r="N96" s="10" t="s">
        <v>9828</v>
      </c>
      <c r="O96" s="15">
        <v>648700</v>
      </c>
      <c r="P96" s="145">
        <v>120260</v>
      </c>
      <c r="Q96" s="9"/>
      <c r="R96" s="146"/>
      <c r="T96" s="92" t="s">
        <v>1488</v>
      </c>
      <c r="U96">
        <v>1</v>
      </c>
      <c r="V96">
        <f>VLOOKUP(T96,'Data Angt'!$A$5:$F$5810,6,FALSE)</f>
        <v>41</v>
      </c>
      <c r="W96" s="5" t="str">
        <f t="shared" si="1"/>
        <v>PRODUKTIF</v>
      </c>
      <c r="X96" s="5" t="str">
        <f>VLOOKUP(T96,'Data Angt'!$A$5:$H$5810,8,FALSE)</f>
        <v>Karyawan</v>
      </c>
      <c r="Y96" s="5" t="str">
        <f>VLOOKUP(T96,'Data Angt'!$A$5:$C$5808,3,FALSE)</f>
        <v>PBL</v>
      </c>
    </row>
    <row r="97" spans="1:25" x14ac:dyDescent="0.3">
      <c r="A97" s="8">
        <v>91</v>
      </c>
      <c r="B97" s="9" t="s">
        <v>1329</v>
      </c>
      <c r="C97" s="10" t="str">
        <f>VLOOKUP(B97,'Data Angt'!$A$5:$B$5809,2,FALSE)</f>
        <v>A519</v>
      </c>
      <c r="D97" s="11" t="s">
        <v>9829</v>
      </c>
      <c r="E97" s="12" t="s">
        <v>15484</v>
      </c>
      <c r="F97" s="13">
        <v>45695</v>
      </c>
      <c r="G97" s="14">
        <v>45908</v>
      </c>
      <c r="H97" s="15">
        <v>15000000</v>
      </c>
      <c r="I97" s="16">
        <v>30</v>
      </c>
      <c r="J97" s="17">
        <v>24</v>
      </c>
      <c r="K97" s="9" t="s">
        <v>9831</v>
      </c>
      <c r="L97" s="10" t="s">
        <v>15485</v>
      </c>
      <c r="M97" s="9" t="s">
        <v>15486</v>
      </c>
      <c r="N97" s="10" t="s">
        <v>9834</v>
      </c>
      <c r="O97" s="15">
        <v>12251200</v>
      </c>
      <c r="P97" s="145">
        <v>727424</v>
      </c>
      <c r="Q97" s="9"/>
      <c r="R97" s="146"/>
      <c r="T97" s="92" t="s">
        <v>1539</v>
      </c>
      <c r="U97">
        <v>1</v>
      </c>
      <c r="V97">
        <f>VLOOKUP(T97,'Data Angt'!$A$5:$F$5810,6,FALSE)</f>
        <v>57</v>
      </c>
      <c r="W97" s="5" t="str">
        <f t="shared" si="1"/>
        <v>PRODUKTIF</v>
      </c>
      <c r="X97" s="5" t="str">
        <f>VLOOKUP(T97,'Data Angt'!$A$5:$H$5810,8,FALSE)</f>
        <v>Tenaga Pengajar</v>
      </c>
      <c r="Y97" s="5" t="str">
        <f>VLOOKUP(T97,'Data Angt'!$A$5:$C$5808,3,FALSE)</f>
        <v>PBL</v>
      </c>
    </row>
    <row r="98" spans="1:25" x14ac:dyDescent="0.3">
      <c r="A98" s="8">
        <v>92</v>
      </c>
      <c r="B98" s="9" t="s">
        <v>1329</v>
      </c>
      <c r="C98" s="10" t="str">
        <f>VLOOKUP(B98,'Data Angt'!$A$5:$B$5809,2,FALSE)</f>
        <v>A519</v>
      </c>
      <c r="D98" s="11" t="s">
        <v>9881</v>
      </c>
      <c r="E98" s="12" t="s">
        <v>22278</v>
      </c>
      <c r="F98" s="13">
        <v>45862</v>
      </c>
      <c r="G98" s="14">
        <v>45922</v>
      </c>
      <c r="H98" s="15">
        <v>3100000</v>
      </c>
      <c r="I98" s="16">
        <v>10</v>
      </c>
      <c r="J98" s="17">
        <v>12</v>
      </c>
      <c r="K98" s="9" t="s">
        <v>9831</v>
      </c>
      <c r="L98" s="10" t="s">
        <v>22279</v>
      </c>
      <c r="M98" s="9" t="s">
        <v>9835</v>
      </c>
      <c r="N98" s="10" t="s">
        <v>9828</v>
      </c>
      <c r="O98" s="15">
        <v>2504300</v>
      </c>
      <c r="P98" s="145">
        <v>22162</v>
      </c>
      <c r="Q98" s="9"/>
      <c r="R98" s="146"/>
      <c r="T98" s="92" t="s">
        <v>1548</v>
      </c>
      <c r="U98">
        <v>1</v>
      </c>
      <c r="V98">
        <f>VLOOKUP(T98,'Data Angt'!$A$5:$F$5810,6,FALSE)</f>
        <v>69</v>
      </c>
      <c r="W98" s="5" t="str">
        <f t="shared" si="1"/>
        <v>KONSUMTIF</v>
      </c>
      <c r="X98" s="5" t="str">
        <f>VLOOKUP(T98,'Data Angt'!$A$5:$H$5810,8,FALSE)</f>
        <v>Pensiunan</v>
      </c>
      <c r="Y98" s="5" t="str">
        <f>VLOOKUP(T98,'Data Angt'!$A$5:$C$5808,3,FALSE)</f>
        <v>PBL</v>
      </c>
    </row>
    <row r="99" spans="1:25" x14ac:dyDescent="0.3">
      <c r="A99" s="8">
        <v>93</v>
      </c>
      <c r="B99" s="9" t="s">
        <v>1332</v>
      </c>
      <c r="C99" s="10" t="str">
        <f>VLOOKUP(B99,'Data Angt'!$A$5:$B$5809,2,FALSE)</f>
        <v>A520</v>
      </c>
      <c r="D99" s="11" t="s">
        <v>9826</v>
      </c>
      <c r="E99" s="12" t="s">
        <v>22280</v>
      </c>
      <c r="F99" s="13">
        <v>45910</v>
      </c>
      <c r="G99" s="14">
        <v>45910</v>
      </c>
      <c r="H99" s="15">
        <v>5000000</v>
      </c>
      <c r="I99" s="16">
        <v>6</v>
      </c>
      <c r="J99" s="17">
        <v>24</v>
      </c>
      <c r="K99" s="9" t="s">
        <v>9831</v>
      </c>
      <c r="L99" s="10" t="s">
        <v>22281</v>
      </c>
      <c r="M99" s="9" t="s">
        <v>9854</v>
      </c>
      <c r="N99" s="10" t="s">
        <v>17</v>
      </c>
      <c r="O99" s="15">
        <v>5000000</v>
      </c>
      <c r="P99" s="147">
        <v>0</v>
      </c>
      <c r="Q99" s="9"/>
      <c r="R99" s="146"/>
      <c r="T99" s="92" t="s">
        <v>1552</v>
      </c>
      <c r="U99">
        <v>1</v>
      </c>
      <c r="V99">
        <f>VLOOKUP(T99,'Data Angt'!$A$5:$F$5810,6,FALSE)</f>
        <v>73</v>
      </c>
      <c r="W99" s="5" t="str">
        <f t="shared" si="1"/>
        <v>PENDIDIKAN</v>
      </c>
      <c r="X99" s="5" t="str">
        <f>VLOOKUP(T99,'Data Angt'!$A$5:$H$5810,8,FALSE)</f>
        <v>Mengurus Rumah Tangga</v>
      </c>
      <c r="Y99" s="5" t="str">
        <f>VLOOKUP(T99,'Data Angt'!$A$5:$C$5808,3,FALSE)</f>
        <v>PBL</v>
      </c>
    </row>
    <row r="100" spans="1:25" x14ac:dyDescent="0.3">
      <c r="A100" s="8">
        <v>94</v>
      </c>
      <c r="B100" s="9" t="s">
        <v>1332</v>
      </c>
      <c r="C100" s="10" t="str">
        <f>VLOOKUP(B100,'Data Angt'!$A$5:$B$5809,2,FALSE)</f>
        <v>A520</v>
      </c>
      <c r="D100" s="11" t="s">
        <v>9829</v>
      </c>
      <c r="E100" s="12" t="s">
        <v>15487</v>
      </c>
      <c r="F100" s="13">
        <v>45708</v>
      </c>
      <c r="G100" s="14">
        <v>45920</v>
      </c>
      <c r="H100" s="15">
        <v>10000000</v>
      </c>
      <c r="I100" s="16">
        <v>24</v>
      </c>
      <c r="J100" s="17">
        <v>24</v>
      </c>
      <c r="K100" s="9" t="s">
        <v>9831</v>
      </c>
      <c r="L100" s="10" t="s">
        <v>15488</v>
      </c>
      <c r="M100" s="9" t="s">
        <v>10095</v>
      </c>
      <c r="N100" s="10" t="s">
        <v>9828</v>
      </c>
      <c r="O100" s="15">
        <v>7555900</v>
      </c>
      <c r="P100" s="145">
        <v>471561</v>
      </c>
      <c r="Q100" s="9" t="s">
        <v>22282</v>
      </c>
      <c r="R100" s="146" t="s">
        <v>22283</v>
      </c>
      <c r="T100" s="92" t="s">
        <v>1568</v>
      </c>
      <c r="U100">
        <v>1</v>
      </c>
      <c r="V100">
        <f>VLOOKUP(T100,'Data Angt'!$A$5:$F$5810,6,FALSE)</f>
        <v>69</v>
      </c>
      <c r="W100" s="5" t="str">
        <f t="shared" si="1"/>
        <v>KESEJAHTERAAN</v>
      </c>
      <c r="X100" s="5" t="str">
        <f>VLOOKUP(T100,'Data Angt'!$A$5:$H$5810,8,FALSE)</f>
        <v>Mengurus Rumah Tangga</v>
      </c>
      <c r="Y100" s="5" t="str">
        <f>VLOOKUP(T100,'Data Angt'!$A$5:$C$5808,3,FALSE)</f>
        <v>PBL</v>
      </c>
    </row>
    <row r="101" spans="1:25" x14ac:dyDescent="0.3">
      <c r="A101" s="8">
        <v>95</v>
      </c>
      <c r="B101" s="9" t="s">
        <v>1349</v>
      </c>
      <c r="C101" s="10" t="str">
        <f>VLOOKUP(B101,'Data Angt'!$A$5:$B$5809,2,FALSE)</f>
        <v>A527</v>
      </c>
      <c r="D101" s="11" t="s">
        <v>9826</v>
      </c>
      <c r="E101" s="12" t="s">
        <v>22284</v>
      </c>
      <c r="F101" s="13">
        <v>45908</v>
      </c>
      <c r="G101" s="14">
        <v>45908</v>
      </c>
      <c r="H101" s="15">
        <v>3000000</v>
      </c>
      <c r="I101" s="16">
        <v>12</v>
      </c>
      <c r="J101" s="17">
        <v>11.8</v>
      </c>
      <c r="K101" s="9" t="s">
        <v>9831</v>
      </c>
      <c r="L101" s="10" t="s">
        <v>22285</v>
      </c>
      <c r="M101" s="9"/>
      <c r="N101" s="10"/>
      <c r="O101" s="15">
        <v>3000000</v>
      </c>
      <c r="P101" s="147">
        <v>0</v>
      </c>
      <c r="Q101" s="9"/>
      <c r="R101" s="146"/>
      <c r="T101" s="92" t="s">
        <v>1576</v>
      </c>
      <c r="U101">
        <v>1</v>
      </c>
      <c r="V101">
        <f>VLOOKUP(T101,'Data Angt'!$A$5:$F$5810,6,FALSE)</f>
        <v>39</v>
      </c>
      <c r="W101" s="5" t="str">
        <f t="shared" si="1"/>
        <v>KONSUMTIF</v>
      </c>
      <c r="X101" s="5" t="str">
        <f>VLOOKUP(T101,'Data Angt'!$A$5:$H$5810,8,FALSE)</f>
        <v>Karyawan</v>
      </c>
      <c r="Y101" s="5" t="str">
        <f>VLOOKUP(T101,'Data Angt'!$A$5:$C$5808,3,FALSE)</f>
        <v>PBL</v>
      </c>
    </row>
    <row r="102" spans="1:25" x14ac:dyDescent="0.3">
      <c r="A102" s="8">
        <v>96</v>
      </c>
      <c r="B102" s="9" t="s">
        <v>1375</v>
      </c>
      <c r="C102" s="10" t="str">
        <f>VLOOKUP(B102,'Data Angt'!$A$5:$B$5809,2,FALSE)</f>
        <v>A539</v>
      </c>
      <c r="D102" s="11" t="s">
        <v>9829</v>
      </c>
      <c r="E102" s="12" t="s">
        <v>15489</v>
      </c>
      <c r="F102" s="13">
        <v>45646</v>
      </c>
      <c r="G102" s="14">
        <v>45922</v>
      </c>
      <c r="H102" s="15">
        <v>9000000</v>
      </c>
      <c r="I102" s="16">
        <v>12</v>
      </c>
      <c r="J102" s="17">
        <v>24</v>
      </c>
      <c r="K102" s="9" t="s">
        <v>9827</v>
      </c>
      <c r="L102" s="10" t="s">
        <v>15490</v>
      </c>
      <c r="M102" s="9" t="s">
        <v>10008</v>
      </c>
      <c r="N102" s="10" t="s">
        <v>17</v>
      </c>
      <c r="O102" s="15">
        <v>2250000</v>
      </c>
      <c r="P102" s="145">
        <v>405000</v>
      </c>
      <c r="Q102" s="9"/>
      <c r="R102" s="146"/>
      <c r="T102" s="92" t="s">
        <v>1581</v>
      </c>
      <c r="U102">
        <v>1</v>
      </c>
      <c r="V102">
        <f>VLOOKUP(T102,'Data Angt'!$A$5:$F$5810,6,FALSE)</f>
        <v>52</v>
      </c>
      <c r="W102" s="5" t="str">
        <f t="shared" si="1"/>
        <v>PENDIDIKAN</v>
      </c>
      <c r="X102" s="5" t="str">
        <f>VLOOKUP(T102,'Data Angt'!$A$5:$H$5810,8,FALSE)</f>
        <v>Aparatur/Pejabat Negara</v>
      </c>
      <c r="Y102" s="5" t="str">
        <f>VLOOKUP(T102,'Data Angt'!$A$5:$C$5808,3,FALSE)</f>
        <v>PBL</v>
      </c>
    </row>
    <row r="103" spans="1:25" x14ac:dyDescent="0.3">
      <c r="A103" s="8">
        <v>97</v>
      </c>
      <c r="B103" s="9" t="s">
        <v>1397</v>
      </c>
      <c r="C103" s="10" t="str">
        <f>VLOOKUP(B103,'Data Angt'!$A$5:$B$5809,2,FALSE)</f>
        <v>A547</v>
      </c>
      <c r="D103" s="11" t="s">
        <v>9829</v>
      </c>
      <c r="E103" s="12" t="s">
        <v>15491</v>
      </c>
      <c r="F103" s="13">
        <v>45372</v>
      </c>
      <c r="G103" s="14">
        <v>45930</v>
      </c>
      <c r="H103" s="15">
        <v>80000000</v>
      </c>
      <c r="I103" s="16">
        <v>36</v>
      </c>
      <c r="J103" s="17">
        <v>21</v>
      </c>
      <c r="K103" s="9" t="s">
        <v>9831</v>
      </c>
      <c r="L103" s="10" t="s">
        <v>15492</v>
      </c>
      <c r="M103" s="9" t="s">
        <v>9854</v>
      </c>
      <c r="N103" s="10" t="s">
        <v>17</v>
      </c>
      <c r="O103" s="15">
        <v>46231500</v>
      </c>
      <c r="P103" s="145">
        <v>7681982</v>
      </c>
      <c r="Q103" s="9" t="s">
        <v>22240</v>
      </c>
      <c r="R103" s="146" t="s">
        <v>22286</v>
      </c>
      <c r="T103" s="92" t="s">
        <v>1611</v>
      </c>
      <c r="U103">
        <v>1</v>
      </c>
      <c r="V103">
        <f>VLOOKUP(T103,'Data Angt'!$A$5:$F$5810,6,FALSE)</f>
        <v>52</v>
      </c>
      <c r="W103" s="5" t="str">
        <f t="shared" si="1"/>
        <v>KESEJAHTERAAN</v>
      </c>
      <c r="X103" s="5" t="str">
        <f>VLOOKUP(T103,'Data Angt'!$A$5:$H$5810,8,FALSE)</f>
        <v>Karyawan</v>
      </c>
      <c r="Y103" s="5" t="str">
        <f>VLOOKUP(T103,'Data Angt'!$A$5:$C$5808,3,FALSE)</f>
        <v>PBL</v>
      </c>
    </row>
    <row r="104" spans="1:25" x14ac:dyDescent="0.3">
      <c r="A104" s="8">
        <v>98</v>
      </c>
      <c r="B104" s="9" t="s">
        <v>1401</v>
      </c>
      <c r="C104" s="10" t="str">
        <f>VLOOKUP(B104,'Data Angt'!$A$5:$B$5809,2,FALSE)</f>
        <v>A548</v>
      </c>
      <c r="D104" s="11" t="s">
        <v>9833</v>
      </c>
      <c r="E104" s="12" t="s">
        <v>15493</v>
      </c>
      <c r="F104" s="13">
        <v>45775</v>
      </c>
      <c r="G104" s="14">
        <v>45908</v>
      </c>
      <c r="H104" s="15">
        <v>2000000</v>
      </c>
      <c r="I104" s="16">
        <v>10</v>
      </c>
      <c r="J104" s="17">
        <v>24</v>
      </c>
      <c r="K104" s="9" t="s">
        <v>9831</v>
      </c>
      <c r="L104" s="10" t="s">
        <v>15494</v>
      </c>
      <c r="M104" s="9" t="s">
        <v>15495</v>
      </c>
      <c r="N104" s="10" t="s">
        <v>9834</v>
      </c>
      <c r="O104" s="15">
        <v>1049500</v>
      </c>
      <c r="P104" s="145">
        <v>61124</v>
      </c>
      <c r="Q104" s="9"/>
      <c r="R104" s="146"/>
      <c r="T104" s="92" t="s">
        <v>1625</v>
      </c>
      <c r="U104">
        <v>1</v>
      </c>
      <c r="V104">
        <f>VLOOKUP(T104,'Data Angt'!$A$5:$F$5810,6,FALSE)</f>
        <v>56</v>
      </c>
      <c r="W104" s="5" t="str">
        <f t="shared" si="1"/>
        <v>PRODUKTIF</v>
      </c>
      <c r="X104" s="5" t="str">
        <f>VLOOKUP(T104,'Data Angt'!$A$5:$H$5810,8,FALSE)</f>
        <v>Wiraswasta</v>
      </c>
      <c r="Y104" s="5" t="str">
        <f>VLOOKUP(T104,'Data Angt'!$A$5:$C$5808,3,FALSE)</f>
        <v>PBL</v>
      </c>
    </row>
    <row r="105" spans="1:25" x14ac:dyDescent="0.3">
      <c r="A105" s="8">
        <v>99</v>
      </c>
      <c r="B105" s="9" t="s">
        <v>1405</v>
      </c>
      <c r="C105" s="10" t="str">
        <f>VLOOKUP(B105,'Data Angt'!$A$5:$B$5809,2,FALSE)</f>
        <v>A550</v>
      </c>
      <c r="D105" s="11" t="s">
        <v>9842</v>
      </c>
      <c r="E105" s="12" t="s">
        <v>9897</v>
      </c>
      <c r="F105" s="13">
        <v>44283</v>
      </c>
      <c r="G105" s="14">
        <v>45929</v>
      </c>
      <c r="H105" s="15">
        <v>170000000</v>
      </c>
      <c r="I105" s="16">
        <v>120</v>
      </c>
      <c r="J105" s="17">
        <v>11.4</v>
      </c>
      <c r="K105" s="9" t="s">
        <v>9831</v>
      </c>
      <c r="L105" s="10" t="s">
        <v>9898</v>
      </c>
      <c r="M105" s="9" t="s">
        <v>9855</v>
      </c>
      <c r="N105" s="10" t="s">
        <v>9830</v>
      </c>
      <c r="O105" s="15">
        <v>130385600</v>
      </c>
      <c r="P105" s="145">
        <v>28557775</v>
      </c>
      <c r="Q105" s="9"/>
      <c r="R105" s="146"/>
      <c r="T105" s="92" t="s">
        <v>1641</v>
      </c>
      <c r="U105">
        <v>1</v>
      </c>
      <c r="V105">
        <f>VLOOKUP(T105,'Data Angt'!$A$5:$F$5810,6,FALSE)</f>
        <v>52</v>
      </c>
      <c r="W105" s="5" t="str">
        <f t="shared" si="1"/>
        <v>PENDIDIKAN</v>
      </c>
      <c r="X105" s="5" t="str">
        <f>VLOOKUP(T105,'Data Angt'!$A$5:$H$5810,8,FALSE)</f>
        <v>Karyawan</v>
      </c>
      <c r="Y105" s="5" t="str">
        <f>VLOOKUP(T105,'Data Angt'!$A$5:$C$5808,3,FALSE)</f>
        <v>PBL</v>
      </c>
    </row>
    <row r="106" spans="1:25" x14ac:dyDescent="0.3">
      <c r="A106" s="8">
        <v>100</v>
      </c>
      <c r="B106" s="9" t="s">
        <v>1442</v>
      </c>
      <c r="C106" s="10" t="str">
        <f>VLOOKUP(B106,'Data Angt'!$A$5:$B$5809,2,FALSE)</f>
        <v>A566</v>
      </c>
      <c r="D106" s="11" t="s">
        <v>9842</v>
      </c>
      <c r="E106" s="12" t="s">
        <v>9899</v>
      </c>
      <c r="F106" s="13">
        <v>44284</v>
      </c>
      <c r="G106" s="14">
        <v>45926</v>
      </c>
      <c r="H106" s="15">
        <v>250000000</v>
      </c>
      <c r="I106" s="16">
        <v>84</v>
      </c>
      <c r="J106" s="17">
        <v>2.4</v>
      </c>
      <c r="K106" s="9" t="s">
        <v>9831</v>
      </c>
      <c r="L106" s="10" t="s">
        <v>9900</v>
      </c>
      <c r="M106" s="9" t="s">
        <v>9865</v>
      </c>
      <c r="N106" s="10" t="s">
        <v>9830</v>
      </c>
      <c r="O106" s="15">
        <v>186748200</v>
      </c>
      <c r="P106" s="145">
        <v>8053341</v>
      </c>
      <c r="Q106" s="9"/>
      <c r="R106" s="146"/>
      <c r="T106" s="92" t="s">
        <v>1654</v>
      </c>
      <c r="U106">
        <v>1</v>
      </c>
      <c r="V106">
        <f>VLOOKUP(T106,'Data Angt'!$A$5:$F$5810,6,FALSE)</f>
        <v>38</v>
      </c>
      <c r="W106" s="5" t="str">
        <f t="shared" si="1"/>
        <v>PRODUKTIF</v>
      </c>
      <c r="X106" s="5" t="str">
        <f>VLOOKUP(T106,'Data Angt'!$A$5:$H$5810,8,FALSE)</f>
        <v>Karyawan</v>
      </c>
      <c r="Y106" s="5" t="str">
        <f>VLOOKUP(T106,'Data Angt'!$A$5:$C$5808,3,FALSE)</f>
        <v>PBL</v>
      </c>
    </row>
    <row r="107" spans="1:25" x14ac:dyDescent="0.3">
      <c r="A107" s="8">
        <v>101</v>
      </c>
      <c r="B107" s="9" t="s">
        <v>1450</v>
      </c>
      <c r="C107" s="10" t="str">
        <f>VLOOKUP(B107,'Data Angt'!$A$5:$B$5809,2,FALSE)</f>
        <v>A569</v>
      </c>
      <c r="D107" s="11" t="s">
        <v>9829</v>
      </c>
      <c r="E107" s="12" t="s">
        <v>9901</v>
      </c>
      <c r="F107" s="13">
        <v>43873</v>
      </c>
      <c r="G107" s="14">
        <v>45693</v>
      </c>
      <c r="H107" s="15">
        <v>110000000</v>
      </c>
      <c r="I107" s="16">
        <v>60</v>
      </c>
      <c r="J107" s="17">
        <v>21</v>
      </c>
      <c r="K107" s="9" t="s">
        <v>9831</v>
      </c>
      <c r="L107" s="10" t="s">
        <v>9902</v>
      </c>
      <c r="M107" s="9" t="s">
        <v>9903</v>
      </c>
      <c r="N107" s="10" t="s">
        <v>9830</v>
      </c>
      <c r="O107" s="15">
        <v>74236200</v>
      </c>
      <c r="P107" s="145">
        <v>17258020</v>
      </c>
      <c r="Q107" s="9"/>
      <c r="R107" s="146"/>
      <c r="T107" s="92" t="s">
        <v>1672</v>
      </c>
      <c r="U107">
        <v>1</v>
      </c>
      <c r="V107">
        <f>VLOOKUP(T107,'Data Angt'!$A$5:$F$5810,6,FALSE)</f>
        <v>58</v>
      </c>
      <c r="W107" s="5" t="str">
        <f t="shared" si="1"/>
        <v>PRODUKTIF</v>
      </c>
      <c r="X107" s="5" t="str">
        <f>VLOOKUP(T107,'Data Angt'!$A$5:$H$5810,8,FALSE)</f>
        <v>Wiraswasta</v>
      </c>
      <c r="Y107" s="5" t="str">
        <f>VLOOKUP(T107,'Data Angt'!$A$5:$C$5808,3,FALSE)</f>
        <v>PBL</v>
      </c>
    </row>
    <row r="108" spans="1:25" x14ac:dyDescent="0.3">
      <c r="A108" s="8">
        <v>102</v>
      </c>
      <c r="B108" s="9" t="s">
        <v>1460</v>
      </c>
      <c r="C108" s="10" t="str">
        <f>VLOOKUP(B108,'Data Angt'!$A$5:$B$5809,2,FALSE)</f>
        <v>A573</v>
      </c>
      <c r="D108" s="11" t="s">
        <v>9829</v>
      </c>
      <c r="E108" s="12" t="s">
        <v>15496</v>
      </c>
      <c r="F108" s="13">
        <v>45700</v>
      </c>
      <c r="G108" s="14">
        <v>45908</v>
      </c>
      <c r="H108" s="15">
        <v>8000000</v>
      </c>
      <c r="I108" s="16">
        <v>18</v>
      </c>
      <c r="J108" s="17">
        <v>24</v>
      </c>
      <c r="K108" s="9" t="s">
        <v>9831</v>
      </c>
      <c r="L108" s="10" t="s">
        <v>15497</v>
      </c>
      <c r="M108" s="9" t="s">
        <v>9932</v>
      </c>
      <c r="N108" s="10" t="s">
        <v>9830</v>
      </c>
      <c r="O108" s="15">
        <v>5222200</v>
      </c>
      <c r="P108" s="145">
        <v>359287</v>
      </c>
      <c r="Q108" s="9"/>
      <c r="R108" s="146"/>
      <c r="T108" s="92" t="s">
        <v>1704</v>
      </c>
      <c r="U108">
        <v>1</v>
      </c>
      <c r="V108">
        <f>VLOOKUP(T108,'Data Angt'!$A$5:$F$5810,6,FALSE)</f>
        <v>70</v>
      </c>
      <c r="W108" s="5" t="str">
        <f t="shared" si="1"/>
        <v>KESEJAHTERAAN</v>
      </c>
      <c r="X108" s="5" t="str">
        <f>VLOOKUP(T108,'Data Angt'!$A$5:$H$5810,8,FALSE)</f>
        <v>Mengurus Rumah Tangga</v>
      </c>
      <c r="Y108" s="5" t="str">
        <f>VLOOKUP(T108,'Data Angt'!$A$5:$C$5808,3,FALSE)</f>
        <v>PBL</v>
      </c>
    </row>
    <row r="109" spans="1:25" x14ac:dyDescent="0.3">
      <c r="A109" s="8">
        <v>103</v>
      </c>
      <c r="B109" s="9" t="s">
        <v>1488</v>
      </c>
      <c r="C109" s="10" t="str">
        <f>VLOOKUP(B109,'Data Angt'!$A$5:$B$5809,2,FALSE)</f>
        <v>A585</v>
      </c>
      <c r="D109" s="11" t="s">
        <v>9833</v>
      </c>
      <c r="E109" s="12" t="s">
        <v>15498</v>
      </c>
      <c r="F109" s="13">
        <v>45773</v>
      </c>
      <c r="G109" s="14">
        <v>45926</v>
      </c>
      <c r="H109" s="15">
        <v>6000000</v>
      </c>
      <c r="I109" s="16">
        <v>12</v>
      </c>
      <c r="J109" s="17">
        <v>11.88</v>
      </c>
      <c r="K109" s="9" t="s">
        <v>9831</v>
      </c>
      <c r="L109" s="10" t="s">
        <v>15499</v>
      </c>
      <c r="M109" s="9" t="s">
        <v>15500</v>
      </c>
      <c r="N109" s="10" t="s">
        <v>9834</v>
      </c>
      <c r="O109" s="15">
        <v>3585900</v>
      </c>
      <c r="P109" s="145">
        <v>93712</v>
      </c>
      <c r="Q109" s="9"/>
      <c r="R109" s="146"/>
      <c r="T109" s="92" t="s">
        <v>1760</v>
      </c>
      <c r="U109">
        <v>1</v>
      </c>
      <c r="V109">
        <f>VLOOKUP(T109,'Data Angt'!$A$5:$F$5810,6,FALSE)</f>
        <v>69</v>
      </c>
      <c r="W109" s="5" t="str">
        <f t="shared" si="1"/>
        <v>KESEJAHTERAAN</v>
      </c>
      <c r="X109" s="5" t="str">
        <f>VLOOKUP(T109,'Data Angt'!$A$5:$H$5810,8,FALSE)</f>
        <v>Pensiunan</v>
      </c>
      <c r="Y109" s="5" t="str">
        <f>VLOOKUP(T109,'Data Angt'!$A$5:$C$5808,3,FALSE)</f>
        <v>PBL</v>
      </c>
    </row>
    <row r="110" spans="1:25" x14ac:dyDescent="0.3">
      <c r="A110" s="8">
        <v>104</v>
      </c>
      <c r="B110" s="9" t="s">
        <v>1539</v>
      </c>
      <c r="C110" s="10" t="str">
        <f>VLOOKUP(B110,'Data Angt'!$A$5:$B$5809,2,FALSE)</f>
        <v>A608</v>
      </c>
      <c r="D110" s="11" t="s">
        <v>9829</v>
      </c>
      <c r="E110" s="12" t="s">
        <v>9904</v>
      </c>
      <c r="F110" s="13">
        <v>45069</v>
      </c>
      <c r="G110" s="14">
        <v>45896</v>
      </c>
      <c r="H110" s="15">
        <v>28000000</v>
      </c>
      <c r="I110" s="16">
        <v>48</v>
      </c>
      <c r="J110" s="17">
        <v>21</v>
      </c>
      <c r="K110" s="9" t="s">
        <v>9831</v>
      </c>
      <c r="L110" s="10" t="s">
        <v>9905</v>
      </c>
      <c r="M110" s="9" t="s">
        <v>9906</v>
      </c>
      <c r="N110" s="10" t="s">
        <v>9834</v>
      </c>
      <c r="O110" s="15">
        <v>21604100</v>
      </c>
      <c r="P110" s="145">
        <v>3968696</v>
      </c>
      <c r="Q110" s="9" t="s">
        <v>22240</v>
      </c>
      <c r="R110" s="146" t="s">
        <v>22287</v>
      </c>
      <c r="T110" s="92" t="s">
        <v>1766</v>
      </c>
      <c r="U110">
        <v>1</v>
      </c>
      <c r="V110">
        <f>VLOOKUP(T110,'Data Angt'!$A$5:$F$5810,6,FALSE)</f>
        <v>56</v>
      </c>
      <c r="W110" s="5" t="str">
        <f t="shared" si="1"/>
        <v>PRODUKTIF</v>
      </c>
      <c r="X110" s="5" t="str">
        <f>VLOOKUP(T110,'Data Angt'!$A$5:$H$5810,8,FALSE)</f>
        <v>Wiraswasta</v>
      </c>
      <c r="Y110" s="5" t="str">
        <f>VLOOKUP(T110,'Data Angt'!$A$5:$C$5808,3,FALSE)</f>
        <v>PBL</v>
      </c>
    </row>
    <row r="111" spans="1:25" x14ac:dyDescent="0.3">
      <c r="A111" s="8">
        <v>105</v>
      </c>
      <c r="B111" s="9" t="s">
        <v>1548</v>
      </c>
      <c r="C111" s="10" t="str">
        <f>VLOOKUP(B111,'Data Angt'!$A$5:$B$5809,2,FALSE)</f>
        <v>A611</v>
      </c>
      <c r="D111" s="11" t="s">
        <v>9829</v>
      </c>
      <c r="E111" s="12" t="s">
        <v>9907</v>
      </c>
      <c r="F111" s="13">
        <v>43441</v>
      </c>
      <c r="G111" s="14">
        <v>45922</v>
      </c>
      <c r="H111" s="15">
        <v>75000000</v>
      </c>
      <c r="I111" s="16">
        <v>60</v>
      </c>
      <c r="J111" s="17">
        <v>21</v>
      </c>
      <c r="K111" s="9" t="s">
        <v>9831</v>
      </c>
      <c r="L111" s="10" t="s">
        <v>9908</v>
      </c>
      <c r="M111" s="9" t="s">
        <v>9909</v>
      </c>
      <c r="N111" s="10" t="s">
        <v>9828</v>
      </c>
      <c r="O111" s="15">
        <v>25776800</v>
      </c>
      <c r="P111" s="145">
        <v>28213145</v>
      </c>
      <c r="Q111" s="9"/>
      <c r="R111" s="146"/>
      <c r="T111" s="92" t="s">
        <v>1769</v>
      </c>
      <c r="U111">
        <v>1</v>
      </c>
      <c r="V111">
        <f>VLOOKUP(T111,'Data Angt'!$A$5:$F$5810,6,FALSE)</f>
        <v>43</v>
      </c>
      <c r="W111" s="5" t="str">
        <f t="shared" si="1"/>
        <v>KESEJAHTERAAN</v>
      </c>
      <c r="X111" s="5" t="str">
        <f>VLOOKUP(T111,'Data Angt'!$A$5:$H$5810,8,FALSE)</f>
        <v>Karyawan</v>
      </c>
      <c r="Y111" s="5" t="str">
        <f>VLOOKUP(T111,'Data Angt'!$A$5:$C$5808,3,FALSE)</f>
        <v>PBL</v>
      </c>
    </row>
    <row r="112" spans="1:25" x14ac:dyDescent="0.3">
      <c r="A112" s="8">
        <v>106</v>
      </c>
      <c r="B112" s="9" t="s">
        <v>1552</v>
      </c>
      <c r="C112" s="10" t="str">
        <f>VLOOKUP(B112,'Data Angt'!$A$5:$B$5809,2,FALSE)</f>
        <v>A613</v>
      </c>
      <c r="D112" s="11" t="s">
        <v>9829</v>
      </c>
      <c r="E112" s="12" t="s">
        <v>15501</v>
      </c>
      <c r="F112" s="13">
        <v>45705</v>
      </c>
      <c r="G112" s="14">
        <v>45916</v>
      </c>
      <c r="H112" s="15">
        <v>6000000</v>
      </c>
      <c r="I112" s="16">
        <v>24</v>
      </c>
      <c r="J112" s="17">
        <v>24</v>
      </c>
      <c r="K112" s="9" t="s">
        <v>9827</v>
      </c>
      <c r="L112" s="10" t="s">
        <v>15502</v>
      </c>
      <c r="M112" s="9" t="s">
        <v>10008</v>
      </c>
      <c r="N112" s="10" t="s">
        <v>17</v>
      </c>
      <c r="O112" s="15">
        <v>4250000</v>
      </c>
      <c r="P112" s="145">
        <v>275625</v>
      </c>
      <c r="Q112" s="9"/>
      <c r="R112" s="146"/>
      <c r="T112" s="92" t="s">
        <v>1895</v>
      </c>
      <c r="U112">
        <v>2</v>
      </c>
      <c r="V112">
        <f>VLOOKUP(T112,'Data Angt'!$A$5:$F$5810,6,FALSE)</f>
        <v>66</v>
      </c>
      <c r="W112" s="5">
        <f t="shared" si="1"/>
        <v>0</v>
      </c>
      <c r="X112" s="5" t="str">
        <f>VLOOKUP(T112,'Data Angt'!$A$5:$H$5810,8,FALSE)</f>
        <v>Wiraswasta</v>
      </c>
      <c r="Y112" s="5" t="str">
        <f>VLOOKUP(T112,'Data Angt'!$A$5:$C$5808,3,FALSE)</f>
        <v>PBL</v>
      </c>
    </row>
    <row r="113" spans="1:25" x14ac:dyDescent="0.3">
      <c r="A113" s="8">
        <v>107</v>
      </c>
      <c r="B113" s="9" t="s">
        <v>1568</v>
      </c>
      <c r="C113" s="10" t="str">
        <f>VLOOKUP(B113,'Data Angt'!$A$5:$B$5809,2,FALSE)</f>
        <v>A621</v>
      </c>
      <c r="D113" s="11" t="s">
        <v>9829</v>
      </c>
      <c r="E113" s="12" t="s">
        <v>15503</v>
      </c>
      <c r="F113" s="13">
        <v>45637</v>
      </c>
      <c r="G113" s="14">
        <v>45700</v>
      </c>
      <c r="H113" s="15">
        <v>35000000</v>
      </c>
      <c r="I113" s="16">
        <v>35</v>
      </c>
      <c r="J113" s="17">
        <v>21</v>
      </c>
      <c r="K113" s="9" t="s">
        <v>9831</v>
      </c>
      <c r="L113" s="10" t="s">
        <v>15504</v>
      </c>
      <c r="M113" s="9" t="s">
        <v>10348</v>
      </c>
      <c r="N113" s="10" t="s">
        <v>9830</v>
      </c>
      <c r="O113" s="15">
        <v>33520600</v>
      </c>
      <c r="P113" s="145">
        <v>454574</v>
      </c>
      <c r="Q113" s="9" t="s">
        <v>22220</v>
      </c>
      <c r="R113" s="146" t="s">
        <v>22288</v>
      </c>
      <c r="T113" s="92" t="s">
        <v>1944</v>
      </c>
      <c r="U113">
        <v>1</v>
      </c>
      <c r="V113">
        <f>VLOOKUP(T113,'Data Angt'!$A$5:$F$5810,6,FALSE)</f>
        <v>49</v>
      </c>
      <c r="W113" s="5" t="str">
        <f t="shared" si="1"/>
        <v>PRODUKTIF</v>
      </c>
      <c r="X113" s="5" t="str">
        <f>VLOOKUP(T113,'Data Angt'!$A$5:$H$5810,8,FALSE)</f>
        <v>Wiraswasta</v>
      </c>
      <c r="Y113" s="5" t="str">
        <f>VLOOKUP(T113,'Data Angt'!$A$5:$C$5808,3,FALSE)</f>
        <v>PBL</v>
      </c>
    </row>
    <row r="114" spans="1:25" x14ac:dyDescent="0.3">
      <c r="A114" s="8">
        <v>108</v>
      </c>
      <c r="B114" s="9" t="s">
        <v>1576</v>
      </c>
      <c r="C114" s="10" t="str">
        <f>VLOOKUP(B114,'Data Angt'!$A$5:$B$5809,2,FALSE)</f>
        <v>A624</v>
      </c>
      <c r="D114" s="11" t="s">
        <v>9829</v>
      </c>
      <c r="E114" s="12" t="s">
        <v>9910</v>
      </c>
      <c r="F114" s="13">
        <v>44954</v>
      </c>
      <c r="G114" s="14">
        <v>45916</v>
      </c>
      <c r="H114" s="15">
        <v>91500000</v>
      </c>
      <c r="I114" s="16">
        <v>120</v>
      </c>
      <c r="J114" s="17">
        <v>21</v>
      </c>
      <c r="K114" s="9" t="s">
        <v>9831</v>
      </c>
      <c r="L114" s="10" t="s">
        <v>9911</v>
      </c>
      <c r="M114" s="9" t="s">
        <v>9912</v>
      </c>
      <c r="N114" s="10" t="s">
        <v>9828</v>
      </c>
      <c r="O114" s="15">
        <v>81825300</v>
      </c>
      <c r="P114" s="145">
        <v>18324778</v>
      </c>
      <c r="Q114" s="9" t="s">
        <v>22289</v>
      </c>
      <c r="R114" s="146" t="s">
        <v>22290</v>
      </c>
      <c r="T114" s="92" t="s">
        <v>1966</v>
      </c>
      <c r="U114">
        <v>1</v>
      </c>
      <c r="V114">
        <f>VLOOKUP(T114,'Data Angt'!$A$5:$F$5810,6,FALSE)</f>
        <v>57</v>
      </c>
      <c r="W114" s="5" t="str">
        <f t="shared" si="1"/>
        <v>PRODUKTIF</v>
      </c>
      <c r="X114" s="5" t="str">
        <f>VLOOKUP(T114,'Data Angt'!$A$5:$H$5810,8,FALSE)</f>
        <v>Karyawan</v>
      </c>
      <c r="Y114" s="5" t="str">
        <f>VLOOKUP(T114,'Data Angt'!$A$5:$C$5808,3,FALSE)</f>
        <v>PBL</v>
      </c>
    </row>
    <row r="115" spans="1:25" x14ac:dyDescent="0.3">
      <c r="A115" s="8">
        <v>109</v>
      </c>
      <c r="B115" s="9" t="s">
        <v>1581</v>
      </c>
      <c r="C115" s="10" t="str">
        <f>VLOOKUP(B115,'Data Angt'!$A$5:$B$5809,2,FALSE)</f>
        <v>A626</v>
      </c>
      <c r="D115" s="11" t="s">
        <v>9826</v>
      </c>
      <c r="E115" s="12" t="s">
        <v>22291</v>
      </c>
      <c r="F115" s="13">
        <v>45876</v>
      </c>
      <c r="G115" s="14">
        <v>45903</v>
      </c>
      <c r="H115" s="15">
        <v>19000000</v>
      </c>
      <c r="I115" s="16">
        <v>36</v>
      </c>
      <c r="J115" s="17">
        <v>11.4</v>
      </c>
      <c r="K115" s="9" t="s">
        <v>9831</v>
      </c>
      <c r="L115" s="10" t="s">
        <v>22292</v>
      </c>
      <c r="M115" s="9" t="s">
        <v>9964</v>
      </c>
      <c r="N115" s="10" t="s">
        <v>17</v>
      </c>
      <c r="O115" s="15">
        <v>18554800</v>
      </c>
      <c r="P115" s="145">
        <v>67687</v>
      </c>
      <c r="Q115" s="9"/>
      <c r="R115" s="146"/>
      <c r="T115" s="92" t="s">
        <v>2009</v>
      </c>
      <c r="U115">
        <v>1</v>
      </c>
      <c r="V115">
        <f>VLOOKUP(T115,'Data Angt'!$A$5:$F$5810,6,FALSE)</f>
        <v>29</v>
      </c>
      <c r="W115" s="5" t="str">
        <f t="shared" si="1"/>
        <v>PRODUKTIF</v>
      </c>
      <c r="X115" s="5" t="str">
        <f>VLOOKUP(T115,'Data Angt'!$A$5:$H$5810,8,FALSE)</f>
        <v>Lain-Lain</v>
      </c>
      <c r="Y115" s="5" t="str">
        <f>VLOOKUP(T115,'Data Angt'!$A$5:$C$5808,3,FALSE)</f>
        <v>PBL</v>
      </c>
    </row>
    <row r="116" spans="1:25" x14ac:dyDescent="0.3">
      <c r="A116" s="8">
        <v>110</v>
      </c>
      <c r="B116" s="9" t="s">
        <v>1611</v>
      </c>
      <c r="C116" s="10" t="str">
        <f>VLOOKUP(B116,'Data Angt'!$A$5:$B$5809,2,FALSE)</f>
        <v>A639</v>
      </c>
      <c r="D116" s="11" t="s">
        <v>9829</v>
      </c>
      <c r="E116" s="12" t="s">
        <v>9913</v>
      </c>
      <c r="F116" s="13">
        <v>44267</v>
      </c>
      <c r="G116" s="14">
        <v>44594</v>
      </c>
      <c r="H116" s="15">
        <v>80000000</v>
      </c>
      <c r="I116" s="16">
        <v>48</v>
      </c>
      <c r="J116" s="17">
        <v>21</v>
      </c>
      <c r="K116" s="9" t="s">
        <v>9827</v>
      </c>
      <c r="L116" s="10" t="s">
        <v>9914</v>
      </c>
      <c r="M116" s="9" t="s">
        <v>9880</v>
      </c>
      <c r="N116" s="10" t="s">
        <v>9830</v>
      </c>
      <c r="O116" s="15">
        <v>66666400</v>
      </c>
      <c r="P116" s="145">
        <v>3893885</v>
      </c>
      <c r="Q116" s="9" t="s">
        <v>22218</v>
      </c>
      <c r="R116" s="146" t="s">
        <v>22293</v>
      </c>
      <c r="T116" s="92" t="s">
        <v>2012</v>
      </c>
      <c r="U116">
        <v>2</v>
      </c>
      <c r="V116">
        <f>VLOOKUP(T116,'Data Angt'!$A$5:$F$5810,6,FALSE)</f>
        <v>48</v>
      </c>
      <c r="W116" s="5" t="str">
        <f t="shared" si="1"/>
        <v>PENDIDIKAN</v>
      </c>
      <c r="X116" s="5" t="str">
        <f>VLOOKUP(T116,'Data Angt'!$A$5:$H$5810,8,FALSE)</f>
        <v>Karyawan</v>
      </c>
      <c r="Y116" s="5" t="str">
        <f>VLOOKUP(T116,'Data Angt'!$A$5:$C$5808,3,FALSE)</f>
        <v>PBL</v>
      </c>
    </row>
    <row r="117" spans="1:25" x14ac:dyDescent="0.3">
      <c r="A117" s="8">
        <v>111</v>
      </c>
      <c r="B117" s="9" t="s">
        <v>1625</v>
      </c>
      <c r="C117" s="10" t="str">
        <f>VLOOKUP(B117,'Data Angt'!$A$5:$B$5809,2,FALSE)</f>
        <v>A647</v>
      </c>
      <c r="D117" s="11" t="s">
        <v>9833</v>
      </c>
      <c r="E117" s="12" t="s">
        <v>15505</v>
      </c>
      <c r="F117" s="13">
        <v>45785</v>
      </c>
      <c r="G117" s="14">
        <v>45908</v>
      </c>
      <c r="H117" s="15">
        <v>25000000</v>
      </c>
      <c r="I117" s="16">
        <v>24</v>
      </c>
      <c r="J117" s="17">
        <v>21</v>
      </c>
      <c r="K117" s="9" t="s">
        <v>9827</v>
      </c>
      <c r="L117" s="10" t="s">
        <v>15506</v>
      </c>
      <c r="M117" s="9" t="s">
        <v>9977</v>
      </c>
      <c r="N117" s="10" t="s">
        <v>9834</v>
      </c>
      <c r="O117" s="15">
        <v>20833200</v>
      </c>
      <c r="P117" s="145">
        <v>615298</v>
      </c>
      <c r="Q117" s="9"/>
      <c r="R117" s="146"/>
      <c r="T117" s="92" t="s">
        <v>2028</v>
      </c>
      <c r="U117">
        <v>1</v>
      </c>
      <c r="V117">
        <f>VLOOKUP(T117,'Data Angt'!$A$5:$F$5810,6,FALSE)</f>
        <v>40</v>
      </c>
      <c r="W117" s="5" t="str">
        <f t="shared" si="1"/>
        <v>KESEJAHTERAAN</v>
      </c>
      <c r="X117" s="5" t="str">
        <f>VLOOKUP(T117,'Data Angt'!$A$5:$H$5810,8,FALSE)</f>
        <v>Aparatur/Pejabat Negara</v>
      </c>
      <c r="Y117" s="5" t="str">
        <f>VLOOKUP(T117,'Data Angt'!$A$5:$C$5808,3,FALSE)</f>
        <v>PBL</v>
      </c>
    </row>
    <row r="118" spans="1:25" x14ac:dyDescent="0.3">
      <c r="A118" s="8">
        <v>112</v>
      </c>
      <c r="B118" s="9" t="s">
        <v>1641</v>
      </c>
      <c r="C118" s="10" t="str">
        <f>VLOOKUP(B118,'Data Angt'!$A$5:$B$5809,2,FALSE)</f>
        <v>A652</v>
      </c>
      <c r="D118" s="11" t="s">
        <v>9829</v>
      </c>
      <c r="E118" s="12" t="s">
        <v>15507</v>
      </c>
      <c r="F118" s="13">
        <v>45813</v>
      </c>
      <c r="G118" s="14">
        <v>45905</v>
      </c>
      <c r="H118" s="15">
        <v>12000000</v>
      </c>
      <c r="I118" s="16">
        <v>30</v>
      </c>
      <c r="J118" s="17">
        <v>24</v>
      </c>
      <c r="K118" s="9" t="s">
        <v>9831</v>
      </c>
      <c r="L118" s="10" t="s">
        <v>15508</v>
      </c>
      <c r="M118" s="9" t="s">
        <v>9854</v>
      </c>
      <c r="N118" s="10" t="s">
        <v>17</v>
      </c>
      <c r="O118" s="15">
        <v>11094800</v>
      </c>
      <c r="P118" s="145">
        <v>263324</v>
      </c>
      <c r="Q118" s="9" t="s">
        <v>22254</v>
      </c>
      <c r="R118" s="146" t="s">
        <v>22294</v>
      </c>
      <c r="T118" s="92" t="s">
        <v>2032</v>
      </c>
      <c r="U118">
        <v>1</v>
      </c>
      <c r="V118">
        <f>VLOOKUP(T118,'Data Angt'!$A$5:$F$5810,6,FALSE)</f>
        <v>38</v>
      </c>
      <c r="W118" s="5" t="str">
        <f t="shared" si="1"/>
        <v>KESEJAHTERAAN</v>
      </c>
      <c r="X118" s="5" t="str">
        <f>VLOOKUP(T118,'Data Angt'!$A$5:$H$5810,8,FALSE)</f>
        <v>Karyawan</v>
      </c>
      <c r="Y118" s="5" t="str">
        <f>VLOOKUP(T118,'Data Angt'!$A$5:$C$5808,3,FALSE)</f>
        <v>PBL</v>
      </c>
    </row>
    <row r="119" spans="1:25" x14ac:dyDescent="0.3">
      <c r="A119" s="8">
        <v>113</v>
      </c>
      <c r="B119" s="9" t="s">
        <v>1654</v>
      </c>
      <c r="C119" s="10" t="str">
        <f>VLOOKUP(B119,'Data Angt'!$A$5:$B$5809,2,FALSE)</f>
        <v>A657</v>
      </c>
      <c r="D119" s="11" t="s">
        <v>9826</v>
      </c>
      <c r="E119" s="12" t="s">
        <v>15509</v>
      </c>
      <c r="F119" s="13">
        <v>45799</v>
      </c>
      <c r="G119" s="14">
        <v>45922</v>
      </c>
      <c r="H119" s="15">
        <v>3000000</v>
      </c>
      <c r="I119" s="16">
        <v>10</v>
      </c>
      <c r="J119" s="17">
        <v>24</v>
      </c>
      <c r="K119" s="9" t="s">
        <v>9831</v>
      </c>
      <c r="L119" s="10" t="s">
        <v>15510</v>
      </c>
      <c r="M119" s="9" t="s">
        <v>10100</v>
      </c>
      <c r="N119" s="10" t="s">
        <v>9834</v>
      </c>
      <c r="O119" s="15">
        <v>1870900</v>
      </c>
      <c r="P119" s="145">
        <v>77587</v>
      </c>
      <c r="Q119" s="9"/>
      <c r="R119" s="146"/>
      <c r="T119" s="92" t="s">
        <v>2045</v>
      </c>
      <c r="U119">
        <v>1</v>
      </c>
      <c r="V119">
        <f>VLOOKUP(T119,'Data Angt'!$A$5:$F$5810,6,FALSE)</f>
        <v>36</v>
      </c>
      <c r="W119" s="5" t="str">
        <f t="shared" si="1"/>
        <v>KESEJAHTERAAN</v>
      </c>
      <c r="X119" s="5" t="str">
        <f>VLOOKUP(T119,'Data Angt'!$A$5:$H$5810,8,FALSE)</f>
        <v>Karyawan</v>
      </c>
      <c r="Y119" s="5" t="str">
        <f>VLOOKUP(T119,'Data Angt'!$A$5:$C$5808,3,FALSE)</f>
        <v>PBL</v>
      </c>
    </row>
    <row r="120" spans="1:25" x14ac:dyDescent="0.3">
      <c r="A120" s="8">
        <v>114</v>
      </c>
      <c r="B120" s="9" t="s">
        <v>1654</v>
      </c>
      <c r="C120" s="10" t="str">
        <f>VLOOKUP(B120,'Data Angt'!$A$5:$B$5809,2,FALSE)</f>
        <v>A657</v>
      </c>
      <c r="D120" s="11" t="s">
        <v>9829</v>
      </c>
      <c r="E120" s="12" t="s">
        <v>15511</v>
      </c>
      <c r="F120" s="13">
        <v>45358</v>
      </c>
      <c r="G120" s="14">
        <v>45913</v>
      </c>
      <c r="H120" s="15">
        <v>11000000</v>
      </c>
      <c r="I120" s="16">
        <v>36</v>
      </c>
      <c r="J120" s="17">
        <v>24</v>
      </c>
      <c r="K120" s="9" t="s">
        <v>9831</v>
      </c>
      <c r="L120" s="10" t="s">
        <v>15512</v>
      </c>
      <c r="M120" s="9" t="s">
        <v>9832</v>
      </c>
      <c r="N120" s="10" t="s">
        <v>17</v>
      </c>
      <c r="O120" s="15">
        <v>6470200</v>
      </c>
      <c r="P120" s="145">
        <v>1214621</v>
      </c>
      <c r="Q120" s="9"/>
      <c r="R120" s="146"/>
      <c r="T120" s="92" t="s">
        <v>2051</v>
      </c>
      <c r="U120">
        <v>1</v>
      </c>
      <c r="V120">
        <f>VLOOKUP(T120,'Data Angt'!$A$5:$F$5810,6,FALSE)</f>
        <v>43</v>
      </c>
      <c r="W120" s="5" t="str">
        <f t="shared" si="1"/>
        <v>PENDIDIKAN</v>
      </c>
      <c r="X120" s="5" t="str">
        <f>VLOOKUP(T120,'Data Angt'!$A$5:$H$5810,8,FALSE)</f>
        <v>Karyawan</v>
      </c>
      <c r="Y120" s="5" t="str">
        <f>VLOOKUP(T120,'Data Angt'!$A$5:$C$5808,3,FALSE)</f>
        <v>PBL</v>
      </c>
    </row>
    <row r="121" spans="1:25" x14ac:dyDescent="0.3">
      <c r="A121" s="8">
        <v>115</v>
      </c>
      <c r="B121" s="9" t="s">
        <v>1672</v>
      </c>
      <c r="C121" s="10" t="str">
        <f>VLOOKUP(B121,'Data Angt'!$A$5:$B$5809,2,FALSE)</f>
        <v>A666</v>
      </c>
      <c r="D121" s="11" t="s">
        <v>9833</v>
      </c>
      <c r="E121" s="12" t="s">
        <v>15513</v>
      </c>
      <c r="F121" s="13">
        <v>45600</v>
      </c>
      <c r="G121" s="14">
        <v>45904</v>
      </c>
      <c r="H121" s="15">
        <v>2000000</v>
      </c>
      <c r="I121" s="16">
        <v>12</v>
      </c>
      <c r="J121" s="17">
        <v>11.88</v>
      </c>
      <c r="K121" s="9" t="s">
        <v>9831</v>
      </c>
      <c r="L121" s="10" t="s">
        <v>15514</v>
      </c>
      <c r="M121" s="9" t="s">
        <v>9862</v>
      </c>
      <c r="N121" s="10" t="s">
        <v>9834</v>
      </c>
      <c r="O121" s="15">
        <v>350200</v>
      </c>
      <c r="P121" s="145">
        <v>47322</v>
      </c>
      <c r="Q121" s="9"/>
      <c r="R121" s="146"/>
      <c r="T121" s="92" t="s">
        <v>2067</v>
      </c>
      <c r="U121">
        <v>1</v>
      </c>
      <c r="V121">
        <f>VLOOKUP(T121,'Data Angt'!$A$5:$F$5810,6,FALSE)</f>
        <v>54</v>
      </c>
      <c r="W121" s="5" t="str">
        <f t="shared" si="1"/>
        <v>KONSUMTIF</v>
      </c>
      <c r="X121" s="5" t="str">
        <f>VLOOKUP(T121,'Data Angt'!$A$5:$H$5810,8,FALSE)</f>
        <v>Karyawan</v>
      </c>
      <c r="Y121" s="5" t="str">
        <f>VLOOKUP(T121,'Data Angt'!$A$5:$C$5808,3,FALSE)</f>
        <v>PBL</v>
      </c>
    </row>
    <row r="122" spans="1:25" x14ac:dyDescent="0.3">
      <c r="A122" s="8">
        <v>116</v>
      </c>
      <c r="B122" s="9" t="s">
        <v>1704</v>
      </c>
      <c r="C122" s="10" t="str">
        <f>VLOOKUP(B122,'Data Angt'!$A$5:$B$5809,2,FALSE)</f>
        <v>A682</v>
      </c>
      <c r="D122" s="11" t="s">
        <v>9829</v>
      </c>
      <c r="E122" s="12" t="s">
        <v>22295</v>
      </c>
      <c r="F122" s="13">
        <v>45867</v>
      </c>
      <c r="G122" s="14">
        <v>45929</v>
      </c>
      <c r="H122" s="15">
        <v>10000000</v>
      </c>
      <c r="I122" s="16">
        <v>24</v>
      </c>
      <c r="J122" s="17">
        <v>24</v>
      </c>
      <c r="K122" s="9" t="s">
        <v>9831</v>
      </c>
      <c r="L122" s="10" t="s">
        <v>22296</v>
      </c>
      <c r="M122" s="9" t="s">
        <v>9880</v>
      </c>
      <c r="N122" s="10" t="s">
        <v>9830</v>
      </c>
      <c r="O122" s="15">
        <v>9335900</v>
      </c>
      <c r="P122" s="145">
        <v>147562</v>
      </c>
      <c r="Q122" s="9" t="s">
        <v>22197</v>
      </c>
      <c r="R122" s="146" t="s">
        <v>22297</v>
      </c>
      <c r="T122" s="92" t="s">
        <v>2155</v>
      </c>
      <c r="U122">
        <v>1</v>
      </c>
      <c r="V122">
        <f>VLOOKUP(T122,'Data Angt'!$A$5:$F$5810,6,FALSE)</f>
        <v>47</v>
      </c>
      <c r="W122" s="5" t="str">
        <f t="shared" si="1"/>
        <v>KONSUMTIF</v>
      </c>
      <c r="X122" s="5" t="str">
        <f>VLOOKUP(T122,'Data Angt'!$A$5:$H$5810,8,FALSE)</f>
        <v>Aparatur/Pejabat Negara</v>
      </c>
      <c r="Y122" s="5" t="str">
        <f>VLOOKUP(T122,'Data Angt'!$A$5:$C$5808,3,FALSE)</f>
        <v>PBL</v>
      </c>
    </row>
    <row r="123" spans="1:25" x14ac:dyDescent="0.3">
      <c r="A123" s="8">
        <v>117</v>
      </c>
      <c r="B123" s="9" t="s">
        <v>1760</v>
      </c>
      <c r="C123" s="10" t="str">
        <f>VLOOKUP(B123,'Data Angt'!$A$5:$B$5809,2,FALSE)</f>
        <v>A710</v>
      </c>
      <c r="D123" s="11" t="s">
        <v>9829</v>
      </c>
      <c r="E123" s="12" t="s">
        <v>22298</v>
      </c>
      <c r="F123" s="13">
        <v>45843</v>
      </c>
      <c r="G123" s="14">
        <v>45905</v>
      </c>
      <c r="H123" s="15">
        <v>11000000</v>
      </c>
      <c r="I123" s="16">
        <v>24</v>
      </c>
      <c r="J123" s="17">
        <v>24</v>
      </c>
      <c r="K123" s="9" t="s">
        <v>9831</v>
      </c>
      <c r="L123" s="10" t="s">
        <v>22299</v>
      </c>
      <c r="M123" s="9" t="s">
        <v>22300</v>
      </c>
      <c r="N123" s="10" t="s">
        <v>9830</v>
      </c>
      <c r="O123" s="15">
        <v>10269600</v>
      </c>
      <c r="P123" s="145">
        <v>162300</v>
      </c>
      <c r="Q123" s="9"/>
      <c r="R123" s="146"/>
      <c r="T123" s="92" t="s">
        <v>2159</v>
      </c>
      <c r="U123">
        <v>1</v>
      </c>
      <c r="V123">
        <f>VLOOKUP(T123,'Data Angt'!$A$5:$F$5810,6,FALSE)</f>
        <v>59</v>
      </c>
      <c r="W123" s="5" t="str">
        <f t="shared" si="1"/>
        <v>KESEJAHTERAAN</v>
      </c>
      <c r="X123" s="5" t="str">
        <f>VLOOKUP(T123,'Data Angt'!$A$5:$H$5810,8,FALSE)</f>
        <v>Wiraswasta</v>
      </c>
      <c r="Y123" s="5" t="str">
        <f>VLOOKUP(T123,'Data Angt'!$A$5:$C$5808,3,FALSE)</f>
        <v>PBL</v>
      </c>
    </row>
    <row r="124" spans="1:25" x14ac:dyDescent="0.3">
      <c r="A124" s="8">
        <v>118</v>
      </c>
      <c r="B124" s="9" t="s">
        <v>1766</v>
      </c>
      <c r="C124" s="10" t="str">
        <f>VLOOKUP(B124,'Data Angt'!$A$5:$B$5809,2,FALSE)</f>
        <v>A712</v>
      </c>
      <c r="D124" s="11" t="s">
        <v>9826</v>
      </c>
      <c r="E124" s="12" t="s">
        <v>15515</v>
      </c>
      <c r="F124" s="13">
        <v>45824</v>
      </c>
      <c r="G124" s="14">
        <v>45915</v>
      </c>
      <c r="H124" s="15">
        <v>5000000</v>
      </c>
      <c r="I124" s="16">
        <v>12</v>
      </c>
      <c r="J124" s="17">
        <v>24</v>
      </c>
      <c r="K124" s="9" t="s">
        <v>9831</v>
      </c>
      <c r="L124" s="10" t="s">
        <v>15516</v>
      </c>
      <c r="M124" s="9" t="s">
        <v>9862</v>
      </c>
      <c r="N124" s="10" t="s">
        <v>9834</v>
      </c>
      <c r="O124" s="15">
        <v>3859200</v>
      </c>
      <c r="P124" s="145">
        <v>104100</v>
      </c>
      <c r="Q124" s="9"/>
      <c r="R124" s="146"/>
      <c r="T124" s="92" t="s">
        <v>2172</v>
      </c>
      <c r="U124">
        <v>2</v>
      </c>
      <c r="V124">
        <f>VLOOKUP(T124,'Data Angt'!$A$5:$F$5810,6,FALSE)</f>
        <v>31</v>
      </c>
      <c r="W124" s="5" t="str">
        <f t="shared" si="1"/>
        <v>KESEJAHTERAAN</v>
      </c>
      <c r="X124" s="5" t="str">
        <f>VLOOKUP(T124,'Data Angt'!$A$5:$H$5810,8,FALSE)</f>
        <v>Karyawan</v>
      </c>
      <c r="Y124" s="5" t="str">
        <f>VLOOKUP(T124,'Data Angt'!$A$5:$C$5808,3,FALSE)</f>
        <v>PBL</v>
      </c>
    </row>
    <row r="125" spans="1:25" x14ac:dyDescent="0.3">
      <c r="A125" s="8">
        <v>119</v>
      </c>
      <c r="B125" s="9" t="s">
        <v>1766</v>
      </c>
      <c r="C125" s="10" t="str">
        <f>VLOOKUP(B125,'Data Angt'!$A$5:$B$5809,2,FALSE)</f>
        <v>A712</v>
      </c>
      <c r="D125" s="11" t="s">
        <v>9829</v>
      </c>
      <c r="E125" s="12" t="s">
        <v>9916</v>
      </c>
      <c r="F125" s="13">
        <v>45251</v>
      </c>
      <c r="G125" s="14">
        <v>45915</v>
      </c>
      <c r="H125" s="15">
        <v>25000000</v>
      </c>
      <c r="I125" s="16">
        <v>48</v>
      </c>
      <c r="J125" s="17">
        <v>21</v>
      </c>
      <c r="K125" s="9" t="s">
        <v>9831</v>
      </c>
      <c r="L125" s="10" t="s">
        <v>9917</v>
      </c>
      <c r="M125" s="9" t="s">
        <v>9918</v>
      </c>
      <c r="N125" s="10" t="s">
        <v>9834</v>
      </c>
      <c r="O125" s="15">
        <v>16060100</v>
      </c>
      <c r="P125" s="145">
        <v>3034683</v>
      </c>
      <c r="Q125" s="9" t="s">
        <v>22197</v>
      </c>
      <c r="R125" s="146" t="s">
        <v>22301</v>
      </c>
      <c r="T125" s="92" t="s">
        <v>2208</v>
      </c>
      <c r="U125">
        <v>1</v>
      </c>
      <c r="V125">
        <f>VLOOKUP(T125,'Data Angt'!$A$5:$F$5810,6,FALSE)</f>
        <v>54</v>
      </c>
      <c r="W125" s="5" t="str">
        <f t="shared" si="1"/>
        <v>KONSUMTIF</v>
      </c>
      <c r="X125" s="5" t="str">
        <f>VLOOKUP(T125,'Data Angt'!$A$5:$H$5810,8,FALSE)</f>
        <v>Karyawan</v>
      </c>
      <c r="Y125" s="5" t="str">
        <f>VLOOKUP(T125,'Data Angt'!$A$5:$C$5808,3,FALSE)</f>
        <v>PBL</v>
      </c>
    </row>
    <row r="126" spans="1:25" x14ac:dyDescent="0.3">
      <c r="A126" s="8">
        <v>120</v>
      </c>
      <c r="B126" s="9" t="s">
        <v>1769</v>
      </c>
      <c r="C126" s="10" t="str">
        <f>VLOOKUP(B126,'Data Angt'!$A$5:$B$5809,2,FALSE)</f>
        <v>A713</v>
      </c>
      <c r="D126" s="11" t="s">
        <v>9842</v>
      </c>
      <c r="E126" s="12" t="s">
        <v>9919</v>
      </c>
      <c r="F126" s="13">
        <v>43679</v>
      </c>
      <c r="G126" s="14">
        <v>45926</v>
      </c>
      <c r="H126" s="15">
        <v>175000000</v>
      </c>
      <c r="I126" s="16">
        <v>120</v>
      </c>
      <c r="J126" s="17">
        <v>2.4</v>
      </c>
      <c r="K126" s="9" t="s">
        <v>9831</v>
      </c>
      <c r="L126" s="10" t="s">
        <v>9920</v>
      </c>
      <c r="M126" s="9" t="s">
        <v>9855</v>
      </c>
      <c r="N126" s="10" t="s">
        <v>9830</v>
      </c>
      <c r="O126" s="15">
        <v>73579900</v>
      </c>
      <c r="P126" s="145">
        <v>6911718</v>
      </c>
      <c r="Q126" s="9"/>
      <c r="R126" s="146"/>
      <c r="T126" s="92" t="s">
        <v>2209</v>
      </c>
      <c r="U126">
        <v>1</v>
      </c>
      <c r="V126">
        <f>VLOOKUP(T126,'Data Angt'!$A$5:$F$5810,6,FALSE)</f>
        <v>50</v>
      </c>
      <c r="W126" s="5" t="str">
        <f t="shared" si="1"/>
        <v>KESEJAHTERAAN</v>
      </c>
      <c r="X126" s="5" t="str">
        <f>VLOOKUP(T126,'Data Angt'!$A$5:$H$5810,8,FALSE)</f>
        <v>Karyawan</v>
      </c>
      <c r="Y126" s="5" t="str">
        <f>VLOOKUP(T126,'Data Angt'!$A$5:$C$5808,3,FALSE)</f>
        <v>PBL</v>
      </c>
    </row>
    <row r="127" spans="1:25" x14ac:dyDescent="0.3">
      <c r="A127" s="8">
        <v>121</v>
      </c>
      <c r="B127" s="9" t="s">
        <v>1895</v>
      </c>
      <c r="C127" s="10" t="str">
        <f>VLOOKUP(B127,'Data Angt'!$A$5:$B$5809,2,FALSE)</f>
        <v>A766</v>
      </c>
      <c r="D127" s="11" t="s">
        <v>9829</v>
      </c>
      <c r="E127" s="12" t="s">
        <v>9921</v>
      </c>
      <c r="F127" s="13">
        <v>42377</v>
      </c>
      <c r="G127" s="14">
        <v>45887</v>
      </c>
      <c r="H127" s="15">
        <v>100000000</v>
      </c>
      <c r="I127" s="16">
        <v>60</v>
      </c>
      <c r="J127" s="17">
        <v>0</v>
      </c>
      <c r="K127" s="9" t="s">
        <v>9827</v>
      </c>
      <c r="L127" s="10"/>
      <c r="M127" s="9"/>
      <c r="N127" s="10"/>
      <c r="O127" s="15">
        <v>34857400</v>
      </c>
      <c r="P127" s="145">
        <v>14850000</v>
      </c>
      <c r="Q127" s="9"/>
      <c r="R127" s="146"/>
      <c r="T127" s="92" t="s">
        <v>2225</v>
      </c>
      <c r="U127">
        <v>1</v>
      </c>
      <c r="V127">
        <f>VLOOKUP(T127,'Data Angt'!$A$5:$F$5810,6,FALSE)</f>
        <v>47</v>
      </c>
      <c r="W127" s="5" t="str">
        <f t="shared" si="1"/>
        <v>PRODUKTIF</v>
      </c>
      <c r="X127" s="5" t="str">
        <f>VLOOKUP(T127,'Data Angt'!$A$5:$H$5810,8,FALSE)</f>
        <v>Aparatur/Pejabat Negara</v>
      </c>
      <c r="Y127" s="5" t="str">
        <f>VLOOKUP(T127,'Data Angt'!$A$5:$C$5808,3,FALSE)</f>
        <v>PBL</v>
      </c>
    </row>
    <row r="128" spans="1:25" x14ac:dyDescent="0.3">
      <c r="A128" s="8">
        <v>122</v>
      </c>
      <c r="B128" s="9" t="s">
        <v>1944</v>
      </c>
      <c r="C128" s="10" t="str">
        <f>VLOOKUP(B128,'Data Angt'!$A$5:$B$5809,2,FALSE)</f>
        <v>A788</v>
      </c>
      <c r="D128" s="11" t="s">
        <v>9833</v>
      </c>
      <c r="E128" s="12" t="s">
        <v>15517</v>
      </c>
      <c r="F128" s="13">
        <v>45632</v>
      </c>
      <c r="G128" s="14">
        <v>45908</v>
      </c>
      <c r="H128" s="15">
        <v>40000000</v>
      </c>
      <c r="I128" s="16">
        <v>48</v>
      </c>
      <c r="J128" s="17">
        <v>21</v>
      </c>
      <c r="K128" s="9" t="s">
        <v>9831</v>
      </c>
      <c r="L128" s="10" t="s">
        <v>15518</v>
      </c>
      <c r="M128" s="9" t="s">
        <v>9862</v>
      </c>
      <c r="N128" s="10" t="s">
        <v>9834</v>
      </c>
      <c r="O128" s="15">
        <v>34798500</v>
      </c>
      <c r="P128" s="145">
        <v>2230048</v>
      </c>
      <c r="Q128" s="9" t="s">
        <v>22197</v>
      </c>
      <c r="R128" s="146" t="s">
        <v>22302</v>
      </c>
      <c r="T128" s="92" t="s">
        <v>2233</v>
      </c>
      <c r="U128">
        <v>1</v>
      </c>
      <c r="V128">
        <f>VLOOKUP(T128,'Data Angt'!$A$5:$F$5810,6,FALSE)</f>
        <v>53</v>
      </c>
      <c r="W128" s="5" t="str">
        <f t="shared" si="1"/>
        <v>PRODUKTIF</v>
      </c>
      <c r="X128" s="5" t="str">
        <f>VLOOKUP(T128,'Data Angt'!$A$5:$H$5810,8,FALSE)</f>
        <v>Karyawan</v>
      </c>
      <c r="Y128" s="5" t="str">
        <f>VLOOKUP(T128,'Data Angt'!$A$5:$C$5808,3,FALSE)</f>
        <v>PBL</v>
      </c>
    </row>
    <row r="129" spans="1:25" x14ac:dyDescent="0.3">
      <c r="A129" s="8">
        <v>123</v>
      </c>
      <c r="B129" s="9" t="s">
        <v>1966</v>
      </c>
      <c r="C129" s="10" t="str">
        <f>VLOOKUP(B129,'Data Angt'!$A$5:$B$5809,2,FALSE)</f>
        <v>A800</v>
      </c>
      <c r="D129" s="11" t="s">
        <v>9826</v>
      </c>
      <c r="E129" s="12" t="s">
        <v>15519</v>
      </c>
      <c r="F129" s="13">
        <v>45401</v>
      </c>
      <c r="G129" s="14">
        <v>45922</v>
      </c>
      <c r="H129" s="15">
        <v>20000000</v>
      </c>
      <c r="I129" s="16">
        <v>36</v>
      </c>
      <c r="J129" s="17">
        <v>11.4</v>
      </c>
      <c r="K129" s="9" t="s">
        <v>9831</v>
      </c>
      <c r="L129" s="10" t="s">
        <v>15520</v>
      </c>
      <c r="M129" s="9" t="s">
        <v>15521</v>
      </c>
      <c r="N129" s="10" t="s">
        <v>9834</v>
      </c>
      <c r="O129" s="15">
        <v>11399600</v>
      </c>
      <c r="P129" s="145">
        <v>973422</v>
      </c>
      <c r="Q129" s="9"/>
      <c r="R129" s="146"/>
      <c r="T129" s="92" t="s">
        <v>2264</v>
      </c>
      <c r="U129">
        <v>1</v>
      </c>
      <c r="V129">
        <f>VLOOKUP(T129,'Data Angt'!$A$5:$F$5810,6,FALSE)</f>
        <v>56</v>
      </c>
      <c r="W129" s="5" t="str">
        <f t="shared" si="1"/>
        <v>KESEHATAN</v>
      </c>
      <c r="X129" s="5" t="str">
        <f>VLOOKUP(T129,'Data Angt'!$A$5:$H$5810,8,FALSE)</f>
        <v>Mengurus Rumah Tangga</v>
      </c>
      <c r="Y129" s="5" t="str">
        <f>VLOOKUP(T129,'Data Angt'!$A$5:$C$5808,3,FALSE)</f>
        <v>PBL</v>
      </c>
    </row>
    <row r="130" spans="1:25" x14ac:dyDescent="0.3">
      <c r="A130" s="8">
        <v>124</v>
      </c>
      <c r="B130" s="9" t="s">
        <v>2009</v>
      </c>
      <c r="C130" s="10" t="str">
        <f>VLOOKUP(B130,'Data Angt'!$A$5:$B$5809,2,FALSE)</f>
        <v>A822</v>
      </c>
      <c r="D130" s="11" t="s">
        <v>9833</v>
      </c>
      <c r="E130" s="12" t="s">
        <v>9924</v>
      </c>
      <c r="F130" s="13">
        <v>44580</v>
      </c>
      <c r="G130" s="14">
        <v>45353</v>
      </c>
      <c r="H130" s="15">
        <v>45000000</v>
      </c>
      <c r="I130" s="16">
        <v>24</v>
      </c>
      <c r="J130" s="17">
        <v>21</v>
      </c>
      <c r="K130" s="9" t="s">
        <v>9827</v>
      </c>
      <c r="L130" s="10" t="s">
        <v>9925</v>
      </c>
      <c r="M130" s="9" t="s">
        <v>9926</v>
      </c>
      <c r="N130" s="10" t="s">
        <v>9834</v>
      </c>
      <c r="O130" s="15">
        <v>29967200</v>
      </c>
      <c r="P130" s="145">
        <v>2030396</v>
      </c>
      <c r="Q130" s="9" t="s">
        <v>22197</v>
      </c>
      <c r="R130" s="146" t="s">
        <v>22303</v>
      </c>
      <c r="T130" s="92" t="s">
        <v>2266</v>
      </c>
      <c r="U130">
        <v>1</v>
      </c>
      <c r="V130">
        <f>VLOOKUP(T130,'Data Angt'!$A$5:$F$5810,6,FALSE)</f>
        <v>46</v>
      </c>
      <c r="W130" s="5" t="str">
        <f t="shared" si="1"/>
        <v>KESEJAHTERAAN</v>
      </c>
      <c r="X130" s="5" t="str">
        <f>VLOOKUP(T130,'Data Angt'!$A$5:$H$5810,8,FALSE)</f>
        <v>Aparatur/Pejabat Negara</v>
      </c>
      <c r="Y130" s="5" t="str">
        <f>VLOOKUP(T130,'Data Angt'!$A$5:$C$5808,3,FALSE)</f>
        <v>PBL</v>
      </c>
    </row>
    <row r="131" spans="1:25" x14ac:dyDescent="0.3">
      <c r="A131" s="8">
        <v>125</v>
      </c>
      <c r="B131" s="9" t="s">
        <v>2012</v>
      </c>
      <c r="C131" s="10" t="str">
        <f>VLOOKUP(B131,'Data Angt'!$A$5:$B$5809,2,FALSE)</f>
        <v>A823</v>
      </c>
      <c r="D131" s="11" t="s">
        <v>9829</v>
      </c>
      <c r="E131" s="12" t="s">
        <v>22304</v>
      </c>
      <c r="F131" s="13">
        <v>45899</v>
      </c>
      <c r="G131" s="14">
        <v>45926</v>
      </c>
      <c r="H131" s="15">
        <v>7000000</v>
      </c>
      <c r="I131" s="16">
        <v>24</v>
      </c>
      <c r="J131" s="17">
        <v>24</v>
      </c>
      <c r="K131" s="9" t="s">
        <v>9831</v>
      </c>
      <c r="L131" s="10" t="s">
        <v>22305</v>
      </c>
      <c r="M131" s="9" t="s">
        <v>9832</v>
      </c>
      <c r="N131" s="10" t="s">
        <v>17</v>
      </c>
      <c r="O131" s="15">
        <v>6769900</v>
      </c>
      <c r="P131" s="145">
        <v>52500</v>
      </c>
      <c r="Q131" s="9"/>
      <c r="R131" s="146"/>
      <c r="T131" s="92" t="s">
        <v>2280</v>
      </c>
      <c r="U131">
        <v>1</v>
      </c>
      <c r="V131">
        <f>VLOOKUP(T131,'Data Angt'!$A$5:$F$5810,6,FALSE)</f>
        <v>56</v>
      </c>
      <c r="W131" s="5" t="str">
        <f t="shared" si="1"/>
        <v>KONSUMTIF</v>
      </c>
      <c r="X131" s="5" t="str">
        <f>VLOOKUP(T131,'Data Angt'!$A$5:$H$5810,8,FALSE)</f>
        <v>Pensiunan</v>
      </c>
      <c r="Y131" s="5" t="str">
        <f>VLOOKUP(T131,'Data Angt'!$A$5:$C$5808,3,FALSE)</f>
        <v>PBL</v>
      </c>
    </row>
    <row r="132" spans="1:25" x14ac:dyDescent="0.3">
      <c r="A132" s="8">
        <v>126</v>
      </c>
      <c r="B132" s="9" t="s">
        <v>2028</v>
      </c>
      <c r="C132" s="10" t="str">
        <f>VLOOKUP(B132,'Data Angt'!$A$5:$B$5809,2,FALSE)</f>
        <v>A832</v>
      </c>
      <c r="D132" s="11" t="s">
        <v>9842</v>
      </c>
      <c r="E132" s="12" t="s">
        <v>9927</v>
      </c>
      <c r="F132" s="13">
        <v>43818</v>
      </c>
      <c r="G132" s="14">
        <v>45926</v>
      </c>
      <c r="H132" s="15">
        <v>140000000</v>
      </c>
      <c r="I132" s="16">
        <v>120</v>
      </c>
      <c r="J132" s="17">
        <v>11.4</v>
      </c>
      <c r="K132" s="9" t="s">
        <v>9831</v>
      </c>
      <c r="L132" s="10" t="s">
        <v>9928</v>
      </c>
      <c r="M132" s="9" t="s">
        <v>9929</v>
      </c>
      <c r="N132" s="10" t="s">
        <v>9830</v>
      </c>
      <c r="O132" s="15">
        <v>80377200</v>
      </c>
      <c r="P132" s="145">
        <v>27917988</v>
      </c>
      <c r="Q132" s="9"/>
      <c r="R132" s="146"/>
      <c r="T132" s="92" t="s">
        <v>2283</v>
      </c>
      <c r="U132">
        <v>1</v>
      </c>
      <c r="V132">
        <f>VLOOKUP(T132,'Data Angt'!$A$5:$F$5810,6,FALSE)</f>
        <v>39</v>
      </c>
      <c r="W132" s="5" t="str">
        <f t="shared" si="1"/>
        <v>PENDIDIKAN</v>
      </c>
      <c r="X132" s="5" t="str">
        <f>VLOOKUP(T132,'Data Angt'!$A$5:$H$5810,8,FALSE)</f>
        <v>Mengurus Rumah Tangga</v>
      </c>
      <c r="Y132" s="5" t="str">
        <f>VLOOKUP(T132,'Data Angt'!$A$5:$C$5808,3,FALSE)</f>
        <v>PBL</v>
      </c>
    </row>
    <row r="133" spans="1:25" x14ac:dyDescent="0.3">
      <c r="A133" s="8">
        <v>127</v>
      </c>
      <c r="B133" s="9" t="s">
        <v>2032</v>
      </c>
      <c r="C133" s="10" t="str">
        <f>VLOOKUP(B133,'Data Angt'!$A$5:$B$5809,2,FALSE)</f>
        <v>A834</v>
      </c>
      <c r="D133" s="11" t="s">
        <v>9842</v>
      </c>
      <c r="E133" s="12" t="s">
        <v>9930</v>
      </c>
      <c r="F133" s="13">
        <v>44110</v>
      </c>
      <c r="G133" s="14">
        <v>45925</v>
      </c>
      <c r="H133" s="15">
        <v>175000000</v>
      </c>
      <c r="I133" s="16">
        <v>120</v>
      </c>
      <c r="J133" s="17">
        <v>2.4</v>
      </c>
      <c r="K133" s="9" t="s">
        <v>9831</v>
      </c>
      <c r="L133" s="10" t="s">
        <v>9931</v>
      </c>
      <c r="M133" s="9" t="s">
        <v>9932</v>
      </c>
      <c r="N133" s="10" t="s">
        <v>9830</v>
      </c>
      <c r="O133" s="15">
        <v>197582100</v>
      </c>
      <c r="P133" s="145">
        <v>7184496</v>
      </c>
      <c r="Q133" s="9" t="s">
        <v>22197</v>
      </c>
      <c r="R133" s="146" t="s">
        <v>22306</v>
      </c>
      <c r="T133" s="92" t="s">
        <v>2317</v>
      </c>
      <c r="U133">
        <v>1</v>
      </c>
      <c r="V133">
        <f>VLOOKUP(T133,'Data Angt'!$A$5:$F$5810,6,FALSE)</f>
        <v>54</v>
      </c>
      <c r="W133" s="5" t="str">
        <f t="shared" si="1"/>
        <v>KESEJAHTERAAN</v>
      </c>
      <c r="X133" s="5" t="str">
        <f>VLOOKUP(T133,'Data Angt'!$A$5:$H$5810,8,FALSE)</f>
        <v>Wiraswasta</v>
      </c>
      <c r="Y133" s="5" t="str">
        <f>VLOOKUP(T133,'Data Angt'!$A$5:$C$5808,3,FALSE)</f>
        <v>PBL</v>
      </c>
    </row>
    <row r="134" spans="1:25" x14ac:dyDescent="0.3">
      <c r="A134" s="8">
        <v>128</v>
      </c>
      <c r="B134" s="9" t="s">
        <v>2032</v>
      </c>
      <c r="C134" s="10" t="str">
        <f>VLOOKUP(B134,'Data Angt'!$A$5:$B$5809,2,FALSE)</f>
        <v>A834</v>
      </c>
      <c r="D134" s="11" t="s">
        <v>9826</v>
      </c>
      <c r="E134" s="12" t="s">
        <v>15522</v>
      </c>
      <c r="F134" s="13">
        <v>45616</v>
      </c>
      <c r="G134" s="14">
        <v>45925</v>
      </c>
      <c r="H134" s="15">
        <v>5000000</v>
      </c>
      <c r="I134" s="16">
        <v>24</v>
      </c>
      <c r="J134" s="17">
        <v>11.9</v>
      </c>
      <c r="K134" s="9" t="s">
        <v>9831</v>
      </c>
      <c r="L134" s="10" t="s">
        <v>15523</v>
      </c>
      <c r="M134" s="9" t="s">
        <v>15524</v>
      </c>
      <c r="N134" s="10" t="s">
        <v>9828</v>
      </c>
      <c r="O134" s="15">
        <v>3059300</v>
      </c>
      <c r="P134" s="145">
        <v>154236</v>
      </c>
      <c r="Q134" s="9"/>
      <c r="R134" s="146"/>
      <c r="T134" s="92" t="s">
        <v>2331</v>
      </c>
      <c r="U134">
        <v>1</v>
      </c>
      <c r="V134">
        <f>VLOOKUP(T134,'Data Angt'!$A$5:$F$5810,6,FALSE)</f>
        <v>69</v>
      </c>
      <c r="W134" s="5" t="str">
        <f t="shared" si="1"/>
        <v>KESEJAHTERAAN</v>
      </c>
      <c r="X134" s="5" t="str">
        <f>VLOOKUP(T134,'Data Angt'!$A$5:$H$5810,8,FALSE)</f>
        <v>Pensiunan</v>
      </c>
      <c r="Y134" s="5" t="str">
        <f>VLOOKUP(T134,'Data Angt'!$A$5:$C$5808,3,FALSE)</f>
        <v>PBL</v>
      </c>
    </row>
    <row r="135" spans="1:25" x14ac:dyDescent="0.3">
      <c r="A135" s="8">
        <v>129</v>
      </c>
      <c r="B135" s="9" t="s">
        <v>2045</v>
      </c>
      <c r="C135" s="10" t="str">
        <f>VLOOKUP(B135,'Data Angt'!$A$5:$B$5809,2,FALSE)</f>
        <v>A841</v>
      </c>
      <c r="D135" s="11" t="s">
        <v>9842</v>
      </c>
      <c r="E135" s="12" t="s">
        <v>9933</v>
      </c>
      <c r="F135" s="13">
        <v>44200</v>
      </c>
      <c r="G135" s="14">
        <v>45904</v>
      </c>
      <c r="H135" s="15">
        <v>163000000</v>
      </c>
      <c r="I135" s="16">
        <v>120</v>
      </c>
      <c r="J135" s="17">
        <v>11.4</v>
      </c>
      <c r="K135" s="9" t="s">
        <v>9831</v>
      </c>
      <c r="L135" s="10" t="s">
        <v>9934</v>
      </c>
      <c r="M135" s="9" t="s">
        <v>9935</v>
      </c>
      <c r="N135" s="10" t="s">
        <v>9830</v>
      </c>
      <c r="O135" s="15">
        <v>109076300</v>
      </c>
      <c r="P135" s="145">
        <v>27708998</v>
      </c>
      <c r="Q135" s="9"/>
      <c r="R135" s="146"/>
      <c r="T135" s="92" t="s">
        <v>2342</v>
      </c>
      <c r="U135">
        <v>1</v>
      </c>
      <c r="V135">
        <f>VLOOKUP(T135,'Data Angt'!$A$5:$F$5810,6,FALSE)</f>
        <v>49</v>
      </c>
      <c r="W135" s="5" t="str">
        <f t="shared" ref="W135:W198" si="2">VLOOKUP(T135,$B$7:$N$1869,13,FALSE)</f>
        <v>PENDIDIKAN</v>
      </c>
      <c r="X135" s="5" t="str">
        <f>VLOOKUP(T135,'Data Angt'!$A$5:$H$5810,8,FALSE)</f>
        <v>Wiraswasta</v>
      </c>
      <c r="Y135" s="5" t="str">
        <f>VLOOKUP(T135,'Data Angt'!$A$5:$C$5808,3,FALSE)</f>
        <v>PBL</v>
      </c>
    </row>
    <row r="136" spans="1:25" x14ac:dyDescent="0.3">
      <c r="A136" s="8">
        <v>130</v>
      </c>
      <c r="B136" s="9" t="s">
        <v>2051</v>
      </c>
      <c r="C136" s="10" t="str">
        <f>VLOOKUP(B136,'Data Angt'!$A$5:$B$5809,2,FALSE)</f>
        <v>A843</v>
      </c>
      <c r="D136" s="11" t="s">
        <v>9829</v>
      </c>
      <c r="E136" s="12" t="s">
        <v>9936</v>
      </c>
      <c r="F136" s="13">
        <v>45119</v>
      </c>
      <c r="G136" s="14">
        <v>45902</v>
      </c>
      <c r="H136" s="15">
        <v>15000000</v>
      </c>
      <c r="I136" s="16">
        <v>30</v>
      </c>
      <c r="J136" s="17">
        <v>24</v>
      </c>
      <c r="K136" s="9" t="s">
        <v>9827</v>
      </c>
      <c r="L136" s="10" t="s">
        <v>9937</v>
      </c>
      <c r="M136" s="9" t="s">
        <v>9938</v>
      </c>
      <c r="N136" s="10" t="s">
        <v>17</v>
      </c>
      <c r="O136" s="15">
        <v>2000000</v>
      </c>
      <c r="P136" s="145">
        <v>1706250</v>
      </c>
      <c r="Q136" s="9" t="s">
        <v>22189</v>
      </c>
      <c r="R136" s="146" t="s">
        <v>22307</v>
      </c>
      <c r="T136" s="92" t="s">
        <v>2347</v>
      </c>
      <c r="U136">
        <v>1</v>
      </c>
      <c r="V136">
        <f>VLOOKUP(T136,'Data Angt'!$A$5:$F$5810,6,FALSE)</f>
        <v>55</v>
      </c>
      <c r="W136" s="5" t="str">
        <f t="shared" si="2"/>
        <v>PRODUKTIF</v>
      </c>
      <c r="X136" s="5" t="str">
        <f>VLOOKUP(T136,'Data Angt'!$A$5:$H$5810,8,FALSE)</f>
        <v>Belum/Tidak Bekerja</v>
      </c>
      <c r="Y136" s="5" t="str">
        <f>VLOOKUP(T136,'Data Angt'!$A$5:$C$5808,3,FALSE)</f>
        <v>PBL</v>
      </c>
    </row>
    <row r="137" spans="1:25" x14ac:dyDescent="0.3">
      <c r="A137" s="8">
        <v>131</v>
      </c>
      <c r="B137" s="9" t="s">
        <v>2051</v>
      </c>
      <c r="C137" s="10" t="str">
        <f>VLOOKUP(B137,'Data Angt'!$A$5:$B$5809,2,FALSE)</f>
        <v>A843</v>
      </c>
      <c r="D137" s="11" t="s">
        <v>9826</v>
      </c>
      <c r="E137" s="12" t="s">
        <v>22308</v>
      </c>
      <c r="F137" s="13">
        <v>45904</v>
      </c>
      <c r="G137" s="14">
        <v>45904</v>
      </c>
      <c r="H137" s="15">
        <v>5000000</v>
      </c>
      <c r="I137" s="16">
        <v>10</v>
      </c>
      <c r="J137" s="17">
        <v>24</v>
      </c>
      <c r="K137" s="9" t="s">
        <v>9831</v>
      </c>
      <c r="L137" s="10" t="s">
        <v>22309</v>
      </c>
      <c r="M137" s="9" t="s">
        <v>22310</v>
      </c>
      <c r="N137" s="10" t="s">
        <v>9834</v>
      </c>
      <c r="O137" s="15">
        <v>5000000</v>
      </c>
      <c r="P137" s="147">
        <v>0</v>
      </c>
      <c r="Q137" s="9"/>
      <c r="R137" s="146"/>
      <c r="T137" s="92" t="s">
        <v>2372</v>
      </c>
      <c r="U137">
        <v>1</v>
      </c>
      <c r="V137">
        <f>VLOOKUP(T137,'Data Angt'!$A$5:$F$5810,6,FALSE)</f>
        <v>47</v>
      </c>
      <c r="W137" s="5" t="str">
        <f t="shared" si="2"/>
        <v>PENDIDIKAN</v>
      </c>
      <c r="X137" s="5" t="str">
        <f>VLOOKUP(T137,'Data Angt'!$A$5:$H$5810,8,FALSE)</f>
        <v>Karyawan</v>
      </c>
      <c r="Y137" s="5" t="str">
        <f>VLOOKUP(T137,'Data Angt'!$A$5:$C$5808,3,FALSE)</f>
        <v>PBL</v>
      </c>
    </row>
    <row r="138" spans="1:25" x14ac:dyDescent="0.3">
      <c r="A138" s="8">
        <v>132</v>
      </c>
      <c r="B138" s="9" t="s">
        <v>2067</v>
      </c>
      <c r="C138" s="10" t="str">
        <f>VLOOKUP(B138,'Data Angt'!$A$5:$B$5809,2,FALSE)</f>
        <v>A849</v>
      </c>
      <c r="D138" s="11" t="s">
        <v>9829</v>
      </c>
      <c r="E138" s="12" t="s">
        <v>22311</v>
      </c>
      <c r="F138" s="13">
        <v>45892</v>
      </c>
      <c r="G138" s="14">
        <v>45920</v>
      </c>
      <c r="H138" s="15">
        <v>16000000</v>
      </c>
      <c r="I138" s="16">
        <v>12</v>
      </c>
      <c r="J138" s="17">
        <v>24</v>
      </c>
      <c r="K138" s="9" t="s">
        <v>9831</v>
      </c>
      <c r="L138" s="10" t="s">
        <v>22312</v>
      </c>
      <c r="M138" s="9" t="s">
        <v>22313</v>
      </c>
      <c r="N138" s="10" t="s">
        <v>9828</v>
      </c>
      <c r="O138" s="15">
        <v>14807000</v>
      </c>
      <c r="P138" s="145">
        <v>120000</v>
      </c>
      <c r="Q138" s="9" t="s">
        <v>22189</v>
      </c>
      <c r="R138" s="146" t="s">
        <v>22314</v>
      </c>
      <c r="T138" s="92" t="s">
        <v>2411</v>
      </c>
      <c r="U138">
        <v>1</v>
      </c>
      <c r="V138">
        <f>VLOOKUP(T138,'Data Angt'!$A$5:$F$5810,6,FALSE)</f>
        <v>55</v>
      </c>
      <c r="W138" s="5" t="str">
        <f t="shared" si="2"/>
        <v>KONSUMTIF</v>
      </c>
      <c r="X138" s="5" t="str">
        <f>VLOOKUP(T138,'Data Angt'!$A$5:$H$5810,8,FALSE)</f>
        <v>Mengurus Rumah Tangga</v>
      </c>
      <c r="Y138" s="5" t="str">
        <f>VLOOKUP(T138,'Data Angt'!$A$5:$C$5808,3,FALSE)</f>
        <v>PBL</v>
      </c>
    </row>
    <row r="139" spans="1:25" x14ac:dyDescent="0.3">
      <c r="A139" s="8">
        <v>133</v>
      </c>
      <c r="B139" s="9" t="s">
        <v>2155</v>
      </c>
      <c r="C139" s="10" t="str">
        <f>VLOOKUP(B139,'Data Angt'!$A$5:$B$5809,2,FALSE)</f>
        <v>A889</v>
      </c>
      <c r="D139" s="11" t="s">
        <v>9829</v>
      </c>
      <c r="E139" s="12" t="s">
        <v>15525</v>
      </c>
      <c r="F139" s="13">
        <v>45688</v>
      </c>
      <c r="G139" s="14">
        <v>45920</v>
      </c>
      <c r="H139" s="15">
        <v>45000000</v>
      </c>
      <c r="I139" s="16">
        <v>24</v>
      </c>
      <c r="J139" s="17">
        <v>21</v>
      </c>
      <c r="K139" s="9" t="s">
        <v>9831</v>
      </c>
      <c r="L139" s="10" t="s">
        <v>15526</v>
      </c>
      <c r="M139" s="9" t="s">
        <v>15527</v>
      </c>
      <c r="N139" s="10" t="s">
        <v>9828</v>
      </c>
      <c r="O139" s="15">
        <v>32027400</v>
      </c>
      <c r="P139" s="145">
        <v>2072472</v>
      </c>
      <c r="Q139" s="9" t="s">
        <v>22220</v>
      </c>
      <c r="R139" s="146" t="s">
        <v>22315</v>
      </c>
      <c r="T139" s="92" t="s">
        <v>2425</v>
      </c>
      <c r="U139">
        <v>1</v>
      </c>
      <c r="V139">
        <f>VLOOKUP(T139,'Data Angt'!$A$5:$F$5810,6,FALSE)</f>
        <v>52</v>
      </c>
      <c r="W139" s="5" t="str">
        <f t="shared" si="2"/>
        <v>PENDIDIKAN</v>
      </c>
      <c r="X139" s="5" t="str">
        <f>VLOOKUP(T139,'Data Angt'!$A$5:$H$5810,8,FALSE)</f>
        <v>Lain-Lain</v>
      </c>
      <c r="Y139" s="5" t="str">
        <f>VLOOKUP(T139,'Data Angt'!$A$5:$C$5808,3,FALSE)</f>
        <v>PBL</v>
      </c>
    </row>
    <row r="140" spans="1:25" x14ac:dyDescent="0.3">
      <c r="A140" s="8">
        <v>134</v>
      </c>
      <c r="B140" s="9" t="s">
        <v>2159</v>
      </c>
      <c r="C140" s="10" t="str">
        <f>VLOOKUP(B140,'Data Angt'!$A$5:$B$5809,2,FALSE)</f>
        <v>A895</v>
      </c>
      <c r="D140" s="11" t="s">
        <v>9829</v>
      </c>
      <c r="E140" s="12" t="s">
        <v>15528</v>
      </c>
      <c r="F140" s="13">
        <v>45520</v>
      </c>
      <c r="G140" s="14">
        <v>45916</v>
      </c>
      <c r="H140" s="15">
        <v>7000000</v>
      </c>
      <c r="I140" s="16">
        <v>15</v>
      </c>
      <c r="J140" s="17">
        <v>24</v>
      </c>
      <c r="K140" s="9" t="s">
        <v>9831</v>
      </c>
      <c r="L140" s="10" t="s">
        <v>15529</v>
      </c>
      <c r="M140" s="9" t="s">
        <v>9838</v>
      </c>
      <c r="N140" s="10" t="s">
        <v>9830</v>
      </c>
      <c r="O140" s="15">
        <v>1058200</v>
      </c>
      <c r="P140" s="145">
        <v>427721</v>
      </c>
      <c r="Q140" s="9"/>
      <c r="R140" s="146"/>
      <c r="T140" s="92" t="s">
        <v>2437</v>
      </c>
      <c r="U140">
        <v>1</v>
      </c>
      <c r="V140">
        <f>VLOOKUP(T140,'Data Angt'!$A$5:$F$5810,6,FALSE)</f>
        <v>42</v>
      </c>
      <c r="W140" s="5" t="str">
        <f t="shared" si="2"/>
        <v>KESEJAHTERAAN</v>
      </c>
      <c r="X140" s="5" t="str">
        <f>VLOOKUP(T140,'Data Angt'!$A$5:$H$5810,8,FALSE)</f>
        <v>Lain-Lain</v>
      </c>
      <c r="Y140" s="5" t="str">
        <f>VLOOKUP(T140,'Data Angt'!$A$5:$C$5808,3,FALSE)</f>
        <v>PBL</v>
      </c>
    </row>
    <row r="141" spans="1:25" x14ac:dyDescent="0.3">
      <c r="A141" s="8">
        <v>135</v>
      </c>
      <c r="B141" s="9" t="s">
        <v>2172</v>
      </c>
      <c r="C141" s="10" t="str">
        <f>VLOOKUP(B141,'Data Angt'!$A$5:$B$5809,2,FALSE)</f>
        <v>A901</v>
      </c>
      <c r="D141" s="11" t="s">
        <v>9826</v>
      </c>
      <c r="E141" s="12" t="s">
        <v>22316</v>
      </c>
      <c r="F141" s="13">
        <v>45898</v>
      </c>
      <c r="G141" s="14">
        <v>45926</v>
      </c>
      <c r="H141" s="15">
        <v>5400000</v>
      </c>
      <c r="I141" s="16">
        <v>12</v>
      </c>
      <c r="J141" s="17">
        <v>11.9</v>
      </c>
      <c r="K141" s="9" t="s">
        <v>9831</v>
      </c>
      <c r="L141" s="10" t="s">
        <v>22317</v>
      </c>
      <c r="M141" s="9" t="s">
        <v>15443</v>
      </c>
      <c r="N141" s="10" t="s">
        <v>9830</v>
      </c>
      <c r="O141" s="15">
        <v>4974000</v>
      </c>
      <c r="P141" s="145">
        <v>20100</v>
      </c>
      <c r="Q141" s="9"/>
      <c r="R141" s="146"/>
      <c r="T141" s="92" t="s">
        <v>2468</v>
      </c>
      <c r="U141">
        <v>1</v>
      </c>
      <c r="V141">
        <f>VLOOKUP(T141,'Data Angt'!$A$5:$F$5810,6,FALSE)</f>
        <v>57</v>
      </c>
      <c r="W141" s="5" t="str">
        <f t="shared" si="2"/>
        <v>PRODUKTIF</v>
      </c>
      <c r="X141" s="5" t="str">
        <f>VLOOKUP(T141,'Data Angt'!$A$5:$H$5810,8,FALSE)</f>
        <v>Wiraswasta</v>
      </c>
      <c r="Y141" s="5" t="str">
        <f>VLOOKUP(T141,'Data Angt'!$A$5:$C$5808,3,FALSE)</f>
        <v>PBL</v>
      </c>
    </row>
    <row r="142" spans="1:25" x14ac:dyDescent="0.3">
      <c r="A142" s="8">
        <v>136</v>
      </c>
      <c r="B142" s="9" t="s">
        <v>2208</v>
      </c>
      <c r="C142" s="10" t="str">
        <f>VLOOKUP(B142,'Data Angt'!$A$5:$B$5809,2,FALSE)</f>
        <v>A920</v>
      </c>
      <c r="D142" s="11" t="s">
        <v>9829</v>
      </c>
      <c r="E142" s="12" t="s">
        <v>9939</v>
      </c>
      <c r="F142" s="13">
        <v>43321</v>
      </c>
      <c r="G142" s="14">
        <v>45425</v>
      </c>
      <c r="H142" s="15">
        <v>28566000</v>
      </c>
      <c r="I142" s="16">
        <v>60</v>
      </c>
      <c r="J142" s="17">
        <v>21</v>
      </c>
      <c r="K142" s="9" t="s">
        <v>9831</v>
      </c>
      <c r="L142" s="10" t="s">
        <v>9940</v>
      </c>
      <c r="M142" s="9" t="s">
        <v>9941</v>
      </c>
      <c r="N142" s="10" t="s">
        <v>9828</v>
      </c>
      <c r="O142" s="15">
        <v>25946300</v>
      </c>
      <c r="P142" s="145">
        <v>2164574</v>
      </c>
      <c r="Q142" s="9"/>
      <c r="R142" s="146"/>
      <c r="T142" s="92" t="s">
        <v>2472</v>
      </c>
      <c r="U142">
        <v>1</v>
      </c>
      <c r="V142">
        <f>VLOOKUP(T142,'Data Angt'!$A$5:$F$5810,6,FALSE)</f>
        <v>47</v>
      </c>
      <c r="W142" s="5" t="str">
        <f t="shared" si="2"/>
        <v>KESEJAHTERAAN</v>
      </c>
      <c r="X142" s="5" t="str">
        <f>VLOOKUP(T142,'Data Angt'!$A$5:$H$5810,8,FALSE)</f>
        <v>Karyawan</v>
      </c>
      <c r="Y142" s="5" t="str">
        <f>VLOOKUP(T142,'Data Angt'!$A$5:$C$5808,3,FALSE)</f>
        <v>PBL</v>
      </c>
    </row>
    <row r="143" spans="1:25" x14ac:dyDescent="0.3">
      <c r="A143" s="8">
        <v>137</v>
      </c>
      <c r="B143" s="9" t="s">
        <v>2209</v>
      </c>
      <c r="C143" s="10" t="str">
        <f>VLOOKUP(B143,'Data Angt'!$A$5:$B$5809,2,FALSE)</f>
        <v>A921</v>
      </c>
      <c r="D143" s="11" t="s">
        <v>9829</v>
      </c>
      <c r="E143" s="12" t="s">
        <v>15530</v>
      </c>
      <c r="F143" s="13">
        <v>45645</v>
      </c>
      <c r="G143" s="14">
        <v>45908</v>
      </c>
      <c r="H143" s="15">
        <v>11000000</v>
      </c>
      <c r="I143" s="16">
        <v>18</v>
      </c>
      <c r="J143" s="17">
        <v>24</v>
      </c>
      <c r="K143" s="9" t="s">
        <v>9831</v>
      </c>
      <c r="L143" s="10" t="s">
        <v>15531</v>
      </c>
      <c r="M143" s="9" t="s">
        <v>15532</v>
      </c>
      <c r="N143" s="10" t="s">
        <v>9830</v>
      </c>
      <c r="O143" s="15">
        <v>5988600</v>
      </c>
      <c r="P143" s="145">
        <v>597298</v>
      </c>
      <c r="Q143" s="9" t="s">
        <v>22189</v>
      </c>
      <c r="R143" s="146" t="s">
        <v>22318</v>
      </c>
      <c r="T143" s="92" t="s">
        <v>2479</v>
      </c>
      <c r="U143">
        <v>1</v>
      </c>
      <c r="V143">
        <f>VLOOKUP(T143,'Data Angt'!$A$5:$F$5810,6,FALSE)</f>
        <v>37</v>
      </c>
      <c r="W143" s="5">
        <f t="shared" si="2"/>
        <v>0</v>
      </c>
      <c r="X143" s="5" t="str">
        <f>VLOOKUP(T143,'Data Angt'!$A$5:$H$5810,8,FALSE)</f>
        <v>Lain-Lain</v>
      </c>
      <c r="Y143" s="5" t="str">
        <f>VLOOKUP(T143,'Data Angt'!$A$5:$C$5808,3,FALSE)</f>
        <v>PBL</v>
      </c>
    </row>
    <row r="144" spans="1:25" x14ac:dyDescent="0.3">
      <c r="A144" s="8">
        <v>138</v>
      </c>
      <c r="B144" s="9" t="s">
        <v>2225</v>
      </c>
      <c r="C144" s="10" t="str">
        <f>VLOOKUP(B144,'Data Angt'!$A$5:$B$5809,2,FALSE)</f>
        <v>A927</v>
      </c>
      <c r="D144" s="11" t="s">
        <v>9833</v>
      </c>
      <c r="E144" s="12" t="s">
        <v>15533</v>
      </c>
      <c r="F144" s="13">
        <v>45471</v>
      </c>
      <c r="G144" s="14">
        <v>45916</v>
      </c>
      <c r="H144" s="15">
        <v>28000000</v>
      </c>
      <c r="I144" s="16">
        <v>36</v>
      </c>
      <c r="J144" s="17">
        <v>21</v>
      </c>
      <c r="K144" s="9" t="s">
        <v>9831</v>
      </c>
      <c r="L144" s="10" t="s">
        <v>15534</v>
      </c>
      <c r="M144" s="9" t="s">
        <v>9862</v>
      </c>
      <c r="N144" s="10" t="s">
        <v>9834</v>
      </c>
      <c r="O144" s="15">
        <v>18417000</v>
      </c>
      <c r="P144" s="145">
        <v>2340745</v>
      </c>
      <c r="Q144" s="9" t="s">
        <v>22197</v>
      </c>
      <c r="R144" s="146" t="s">
        <v>22319</v>
      </c>
      <c r="T144" s="92" t="s">
        <v>2486</v>
      </c>
      <c r="U144">
        <v>1</v>
      </c>
      <c r="V144">
        <f>VLOOKUP(T144,'Data Angt'!$A$5:$F$5810,6,FALSE)</f>
        <v>46</v>
      </c>
      <c r="W144" s="5" t="str">
        <f t="shared" si="2"/>
        <v>KESEJAHTERAAN</v>
      </c>
      <c r="X144" s="5" t="str">
        <f>VLOOKUP(T144,'Data Angt'!$A$5:$H$5810,8,FALSE)</f>
        <v>Wiraswasta</v>
      </c>
      <c r="Y144" s="5" t="str">
        <f>VLOOKUP(T144,'Data Angt'!$A$5:$C$5808,3,FALSE)</f>
        <v>PBL</v>
      </c>
    </row>
    <row r="145" spans="1:25" x14ac:dyDescent="0.3">
      <c r="A145" s="8">
        <v>139</v>
      </c>
      <c r="B145" s="9" t="s">
        <v>2233</v>
      </c>
      <c r="C145" s="10" t="str">
        <f>VLOOKUP(B145,'Data Angt'!$A$5:$B$5809,2,FALSE)</f>
        <v>A930</v>
      </c>
      <c r="D145" s="11" t="s">
        <v>9833</v>
      </c>
      <c r="E145" s="12" t="s">
        <v>9942</v>
      </c>
      <c r="F145" s="13">
        <v>44995</v>
      </c>
      <c r="G145" s="14">
        <v>45911</v>
      </c>
      <c r="H145" s="15">
        <v>100000000</v>
      </c>
      <c r="I145" s="16">
        <v>36</v>
      </c>
      <c r="J145" s="17">
        <v>21</v>
      </c>
      <c r="K145" s="9" t="s">
        <v>9827</v>
      </c>
      <c r="L145" s="10" t="s">
        <v>9943</v>
      </c>
      <c r="M145" s="9" t="s">
        <v>9944</v>
      </c>
      <c r="N145" s="10" t="s">
        <v>9834</v>
      </c>
      <c r="O145" s="15">
        <v>16666000</v>
      </c>
      <c r="P145" s="145">
        <v>11758269</v>
      </c>
      <c r="Q145" s="9" t="s">
        <v>22197</v>
      </c>
      <c r="R145" s="146" t="s">
        <v>22320</v>
      </c>
      <c r="T145" s="92" t="s">
        <v>2488</v>
      </c>
      <c r="U145">
        <v>1</v>
      </c>
      <c r="V145">
        <f>VLOOKUP(T145,'Data Angt'!$A$5:$F$5810,6,FALSE)</f>
        <v>60</v>
      </c>
      <c r="W145" s="5" t="str">
        <f t="shared" si="2"/>
        <v>PENDIDIKAN</v>
      </c>
      <c r="X145" s="5" t="str">
        <f>VLOOKUP(T145,'Data Angt'!$A$5:$H$5810,8,FALSE)</f>
        <v>Pensiunan</v>
      </c>
      <c r="Y145" s="5" t="str">
        <f>VLOOKUP(T145,'Data Angt'!$A$5:$C$5808,3,FALSE)</f>
        <v>PBL</v>
      </c>
    </row>
    <row r="146" spans="1:25" x14ac:dyDescent="0.3">
      <c r="A146" s="8">
        <v>140</v>
      </c>
      <c r="B146" s="9" t="s">
        <v>2264</v>
      </c>
      <c r="C146" s="10" t="str">
        <f>VLOOKUP(B146,'Data Angt'!$A$5:$B$5809,2,FALSE)</f>
        <v>A942</v>
      </c>
      <c r="D146" s="11" t="s">
        <v>9829</v>
      </c>
      <c r="E146" s="12" t="s">
        <v>22321</v>
      </c>
      <c r="F146" s="13">
        <v>45850</v>
      </c>
      <c r="G146" s="14">
        <v>45904</v>
      </c>
      <c r="H146" s="15">
        <v>3000000</v>
      </c>
      <c r="I146" s="16">
        <v>12</v>
      </c>
      <c r="J146" s="17">
        <v>24</v>
      </c>
      <c r="K146" s="9" t="s">
        <v>9831</v>
      </c>
      <c r="L146" s="10" t="s">
        <v>22322</v>
      </c>
      <c r="M146" s="9" t="s">
        <v>10461</v>
      </c>
      <c r="N146" s="10" t="s">
        <v>110</v>
      </c>
      <c r="O146" s="15">
        <v>2548200</v>
      </c>
      <c r="P146" s="145">
        <v>43350</v>
      </c>
      <c r="Q146" s="9"/>
      <c r="R146" s="146"/>
      <c r="T146" s="92" t="s">
        <v>2546</v>
      </c>
      <c r="U146">
        <v>1</v>
      </c>
      <c r="V146">
        <f>VLOOKUP(T146,'Data Angt'!$A$5:$F$5810,6,FALSE)</f>
        <v>76</v>
      </c>
      <c r="W146" s="5" t="str">
        <f t="shared" si="2"/>
        <v>PRODUKTIF</v>
      </c>
      <c r="X146" s="5" t="str">
        <f>VLOOKUP(T146,'Data Angt'!$A$5:$H$5810,8,FALSE)</f>
        <v>Karyawan</v>
      </c>
      <c r="Y146" s="5" t="str">
        <f>VLOOKUP(T146,'Data Angt'!$A$5:$C$5808,3,FALSE)</f>
        <v>PBL</v>
      </c>
    </row>
    <row r="147" spans="1:25" x14ac:dyDescent="0.3">
      <c r="A147" s="8">
        <v>141</v>
      </c>
      <c r="B147" s="9" t="s">
        <v>2266</v>
      </c>
      <c r="C147" s="10" t="str">
        <f>VLOOKUP(B147,'Data Angt'!$A$5:$B$5809,2,FALSE)</f>
        <v>A943</v>
      </c>
      <c r="D147" s="11" t="s">
        <v>9829</v>
      </c>
      <c r="E147" s="12" t="s">
        <v>15535</v>
      </c>
      <c r="F147" s="13">
        <v>45738</v>
      </c>
      <c r="G147" s="14">
        <v>45918</v>
      </c>
      <c r="H147" s="15">
        <v>50000000</v>
      </c>
      <c r="I147" s="16">
        <v>36</v>
      </c>
      <c r="J147" s="17">
        <v>21</v>
      </c>
      <c r="K147" s="9" t="s">
        <v>9827</v>
      </c>
      <c r="L147" s="10" t="s">
        <v>15536</v>
      </c>
      <c r="M147" s="9" t="s">
        <v>9838</v>
      </c>
      <c r="N147" s="10" t="s">
        <v>9830</v>
      </c>
      <c r="O147" s="15">
        <v>41666600</v>
      </c>
      <c r="P147" s="145">
        <v>1846612</v>
      </c>
      <c r="Q147" s="9" t="s">
        <v>22240</v>
      </c>
      <c r="R147" s="146" t="s">
        <v>22323</v>
      </c>
      <c r="T147" s="92" t="s">
        <v>2561</v>
      </c>
      <c r="U147">
        <v>1</v>
      </c>
      <c r="V147">
        <f>VLOOKUP(T147,'Data Angt'!$A$5:$F$5810,6,FALSE)</f>
        <v>46</v>
      </c>
      <c r="W147" s="5" t="str">
        <f t="shared" si="2"/>
        <v>PENDIDIKAN</v>
      </c>
      <c r="X147" s="5" t="str">
        <f>VLOOKUP(T147,'Data Angt'!$A$5:$H$5810,8,FALSE)</f>
        <v>Wiraswasta</v>
      </c>
      <c r="Y147" s="5" t="str">
        <f>VLOOKUP(T147,'Data Angt'!$A$5:$C$5808,3,FALSE)</f>
        <v>PBL</v>
      </c>
    </row>
    <row r="148" spans="1:25" x14ac:dyDescent="0.3">
      <c r="A148" s="8">
        <v>142</v>
      </c>
      <c r="B148" s="9" t="s">
        <v>2280</v>
      </c>
      <c r="C148" s="10" t="str">
        <f>VLOOKUP(B148,'Data Angt'!$A$5:$B$5809,2,FALSE)</f>
        <v>A948</v>
      </c>
      <c r="D148" s="11" t="s">
        <v>9829</v>
      </c>
      <c r="E148" s="12" t="s">
        <v>15537</v>
      </c>
      <c r="F148" s="13">
        <v>45638</v>
      </c>
      <c r="G148" s="14">
        <v>45912</v>
      </c>
      <c r="H148" s="15">
        <v>10000000</v>
      </c>
      <c r="I148" s="16">
        <v>18</v>
      </c>
      <c r="J148" s="17">
        <v>24</v>
      </c>
      <c r="K148" s="9" t="s">
        <v>9831</v>
      </c>
      <c r="L148" s="10" t="s">
        <v>15538</v>
      </c>
      <c r="M148" s="9" t="s">
        <v>15539</v>
      </c>
      <c r="N148" s="10" t="s">
        <v>9828</v>
      </c>
      <c r="O148" s="15">
        <v>5444000</v>
      </c>
      <c r="P148" s="145">
        <v>542960</v>
      </c>
      <c r="Q148" s="9"/>
      <c r="R148" s="146"/>
      <c r="T148" s="92" t="s">
        <v>2589</v>
      </c>
      <c r="U148">
        <v>1</v>
      </c>
      <c r="V148">
        <f>VLOOKUP(T148,'Data Angt'!$A$5:$F$5810,6,FALSE)</f>
        <v>29</v>
      </c>
      <c r="W148" s="5" t="str">
        <f t="shared" si="2"/>
        <v>KESEJAHTERAAN</v>
      </c>
      <c r="X148" s="5" t="str">
        <f>VLOOKUP(T148,'Data Angt'!$A$5:$H$5810,8,FALSE)</f>
        <v>Karyawan</v>
      </c>
      <c r="Y148" s="5" t="str">
        <f>VLOOKUP(T148,'Data Angt'!$A$5:$C$5808,3,FALSE)</f>
        <v>PBL</v>
      </c>
    </row>
    <row r="149" spans="1:25" x14ac:dyDescent="0.3">
      <c r="A149" s="8">
        <v>143</v>
      </c>
      <c r="B149" s="9" t="s">
        <v>2283</v>
      </c>
      <c r="C149" s="10" t="str">
        <f>VLOOKUP(B149,'Data Angt'!$A$5:$B$5809,2,FALSE)</f>
        <v>A949</v>
      </c>
      <c r="D149" s="11" t="s">
        <v>9829</v>
      </c>
      <c r="E149" s="12" t="s">
        <v>15540</v>
      </c>
      <c r="F149" s="13">
        <v>45786</v>
      </c>
      <c r="G149" s="14">
        <v>45909</v>
      </c>
      <c r="H149" s="15">
        <v>25000000</v>
      </c>
      <c r="I149" s="16">
        <v>36</v>
      </c>
      <c r="J149" s="17">
        <v>21</v>
      </c>
      <c r="K149" s="9" t="s">
        <v>9827</v>
      </c>
      <c r="L149" s="10" t="s">
        <v>15541</v>
      </c>
      <c r="M149" s="9" t="s">
        <v>9854</v>
      </c>
      <c r="N149" s="10" t="s">
        <v>17</v>
      </c>
      <c r="O149" s="15">
        <v>22222000</v>
      </c>
      <c r="P149" s="145">
        <v>628949</v>
      </c>
      <c r="Q149" s="9" t="s">
        <v>22189</v>
      </c>
      <c r="R149" s="146" t="s">
        <v>22324</v>
      </c>
      <c r="T149" s="92" t="s">
        <v>2593</v>
      </c>
      <c r="U149">
        <v>1</v>
      </c>
      <c r="V149">
        <f>VLOOKUP(T149,'Data Angt'!$A$5:$F$5810,6,FALSE)</f>
        <v>52</v>
      </c>
      <c r="W149" s="5" t="str">
        <f t="shared" si="2"/>
        <v>PRODUKTIF</v>
      </c>
      <c r="X149" s="5" t="str">
        <f>VLOOKUP(T149,'Data Angt'!$A$5:$H$5810,8,FALSE)</f>
        <v>Mengurus Rumah Tangga</v>
      </c>
      <c r="Y149" s="5" t="str">
        <f>VLOOKUP(T149,'Data Angt'!$A$5:$C$5808,3,FALSE)</f>
        <v>PBL</v>
      </c>
    </row>
    <row r="150" spans="1:25" x14ac:dyDescent="0.3">
      <c r="A150" s="8">
        <v>144</v>
      </c>
      <c r="B150" s="9" t="s">
        <v>2317</v>
      </c>
      <c r="C150" s="10" t="str">
        <f>VLOOKUP(B150,'Data Angt'!$A$5:$B$5809,2,FALSE)</f>
        <v>A963</v>
      </c>
      <c r="D150" s="11" t="s">
        <v>9826</v>
      </c>
      <c r="E150" s="12" t="s">
        <v>22325</v>
      </c>
      <c r="F150" s="13">
        <v>45878</v>
      </c>
      <c r="G150" s="14">
        <v>45910</v>
      </c>
      <c r="H150" s="15">
        <v>5000000</v>
      </c>
      <c r="I150" s="16">
        <v>12</v>
      </c>
      <c r="J150" s="17">
        <v>11.88</v>
      </c>
      <c r="K150" s="9" t="s">
        <v>9831</v>
      </c>
      <c r="L150" s="10" t="s">
        <v>22326</v>
      </c>
      <c r="M150" s="9" t="s">
        <v>9838</v>
      </c>
      <c r="N150" s="10" t="s">
        <v>9830</v>
      </c>
      <c r="O150" s="15">
        <v>4605500</v>
      </c>
      <c r="P150" s="145">
        <v>18562</v>
      </c>
      <c r="Q150" s="9"/>
      <c r="R150" s="146"/>
      <c r="T150" s="92" t="s">
        <v>2609</v>
      </c>
      <c r="U150">
        <v>1</v>
      </c>
      <c r="V150">
        <f>VLOOKUP(T150,'Data Angt'!$A$5:$F$5810,6,FALSE)</f>
        <v>53</v>
      </c>
      <c r="W150" s="5" t="str">
        <f t="shared" si="2"/>
        <v>PENDIDIKAN</v>
      </c>
      <c r="X150" s="5" t="str">
        <f>VLOOKUP(T150,'Data Angt'!$A$5:$H$5810,8,FALSE)</f>
        <v>Wiraswasta</v>
      </c>
      <c r="Y150" s="5" t="str">
        <f>VLOOKUP(T150,'Data Angt'!$A$5:$C$5808,3,FALSE)</f>
        <v>PBL</v>
      </c>
    </row>
    <row r="151" spans="1:25" x14ac:dyDescent="0.3">
      <c r="A151" s="8">
        <v>145</v>
      </c>
      <c r="B151" s="9" t="s">
        <v>2331</v>
      </c>
      <c r="C151" s="10" t="str">
        <f>VLOOKUP(B151,'Data Angt'!$A$5:$B$5809,2,FALSE)</f>
        <v>A969</v>
      </c>
      <c r="D151" s="11" t="s">
        <v>9829</v>
      </c>
      <c r="E151" s="12" t="s">
        <v>9946</v>
      </c>
      <c r="F151" s="13">
        <v>43668</v>
      </c>
      <c r="G151" s="14">
        <v>45930</v>
      </c>
      <c r="H151" s="15">
        <v>100000000</v>
      </c>
      <c r="I151" s="16">
        <v>48</v>
      </c>
      <c r="J151" s="17">
        <v>21</v>
      </c>
      <c r="K151" s="9" t="s">
        <v>9827</v>
      </c>
      <c r="L151" s="10" t="s">
        <v>9947</v>
      </c>
      <c r="M151" s="9" t="s">
        <v>9865</v>
      </c>
      <c r="N151" s="10" t="s">
        <v>9830</v>
      </c>
      <c r="O151" s="15">
        <v>22917400</v>
      </c>
      <c r="P151" s="145">
        <v>17903016</v>
      </c>
      <c r="Q151" s="9"/>
      <c r="R151" s="146"/>
      <c r="T151" s="92" t="s">
        <v>2733</v>
      </c>
      <c r="U151">
        <v>1</v>
      </c>
      <c r="V151">
        <f>VLOOKUP(T151,'Data Angt'!$A$5:$F$5810,6,FALSE)</f>
        <v>45</v>
      </c>
      <c r="W151" s="5" t="str">
        <f t="shared" si="2"/>
        <v>PENDIDIKAN</v>
      </c>
      <c r="X151" s="5" t="str">
        <f>VLOOKUP(T151,'Data Angt'!$A$5:$H$5810,8,FALSE)</f>
        <v>Wiraswasta</v>
      </c>
      <c r="Y151" s="5" t="str">
        <f>VLOOKUP(T151,'Data Angt'!$A$5:$C$5808,3,FALSE)</f>
        <v>PBL</v>
      </c>
    </row>
    <row r="152" spans="1:25" x14ac:dyDescent="0.3">
      <c r="A152" s="8">
        <v>146</v>
      </c>
      <c r="B152" s="9" t="s">
        <v>2342</v>
      </c>
      <c r="C152" s="10" t="str">
        <f>VLOOKUP(B152,'Data Angt'!$A$5:$B$5809,2,FALSE)</f>
        <v>A973</v>
      </c>
      <c r="D152" s="11" t="s">
        <v>9829</v>
      </c>
      <c r="E152" s="12" t="s">
        <v>22327</v>
      </c>
      <c r="F152" s="13">
        <v>45882</v>
      </c>
      <c r="G152" s="14">
        <v>45913</v>
      </c>
      <c r="H152" s="15">
        <v>4000000</v>
      </c>
      <c r="I152" s="16">
        <v>30</v>
      </c>
      <c r="J152" s="17">
        <v>24</v>
      </c>
      <c r="K152" s="9" t="s">
        <v>9827</v>
      </c>
      <c r="L152" s="10" t="s">
        <v>22328</v>
      </c>
      <c r="M152" s="9" t="s">
        <v>22329</v>
      </c>
      <c r="N152" s="10" t="s">
        <v>17</v>
      </c>
      <c r="O152" s="15">
        <v>3866600</v>
      </c>
      <c r="P152" s="145">
        <v>30000</v>
      </c>
      <c r="Q152" s="9"/>
      <c r="R152" s="146"/>
      <c r="T152" s="92" t="s">
        <v>2758</v>
      </c>
      <c r="U152">
        <v>1</v>
      </c>
      <c r="V152">
        <f>VLOOKUP(T152,'Data Angt'!$A$5:$F$5810,6,FALSE)</f>
        <v>47</v>
      </c>
      <c r="W152" s="5">
        <f t="shared" si="2"/>
        <v>0</v>
      </c>
      <c r="X152" s="5" t="str">
        <f>VLOOKUP(T152,'Data Angt'!$A$5:$H$5810,8,FALSE)</f>
        <v>Wiraswasta</v>
      </c>
      <c r="Y152" s="5" t="str">
        <f>VLOOKUP(T152,'Data Angt'!$A$5:$C$5808,3,FALSE)</f>
        <v>PBL</v>
      </c>
    </row>
    <row r="153" spans="1:25" x14ac:dyDescent="0.3">
      <c r="A153" s="8">
        <v>147</v>
      </c>
      <c r="B153" s="9" t="s">
        <v>2347</v>
      </c>
      <c r="C153" s="10" t="str">
        <f>VLOOKUP(B153,'Data Angt'!$A$5:$B$5809,2,FALSE)</f>
        <v>A975</v>
      </c>
      <c r="D153" s="11" t="s">
        <v>9833</v>
      </c>
      <c r="E153" s="12" t="s">
        <v>15542</v>
      </c>
      <c r="F153" s="13">
        <v>45757</v>
      </c>
      <c r="G153" s="14">
        <v>45911</v>
      </c>
      <c r="H153" s="15">
        <v>3000000</v>
      </c>
      <c r="I153" s="16">
        <v>12</v>
      </c>
      <c r="J153" s="17">
        <v>11.88</v>
      </c>
      <c r="K153" s="9" t="s">
        <v>9831</v>
      </c>
      <c r="L153" s="10" t="s">
        <v>15543</v>
      </c>
      <c r="M153" s="9" t="s">
        <v>15544</v>
      </c>
      <c r="N153" s="10" t="s">
        <v>9834</v>
      </c>
      <c r="O153" s="15">
        <v>1793000</v>
      </c>
      <c r="P153" s="145">
        <v>46874</v>
      </c>
      <c r="Q153" s="9"/>
      <c r="R153" s="146"/>
      <c r="T153" s="92" t="s">
        <v>2770</v>
      </c>
      <c r="U153">
        <v>2</v>
      </c>
      <c r="V153">
        <f>VLOOKUP(T153,'Data Angt'!$A$5:$F$5810,6,FALSE)</f>
        <v>40</v>
      </c>
      <c r="W153" s="5" t="str">
        <f t="shared" si="2"/>
        <v>PRODUKTIF</v>
      </c>
      <c r="X153" s="5" t="str">
        <f>VLOOKUP(T153,'Data Angt'!$A$5:$H$5810,8,FALSE)</f>
        <v>Tenaga Pengajar</v>
      </c>
      <c r="Y153" s="5" t="str">
        <f>VLOOKUP(T153,'Data Angt'!$A$5:$C$5808,3,FALSE)</f>
        <v>PBL</v>
      </c>
    </row>
    <row r="154" spans="1:25" x14ac:dyDescent="0.3">
      <c r="A154" s="8">
        <v>148</v>
      </c>
      <c r="B154" s="9" t="s">
        <v>2372</v>
      </c>
      <c r="C154" s="10" t="str">
        <f>VLOOKUP(B154,'Data Angt'!$A$5:$B$5809,2,FALSE)</f>
        <v>A986</v>
      </c>
      <c r="D154" s="11" t="s">
        <v>9829</v>
      </c>
      <c r="E154" s="12" t="s">
        <v>9949</v>
      </c>
      <c r="F154" s="13">
        <v>44725</v>
      </c>
      <c r="G154" s="14">
        <v>45847</v>
      </c>
      <c r="H154" s="15">
        <v>10500000</v>
      </c>
      <c r="I154" s="16">
        <v>36</v>
      </c>
      <c r="J154" s="17">
        <v>24</v>
      </c>
      <c r="K154" s="9" t="s">
        <v>9827</v>
      </c>
      <c r="L154" s="10" t="s">
        <v>9950</v>
      </c>
      <c r="M154" s="9" t="s">
        <v>9951</v>
      </c>
      <c r="N154" s="10" t="s">
        <v>17</v>
      </c>
      <c r="O154" s="15">
        <v>2624100</v>
      </c>
      <c r="P154" s="145">
        <v>1406957</v>
      </c>
      <c r="Q154" s="9"/>
      <c r="R154" s="146"/>
      <c r="T154" s="92" t="s">
        <v>2811</v>
      </c>
      <c r="U154">
        <v>1</v>
      </c>
      <c r="V154">
        <f>VLOOKUP(T154,'Data Angt'!$A$5:$F$5810,6,FALSE)</f>
        <v>64</v>
      </c>
      <c r="W154" s="5" t="str">
        <f t="shared" si="2"/>
        <v>PRODUKTIF</v>
      </c>
      <c r="X154" s="5" t="str">
        <f>VLOOKUP(T154,'Data Angt'!$A$5:$H$5810,8,FALSE)</f>
        <v>Wiraswasta</v>
      </c>
      <c r="Y154" s="5" t="str">
        <f>VLOOKUP(T154,'Data Angt'!$A$5:$C$5808,3,FALSE)</f>
        <v>PBL</v>
      </c>
    </row>
    <row r="155" spans="1:25" x14ac:dyDescent="0.3">
      <c r="A155" s="8">
        <v>149</v>
      </c>
      <c r="B155" s="9" t="s">
        <v>2411</v>
      </c>
      <c r="C155" s="10" t="str">
        <f>VLOOKUP(B155,'Data Angt'!$A$5:$B$5809,2,FALSE)</f>
        <v>A1004</v>
      </c>
      <c r="D155" s="11" t="s">
        <v>9829</v>
      </c>
      <c r="E155" s="12" t="s">
        <v>15545</v>
      </c>
      <c r="F155" s="13">
        <v>45579</v>
      </c>
      <c r="G155" s="14">
        <v>45915</v>
      </c>
      <c r="H155" s="15">
        <v>3000000</v>
      </c>
      <c r="I155" s="16">
        <v>12</v>
      </c>
      <c r="J155" s="17">
        <v>24</v>
      </c>
      <c r="K155" s="9" t="s">
        <v>9831</v>
      </c>
      <c r="L155" s="10" t="s">
        <v>15546</v>
      </c>
      <c r="M155" s="9" t="s">
        <v>15547</v>
      </c>
      <c r="N155" s="10" t="s">
        <v>9828</v>
      </c>
      <c r="O155" s="15">
        <v>278500</v>
      </c>
      <c r="P155" s="145">
        <v>149699</v>
      </c>
      <c r="Q155" s="9"/>
      <c r="R155" s="146"/>
      <c r="T155" s="92" t="s">
        <v>2834</v>
      </c>
      <c r="U155">
        <v>1</v>
      </c>
      <c r="V155">
        <f>VLOOKUP(T155,'Data Angt'!$A$5:$F$5810,6,FALSE)</f>
        <v>36</v>
      </c>
      <c r="W155" s="5" t="str">
        <f t="shared" si="2"/>
        <v>PRODUKTIF</v>
      </c>
      <c r="X155" s="5" t="str">
        <f>VLOOKUP(T155,'Data Angt'!$A$5:$H$5810,8,FALSE)</f>
        <v>Aparatur/Pejabat Negara</v>
      </c>
      <c r="Y155" s="5" t="str">
        <f>VLOOKUP(T155,'Data Angt'!$A$5:$C$5808,3,FALSE)</f>
        <v>PBL</v>
      </c>
    </row>
    <row r="156" spans="1:25" x14ac:dyDescent="0.3">
      <c r="A156" s="8">
        <v>150</v>
      </c>
      <c r="B156" s="9" t="s">
        <v>2425</v>
      </c>
      <c r="C156" s="10" t="str">
        <f>VLOOKUP(B156,'Data Angt'!$A$5:$B$5809,2,FALSE)</f>
        <v>A1009</v>
      </c>
      <c r="D156" s="11" t="s">
        <v>9829</v>
      </c>
      <c r="E156" s="12" t="s">
        <v>22330</v>
      </c>
      <c r="F156" s="13">
        <v>45904</v>
      </c>
      <c r="G156" s="14">
        <v>45904</v>
      </c>
      <c r="H156" s="15">
        <v>4000000</v>
      </c>
      <c r="I156" s="16">
        <v>10</v>
      </c>
      <c r="J156" s="17">
        <v>24</v>
      </c>
      <c r="K156" s="9" t="s">
        <v>9831</v>
      </c>
      <c r="L156" s="10" t="s">
        <v>22331</v>
      </c>
      <c r="M156" s="9" t="s">
        <v>9832</v>
      </c>
      <c r="N156" s="10" t="s">
        <v>17</v>
      </c>
      <c r="O156" s="15">
        <v>4000000</v>
      </c>
      <c r="P156" s="147">
        <v>0</v>
      </c>
      <c r="Q156" s="9"/>
      <c r="R156" s="146"/>
      <c r="T156" s="92" t="s">
        <v>2878</v>
      </c>
      <c r="U156">
        <v>1</v>
      </c>
      <c r="V156">
        <f>VLOOKUP(T156,'Data Angt'!$A$5:$F$5810,6,FALSE)</f>
        <v>49</v>
      </c>
      <c r="W156" s="5" t="str">
        <f t="shared" si="2"/>
        <v>PENDIDIKAN</v>
      </c>
      <c r="X156" s="5" t="str">
        <f>VLOOKUP(T156,'Data Angt'!$A$5:$H$5810,8,FALSE)</f>
        <v>Tenaga Pengajar</v>
      </c>
      <c r="Y156" s="5" t="str">
        <f>VLOOKUP(T156,'Data Angt'!$A$5:$C$5808,3,FALSE)</f>
        <v>PBL</v>
      </c>
    </row>
    <row r="157" spans="1:25" x14ac:dyDescent="0.3">
      <c r="A157" s="8">
        <v>151</v>
      </c>
      <c r="B157" s="9" t="s">
        <v>2437</v>
      </c>
      <c r="C157" s="10" t="str">
        <f>VLOOKUP(B157,'Data Angt'!$A$5:$B$5809,2,FALSE)</f>
        <v>A1015</v>
      </c>
      <c r="D157" s="11" t="s">
        <v>9829</v>
      </c>
      <c r="E157" s="12" t="s">
        <v>15548</v>
      </c>
      <c r="F157" s="13">
        <v>45671</v>
      </c>
      <c r="G157" s="14">
        <v>45915</v>
      </c>
      <c r="H157" s="15">
        <v>2000000</v>
      </c>
      <c r="I157" s="16">
        <v>12</v>
      </c>
      <c r="J157" s="17">
        <v>21.6</v>
      </c>
      <c r="K157" s="9" t="s">
        <v>9831</v>
      </c>
      <c r="L157" s="10" t="s">
        <v>15549</v>
      </c>
      <c r="M157" s="9" t="s">
        <v>15550</v>
      </c>
      <c r="N157" s="10" t="s">
        <v>9830</v>
      </c>
      <c r="O157" s="15">
        <v>714400</v>
      </c>
      <c r="P157" s="145">
        <v>78599</v>
      </c>
      <c r="Q157" s="9"/>
      <c r="R157" s="146"/>
      <c r="T157" s="92" t="s">
        <v>2885</v>
      </c>
      <c r="U157">
        <v>1</v>
      </c>
      <c r="V157">
        <f>VLOOKUP(T157,'Data Angt'!$A$5:$F$5810,6,FALSE)</f>
        <v>40</v>
      </c>
      <c r="W157" s="5" t="str">
        <f t="shared" si="2"/>
        <v>KESEJAHTERAAN</v>
      </c>
      <c r="X157" s="5" t="str">
        <f>VLOOKUP(T157,'Data Angt'!$A$5:$H$5810,8,FALSE)</f>
        <v>Mengurus Rumah Tangga</v>
      </c>
      <c r="Y157" s="5" t="str">
        <f>VLOOKUP(T157,'Data Angt'!$A$5:$C$5808,3,FALSE)</f>
        <v>PBL</v>
      </c>
    </row>
    <row r="158" spans="1:25" x14ac:dyDescent="0.3">
      <c r="A158" s="8">
        <v>152</v>
      </c>
      <c r="B158" s="9" t="s">
        <v>2468</v>
      </c>
      <c r="C158" s="10" t="str">
        <f>VLOOKUP(B158,'Data Angt'!$A$5:$B$5809,2,FALSE)</f>
        <v>A1028</v>
      </c>
      <c r="D158" s="11" t="s">
        <v>9833</v>
      </c>
      <c r="E158" s="12" t="s">
        <v>15551</v>
      </c>
      <c r="F158" s="13">
        <v>45455</v>
      </c>
      <c r="G158" s="14">
        <v>45909</v>
      </c>
      <c r="H158" s="15">
        <v>6000000</v>
      </c>
      <c r="I158" s="16">
        <v>24</v>
      </c>
      <c r="J158" s="17">
        <v>24</v>
      </c>
      <c r="K158" s="9" t="s">
        <v>9831</v>
      </c>
      <c r="L158" s="10" t="s">
        <v>15552</v>
      </c>
      <c r="M158" s="9" t="s">
        <v>15553</v>
      </c>
      <c r="N158" s="10" t="s">
        <v>9834</v>
      </c>
      <c r="O158" s="15">
        <v>2588800</v>
      </c>
      <c r="P158" s="145">
        <v>505609</v>
      </c>
      <c r="Q158" s="9" t="s">
        <v>22189</v>
      </c>
      <c r="R158" s="146" t="s">
        <v>22332</v>
      </c>
      <c r="T158" s="92" t="s">
        <v>2892</v>
      </c>
      <c r="U158">
        <v>1</v>
      </c>
      <c r="V158">
        <f>VLOOKUP(T158,'Data Angt'!$A$5:$F$5810,6,FALSE)</f>
        <v>54</v>
      </c>
      <c r="W158" s="5" t="str">
        <f t="shared" si="2"/>
        <v>PRODUKTIF</v>
      </c>
      <c r="X158" s="5" t="str">
        <f>VLOOKUP(T158,'Data Angt'!$A$5:$H$5810,8,FALSE)</f>
        <v>Tenaga Pengajar</v>
      </c>
      <c r="Y158" s="5" t="str">
        <f>VLOOKUP(T158,'Data Angt'!$A$5:$C$5808,3,FALSE)</f>
        <v>PBL</v>
      </c>
    </row>
    <row r="159" spans="1:25" x14ac:dyDescent="0.3">
      <c r="A159" s="8">
        <v>153</v>
      </c>
      <c r="B159" s="9" t="s">
        <v>2472</v>
      </c>
      <c r="C159" s="10" t="str">
        <f>VLOOKUP(B159,'Data Angt'!$A$5:$B$5809,2,FALSE)</f>
        <v>A1030</v>
      </c>
      <c r="D159" s="11" t="s">
        <v>9829</v>
      </c>
      <c r="E159" s="12" t="s">
        <v>9952</v>
      </c>
      <c r="F159" s="13">
        <v>44532</v>
      </c>
      <c r="G159" s="14">
        <v>45902</v>
      </c>
      <c r="H159" s="15">
        <v>10000000</v>
      </c>
      <c r="I159" s="16">
        <v>48</v>
      </c>
      <c r="J159" s="17">
        <v>24</v>
      </c>
      <c r="K159" s="9" t="s">
        <v>9827</v>
      </c>
      <c r="L159" s="10" t="s">
        <v>9953</v>
      </c>
      <c r="M159" s="9" t="s">
        <v>9954</v>
      </c>
      <c r="N159" s="10" t="s">
        <v>9830</v>
      </c>
      <c r="O159" s="15">
        <v>830400</v>
      </c>
      <c r="P159" s="145">
        <v>1787764</v>
      </c>
      <c r="Q159" s="9"/>
      <c r="R159" s="146"/>
      <c r="T159" s="92" t="s">
        <v>2909</v>
      </c>
      <c r="U159">
        <v>1</v>
      </c>
      <c r="V159">
        <f>VLOOKUP(T159,'Data Angt'!$A$5:$F$5810,6,FALSE)</f>
        <v>46</v>
      </c>
      <c r="W159" s="5" t="str">
        <f t="shared" si="2"/>
        <v>PENDIDIKAN</v>
      </c>
      <c r="X159" s="5" t="str">
        <f>VLOOKUP(T159,'Data Angt'!$A$5:$H$5810,8,FALSE)</f>
        <v>Aparatur/Pejabat Negara</v>
      </c>
      <c r="Y159" s="5" t="str">
        <f>VLOOKUP(T159,'Data Angt'!$A$5:$C$5808,3,FALSE)</f>
        <v>PBL</v>
      </c>
    </row>
    <row r="160" spans="1:25" x14ac:dyDescent="0.3">
      <c r="A160" s="8">
        <v>154</v>
      </c>
      <c r="B160" s="9" t="s">
        <v>2479</v>
      </c>
      <c r="C160" s="10" t="str">
        <f>VLOOKUP(B160,'Data Angt'!$A$5:$B$5809,2,FALSE)</f>
        <v>A1032</v>
      </c>
      <c r="D160" s="11" t="s">
        <v>9843</v>
      </c>
      <c r="E160" s="12" t="s">
        <v>9955</v>
      </c>
      <c r="F160" s="13">
        <v>41244</v>
      </c>
      <c r="G160" s="14">
        <v>45884</v>
      </c>
      <c r="H160" s="15">
        <v>80000000</v>
      </c>
      <c r="I160" s="16">
        <v>120</v>
      </c>
      <c r="J160" s="17">
        <v>8.02</v>
      </c>
      <c r="K160" s="9" t="s">
        <v>9831</v>
      </c>
      <c r="L160" s="10" t="s">
        <v>9955</v>
      </c>
      <c r="M160" s="9"/>
      <c r="N160" s="10"/>
      <c r="O160" s="15">
        <v>62289700</v>
      </c>
      <c r="P160" s="145">
        <v>530087</v>
      </c>
      <c r="Q160" s="9"/>
      <c r="R160" s="146"/>
      <c r="T160" s="92" t="s">
        <v>2911</v>
      </c>
      <c r="U160">
        <v>1</v>
      </c>
      <c r="V160">
        <f>VLOOKUP(T160,'Data Angt'!$A$5:$F$5810,6,FALSE)</f>
        <v>71</v>
      </c>
      <c r="W160" s="5" t="str">
        <f t="shared" si="2"/>
        <v>PRODUKTIF</v>
      </c>
      <c r="X160" s="5" t="str">
        <f>VLOOKUP(T160,'Data Angt'!$A$5:$H$5810,8,FALSE)</f>
        <v>Mengurus Rumah Tangga</v>
      </c>
      <c r="Y160" s="5" t="str">
        <f>VLOOKUP(T160,'Data Angt'!$A$5:$C$5808,3,FALSE)</f>
        <v>PBL</v>
      </c>
    </row>
    <row r="161" spans="1:25" x14ac:dyDescent="0.3">
      <c r="A161" s="8">
        <v>155</v>
      </c>
      <c r="B161" s="9" t="s">
        <v>2486</v>
      </c>
      <c r="C161" s="10" t="str">
        <f>VLOOKUP(B161,'Data Angt'!$A$5:$B$5809,2,FALSE)</f>
        <v>A1035</v>
      </c>
      <c r="D161" s="11" t="s">
        <v>9829</v>
      </c>
      <c r="E161" s="12" t="s">
        <v>15554</v>
      </c>
      <c r="F161" s="13">
        <v>45721</v>
      </c>
      <c r="G161" s="14">
        <v>45904</v>
      </c>
      <c r="H161" s="15">
        <v>5000000</v>
      </c>
      <c r="I161" s="16">
        <v>12</v>
      </c>
      <c r="J161" s="17">
        <v>24</v>
      </c>
      <c r="K161" s="9" t="s">
        <v>9831</v>
      </c>
      <c r="L161" s="10" t="s">
        <v>15555</v>
      </c>
      <c r="M161" s="9" t="s">
        <v>9838</v>
      </c>
      <c r="N161" s="10" t="s">
        <v>9830</v>
      </c>
      <c r="O161" s="15">
        <v>2648600</v>
      </c>
      <c r="P161" s="145">
        <v>182024</v>
      </c>
      <c r="Q161" s="9"/>
      <c r="R161" s="146"/>
      <c r="T161" s="92" t="s">
        <v>2913</v>
      </c>
      <c r="U161">
        <v>1</v>
      </c>
      <c r="V161">
        <f>VLOOKUP(T161,'Data Angt'!$A$5:$F$5810,6,FALSE)</f>
        <v>46</v>
      </c>
      <c r="W161" s="5" t="str">
        <f t="shared" si="2"/>
        <v>KESEHATAN</v>
      </c>
      <c r="X161" s="5" t="str">
        <f>VLOOKUP(T161,'Data Angt'!$A$5:$H$5810,8,FALSE)</f>
        <v>Wiraswasta</v>
      </c>
      <c r="Y161" s="5" t="str">
        <f>VLOOKUP(T161,'Data Angt'!$A$5:$C$5808,3,FALSE)</f>
        <v>PBL</v>
      </c>
    </row>
    <row r="162" spans="1:25" x14ac:dyDescent="0.3">
      <c r="A162" s="8">
        <v>156</v>
      </c>
      <c r="B162" s="9" t="s">
        <v>2488</v>
      </c>
      <c r="C162" s="10" t="str">
        <f>VLOOKUP(B162,'Data Angt'!$A$5:$B$5809,2,FALSE)</f>
        <v>A1036</v>
      </c>
      <c r="D162" s="11" t="s">
        <v>9829</v>
      </c>
      <c r="E162" s="12" t="s">
        <v>9956</v>
      </c>
      <c r="F162" s="13">
        <v>45190</v>
      </c>
      <c r="G162" s="14">
        <v>45901</v>
      </c>
      <c r="H162" s="15">
        <v>30000000</v>
      </c>
      <c r="I162" s="16">
        <v>48</v>
      </c>
      <c r="J162" s="17">
        <v>21</v>
      </c>
      <c r="K162" s="9" t="s">
        <v>9831</v>
      </c>
      <c r="L162" s="10" t="s">
        <v>9957</v>
      </c>
      <c r="M162" s="9" t="s">
        <v>9958</v>
      </c>
      <c r="N162" s="10" t="s">
        <v>17</v>
      </c>
      <c r="O162" s="15">
        <v>18079000</v>
      </c>
      <c r="P162" s="145">
        <v>3890619</v>
      </c>
      <c r="Q162" s="9" t="s">
        <v>12091</v>
      </c>
      <c r="R162" s="146" t="s">
        <v>22333</v>
      </c>
      <c r="T162" s="92" t="s">
        <v>2939</v>
      </c>
      <c r="U162">
        <v>1</v>
      </c>
      <c r="V162">
        <f>VLOOKUP(T162,'Data Angt'!$A$5:$F$5810,6,FALSE)</f>
        <v>55</v>
      </c>
      <c r="W162" s="5" t="str">
        <f t="shared" si="2"/>
        <v>PENDIDIKAN</v>
      </c>
      <c r="X162" s="5" t="str">
        <f>VLOOKUP(T162,'Data Angt'!$A$5:$H$5810,8,FALSE)</f>
        <v>Tenaga Pengajar</v>
      </c>
      <c r="Y162" s="5" t="str">
        <f>VLOOKUP(T162,'Data Angt'!$A$5:$C$5808,3,FALSE)</f>
        <v>PBL</v>
      </c>
    </row>
    <row r="163" spans="1:25" x14ac:dyDescent="0.3">
      <c r="A163" s="8">
        <v>157</v>
      </c>
      <c r="B163" s="9" t="s">
        <v>2546</v>
      </c>
      <c r="C163" s="10" t="str">
        <f>VLOOKUP(B163,'Data Angt'!$A$5:$B$5809,2,FALSE)</f>
        <v>A1061</v>
      </c>
      <c r="D163" s="11" t="s">
        <v>9833</v>
      </c>
      <c r="E163" s="12" t="s">
        <v>15556</v>
      </c>
      <c r="F163" s="13">
        <v>45701</v>
      </c>
      <c r="G163" s="14">
        <v>45913</v>
      </c>
      <c r="H163" s="15">
        <v>8000000</v>
      </c>
      <c r="I163" s="16">
        <v>24</v>
      </c>
      <c r="J163" s="17">
        <v>24</v>
      </c>
      <c r="K163" s="9" t="s">
        <v>9827</v>
      </c>
      <c r="L163" s="10" t="s">
        <v>15557</v>
      </c>
      <c r="M163" s="9" t="s">
        <v>15558</v>
      </c>
      <c r="N163" s="10" t="s">
        <v>9834</v>
      </c>
      <c r="O163" s="15">
        <v>5666200</v>
      </c>
      <c r="P163" s="145">
        <v>367574</v>
      </c>
      <c r="Q163" s="9"/>
      <c r="R163" s="146"/>
      <c r="T163" s="92" t="s">
        <v>2995</v>
      </c>
      <c r="U163">
        <v>2</v>
      </c>
      <c r="V163">
        <f>VLOOKUP(T163,'Data Angt'!$A$5:$F$5810,6,FALSE)</f>
        <v>37</v>
      </c>
      <c r="W163" s="5" t="str">
        <f t="shared" si="2"/>
        <v>KONSUMTIF</v>
      </c>
      <c r="X163" s="5" t="str">
        <f>VLOOKUP(T163,'Data Angt'!$A$5:$H$5810,8,FALSE)</f>
        <v>Wiraswasta</v>
      </c>
      <c r="Y163" s="5" t="str">
        <f>VLOOKUP(T163,'Data Angt'!$A$5:$C$5808,3,FALSE)</f>
        <v>PBL</v>
      </c>
    </row>
    <row r="164" spans="1:25" x14ac:dyDescent="0.3">
      <c r="A164" s="8">
        <v>158</v>
      </c>
      <c r="B164" s="9" t="s">
        <v>2561</v>
      </c>
      <c r="C164" s="10" t="str">
        <f>VLOOKUP(B164,'Data Angt'!$A$5:$B$5809,2,FALSE)</f>
        <v>A1066</v>
      </c>
      <c r="D164" s="11" t="s">
        <v>9826</v>
      </c>
      <c r="E164" s="12" t="s">
        <v>22334</v>
      </c>
      <c r="F164" s="13">
        <v>45903</v>
      </c>
      <c r="G164" s="14">
        <v>45903</v>
      </c>
      <c r="H164" s="15">
        <v>5000000</v>
      </c>
      <c r="I164" s="16">
        <v>12</v>
      </c>
      <c r="J164" s="17">
        <v>24</v>
      </c>
      <c r="K164" s="9" t="s">
        <v>9831</v>
      </c>
      <c r="L164" s="10" t="s">
        <v>22335</v>
      </c>
      <c r="M164" s="9" t="s">
        <v>22336</v>
      </c>
      <c r="N164" s="10" t="s">
        <v>17</v>
      </c>
      <c r="O164" s="15">
        <v>5000000</v>
      </c>
      <c r="P164" s="147">
        <v>0</v>
      </c>
      <c r="Q164" s="9"/>
      <c r="R164" s="146"/>
      <c r="T164" s="92" t="s">
        <v>2998</v>
      </c>
      <c r="U164">
        <v>1</v>
      </c>
      <c r="V164">
        <f>VLOOKUP(T164,'Data Angt'!$A$5:$F$5810,6,FALSE)</f>
        <v>54</v>
      </c>
      <c r="W164" s="5" t="str">
        <f t="shared" si="2"/>
        <v>PRODUKTIF</v>
      </c>
      <c r="X164" s="5" t="str">
        <f>VLOOKUP(T164,'Data Angt'!$A$5:$H$5810,8,FALSE)</f>
        <v>Wiraswasta</v>
      </c>
      <c r="Y164" s="5" t="str">
        <f>VLOOKUP(T164,'Data Angt'!$A$5:$C$5808,3,FALSE)</f>
        <v>PBL</v>
      </c>
    </row>
    <row r="165" spans="1:25" x14ac:dyDescent="0.3">
      <c r="A165" s="8">
        <v>159</v>
      </c>
      <c r="B165" s="9" t="s">
        <v>2561</v>
      </c>
      <c r="C165" s="10" t="str">
        <f>VLOOKUP(B165,'Data Angt'!$A$5:$B$5809,2,FALSE)</f>
        <v>A1066</v>
      </c>
      <c r="D165" s="11" t="s">
        <v>9829</v>
      </c>
      <c r="E165" s="12" t="s">
        <v>15559</v>
      </c>
      <c r="F165" s="13">
        <v>45833</v>
      </c>
      <c r="G165" s="14">
        <v>45922</v>
      </c>
      <c r="H165" s="15">
        <v>20000000</v>
      </c>
      <c r="I165" s="16">
        <v>36</v>
      </c>
      <c r="J165" s="17">
        <v>24</v>
      </c>
      <c r="K165" s="9" t="s">
        <v>9831</v>
      </c>
      <c r="L165" s="10" t="s">
        <v>15560</v>
      </c>
      <c r="M165" s="9" t="s">
        <v>9841</v>
      </c>
      <c r="N165" s="10" t="s">
        <v>17</v>
      </c>
      <c r="O165" s="15">
        <v>18822800</v>
      </c>
      <c r="P165" s="145">
        <v>441337</v>
      </c>
      <c r="Q165" s="9"/>
      <c r="R165" s="146"/>
      <c r="T165" s="92" t="s">
        <v>3016</v>
      </c>
      <c r="U165">
        <v>2</v>
      </c>
      <c r="V165">
        <f>VLOOKUP(T165,'Data Angt'!$A$5:$F$5810,6,FALSE)</f>
        <v>45</v>
      </c>
      <c r="W165" s="5" t="str">
        <f t="shared" si="2"/>
        <v>PRODUKTIF</v>
      </c>
      <c r="X165" s="5" t="str">
        <f>VLOOKUP(T165,'Data Angt'!$A$5:$H$5810,8,FALSE)</f>
        <v>Wiraswasta</v>
      </c>
      <c r="Y165" s="5" t="str">
        <f>VLOOKUP(T165,'Data Angt'!$A$5:$C$5808,3,FALSE)</f>
        <v>PBL</v>
      </c>
    </row>
    <row r="166" spans="1:25" x14ac:dyDescent="0.3">
      <c r="A166" s="8">
        <v>160</v>
      </c>
      <c r="B166" s="9" t="s">
        <v>2589</v>
      </c>
      <c r="C166" s="10" t="str">
        <f>VLOOKUP(B166,'Data Angt'!$A$5:$B$5809,2,FALSE)</f>
        <v>A1081</v>
      </c>
      <c r="D166" s="11" t="s">
        <v>9829</v>
      </c>
      <c r="E166" s="12" t="s">
        <v>15561</v>
      </c>
      <c r="F166" s="13">
        <v>45604</v>
      </c>
      <c r="G166" s="14">
        <v>45881</v>
      </c>
      <c r="H166" s="15">
        <v>3000000</v>
      </c>
      <c r="I166" s="16">
        <v>12</v>
      </c>
      <c r="J166" s="17">
        <v>11.88</v>
      </c>
      <c r="K166" s="9" t="s">
        <v>9831</v>
      </c>
      <c r="L166" s="10" t="s">
        <v>15562</v>
      </c>
      <c r="M166" s="9" t="s">
        <v>15563</v>
      </c>
      <c r="N166" s="10" t="s">
        <v>9830</v>
      </c>
      <c r="O166" s="15">
        <v>1042200</v>
      </c>
      <c r="P166" s="145">
        <v>70836</v>
      </c>
      <c r="Q166" s="9"/>
      <c r="R166" s="146"/>
      <c r="T166" s="92" t="s">
        <v>3049</v>
      </c>
      <c r="U166">
        <v>1</v>
      </c>
      <c r="V166">
        <f>VLOOKUP(T166,'Data Angt'!$A$5:$F$5810,6,FALSE)</f>
        <v>64</v>
      </c>
      <c r="W166" s="5" t="str">
        <f t="shared" si="2"/>
        <v>PENDIDIKAN</v>
      </c>
      <c r="X166" s="5" t="str">
        <f>VLOOKUP(T166,'Data Angt'!$A$5:$H$5810,8,FALSE)</f>
        <v>Pensiunan</v>
      </c>
      <c r="Y166" s="5" t="str">
        <f>VLOOKUP(T166,'Data Angt'!$A$5:$C$5808,3,FALSE)</f>
        <v>PBL</v>
      </c>
    </row>
    <row r="167" spans="1:25" x14ac:dyDescent="0.3">
      <c r="A167" s="8">
        <v>161</v>
      </c>
      <c r="B167" s="9" t="s">
        <v>2593</v>
      </c>
      <c r="C167" s="10" t="str">
        <f>VLOOKUP(B167,'Data Angt'!$A$5:$B$5809,2,FALSE)</f>
        <v>A1083</v>
      </c>
      <c r="D167" s="11" t="s">
        <v>9833</v>
      </c>
      <c r="E167" s="12" t="s">
        <v>15564</v>
      </c>
      <c r="F167" s="13">
        <v>45322</v>
      </c>
      <c r="G167" s="14">
        <v>45922</v>
      </c>
      <c r="H167" s="15">
        <v>5000000</v>
      </c>
      <c r="I167" s="16">
        <v>24</v>
      </c>
      <c r="J167" s="17">
        <v>24</v>
      </c>
      <c r="K167" s="9" t="s">
        <v>9831</v>
      </c>
      <c r="L167" s="10" t="s">
        <v>15565</v>
      </c>
      <c r="M167" s="9" t="s">
        <v>10359</v>
      </c>
      <c r="N167" s="10" t="s">
        <v>9834</v>
      </c>
      <c r="O167" s="15">
        <v>1006700</v>
      </c>
      <c r="P167" s="145">
        <v>485509</v>
      </c>
      <c r="Q167" s="9"/>
      <c r="R167" s="146"/>
      <c r="T167" s="92" t="s">
        <v>3104</v>
      </c>
      <c r="U167">
        <v>1</v>
      </c>
      <c r="V167">
        <f>VLOOKUP(T167,'Data Angt'!$A$5:$F$5810,6,FALSE)</f>
        <v>62</v>
      </c>
      <c r="W167" s="5" t="str">
        <f t="shared" si="2"/>
        <v>PRODUKTIF</v>
      </c>
      <c r="X167" s="5" t="str">
        <f>VLOOKUP(T167,'Data Angt'!$A$5:$H$5810,8,FALSE)</f>
        <v>Wiraswasta</v>
      </c>
      <c r="Y167" s="5" t="str">
        <f>VLOOKUP(T167,'Data Angt'!$A$5:$C$5808,3,FALSE)</f>
        <v>PBL</v>
      </c>
    </row>
    <row r="168" spans="1:25" x14ac:dyDescent="0.3">
      <c r="A168" s="8">
        <v>162</v>
      </c>
      <c r="B168" s="9" t="s">
        <v>2609</v>
      </c>
      <c r="C168" s="10" t="str">
        <f>VLOOKUP(B168,'Data Angt'!$A$5:$B$5809,2,FALSE)</f>
        <v>A1092</v>
      </c>
      <c r="D168" s="11" t="s">
        <v>9829</v>
      </c>
      <c r="E168" s="12" t="s">
        <v>15566</v>
      </c>
      <c r="F168" s="13">
        <v>45701</v>
      </c>
      <c r="G168" s="14">
        <v>45915</v>
      </c>
      <c r="H168" s="15">
        <v>5500000</v>
      </c>
      <c r="I168" s="16">
        <v>16</v>
      </c>
      <c r="J168" s="17">
        <v>24</v>
      </c>
      <c r="K168" s="9" t="s">
        <v>9831</v>
      </c>
      <c r="L168" s="10" t="s">
        <v>15567</v>
      </c>
      <c r="M168" s="9" t="s">
        <v>10008</v>
      </c>
      <c r="N168" s="10" t="s">
        <v>17</v>
      </c>
      <c r="O168" s="15">
        <v>3306300</v>
      </c>
      <c r="P168" s="145">
        <v>240748</v>
      </c>
      <c r="Q168" s="9"/>
      <c r="R168" s="146"/>
      <c r="T168" s="92" t="s">
        <v>3146</v>
      </c>
      <c r="U168">
        <v>1</v>
      </c>
      <c r="V168">
        <f>VLOOKUP(T168,'Data Angt'!$A$5:$F$5810,6,FALSE)</f>
        <v>51</v>
      </c>
      <c r="W168" s="5" t="str">
        <f t="shared" si="2"/>
        <v>KESEJAHTERAAN</v>
      </c>
      <c r="X168" s="5" t="str">
        <f>VLOOKUP(T168,'Data Angt'!$A$5:$H$5810,8,FALSE)</f>
        <v>Karyawan</v>
      </c>
      <c r="Y168" s="5" t="str">
        <f>VLOOKUP(T168,'Data Angt'!$A$5:$C$5808,3,FALSE)</f>
        <v>PBL</v>
      </c>
    </row>
    <row r="169" spans="1:25" x14ac:dyDescent="0.3">
      <c r="A169" s="8">
        <v>163</v>
      </c>
      <c r="B169" s="9" t="s">
        <v>2733</v>
      </c>
      <c r="C169" s="10" t="str">
        <f>VLOOKUP(B169,'Data Angt'!$A$5:$B$5809,2,FALSE)</f>
        <v>A1146</v>
      </c>
      <c r="D169" s="11" t="s">
        <v>9829</v>
      </c>
      <c r="E169" s="12" t="s">
        <v>22337</v>
      </c>
      <c r="F169" s="13">
        <v>45840</v>
      </c>
      <c r="G169" s="14">
        <v>45901</v>
      </c>
      <c r="H169" s="15">
        <v>40000000</v>
      </c>
      <c r="I169" s="16">
        <v>60</v>
      </c>
      <c r="J169" s="17">
        <v>21</v>
      </c>
      <c r="K169" s="9" t="s">
        <v>9831</v>
      </c>
      <c r="L169" s="10" t="s">
        <v>22338</v>
      </c>
      <c r="M169" s="9" t="s">
        <v>22339</v>
      </c>
      <c r="N169" s="10" t="s">
        <v>17</v>
      </c>
      <c r="O169" s="15">
        <v>39229000</v>
      </c>
      <c r="P169" s="145">
        <v>522525</v>
      </c>
      <c r="Q169" s="9" t="s">
        <v>22340</v>
      </c>
      <c r="R169" s="146" t="s">
        <v>22341</v>
      </c>
      <c r="T169" s="92" t="s">
        <v>3232</v>
      </c>
      <c r="U169">
        <v>1</v>
      </c>
      <c r="V169">
        <f>VLOOKUP(T169,'Data Angt'!$A$5:$F$5810,6,FALSE)</f>
        <v>43</v>
      </c>
      <c r="W169" s="5" t="str">
        <f t="shared" si="2"/>
        <v>KONSUMTIF</v>
      </c>
      <c r="X169" s="5" t="str">
        <f>VLOOKUP(T169,'Data Angt'!$A$5:$H$5810,8,FALSE)</f>
        <v>Tenaga Pengajar</v>
      </c>
      <c r="Y169" s="5" t="str">
        <f>VLOOKUP(T169,'Data Angt'!$A$5:$C$5808,3,FALSE)</f>
        <v>PBL</v>
      </c>
    </row>
    <row r="170" spans="1:25" x14ac:dyDescent="0.3">
      <c r="A170" s="8">
        <v>164</v>
      </c>
      <c r="B170" s="9" t="s">
        <v>2758</v>
      </c>
      <c r="C170" s="10" t="str">
        <f>VLOOKUP(B170,'Data Angt'!$A$5:$B$5809,2,FALSE)</f>
        <v>A1157</v>
      </c>
      <c r="D170" s="11" t="s">
        <v>9843</v>
      </c>
      <c r="E170" s="12" t="s">
        <v>9960</v>
      </c>
      <c r="F170" s="13">
        <v>42811</v>
      </c>
      <c r="G170" s="14">
        <v>45915</v>
      </c>
      <c r="H170" s="15">
        <v>90000000</v>
      </c>
      <c r="I170" s="16">
        <v>120</v>
      </c>
      <c r="J170" s="17">
        <v>11.4</v>
      </c>
      <c r="K170" s="9" t="s">
        <v>9831</v>
      </c>
      <c r="L170" s="10" t="s">
        <v>9960</v>
      </c>
      <c r="M170" s="9"/>
      <c r="N170" s="10"/>
      <c r="O170" s="15">
        <v>20997200</v>
      </c>
      <c r="P170" s="145">
        <v>26808675</v>
      </c>
      <c r="Q170" s="9"/>
      <c r="R170" s="146"/>
      <c r="T170" s="92" t="s">
        <v>3279</v>
      </c>
      <c r="U170">
        <v>1</v>
      </c>
      <c r="V170">
        <f>VLOOKUP(T170,'Data Angt'!$A$5:$F$5810,6,FALSE)</f>
        <v>43</v>
      </c>
      <c r="W170" s="5" t="str">
        <f t="shared" si="2"/>
        <v>KONSUMTIF</v>
      </c>
      <c r="X170" s="5" t="str">
        <f>VLOOKUP(T170,'Data Angt'!$A$5:$H$5810,8,FALSE)</f>
        <v>Aparatur/Pejabat Negara</v>
      </c>
      <c r="Y170" s="5" t="str">
        <f>VLOOKUP(T170,'Data Angt'!$A$5:$C$5808,3,FALSE)</f>
        <v>PBL</v>
      </c>
    </row>
    <row r="171" spans="1:25" x14ac:dyDescent="0.3">
      <c r="A171" s="8">
        <v>165</v>
      </c>
      <c r="B171" s="9" t="s">
        <v>2770</v>
      </c>
      <c r="C171" s="10" t="str">
        <f>VLOOKUP(B171,'Data Angt'!$A$5:$B$5809,2,FALSE)</f>
        <v>A1163</v>
      </c>
      <c r="D171" s="11" t="s">
        <v>9833</v>
      </c>
      <c r="E171" s="12" t="s">
        <v>22342</v>
      </c>
      <c r="F171" s="13">
        <v>45889</v>
      </c>
      <c r="G171" s="14">
        <v>45919</v>
      </c>
      <c r="H171" s="15">
        <v>9000000</v>
      </c>
      <c r="I171" s="16">
        <v>10</v>
      </c>
      <c r="J171" s="17">
        <v>24</v>
      </c>
      <c r="K171" s="9" t="s">
        <v>9831</v>
      </c>
      <c r="L171" s="10" t="s">
        <v>22343</v>
      </c>
      <c r="M171" s="9" t="s">
        <v>22344</v>
      </c>
      <c r="N171" s="10" t="s">
        <v>9834</v>
      </c>
      <c r="O171" s="15">
        <v>8178000</v>
      </c>
      <c r="P171" s="145">
        <v>67500</v>
      </c>
      <c r="Q171" s="9" t="s">
        <v>22189</v>
      </c>
      <c r="R171" s="146" t="s">
        <v>22345</v>
      </c>
      <c r="T171" s="92" t="s">
        <v>3336</v>
      </c>
      <c r="U171">
        <v>2</v>
      </c>
      <c r="V171">
        <f>VLOOKUP(T171,'Data Angt'!$A$5:$F$5810,6,FALSE)</f>
        <v>55</v>
      </c>
      <c r="W171" s="5" t="str">
        <f t="shared" si="2"/>
        <v>KONSUMTIF</v>
      </c>
      <c r="X171" s="5" t="str">
        <f>VLOOKUP(T171,'Data Angt'!$A$5:$H$5810,8,FALSE)</f>
        <v>Karyawan</v>
      </c>
      <c r="Y171" s="5" t="str">
        <f>VLOOKUP(T171,'Data Angt'!$A$5:$C$5808,3,FALSE)</f>
        <v>PBL</v>
      </c>
    </row>
    <row r="172" spans="1:25" x14ac:dyDescent="0.3">
      <c r="A172" s="8">
        <v>166</v>
      </c>
      <c r="B172" s="9" t="s">
        <v>2811</v>
      </c>
      <c r="C172" s="10" t="str">
        <f>VLOOKUP(B172,'Data Angt'!$A$5:$B$5809,2,FALSE)</f>
        <v>A1182</v>
      </c>
      <c r="D172" s="11" t="s">
        <v>9833</v>
      </c>
      <c r="E172" s="12" t="s">
        <v>15568</v>
      </c>
      <c r="F172" s="13">
        <v>45646</v>
      </c>
      <c r="G172" s="14">
        <v>45926</v>
      </c>
      <c r="H172" s="15">
        <v>4500000</v>
      </c>
      <c r="I172" s="16">
        <v>12</v>
      </c>
      <c r="J172" s="17">
        <v>24</v>
      </c>
      <c r="K172" s="9" t="s">
        <v>9831</v>
      </c>
      <c r="L172" s="10" t="s">
        <v>15569</v>
      </c>
      <c r="M172" s="9" t="s">
        <v>15570</v>
      </c>
      <c r="N172" s="10" t="s">
        <v>9834</v>
      </c>
      <c r="O172" s="15">
        <v>1635000</v>
      </c>
      <c r="P172" s="145">
        <v>214685</v>
      </c>
      <c r="Q172" s="9" t="s">
        <v>22189</v>
      </c>
      <c r="R172" s="146" t="s">
        <v>22346</v>
      </c>
      <c r="T172" s="92" t="s">
        <v>3342</v>
      </c>
      <c r="U172">
        <v>2</v>
      </c>
      <c r="V172">
        <f>VLOOKUP(T172,'Data Angt'!$A$5:$F$5810,6,FALSE)</f>
        <v>47</v>
      </c>
      <c r="W172" s="5" t="str">
        <f t="shared" si="2"/>
        <v>KONSUMTIF</v>
      </c>
      <c r="X172" s="5" t="str">
        <f>VLOOKUP(T172,'Data Angt'!$A$5:$H$5810,8,FALSE)</f>
        <v>Mengurus Rumah Tangga</v>
      </c>
      <c r="Y172" s="5" t="str">
        <f>VLOOKUP(T172,'Data Angt'!$A$5:$C$5808,3,FALSE)</f>
        <v>PBL</v>
      </c>
    </row>
    <row r="173" spans="1:25" x14ac:dyDescent="0.3">
      <c r="A173" s="8">
        <v>167</v>
      </c>
      <c r="B173" s="9" t="s">
        <v>2834</v>
      </c>
      <c r="C173" s="10" t="str">
        <f>VLOOKUP(B173,'Data Angt'!$A$5:$B$5809,2,FALSE)</f>
        <v>A1196</v>
      </c>
      <c r="D173" s="11" t="s">
        <v>9829</v>
      </c>
      <c r="E173" s="12" t="s">
        <v>15571</v>
      </c>
      <c r="F173" s="13">
        <v>45547</v>
      </c>
      <c r="G173" s="14">
        <v>45912</v>
      </c>
      <c r="H173" s="15">
        <v>10000000</v>
      </c>
      <c r="I173" s="16">
        <v>24</v>
      </c>
      <c r="J173" s="17">
        <v>24</v>
      </c>
      <c r="K173" s="9" t="s">
        <v>9831</v>
      </c>
      <c r="L173" s="10" t="s">
        <v>15572</v>
      </c>
      <c r="M173" s="9" t="s">
        <v>9862</v>
      </c>
      <c r="N173" s="10" t="s">
        <v>9834</v>
      </c>
      <c r="O173" s="15">
        <v>5590700</v>
      </c>
      <c r="P173" s="145">
        <v>726110</v>
      </c>
      <c r="Q173" s="9"/>
      <c r="R173" s="146"/>
      <c r="T173" s="92" t="s">
        <v>3360</v>
      </c>
      <c r="U173">
        <v>1</v>
      </c>
      <c r="V173">
        <f>VLOOKUP(T173,'Data Angt'!$A$5:$F$5810,6,FALSE)</f>
        <v>45</v>
      </c>
      <c r="W173" s="5">
        <f t="shared" si="2"/>
        <v>0</v>
      </c>
      <c r="X173" s="5" t="str">
        <f>VLOOKUP(T173,'Data Angt'!$A$5:$H$5810,8,FALSE)</f>
        <v>Wiraswasta</v>
      </c>
      <c r="Y173" s="5" t="str">
        <f>VLOOKUP(T173,'Data Angt'!$A$5:$C$5808,3,FALSE)</f>
        <v>PBL</v>
      </c>
    </row>
    <row r="174" spans="1:25" x14ac:dyDescent="0.3">
      <c r="A174" s="8">
        <v>168</v>
      </c>
      <c r="B174" s="9" t="s">
        <v>2878</v>
      </c>
      <c r="C174" s="10" t="str">
        <f>VLOOKUP(B174,'Data Angt'!$A$5:$B$5809,2,FALSE)</f>
        <v>A1212</v>
      </c>
      <c r="D174" s="11" t="s">
        <v>9826</v>
      </c>
      <c r="E174" s="12" t="s">
        <v>15573</v>
      </c>
      <c r="F174" s="13">
        <v>45664</v>
      </c>
      <c r="G174" s="14">
        <v>45908</v>
      </c>
      <c r="H174" s="15">
        <v>5000000</v>
      </c>
      <c r="I174" s="16">
        <v>12</v>
      </c>
      <c r="J174" s="17">
        <v>24</v>
      </c>
      <c r="K174" s="9" t="s">
        <v>9831</v>
      </c>
      <c r="L174" s="10" t="s">
        <v>15574</v>
      </c>
      <c r="M174" s="9" t="s">
        <v>9964</v>
      </c>
      <c r="N174" s="10" t="s">
        <v>17</v>
      </c>
      <c r="O174" s="15">
        <v>1800600</v>
      </c>
      <c r="P174" s="145">
        <v>218624</v>
      </c>
      <c r="Q174" s="9"/>
      <c r="R174" s="146"/>
      <c r="T174" s="92" t="s">
        <v>3365</v>
      </c>
      <c r="U174">
        <v>1</v>
      </c>
      <c r="V174">
        <f>VLOOKUP(T174,'Data Angt'!$A$5:$F$5810,6,FALSE)</f>
        <v>39</v>
      </c>
      <c r="W174" s="5" t="str">
        <f t="shared" si="2"/>
        <v>PRODUKTIF</v>
      </c>
      <c r="X174" s="5" t="str">
        <f>VLOOKUP(T174,'Data Angt'!$A$5:$H$5810,8,FALSE)</f>
        <v>Mengurus Rumah Tangga</v>
      </c>
      <c r="Y174" s="5" t="str">
        <f>VLOOKUP(T174,'Data Angt'!$A$5:$C$5808,3,FALSE)</f>
        <v>PBL</v>
      </c>
    </row>
    <row r="175" spans="1:25" x14ac:dyDescent="0.3">
      <c r="A175" s="8">
        <v>169</v>
      </c>
      <c r="B175" s="9" t="s">
        <v>2878</v>
      </c>
      <c r="C175" s="10" t="str">
        <f>VLOOKUP(B175,'Data Angt'!$A$5:$B$5809,2,FALSE)</f>
        <v>A1212</v>
      </c>
      <c r="D175" s="11" t="s">
        <v>9829</v>
      </c>
      <c r="E175" s="12" t="s">
        <v>15575</v>
      </c>
      <c r="F175" s="13">
        <v>45776</v>
      </c>
      <c r="G175" s="14">
        <v>45930</v>
      </c>
      <c r="H175" s="15">
        <v>20000000</v>
      </c>
      <c r="I175" s="16">
        <v>24</v>
      </c>
      <c r="J175" s="17">
        <v>24</v>
      </c>
      <c r="K175" s="9" t="s">
        <v>9831</v>
      </c>
      <c r="L175" s="10" t="s">
        <v>15576</v>
      </c>
      <c r="M175" s="9" t="s">
        <v>15577</v>
      </c>
      <c r="N175" s="10" t="s">
        <v>17</v>
      </c>
      <c r="O175" s="15">
        <v>16578600</v>
      </c>
      <c r="P175" s="145">
        <v>699786</v>
      </c>
      <c r="Q175" s="9" t="s">
        <v>22347</v>
      </c>
      <c r="R175" s="146" t="s">
        <v>22348</v>
      </c>
      <c r="T175" s="92" t="s">
        <v>3385</v>
      </c>
      <c r="U175">
        <v>1</v>
      </c>
      <c r="V175">
        <f>VLOOKUP(T175,'Data Angt'!$A$5:$F$5810,6,FALSE)</f>
        <v>37</v>
      </c>
      <c r="W175" s="5">
        <f t="shared" si="2"/>
        <v>0</v>
      </c>
      <c r="X175" s="5" t="str">
        <f>VLOOKUP(T175,'Data Angt'!$A$5:$H$5810,8,FALSE)</f>
        <v>Wiraswasta</v>
      </c>
      <c r="Y175" s="5" t="str">
        <f>VLOOKUP(T175,'Data Angt'!$A$5:$C$5808,3,FALSE)</f>
        <v>PBL</v>
      </c>
    </row>
    <row r="176" spans="1:25" x14ac:dyDescent="0.3">
      <c r="A176" s="8">
        <v>170</v>
      </c>
      <c r="B176" s="9" t="s">
        <v>2885</v>
      </c>
      <c r="C176" s="10" t="str">
        <f>VLOOKUP(B176,'Data Angt'!$A$5:$B$5809,2,FALSE)</f>
        <v>A1215</v>
      </c>
      <c r="D176" s="11" t="s">
        <v>9829</v>
      </c>
      <c r="E176" s="12" t="s">
        <v>9965</v>
      </c>
      <c r="F176" s="13">
        <v>43858</v>
      </c>
      <c r="G176" s="14">
        <v>45808</v>
      </c>
      <c r="H176" s="15">
        <v>70000000</v>
      </c>
      <c r="I176" s="16">
        <v>36</v>
      </c>
      <c r="J176" s="17">
        <v>21</v>
      </c>
      <c r="K176" s="9" t="s">
        <v>9831</v>
      </c>
      <c r="L176" s="10" t="s">
        <v>9966</v>
      </c>
      <c r="M176" s="9" t="s">
        <v>9838</v>
      </c>
      <c r="N176" s="10" t="s">
        <v>9830</v>
      </c>
      <c r="O176" s="15">
        <v>31217100</v>
      </c>
      <c r="P176" s="145">
        <v>11048320</v>
      </c>
      <c r="Q176" s="9"/>
      <c r="R176" s="146"/>
      <c r="T176" s="92" t="s">
        <v>3403</v>
      </c>
      <c r="U176">
        <v>1</v>
      </c>
      <c r="V176">
        <f>VLOOKUP(T176,'Data Angt'!$A$5:$F$5810,6,FALSE)</f>
        <v>37</v>
      </c>
      <c r="W176" s="5" t="str">
        <f t="shared" si="2"/>
        <v>PRODUKTIF</v>
      </c>
      <c r="X176" s="5" t="str">
        <f>VLOOKUP(T176,'Data Angt'!$A$5:$H$5810,8,FALSE)</f>
        <v>Wiraswasta</v>
      </c>
      <c r="Y176" s="5" t="str">
        <f>VLOOKUP(T176,'Data Angt'!$A$5:$C$5808,3,FALSE)</f>
        <v>PBL</v>
      </c>
    </row>
    <row r="177" spans="1:25" x14ac:dyDescent="0.3">
      <c r="A177" s="8">
        <v>171</v>
      </c>
      <c r="B177" s="9" t="s">
        <v>2892</v>
      </c>
      <c r="C177" s="10" t="str">
        <f>VLOOKUP(B177,'Data Angt'!$A$5:$B$5809,2,FALSE)</f>
        <v>A1219</v>
      </c>
      <c r="D177" s="11" t="s">
        <v>9833</v>
      </c>
      <c r="E177" s="12" t="s">
        <v>15578</v>
      </c>
      <c r="F177" s="13">
        <v>45818</v>
      </c>
      <c r="G177" s="14">
        <v>45912</v>
      </c>
      <c r="H177" s="15">
        <v>20000000</v>
      </c>
      <c r="I177" s="16">
        <v>24</v>
      </c>
      <c r="J177" s="17">
        <v>24</v>
      </c>
      <c r="K177" s="9" t="s">
        <v>9831</v>
      </c>
      <c r="L177" s="10" t="s">
        <v>15579</v>
      </c>
      <c r="M177" s="9" t="s">
        <v>15580</v>
      </c>
      <c r="N177" s="10" t="s">
        <v>9834</v>
      </c>
      <c r="O177" s="15">
        <v>17987900</v>
      </c>
      <c r="P177" s="145">
        <v>435149</v>
      </c>
      <c r="Q177" s="9" t="s">
        <v>22189</v>
      </c>
      <c r="R177" s="146" t="s">
        <v>22349</v>
      </c>
      <c r="T177" s="92" t="s">
        <v>3405</v>
      </c>
      <c r="U177">
        <v>1</v>
      </c>
      <c r="V177">
        <f>VLOOKUP(T177,'Data Angt'!$A$5:$F$5810,6,FALSE)</f>
        <v>44</v>
      </c>
      <c r="W177" s="5" t="str">
        <f t="shared" si="2"/>
        <v>KONSUMTIF</v>
      </c>
      <c r="X177" s="5" t="str">
        <f>VLOOKUP(T177,'Data Angt'!$A$5:$H$5810,8,FALSE)</f>
        <v>Aparatur/Pejabat Negara</v>
      </c>
      <c r="Y177" s="5" t="str">
        <f>VLOOKUP(T177,'Data Angt'!$A$5:$C$5808,3,FALSE)</f>
        <v>PBL</v>
      </c>
    </row>
    <row r="178" spans="1:25" x14ac:dyDescent="0.3">
      <c r="A178" s="8">
        <v>172</v>
      </c>
      <c r="B178" s="9" t="s">
        <v>2892</v>
      </c>
      <c r="C178" s="10" t="str">
        <f>VLOOKUP(B178,'Data Angt'!$A$5:$B$5809,2,FALSE)</f>
        <v>A1219</v>
      </c>
      <c r="D178" s="11" t="s">
        <v>9826</v>
      </c>
      <c r="E178" s="12" t="s">
        <v>15581</v>
      </c>
      <c r="F178" s="13">
        <v>45724</v>
      </c>
      <c r="G178" s="14">
        <v>45908</v>
      </c>
      <c r="H178" s="15">
        <v>5000000</v>
      </c>
      <c r="I178" s="16">
        <v>12</v>
      </c>
      <c r="J178" s="17">
        <v>24</v>
      </c>
      <c r="K178" s="9" t="s">
        <v>9831</v>
      </c>
      <c r="L178" s="10" t="s">
        <v>15582</v>
      </c>
      <c r="M178" s="9" t="s">
        <v>9862</v>
      </c>
      <c r="N178" s="10" t="s">
        <v>9834</v>
      </c>
      <c r="O178" s="15">
        <v>2648600</v>
      </c>
      <c r="P178" s="145">
        <v>182024</v>
      </c>
      <c r="Q178" s="9"/>
      <c r="R178" s="146"/>
      <c r="T178" s="92" t="s">
        <v>3412</v>
      </c>
      <c r="U178">
        <v>1</v>
      </c>
      <c r="V178">
        <f>VLOOKUP(T178,'Data Angt'!$A$5:$F$5810,6,FALSE)</f>
        <v>49</v>
      </c>
      <c r="W178" s="5" t="str">
        <f t="shared" si="2"/>
        <v>KONSUMTIF</v>
      </c>
      <c r="X178" s="5" t="str">
        <f>VLOOKUP(T178,'Data Angt'!$A$5:$H$5810,8,FALSE)</f>
        <v>Tenaga Pengajar</v>
      </c>
      <c r="Y178" s="5" t="str">
        <f>VLOOKUP(T178,'Data Angt'!$A$5:$C$5808,3,FALSE)</f>
        <v>PBL</v>
      </c>
    </row>
    <row r="179" spans="1:25" x14ac:dyDescent="0.3">
      <c r="A179" s="8">
        <v>173</v>
      </c>
      <c r="B179" s="9" t="s">
        <v>2909</v>
      </c>
      <c r="C179" s="10" t="str">
        <f>VLOOKUP(B179,'Data Angt'!$A$5:$B$5809,2,FALSE)</f>
        <v>A1227</v>
      </c>
      <c r="D179" s="11" t="s">
        <v>9829</v>
      </c>
      <c r="E179" s="12" t="s">
        <v>15583</v>
      </c>
      <c r="F179" s="13">
        <v>45442</v>
      </c>
      <c r="G179" s="14">
        <v>45930</v>
      </c>
      <c r="H179" s="15">
        <v>3000000</v>
      </c>
      <c r="I179" s="16">
        <v>18</v>
      </c>
      <c r="J179" s="17">
        <v>24</v>
      </c>
      <c r="K179" s="9" t="s">
        <v>9831</v>
      </c>
      <c r="L179" s="10" t="s">
        <v>15584</v>
      </c>
      <c r="M179" s="9" t="s">
        <v>9841</v>
      </c>
      <c r="N179" s="10" t="s">
        <v>17</v>
      </c>
      <c r="O179" s="15">
        <v>387800</v>
      </c>
      <c r="P179" s="145">
        <v>221621</v>
      </c>
      <c r="Q179" s="9"/>
      <c r="R179" s="146"/>
      <c r="T179" s="92" t="s">
        <v>3448</v>
      </c>
      <c r="U179">
        <v>1</v>
      </c>
      <c r="V179">
        <f>VLOOKUP(T179,'Data Angt'!$A$5:$F$5810,6,FALSE)</f>
        <v>63</v>
      </c>
      <c r="W179" s="5" t="str">
        <f t="shared" si="2"/>
        <v>KESEJAHTERAAN</v>
      </c>
      <c r="X179" s="5" t="str">
        <f>VLOOKUP(T179,'Data Angt'!$A$5:$H$5810,8,FALSE)</f>
        <v>Karyawan</v>
      </c>
      <c r="Y179" s="5" t="str">
        <f>VLOOKUP(T179,'Data Angt'!$A$5:$C$5808,3,FALSE)</f>
        <v>PBL</v>
      </c>
    </row>
    <row r="180" spans="1:25" x14ac:dyDescent="0.3">
      <c r="A180" s="8">
        <v>174</v>
      </c>
      <c r="B180" s="9" t="s">
        <v>2911</v>
      </c>
      <c r="C180" s="10" t="str">
        <f>VLOOKUP(B180,'Data Angt'!$A$5:$B$5809,2,FALSE)</f>
        <v>A1228</v>
      </c>
      <c r="D180" s="11" t="s">
        <v>9833</v>
      </c>
      <c r="E180" s="12" t="s">
        <v>22350</v>
      </c>
      <c r="F180" s="13">
        <v>45874</v>
      </c>
      <c r="G180" s="14">
        <v>45909</v>
      </c>
      <c r="H180" s="15">
        <v>7000000</v>
      </c>
      <c r="I180" s="16">
        <v>24</v>
      </c>
      <c r="J180" s="17">
        <v>24</v>
      </c>
      <c r="K180" s="9" t="s">
        <v>9831</v>
      </c>
      <c r="L180" s="10" t="s">
        <v>22351</v>
      </c>
      <c r="M180" s="9" t="s">
        <v>22352</v>
      </c>
      <c r="N180" s="10" t="s">
        <v>9834</v>
      </c>
      <c r="O180" s="15">
        <v>6769900</v>
      </c>
      <c r="P180" s="145">
        <v>52500</v>
      </c>
      <c r="Q180" s="9"/>
      <c r="R180" s="146"/>
      <c r="T180" s="92" t="s">
        <v>3463</v>
      </c>
      <c r="U180">
        <v>1</v>
      </c>
      <c r="V180">
        <f>VLOOKUP(T180,'Data Angt'!$A$5:$F$5810,6,FALSE)</f>
        <v>56</v>
      </c>
      <c r="W180" s="5" t="str">
        <f t="shared" si="2"/>
        <v>KESEJAHTERAAN</v>
      </c>
      <c r="X180" s="5" t="str">
        <f>VLOOKUP(T180,'Data Angt'!$A$5:$H$5810,8,FALSE)</f>
        <v>Wiraswasta</v>
      </c>
      <c r="Y180" s="5" t="str">
        <f>VLOOKUP(T180,'Data Angt'!$A$5:$C$5808,3,FALSE)</f>
        <v>PBL</v>
      </c>
    </row>
    <row r="181" spans="1:25" x14ac:dyDescent="0.3">
      <c r="A181" s="8">
        <v>175</v>
      </c>
      <c r="B181" s="9" t="s">
        <v>2913</v>
      </c>
      <c r="C181" s="10" t="str">
        <f>VLOOKUP(B181,'Data Angt'!$A$5:$B$5809,2,FALSE)</f>
        <v>A1229</v>
      </c>
      <c r="D181" s="11" t="s">
        <v>9829</v>
      </c>
      <c r="E181" s="12" t="s">
        <v>15585</v>
      </c>
      <c r="F181" s="13">
        <v>45731</v>
      </c>
      <c r="G181" s="14">
        <v>45917</v>
      </c>
      <c r="H181" s="15">
        <v>10000000</v>
      </c>
      <c r="I181" s="16">
        <v>36</v>
      </c>
      <c r="J181" s="17">
        <v>24</v>
      </c>
      <c r="K181" s="9" t="s">
        <v>9831</v>
      </c>
      <c r="L181" s="10" t="s">
        <v>15586</v>
      </c>
      <c r="M181" s="9" t="s">
        <v>15587</v>
      </c>
      <c r="N181" s="10" t="s">
        <v>110</v>
      </c>
      <c r="O181" s="15">
        <v>8786600</v>
      </c>
      <c r="P181" s="145">
        <v>427874</v>
      </c>
      <c r="Q181" s="9"/>
      <c r="R181" s="146"/>
      <c r="T181" s="92" t="s">
        <v>3504</v>
      </c>
      <c r="U181">
        <v>1</v>
      </c>
      <c r="V181">
        <f>VLOOKUP(T181,'Data Angt'!$A$5:$F$5810,6,FALSE)</f>
        <v>43</v>
      </c>
      <c r="W181" s="5" t="str">
        <f t="shared" si="2"/>
        <v>PENDIDIKAN</v>
      </c>
      <c r="X181" s="5" t="str">
        <f>VLOOKUP(T181,'Data Angt'!$A$5:$H$5810,8,FALSE)</f>
        <v>Aparatur/Pejabat Negara</v>
      </c>
      <c r="Y181" s="5" t="str">
        <f>VLOOKUP(T181,'Data Angt'!$A$5:$C$5808,3,FALSE)</f>
        <v>PBL</v>
      </c>
    </row>
    <row r="182" spans="1:25" x14ac:dyDescent="0.3">
      <c r="A182" s="8">
        <v>176</v>
      </c>
      <c r="B182" s="9" t="s">
        <v>2939</v>
      </c>
      <c r="C182" s="10" t="str">
        <f>VLOOKUP(B182,'Data Angt'!$A$5:$B$5809,2,FALSE)</f>
        <v>A1242</v>
      </c>
      <c r="D182" s="11" t="s">
        <v>9829</v>
      </c>
      <c r="E182" s="12" t="s">
        <v>15588</v>
      </c>
      <c r="F182" s="13">
        <v>45502</v>
      </c>
      <c r="G182" s="14">
        <v>45920</v>
      </c>
      <c r="H182" s="15">
        <v>45000000</v>
      </c>
      <c r="I182" s="16">
        <v>36</v>
      </c>
      <c r="J182" s="17">
        <v>21</v>
      </c>
      <c r="K182" s="9" t="s">
        <v>9831</v>
      </c>
      <c r="L182" s="10" t="s">
        <v>15589</v>
      </c>
      <c r="M182" s="9" t="s">
        <v>10002</v>
      </c>
      <c r="N182" s="10" t="s">
        <v>17</v>
      </c>
      <c r="O182" s="15">
        <v>30738100</v>
      </c>
      <c r="P182" s="145">
        <v>3552633</v>
      </c>
      <c r="Q182" s="9" t="s">
        <v>22220</v>
      </c>
      <c r="R182" s="146" t="s">
        <v>22353</v>
      </c>
      <c r="T182" s="92" t="s">
        <v>3512</v>
      </c>
      <c r="U182">
        <v>1</v>
      </c>
      <c r="V182">
        <f>VLOOKUP(T182,'Data Angt'!$A$5:$F$5810,6,FALSE)</f>
        <v>49</v>
      </c>
      <c r="W182" s="5" t="str">
        <f t="shared" si="2"/>
        <v>PENDIDIKAN</v>
      </c>
      <c r="X182" s="5" t="str">
        <f>VLOOKUP(T182,'Data Angt'!$A$5:$H$5810,8,FALSE)</f>
        <v>Lain-Lain</v>
      </c>
      <c r="Y182" s="5" t="str">
        <f>VLOOKUP(T182,'Data Angt'!$A$5:$C$5808,3,FALSE)</f>
        <v>PBL</v>
      </c>
    </row>
    <row r="183" spans="1:25" x14ac:dyDescent="0.3">
      <c r="A183" s="8">
        <v>177</v>
      </c>
      <c r="B183" s="9" t="s">
        <v>2995</v>
      </c>
      <c r="C183" s="10" t="str">
        <f>VLOOKUP(B183,'Data Angt'!$A$5:$B$5809,2,FALSE)</f>
        <v>A1266</v>
      </c>
      <c r="D183" s="11" t="s">
        <v>9829</v>
      </c>
      <c r="E183" s="12" t="s">
        <v>15590</v>
      </c>
      <c r="F183" s="13">
        <v>45694</v>
      </c>
      <c r="G183" s="14">
        <v>45908</v>
      </c>
      <c r="H183" s="15">
        <v>2500000</v>
      </c>
      <c r="I183" s="16">
        <v>12</v>
      </c>
      <c r="J183" s="17">
        <v>11.88</v>
      </c>
      <c r="K183" s="9" t="s">
        <v>9831</v>
      </c>
      <c r="L183" s="10" t="s">
        <v>15591</v>
      </c>
      <c r="M183" s="9" t="s">
        <v>15592</v>
      </c>
      <c r="N183" s="10" t="s">
        <v>9828</v>
      </c>
      <c r="O183" s="15">
        <v>1077900</v>
      </c>
      <c r="P183" s="145">
        <v>49461</v>
      </c>
      <c r="Q183" s="9"/>
      <c r="R183" s="146"/>
      <c r="T183" s="92" t="s">
        <v>3518</v>
      </c>
      <c r="U183">
        <v>1</v>
      </c>
      <c r="V183">
        <f>VLOOKUP(T183,'Data Angt'!$A$5:$F$5810,6,FALSE)</f>
        <v>59</v>
      </c>
      <c r="W183" s="5" t="str">
        <f t="shared" si="2"/>
        <v>KONSUMTIF</v>
      </c>
      <c r="X183" s="5" t="str">
        <f>VLOOKUP(T183,'Data Angt'!$A$5:$H$5810,8,FALSE)</f>
        <v>Mengurus Rumah Tangga</v>
      </c>
      <c r="Y183" s="5" t="str">
        <f>VLOOKUP(T183,'Data Angt'!$A$5:$C$5808,3,FALSE)</f>
        <v>PBL</v>
      </c>
    </row>
    <row r="184" spans="1:25" x14ac:dyDescent="0.3">
      <c r="A184" s="8">
        <v>178</v>
      </c>
      <c r="B184" s="9" t="s">
        <v>2998</v>
      </c>
      <c r="C184" s="10" t="str">
        <f>VLOOKUP(B184,'Data Angt'!$A$5:$B$5809,2,FALSE)</f>
        <v>A1267</v>
      </c>
      <c r="D184" s="11" t="s">
        <v>9826</v>
      </c>
      <c r="E184" s="12" t="s">
        <v>22354</v>
      </c>
      <c r="F184" s="13">
        <v>45848</v>
      </c>
      <c r="G184" s="14">
        <v>45910</v>
      </c>
      <c r="H184" s="15">
        <v>2000000</v>
      </c>
      <c r="I184" s="16">
        <v>12</v>
      </c>
      <c r="J184" s="17">
        <v>24</v>
      </c>
      <c r="K184" s="9" t="s">
        <v>9831</v>
      </c>
      <c r="L184" s="10" t="s">
        <v>22355</v>
      </c>
      <c r="M184" s="9" t="s">
        <v>9962</v>
      </c>
      <c r="N184" s="10" t="s">
        <v>9834</v>
      </c>
      <c r="O184" s="15">
        <v>1698700</v>
      </c>
      <c r="P184" s="145">
        <v>28912</v>
      </c>
      <c r="Q184" s="9"/>
      <c r="R184" s="146"/>
      <c r="T184" s="92" t="s">
        <v>3581</v>
      </c>
      <c r="U184">
        <v>1</v>
      </c>
      <c r="V184">
        <f>VLOOKUP(T184,'Data Angt'!$A$5:$F$5810,6,FALSE)</f>
        <v>38</v>
      </c>
      <c r="W184" s="5" t="str">
        <f t="shared" si="2"/>
        <v>PRODUKTIF</v>
      </c>
      <c r="X184" s="5" t="str">
        <f>VLOOKUP(T184,'Data Angt'!$A$5:$H$5810,8,FALSE)</f>
        <v>Karyawan</v>
      </c>
      <c r="Y184" s="5" t="str">
        <f>VLOOKUP(T184,'Data Angt'!$A$5:$C$5808,3,FALSE)</f>
        <v>PBL</v>
      </c>
    </row>
    <row r="185" spans="1:25" x14ac:dyDescent="0.3">
      <c r="A185" s="8">
        <v>179</v>
      </c>
      <c r="B185" s="9" t="s">
        <v>2998</v>
      </c>
      <c r="C185" s="10" t="str">
        <f>VLOOKUP(B185,'Data Angt'!$A$5:$B$5809,2,FALSE)</f>
        <v>A1267</v>
      </c>
      <c r="D185" s="11" t="s">
        <v>9829</v>
      </c>
      <c r="E185" s="12" t="s">
        <v>15593</v>
      </c>
      <c r="F185" s="13">
        <v>45647</v>
      </c>
      <c r="G185" s="14">
        <v>45920</v>
      </c>
      <c r="H185" s="15">
        <v>30000000</v>
      </c>
      <c r="I185" s="16">
        <v>36</v>
      </c>
      <c r="J185" s="17">
        <v>21</v>
      </c>
      <c r="K185" s="9" t="s">
        <v>9831</v>
      </c>
      <c r="L185" s="10" t="s">
        <v>15594</v>
      </c>
      <c r="M185" s="9" t="s">
        <v>10110</v>
      </c>
      <c r="N185" s="10" t="s">
        <v>9828</v>
      </c>
      <c r="O185" s="15">
        <v>24155500</v>
      </c>
      <c r="P185" s="145">
        <v>1623072</v>
      </c>
      <c r="Q185" s="9" t="s">
        <v>22240</v>
      </c>
      <c r="R185" s="146" t="s">
        <v>22356</v>
      </c>
      <c r="T185" s="92" t="s">
        <v>3625</v>
      </c>
      <c r="U185">
        <v>1</v>
      </c>
      <c r="V185">
        <f>VLOOKUP(T185,'Data Angt'!$A$5:$F$5810,6,FALSE)</f>
        <v>62</v>
      </c>
      <c r="W185" s="5" t="str">
        <f t="shared" si="2"/>
        <v>KONSUMTIF</v>
      </c>
      <c r="X185" s="5" t="str">
        <f>VLOOKUP(T185,'Data Angt'!$A$5:$H$5810,8,FALSE)</f>
        <v>Mengurus Rumah Tangga</v>
      </c>
      <c r="Y185" s="5" t="str">
        <f>VLOOKUP(T185,'Data Angt'!$A$5:$C$5808,3,FALSE)</f>
        <v>PBL</v>
      </c>
    </row>
    <row r="186" spans="1:25" x14ac:dyDescent="0.3">
      <c r="A186" s="8">
        <v>180</v>
      </c>
      <c r="B186" s="9" t="s">
        <v>3016</v>
      </c>
      <c r="C186" s="10" t="str">
        <f>VLOOKUP(B186,'Data Angt'!$A$5:$B$5809,2,FALSE)</f>
        <v>A1276</v>
      </c>
      <c r="D186" s="11" t="s">
        <v>9833</v>
      </c>
      <c r="E186" s="12" t="s">
        <v>15595</v>
      </c>
      <c r="F186" s="13">
        <v>45360</v>
      </c>
      <c r="G186" s="14">
        <v>45772</v>
      </c>
      <c r="H186" s="15">
        <v>35000000</v>
      </c>
      <c r="I186" s="16">
        <v>36</v>
      </c>
      <c r="J186" s="17">
        <v>21</v>
      </c>
      <c r="K186" s="9" t="s">
        <v>9831</v>
      </c>
      <c r="L186" s="10" t="s">
        <v>15596</v>
      </c>
      <c r="M186" s="9" t="s">
        <v>10521</v>
      </c>
      <c r="N186" s="10" t="s">
        <v>9834</v>
      </c>
      <c r="O186" s="15">
        <v>24791500</v>
      </c>
      <c r="P186" s="145">
        <v>2600473</v>
      </c>
      <c r="Q186" s="9" t="s">
        <v>22340</v>
      </c>
      <c r="R186" s="146" t="s">
        <v>22357</v>
      </c>
      <c r="T186" s="92" t="s">
        <v>3633</v>
      </c>
      <c r="U186">
        <v>1</v>
      </c>
      <c r="V186">
        <f>VLOOKUP(T186,'Data Angt'!$A$5:$F$5810,6,FALSE)</f>
        <v>59</v>
      </c>
      <c r="W186" s="5" t="str">
        <f t="shared" si="2"/>
        <v>PRODUKTIF</v>
      </c>
      <c r="X186" s="5" t="str">
        <f>VLOOKUP(T186,'Data Angt'!$A$5:$H$5810,8,FALSE)</f>
        <v>Mengurus Rumah Tangga</v>
      </c>
      <c r="Y186" s="5" t="str">
        <f>VLOOKUP(T186,'Data Angt'!$A$5:$C$5808,3,FALSE)</f>
        <v>PBL</v>
      </c>
    </row>
    <row r="187" spans="1:25" x14ac:dyDescent="0.3">
      <c r="A187" s="8">
        <v>181</v>
      </c>
      <c r="B187" s="9" t="s">
        <v>3049</v>
      </c>
      <c r="C187" s="10" t="str">
        <f>VLOOKUP(B187,'Data Angt'!$A$5:$B$5809,2,FALSE)</f>
        <v>A1290</v>
      </c>
      <c r="D187" s="11" t="s">
        <v>9829</v>
      </c>
      <c r="E187" s="12" t="s">
        <v>15597</v>
      </c>
      <c r="F187" s="13">
        <v>45541</v>
      </c>
      <c r="G187" s="14">
        <v>45811</v>
      </c>
      <c r="H187" s="15">
        <v>15000000</v>
      </c>
      <c r="I187" s="16">
        <v>18</v>
      </c>
      <c r="J187" s="17">
        <v>24</v>
      </c>
      <c r="K187" s="9" t="s">
        <v>9831</v>
      </c>
      <c r="L187" s="10" t="s">
        <v>15598</v>
      </c>
      <c r="M187" s="9" t="s">
        <v>9854</v>
      </c>
      <c r="N187" s="10" t="s">
        <v>17</v>
      </c>
      <c r="O187" s="15">
        <v>12112500</v>
      </c>
      <c r="P187" s="145">
        <v>525337</v>
      </c>
      <c r="Q187" s="9" t="s">
        <v>22189</v>
      </c>
      <c r="R187" s="146" t="s">
        <v>22358</v>
      </c>
      <c r="T187" s="92" t="s">
        <v>3643</v>
      </c>
      <c r="U187">
        <v>1</v>
      </c>
      <c r="V187">
        <f>VLOOKUP(T187,'Data Angt'!$A$5:$F$5810,6,FALSE)</f>
        <v>31</v>
      </c>
      <c r="W187" s="5" t="str">
        <f t="shared" si="2"/>
        <v>KESEJAHTERAAN</v>
      </c>
      <c r="X187" s="5" t="str">
        <f>VLOOKUP(T187,'Data Angt'!$A$5:$H$5810,8,FALSE)</f>
        <v>Karyawan</v>
      </c>
      <c r="Y187" s="5" t="str">
        <f>VLOOKUP(T187,'Data Angt'!$A$5:$C$5808,3,FALSE)</f>
        <v>PBL</v>
      </c>
    </row>
    <row r="188" spans="1:25" x14ac:dyDescent="0.3">
      <c r="A188" s="8">
        <v>182</v>
      </c>
      <c r="B188" s="9" t="s">
        <v>3104</v>
      </c>
      <c r="C188" s="10" t="str">
        <f>VLOOKUP(B188,'Data Angt'!$A$5:$B$5809,2,FALSE)</f>
        <v>A1314</v>
      </c>
      <c r="D188" s="11" t="s">
        <v>9829</v>
      </c>
      <c r="E188" s="12" t="s">
        <v>15599</v>
      </c>
      <c r="F188" s="13">
        <v>45702</v>
      </c>
      <c r="G188" s="14">
        <v>45908</v>
      </c>
      <c r="H188" s="15">
        <v>80000000</v>
      </c>
      <c r="I188" s="16">
        <v>60</v>
      </c>
      <c r="J188" s="17">
        <v>21</v>
      </c>
      <c r="K188" s="9" t="s">
        <v>9831</v>
      </c>
      <c r="L188" s="10" t="s">
        <v>15600</v>
      </c>
      <c r="M188" s="9" t="s">
        <v>9962</v>
      </c>
      <c r="N188" s="10" t="s">
        <v>9834</v>
      </c>
      <c r="O188" s="15">
        <v>74361000</v>
      </c>
      <c r="P188" s="145">
        <v>3566661</v>
      </c>
      <c r="Q188" s="9" t="s">
        <v>22240</v>
      </c>
      <c r="R188" s="146" t="s">
        <v>22359</v>
      </c>
      <c r="T188" s="92" t="s">
        <v>3648</v>
      </c>
      <c r="U188">
        <v>1</v>
      </c>
      <c r="V188">
        <f>VLOOKUP(T188,'Data Angt'!$A$5:$F$5810,6,FALSE)</f>
        <v>41</v>
      </c>
      <c r="W188" s="5" t="str">
        <f t="shared" si="2"/>
        <v>KONSUMTIF</v>
      </c>
      <c r="X188" s="5" t="str">
        <f>VLOOKUP(T188,'Data Angt'!$A$5:$H$5810,8,FALSE)</f>
        <v>Mengurus Rumah Tangga</v>
      </c>
      <c r="Y188" s="5" t="str">
        <f>VLOOKUP(T188,'Data Angt'!$A$5:$C$5808,3,FALSE)</f>
        <v>PBL</v>
      </c>
    </row>
    <row r="189" spans="1:25" x14ac:dyDescent="0.3">
      <c r="A189" s="8">
        <v>183</v>
      </c>
      <c r="B189" s="9" t="s">
        <v>3146</v>
      </c>
      <c r="C189" s="10" t="str">
        <f>VLOOKUP(B189,'Data Angt'!$A$5:$B$5809,2,FALSE)</f>
        <v>A1333</v>
      </c>
      <c r="D189" s="11" t="s">
        <v>9829</v>
      </c>
      <c r="E189" s="12" t="s">
        <v>15601</v>
      </c>
      <c r="F189" s="13">
        <v>45724</v>
      </c>
      <c r="G189" s="14">
        <v>45908</v>
      </c>
      <c r="H189" s="15">
        <v>25000000</v>
      </c>
      <c r="I189" s="16">
        <v>36</v>
      </c>
      <c r="J189" s="17">
        <v>21</v>
      </c>
      <c r="K189" s="9" t="s">
        <v>9831</v>
      </c>
      <c r="L189" s="10" t="s">
        <v>15602</v>
      </c>
      <c r="M189" s="9" t="s">
        <v>9838</v>
      </c>
      <c r="N189" s="10" t="s">
        <v>9830</v>
      </c>
      <c r="O189" s="15">
        <v>21186200</v>
      </c>
      <c r="P189" s="145">
        <v>871949</v>
      </c>
      <c r="Q189" s="9"/>
      <c r="R189" s="146"/>
      <c r="T189" s="92" t="s">
        <v>3650</v>
      </c>
      <c r="U189">
        <v>1</v>
      </c>
      <c r="V189">
        <f>VLOOKUP(T189,'Data Angt'!$A$5:$F$5810,6,FALSE)</f>
        <v>50</v>
      </c>
      <c r="W189" s="5" t="str">
        <f t="shared" si="2"/>
        <v>PENDIDIKAN</v>
      </c>
      <c r="X189" s="5" t="str">
        <f>VLOOKUP(T189,'Data Angt'!$A$5:$H$5810,8,FALSE)</f>
        <v>Lain-Lain</v>
      </c>
      <c r="Y189" s="5" t="str">
        <f>VLOOKUP(T189,'Data Angt'!$A$5:$C$5808,3,FALSE)</f>
        <v>PBL</v>
      </c>
    </row>
    <row r="190" spans="1:25" x14ac:dyDescent="0.3">
      <c r="A190" s="8">
        <v>184</v>
      </c>
      <c r="B190" s="9" t="s">
        <v>3232</v>
      </c>
      <c r="C190" s="10" t="str">
        <f>VLOOKUP(B190,'Data Angt'!$A$5:$B$5809,2,FALSE)</f>
        <v>A1371</v>
      </c>
      <c r="D190" s="11" t="s">
        <v>9829</v>
      </c>
      <c r="E190" s="12" t="s">
        <v>9968</v>
      </c>
      <c r="F190" s="13">
        <v>44621</v>
      </c>
      <c r="G190" s="14">
        <v>45310</v>
      </c>
      <c r="H190" s="15">
        <v>70000000</v>
      </c>
      <c r="I190" s="16">
        <v>60</v>
      </c>
      <c r="J190" s="17">
        <v>21</v>
      </c>
      <c r="K190" s="9" t="s">
        <v>9831</v>
      </c>
      <c r="L190" s="10" t="s">
        <v>9969</v>
      </c>
      <c r="M190" s="9" t="s">
        <v>9970</v>
      </c>
      <c r="N190" s="10" t="s">
        <v>9828</v>
      </c>
      <c r="O190" s="15">
        <v>56891300</v>
      </c>
      <c r="P190" s="145">
        <v>8294694</v>
      </c>
      <c r="Q190" s="9"/>
      <c r="R190" s="146"/>
      <c r="T190" s="92" t="s">
        <v>3664</v>
      </c>
      <c r="U190">
        <v>1</v>
      </c>
      <c r="V190">
        <f>VLOOKUP(T190,'Data Angt'!$A$5:$F$5810,6,FALSE)</f>
        <v>58</v>
      </c>
      <c r="W190" s="5" t="str">
        <f t="shared" si="2"/>
        <v>KESEJAHTERAAN</v>
      </c>
      <c r="X190" s="5" t="str">
        <f>VLOOKUP(T190,'Data Angt'!$A$5:$H$5810,8,FALSE)</f>
        <v>Pensiunan</v>
      </c>
      <c r="Y190" s="5" t="str">
        <f>VLOOKUP(T190,'Data Angt'!$A$5:$C$5808,3,FALSE)</f>
        <v>PBL</v>
      </c>
    </row>
    <row r="191" spans="1:25" x14ac:dyDescent="0.3">
      <c r="A191" s="8">
        <v>185</v>
      </c>
      <c r="B191" s="9" t="s">
        <v>3279</v>
      </c>
      <c r="C191" s="10" t="str">
        <f>VLOOKUP(B191,'Data Angt'!$A$5:$B$5809,2,FALSE)</f>
        <v>A1392</v>
      </c>
      <c r="D191" s="11" t="s">
        <v>9895</v>
      </c>
      <c r="E191" s="12" t="s">
        <v>15603</v>
      </c>
      <c r="F191" s="13">
        <v>45476</v>
      </c>
      <c r="G191" s="14">
        <v>45903</v>
      </c>
      <c r="H191" s="15">
        <v>25000000</v>
      </c>
      <c r="I191" s="16">
        <v>24</v>
      </c>
      <c r="J191" s="17">
        <v>21</v>
      </c>
      <c r="K191" s="9" t="s">
        <v>9831</v>
      </c>
      <c r="L191" s="10" t="s">
        <v>15604</v>
      </c>
      <c r="M191" s="9" t="s">
        <v>9896</v>
      </c>
      <c r="N191" s="10" t="s">
        <v>9828</v>
      </c>
      <c r="O191" s="15">
        <v>11691600</v>
      </c>
      <c r="P191" s="145">
        <v>1754022</v>
      </c>
      <c r="Q191" s="9" t="s">
        <v>22189</v>
      </c>
      <c r="R191" s="146" t="s">
        <v>22360</v>
      </c>
      <c r="T191" s="92" t="s">
        <v>3668</v>
      </c>
      <c r="U191">
        <v>1</v>
      </c>
      <c r="V191">
        <f>VLOOKUP(T191,'Data Angt'!$A$5:$F$5810,6,FALSE)</f>
        <v>48</v>
      </c>
      <c r="W191" s="5" t="str">
        <f t="shared" si="2"/>
        <v>KONSUMTIF</v>
      </c>
      <c r="X191" s="5" t="str">
        <f>VLOOKUP(T191,'Data Angt'!$A$5:$H$5810,8,FALSE)</f>
        <v>Lain-Lain</v>
      </c>
      <c r="Y191" s="5" t="str">
        <f>VLOOKUP(T191,'Data Angt'!$A$5:$C$5808,3,FALSE)</f>
        <v>PBL</v>
      </c>
    </row>
    <row r="192" spans="1:25" x14ac:dyDescent="0.3">
      <c r="A192" s="8">
        <v>186</v>
      </c>
      <c r="B192" s="9" t="s">
        <v>3336</v>
      </c>
      <c r="C192" s="10" t="str">
        <f>VLOOKUP(B192,'Data Angt'!$A$5:$B$5809,2,FALSE)</f>
        <v>A1418</v>
      </c>
      <c r="D192" s="11" t="s">
        <v>9829</v>
      </c>
      <c r="E192" s="12" t="s">
        <v>9971</v>
      </c>
      <c r="F192" s="13">
        <v>45164</v>
      </c>
      <c r="G192" s="14">
        <v>45230</v>
      </c>
      <c r="H192" s="15">
        <v>8000000</v>
      </c>
      <c r="I192" s="16">
        <v>48</v>
      </c>
      <c r="J192" s="17">
        <v>24</v>
      </c>
      <c r="K192" s="9" t="s">
        <v>9831</v>
      </c>
      <c r="L192" s="10" t="s">
        <v>9972</v>
      </c>
      <c r="M192" s="9" t="s">
        <v>9973</v>
      </c>
      <c r="N192" s="10" t="s">
        <v>9828</v>
      </c>
      <c r="O192" s="15">
        <v>7899100</v>
      </c>
      <c r="P192" s="145">
        <v>119250</v>
      </c>
      <c r="Q192" s="9" t="s">
        <v>22189</v>
      </c>
      <c r="R192" s="146" t="s">
        <v>22361</v>
      </c>
      <c r="T192" s="92" t="s">
        <v>3707</v>
      </c>
      <c r="U192">
        <v>1</v>
      </c>
      <c r="V192">
        <f>VLOOKUP(T192,'Data Angt'!$A$5:$F$5810,6,FALSE)</f>
        <v>39</v>
      </c>
      <c r="W192" s="5" t="str">
        <f t="shared" si="2"/>
        <v>KONSUMTIF</v>
      </c>
      <c r="X192" s="5" t="str">
        <f>VLOOKUP(T192,'Data Angt'!$A$5:$H$5810,8,FALSE)</f>
        <v>Karyawan</v>
      </c>
      <c r="Y192" s="5" t="str">
        <f>VLOOKUP(T192,'Data Angt'!$A$5:$C$5808,3,FALSE)</f>
        <v>PBL</v>
      </c>
    </row>
    <row r="193" spans="1:25" x14ac:dyDescent="0.3">
      <c r="A193" s="8">
        <v>187</v>
      </c>
      <c r="B193" s="9" t="s">
        <v>3342</v>
      </c>
      <c r="C193" s="10" t="str">
        <f>VLOOKUP(B193,'Data Angt'!$A$5:$B$5809,2,FALSE)</f>
        <v>A1420</v>
      </c>
      <c r="D193" s="11" t="s">
        <v>9829</v>
      </c>
      <c r="E193" s="12" t="s">
        <v>15605</v>
      </c>
      <c r="F193" s="13">
        <v>45572</v>
      </c>
      <c r="G193" s="14">
        <v>45908</v>
      </c>
      <c r="H193" s="15">
        <v>15000000</v>
      </c>
      <c r="I193" s="16">
        <v>18</v>
      </c>
      <c r="J193" s="17">
        <v>24</v>
      </c>
      <c r="K193" s="9" t="s">
        <v>9831</v>
      </c>
      <c r="L193" s="10" t="s">
        <v>15606</v>
      </c>
      <c r="M193" s="9" t="s">
        <v>15607</v>
      </c>
      <c r="N193" s="10" t="s">
        <v>9828</v>
      </c>
      <c r="O193" s="15">
        <v>6475100</v>
      </c>
      <c r="P193" s="145">
        <v>930635</v>
      </c>
      <c r="Q193" s="9" t="s">
        <v>22189</v>
      </c>
      <c r="R193" s="146" t="s">
        <v>22362</v>
      </c>
      <c r="T193" s="92" t="s">
        <v>3743</v>
      </c>
      <c r="U193">
        <v>1</v>
      </c>
      <c r="V193">
        <f>VLOOKUP(T193,'Data Angt'!$A$5:$F$5810,6,FALSE)</f>
        <v>49</v>
      </c>
      <c r="W193" s="5" t="str">
        <f t="shared" si="2"/>
        <v>PENDIDIKAN</v>
      </c>
      <c r="X193" s="5" t="str">
        <f>VLOOKUP(T193,'Data Angt'!$A$5:$H$5810,8,FALSE)</f>
        <v>Wiraswasta</v>
      </c>
      <c r="Y193" s="5" t="str">
        <f>VLOOKUP(T193,'Data Angt'!$A$5:$C$5808,3,FALSE)</f>
        <v>PBL</v>
      </c>
    </row>
    <row r="194" spans="1:25" x14ac:dyDescent="0.3">
      <c r="A194" s="8">
        <v>188</v>
      </c>
      <c r="B194" s="9" t="s">
        <v>3360</v>
      </c>
      <c r="C194" s="10" t="str">
        <f>VLOOKUP(B194,'Data Angt'!$A$5:$B$5809,2,FALSE)</f>
        <v>A1428</v>
      </c>
      <c r="D194" s="11" t="s">
        <v>9829</v>
      </c>
      <c r="E194" s="12" t="s">
        <v>9974</v>
      </c>
      <c r="F194" s="13">
        <v>44277</v>
      </c>
      <c r="G194" s="14">
        <v>45372</v>
      </c>
      <c r="H194" s="15">
        <v>140000000</v>
      </c>
      <c r="I194" s="16">
        <v>120</v>
      </c>
      <c r="J194" s="17">
        <v>12</v>
      </c>
      <c r="K194" s="9" t="s">
        <v>9831</v>
      </c>
      <c r="L194" s="10" t="s">
        <v>9975</v>
      </c>
      <c r="M194" s="9" t="s">
        <v>9976</v>
      </c>
      <c r="N194" s="10"/>
      <c r="O194" s="15">
        <v>125159400</v>
      </c>
      <c r="P194" s="145">
        <v>11483398</v>
      </c>
      <c r="Q194" s="9" t="s">
        <v>22197</v>
      </c>
      <c r="R194" s="146" t="s">
        <v>22363</v>
      </c>
      <c r="T194" s="92" t="s">
        <v>3761</v>
      </c>
      <c r="U194">
        <v>1</v>
      </c>
      <c r="V194">
        <f>VLOOKUP(T194,'Data Angt'!$A$5:$F$5810,6,FALSE)</f>
        <v>43</v>
      </c>
      <c r="W194" s="5" t="str">
        <f t="shared" si="2"/>
        <v>KESEJAHTERAAN</v>
      </c>
      <c r="X194" s="5" t="str">
        <f>VLOOKUP(T194,'Data Angt'!$A$5:$H$5810,8,FALSE)</f>
        <v>Mengurus Rumah Tangga</v>
      </c>
      <c r="Y194" s="5" t="str">
        <f>VLOOKUP(T194,'Data Angt'!$A$5:$C$5808,3,FALSE)</f>
        <v>PBL</v>
      </c>
    </row>
    <row r="195" spans="1:25" x14ac:dyDescent="0.3">
      <c r="A195" s="8">
        <v>189</v>
      </c>
      <c r="B195" s="9" t="s">
        <v>3365</v>
      </c>
      <c r="C195" s="10" t="str">
        <f>VLOOKUP(B195,'Data Angt'!$A$5:$B$5809,2,FALSE)</f>
        <v>A1430</v>
      </c>
      <c r="D195" s="11" t="s">
        <v>9829</v>
      </c>
      <c r="E195" s="12" t="s">
        <v>15608</v>
      </c>
      <c r="F195" s="13">
        <v>45693</v>
      </c>
      <c r="G195" s="14">
        <v>45906</v>
      </c>
      <c r="H195" s="15">
        <v>11000000</v>
      </c>
      <c r="I195" s="16">
        <v>12</v>
      </c>
      <c r="J195" s="17">
        <v>11.9</v>
      </c>
      <c r="K195" s="9" t="s">
        <v>9831</v>
      </c>
      <c r="L195" s="10" t="s">
        <v>15609</v>
      </c>
      <c r="M195" s="9" t="s">
        <v>15610</v>
      </c>
      <c r="N195" s="10" t="s">
        <v>9834</v>
      </c>
      <c r="O195" s="15">
        <v>4741800</v>
      </c>
      <c r="P195" s="145">
        <v>217536</v>
      </c>
      <c r="Q195" s="9"/>
      <c r="R195" s="146"/>
      <c r="T195" s="92" t="s">
        <v>3791</v>
      </c>
      <c r="U195">
        <v>2</v>
      </c>
      <c r="V195">
        <f>VLOOKUP(T195,'Data Angt'!$A$5:$F$5810,6,FALSE)</f>
        <v>36</v>
      </c>
      <c r="W195" s="5" t="str">
        <f t="shared" si="2"/>
        <v>KESEJAHTERAAN</v>
      </c>
      <c r="X195" s="5" t="str">
        <f>VLOOKUP(T195,'Data Angt'!$A$5:$H$5810,8,FALSE)</f>
        <v>Karyawan</v>
      </c>
      <c r="Y195" s="5" t="str">
        <f>VLOOKUP(T195,'Data Angt'!$A$5:$C$5808,3,FALSE)</f>
        <v>PBL</v>
      </c>
    </row>
    <row r="196" spans="1:25" x14ac:dyDescent="0.3">
      <c r="A196" s="8">
        <v>190</v>
      </c>
      <c r="B196" s="9" t="s">
        <v>3385</v>
      </c>
      <c r="C196" s="10" t="str">
        <f>VLOOKUP(B196,'Data Angt'!$A$5:$B$5809,2,FALSE)</f>
        <v>A1438</v>
      </c>
      <c r="D196" s="11" t="s">
        <v>9843</v>
      </c>
      <c r="E196" s="12" t="s">
        <v>9978</v>
      </c>
      <c r="F196" s="13">
        <v>42067</v>
      </c>
      <c r="G196" s="14">
        <v>45925</v>
      </c>
      <c r="H196" s="15">
        <v>100000000</v>
      </c>
      <c r="I196" s="16">
        <v>120</v>
      </c>
      <c r="J196" s="17">
        <v>0</v>
      </c>
      <c r="K196" s="9" t="s">
        <v>9827</v>
      </c>
      <c r="L196" s="10" t="s">
        <v>9978</v>
      </c>
      <c r="M196" s="9"/>
      <c r="N196" s="10"/>
      <c r="O196" s="15">
        <v>21500000</v>
      </c>
      <c r="P196" s="145">
        <v>6343600</v>
      </c>
      <c r="Q196" s="9"/>
      <c r="R196" s="146"/>
      <c r="T196" s="92" t="s">
        <v>3806</v>
      </c>
      <c r="U196">
        <v>1</v>
      </c>
      <c r="V196">
        <f>VLOOKUP(T196,'Data Angt'!$A$5:$F$5810,6,FALSE)</f>
        <v>42</v>
      </c>
      <c r="W196" s="5" t="str">
        <f t="shared" si="2"/>
        <v>PENDIDIKAN</v>
      </c>
      <c r="X196" s="5" t="str">
        <f>VLOOKUP(T196,'Data Angt'!$A$5:$H$5810,8,FALSE)</f>
        <v>Karyawan</v>
      </c>
      <c r="Y196" s="5" t="str">
        <f>VLOOKUP(T196,'Data Angt'!$A$5:$C$5808,3,FALSE)</f>
        <v>PBL</v>
      </c>
    </row>
    <row r="197" spans="1:25" x14ac:dyDescent="0.3">
      <c r="A197" s="8">
        <v>191</v>
      </c>
      <c r="B197" s="9" t="s">
        <v>3403</v>
      </c>
      <c r="C197" s="10" t="str">
        <f>VLOOKUP(B197,'Data Angt'!$A$5:$B$5809,2,FALSE)</f>
        <v>A1447</v>
      </c>
      <c r="D197" s="11" t="s">
        <v>9833</v>
      </c>
      <c r="E197" s="12" t="s">
        <v>22364</v>
      </c>
      <c r="F197" s="13">
        <v>45913</v>
      </c>
      <c r="G197" s="14">
        <v>45913</v>
      </c>
      <c r="H197" s="15">
        <v>6000000</v>
      </c>
      <c r="I197" s="16">
        <v>10</v>
      </c>
      <c r="J197" s="17">
        <v>24</v>
      </c>
      <c r="K197" s="9" t="s">
        <v>9831</v>
      </c>
      <c r="L197" s="10" t="s">
        <v>22365</v>
      </c>
      <c r="M197" s="9" t="s">
        <v>10181</v>
      </c>
      <c r="N197" s="10" t="s">
        <v>9834</v>
      </c>
      <c r="O197" s="15">
        <v>6000000</v>
      </c>
      <c r="P197" s="147">
        <v>0</v>
      </c>
      <c r="Q197" s="9"/>
      <c r="R197" s="146"/>
      <c r="T197" s="92" t="s">
        <v>3838</v>
      </c>
      <c r="U197">
        <v>2</v>
      </c>
      <c r="V197">
        <f>VLOOKUP(T197,'Data Angt'!$A$5:$F$5810,6,FALSE)</f>
        <v>47</v>
      </c>
      <c r="W197" s="5" t="str">
        <f t="shared" si="2"/>
        <v>PENDIDIKAN</v>
      </c>
      <c r="X197" s="5" t="str">
        <f>VLOOKUP(T197,'Data Angt'!$A$5:$H$5810,8,FALSE)</f>
        <v>Aparatur/Pejabat Negara</v>
      </c>
      <c r="Y197" s="5" t="str">
        <f>VLOOKUP(T197,'Data Angt'!$A$5:$C$5808,3,FALSE)</f>
        <v>PBL</v>
      </c>
    </row>
    <row r="198" spans="1:25" x14ac:dyDescent="0.3">
      <c r="A198" s="8">
        <v>192</v>
      </c>
      <c r="B198" s="9" t="s">
        <v>3405</v>
      </c>
      <c r="C198" s="10" t="str">
        <f>VLOOKUP(B198,'Data Angt'!$A$5:$B$5809,2,FALSE)</f>
        <v>A1448</v>
      </c>
      <c r="D198" s="11" t="s">
        <v>9829</v>
      </c>
      <c r="E198" s="12" t="s">
        <v>15612</v>
      </c>
      <c r="F198" s="13">
        <v>45311</v>
      </c>
      <c r="G198" s="14">
        <v>45927</v>
      </c>
      <c r="H198" s="15">
        <v>30000000</v>
      </c>
      <c r="I198" s="16">
        <v>24</v>
      </c>
      <c r="J198" s="17">
        <v>21</v>
      </c>
      <c r="K198" s="9" t="s">
        <v>9831</v>
      </c>
      <c r="L198" s="10" t="s">
        <v>15613</v>
      </c>
      <c r="M198" s="9" t="s">
        <v>15614</v>
      </c>
      <c r="N198" s="10" t="s">
        <v>9828</v>
      </c>
      <c r="O198" s="15">
        <v>5906100</v>
      </c>
      <c r="P198" s="145">
        <v>2526781</v>
      </c>
      <c r="Q198" s="9"/>
      <c r="R198" s="146"/>
      <c r="T198" s="92" t="s">
        <v>3843</v>
      </c>
      <c r="U198">
        <v>1</v>
      </c>
      <c r="V198">
        <f>VLOOKUP(T198,'Data Angt'!$A$5:$F$5810,6,FALSE)</f>
        <v>57</v>
      </c>
      <c r="W198" s="5" t="str">
        <f t="shared" si="2"/>
        <v>PRODUKTIF</v>
      </c>
      <c r="X198" s="5" t="str">
        <f>VLOOKUP(T198,'Data Angt'!$A$5:$H$5810,8,FALSE)</f>
        <v>Karyawan</v>
      </c>
      <c r="Y198" s="5" t="str">
        <f>VLOOKUP(T198,'Data Angt'!$A$5:$C$5808,3,FALSE)</f>
        <v>PBL</v>
      </c>
    </row>
    <row r="199" spans="1:25" x14ac:dyDescent="0.3">
      <c r="A199" s="8">
        <v>193</v>
      </c>
      <c r="B199" s="9" t="s">
        <v>3412</v>
      </c>
      <c r="C199" s="10" t="str">
        <f>VLOOKUP(B199,'Data Angt'!$A$5:$B$5809,2,FALSE)</f>
        <v>A1452</v>
      </c>
      <c r="D199" s="11" t="s">
        <v>9829</v>
      </c>
      <c r="E199" s="12" t="s">
        <v>15615</v>
      </c>
      <c r="F199" s="13">
        <v>45488</v>
      </c>
      <c r="G199" s="14">
        <v>45912</v>
      </c>
      <c r="H199" s="15">
        <v>35000000</v>
      </c>
      <c r="I199" s="16">
        <v>24</v>
      </c>
      <c r="J199" s="17">
        <v>21</v>
      </c>
      <c r="K199" s="9" t="s">
        <v>9831</v>
      </c>
      <c r="L199" s="10" t="s">
        <v>15616</v>
      </c>
      <c r="M199" s="9" t="s">
        <v>15617</v>
      </c>
      <c r="N199" s="10" t="s">
        <v>9828</v>
      </c>
      <c r="O199" s="15">
        <v>16369200</v>
      </c>
      <c r="P199" s="145">
        <v>2455571</v>
      </c>
      <c r="Q199" s="9" t="s">
        <v>22240</v>
      </c>
      <c r="R199" s="146" t="s">
        <v>22366</v>
      </c>
      <c r="T199" s="92" t="s">
        <v>3869</v>
      </c>
      <c r="U199">
        <v>1</v>
      </c>
      <c r="V199">
        <f>VLOOKUP(T199,'Data Angt'!$A$5:$F$5810,6,FALSE)</f>
        <v>34</v>
      </c>
      <c r="W199" s="5" t="str">
        <f t="shared" ref="W199:W262" si="3">VLOOKUP(T199,$B$7:$N$1869,13,FALSE)</f>
        <v>KONSUMTIF</v>
      </c>
      <c r="X199" s="5" t="str">
        <f>VLOOKUP(T199,'Data Angt'!$A$5:$H$5810,8,FALSE)</f>
        <v>Karyawan</v>
      </c>
      <c r="Y199" s="5" t="str">
        <f>VLOOKUP(T199,'Data Angt'!$A$5:$C$5808,3,FALSE)</f>
        <v>PBL</v>
      </c>
    </row>
    <row r="200" spans="1:25" x14ac:dyDescent="0.3">
      <c r="A200" s="8">
        <v>194</v>
      </c>
      <c r="B200" s="9" t="s">
        <v>3448</v>
      </c>
      <c r="C200" s="10" t="str">
        <f>VLOOKUP(B200,'Data Angt'!$A$5:$B$5809,2,FALSE)</f>
        <v>A1470</v>
      </c>
      <c r="D200" s="11" t="s">
        <v>9829</v>
      </c>
      <c r="E200" s="12" t="s">
        <v>15618</v>
      </c>
      <c r="F200" s="13">
        <v>45558</v>
      </c>
      <c r="G200" s="14">
        <v>45922</v>
      </c>
      <c r="H200" s="15">
        <v>9000000</v>
      </c>
      <c r="I200" s="16">
        <v>15</v>
      </c>
      <c r="J200" s="17">
        <v>24</v>
      </c>
      <c r="K200" s="9" t="s">
        <v>9827</v>
      </c>
      <c r="L200" s="10" t="s">
        <v>15619</v>
      </c>
      <c r="M200" s="9" t="s">
        <v>9945</v>
      </c>
      <c r="N200" s="10" t="s">
        <v>9830</v>
      </c>
      <c r="O200" s="15">
        <v>1800000</v>
      </c>
      <c r="P200" s="145">
        <v>513000</v>
      </c>
      <c r="Q200" s="9" t="s">
        <v>22220</v>
      </c>
      <c r="R200" s="146" t="s">
        <v>22367</v>
      </c>
      <c r="T200" s="92" t="s">
        <v>3928</v>
      </c>
      <c r="U200">
        <v>1</v>
      </c>
      <c r="V200">
        <f>VLOOKUP(T200,'Data Angt'!$A$5:$F$5810,6,FALSE)</f>
        <v>50</v>
      </c>
      <c r="W200" s="5" t="str">
        <f t="shared" si="3"/>
        <v>KONSUMTIF</v>
      </c>
      <c r="X200" s="5" t="str">
        <f>VLOOKUP(T200,'Data Angt'!$A$5:$H$5810,8,FALSE)</f>
        <v>Wiraswasta</v>
      </c>
      <c r="Y200" s="5" t="str">
        <f>VLOOKUP(T200,'Data Angt'!$A$5:$C$5808,3,FALSE)</f>
        <v>PBL</v>
      </c>
    </row>
    <row r="201" spans="1:25" x14ac:dyDescent="0.3">
      <c r="A201" s="8">
        <v>195</v>
      </c>
      <c r="B201" s="9" t="s">
        <v>3463</v>
      </c>
      <c r="C201" s="10" t="str">
        <f>VLOOKUP(B201,'Data Angt'!$A$5:$B$5809,2,FALSE)</f>
        <v>A1477</v>
      </c>
      <c r="D201" s="11" t="s">
        <v>9829</v>
      </c>
      <c r="E201" s="12" t="s">
        <v>15620</v>
      </c>
      <c r="F201" s="13">
        <v>45673</v>
      </c>
      <c r="G201" s="14">
        <v>45916</v>
      </c>
      <c r="H201" s="15">
        <v>25000000</v>
      </c>
      <c r="I201" s="16">
        <v>18</v>
      </c>
      <c r="J201" s="17">
        <v>21</v>
      </c>
      <c r="K201" s="9" t="s">
        <v>9827</v>
      </c>
      <c r="L201" s="10" t="s">
        <v>15621</v>
      </c>
      <c r="M201" s="9" t="s">
        <v>15622</v>
      </c>
      <c r="N201" s="10" t="s">
        <v>9830</v>
      </c>
      <c r="O201" s="15">
        <v>13888800</v>
      </c>
      <c r="P201" s="145">
        <v>1057348</v>
      </c>
      <c r="Q201" s="9" t="s">
        <v>22197</v>
      </c>
      <c r="R201" s="146" t="s">
        <v>22368</v>
      </c>
      <c r="T201" s="92" t="s">
        <v>3934</v>
      </c>
      <c r="U201">
        <v>2</v>
      </c>
      <c r="V201">
        <f>VLOOKUP(T201,'Data Angt'!$A$5:$F$5810,6,FALSE)</f>
        <v>47</v>
      </c>
      <c r="W201" s="5" t="str">
        <f t="shared" si="3"/>
        <v>PENDIDIKAN</v>
      </c>
      <c r="X201" s="5" t="str">
        <f>VLOOKUP(T201,'Data Angt'!$A$5:$H$5810,8,FALSE)</f>
        <v>Tenaga Pengajar</v>
      </c>
      <c r="Y201" s="5" t="str">
        <f>VLOOKUP(T201,'Data Angt'!$A$5:$C$5808,3,FALSE)</f>
        <v>PBL</v>
      </c>
    </row>
    <row r="202" spans="1:25" x14ac:dyDescent="0.3">
      <c r="A202" s="8">
        <v>196</v>
      </c>
      <c r="B202" s="9" t="s">
        <v>3504</v>
      </c>
      <c r="C202" s="10" t="str">
        <f>VLOOKUP(B202,'Data Angt'!$A$5:$B$5809,2,FALSE)</f>
        <v>A1496</v>
      </c>
      <c r="D202" s="11" t="s">
        <v>9829</v>
      </c>
      <c r="E202" s="12" t="s">
        <v>22369</v>
      </c>
      <c r="F202" s="13">
        <v>45883</v>
      </c>
      <c r="G202" s="14">
        <v>45916</v>
      </c>
      <c r="H202" s="15">
        <v>7000000</v>
      </c>
      <c r="I202" s="16">
        <v>24</v>
      </c>
      <c r="J202" s="17">
        <v>24</v>
      </c>
      <c r="K202" s="9" t="s">
        <v>9831</v>
      </c>
      <c r="L202" s="10" t="s">
        <v>22370</v>
      </c>
      <c r="M202" s="9" t="s">
        <v>9854</v>
      </c>
      <c r="N202" s="10" t="s">
        <v>17</v>
      </c>
      <c r="O202" s="15">
        <v>6769900</v>
      </c>
      <c r="P202" s="145">
        <v>52500</v>
      </c>
      <c r="Q202" s="9"/>
      <c r="R202" s="146"/>
      <c r="T202" s="92" t="s">
        <v>3940</v>
      </c>
      <c r="U202">
        <v>1</v>
      </c>
      <c r="V202">
        <f>VLOOKUP(T202,'Data Angt'!$A$5:$F$5810,6,FALSE)</f>
        <v>43</v>
      </c>
      <c r="W202" s="5" t="str">
        <f t="shared" si="3"/>
        <v>PRODUKTIF</v>
      </c>
      <c r="X202" s="5" t="str">
        <f>VLOOKUP(T202,'Data Angt'!$A$5:$H$5810,8,FALSE)</f>
        <v>Tenaga Pengajar</v>
      </c>
      <c r="Y202" s="5" t="str">
        <f>VLOOKUP(T202,'Data Angt'!$A$5:$C$5808,3,FALSE)</f>
        <v>PBL</v>
      </c>
    </row>
    <row r="203" spans="1:25" x14ac:dyDescent="0.3">
      <c r="A203" s="8">
        <v>197</v>
      </c>
      <c r="B203" s="9" t="s">
        <v>3512</v>
      </c>
      <c r="C203" s="10" t="str">
        <f>VLOOKUP(B203,'Data Angt'!$A$5:$B$5809,2,FALSE)</f>
        <v>A1499</v>
      </c>
      <c r="D203" s="11" t="s">
        <v>9829</v>
      </c>
      <c r="E203" s="12" t="s">
        <v>9979</v>
      </c>
      <c r="F203" s="13">
        <v>45098</v>
      </c>
      <c r="G203" s="14">
        <v>45925</v>
      </c>
      <c r="H203" s="15">
        <v>10000000</v>
      </c>
      <c r="I203" s="16">
        <v>36</v>
      </c>
      <c r="J203" s="17">
        <v>24</v>
      </c>
      <c r="K203" s="9" t="s">
        <v>9827</v>
      </c>
      <c r="L203" s="10" t="s">
        <v>9980</v>
      </c>
      <c r="M203" s="9" t="s">
        <v>9981</v>
      </c>
      <c r="N203" s="10" t="s">
        <v>17</v>
      </c>
      <c r="O203" s="15">
        <v>4166200</v>
      </c>
      <c r="P203" s="145">
        <v>1444157</v>
      </c>
      <c r="Q203" s="9" t="s">
        <v>22371</v>
      </c>
      <c r="R203" s="146" t="s">
        <v>22372</v>
      </c>
      <c r="T203" s="92" t="s">
        <v>3957</v>
      </c>
      <c r="U203">
        <v>2</v>
      </c>
      <c r="V203">
        <f>VLOOKUP(T203,'Data Angt'!$A$5:$F$5810,6,FALSE)</f>
        <v>55</v>
      </c>
      <c r="W203" s="5" t="str">
        <f t="shared" si="3"/>
        <v>PRODUKTIF</v>
      </c>
      <c r="X203" s="5" t="str">
        <f>VLOOKUP(T203,'Data Angt'!$A$5:$H$5810,8,FALSE)</f>
        <v>Karyawan</v>
      </c>
      <c r="Y203" s="5" t="str">
        <f>VLOOKUP(T203,'Data Angt'!$A$5:$C$5808,3,FALSE)</f>
        <v>PBL</v>
      </c>
    </row>
    <row r="204" spans="1:25" x14ac:dyDescent="0.3">
      <c r="A204" s="8">
        <v>198</v>
      </c>
      <c r="B204" s="9" t="s">
        <v>3518</v>
      </c>
      <c r="C204" s="10" t="str">
        <f>VLOOKUP(B204,'Data Angt'!$A$5:$B$5809,2,FALSE)</f>
        <v>A1502</v>
      </c>
      <c r="D204" s="11" t="s">
        <v>9895</v>
      </c>
      <c r="E204" s="12" t="s">
        <v>9982</v>
      </c>
      <c r="F204" s="13">
        <v>45149</v>
      </c>
      <c r="G204" s="14">
        <v>45912</v>
      </c>
      <c r="H204" s="15">
        <v>10000000</v>
      </c>
      <c r="I204" s="16">
        <v>36</v>
      </c>
      <c r="J204" s="17">
        <v>24</v>
      </c>
      <c r="K204" s="9" t="s">
        <v>9831</v>
      </c>
      <c r="L204" s="10" t="s">
        <v>9983</v>
      </c>
      <c r="M204" s="9" t="s">
        <v>9896</v>
      </c>
      <c r="N204" s="10" t="s">
        <v>9828</v>
      </c>
      <c r="O204" s="15">
        <v>3838800</v>
      </c>
      <c r="P204" s="145">
        <v>1368295</v>
      </c>
      <c r="Q204" s="9" t="s">
        <v>22189</v>
      </c>
      <c r="R204" s="146" t="s">
        <v>22373</v>
      </c>
      <c r="T204" s="92" t="s">
        <v>3973</v>
      </c>
      <c r="U204">
        <v>1</v>
      </c>
      <c r="V204">
        <f>VLOOKUP(T204,'Data Angt'!$A$5:$F$5810,6,FALSE)</f>
        <v>44</v>
      </c>
      <c r="W204" s="5" t="str">
        <f t="shared" si="3"/>
        <v>KONSUMTIF</v>
      </c>
      <c r="X204" s="5" t="str">
        <f>VLOOKUP(T204,'Data Angt'!$A$5:$H$5810,8,FALSE)</f>
        <v>Wiraswasta</v>
      </c>
      <c r="Y204" s="5" t="str">
        <f>VLOOKUP(T204,'Data Angt'!$A$5:$C$5808,3,FALSE)</f>
        <v>PBL</v>
      </c>
    </row>
    <row r="205" spans="1:25" x14ac:dyDescent="0.3">
      <c r="A205" s="8">
        <v>199</v>
      </c>
      <c r="B205" s="9" t="s">
        <v>3581</v>
      </c>
      <c r="C205" s="10" t="str">
        <f>VLOOKUP(B205,'Data Angt'!$A$5:$B$5809,2,FALSE)</f>
        <v>A1530</v>
      </c>
      <c r="D205" s="11" t="s">
        <v>9833</v>
      </c>
      <c r="E205" s="12" t="s">
        <v>15623</v>
      </c>
      <c r="F205" s="13">
        <v>45726</v>
      </c>
      <c r="G205" s="14">
        <v>45910</v>
      </c>
      <c r="H205" s="15">
        <v>25000000</v>
      </c>
      <c r="I205" s="16">
        <v>36</v>
      </c>
      <c r="J205" s="17">
        <v>21</v>
      </c>
      <c r="K205" s="9" t="s">
        <v>9831</v>
      </c>
      <c r="L205" s="10" t="s">
        <v>15624</v>
      </c>
      <c r="M205" s="9" t="s">
        <v>9862</v>
      </c>
      <c r="N205" s="10" t="s">
        <v>9834</v>
      </c>
      <c r="O205" s="15">
        <v>21834700</v>
      </c>
      <c r="P205" s="145">
        <v>932286</v>
      </c>
      <c r="Q205" s="9" t="s">
        <v>22189</v>
      </c>
      <c r="R205" s="146" t="s">
        <v>22374</v>
      </c>
      <c r="T205" s="92" t="s">
        <v>3976</v>
      </c>
      <c r="U205">
        <v>1</v>
      </c>
      <c r="V205">
        <f>VLOOKUP(T205,'Data Angt'!$A$5:$F$5810,6,FALSE)</f>
        <v>31</v>
      </c>
      <c r="W205" s="5" t="str">
        <f t="shared" si="3"/>
        <v>KONSUMTIF</v>
      </c>
      <c r="X205" s="5" t="str">
        <f>VLOOKUP(T205,'Data Angt'!$A$5:$H$5810,8,FALSE)</f>
        <v>Karyawan</v>
      </c>
      <c r="Y205" s="5" t="str">
        <f>VLOOKUP(T205,'Data Angt'!$A$5:$C$5808,3,FALSE)</f>
        <v>PBL</v>
      </c>
    </row>
    <row r="206" spans="1:25" x14ac:dyDescent="0.3">
      <c r="A206" s="8">
        <v>200</v>
      </c>
      <c r="B206" s="9" t="s">
        <v>3625</v>
      </c>
      <c r="C206" s="10" t="str">
        <f>VLOOKUP(B206,'Data Angt'!$A$5:$B$5809,2,FALSE)</f>
        <v>A1553</v>
      </c>
      <c r="D206" s="11" t="s">
        <v>9895</v>
      </c>
      <c r="E206" s="12" t="s">
        <v>15625</v>
      </c>
      <c r="F206" s="13">
        <v>45772</v>
      </c>
      <c r="G206" s="14">
        <v>45924</v>
      </c>
      <c r="H206" s="15">
        <v>50000000</v>
      </c>
      <c r="I206" s="16">
        <v>18</v>
      </c>
      <c r="J206" s="17">
        <v>21</v>
      </c>
      <c r="K206" s="9" t="s">
        <v>9831</v>
      </c>
      <c r="L206" s="10" t="s">
        <v>15626</v>
      </c>
      <c r="M206" s="9" t="s">
        <v>15627</v>
      </c>
      <c r="N206" s="10" t="s">
        <v>9828</v>
      </c>
      <c r="O206" s="15">
        <v>37638600</v>
      </c>
      <c r="P206" s="145">
        <v>1481286</v>
      </c>
      <c r="Q206" s="9" t="s">
        <v>22240</v>
      </c>
      <c r="R206" s="146" t="s">
        <v>22375</v>
      </c>
      <c r="T206" s="92" t="s">
        <v>4033</v>
      </c>
      <c r="U206">
        <v>1</v>
      </c>
      <c r="V206">
        <f>VLOOKUP(T206,'Data Angt'!$A$5:$F$5810,6,FALSE)</f>
        <v>38</v>
      </c>
      <c r="W206" s="5" t="str">
        <f t="shared" si="3"/>
        <v>KONSUMTIF</v>
      </c>
      <c r="X206" s="5" t="str">
        <f>VLOOKUP(T206,'Data Angt'!$A$5:$H$5810,8,FALSE)</f>
        <v>Karyawan</v>
      </c>
      <c r="Y206" s="5" t="str">
        <f>VLOOKUP(T206,'Data Angt'!$A$5:$C$5808,3,FALSE)</f>
        <v>PBL</v>
      </c>
    </row>
    <row r="207" spans="1:25" x14ac:dyDescent="0.3">
      <c r="A207" s="8">
        <v>201</v>
      </c>
      <c r="B207" s="9" t="s">
        <v>3633</v>
      </c>
      <c r="C207" s="10" t="str">
        <f>VLOOKUP(B207,'Data Angt'!$A$5:$B$5809,2,FALSE)</f>
        <v>A1558</v>
      </c>
      <c r="D207" s="11" t="s">
        <v>9833</v>
      </c>
      <c r="E207" s="12" t="s">
        <v>15628</v>
      </c>
      <c r="F207" s="13">
        <v>45783</v>
      </c>
      <c r="G207" s="14">
        <v>45908</v>
      </c>
      <c r="H207" s="15">
        <v>10000000</v>
      </c>
      <c r="I207" s="16">
        <v>10</v>
      </c>
      <c r="J207" s="17">
        <v>24</v>
      </c>
      <c r="K207" s="9" t="s">
        <v>9831</v>
      </c>
      <c r="L207" s="10" t="s">
        <v>15629</v>
      </c>
      <c r="M207" s="9" t="s">
        <v>9862</v>
      </c>
      <c r="N207" s="10" t="s">
        <v>9834</v>
      </c>
      <c r="O207" s="15">
        <v>6236000</v>
      </c>
      <c r="P207" s="145">
        <v>258450</v>
      </c>
      <c r="Q207" s="9" t="s">
        <v>22220</v>
      </c>
      <c r="R207" s="146" t="s">
        <v>22376</v>
      </c>
      <c r="T207" s="92" t="s">
        <v>4045</v>
      </c>
      <c r="U207">
        <v>1</v>
      </c>
      <c r="V207">
        <f>VLOOKUP(T207,'Data Angt'!$A$5:$F$5810,6,FALSE)</f>
        <v>34</v>
      </c>
      <c r="W207" s="5" t="str">
        <f t="shared" si="3"/>
        <v>KESEJAHTERAAN</v>
      </c>
      <c r="X207" s="5" t="str">
        <f>VLOOKUP(T207,'Data Angt'!$A$5:$H$5810,8,FALSE)</f>
        <v>Karyawan</v>
      </c>
      <c r="Y207" s="5" t="str">
        <f>VLOOKUP(T207,'Data Angt'!$A$5:$C$5808,3,FALSE)</f>
        <v>PBL</v>
      </c>
    </row>
    <row r="208" spans="1:25" x14ac:dyDescent="0.3">
      <c r="A208" s="8">
        <v>202</v>
      </c>
      <c r="B208" s="9" t="s">
        <v>3643</v>
      </c>
      <c r="C208" s="10" t="str">
        <f>VLOOKUP(B208,'Data Angt'!$A$5:$B$5809,2,FALSE)</f>
        <v>A1563</v>
      </c>
      <c r="D208" s="11" t="s">
        <v>9829</v>
      </c>
      <c r="E208" s="12" t="s">
        <v>15630</v>
      </c>
      <c r="F208" s="13">
        <v>45776</v>
      </c>
      <c r="G208" s="14">
        <v>45926</v>
      </c>
      <c r="H208" s="15">
        <v>45000000</v>
      </c>
      <c r="I208" s="16">
        <v>60</v>
      </c>
      <c r="J208" s="17">
        <v>18</v>
      </c>
      <c r="K208" s="9" t="s">
        <v>9831</v>
      </c>
      <c r="L208" s="10" t="s">
        <v>15631</v>
      </c>
      <c r="M208" s="9" t="s">
        <v>9838</v>
      </c>
      <c r="N208" s="10" t="s">
        <v>9830</v>
      </c>
      <c r="O208" s="15">
        <v>42589900</v>
      </c>
      <c r="P208" s="145">
        <v>1238961</v>
      </c>
      <c r="Q208" s="9"/>
      <c r="R208" s="146"/>
      <c r="T208" s="92" t="s">
        <v>12295</v>
      </c>
      <c r="U208">
        <v>1</v>
      </c>
      <c r="V208">
        <f>VLOOKUP(T208,'Data Angt'!$A$5:$F$5810,6,FALSE)</f>
        <v>35</v>
      </c>
      <c r="W208" s="5" t="str">
        <f t="shared" si="3"/>
        <v>PRODUKTIF</v>
      </c>
      <c r="X208" s="5" t="str">
        <f>VLOOKUP(T208,'Data Angt'!$A$5:$H$5810,8,FALSE)</f>
        <v>Karyawan</v>
      </c>
      <c r="Y208" s="5" t="str">
        <f>VLOOKUP(T208,'Data Angt'!$A$5:$C$5808,3,FALSE)</f>
        <v>PBL</v>
      </c>
    </row>
    <row r="209" spans="1:25" x14ac:dyDescent="0.3">
      <c r="A209" s="8">
        <v>203</v>
      </c>
      <c r="B209" s="9" t="s">
        <v>3648</v>
      </c>
      <c r="C209" s="10" t="str">
        <f>VLOOKUP(B209,'Data Angt'!$A$5:$B$5809,2,FALSE)</f>
        <v>A1566</v>
      </c>
      <c r="D209" s="11" t="s">
        <v>9829</v>
      </c>
      <c r="E209" s="12" t="s">
        <v>15632</v>
      </c>
      <c r="F209" s="13">
        <v>45832</v>
      </c>
      <c r="G209" s="14">
        <v>45901</v>
      </c>
      <c r="H209" s="15">
        <v>15000000</v>
      </c>
      <c r="I209" s="16">
        <v>24</v>
      </c>
      <c r="J209" s="17">
        <v>24</v>
      </c>
      <c r="K209" s="9" t="s">
        <v>9831</v>
      </c>
      <c r="L209" s="10" t="s">
        <v>15633</v>
      </c>
      <c r="M209" s="9" t="s">
        <v>15634</v>
      </c>
      <c r="N209" s="10" t="s">
        <v>9828</v>
      </c>
      <c r="O209" s="15">
        <v>13491000</v>
      </c>
      <c r="P209" s="145">
        <v>326362</v>
      </c>
      <c r="Q209" s="9" t="s">
        <v>22189</v>
      </c>
      <c r="R209" s="146" t="s">
        <v>22377</v>
      </c>
      <c r="T209" s="92" t="s">
        <v>4056</v>
      </c>
      <c r="U209">
        <v>1</v>
      </c>
      <c r="V209">
        <f>VLOOKUP(T209,'Data Angt'!$A$5:$F$5810,6,FALSE)</f>
        <v>42</v>
      </c>
      <c r="W209" s="5" t="str">
        <f t="shared" si="3"/>
        <v>PRODUKTIF</v>
      </c>
      <c r="X209" s="5" t="str">
        <f>VLOOKUP(T209,'Data Angt'!$A$5:$H$5810,8,FALSE)</f>
        <v>Karyawan</v>
      </c>
      <c r="Y209" s="5" t="str">
        <f>VLOOKUP(T209,'Data Angt'!$A$5:$C$5808,3,FALSE)</f>
        <v>PBL</v>
      </c>
    </row>
    <row r="210" spans="1:25" x14ac:dyDescent="0.3">
      <c r="A210" s="8">
        <v>204</v>
      </c>
      <c r="B210" s="9" t="s">
        <v>3650</v>
      </c>
      <c r="C210" s="10" t="str">
        <f>VLOOKUP(B210,'Data Angt'!$A$5:$B$5809,2,FALSE)</f>
        <v>A1567</v>
      </c>
      <c r="D210" s="11" t="s">
        <v>9826</v>
      </c>
      <c r="E210" s="12" t="s">
        <v>15635</v>
      </c>
      <c r="F210" s="13">
        <v>45698</v>
      </c>
      <c r="G210" s="14">
        <v>45901</v>
      </c>
      <c r="H210" s="15">
        <v>3500000</v>
      </c>
      <c r="I210" s="16">
        <v>12</v>
      </c>
      <c r="J210" s="17">
        <v>24</v>
      </c>
      <c r="K210" s="9" t="s">
        <v>9831</v>
      </c>
      <c r="L210" s="10" t="s">
        <v>15636</v>
      </c>
      <c r="M210" s="9" t="s">
        <v>10115</v>
      </c>
      <c r="N210" s="10" t="s">
        <v>17</v>
      </c>
      <c r="O210" s="15">
        <v>1559900</v>
      </c>
      <c r="P210" s="145">
        <v>141335</v>
      </c>
      <c r="Q210" s="9"/>
      <c r="R210" s="146"/>
      <c r="T210" s="92" t="s">
        <v>4068</v>
      </c>
      <c r="U210">
        <v>2</v>
      </c>
      <c r="V210">
        <f>VLOOKUP(T210,'Data Angt'!$A$5:$F$5810,6,FALSE)</f>
        <v>43</v>
      </c>
      <c r="W210" s="5" t="str">
        <f t="shared" si="3"/>
        <v>PRODUKTIF</v>
      </c>
      <c r="X210" s="5" t="str">
        <f>VLOOKUP(T210,'Data Angt'!$A$5:$H$5810,8,FALSE)</f>
        <v>Mengurus Rumah Tangga</v>
      </c>
      <c r="Y210" s="5" t="str">
        <f>VLOOKUP(T210,'Data Angt'!$A$5:$C$5808,3,FALSE)</f>
        <v>PBL</v>
      </c>
    </row>
    <row r="211" spans="1:25" x14ac:dyDescent="0.3">
      <c r="A211" s="8">
        <v>205</v>
      </c>
      <c r="B211" s="9" t="s">
        <v>3650</v>
      </c>
      <c r="C211" s="10" t="str">
        <f>VLOOKUP(B211,'Data Angt'!$A$5:$B$5809,2,FALSE)</f>
        <v>A1567</v>
      </c>
      <c r="D211" s="11" t="s">
        <v>9829</v>
      </c>
      <c r="E211" s="12" t="s">
        <v>22378</v>
      </c>
      <c r="F211" s="13">
        <v>45883</v>
      </c>
      <c r="G211" s="14">
        <v>45901</v>
      </c>
      <c r="H211" s="15">
        <v>14500000</v>
      </c>
      <c r="I211" s="16">
        <v>36</v>
      </c>
      <c r="J211" s="17">
        <v>24</v>
      </c>
      <c r="K211" s="9" t="s">
        <v>9831</v>
      </c>
      <c r="L211" s="10" t="s">
        <v>22379</v>
      </c>
      <c r="M211" s="9" t="s">
        <v>9832</v>
      </c>
      <c r="N211" s="10" t="s">
        <v>17</v>
      </c>
      <c r="O211" s="15">
        <v>14221100</v>
      </c>
      <c r="P211" s="145">
        <v>108750</v>
      </c>
      <c r="Q211" s="9" t="s">
        <v>22189</v>
      </c>
      <c r="R211" s="146" t="s">
        <v>22380</v>
      </c>
      <c r="T211" s="92" t="s">
        <v>4112</v>
      </c>
      <c r="U211">
        <v>1</v>
      </c>
      <c r="V211">
        <f>VLOOKUP(T211,'Data Angt'!$A$5:$F$5810,6,FALSE)</f>
        <v>51</v>
      </c>
      <c r="W211" s="5" t="str">
        <f t="shared" si="3"/>
        <v>KESEJAHTERAAN</v>
      </c>
      <c r="X211" s="5" t="str">
        <f>VLOOKUP(T211,'Data Angt'!$A$5:$H$5810,8,FALSE)</f>
        <v>Wiraswasta</v>
      </c>
      <c r="Y211" s="5" t="str">
        <f>VLOOKUP(T211,'Data Angt'!$A$5:$C$5808,3,FALSE)</f>
        <v>PBL</v>
      </c>
    </row>
    <row r="212" spans="1:25" x14ac:dyDescent="0.3">
      <c r="A212" s="8">
        <v>206</v>
      </c>
      <c r="B212" s="9" t="s">
        <v>3664</v>
      </c>
      <c r="C212" s="10" t="str">
        <f>VLOOKUP(B212,'Data Angt'!$A$5:$B$5809,2,FALSE)</f>
        <v>A1574</v>
      </c>
      <c r="D212" s="11" t="s">
        <v>9829</v>
      </c>
      <c r="E212" s="12" t="s">
        <v>15637</v>
      </c>
      <c r="F212" s="13">
        <v>45360</v>
      </c>
      <c r="G212" s="14">
        <v>45909</v>
      </c>
      <c r="H212" s="15">
        <v>45000000</v>
      </c>
      <c r="I212" s="16">
        <v>36</v>
      </c>
      <c r="J212" s="17">
        <v>21</v>
      </c>
      <c r="K212" s="9" t="s">
        <v>9831</v>
      </c>
      <c r="L212" s="10" t="s">
        <v>15638</v>
      </c>
      <c r="M212" s="9" t="s">
        <v>15422</v>
      </c>
      <c r="N212" s="10" t="s">
        <v>9830</v>
      </c>
      <c r="O212" s="15">
        <v>25985400</v>
      </c>
      <c r="P212" s="145">
        <v>4313469</v>
      </c>
      <c r="Q212" s="9" t="s">
        <v>22220</v>
      </c>
      <c r="R212" s="146" t="s">
        <v>22381</v>
      </c>
      <c r="T212" s="92" t="s">
        <v>4122</v>
      </c>
      <c r="U212">
        <v>1</v>
      </c>
      <c r="V212">
        <f>VLOOKUP(T212,'Data Angt'!$A$5:$F$5810,6,FALSE)</f>
        <v>72</v>
      </c>
      <c r="W212" s="5" t="str">
        <f t="shared" si="3"/>
        <v>KESEHATAN</v>
      </c>
      <c r="X212" s="5" t="str">
        <f>VLOOKUP(T212,'Data Angt'!$A$5:$H$5810,8,FALSE)</f>
        <v>Pensiunan</v>
      </c>
      <c r="Y212" s="5" t="str">
        <f>VLOOKUP(T212,'Data Angt'!$A$5:$C$5808,3,FALSE)</f>
        <v>PBL</v>
      </c>
    </row>
    <row r="213" spans="1:25" x14ac:dyDescent="0.3">
      <c r="A213" s="8">
        <v>207</v>
      </c>
      <c r="B213" s="9" t="s">
        <v>3668</v>
      </c>
      <c r="C213" s="10" t="str">
        <f>VLOOKUP(B213,'Data Angt'!$A$5:$B$5809,2,FALSE)</f>
        <v>A1576</v>
      </c>
      <c r="D213" s="11" t="s">
        <v>9826</v>
      </c>
      <c r="E213" s="12" t="s">
        <v>15639</v>
      </c>
      <c r="F213" s="13">
        <v>45735</v>
      </c>
      <c r="G213" s="14">
        <v>45919</v>
      </c>
      <c r="H213" s="15">
        <v>4000000</v>
      </c>
      <c r="I213" s="16">
        <v>10</v>
      </c>
      <c r="J213" s="17">
        <v>24</v>
      </c>
      <c r="K213" s="9" t="s">
        <v>9831</v>
      </c>
      <c r="L213" s="10" t="s">
        <v>15640</v>
      </c>
      <c r="M213" s="9" t="s">
        <v>15641</v>
      </c>
      <c r="N213" s="10" t="s">
        <v>9828</v>
      </c>
      <c r="O213" s="15">
        <v>1695200</v>
      </c>
      <c r="P213" s="145">
        <v>137848</v>
      </c>
      <c r="Q213" s="9"/>
      <c r="R213" s="146"/>
      <c r="T213" s="92" t="s">
        <v>4124</v>
      </c>
      <c r="U213">
        <v>1</v>
      </c>
      <c r="V213">
        <f>VLOOKUP(T213,'Data Angt'!$A$5:$F$5810,6,FALSE)</f>
        <v>69</v>
      </c>
      <c r="W213" s="5" t="str">
        <f t="shared" si="3"/>
        <v>PENDIDIKAN</v>
      </c>
      <c r="X213" s="5" t="str">
        <f>VLOOKUP(T213,'Data Angt'!$A$5:$H$5810,8,FALSE)</f>
        <v>Wiraswasta</v>
      </c>
      <c r="Y213" s="5" t="str">
        <f>VLOOKUP(T213,'Data Angt'!$A$5:$C$5808,3,FALSE)</f>
        <v>PBL</v>
      </c>
    </row>
    <row r="214" spans="1:25" x14ac:dyDescent="0.3">
      <c r="A214" s="8">
        <v>208</v>
      </c>
      <c r="B214" s="9" t="s">
        <v>3668</v>
      </c>
      <c r="C214" s="10" t="str">
        <f>VLOOKUP(B214,'Data Angt'!$A$5:$B$5809,2,FALSE)</f>
        <v>A1576</v>
      </c>
      <c r="D214" s="11" t="s">
        <v>9829</v>
      </c>
      <c r="E214" s="12" t="s">
        <v>15642</v>
      </c>
      <c r="F214" s="13">
        <v>45638</v>
      </c>
      <c r="G214" s="14">
        <v>45910</v>
      </c>
      <c r="H214" s="15">
        <v>12000000</v>
      </c>
      <c r="I214" s="16">
        <v>12</v>
      </c>
      <c r="J214" s="17">
        <v>24</v>
      </c>
      <c r="K214" s="9" t="s">
        <v>9831</v>
      </c>
      <c r="L214" s="10" t="s">
        <v>15643</v>
      </c>
      <c r="M214" s="9" t="s">
        <v>15644</v>
      </c>
      <c r="N214" s="10" t="s">
        <v>9834</v>
      </c>
      <c r="O214" s="15">
        <v>3272100</v>
      </c>
      <c r="P214" s="145">
        <v>556985</v>
      </c>
      <c r="Q214" s="9" t="s">
        <v>22254</v>
      </c>
      <c r="R214" s="146" t="s">
        <v>22382</v>
      </c>
      <c r="T214" s="92" t="s">
        <v>4143</v>
      </c>
      <c r="U214">
        <v>1</v>
      </c>
      <c r="V214">
        <f>VLOOKUP(T214,'Data Angt'!$A$5:$F$5810,6,FALSE)</f>
        <v>36</v>
      </c>
      <c r="W214" s="5" t="str">
        <f t="shared" si="3"/>
        <v>KONSUMTIF</v>
      </c>
      <c r="X214" s="5" t="str">
        <f>VLOOKUP(T214,'Data Angt'!$A$5:$H$5810,8,FALSE)</f>
        <v>Karyawan</v>
      </c>
      <c r="Y214" s="5" t="str">
        <f>VLOOKUP(T214,'Data Angt'!$A$5:$C$5808,3,FALSE)</f>
        <v>PBL</v>
      </c>
    </row>
    <row r="215" spans="1:25" x14ac:dyDescent="0.3">
      <c r="A215" s="8">
        <v>209</v>
      </c>
      <c r="B215" s="9" t="s">
        <v>3707</v>
      </c>
      <c r="C215" s="10" t="str">
        <f>VLOOKUP(B215,'Data Angt'!$A$5:$B$5809,2,FALSE)</f>
        <v>A1595</v>
      </c>
      <c r="D215" s="11" t="s">
        <v>9826</v>
      </c>
      <c r="E215" s="12" t="s">
        <v>22383</v>
      </c>
      <c r="F215" s="13">
        <v>45866</v>
      </c>
      <c r="G215" s="14">
        <v>45923</v>
      </c>
      <c r="H215" s="15">
        <v>10000000</v>
      </c>
      <c r="I215" s="16">
        <v>12</v>
      </c>
      <c r="J215" s="17">
        <v>11.9</v>
      </c>
      <c r="K215" s="9" t="s">
        <v>9831</v>
      </c>
      <c r="L215" s="10" t="s">
        <v>22384</v>
      </c>
      <c r="M215" s="9" t="s">
        <v>9846</v>
      </c>
      <c r="N215" s="10" t="s">
        <v>9828</v>
      </c>
      <c r="O215" s="15">
        <v>8414400</v>
      </c>
      <c r="P215" s="145">
        <v>71475</v>
      </c>
      <c r="Q215" s="9"/>
      <c r="R215" s="146"/>
      <c r="T215" s="92" t="s">
        <v>4177</v>
      </c>
      <c r="U215">
        <v>1</v>
      </c>
      <c r="V215">
        <f>VLOOKUP(T215,'Data Angt'!$A$5:$F$5810,6,FALSE)</f>
        <v>60</v>
      </c>
      <c r="W215" s="5" t="str">
        <f t="shared" si="3"/>
        <v>KONSUMTIF</v>
      </c>
      <c r="X215" s="5" t="str">
        <f>VLOOKUP(T215,'Data Angt'!$A$5:$H$5810,8,FALSE)</f>
        <v>Tenaga Ahli</v>
      </c>
      <c r="Y215" s="5" t="str">
        <f>VLOOKUP(T215,'Data Angt'!$A$5:$C$5808,3,FALSE)</f>
        <v>PBL</v>
      </c>
    </row>
    <row r="216" spans="1:25" x14ac:dyDescent="0.3">
      <c r="A216" s="8">
        <v>210</v>
      </c>
      <c r="B216" s="9" t="s">
        <v>3743</v>
      </c>
      <c r="C216" s="10" t="str">
        <f>VLOOKUP(B216,'Data Angt'!$A$5:$B$5809,2,FALSE)</f>
        <v>A1610</v>
      </c>
      <c r="D216" s="11" t="s">
        <v>9829</v>
      </c>
      <c r="E216" s="12" t="s">
        <v>15645</v>
      </c>
      <c r="F216" s="13">
        <v>45831</v>
      </c>
      <c r="G216" s="14">
        <v>45926</v>
      </c>
      <c r="H216" s="15">
        <v>10000000</v>
      </c>
      <c r="I216" s="16">
        <v>18</v>
      </c>
      <c r="J216" s="17">
        <v>24</v>
      </c>
      <c r="K216" s="9" t="s">
        <v>9831</v>
      </c>
      <c r="L216" s="10" t="s">
        <v>15646</v>
      </c>
      <c r="M216" s="9" t="s">
        <v>9832</v>
      </c>
      <c r="N216" s="10" t="s">
        <v>17</v>
      </c>
      <c r="O216" s="15">
        <v>9056500</v>
      </c>
      <c r="P216" s="145">
        <v>214462</v>
      </c>
      <c r="Q216" s="9" t="s">
        <v>22371</v>
      </c>
      <c r="R216" s="146" t="s">
        <v>22385</v>
      </c>
      <c r="T216" s="92" t="s">
        <v>4183</v>
      </c>
      <c r="U216">
        <v>1</v>
      </c>
      <c r="V216">
        <f>VLOOKUP(T216,'Data Angt'!$A$5:$F$5810,6,FALSE)</f>
        <v>34</v>
      </c>
      <c r="W216" s="5" t="str">
        <f t="shared" si="3"/>
        <v>PRODUKTIF</v>
      </c>
      <c r="X216" s="5" t="str">
        <f>VLOOKUP(T216,'Data Angt'!$A$5:$H$5810,8,FALSE)</f>
        <v>Karyawan</v>
      </c>
      <c r="Y216" s="5" t="str">
        <f>VLOOKUP(T216,'Data Angt'!$A$5:$C$5808,3,FALSE)</f>
        <v>PBL</v>
      </c>
    </row>
    <row r="217" spans="1:25" x14ac:dyDescent="0.3">
      <c r="A217" s="8">
        <v>211</v>
      </c>
      <c r="B217" s="9" t="s">
        <v>3761</v>
      </c>
      <c r="C217" s="10" t="str">
        <f>VLOOKUP(B217,'Data Angt'!$A$5:$B$5809,2,FALSE)</f>
        <v>A1618</v>
      </c>
      <c r="D217" s="11" t="s">
        <v>9842</v>
      </c>
      <c r="E217" s="12" t="s">
        <v>15647</v>
      </c>
      <c r="F217" s="13">
        <v>45499</v>
      </c>
      <c r="G217" s="14">
        <v>45915</v>
      </c>
      <c r="H217" s="15">
        <v>110000000</v>
      </c>
      <c r="I217" s="16">
        <v>84</v>
      </c>
      <c r="J217" s="17">
        <v>11.4</v>
      </c>
      <c r="K217" s="9" t="s">
        <v>9831</v>
      </c>
      <c r="L217" s="10" t="s">
        <v>15648</v>
      </c>
      <c r="M217" s="9" t="s">
        <v>9932</v>
      </c>
      <c r="N217" s="10" t="s">
        <v>9830</v>
      </c>
      <c r="O217" s="15">
        <v>97162900</v>
      </c>
      <c r="P217" s="145">
        <v>5196259</v>
      </c>
      <c r="Q217" s="9" t="s">
        <v>22197</v>
      </c>
      <c r="R217" s="146" t="s">
        <v>22386</v>
      </c>
      <c r="T217" s="92" t="s">
        <v>4206</v>
      </c>
      <c r="U217">
        <v>1</v>
      </c>
      <c r="V217">
        <f>VLOOKUP(T217,'Data Angt'!$A$5:$F$5810,6,FALSE)</f>
        <v>51</v>
      </c>
      <c r="W217" s="5" t="str">
        <f t="shared" si="3"/>
        <v>PENDIDIKAN</v>
      </c>
      <c r="X217" s="5" t="str">
        <f>VLOOKUP(T217,'Data Angt'!$A$5:$H$5810,8,FALSE)</f>
        <v>Mengurus Rumah Tangga</v>
      </c>
      <c r="Y217" s="5" t="str">
        <f>VLOOKUP(T217,'Data Angt'!$A$5:$C$5808,3,FALSE)</f>
        <v>PBL</v>
      </c>
    </row>
    <row r="218" spans="1:25" x14ac:dyDescent="0.3">
      <c r="A218" s="8">
        <v>212</v>
      </c>
      <c r="B218" s="9" t="s">
        <v>3791</v>
      </c>
      <c r="C218" s="10" t="str">
        <f>VLOOKUP(B218,'Data Angt'!$A$5:$B$5809,2,FALSE)</f>
        <v>A1633</v>
      </c>
      <c r="D218" s="11" t="s">
        <v>9842</v>
      </c>
      <c r="E218" s="12" t="s">
        <v>9986</v>
      </c>
      <c r="F218" s="13">
        <v>43608</v>
      </c>
      <c r="G218" s="14">
        <v>43979</v>
      </c>
      <c r="H218" s="15">
        <v>220000000</v>
      </c>
      <c r="I218" s="16">
        <v>84</v>
      </c>
      <c r="J218" s="17">
        <v>2.4</v>
      </c>
      <c r="K218" s="9" t="s">
        <v>9831</v>
      </c>
      <c r="L218" s="10" t="s">
        <v>9987</v>
      </c>
      <c r="M218" s="9" t="s">
        <v>9838</v>
      </c>
      <c r="N218" s="10" t="s">
        <v>9830</v>
      </c>
      <c r="O218" s="15">
        <v>195703600</v>
      </c>
      <c r="P218" s="145">
        <v>1873047</v>
      </c>
      <c r="Q218" s="9"/>
      <c r="R218" s="146"/>
      <c r="T218" s="92" t="s">
        <v>4210</v>
      </c>
      <c r="U218">
        <v>1</v>
      </c>
      <c r="V218">
        <f>VLOOKUP(T218,'Data Angt'!$A$5:$F$5810,6,FALSE)</f>
        <v>59</v>
      </c>
      <c r="W218" s="5">
        <f t="shared" si="3"/>
        <v>0</v>
      </c>
      <c r="X218" s="5" t="str">
        <f>VLOOKUP(T218,'Data Angt'!$A$5:$H$5810,8,FALSE)</f>
        <v>Mengurus Rumah Tangga</v>
      </c>
      <c r="Y218" s="5" t="str">
        <f>VLOOKUP(T218,'Data Angt'!$A$5:$C$5808,3,FALSE)</f>
        <v>PBL</v>
      </c>
    </row>
    <row r="219" spans="1:25" x14ac:dyDescent="0.3">
      <c r="A219" s="8">
        <v>213</v>
      </c>
      <c r="B219" s="9" t="s">
        <v>3806</v>
      </c>
      <c r="C219" s="10" t="str">
        <f>VLOOKUP(B219,'Data Angt'!$A$5:$B$5809,2,FALSE)</f>
        <v>A1639</v>
      </c>
      <c r="D219" s="11" t="s">
        <v>9829</v>
      </c>
      <c r="E219" s="12" t="s">
        <v>9988</v>
      </c>
      <c r="F219" s="13">
        <v>45118</v>
      </c>
      <c r="G219" s="14">
        <v>45801</v>
      </c>
      <c r="H219" s="15">
        <v>55000000</v>
      </c>
      <c r="I219" s="16">
        <v>60</v>
      </c>
      <c r="J219" s="17">
        <v>6</v>
      </c>
      <c r="K219" s="9" t="s">
        <v>9831</v>
      </c>
      <c r="L219" s="10" t="s">
        <v>9989</v>
      </c>
      <c r="M219" s="9" t="s">
        <v>9854</v>
      </c>
      <c r="N219" s="10" t="s">
        <v>17</v>
      </c>
      <c r="O219" s="15">
        <v>36714600</v>
      </c>
      <c r="P219" s="145">
        <v>1916021</v>
      </c>
      <c r="Q219" s="9" t="s">
        <v>22197</v>
      </c>
      <c r="R219" s="146" t="s">
        <v>22387</v>
      </c>
      <c r="T219" s="92" t="s">
        <v>4226</v>
      </c>
      <c r="U219">
        <v>1</v>
      </c>
      <c r="V219">
        <f>VLOOKUP(T219,'Data Angt'!$A$5:$F$5810,6,FALSE)</f>
        <v>44</v>
      </c>
      <c r="W219" s="5" t="str">
        <f t="shared" si="3"/>
        <v>PENDIDIKAN</v>
      </c>
      <c r="X219" s="5" t="str">
        <f>VLOOKUP(T219,'Data Angt'!$A$5:$H$5810,8,FALSE)</f>
        <v>Lain-Lain</v>
      </c>
      <c r="Y219" s="5" t="str">
        <f>VLOOKUP(T219,'Data Angt'!$A$5:$C$5808,3,FALSE)</f>
        <v>PBL</v>
      </c>
    </row>
    <row r="220" spans="1:25" x14ac:dyDescent="0.3">
      <c r="A220" s="8">
        <v>214</v>
      </c>
      <c r="B220" s="9" t="s">
        <v>3838</v>
      </c>
      <c r="C220" s="10" t="str">
        <f>VLOOKUP(B220,'Data Angt'!$A$5:$B$5809,2,FALSE)</f>
        <v>A1658</v>
      </c>
      <c r="D220" s="11" t="s">
        <v>9829</v>
      </c>
      <c r="E220" s="12" t="s">
        <v>15649</v>
      </c>
      <c r="F220" s="13">
        <v>45497</v>
      </c>
      <c r="G220" s="14">
        <v>45920</v>
      </c>
      <c r="H220" s="15">
        <v>49000000</v>
      </c>
      <c r="I220" s="16">
        <v>48</v>
      </c>
      <c r="J220" s="17">
        <v>21</v>
      </c>
      <c r="K220" s="9" t="s">
        <v>9831</v>
      </c>
      <c r="L220" s="10" t="s">
        <v>15650</v>
      </c>
      <c r="M220" s="9" t="s">
        <v>15651</v>
      </c>
      <c r="N220" s="10" t="s">
        <v>17</v>
      </c>
      <c r="O220" s="15">
        <v>38633900</v>
      </c>
      <c r="P220" s="145">
        <v>4079059</v>
      </c>
      <c r="Q220" s="9" t="s">
        <v>22197</v>
      </c>
      <c r="R220" s="146" t="s">
        <v>22388</v>
      </c>
      <c r="T220" s="92" t="s">
        <v>4231</v>
      </c>
      <c r="U220">
        <v>1</v>
      </c>
      <c r="V220">
        <f>VLOOKUP(T220,'Data Angt'!$A$5:$F$5810,6,FALSE)</f>
        <v>31</v>
      </c>
      <c r="W220" s="5" t="str">
        <f t="shared" si="3"/>
        <v>KONSUMTIF</v>
      </c>
      <c r="X220" s="5" t="str">
        <f>VLOOKUP(T220,'Data Angt'!$A$5:$H$5810,8,FALSE)</f>
        <v>Tenaga Pengajar</v>
      </c>
      <c r="Y220" s="5" t="str">
        <f>VLOOKUP(T220,'Data Angt'!$A$5:$C$5808,3,FALSE)</f>
        <v>PBL</v>
      </c>
    </row>
    <row r="221" spans="1:25" x14ac:dyDescent="0.3">
      <c r="A221" s="8">
        <v>215</v>
      </c>
      <c r="B221" s="9" t="s">
        <v>3843</v>
      </c>
      <c r="C221" s="10" t="str">
        <f>VLOOKUP(B221,'Data Angt'!$A$5:$B$5809,2,FALSE)</f>
        <v>A1660</v>
      </c>
      <c r="D221" s="11" t="s">
        <v>9833</v>
      </c>
      <c r="E221" s="12" t="s">
        <v>22389</v>
      </c>
      <c r="F221" s="13">
        <v>45920</v>
      </c>
      <c r="G221" s="14">
        <v>45920</v>
      </c>
      <c r="H221" s="15">
        <v>3000000</v>
      </c>
      <c r="I221" s="16">
        <v>15</v>
      </c>
      <c r="J221" s="17">
        <v>24</v>
      </c>
      <c r="K221" s="9" t="s">
        <v>9831</v>
      </c>
      <c r="L221" s="10" t="s">
        <v>22390</v>
      </c>
      <c r="M221" s="9" t="s">
        <v>9977</v>
      </c>
      <c r="N221" s="10" t="s">
        <v>9834</v>
      </c>
      <c r="O221" s="15">
        <v>3000000</v>
      </c>
      <c r="P221" s="147">
        <v>0</v>
      </c>
      <c r="Q221" s="9"/>
      <c r="R221" s="146"/>
      <c r="T221" s="92" t="s">
        <v>4239</v>
      </c>
      <c r="U221">
        <v>1</v>
      </c>
      <c r="V221">
        <f>VLOOKUP(T221,'Data Angt'!$A$5:$F$5810,6,FALSE)</f>
        <v>50</v>
      </c>
      <c r="W221" s="5" t="str">
        <f t="shared" si="3"/>
        <v>KESEJAHTERAAN</v>
      </c>
      <c r="X221" s="5" t="str">
        <f>VLOOKUP(T221,'Data Angt'!$A$5:$H$5810,8,FALSE)</f>
        <v>Karyawan</v>
      </c>
      <c r="Y221" s="5" t="str">
        <f>VLOOKUP(T221,'Data Angt'!$A$5:$C$5808,3,FALSE)</f>
        <v>PBL</v>
      </c>
    </row>
    <row r="222" spans="1:25" x14ac:dyDescent="0.3">
      <c r="A222" s="8">
        <v>216</v>
      </c>
      <c r="B222" s="9" t="s">
        <v>3869</v>
      </c>
      <c r="C222" s="10" t="str">
        <f>VLOOKUP(B222,'Data Angt'!$A$5:$B$5809,2,FALSE)</f>
        <v>A1672</v>
      </c>
      <c r="D222" s="11" t="s">
        <v>9881</v>
      </c>
      <c r="E222" s="12" t="s">
        <v>15652</v>
      </c>
      <c r="F222" s="13">
        <v>45782</v>
      </c>
      <c r="G222" s="14">
        <v>45908</v>
      </c>
      <c r="H222" s="15">
        <v>4300000</v>
      </c>
      <c r="I222" s="16">
        <v>12</v>
      </c>
      <c r="J222" s="17">
        <v>12</v>
      </c>
      <c r="K222" s="9" t="s">
        <v>9831</v>
      </c>
      <c r="L222" s="10" t="s">
        <v>15653</v>
      </c>
      <c r="M222" s="9" t="s">
        <v>9835</v>
      </c>
      <c r="N222" s="10" t="s">
        <v>9828</v>
      </c>
      <c r="O222" s="15">
        <v>2923300</v>
      </c>
      <c r="P222" s="145">
        <v>56887</v>
      </c>
      <c r="Q222" s="9"/>
      <c r="R222" s="146"/>
      <c r="T222" s="92" t="s">
        <v>4258</v>
      </c>
      <c r="U222">
        <v>1</v>
      </c>
      <c r="V222">
        <f>VLOOKUP(T222,'Data Angt'!$A$5:$F$5810,6,FALSE)</f>
        <v>68</v>
      </c>
      <c r="W222" s="5" t="str">
        <f t="shared" si="3"/>
        <v>KESEJAHTERAAN</v>
      </c>
      <c r="X222" s="5" t="str">
        <f>VLOOKUP(T222,'Data Angt'!$A$5:$H$5810,8,FALSE)</f>
        <v>Mengurus Rumah Tangga</v>
      </c>
      <c r="Y222" s="5" t="str">
        <f>VLOOKUP(T222,'Data Angt'!$A$5:$C$5808,3,FALSE)</f>
        <v>PBL</v>
      </c>
    </row>
    <row r="223" spans="1:25" x14ac:dyDescent="0.3">
      <c r="A223" s="8">
        <v>217</v>
      </c>
      <c r="B223" s="9" t="s">
        <v>3869</v>
      </c>
      <c r="C223" s="10" t="str">
        <f>VLOOKUP(B223,'Data Angt'!$A$5:$B$5809,2,FALSE)</f>
        <v>A1672</v>
      </c>
      <c r="D223" s="11" t="s">
        <v>9829</v>
      </c>
      <c r="E223" s="12" t="s">
        <v>15654</v>
      </c>
      <c r="F223" s="13">
        <v>45335</v>
      </c>
      <c r="G223" s="14">
        <v>45908</v>
      </c>
      <c r="H223" s="15">
        <v>37000000</v>
      </c>
      <c r="I223" s="16">
        <v>24</v>
      </c>
      <c r="J223" s="17">
        <v>21</v>
      </c>
      <c r="K223" s="9" t="s">
        <v>9827</v>
      </c>
      <c r="L223" s="10" t="s">
        <v>15655</v>
      </c>
      <c r="M223" s="9" t="s">
        <v>15656</v>
      </c>
      <c r="N223" s="10" t="s">
        <v>9828</v>
      </c>
      <c r="O223" s="15">
        <v>7707700</v>
      </c>
      <c r="P223" s="145">
        <v>2883745</v>
      </c>
      <c r="Q223" s="9" t="s">
        <v>22391</v>
      </c>
      <c r="R223" s="146" t="s">
        <v>22392</v>
      </c>
      <c r="T223" s="92" t="s">
        <v>4261</v>
      </c>
      <c r="U223">
        <v>1</v>
      </c>
      <c r="V223">
        <f>VLOOKUP(T223,'Data Angt'!$A$5:$F$5810,6,FALSE)</f>
        <v>55</v>
      </c>
      <c r="W223" s="5" t="str">
        <f t="shared" si="3"/>
        <v>PRODUKTIF</v>
      </c>
      <c r="X223" s="5" t="str">
        <f>VLOOKUP(T223,'Data Angt'!$A$5:$H$5810,8,FALSE)</f>
        <v>Wiraswasta</v>
      </c>
      <c r="Y223" s="5" t="str">
        <f>VLOOKUP(T223,'Data Angt'!$A$5:$C$5808,3,FALSE)</f>
        <v>PBL</v>
      </c>
    </row>
    <row r="224" spans="1:25" x14ac:dyDescent="0.3">
      <c r="A224" s="8">
        <v>218</v>
      </c>
      <c r="B224" s="9" t="s">
        <v>3928</v>
      </c>
      <c r="C224" s="10" t="str">
        <f>VLOOKUP(B224,'Data Angt'!$A$5:$B$5809,2,FALSE)</f>
        <v>A1698</v>
      </c>
      <c r="D224" s="11" t="s">
        <v>9829</v>
      </c>
      <c r="E224" s="12" t="s">
        <v>9991</v>
      </c>
      <c r="F224" s="13">
        <v>43789</v>
      </c>
      <c r="G224" s="14">
        <v>45863</v>
      </c>
      <c r="H224" s="15">
        <v>168000000</v>
      </c>
      <c r="I224" s="16">
        <v>48</v>
      </c>
      <c r="J224" s="17">
        <v>21</v>
      </c>
      <c r="K224" s="9" t="s">
        <v>9831</v>
      </c>
      <c r="L224" s="10" t="s">
        <v>9992</v>
      </c>
      <c r="M224" s="9" t="s">
        <v>9923</v>
      </c>
      <c r="N224" s="10" t="s">
        <v>9828</v>
      </c>
      <c r="O224" s="15">
        <v>127278850</v>
      </c>
      <c r="P224" s="145">
        <v>17980104</v>
      </c>
      <c r="Q224" s="9"/>
      <c r="R224" s="146"/>
      <c r="T224" s="92" t="s">
        <v>4272</v>
      </c>
      <c r="U224">
        <v>2</v>
      </c>
      <c r="V224">
        <f>VLOOKUP(T224,'Data Angt'!$A$5:$F$5810,6,FALSE)</f>
        <v>43</v>
      </c>
      <c r="W224" s="5" t="str">
        <f t="shared" si="3"/>
        <v>PENDIDIKAN</v>
      </c>
      <c r="X224" s="5" t="str">
        <f>VLOOKUP(T224,'Data Angt'!$A$5:$H$5810,8,FALSE)</f>
        <v>Wiraswasta</v>
      </c>
      <c r="Y224" s="5" t="str">
        <f>VLOOKUP(T224,'Data Angt'!$A$5:$C$5808,3,FALSE)</f>
        <v>PBL</v>
      </c>
    </row>
    <row r="225" spans="1:25" x14ac:dyDescent="0.3">
      <c r="A225" s="8">
        <v>219</v>
      </c>
      <c r="B225" s="9" t="s">
        <v>3934</v>
      </c>
      <c r="C225" s="10" t="str">
        <f>VLOOKUP(B225,'Data Angt'!$A$5:$B$5809,2,FALSE)</f>
        <v>A1701</v>
      </c>
      <c r="D225" s="11" t="s">
        <v>9829</v>
      </c>
      <c r="E225" s="12" t="s">
        <v>15657</v>
      </c>
      <c r="F225" s="13">
        <v>45796</v>
      </c>
      <c r="G225" s="14">
        <v>45926</v>
      </c>
      <c r="H225" s="15">
        <v>10000000</v>
      </c>
      <c r="I225" s="16">
        <v>24</v>
      </c>
      <c r="J225" s="17">
        <v>24</v>
      </c>
      <c r="K225" s="9" t="s">
        <v>9831</v>
      </c>
      <c r="L225" s="10" t="s">
        <v>15658</v>
      </c>
      <c r="M225" s="9" t="s">
        <v>15659</v>
      </c>
      <c r="N225" s="10" t="s">
        <v>17</v>
      </c>
      <c r="O225" s="15">
        <v>8645000</v>
      </c>
      <c r="P225" s="145">
        <v>285074</v>
      </c>
      <c r="Q225" s="9"/>
      <c r="R225" s="146"/>
      <c r="T225" s="92" t="s">
        <v>4284</v>
      </c>
      <c r="U225">
        <v>1</v>
      </c>
      <c r="V225">
        <f>VLOOKUP(T225,'Data Angt'!$A$5:$F$5810,6,FALSE)</f>
        <v>55</v>
      </c>
      <c r="W225" s="5">
        <f t="shared" si="3"/>
        <v>0</v>
      </c>
      <c r="X225" s="5" t="str">
        <f>VLOOKUP(T225,'Data Angt'!$A$5:$H$5810,8,FALSE)</f>
        <v>Aparatur/Pejabat Negara</v>
      </c>
      <c r="Y225" s="5" t="str">
        <f>VLOOKUP(T225,'Data Angt'!$A$5:$C$5808,3,FALSE)</f>
        <v>PBL</v>
      </c>
    </row>
    <row r="226" spans="1:25" x14ac:dyDescent="0.3">
      <c r="A226" s="8">
        <v>220</v>
      </c>
      <c r="B226" s="9" t="s">
        <v>3940</v>
      </c>
      <c r="C226" s="10" t="str">
        <f>VLOOKUP(B226,'Data Angt'!$A$5:$B$5809,2,FALSE)</f>
        <v>A1703</v>
      </c>
      <c r="D226" s="11" t="s">
        <v>9833</v>
      </c>
      <c r="E226" s="12" t="s">
        <v>15660</v>
      </c>
      <c r="F226" s="13">
        <v>45611</v>
      </c>
      <c r="G226" s="14">
        <v>45917</v>
      </c>
      <c r="H226" s="15">
        <v>6000000</v>
      </c>
      <c r="I226" s="16">
        <v>20</v>
      </c>
      <c r="J226" s="17">
        <v>24</v>
      </c>
      <c r="K226" s="9" t="s">
        <v>9831</v>
      </c>
      <c r="L226" s="10" t="s">
        <v>15661</v>
      </c>
      <c r="M226" s="9" t="s">
        <v>15662</v>
      </c>
      <c r="N226" s="10" t="s">
        <v>9834</v>
      </c>
      <c r="O226" s="15">
        <v>3295900</v>
      </c>
      <c r="P226" s="145">
        <v>362208</v>
      </c>
      <c r="Q226" s="9"/>
      <c r="R226" s="146"/>
      <c r="T226" s="92" t="s">
        <v>4287</v>
      </c>
      <c r="U226">
        <v>1</v>
      </c>
      <c r="V226">
        <f>VLOOKUP(T226,'Data Angt'!$A$5:$F$5810,6,FALSE)</f>
        <v>47</v>
      </c>
      <c r="W226" s="5" t="str">
        <f t="shared" si="3"/>
        <v>KESEJAHTERAAN</v>
      </c>
      <c r="X226" s="5" t="str">
        <f>VLOOKUP(T226,'Data Angt'!$A$5:$H$5810,8,FALSE)</f>
        <v>Lain-Lain</v>
      </c>
      <c r="Y226" s="5" t="str">
        <f>VLOOKUP(T226,'Data Angt'!$A$5:$C$5808,3,FALSE)</f>
        <v>PBL</v>
      </c>
    </row>
    <row r="227" spans="1:25" x14ac:dyDescent="0.3">
      <c r="A227" s="8">
        <v>221</v>
      </c>
      <c r="B227" s="9" t="s">
        <v>3957</v>
      </c>
      <c r="C227" s="10" t="str">
        <f>VLOOKUP(B227,'Data Angt'!$A$5:$B$5809,2,FALSE)</f>
        <v>A1709</v>
      </c>
      <c r="D227" s="11" t="s">
        <v>9833</v>
      </c>
      <c r="E227" s="12" t="s">
        <v>15663</v>
      </c>
      <c r="F227" s="13">
        <v>45668</v>
      </c>
      <c r="G227" s="14">
        <v>45869</v>
      </c>
      <c r="H227" s="15">
        <v>10000000</v>
      </c>
      <c r="I227" s="16">
        <v>36</v>
      </c>
      <c r="J227" s="17">
        <v>24</v>
      </c>
      <c r="K227" s="9" t="s">
        <v>9831</v>
      </c>
      <c r="L227" s="10" t="s">
        <v>15664</v>
      </c>
      <c r="M227" s="9" t="s">
        <v>10172</v>
      </c>
      <c r="N227" s="10" t="s">
        <v>9834</v>
      </c>
      <c r="O227" s="15">
        <v>9411300</v>
      </c>
      <c r="P227" s="145">
        <v>222150</v>
      </c>
      <c r="Q227" s="9"/>
      <c r="R227" s="146"/>
      <c r="T227" s="92" t="s">
        <v>4301</v>
      </c>
      <c r="U227">
        <v>1</v>
      </c>
      <c r="V227">
        <f>VLOOKUP(T227,'Data Angt'!$A$5:$F$5810,6,FALSE)</f>
        <v>55</v>
      </c>
      <c r="W227" s="5" t="str">
        <f t="shared" si="3"/>
        <v>KESEJAHTERAAN</v>
      </c>
      <c r="X227" s="5" t="str">
        <f>VLOOKUP(T227,'Data Angt'!$A$5:$H$5810,8,FALSE)</f>
        <v>Tenaga Ahli</v>
      </c>
      <c r="Y227" s="5" t="str">
        <f>VLOOKUP(T227,'Data Angt'!$A$5:$C$5808,3,FALSE)</f>
        <v>PBL</v>
      </c>
    </row>
    <row r="228" spans="1:25" x14ac:dyDescent="0.3">
      <c r="A228" s="8">
        <v>222</v>
      </c>
      <c r="B228" s="9" t="s">
        <v>3973</v>
      </c>
      <c r="C228" s="10" t="str">
        <f>VLOOKUP(B228,'Data Angt'!$A$5:$B$5809,2,FALSE)</f>
        <v>A1716</v>
      </c>
      <c r="D228" s="11" t="s">
        <v>9829</v>
      </c>
      <c r="E228" s="12" t="s">
        <v>15665</v>
      </c>
      <c r="F228" s="13">
        <v>45507</v>
      </c>
      <c r="G228" s="14">
        <v>45909</v>
      </c>
      <c r="H228" s="15">
        <v>11500000</v>
      </c>
      <c r="I228" s="16">
        <v>18</v>
      </c>
      <c r="J228" s="17">
        <v>24</v>
      </c>
      <c r="K228" s="9" t="s">
        <v>9831</v>
      </c>
      <c r="L228" s="10" t="s">
        <v>15666</v>
      </c>
      <c r="M228" s="9" t="s">
        <v>15667</v>
      </c>
      <c r="N228" s="10" t="s">
        <v>9828</v>
      </c>
      <c r="O228" s="15">
        <v>3706800</v>
      </c>
      <c r="P228" s="145">
        <v>817160</v>
      </c>
      <c r="Q228" s="9"/>
      <c r="R228" s="146"/>
      <c r="T228" s="92" t="s">
        <v>4342</v>
      </c>
      <c r="U228">
        <v>1</v>
      </c>
      <c r="V228">
        <f>VLOOKUP(T228,'Data Angt'!$A$5:$F$5810,6,FALSE)</f>
        <v>43</v>
      </c>
      <c r="W228" s="5" t="str">
        <f t="shared" si="3"/>
        <v>PRODUKTIF</v>
      </c>
      <c r="X228" s="5" t="str">
        <f>VLOOKUP(T228,'Data Angt'!$A$5:$H$5810,8,FALSE)</f>
        <v>Mengurus Rumah Tangga</v>
      </c>
      <c r="Y228" s="5" t="str">
        <f>VLOOKUP(T228,'Data Angt'!$A$5:$C$5808,3,FALSE)</f>
        <v>PBL</v>
      </c>
    </row>
    <row r="229" spans="1:25" x14ac:dyDescent="0.3">
      <c r="A229" s="8">
        <v>223</v>
      </c>
      <c r="B229" s="9" t="s">
        <v>3976</v>
      </c>
      <c r="C229" s="10" t="str">
        <f>VLOOKUP(B229,'Data Angt'!$A$5:$B$5809,2,FALSE)</f>
        <v>A1718</v>
      </c>
      <c r="D229" s="11" t="s">
        <v>9895</v>
      </c>
      <c r="E229" s="12" t="s">
        <v>15668</v>
      </c>
      <c r="F229" s="13">
        <v>45729</v>
      </c>
      <c r="G229" s="14">
        <v>45912</v>
      </c>
      <c r="H229" s="15">
        <v>28500000</v>
      </c>
      <c r="I229" s="16">
        <v>36</v>
      </c>
      <c r="J229" s="17">
        <v>21</v>
      </c>
      <c r="K229" s="9" t="s">
        <v>9831</v>
      </c>
      <c r="L229" s="10" t="s">
        <v>15669</v>
      </c>
      <c r="M229" s="9" t="s">
        <v>10544</v>
      </c>
      <c r="N229" s="10" t="s">
        <v>9828</v>
      </c>
      <c r="O229" s="15">
        <v>24895500</v>
      </c>
      <c r="P229" s="145">
        <v>1064360</v>
      </c>
      <c r="Q229" s="9" t="s">
        <v>22189</v>
      </c>
      <c r="R229" s="146" t="s">
        <v>22393</v>
      </c>
      <c r="T229" s="92" t="s">
        <v>4348</v>
      </c>
      <c r="U229">
        <v>1</v>
      </c>
      <c r="V229">
        <f>VLOOKUP(T229,'Data Angt'!$A$5:$F$5810,6,FALSE)</f>
        <v>78</v>
      </c>
      <c r="W229" s="5" t="str">
        <f t="shared" si="3"/>
        <v>KONSUMTIF</v>
      </c>
      <c r="X229" s="5" t="str">
        <f>VLOOKUP(T229,'Data Angt'!$A$5:$H$5810,8,FALSE)</f>
        <v>Pensiunan</v>
      </c>
      <c r="Y229" s="5" t="str">
        <f>VLOOKUP(T229,'Data Angt'!$A$5:$C$5808,3,FALSE)</f>
        <v>PBL</v>
      </c>
    </row>
    <row r="230" spans="1:25" x14ac:dyDescent="0.3">
      <c r="A230" s="8">
        <v>224</v>
      </c>
      <c r="B230" s="9" t="s">
        <v>3976</v>
      </c>
      <c r="C230" s="10" t="str">
        <f>VLOOKUP(B230,'Data Angt'!$A$5:$B$5809,2,FALSE)</f>
        <v>A1718</v>
      </c>
      <c r="D230" s="11" t="s">
        <v>9826</v>
      </c>
      <c r="E230" s="12" t="s">
        <v>22394</v>
      </c>
      <c r="F230" s="13">
        <v>45901</v>
      </c>
      <c r="G230" s="14">
        <v>45901</v>
      </c>
      <c r="H230" s="15">
        <v>5000000</v>
      </c>
      <c r="I230" s="16">
        <v>12</v>
      </c>
      <c r="J230" s="17">
        <v>24</v>
      </c>
      <c r="K230" s="9" t="s">
        <v>9831</v>
      </c>
      <c r="L230" s="10" t="s">
        <v>22395</v>
      </c>
      <c r="M230" s="9" t="s">
        <v>9838</v>
      </c>
      <c r="N230" s="10" t="s">
        <v>9830</v>
      </c>
      <c r="O230" s="15">
        <v>5000000</v>
      </c>
      <c r="P230" s="147">
        <v>0</v>
      </c>
      <c r="Q230" s="9" t="s">
        <v>22189</v>
      </c>
      <c r="R230" s="146" t="s">
        <v>22396</v>
      </c>
      <c r="T230" s="92" t="s">
        <v>4353</v>
      </c>
      <c r="U230">
        <v>1</v>
      </c>
      <c r="V230">
        <f>VLOOKUP(T230,'Data Angt'!$A$5:$F$5810,6,FALSE)</f>
        <v>37</v>
      </c>
      <c r="W230" s="5" t="str">
        <f t="shared" si="3"/>
        <v>KONSUMTIF</v>
      </c>
      <c r="X230" s="5" t="str">
        <f>VLOOKUP(T230,'Data Angt'!$A$5:$H$5810,8,FALSE)</f>
        <v>Mengurus Rumah Tangga</v>
      </c>
      <c r="Y230" s="5" t="str">
        <f>VLOOKUP(T230,'Data Angt'!$A$5:$C$5808,3,FALSE)</f>
        <v>PBL</v>
      </c>
    </row>
    <row r="231" spans="1:25" x14ac:dyDescent="0.3">
      <c r="A231" s="8">
        <v>225</v>
      </c>
      <c r="B231" s="9" t="s">
        <v>4033</v>
      </c>
      <c r="C231" s="10" t="str">
        <f>VLOOKUP(B231,'Data Angt'!$A$5:$B$5809,2,FALSE)</f>
        <v>A1747</v>
      </c>
      <c r="D231" s="11" t="s">
        <v>9895</v>
      </c>
      <c r="E231" s="12" t="s">
        <v>15670</v>
      </c>
      <c r="F231" s="13">
        <v>45476</v>
      </c>
      <c r="G231" s="14">
        <v>45925</v>
      </c>
      <c r="H231" s="15">
        <v>150000000</v>
      </c>
      <c r="I231" s="16">
        <v>60</v>
      </c>
      <c r="J231" s="17">
        <v>9</v>
      </c>
      <c r="K231" s="9" t="s">
        <v>9831</v>
      </c>
      <c r="L231" s="10" t="s">
        <v>15671</v>
      </c>
      <c r="M231" s="9" t="s">
        <v>9871</v>
      </c>
      <c r="N231" s="10" t="s">
        <v>9828</v>
      </c>
      <c r="O231" s="15">
        <v>120758600</v>
      </c>
      <c r="P231" s="145">
        <v>5381920</v>
      </c>
      <c r="Q231" s="9" t="s">
        <v>22240</v>
      </c>
      <c r="R231" s="146" t="s">
        <v>22397</v>
      </c>
      <c r="T231" s="92" t="s">
        <v>4378</v>
      </c>
      <c r="U231">
        <v>1</v>
      </c>
      <c r="V231">
        <f>VLOOKUP(T231,'Data Angt'!$A$5:$F$5810,6,FALSE)</f>
        <v>43</v>
      </c>
      <c r="W231" s="5" t="str">
        <f t="shared" si="3"/>
        <v>PENDIDIKAN</v>
      </c>
      <c r="X231" s="5" t="str">
        <f>VLOOKUP(T231,'Data Angt'!$A$5:$H$5810,8,FALSE)</f>
        <v>Mengurus Rumah Tangga</v>
      </c>
      <c r="Y231" s="5" t="str">
        <f>VLOOKUP(T231,'Data Angt'!$A$5:$C$5808,3,FALSE)</f>
        <v>PBL</v>
      </c>
    </row>
    <row r="232" spans="1:25" x14ac:dyDescent="0.3">
      <c r="A232" s="8">
        <v>226</v>
      </c>
      <c r="B232" s="9" t="s">
        <v>4045</v>
      </c>
      <c r="C232" s="10" t="str">
        <f>VLOOKUP(B232,'Data Angt'!$A$5:$B$5809,2,FALSE)</f>
        <v>A1752</v>
      </c>
      <c r="D232" s="11" t="s">
        <v>9829</v>
      </c>
      <c r="E232" s="12" t="s">
        <v>9994</v>
      </c>
      <c r="F232" s="13">
        <v>44848</v>
      </c>
      <c r="G232" s="14">
        <v>45916</v>
      </c>
      <c r="H232" s="15">
        <v>25000000</v>
      </c>
      <c r="I232" s="16">
        <v>36</v>
      </c>
      <c r="J232" s="17">
        <v>21</v>
      </c>
      <c r="K232" s="9" t="s">
        <v>9827</v>
      </c>
      <c r="L232" s="10" t="s">
        <v>9995</v>
      </c>
      <c r="M232" s="9" t="s">
        <v>9996</v>
      </c>
      <c r="N232" s="10" t="s">
        <v>9830</v>
      </c>
      <c r="O232" s="15">
        <v>692500</v>
      </c>
      <c r="P232" s="145">
        <v>3031004</v>
      </c>
      <c r="Q232" s="9" t="s">
        <v>22398</v>
      </c>
      <c r="R232" s="146" t="s">
        <v>22399</v>
      </c>
      <c r="T232" s="92" t="s">
        <v>4448</v>
      </c>
      <c r="U232">
        <v>1</v>
      </c>
      <c r="V232">
        <f>VLOOKUP(T232,'Data Angt'!$A$5:$F$5810,6,FALSE)</f>
        <v>48</v>
      </c>
      <c r="W232" s="5" t="str">
        <f t="shared" si="3"/>
        <v>PRODUKTIF</v>
      </c>
      <c r="X232" s="5" t="str">
        <f>VLOOKUP(T232,'Data Angt'!$A$5:$H$5810,8,FALSE)</f>
        <v>Mengurus Rumah Tangga</v>
      </c>
      <c r="Y232" s="5" t="str">
        <f>VLOOKUP(T232,'Data Angt'!$A$5:$C$5808,3,FALSE)</f>
        <v>PBL</v>
      </c>
    </row>
    <row r="233" spans="1:25" x14ac:dyDescent="0.3">
      <c r="A233" s="8">
        <v>227</v>
      </c>
      <c r="B233" s="9" t="s">
        <v>12295</v>
      </c>
      <c r="C233" s="10" t="str">
        <f>VLOOKUP(B233,'Data Angt'!$A$5:$B$5809,2,FALSE)</f>
        <v>A1753</v>
      </c>
      <c r="D233" s="11" t="s">
        <v>9833</v>
      </c>
      <c r="E233" s="12" t="s">
        <v>15672</v>
      </c>
      <c r="F233" s="13">
        <v>45730</v>
      </c>
      <c r="G233" s="14">
        <v>45915</v>
      </c>
      <c r="H233" s="15">
        <v>4000000</v>
      </c>
      <c r="I233" s="16">
        <v>12</v>
      </c>
      <c r="J233" s="17">
        <v>24</v>
      </c>
      <c r="K233" s="9" t="s">
        <v>9831</v>
      </c>
      <c r="L233" s="10" t="s">
        <v>15673</v>
      </c>
      <c r="M233" s="9" t="s">
        <v>9862</v>
      </c>
      <c r="N233" s="10" t="s">
        <v>9834</v>
      </c>
      <c r="O233" s="15">
        <v>2125000</v>
      </c>
      <c r="P233" s="145">
        <v>148049</v>
      </c>
      <c r="Q233" s="9"/>
      <c r="R233" s="146"/>
      <c r="T233" s="92" t="s">
        <v>4469</v>
      </c>
      <c r="U233">
        <v>1</v>
      </c>
      <c r="V233">
        <f>VLOOKUP(T233,'Data Angt'!$A$5:$F$5810,6,FALSE)</f>
        <v>58</v>
      </c>
      <c r="W233" s="5" t="str">
        <f t="shared" si="3"/>
        <v>PRODUKTIF</v>
      </c>
      <c r="X233" s="5" t="str">
        <f>VLOOKUP(T233,'Data Angt'!$A$5:$H$5810,8,FALSE)</f>
        <v>Wiraswasta</v>
      </c>
      <c r="Y233" s="5" t="str">
        <f>VLOOKUP(T233,'Data Angt'!$A$5:$C$5808,3,FALSE)</f>
        <v>PBL</v>
      </c>
    </row>
    <row r="234" spans="1:25" x14ac:dyDescent="0.3">
      <c r="A234" s="8">
        <v>228</v>
      </c>
      <c r="B234" s="9" t="s">
        <v>4056</v>
      </c>
      <c r="C234" s="10" t="str">
        <f>VLOOKUP(B234,'Data Angt'!$A$5:$B$5809,2,FALSE)</f>
        <v>A1759</v>
      </c>
      <c r="D234" s="11" t="s">
        <v>9833</v>
      </c>
      <c r="E234" s="12" t="s">
        <v>22400</v>
      </c>
      <c r="F234" s="13">
        <v>45924</v>
      </c>
      <c r="G234" s="14">
        <v>45924</v>
      </c>
      <c r="H234" s="15">
        <v>3000000</v>
      </c>
      <c r="I234" s="16">
        <v>12</v>
      </c>
      <c r="J234" s="17">
        <v>24</v>
      </c>
      <c r="K234" s="9" t="s">
        <v>9831</v>
      </c>
      <c r="L234" s="10" t="s">
        <v>22401</v>
      </c>
      <c r="M234" s="9" t="s">
        <v>22402</v>
      </c>
      <c r="N234" s="10" t="s">
        <v>9834</v>
      </c>
      <c r="O234" s="15">
        <v>3000000</v>
      </c>
      <c r="P234" s="147">
        <v>0</v>
      </c>
      <c r="Q234" s="9"/>
      <c r="R234" s="146"/>
      <c r="T234" s="92" t="s">
        <v>4474</v>
      </c>
      <c r="U234">
        <v>1</v>
      </c>
      <c r="V234">
        <f>VLOOKUP(T234,'Data Angt'!$A$5:$F$5810,6,FALSE)</f>
        <v>49</v>
      </c>
      <c r="W234" s="5" t="str">
        <f t="shared" si="3"/>
        <v>PRODUKTIF</v>
      </c>
      <c r="X234" s="5" t="str">
        <f>VLOOKUP(T234,'Data Angt'!$A$5:$H$5810,8,FALSE)</f>
        <v>Wiraswasta</v>
      </c>
      <c r="Y234" s="5" t="str">
        <f>VLOOKUP(T234,'Data Angt'!$A$5:$C$5808,3,FALSE)</f>
        <v>PBL</v>
      </c>
    </row>
    <row r="235" spans="1:25" x14ac:dyDescent="0.3">
      <c r="A235" s="8">
        <v>229</v>
      </c>
      <c r="B235" s="9" t="s">
        <v>4068</v>
      </c>
      <c r="C235" s="10" t="str">
        <f>VLOOKUP(B235,'Data Angt'!$A$5:$B$5809,2,FALSE)</f>
        <v>A1764</v>
      </c>
      <c r="D235" s="11" t="s">
        <v>9833</v>
      </c>
      <c r="E235" s="12" t="s">
        <v>15674</v>
      </c>
      <c r="F235" s="13">
        <v>45412</v>
      </c>
      <c r="G235" s="14">
        <v>45920</v>
      </c>
      <c r="H235" s="15">
        <v>30000000</v>
      </c>
      <c r="I235" s="16">
        <v>24</v>
      </c>
      <c r="J235" s="17">
        <v>21</v>
      </c>
      <c r="K235" s="9" t="s">
        <v>9831</v>
      </c>
      <c r="L235" s="10" t="s">
        <v>15675</v>
      </c>
      <c r="M235" s="9" t="s">
        <v>9862</v>
      </c>
      <c r="N235" s="10" t="s">
        <v>9834</v>
      </c>
      <c r="O235" s="15">
        <v>10074000</v>
      </c>
      <c r="P235" s="145">
        <v>2355445</v>
      </c>
      <c r="Q235" s="9" t="s">
        <v>22197</v>
      </c>
      <c r="R235" s="146" t="s">
        <v>22403</v>
      </c>
      <c r="T235" s="92" t="s">
        <v>4483</v>
      </c>
      <c r="U235">
        <v>1</v>
      </c>
      <c r="V235">
        <f>VLOOKUP(T235,'Data Angt'!$A$5:$F$5810,6,FALSE)</f>
        <v>34</v>
      </c>
      <c r="W235" s="5" t="str">
        <f t="shared" si="3"/>
        <v>PRODUKTIF</v>
      </c>
      <c r="X235" s="5" t="str">
        <f>VLOOKUP(T235,'Data Angt'!$A$5:$H$5810,8,FALSE)</f>
        <v>Lain-Lain</v>
      </c>
      <c r="Y235" s="5" t="str">
        <f>VLOOKUP(T235,'Data Angt'!$A$5:$C$5808,3,FALSE)</f>
        <v>PBL</v>
      </c>
    </row>
    <row r="236" spans="1:25" x14ac:dyDescent="0.3">
      <c r="A236" s="8">
        <v>230</v>
      </c>
      <c r="B236" s="9" t="s">
        <v>4112</v>
      </c>
      <c r="C236" s="10" t="str">
        <f>VLOOKUP(B236,'Data Angt'!$A$5:$B$5809,2,FALSE)</f>
        <v>A1785</v>
      </c>
      <c r="D236" s="11" t="s">
        <v>9829</v>
      </c>
      <c r="E236" s="12" t="s">
        <v>15676</v>
      </c>
      <c r="F236" s="13">
        <v>45680</v>
      </c>
      <c r="G236" s="14">
        <v>45925</v>
      </c>
      <c r="H236" s="15">
        <v>70000000</v>
      </c>
      <c r="I236" s="16">
        <v>48</v>
      </c>
      <c r="J236" s="17">
        <v>21</v>
      </c>
      <c r="K236" s="9" t="s">
        <v>9831</v>
      </c>
      <c r="L236" s="10" t="s">
        <v>15677</v>
      </c>
      <c r="M236" s="9" t="s">
        <v>9838</v>
      </c>
      <c r="N236" s="10" t="s">
        <v>9830</v>
      </c>
      <c r="O236" s="15">
        <v>61981100</v>
      </c>
      <c r="P236" s="145">
        <v>3495711</v>
      </c>
      <c r="Q236" s="9" t="s">
        <v>22197</v>
      </c>
      <c r="R236" s="146" t="s">
        <v>22404</v>
      </c>
      <c r="T236" s="92" t="s">
        <v>4523</v>
      </c>
      <c r="U236">
        <v>1</v>
      </c>
      <c r="V236">
        <f>VLOOKUP(T236,'Data Angt'!$A$5:$F$5810,6,FALSE)</f>
        <v>48</v>
      </c>
      <c r="W236" s="5" t="str">
        <f t="shared" si="3"/>
        <v>PRODUKTIF</v>
      </c>
      <c r="X236" s="5" t="str">
        <f>VLOOKUP(T236,'Data Angt'!$A$5:$H$5810,8,FALSE)</f>
        <v>Mengurus Rumah Tangga</v>
      </c>
      <c r="Y236" s="5" t="str">
        <f>VLOOKUP(T236,'Data Angt'!$A$5:$C$5808,3,FALSE)</f>
        <v>PBL</v>
      </c>
    </row>
    <row r="237" spans="1:25" x14ac:dyDescent="0.3">
      <c r="A237" s="8">
        <v>231</v>
      </c>
      <c r="B237" s="9" t="s">
        <v>4122</v>
      </c>
      <c r="C237" s="10" t="str">
        <f>VLOOKUP(B237,'Data Angt'!$A$5:$B$5809,2,FALSE)</f>
        <v>A1789</v>
      </c>
      <c r="D237" s="11" t="s">
        <v>9829</v>
      </c>
      <c r="E237" s="12" t="s">
        <v>15678</v>
      </c>
      <c r="F237" s="13">
        <v>45426</v>
      </c>
      <c r="G237" s="14">
        <v>45915</v>
      </c>
      <c r="H237" s="15">
        <v>6500000</v>
      </c>
      <c r="I237" s="16">
        <v>36</v>
      </c>
      <c r="J237" s="17">
        <v>24</v>
      </c>
      <c r="K237" s="9" t="s">
        <v>9831</v>
      </c>
      <c r="L237" s="10" t="s">
        <v>15679</v>
      </c>
      <c r="M237" s="9" t="s">
        <v>15680</v>
      </c>
      <c r="N237" s="10" t="s">
        <v>110</v>
      </c>
      <c r="O237" s="15">
        <v>4169100</v>
      </c>
      <c r="P237" s="145">
        <v>656508</v>
      </c>
      <c r="Q237" s="9"/>
      <c r="R237" s="146"/>
      <c r="T237" s="92" t="s">
        <v>4533</v>
      </c>
      <c r="U237">
        <v>1</v>
      </c>
      <c r="V237">
        <f>VLOOKUP(T237,'Data Angt'!$A$5:$F$5810,6,FALSE)</f>
        <v>51</v>
      </c>
      <c r="W237" s="5" t="str">
        <f t="shared" si="3"/>
        <v>KONSUMTIF</v>
      </c>
      <c r="X237" s="5" t="str">
        <f>VLOOKUP(T237,'Data Angt'!$A$5:$H$5810,8,FALSE)</f>
        <v>Mengurus Rumah Tangga</v>
      </c>
      <c r="Y237" s="5" t="str">
        <f>VLOOKUP(T237,'Data Angt'!$A$5:$C$5808,3,FALSE)</f>
        <v>PBL</v>
      </c>
    </row>
    <row r="238" spans="1:25" x14ac:dyDescent="0.3">
      <c r="A238" s="8">
        <v>232</v>
      </c>
      <c r="B238" s="9" t="s">
        <v>4124</v>
      </c>
      <c r="C238" s="10" t="str">
        <f>VLOOKUP(B238,'Data Angt'!$A$5:$B$5809,2,FALSE)</f>
        <v>A1790</v>
      </c>
      <c r="D238" s="11" t="s">
        <v>9829</v>
      </c>
      <c r="E238" s="12" t="s">
        <v>22405</v>
      </c>
      <c r="F238" s="13">
        <v>45867</v>
      </c>
      <c r="G238" s="14">
        <v>45926</v>
      </c>
      <c r="H238" s="15">
        <v>6000000</v>
      </c>
      <c r="I238" s="16">
        <v>12</v>
      </c>
      <c r="J238" s="17">
        <v>24</v>
      </c>
      <c r="K238" s="9" t="s">
        <v>9831</v>
      </c>
      <c r="L238" s="10" t="s">
        <v>22406</v>
      </c>
      <c r="M238" s="9" t="s">
        <v>10188</v>
      </c>
      <c r="N238" s="10" t="s">
        <v>17</v>
      </c>
      <c r="O238" s="15">
        <v>5096300</v>
      </c>
      <c r="P238" s="145">
        <v>86662</v>
      </c>
      <c r="Q238" s="9"/>
      <c r="R238" s="146"/>
      <c r="T238" s="92" t="s">
        <v>4539</v>
      </c>
      <c r="U238">
        <v>1</v>
      </c>
      <c r="V238">
        <f>VLOOKUP(T238,'Data Angt'!$A$5:$F$5810,6,FALSE)</f>
        <v>43</v>
      </c>
      <c r="W238" s="5" t="str">
        <f t="shared" si="3"/>
        <v>PRODUKTIF</v>
      </c>
      <c r="X238" s="5" t="str">
        <f>VLOOKUP(T238,'Data Angt'!$A$5:$H$5810,8,FALSE)</f>
        <v>Wiraswasta</v>
      </c>
      <c r="Y238" s="5" t="str">
        <f>VLOOKUP(T238,'Data Angt'!$A$5:$C$5808,3,FALSE)</f>
        <v>PBL</v>
      </c>
    </row>
    <row r="239" spans="1:25" x14ac:dyDescent="0.3">
      <c r="A239" s="8">
        <v>233</v>
      </c>
      <c r="B239" s="9" t="s">
        <v>4143</v>
      </c>
      <c r="C239" s="10" t="str">
        <f>VLOOKUP(B239,'Data Angt'!$A$5:$B$5809,2,FALSE)</f>
        <v>A1798</v>
      </c>
      <c r="D239" s="11" t="s">
        <v>9829</v>
      </c>
      <c r="E239" s="12" t="s">
        <v>9998</v>
      </c>
      <c r="F239" s="13">
        <v>45101</v>
      </c>
      <c r="G239" s="14">
        <v>45918</v>
      </c>
      <c r="H239" s="15">
        <v>80000000</v>
      </c>
      <c r="I239" s="16">
        <v>48</v>
      </c>
      <c r="J239" s="17">
        <v>21</v>
      </c>
      <c r="K239" s="9" t="s">
        <v>9831</v>
      </c>
      <c r="L239" s="10" t="s">
        <v>9999</v>
      </c>
      <c r="M239" s="9" t="s">
        <v>9871</v>
      </c>
      <c r="N239" s="10" t="s">
        <v>9828</v>
      </c>
      <c r="O239" s="15">
        <v>43222000</v>
      </c>
      <c r="P239" s="145">
        <v>11290907</v>
      </c>
      <c r="Q239" s="9" t="s">
        <v>22200</v>
      </c>
      <c r="R239" s="146" t="s">
        <v>22407</v>
      </c>
      <c r="T239" s="92" t="s">
        <v>4554</v>
      </c>
      <c r="U239">
        <v>1</v>
      </c>
      <c r="V239">
        <f>VLOOKUP(T239,'Data Angt'!$A$5:$F$5810,6,FALSE)</f>
        <v>50</v>
      </c>
      <c r="W239" s="5" t="str">
        <f t="shared" si="3"/>
        <v>PRODUKTIF</v>
      </c>
      <c r="X239" s="5" t="str">
        <f>VLOOKUP(T239,'Data Angt'!$A$5:$H$5810,8,FALSE)</f>
        <v>Lain-Lain</v>
      </c>
      <c r="Y239" s="5" t="str">
        <f>VLOOKUP(T239,'Data Angt'!$A$5:$C$5808,3,FALSE)</f>
        <v>PBL</v>
      </c>
    </row>
    <row r="240" spans="1:25" x14ac:dyDescent="0.3">
      <c r="A240" s="8">
        <v>234</v>
      </c>
      <c r="B240" s="9" t="s">
        <v>4177</v>
      </c>
      <c r="C240" s="10" t="str">
        <f>VLOOKUP(B240,'Data Angt'!$A$5:$B$5809,2,FALSE)</f>
        <v>A1812</v>
      </c>
      <c r="D240" s="11" t="s">
        <v>9829</v>
      </c>
      <c r="E240" s="12" t="s">
        <v>15681</v>
      </c>
      <c r="F240" s="13">
        <v>45820</v>
      </c>
      <c r="G240" s="14">
        <v>45912</v>
      </c>
      <c r="H240" s="15">
        <v>25000000</v>
      </c>
      <c r="I240" s="16">
        <v>6</v>
      </c>
      <c r="J240" s="17">
        <v>21</v>
      </c>
      <c r="K240" s="9" t="s">
        <v>9831</v>
      </c>
      <c r="L240" s="10" t="s">
        <v>15682</v>
      </c>
      <c r="M240" s="9" t="s">
        <v>15683</v>
      </c>
      <c r="N240" s="10" t="s">
        <v>9828</v>
      </c>
      <c r="O240" s="15">
        <v>12825200</v>
      </c>
      <c r="P240" s="145">
        <v>413249</v>
      </c>
      <c r="Q240" s="9"/>
      <c r="R240" s="146"/>
      <c r="T240" s="92" t="s">
        <v>4564</v>
      </c>
      <c r="U240">
        <v>2</v>
      </c>
      <c r="V240">
        <f>VLOOKUP(T240,'Data Angt'!$A$5:$F$5810,6,FALSE)</f>
        <v>34</v>
      </c>
      <c r="W240" s="5" t="str">
        <f t="shared" si="3"/>
        <v>PRODUKTIF</v>
      </c>
      <c r="X240" s="5" t="str">
        <f>VLOOKUP(T240,'Data Angt'!$A$5:$H$5810,8,FALSE)</f>
        <v>Lain-Lain</v>
      </c>
      <c r="Y240" s="5" t="str">
        <f>VLOOKUP(T240,'Data Angt'!$A$5:$C$5808,3,FALSE)</f>
        <v>PBL</v>
      </c>
    </row>
    <row r="241" spans="1:25" x14ac:dyDescent="0.3">
      <c r="A241" s="8">
        <v>235</v>
      </c>
      <c r="B241" s="9" t="s">
        <v>4183</v>
      </c>
      <c r="C241" s="10" t="str">
        <f>VLOOKUP(B241,'Data Angt'!$A$5:$B$5809,2,FALSE)</f>
        <v>A1814</v>
      </c>
      <c r="D241" s="11" t="s">
        <v>9833</v>
      </c>
      <c r="E241" s="12" t="s">
        <v>15684</v>
      </c>
      <c r="F241" s="13">
        <v>45367</v>
      </c>
      <c r="G241" s="14">
        <v>45565</v>
      </c>
      <c r="H241" s="15">
        <v>25000000</v>
      </c>
      <c r="I241" s="16">
        <v>48</v>
      </c>
      <c r="J241" s="17">
        <v>21</v>
      </c>
      <c r="K241" s="9" t="s">
        <v>9831</v>
      </c>
      <c r="L241" s="10" t="s">
        <v>15685</v>
      </c>
      <c r="M241" s="9" t="s">
        <v>15686</v>
      </c>
      <c r="N241" s="10" t="s">
        <v>9834</v>
      </c>
      <c r="O241" s="15">
        <v>24663300</v>
      </c>
      <c r="P241" s="145">
        <v>328124</v>
      </c>
      <c r="Q241" s="9" t="s">
        <v>22340</v>
      </c>
      <c r="R241" s="146" t="s">
        <v>22408</v>
      </c>
      <c r="T241" s="92" t="s">
        <v>4580</v>
      </c>
      <c r="U241">
        <v>1</v>
      </c>
      <c r="V241">
        <f>VLOOKUP(T241,'Data Angt'!$A$5:$F$5810,6,FALSE)</f>
        <v>51</v>
      </c>
      <c r="W241" s="5" t="str">
        <f t="shared" si="3"/>
        <v>PRODUKTIF</v>
      </c>
      <c r="X241" s="5" t="str">
        <f>VLOOKUP(T241,'Data Angt'!$A$5:$H$5810,8,FALSE)</f>
        <v>Wiraswasta</v>
      </c>
      <c r="Y241" s="5" t="str">
        <f>VLOOKUP(T241,'Data Angt'!$A$5:$C$5808,3,FALSE)</f>
        <v>PBL</v>
      </c>
    </row>
    <row r="242" spans="1:25" x14ac:dyDescent="0.3">
      <c r="A242" s="8">
        <v>236</v>
      </c>
      <c r="B242" s="9" t="s">
        <v>4206</v>
      </c>
      <c r="C242" s="10" t="str">
        <f>VLOOKUP(B242,'Data Angt'!$A$5:$B$5809,2,FALSE)</f>
        <v>A1823</v>
      </c>
      <c r="D242" s="11" t="s">
        <v>9829</v>
      </c>
      <c r="E242" s="12" t="s">
        <v>15687</v>
      </c>
      <c r="F242" s="13">
        <v>45630</v>
      </c>
      <c r="G242" s="14">
        <v>45904</v>
      </c>
      <c r="H242" s="15">
        <v>15000000</v>
      </c>
      <c r="I242" s="16">
        <v>12</v>
      </c>
      <c r="J242" s="17">
        <v>24</v>
      </c>
      <c r="K242" s="9" t="s">
        <v>9827</v>
      </c>
      <c r="L242" s="10" t="s">
        <v>15688</v>
      </c>
      <c r="M242" s="9" t="s">
        <v>15689</v>
      </c>
      <c r="N242" s="10" t="s">
        <v>17</v>
      </c>
      <c r="O242" s="15">
        <v>3750000</v>
      </c>
      <c r="P242" s="145">
        <v>675000</v>
      </c>
      <c r="Q242" s="9"/>
      <c r="R242" s="146"/>
      <c r="T242" s="92" t="s">
        <v>4593</v>
      </c>
      <c r="U242">
        <v>1</v>
      </c>
      <c r="V242">
        <f>VLOOKUP(T242,'Data Angt'!$A$5:$F$5810,6,FALSE)</f>
        <v>53</v>
      </c>
      <c r="W242" s="5" t="str">
        <f t="shared" si="3"/>
        <v>KONSUMTIF</v>
      </c>
      <c r="X242" s="5" t="str">
        <f>VLOOKUP(T242,'Data Angt'!$A$5:$H$5810,8,FALSE)</f>
        <v>Mengurus Rumah Tangga</v>
      </c>
      <c r="Y242" s="5" t="str">
        <f>VLOOKUP(T242,'Data Angt'!$A$5:$C$5808,3,FALSE)</f>
        <v>PBL</v>
      </c>
    </row>
    <row r="243" spans="1:25" x14ac:dyDescent="0.3">
      <c r="A243" s="8">
        <v>237</v>
      </c>
      <c r="B243" s="9" t="s">
        <v>4210</v>
      </c>
      <c r="C243" s="10" t="str">
        <f>VLOOKUP(B243,'Data Angt'!$A$5:$B$5809,2,FALSE)</f>
        <v>A1825</v>
      </c>
      <c r="D243" s="11" t="s">
        <v>9843</v>
      </c>
      <c r="E243" s="12" t="s">
        <v>10001</v>
      </c>
      <c r="F243" s="13">
        <v>43083</v>
      </c>
      <c r="G243" s="14">
        <v>45915</v>
      </c>
      <c r="H243" s="15">
        <v>300000000</v>
      </c>
      <c r="I243" s="16">
        <v>120</v>
      </c>
      <c r="J243" s="17">
        <v>11.4</v>
      </c>
      <c r="K243" s="9" t="s">
        <v>9831</v>
      </c>
      <c r="L243" s="10" t="s">
        <v>10001</v>
      </c>
      <c r="M243" s="9"/>
      <c r="N243" s="10"/>
      <c r="O243" s="15">
        <v>199731300</v>
      </c>
      <c r="P243" s="145">
        <v>85547992</v>
      </c>
      <c r="Q243" s="9"/>
      <c r="R243" s="146"/>
      <c r="T243" s="92" t="s">
        <v>4611</v>
      </c>
      <c r="U243">
        <v>1</v>
      </c>
      <c r="V243">
        <f>VLOOKUP(T243,'Data Angt'!$A$5:$F$5810,6,FALSE)</f>
        <v>57</v>
      </c>
      <c r="W243" s="5" t="str">
        <f t="shared" si="3"/>
        <v>KESEJAHTERAAN</v>
      </c>
      <c r="X243" s="5" t="str">
        <f>VLOOKUP(T243,'Data Angt'!$A$5:$H$5810,8,FALSE)</f>
        <v>Wiraswasta</v>
      </c>
      <c r="Y243" s="5" t="str">
        <f>VLOOKUP(T243,'Data Angt'!$A$5:$C$5808,3,FALSE)</f>
        <v>PBL</v>
      </c>
    </row>
    <row r="244" spans="1:25" x14ac:dyDescent="0.3">
      <c r="A244" s="8">
        <v>238</v>
      </c>
      <c r="B244" s="9" t="s">
        <v>4226</v>
      </c>
      <c r="C244" s="10" t="str">
        <f>VLOOKUP(B244,'Data Angt'!$A$5:$B$5809,2,FALSE)</f>
        <v>A1832</v>
      </c>
      <c r="D244" s="11" t="s">
        <v>9826</v>
      </c>
      <c r="E244" s="12" t="s">
        <v>22409</v>
      </c>
      <c r="F244" s="13">
        <v>45891</v>
      </c>
      <c r="G244" s="14">
        <v>45923</v>
      </c>
      <c r="H244" s="15">
        <v>4000000</v>
      </c>
      <c r="I244" s="16">
        <v>10</v>
      </c>
      <c r="J244" s="17">
        <v>24</v>
      </c>
      <c r="K244" s="9" t="s">
        <v>9831</v>
      </c>
      <c r="L244" s="10" t="s">
        <v>22410</v>
      </c>
      <c r="M244" s="9" t="s">
        <v>22411</v>
      </c>
      <c r="N244" s="10" t="s">
        <v>17</v>
      </c>
      <c r="O244" s="15">
        <v>3634600</v>
      </c>
      <c r="P244" s="145">
        <v>30000</v>
      </c>
      <c r="Q244" s="9"/>
      <c r="R244" s="146"/>
      <c r="T244" s="92" t="s">
        <v>4613</v>
      </c>
      <c r="U244">
        <v>1</v>
      </c>
      <c r="V244">
        <f>VLOOKUP(T244,'Data Angt'!$A$5:$F$5810,6,FALSE)</f>
        <v>39</v>
      </c>
      <c r="W244" s="5" t="str">
        <f t="shared" si="3"/>
        <v>KESEJAHTERAAN</v>
      </c>
      <c r="X244" s="5" t="str">
        <f>VLOOKUP(T244,'Data Angt'!$A$5:$H$5810,8,FALSE)</f>
        <v>Wiraswasta</v>
      </c>
      <c r="Y244" s="5" t="str">
        <f>VLOOKUP(T244,'Data Angt'!$A$5:$C$5808,3,FALSE)</f>
        <v>PBL</v>
      </c>
    </row>
    <row r="245" spans="1:25" x14ac:dyDescent="0.3">
      <c r="A245" s="8">
        <v>239</v>
      </c>
      <c r="B245" s="9" t="s">
        <v>4226</v>
      </c>
      <c r="C245" s="10" t="str">
        <f>VLOOKUP(B245,'Data Angt'!$A$5:$B$5809,2,FALSE)</f>
        <v>A1832</v>
      </c>
      <c r="D245" s="11" t="s">
        <v>9829</v>
      </c>
      <c r="E245" s="12" t="s">
        <v>15690</v>
      </c>
      <c r="F245" s="13">
        <v>45384</v>
      </c>
      <c r="G245" s="14">
        <v>45903</v>
      </c>
      <c r="H245" s="15">
        <v>12000000</v>
      </c>
      <c r="I245" s="16">
        <v>48</v>
      </c>
      <c r="J245" s="17">
        <v>24</v>
      </c>
      <c r="K245" s="9" t="s">
        <v>9831</v>
      </c>
      <c r="L245" s="10" t="s">
        <v>15691</v>
      </c>
      <c r="M245" s="9" t="s">
        <v>15692</v>
      </c>
      <c r="N245" s="10" t="s">
        <v>17</v>
      </c>
      <c r="O245" s="15">
        <v>8973000</v>
      </c>
      <c r="P245" s="145">
        <v>1359408</v>
      </c>
      <c r="Q245" s="9" t="s">
        <v>22189</v>
      </c>
      <c r="R245" s="146" t="s">
        <v>22412</v>
      </c>
      <c r="T245" s="92" t="s">
        <v>4622</v>
      </c>
      <c r="U245">
        <v>2</v>
      </c>
      <c r="V245">
        <f>VLOOKUP(T245,'Data Angt'!$A$5:$F$5810,6,FALSE)</f>
        <v>53</v>
      </c>
      <c r="W245" s="5" t="str">
        <f t="shared" si="3"/>
        <v>PENDIDIKAN</v>
      </c>
      <c r="X245" s="5" t="str">
        <f>VLOOKUP(T245,'Data Angt'!$A$5:$H$5810,8,FALSE)</f>
        <v>Wiraswasta</v>
      </c>
      <c r="Y245" s="5" t="str">
        <f>VLOOKUP(T245,'Data Angt'!$A$5:$C$5808,3,FALSE)</f>
        <v>PBL</v>
      </c>
    </row>
    <row r="246" spans="1:25" x14ac:dyDescent="0.3">
      <c r="A246" s="8">
        <v>240</v>
      </c>
      <c r="B246" s="9" t="s">
        <v>4231</v>
      </c>
      <c r="C246" s="10" t="str">
        <f>VLOOKUP(B246,'Data Angt'!$A$5:$B$5809,2,FALSE)</f>
        <v>A1834</v>
      </c>
      <c r="D246" s="11" t="s">
        <v>9829</v>
      </c>
      <c r="E246" s="12" t="s">
        <v>22413</v>
      </c>
      <c r="F246" s="13">
        <v>45922</v>
      </c>
      <c r="G246" s="14">
        <v>45922</v>
      </c>
      <c r="H246" s="15">
        <v>5000000</v>
      </c>
      <c r="I246" s="16">
        <v>12</v>
      </c>
      <c r="J246" s="17">
        <v>24</v>
      </c>
      <c r="K246" s="9" t="s">
        <v>9827</v>
      </c>
      <c r="L246" s="10" t="s">
        <v>22414</v>
      </c>
      <c r="M246" s="9" t="s">
        <v>9846</v>
      </c>
      <c r="N246" s="10" t="s">
        <v>9828</v>
      </c>
      <c r="O246" s="15">
        <v>5000000</v>
      </c>
      <c r="P246" s="147">
        <v>0</v>
      </c>
      <c r="Q246" s="9"/>
      <c r="R246" s="146"/>
      <c r="T246" s="92" t="s">
        <v>4627</v>
      </c>
      <c r="U246">
        <v>1</v>
      </c>
      <c r="V246">
        <f>VLOOKUP(T246,'Data Angt'!$A$5:$F$5810,6,FALSE)</f>
        <v>29</v>
      </c>
      <c r="W246" s="5" t="str">
        <f t="shared" si="3"/>
        <v>KONSUMTIF</v>
      </c>
      <c r="X246" s="5" t="str">
        <f>VLOOKUP(T246,'Data Angt'!$A$5:$H$5810,8,FALSE)</f>
        <v>Karyawan</v>
      </c>
      <c r="Y246" s="5" t="str">
        <f>VLOOKUP(T246,'Data Angt'!$A$5:$C$5808,3,FALSE)</f>
        <v>PBL</v>
      </c>
    </row>
    <row r="247" spans="1:25" x14ac:dyDescent="0.3">
      <c r="A247" s="8">
        <v>241</v>
      </c>
      <c r="B247" s="9" t="s">
        <v>4239</v>
      </c>
      <c r="C247" s="10" t="str">
        <f>VLOOKUP(B247,'Data Angt'!$A$5:$B$5809,2,FALSE)</f>
        <v>A1837</v>
      </c>
      <c r="D247" s="11" t="s">
        <v>9829</v>
      </c>
      <c r="E247" s="12" t="s">
        <v>15693</v>
      </c>
      <c r="F247" s="13">
        <v>45346</v>
      </c>
      <c r="G247" s="14">
        <v>45924</v>
      </c>
      <c r="H247" s="15">
        <v>30000000</v>
      </c>
      <c r="I247" s="16">
        <v>24</v>
      </c>
      <c r="J247" s="17">
        <v>21</v>
      </c>
      <c r="K247" s="9" t="s">
        <v>9827</v>
      </c>
      <c r="L247" s="10" t="s">
        <v>15694</v>
      </c>
      <c r="M247" s="9" t="s">
        <v>9838</v>
      </c>
      <c r="N247" s="10" t="s">
        <v>9830</v>
      </c>
      <c r="O247" s="15">
        <v>6250000</v>
      </c>
      <c r="P247" s="145">
        <v>2338158</v>
      </c>
      <c r="Q247" s="9" t="s">
        <v>22415</v>
      </c>
      <c r="R247" s="146" t="s">
        <v>22416</v>
      </c>
      <c r="T247" s="92" t="s">
        <v>4639</v>
      </c>
      <c r="U247">
        <v>1</v>
      </c>
      <c r="V247">
        <f>VLOOKUP(T247,'Data Angt'!$A$5:$F$5810,6,FALSE)</f>
        <v>35</v>
      </c>
      <c r="W247" s="5" t="str">
        <f t="shared" si="3"/>
        <v>PRODUKTIF</v>
      </c>
      <c r="X247" s="5" t="str">
        <f>VLOOKUP(T247,'Data Angt'!$A$5:$H$5810,8,FALSE)</f>
        <v>Karyawan</v>
      </c>
      <c r="Y247" s="5" t="str">
        <f>VLOOKUP(T247,'Data Angt'!$A$5:$C$5808,3,FALSE)</f>
        <v>PBL</v>
      </c>
    </row>
    <row r="248" spans="1:25" x14ac:dyDescent="0.3">
      <c r="A248" s="8">
        <v>242</v>
      </c>
      <c r="B248" s="9" t="s">
        <v>4258</v>
      </c>
      <c r="C248" s="10" t="str">
        <f>VLOOKUP(B248,'Data Angt'!$A$5:$B$5809,2,FALSE)</f>
        <v>A1845</v>
      </c>
      <c r="D248" s="11" t="s">
        <v>9829</v>
      </c>
      <c r="E248" s="12" t="s">
        <v>15695</v>
      </c>
      <c r="F248" s="13">
        <v>45580</v>
      </c>
      <c r="G248" s="14">
        <v>45902</v>
      </c>
      <c r="H248" s="15">
        <v>10000000</v>
      </c>
      <c r="I248" s="16">
        <v>18</v>
      </c>
      <c r="J248" s="17">
        <v>24</v>
      </c>
      <c r="K248" s="9" t="s">
        <v>9831</v>
      </c>
      <c r="L248" s="10" t="s">
        <v>15696</v>
      </c>
      <c r="M248" s="9" t="s">
        <v>9838</v>
      </c>
      <c r="N248" s="10" t="s">
        <v>9830</v>
      </c>
      <c r="O248" s="15">
        <v>4316500</v>
      </c>
      <c r="P248" s="145">
        <v>620472</v>
      </c>
      <c r="Q248" s="9"/>
      <c r="R248" s="146"/>
      <c r="T248" s="92" t="s">
        <v>4643</v>
      </c>
      <c r="U248">
        <v>1</v>
      </c>
      <c r="V248">
        <f>VLOOKUP(T248,'Data Angt'!$A$5:$F$5810,6,FALSE)</f>
        <v>30</v>
      </c>
      <c r="W248" s="5" t="str">
        <f t="shared" si="3"/>
        <v>KESEJAHTERAAN</v>
      </c>
      <c r="X248" s="5" t="str">
        <f>VLOOKUP(T248,'Data Angt'!$A$5:$H$5810,8,FALSE)</f>
        <v>Karyawan</v>
      </c>
      <c r="Y248" s="5" t="str">
        <f>VLOOKUP(T248,'Data Angt'!$A$5:$C$5808,3,FALSE)</f>
        <v>PBL</v>
      </c>
    </row>
    <row r="249" spans="1:25" x14ac:dyDescent="0.3">
      <c r="A249" s="8">
        <v>243</v>
      </c>
      <c r="B249" s="9" t="s">
        <v>4261</v>
      </c>
      <c r="C249" s="10" t="str">
        <f>VLOOKUP(B249,'Data Angt'!$A$5:$B$5809,2,FALSE)</f>
        <v>A1847</v>
      </c>
      <c r="D249" s="11" t="s">
        <v>9833</v>
      </c>
      <c r="E249" s="12" t="s">
        <v>22417</v>
      </c>
      <c r="F249" s="13">
        <v>45924</v>
      </c>
      <c r="G249" s="14">
        <v>45924</v>
      </c>
      <c r="H249" s="15">
        <v>27000000</v>
      </c>
      <c r="I249" s="16">
        <v>16</v>
      </c>
      <c r="J249" s="17">
        <v>21</v>
      </c>
      <c r="K249" s="9" t="s">
        <v>9831</v>
      </c>
      <c r="L249" s="10" t="s">
        <v>22418</v>
      </c>
      <c r="M249" s="9" t="s">
        <v>22419</v>
      </c>
      <c r="N249" s="10" t="s">
        <v>9834</v>
      </c>
      <c r="O249" s="15">
        <v>27000000</v>
      </c>
      <c r="P249" s="147">
        <v>0</v>
      </c>
      <c r="Q249" s="9"/>
      <c r="R249" s="146"/>
      <c r="T249" s="92" t="s">
        <v>4669</v>
      </c>
      <c r="U249">
        <v>1</v>
      </c>
      <c r="V249">
        <f>VLOOKUP(T249,'Data Angt'!$A$5:$F$5810,6,FALSE)</f>
        <v>39</v>
      </c>
      <c r="W249" s="5" t="str">
        <f t="shared" si="3"/>
        <v>KONSUMTIF</v>
      </c>
      <c r="X249" s="5" t="str">
        <f>VLOOKUP(T249,'Data Angt'!$A$5:$H$5810,8,FALSE)</f>
        <v>Mengurus Rumah Tangga</v>
      </c>
      <c r="Y249" s="5" t="str">
        <f>VLOOKUP(T249,'Data Angt'!$A$5:$C$5808,3,FALSE)</f>
        <v>PBL</v>
      </c>
    </row>
    <row r="250" spans="1:25" x14ac:dyDescent="0.3">
      <c r="A250" s="8">
        <v>244</v>
      </c>
      <c r="B250" s="9" t="s">
        <v>4272</v>
      </c>
      <c r="C250" s="10" t="str">
        <f>VLOOKUP(B250,'Data Angt'!$A$5:$B$5809,2,FALSE)</f>
        <v>A1851</v>
      </c>
      <c r="D250" s="11" t="s">
        <v>9826</v>
      </c>
      <c r="E250" s="12" t="s">
        <v>15697</v>
      </c>
      <c r="F250" s="13">
        <v>45755</v>
      </c>
      <c r="G250" s="14">
        <v>45908</v>
      </c>
      <c r="H250" s="15">
        <v>2000000</v>
      </c>
      <c r="I250" s="16">
        <v>12</v>
      </c>
      <c r="J250" s="17">
        <v>11.88</v>
      </c>
      <c r="K250" s="9" t="s">
        <v>9831</v>
      </c>
      <c r="L250" s="10" t="s">
        <v>15698</v>
      </c>
      <c r="M250" s="9" t="s">
        <v>9964</v>
      </c>
      <c r="N250" s="10" t="s">
        <v>17</v>
      </c>
      <c r="O250" s="15">
        <v>1195400</v>
      </c>
      <c r="P250" s="145">
        <v>31273</v>
      </c>
      <c r="Q250" s="9"/>
      <c r="R250" s="146"/>
      <c r="T250" s="92" t="s">
        <v>4708</v>
      </c>
      <c r="U250">
        <v>2</v>
      </c>
      <c r="V250">
        <f>VLOOKUP(T250,'Data Angt'!$A$5:$F$5810,6,FALSE)</f>
        <v>39</v>
      </c>
      <c r="W250" s="5" t="str">
        <f t="shared" si="3"/>
        <v>PRODUKTIF</v>
      </c>
      <c r="X250" s="5" t="str">
        <f>VLOOKUP(T250,'Data Angt'!$A$5:$H$5810,8,FALSE)</f>
        <v>Tenaga Pengajar</v>
      </c>
      <c r="Y250" s="5" t="str">
        <f>VLOOKUP(T250,'Data Angt'!$A$5:$C$5808,3,FALSE)</f>
        <v>PBL</v>
      </c>
    </row>
    <row r="251" spans="1:25" x14ac:dyDescent="0.3">
      <c r="A251" s="8">
        <v>245</v>
      </c>
      <c r="B251" s="9" t="s">
        <v>4284</v>
      </c>
      <c r="C251" s="10" t="str">
        <f>VLOOKUP(B251,'Data Angt'!$A$5:$B$5809,2,FALSE)</f>
        <v>A1858</v>
      </c>
      <c r="D251" s="11" t="s">
        <v>9843</v>
      </c>
      <c r="E251" s="12" t="s">
        <v>10003</v>
      </c>
      <c r="F251" s="13">
        <v>43014</v>
      </c>
      <c r="G251" s="14">
        <v>45905</v>
      </c>
      <c r="H251" s="15">
        <v>200000000</v>
      </c>
      <c r="I251" s="16">
        <v>120</v>
      </c>
      <c r="J251" s="17">
        <v>11.4</v>
      </c>
      <c r="K251" s="9" t="s">
        <v>9831</v>
      </c>
      <c r="L251" s="10" t="s">
        <v>10003</v>
      </c>
      <c r="M251" s="9"/>
      <c r="N251" s="10"/>
      <c r="O251" s="15">
        <v>92410500</v>
      </c>
      <c r="P251" s="145">
        <v>55403424</v>
      </c>
      <c r="Q251" s="9"/>
      <c r="R251" s="146"/>
      <c r="T251" s="92" t="s">
        <v>4722</v>
      </c>
      <c r="U251">
        <v>1</v>
      </c>
      <c r="V251">
        <f>VLOOKUP(T251,'Data Angt'!$A$5:$F$5810,6,FALSE)</f>
        <v>38</v>
      </c>
      <c r="W251" s="5" t="str">
        <f t="shared" si="3"/>
        <v>KESEJAHTERAAN</v>
      </c>
      <c r="X251" s="5" t="str">
        <f>VLOOKUP(T251,'Data Angt'!$A$5:$H$5810,8,FALSE)</f>
        <v>Mengurus Rumah Tangga</v>
      </c>
      <c r="Y251" s="5" t="str">
        <f>VLOOKUP(T251,'Data Angt'!$A$5:$C$5808,3,FALSE)</f>
        <v>PBL</v>
      </c>
    </row>
    <row r="252" spans="1:25" x14ac:dyDescent="0.3">
      <c r="A252" s="8">
        <v>246</v>
      </c>
      <c r="B252" s="9" t="s">
        <v>4287</v>
      </c>
      <c r="C252" s="10" t="str">
        <f>VLOOKUP(B252,'Data Angt'!$A$5:$B$5809,2,FALSE)</f>
        <v>A1859</v>
      </c>
      <c r="D252" s="11" t="s">
        <v>9829</v>
      </c>
      <c r="E252" s="12" t="s">
        <v>15699</v>
      </c>
      <c r="F252" s="13">
        <v>45603</v>
      </c>
      <c r="G252" s="14">
        <v>45909</v>
      </c>
      <c r="H252" s="15">
        <v>5000000</v>
      </c>
      <c r="I252" s="16">
        <v>12</v>
      </c>
      <c r="J252" s="17">
        <v>11.88</v>
      </c>
      <c r="K252" s="9" t="s">
        <v>9831</v>
      </c>
      <c r="L252" s="10" t="s">
        <v>15700</v>
      </c>
      <c r="M252" s="9" t="s">
        <v>15701</v>
      </c>
      <c r="N252" s="10" t="s">
        <v>9830</v>
      </c>
      <c r="O252" s="15">
        <v>874900</v>
      </c>
      <c r="P252" s="145">
        <v>118085</v>
      </c>
      <c r="Q252" s="9"/>
      <c r="R252" s="146"/>
      <c r="T252" s="92" t="s">
        <v>4739</v>
      </c>
      <c r="U252">
        <v>2</v>
      </c>
      <c r="V252">
        <f>VLOOKUP(T252,'Data Angt'!$A$5:$F$5810,6,FALSE)</f>
        <v>43</v>
      </c>
      <c r="W252" s="5" t="str">
        <f t="shared" si="3"/>
        <v>KESEJAHTERAAN</v>
      </c>
      <c r="X252" s="5" t="str">
        <f>VLOOKUP(T252,'Data Angt'!$A$5:$H$5810,8,FALSE)</f>
        <v>Lain-Lain</v>
      </c>
      <c r="Y252" s="5" t="str">
        <f>VLOOKUP(T252,'Data Angt'!$A$5:$C$5808,3,FALSE)</f>
        <v>PBL</v>
      </c>
    </row>
    <row r="253" spans="1:25" x14ac:dyDescent="0.3">
      <c r="A253" s="8">
        <v>247</v>
      </c>
      <c r="B253" s="9" t="s">
        <v>4301</v>
      </c>
      <c r="C253" s="10" t="str">
        <f>VLOOKUP(B253,'Data Angt'!$A$5:$B$5809,2,FALSE)</f>
        <v>A1864</v>
      </c>
      <c r="D253" s="11" t="s">
        <v>9829</v>
      </c>
      <c r="E253" s="12" t="s">
        <v>15702</v>
      </c>
      <c r="F253" s="13">
        <v>45694</v>
      </c>
      <c r="G253" s="14">
        <v>45906</v>
      </c>
      <c r="H253" s="15">
        <v>30000000</v>
      </c>
      <c r="I253" s="16">
        <v>12</v>
      </c>
      <c r="J253" s="17">
        <v>11.88</v>
      </c>
      <c r="K253" s="9" t="s">
        <v>9831</v>
      </c>
      <c r="L253" s="10" t="s">
        <v>15703</v>
      </c>
      <c r="M253" s="9" t="s">
        <v>15343</v>
      </c>
      <c r="N253" s="10" t="s">
        <v>9830</v>
      </c>
      <c r="O253" s="15">
        <v>12932500</v>
      </c>
      <c r="P253" s="145">
        <v>592161</v>
      </c>
      <c r="Q253" s="9"/>
      <c r="R253" s="146"/>
      <c r="T253" s="92" t="s">
        <v>4758</v>
      </c>
      <c r="U253">
        <v>1</v>
      </c>
      <c r="V253">
        <f>VLOOKUP(T253,'Data Angt'!$A$5:$F$5810,6,FALSE)</f>
        <v>53</v>
      </c>
      <c r="W253" s="5" t="str">
        <f t="shared" si="3"/>
        <v>PENDIDIKAN</v>
      </c>
      <c r="X253" s="5" t="str">
        <f>VLOOKUP(T253,'Data Angt'!$A$5:$H$5810,8,FALSE)</f>
        <v>Lain-Lain</v>
      </c>
      <c r="Y253" s="5" t="str">
        <f>VLOOKUP(T253,'Data Angt'!$A$5:$C$5808,3,FALSE)</f>
        <v>PBL</v>
      </c>
    </row>
    <row r="254" spans="1:25" x14ac:dyDescent="0.3">
      <c r="A254" s="8">
        <v>248</v>
      </c>
      <c r="B254" s="9" t="s">
        <v>4342</v>
      </c>
      <c r="C254" s="10" t="str">
        <f>VLOOKUP(B254,'Data Angt'!$A$5:$B$5809,2,FALSE)</f>
        <v>A1883</v>
      </c>
      <c r="D254" s="11" t="s">
        <v>9833</v>
      </c>
      <c r="E254" s="12" t="s">
        <v>15704</v>
      </c>
      <c r="F254" s="13">
        <v>45345</v>
      </c>
      <c r="G254" s="14">
        <v>45918</v>
      </c>
      <c r="H254" s="15">
        <v>25000000</v>
      </c>
      <c r="I254" s="16">
        <v>24</v>
      </c>
      <c r="J254" s="17">
        <v>21</v>
      </c>
      <c r="K254" s="9" t="s">
        <v>9827</v>
      </c>
      <c r="L254" s="10" t="s">
        <v>15705</v>
      </c>
      <c r="M254" s="9" t="s">
        <v>10004</v>
      </c>
      <c r="N254" s="10" t="s">
        <v>9834</v>
      </c>
      <c r="O254" s="15">
        <v>5207700</v>
      </c>
      <c r="P254" s="145">
        <v>1948532</v>
      </c>
      <c r="Q254" s="9" t="s">
        <v>22420</v>
      </c>
      <c r="R254" s="146" t="s">
        <v>22421</v>
      </c>
      <c r="T254" s="92" t="s">
        <v>4771</v>
      </c>
      <c r="U254">
        <v>1</v>
      </c>
      <c r="V254">
        <f>VLOOKUP(T254,'Data Angt'!$A$5:$F$5810,6,FALSE)</f>
        <v>52</v>
      </c>
      <c r="W254" s="5" t="str">
        <f t="shared" si="3"/>
        <v>PRODUKTIF</v>
      </c>
      <c r="X254" s="5" t="str">
        <f>VLOOKUP(T254,'Data Angt'!$A$5:$H$5810,8,FALSE)</f>
        <v>Wiraswasta</v>
      </c>
      <c r="Y254" s="5" t="str">
        <f>VLOOKUP(T254,'Data Angt'!$A$5:$C$5808,3,FALSE)</f>
        <v>PBL</v>
      </c>
    </row>
    <row r="255" spans="1:25" x14ac:dyDescent="0.3">
      <c r="A255" s="8">
        <v>249</v>
      </c>
      <c r="B255" s="9" t="s">
        <v>4348</v>
      </c>
      <c r="C255" s="10" t="str">
        <f>VLOOKUP(B255,'Data Angt'!$A$5:$B$5809,2,FALSE)</f>
        <v>A1888</v>
      </c>
      <c r="D255" s="11" t="s">
        <v>9829</v>
      </c>
      <c r="E255" s="12" t="s">
        <v>22422</v>
      </c>
      <c r="F255" s="13">
        <v>45920</v>
      </c>
      <c r="G255" s="14">
        <v>45920</v>
      </c>
      <c r="H255" s="15">
        <v>5000000</v>
      </c>
      <c r="I255" s="16">
        <v>12</v>
      </c>
      <c r="J255" s="17">
        <v>24</v>
      </c>
      <c r="K255" s="9" t="s">
        <v>9831</v>
      </c>
      <c r="L255" s="10" t="s">
        <v>22423</v>
      </c>
      <c r="M255" s="9" t="s">
        <v>22424</v>
      </c>
      <c r="N255" s="10" t="s">
        <v>9828</v>
      </c>
      <c r="O255" s="15">
        <v>5000000</v>
      </c>
      <c r="P255" s="147">
        <v>0</v>
      </c>
      <c r="Q255" s="9"/>
      <c r="R255" s="146"/>
      <c r="T255" s="92" t="s">
        <v>4774</v>
      </c>
      <c r="U255">
        <v>1</v>
      </c>
      <c r="V255">
        <f>VLOOKUP(T255,'Data Angt'!$A$5:$F$5810,6,FALSE)</f>
        <v>37</v>
      </c>
      <c r="W255" s="5" t="str">
        <f t="shared" si="3"/>
        <v>PRODUKTIF</v>
      </c>
      <c r="X255" s="5" t="str">
        <f>VLOOKUP(T255,'Data Angt'!$A$5:$H$5810,8,FALSE)</f>
        <v>Karyawan</v>
      </c>
      <c r="Y255" s="5" t="str">
        <f>VLOOKUP(T255,'Data Angt'!$A$5:$C$5808,3,FALSE)</f>
        <v>PBL</v>
      </c>
    </row>
    <row r="256" spans="1:25" x14ac:dyDescent="0.3">
      <c r="A256" s="8">
        <v>250</v>
      </c>
      <c r="B256" s="9" t="s">
        <v>4353</v>
      </c>
      <c r="C256" s="10" t="str">
        <f>VLOOKUP(B256,'Data Angt'!$A$5:$B$5809,2,FALSE)</f>
        <v>A1891</v>
      </c>
      <c r="D256" s="11" t="s">
        <v>9895</v>
      </c>
      <c r="E256" s="12" t="s">
        <v>10005</v>
      </c>
      <c r="F256" s="13">
        <v>44989</v>
      </c>
      <c r="G256" s="14">
        <v>45904</v>
      </c>
      <c r="H256" s="15">
        <v>23755000</v>
      </c>
      <c r="I256" s="16">
        <v>36</v>
      </c>
      <c r="J256" s="17">
        <v>24</v>
      </c>
      <c r="K256" s="9" t="s">
        <v>9831</v>
      </c>
      <c r="L256" s="10" t="s">
        <v>10006</v>
      </c>
      <c r="M256" s="9" t="s">
        <v>10007</v>
      </c>
      <c r="N256" s="10" t="s">
        <v>9828</v>
      </c>
      <c r="O256" s="15">
        <v>5221300</v>
      </c>
      <c r="P256" s="145">
        <v>3534855</v>
      </c>
      <c r="Q256" s="9" t="s">
        <v>22189</v>
      </c>
      <c r="R256" s="146" t="s">
        <v>22425</v>
      </c>
      <c r="T256" s="92" t="s">
        <v>4778</v>
      </c>
      <c r="U256">
        <v>1</v>
      </c>
      <c r="V256">
        <f>VLOOKUP(T256,'Data Angt'!$A$5:$F$5810,6,FALSE)</f>
        <v>33</v>
      </c>
      <c r="W256" s="5" t="str">
        <f t="shared" si="3"/>
        <v>KESEJAHTERAAN</v>
      </c>
      <c r="X256" s="5" t="str">
        <f>VLOOKUP(T256,'Data Angt'!$A$5:$H$5810,8,FALSE)</f>
        <v>Karyawan</v>
      </c>
      <c r="Y256" s="5" t="str">
        <f>VLOOKUP(T256,'Data Angt'!$A$5:$C$5808,3,FALSE)</f>
        <v>PBL</v>
      </c>
    </row>
    <row r="257" spans="1:25" x14ac:dyDescent="0.3">
      <c r="A257" s="8">
        <v>251</v>
      </c>
      <c r="B257" s="9" t="s">
        <v>4378</v>
      </c>
      <c r="C257" s="10" t="str">
        <f>VLOOKUP(B257,'Data Angt'!$A$5:$B$5809,2,FALSE)</f>
        <v>A1901</v>
      </c>
      <c r="D257" s="11" t="s">
        <v>9829</v>
      </c>
      <c r="E257" s="12" t="s">
        <v>15706</v>
      </c>
      <c r="F257" s="13">
        <v>45681</v>
      </c>
      <c r="G257" s="14">
        <v>45909</v>
      </c>
      <c r="H257" s="15">
        <v>20000000</v>
      </c>
      <c r="I257" s="16">
        <v>36</v>
      </c>
      <c r="J257" s="17">
        <v>21</v>
      </c>
      <c r="K257" s="9" t="s">
        <v>9831</v>
      </c>
      <c r="L257" s="10" t="s">
        <v>15707</v>
      </c>
      <c r="M257" s="9" t="s">
        <v>15708</v>
      </c>
      <c r="N257" s="10" t="s">
        <v>17</v>
      </c>
      <c r="O257" s="15">
        <v>16566800</v>
      </c>
      <c r="P257" s="145">
        <v>973348</v>
      </c>
      <c r="Q257" s="9" t="s">
        <v>22189</v>
      </c>
      <c r="R257" s="146" t="s">
        <v>22426</v>
      </c>
      <c r="T257" s="92" t="s">
        <v>4821</v>
      </c>
      <c r="U257">
        <v>1</v>
      </c>
      <c r="V257">
        <f>VLOOKUP(T257,'Data Angt'!$A$5:$F$5810,6,FALSE)</f>
        <v>35</v>
      </c>
      <c r="W257" s="5" t="str">
        <f t="shared" si="3"/>
        <v>KONSUMTIF</v>
      </c>
      <c r="X257" s="5" t="str">
        <f>VLOOKUP(T257,'Data Angt'!$A$5:$H$5810,8,FALSE)</f>
        <v>Mengurus Rumah Tangga</v>
      </c>
      <c r="Y257" s="5" t="str">
        <f>VLOOKUP(T257,'Data Angt'!$A$5:$C$5808,3,FALSE)</f>
        <v>PBL</v>
      </c>
    </row>
    <row r="258" spans="1:25" x14ac:dyDescent="0.3">
      <c r="A258" s="8">
        <v>252</v>
      </c>
      <c r="B258" s="9" t="s">
        <v>4448</v>
      </c>
      <c r="C258" s="10" t="str">
        <f>VLOOKUP(B258,'Data Angt'!$A$5:$B$5809,2,FALSE)</f>
        <v>A1937</v>
      </c>
      <c r="D258" s="11" t="s">
        <v>9833</v>
      </c>
      <c r="E258" s="12" t="s">
        <v>15709</v>
      </c>
      <c r="F258" s="13">
        <v>45580</v>
      </c>
      <c r="G258" s="14">
        <v>45916</v>
      </c>
      <c r="H258" s="15">
        <v>2000000</v>
      </c>
      <c r="I258" s="16">
        <v>18</v>
      </c>
      <c r="J258" s="17">
        <v>24</v>
      </c>
      <c r="K258" s="9" t="s">
        <v>9831</v>
      </c>
      <c r="L258" s="10" t="s">
        <v>15710</v>
      </c>
      <c r="M258" s="9" t="s">
        <v>9862</v>
      </c>
      <c r="N258" s="10" t="s">
        <v>9834</v>
      </c>
      <c r="O258" s="15">
        <v>862800</v>
      </c>
      <c r="P258" s="145">
        <v>124235</v>
      </c>
      <c r="Q258" s="9"/>
      <c r="R258" s="146"/>
      <c r="T258" s="92" t="s">
        <v>4824</v>
      </c>
      <c r="U258">
        <v>1</v>
      </c>
      <c r="V258">
        <f>VLOOKUP(T258,'Data Angt'!$A$5:$F$5810,6,FALSE)</f>
        <v>31</v>
      </c>
      <c r="W258" s="5" t="str">
        <f t="shared" si="3"/>
        <v>KESEJAHTERAAN</v>
      </c>
      <c r="X258" s="5" t="str">
        <f>VLOOKUP(T258,'Data Angt'!$A$5:$H$5810,8,FALSE)</f>
        <v>Lain-Lain</v>
      </c>
      <c r="Y258" s="5" t="str">
        <f>VLOOKUP(T258,'Data Angt'!$A$5:$C$5808,3,FALSE)</f>
        <v>PBL</v>
      </c>
    </row>
    <row r="259" spans="1:25" x14ac:dyDescent="0.3">
      <c r="A259" s="8">
        <v>253</v>
      </c>
      <c r="B259" s="9" t="s">
        <v>4469</v>
      </c>
      <c r="C259" s="10" t="str">
        <f>VLOOKUP(B259,'Data Angt'!$A$5:$B$5809,2,FALSE)</f>
        <v>A1945</v>
      </c>
      <c r="D259" s="11" t="s">
        <v>9826</v>
      </c>
      <c r="E259" s="12" t="s">
        <v>15711</v>
      </c>
      <c r="F259" s="13">
        <v>45755</v>
      </c>
      <c r="G259" s="14">
        <v>45909</v>
      </c>
      <c r="H259" s="15">
        <v>3000000</v>
      </c>
      <c r="I259" s="16">
        <v>12</v>
      </c>
      <c r="J259" s="17">
        <v>11.88</v>
      </c>
      <c r="K259" s="9" t="s">
        <v>9831</v>
      </c>
      <c r="L259" s="10" t="s">
        <v>15712</v>
      </c>
      <c r="M259" s="9" t="s">
        <v>9862</v>
      </c>
      <c r="N259" s="10" t="s">
        <v>9834</v>
      </c>
      <c r="O259" s="15">
        <v>1793000</v>
      </c>
      <c r="P259" s="145">
        <v>46874</v>
      </c>
      <c r="Q259" s="9"/>
      <c r="R259" s="146"/>
      <c r="T259" s="92" t="s">
        <v>4835</v>
      </c>
      <c r="U259">
        <v>1</v>
      </c>
      <c r="V259">
        <f>VLOOKUP(T259,'Data Angt'!$A$5:$F$5810,6,FALSE)</f>
        <v>30</v>
      </c>
      <c r="W259" s="5" t="str">
        <f t="shared" si="3"/>
        <v>KESEJAHTERAAN</v>
      </c>
      <c r="X259" s="5" t="str">
        <f>VLOOKUP(T259,'Data Angt'!$A$5:$H$5810,8,FALSE)</f>
        <v>Lain-Lain</v>
      </c>
      <c r="Y259" s="5" t="str">
        <f>VLOOKUP(T259,'Data Angt'!$A$5:$C$5808,3,FALSE)</f>
        <v>PBL</v>
      </c>
    </row>
    <row r="260" spans="1:25" x14ac:dyDescent="0.3">
      <c r="A260" s="8">
        <v>254</v>
      </c>
      <c r="B260" s="9" t="s">
        <v>4474</v>
      </c>
      <c r="C260" s="10" t="str">
        <f>VLOOKUP(B260,'Data Angt'!$A$5:$B$5809,2,FALSE)</f>
        <v>A1947</v>
      </c>
      <c r="D260" s="11" t="s">
        <v>9826</v>
      </c>
      <c r="E260" s="12" t="s">
        <v>15713</v>
      </c>
      <c r="F260" s="13">
        <v>45792</v>
      </c>
      <c r="G260" s="14">
        <v>45915</v>
      </c>
      <c r="H260" s="15">
        <v>5000000</v>
      </c>
      <c r="I260" s="16">
        <v>12</v>
      </c>
      <c r="J260" s="17">
        <v>11.88</v>
      </c>
      <c r="K260" s="9" t="s">
        <v>9831</v>
      </c>
      <c r="L260" s="10" t="s">
        <v>15714</v>
      </c>
      <c r="M260" s="9" t="s">
        <v>9962</v>
      </c>
      <c r="N260" s="10" t="s">
        <v>9834</v>
      </c>
      <c r="O260" s="15">
        <v>3398500</v>
      </c>
      <c r="P260" s="145">
        <v>65436</v>
      </c>
      <c r="Q260" s="9"/>
      <c r="R260" s="146"/>
      <c r="T260" s="92" t="s">
        <v>4842</v>
      </c>
      <c r="U260">
        <v>1</v>
      </c>
      <c r="V260">
        <f>VLOOKUP(T260,'Data Angt'!$A$5:$F$5810,6,FALSE)</f>
        <v>49</v>
      </c>
      <c r="W260" s="5" t="str">
        <f t="shared" si="3"/>
        <v>KESEJAHTERAAN</v>
      </c>
      <c r="X260" s="5" t="str">
        <f>VLOOKUP(T260,'Data Angt'!$A$5:$H$5810,8,FALSE)</f>
        <v>Aparatur/Pejabat Negara</v>
      </c>
      <c r="Y260" s="5" t="str">
        <f>VLOOKUP(T260,'Data Angt'!$A$5:$C$5808,3,FALSE)</f>
        <v>PBL</v>
      </c>
    </row>
    <row r="261" spans="1:25" x14ac:dyDescent="0.3">
      <c r="A261" s="8">
        <v>255</v>
      </c>
      <c r="B261" s="9" t="s">
        <v>4483</v>
      </c>
      <c r="C261" s="10" t="str">
        <f>VLOOKUP(B261,'Data Angt'!$A$5:$B$5809,2,FALSE)</f>
        <v>A1951</v>
      </c>
      <c r="D261" s="11" t="s">
        <v>9833</v>
      </c>
      <c r="E261" s="12" t="s">
        <v>15715</v>
      </c>
      <c r="F261" s="13">
        <v>45721</v>
      </c>
      <c r="G261" s="14">
        <v>45901</v>
      </c>
      <c r="H261" s="15">
        <v>30000000</v>
      </c>
      <c r="I261" s="16">
        <v>20</v>
      </c>
      <c r="J261" s="17">
        <v>21</v>
      </c>
      <c r="K261" s="9" t="s">
        <v>9827</v>
      </c>
      <c r="L261" s="10" t="s">
        <v>15716</v>
      </c>
      <c r="M261" s="9" t="s">
        <v>9862</v>
      </c>
      <c r="N261" s="10" t="s">
        <v>9834</v>
      </c>
      <c r="O261" s="15">
        <v>21000000</v>
      </c>
      <c r="P261" s="145">
        <v>1033649</v>
      </c>
      <c r="Q261" s="9" t="s">
        <v>22427</v>
      </c>
      <c r="R261" s="146" t="s">
        <v>22428</v>
      </c>
      <c r="T261" s="92" t="s">
        <v>4876</v>
      </c>
      <c r="U261">
        <v>2</v>
      </c>
      <c r="V261">
        <f>VLOOKUP(T261,'Data Angt'!$A$5:$F$5810,6,FALSE)</f>
        <v>30</v>
      </c>
      <c r="W261" s="5" t="str">
        <f t="shared" si="3"/>
        <v>PENDIDIKAN</v>
      </c>
      <c r="X261" s="5" t="str">
        <f>VLOOKUP(T261,'Data Angt'!$A$5:$H$5810,8,FALSE)</f>
        <v>Karyawan</v>
      </c>
      <c r="Y261" s="5" t="str">
        <f>VLOOKUP(T261,'Data Angt'!$A$5:$C$5808,3,FALSE)</f>
        <v>PBL</v>
      </c>
    </row>
    <row r="262" spans="1:25" x14ac:dyDescent="0.3">
      <c r="A262" s="8">
        <v>256</v>
      </c>
      <c r="B262" s="9" t="s">
        <v>4483</v>
      </c>
      <c r="C262" s="10" t="str">
        <f>VLOOKUP(B262,'Data Angt'!$A$5:$B$5809,2,FALSE)</f>
        <v>A1951</v>
      </c>
      <c r="D262" s="11" t="s">
        <v>9826</v>
      </c>
      <c r="E262" s="12" t="s">
        <v>22429</v>
      </c>
      <c r="F262" s="13">
        <v>45852</v>
      </c>
      <c r="G262" s="14">
        <v>45902</v>
      </c>
      <c r="H262" s="15">
        <v>3000000</v>
      </c>
      <c r="I262" s="16">
        <v>10</v>
      </c>
      <c r="J262" s="17">
        <v>24</v>
      </c>
      <c r="K262" s="9" t="s">
        <v>9831</v>
      </c>
      <c r="L262" s="10" t="s">
        <v>22430</v>
      </c>
      <c r="M262" s="9" t="s">
        <v>9962</v>
      </c>
      <c r="N262" s="10" t="s">
        <v>9834</v>
      </c>
      <c r="O262" s="15">
        <v>2446600</v>
      </c>
      <c r="P262" s="145">
        <v>42975</v>
      </c>
      <c r="Q262" s="9"/>
      <c r="R262" s="146"/>
      <c r="T262" s="92" t="s">
        <v>4936</v>
      </c>
      <c r="U262">
        <v>1</v>
      </c>
      <c r="V262">
        <f>VLOOKUP(T262,'Data Angt'!$A$5:$F$5810,6,FALSE)</f>
        <v>53</v>
      </c>
      <c r="W262" s="5" t="str">
        <f t="shared" si="3"/>
        <v>KESEHATAN</v>
      </c>
      <c r="X262" s="5" t="str">
        <f>VLOOKUP(T262,'Data Angt'!$A$5:$H$5810,8,FALSE)</f>
        <v>Karyawan</v>
      </c>
      <c r="Y262" s="5" t="str">
        <f>VLOOKUP(T262,'Data Angt'!$A$5:$C$5808,3,FALSE)</f>
        <v>PBL</v>
      </c>
    </row>
    <row r="263" spans="1:25" x14ac:dyDescent="0.3">
      <c r="A263" s="8">
        <v>257</v>
      </c>
      <c r="B263" s="9" t="s">
        <v>4523</v>
      </c>
      <c r="C263" s="10" t="str">
        <f>VLOOKUP(B263,'Data Angt'!$A$5:$B$5809,2,FALSE)</f>
        <v>A1970</v>
      </c>
      <c r="D263" s="11" t="s">
        <v>9833</v>
      </c>
      <c r="E263" s="12" t="s">
        <v>15717</v>
      </c>
      <c r="F263" s="13">
        <v>45735</v>
      </c>
      <c r="G263" s="14">
        <v>45919</v>
      </c>
      <c r="H263" s="15">
        <v>5000000</v>
      </c>
      <c r="I263" s="16">
        <v>12</v>
      </c>
      <c r="J263" s="17">
        <v>24</v>
      </c>
      <c r="K263" s="9" t="s">
        <v>9831</v>
      </c>
      <c r="L263" s="10" t="s">
        <v>15718</v>
      </c>
      <c r="M263" s="9" t="s">
        <v>9977</v>
      </c>
      <c r="N263" s="10" t="s">
        <v>9834</v>
      </c>
      <c r="O263" s="15">
        <v>2648600</v>
      </c>
      <c r="P263" s="145">
        <v>182024</v>
      </c>
      <c r="Q263" s="9"/>
      <c r="R263" s="146"/>
      <c r="T263" s="92" t="s">
        <v>4948</v>
      </c>
      <c r="U263">
        <v>1</v>
      </c>
      <c r="V263">
        <f>VLOOKUP(T263,'Data Angt'!$A$5:$F$5810,6,FALSE)</f>
        <v>76</v>
      </c>
      <c r="W263" s="5" t="str">
        <f t="shared" ref="W263:W326" si="4">VLOOKUP(T263,$B$7:$N$1869,13,FALSE)</f>
        <v>KONSUMTIF</v>
      </c>
      <c r="X263" s="5" t="str">
        <f>VLOOKUP(T263,'Data Angt'!$A$5:$H$5810,8,FALSE)</f>
        <v>Pensiunan</v>
      </c>
      <c r="Y263" s="5" t="str">
        <f>VLOOKUP(T263,'Data Angt'!$A$5:$C$5808,3,FALSE)</f>
        <v>PBL</v>
      </c>
    </row>
    <row r="264" spans="1:25" x14ac:dyDescent="0.3">
      <c r="A264" s="8">
        <v>258</v>
      </c>
      <c r="B264" s="9" t="s">
        <v>4533</v>
      </c>
      <c r="C264" s="10" t="str">
        <f>VLOOKUP(B264,'Data Angt'!$A$5:$B$5809,2,FALSE)</f>
        <v>A1974</v>
      </c>
      <c r="D264" s="11" t="s">
        <v>9829</v>
      </c>
      <c r="E264" s="12" t="s">
        <v>15719</v>
      </c>
      <c r="F264" s="13">
        <v>45708</v>
      </c>
      <c r="G264" s="14">
        <v>45916</v>
      </c>
      <c r="H264" s="15">
        <v>10000000</v>
      </c>
      <c r="I264" s="16">
        <v>10</v>
      </c>
      <c r="J264" s="17">
        <v>24</v>
      </c>
      <c r="K264" s="9" t="s">
        <v>9831</v>
      </c>
      <c r="L264" s="10" t="s">
        <v>15720</v>
      </c>
      <c r="M264" s="9" t="s">
        <v>15721</v>
      </c>
      <c r="N264" s="10" t="s">
        <v>9828</v>
      </c>
      <c r="O264" s="15">
        <v>3210700</v>
      </c>
      <c r="P264" s="145">
        <v>376425</v>
      </c>
      <c r="Q264" s="9"/>
      <c r="R264" s="146"/>
      <c r="T264" s="92" t="s">
        <v>4996</v>
      </c>
      <c r="U264">
        <v>1</v>
      </c>
      <c r="V264">
        <f>VLOOKUP(T264,'Data Angt'!$A$5:$F$5810,6,FALSE)</f>
        <v>48</v>
      </c>
      <c r="W264" s="5">
        <f t="shared" si="4"/>
        <v>0</v>
      </c>
      <c r="X264" s="5" t="str">
        <f>VLOOKUP(T264,'Data Angt'!$A$5:$H$5810,8,FALSE)</f>
        <v>Karyawan</v>
      </c>
      <c r="Y264" s="5" t="str">
        <f>VLOOKUP(T264,'Data Angt'!$A$5:$C$5808,3,FALSE)</f>
        <v>PBL</v>
      </c>
    </row>
    <row r="265" spans="1:25" x14ac:dyDescent="0.3">
      <c r="A265" s="8">
        <v>259</v>
      </c>
      <c r="B265" s="9" t="s">
        <v>4539</v>
      </c>
      <c r="C265" s="10" t="str">
        <f>VLOOKUP(B265,'Data Angt'!$A$5:$B$5809,2,FALSE)</f>
        <v>A1976</v>
      </c>
      <c r="D265" s="11" t="s">
        <v>9826</v>
      </c>
      <c r="E265" s="12" t="s">
        <v>15722</v>
      </c>
      <c r="F265" s="13">
        <v>45792</v>
      </c>
      <c r="G265" s="14">
        <v>45916</v>
      </c>
      <c r="H265" s="15">
        <v>5000000</v>
      </c>
      <c r="I265" s="16">
        <v>12</v>
      </c>
      <c r="J265" s="17">
        <v>11.88</v>
      </c>
      <c r="K265" s="9" t="s">
        <v>9831</v>
      </c>
      <c r="L265" s="10" t="s">
        <v>15723</v>
      </c>
      <c r="M265" s="9" t="s">
        <v>9962</v>
      </c>
      <c r="N265" s="10" t="s">
        <v>9834</v>
      </c>
      <c r="O265" s="15">
        <v>3398500</v>
      </c>
      <c r="P265" s="145">
        <v>65436</v>
      </c>
      <c r="Q265" s="9"/>
      <c r="R265" s="146"/>
      <c r="T265" s="92" t="s">
        <v>5002</v>
      </c>
      <c r="U265">
        <v>1</v>
      </c>
      <c r="V265">
        <f>VLOOKUP(T265,'Data Angt'!$A$5:$F$5810,6,FALSE)</f>
        <v>70</v>
      </c>
      <c r="W265" s="5" t="str">
        <f t="shared" si="4"/>
        <v>PRODUKTIF</v>
      </c>
      <c r="X265" s="5" t="str">
        <f>VLOOKUP(T265,'Data Angt'!$A$5:$H$5810,8,FALSE)</f>
        <v>Karyawan</v>
      </c>
      <c r="Y265" s="5" t="str">
        <f>VLOOKUP(T265,'Data Angt'!$A$5:$C$5808,3,FALSE)</f>
        <v>PBL</v>
      </c>
    </row>
    <row r="266" spans="1:25" x14ac:dyDescent="0.3">
      <c r="A266" s="8">
        <v>260</v>
      </c>
      <c r="B266" s="9" t="s">
        <v>4554</v>
      </c>
      <c r="C266" s="10" t="str">
        <f>VLOOKUP(B266,'Data Angt'!$A$5:$B$5809,2,FALSE)</f>
        <v>A1982</v>
      </c>
      <c r="D266" s="11" t="s">
        <v>9829</v>
      </c>
      <c r="E266" s="12" t="s">
        <v>10010</v>
      </c>
      <c r="F266" s="13">
        <v>44803</v>
      </c>
      <c r="G266" s="14">
        <v>45897</v>
      </c>
      <c r="H266" s="15">
        <v>10000000</v>
      </c>
      <c r="I266" s="16">
        <v>56</v>
      </c>
      <c r="J266" s="17">
        <v>24</v>
      </c>
      <c r="K266" s="9" t="s">
        <v>9831</v>
      </c>
      <c r="L266" s="10" t="s">
        <v>10011</v>
      </c>
      <c r="M266" s="9" t="s">
        <v>9922</v>
      </c>
      <c r="N266" s="10" t="s">
        <v>9834</v>
      </c>
      <c r="O266" s="15">
        <v>9704500</v>
      </c>
      <c r="P266" s="145">
        <v>225000</v>
      </c>
      <c r="Q266" s="9" t="s">
        <v>22431</v>
      </c>
      <c r="R266" s="146" t="s">
        <v>22432</v>
      </c>
      <c r="T266" s="92" t="s">
        <v>5023</v>
      </c>
      <c r="U266">
        <v>2</v>
      </c>
      <c r="V266">
        <f>VLOOKUP(T266,'Data Angt'!$A$5:$F$5810,6,FALSE)</f>
        <v>56</v>
      </c>
      <c r="W266" s="5" t="str">
        <f t="shared" si="4"/>
        <v>PENDIDIKAN</v>
      </c>
      <c r="X266" s="5" t="str">
        <f>VLOOKUP(T266,'Data Angt'!$A$5:$H$5810,8,FALSE)</f>
        <v>Wiraswasta</v>
      </c>
      <c r="Y266" s="5" t="str">
        <f>VLOOKUP(T266,'Data Angt'!$A$5:$C$5808,3,FALSE)</f>
        <v>PBL</v>
      </c>
    </row>
    <row r="267" spans="1:25" x14ac:dyDescent="0.3">
      <c r="A267" s="8">
        <v>261</v>
      </c>
      <c r="B267" s="9" t="s">
        <v>4564</v>
      </c>
      <c r="C267" s="10" t="str">
        <f>VLOOKUP(B267,'Data Angt'!$A$5:$B$5809,2,FALSE)</f>
        <v>A1988</v>
      </c>
      <c r="D267" s="11" t="s">
        <v>9833</v>
      </c>
      <c r="E267" s="12" t="s">
        <v>15724</v>
      </c>
      <c r="F267" s="13">
        <v>45647</v>
      </c>
      <c r="G267" s="14">
        <v>45920</v>
      </c>
      <c r="H267" s="15">
        <v>20000000</v>
      </c>
      <c r="I267" s="16">
        <v>36</v>
      </c>
      <c r="J267" s="17">
        <v>24</v>
      </c>
      <c r="K267" s="9" t="s">
        <v>9831</v>
      </c>
      <c r="L267" s="10" t="s">
        <v>15725</v>
      </c>
      <c r="M267" s="9" t="s">
        <v>15726</v>
      </c>
      <c r="N267" s="10" t="s">
        <v>9834</v>
      </c>
      <c r="O267" s="15">
        <v>16247800</v>
      </c>
      <c r="P267" s="145">
        <v>1241285</v>
      </c>
      <c r="Q267" s="9" t="s">
        <v>22189</v>
      </c>
      <c r="R267" s="146" t="s">
        <v>22433</v>
      </c>
      <c r="T267" s="92" t="s">
        <v>5042</v>
      </c>
      <c r="U267">
        <v>1</v>
      </c>
      <c r="V267">
        <f>VLOOKUP(T267,'Data Angt'!$A$5:$F$5810,6,FALSE)</f>
        <v>57</v>
      </c>
      <c r="W267" s="5" t="str">
        <f t="shared" si="4"/>
        <v>PRODUKTIF</v>
      </c>
      <c r="X267" s="5" t="str">
        <f>VLOOKUP(T267,'Data Angt'!$A$5:$H$5810,8,FALSE)</f>
        <v>Wiraswasta</v>
      </c>
      <c r="Y267" s="5" t="str">
        <f>VLOOKUP(T267,'Data Angt'!$A$5:$C$5808,3,FALSE)</f>
        <v>PBL</v>
      </c>
    </row>
    <row r="268" spans="1:25" x14ac:dyDescent="0.3">
      <c r="A268" s="8">
        <v>262</v>
      </c>
      <c r="B268" s="9" t="s">
        <v>4564</v>
      </c>
      <c r="C268" s="10" t="str">
        <f>VLOOKUP(B268,'Data Angt'!$A$5:$B$5809,2,FALSE)</f>
        <v>A1988</v>
      </c>
      <c r="D268" s="11" t="s">
        <v>9826</v>
      </c>
      <c r="E268" s="12" t="s">
        <v>22434</v>
      </c>
      <c r="F268" s="13">
        <v>45892</v>
      </c>
      <c r="G268" s="14">
        <v>45920</v>
      </c>
      <c r="H268" s="15">
        <v>5000000</v>
      </c>
      <c r="I268" s="16">
        <v>10</v>
      </c>
      <c r="J268" s="17">
        <v>24</v>
      </c>
      <c r="K268" s="9" t="s">
        <v>9831</v>
      </c>
      <c r="L268" s="10" t="s">
        <v>22435</v>
      </c>
      <c r="M268" s="9" t="s">
        <v>10365</v>
      </c>
      <c r="N268" s="10" t="s">
        <v>9828</v>
      </c>
      <c r="O268" s="15">
        <v>4543300</v>
      </c>
      <c r="P268" s="145">
        <v>37500</v>
      </c>
      <c r="Q268" s="9"/>
      <c r="R268" s="146"/>
      <c r="T268" s="92" t="s">
        <v>5066</v>
      </c>
      <c r="U268">
        <v>1</v>
      </c>
      <c r="V268">
        <f>VLOOKUP(T268,'Data Angt'!$A$5:$F$5810,6,FALSE)</f>
        <v>57</v>
      </c>
      <c r="W268" s="5" t="str">
        <f t="shared" si="4"/>
        <v>KONSUMTIF</v>
      </c>
      <c r="X268" s="5">
        <f>VLOOKUP(T268,'Data Angt'!$A$5:$H$5810,8,FALSE)</f>
        <v>0</v>
      </c>
      <c r="Y268" s="5" t="str">
        <f>VLOOKUP(T268,'Data Angt'!$A$5:$C$5808,3,FALSE)</f>
        <v>PBL</v>
      </c>
    </row>
    <row r="269" spans="1:25" x14ac:dyDescent="0.3">
      <c r="A269" s="8">
        <v>263</v>
      </c>
      <c r="B269" s="9" t="s">
        <v>4580</v>
      </c>
      <c r="C269" s="10" t="str">
        <f>VLOOKUP(B269,'Data Angt'!$A$5:$B$5809,2,FALSE)</f>
        <v>A1996</v>
      </c>
      <c r="D269" s="11" t="s">
        <v>9833</v>
      </c>
      <c r="E269" s="12" t="s">
        <v>10012</v>
      </c>
      <c r="F269" s="13">
        <v>43655</v>
      </c>
      <c r="G269" s="14">
        <v>44769</v>
      </c>
      <c r="H269" s="15">
        <v>120000000</v>
      </c>
      <c r="I269" s="16">
        <v>48</v>
      </c>
      <c r="J269" s="17">
        <v>21</v>
      </c>
      <c r="K269" s="9" t="s">
        <v>9831</v>
      </c>
      <c r="L269" s="10" t="s">
        <v>10013</v>
      </c>
      <c r="M269" s="9" t="s">
        <v>10014</v>
      </c>
      <c r="N269" s="10" t="s">
        <v>9834</v>
      </c>
      <c r="O269" s="15">
        <v>56888800</v>
      </c>
      <c r="P269" s="145">
        <v>24629961</v>
      </c>
      <c r="Q269" s="9"/>
      <c r="R269" s="146"/>
      <c r="T269" s="92" t="s">
        <v>5070</v>
      </c>
      <c r="U269">
        <v>1</v>
      </c>
      <c r="V269">
        <f>VLOOKUP(T269,'Data Angt'!$A$5:$F$5810,6,FALSE)</f>
        <v>48</v>
      </c>
      <c r="W269" s="5" t="str">
        <f t="shared" si="4"/>
        <v>KONSUMTIF</v>
      </c>
      <c r="X269" s="5" t="str">
        <f>VLOOKUP(T269,'Data Angt'!$A$5:$H$5810,8,FALSE)</f>
        <v>Mengurus Rumah Tangga</v>
      </c>
      <c r="Y269" s="5" t="str">
        <f>VLOOKUP(T269,'Data Angt'!$A$5:$C$5808,3,FALSE)</f>
        <v>PBL</v>
      </c>
    </row>
    <row r="270" spans="1:25" x14ac:dyDescent="0.3">
      <c r="A270" s="8">
        <v>264</v>
      </c>
      <c r="B270" s="9" t="s">
        <v>4593</v>
      </c>
      <c r="C270" s="10" t="str">
        <f>VLOOKUP(B270,'Data Angt'!$A$5:$B$5809,2,FALSE)</f>
        <v>A2004</v>
      </c>
      <c r="D270" s="11" t="s">
        <v>9829</v>
      </c>
      <c r="E270" s="12" t="s">
        <v>10015</v>
      </c>
      <c r="F270" s="13">
        <v>44954</v>
      </c>
      <c r="G270" s="14">
        <v>45895</v>
      </c>
      <c r="H270" s="15">
        <v>23000000</v>
      </c>
      <c r="I270" s="16">
        <v>60</v>
      </c>
      <c r="J270" s="17">
        <v>24</v>
      </c>
      <c r="K270" s="9" t="s">
        <v>9831</v>
      </c>
      <c r="L270" s="10" t="s">
        <v>10016</v>
      </c>
      <c r="M270" s="9" t="s">
        <v>9912</v>
      </c>
      <c r="N270" s="10" t="s">
        <v>9828</v>
      </c>
      <c r="O270" s="15">
        <v>16883300</v>
      </c>
      <c r="P270" s="145">
        <v>3798033</v>
      </c>
      <c r="Q270" s="9" t="s">
        <v>22197</v>
      </c>
      <c r="R270" s="146" t="s">
        <v>22436</v>
      </c>
      <c r="T270" s="92" t="s">
        <v>5076</v>
      </c>
      <c r="U270">
        <v>1</v>
      </c>
      <c r="V270">
        <f>VLOOKUP(T270,'Data Angt'!$A$5:$F$5810,6,FALSE)</f>
        <v>41</v>
      </c>
      <c r="W270" s="5" t="str">
        <f t="shared" si="4"/>
        <v>PRODUKTIF</v>
      </c>
      <c r="X270" s="5" t="str">
        <f>VLOOKUP(T270,'Data Angt'!$A$5:$H$5810,8,FALSE)</f>
        <v>Lain-Lain</v>
      </c>
      <c r="Y270" s="5" t="str">
        <f>VLOOKUP(T270,'Data Angt'!$A$5:$C$5808,3,FALSE)</f>
        <v>PBL</v>
      </c>
    </row>
    <row r="271" spans="1:25" x14ac:dyDescent="0.3">
      <c r="A271" s="8">
        <v>265</v>
      </c>
      <c r="B271" s="9" t="s">
        <v>4611</v>
      </c>
      <c r="C271" s="10" t="str">
        <f>VLOOKUP(B271,'Data Angt'!$A$5:$B$5809,2,FALSE)</f>
        <v>A2014</v>
      </c>
      <c r="D271" s="11" t="s">
        <v>9842</v>
      </c>
      <c r="E271" s="12" t="s">
        <v>10017</v>
      </c>
      <c r="F271" s="13">
        <v>43738</v>
      </c>
      <c r="G271" s="14">
        <v>45925</v>
      </c>
      <c r="H271" s="15">
        <v>200000000</v>
      </c>
      <c r="I271" s="16">
        <v>120</v>
      </c>
      <c r="J271" s="17">
        <v>11.4</v>
      </c>
      <c r="K271" s="9" t="s">
        <v>9831</v>
      </c>
      <c r="L271" s="10" t="s">
        <v>10018</v>
      </c>
      <c r="M271" s="9" t="s">
        <v>9859</v>
      </c>
      <c r="N271" s="10" t="s">
        <v>9830</v>
      </c>
      <c r="O271" s="15">
        <v>129641100</v>
      </c>
      <c r="P271" s="145">
        <v>42073933</v>
      </c>
      <c r="Q271" s="9" t="s">
        <v>22197</v>
      </c>
      <c r="R271" s="146" t="s">
        <v>22437</v>
      </c>
      <c r="T271" s="92" t="s">
        <v>5113</v>
      </c>
      <c r="U271">
        <v>1</v>
      </c>
      <c r="V271">
        <f>VLOOKUP(T271,'Data Angt'!$A$5:$F$5810,6,FALSE)</f>
        <v>44</v>
      </c>
      <c r="W271" s="5" t="str">
        <f t="shared" si="4"/>
        <v>PRODUKTIF</v>
      </c>
      <c r="X271" s="5" t="str">
        <f>VLOOKUP(T271,'Data Angt'!$A$5:$H$5810,8,FALSE)</f>
        <v>Mengurus Rumah Tangga</v>
      </c>
      <c r="Y271" s="5" t="str">
        <f>VLOOKUP(T271,'Data Angt'!$A$5:$C$5808,3,FALSE)</f>
        <v>PBL</v>
      </c>
    </row>
    <row r="272" spans="1:25" x14ac:dyDescent="0.3">
      <c r="A272" s="8">
        <v>266</v>
      </c>
      <c r="B272" s="9" t="s">
        <v>4613</v>
      </c>
      <c r="C272" s="10" t="str">
        <f>VLOOKUP(B272,'Data Angt'!$A$5:$B$5809,2,FALSE)</f>
        <v>A2015</v>
      </c>
      <c r="D272" s="11" t="s">
        <v>9829</v>
      </c>
      <c r="E272" s="12" t="s">
        <v>10019</v>
      </c>
      <c r="F272" s="13">
        <v>43803</v>
      </c>
      <c r="G272" s="14">
        <v>44984</v>
      </c>
      <c r="H272" s="15">
        <v>30800000</v>
      </c>
      <c r="I272" s="16">
        <v>39</v>
      </c>
      <c r="J272" s="17">
        <v>21</v>
      </c>
      <c r="K272" s="9" t="s">
        <v>9831</v>
      </c>
      <c r="L272" s="10" t="s">
        <v>10020</v>
      </c>
      <c r="M272" s="9" t="s">
        <v>10021</v>
      </c>
      <c r="N272" s="10" t="s">
        <v>9830</v>
      </c>
      <c r="O272" s="15">
        <v>29675700</v>
      </c>
      <c r="P272" s="145">
        <v>790162</v>
      </c>
      <c r="Q272" s="9"/>
      <c r="R272" s="146"/>
      <c r="T272" s="92" t="s">
        <v>5117</v>
      </c>
      <c r="U272">
        <v>1</v>
      </c>
      <c r="V272">
        <f>VLOOKUP(T272,'Data Angt'!$A$5:$F$5810,6,FALSE)</f>
        <v>58</v>
      </c>
      <c r="W272" s="5" t="str">
        <f t="shared" si="4"/>
        <v>PRODUKTIF</v>
      </c>
      <c r="X272" s="5" t="str">
        <f>VLOOKUP(T272,'Data Angt'!$A$5:$H$5810,8,FALSE)</f>
        <v>Wiraswasta</v>
      </c>
      <c r="Y272" s="5" t="str">
        <f>VLOOKUP(T272,'Data Angt'!$A$5:$C$5808,3,FALSE)</f>
        <v>PBL</v>
      </c>
    </row>
    <row r="273" spans="1:25" x14ac:dyDescent="0.3">
      <c r="A273" s="8">
        <v>267</v>
      </c>
      <c r="B273" s="9" t="s">
        <v>4622</v>
      </c>
      <c r="C273" s="10" t="str">
        <f>VLOOKUP(B273,'Data Angt'!$A$5:$B$5809,2,FALSE)</f>
        <v>A2018</v>
      </c>
      <c r="D273" s="11" t="s">
        <v>9829</v>
      </c>
      <c r="E273" s="12" t="s">
        <v>22438</v>
      </c>
      <c r="F273" s="13">
        <v>45841</v>
      </c>
      <c r="G273" s="14">
        <v>45903</v>
      </c>
      <c r="H273" s="15">
        <v>5000000</v>
      </c>
      <c r="I273" s="16">
        <v>18</v>
      </c>
      <c r="J273" s="17">
        <v>24</v>
      </c>
      <c r="K273" s="9" t="s">
        <v>9831</v>
      </c>
      <c r="L273" s="10" t="s">
        <v>22439</v>
      </c>
      <c r="M273" s="9" t="s">
        <v>9964</v>
      </c>
      <c r="N273" s="10" t="s">
        <v>17</v>
      </c>
      <c r="O273" s="15">
        <v>4528200</v>
      </c>
      <c r="P273" s="145">
        <v>73275</v>
      </c>
      <c r="Q273" s="9"/>
      <c r="R273" s="146"/>
      <c r="T273" s="92" t="s">
        <v>5125</v>
      </c>
      <c r="U273">
        <v>1</v>
      </c>
      <c r="V273">
        <f>VLOOKUP(T273,'Data Angt'!$A$5:$F$5810,6,FALSE)</f>
        <v>46</v>
      </c>
      <c r="W273" s="5" t="str">
        <f t="shared" si="4"/>
        <v>PRODUKTIF</v>
      </c>
      <c r="X273" s="5" t="str">
        <f>VLOOKUP(T273,'Data Angt'!$A$5:$H$5810,8,FALSE)</f>
        <v>Wiraswasta</v>
      </c>
      <c r="Y273" s="5" t="str">
        <f>VLOOKUP(T273,'Data Angt'!$A$5:$C$5808,3,FALSE)</f>
        <v>PBL</v>
      </c>
    </row>
    <row r="274" spans="1:25" x14ac:dyDescent="0.3">
      <c r="A274" s="8">
        <v>268</v>
      </c>
      <c r="B274" s="9" t="s">
        <v>4627</v>
      </c>
      <c r="C274" s="10" t="str">
        <f>VLOOKUP(B274,'Data Angt'!$A$5:$B$5809,2,FALSE)</f>
        <v>A2020</v>
      </c>
      <c r="D274" s="11" t="s">
        <v>9881</v>
      </c>
      <c r="E274" s="12" t="s">
        <v>15727</v>
      </c>
      <c r="F274" s="13">
        <v>45740</v>
      </c>
      <c r="G274" s="14">
        <v>45926</v>
      </c>
      <c r="H274" s="15">
        <v>1900000</v>
      </c>
      <c r="I274" s="16">
        <v>12</v>
      </c>
      <c r="J274" s="17">
        <v>12</v>
      </c>
      <c r="K274" s="9" t="s">
        <v>9831</v>
      </c>
      <c r="L274" s="10" t="s">
        <v>15728</v>
      </c>
      <c r="M274" s="9" t="s">
        <v>9835</v>
      </c>
      <c r="N274" s="10" t="s">
        <v>9828</v>
      </c>
      <c r="O274" s="15">
        <v>978100</v>
      </c>
      <c r="P274" s="145">
        <v>34312</v>
      </c>
      <c r="Q274" s="9"/>
      <c r="R274" s="146"/>
      <c r="T274" s="92" t="s">
        <v>5174</v>
      </c>
      <c r="U274">
        <v>1</v>
      </c>
      <c r="V274">
        <f>VLOOKUP(T274,'Data Angt'!$A$5:$F$5810,6,FALSE)</f>
        <v>40</v>
      </c>
      <c r="W274" s="5" t="str">
        <f t="shared" si="4"/>
        <v>PENDIDIKAN</v>
      </c>
      <c r="X274" s="5" t="str">
        <f>VLOOKUP(T274,'Data Angt'!$A$5:$H$5810,8,FALSE)</f>
        <v>Lain-Lain</v>
      </c>
      <c r="Y274" s="5" t="str">
        <f>VLOOKUP(T274,'Data Angt'!$A$5:$C$5808,3,FALSE)</f>
        <v>PBL</v>
      </c>
    </row>
    <row r="275" spans="1:25" x14ac:dyDescent="0.3">
      <c r="A275" s="8">
        <v>269</v>
      </c>
      <c r="B275" s="9" t="s">
        <v>4627</v>
      </c>
      <c r="C275" s="10" t="str">
        <f>VLOOKUP(B275,'Data Angt'!$A$5:$B$5809,2,FALSE)</f>
        <v>A2020</v>
      </c>
      <c r="D275" s="11" t="s">
        <v>9842</v>
      </c>
      <c r="E275" s="12" t="s">
        <v>10022</v>
      </c>
      <c r="F275" s="13">
        <v>43697</v>
      </c>
      <c r="G275" s="14">
        <v>45926</v>
      </c>
      <c r="H275" s="15">
        <v>250000000</v>
      </c>
      <c r="I275" s="16">
        <v>140</v>
      </c>
      <c r="J275" s="17">
        <v>2.4</v>
      </c>
      <c r="K275" s="9" t="s">
        <v>9831</v>
      </c>
      <c r="L275" s="10" t="s">
        <v>10023</v>
      </c>
      <c r="M275" s="9" t="s">
        <v>10024</v>
      </c>
      <c r="N275" s="10" t="s">
        <v>9830</v>
      </c>
      <c r="O275" s="15">
        <v>113239500</v>
      </c>
      <c r="P275" s="145">
        <v>10136829</v>
      </c>
      <c r="Q275" s="9"/>
      <c r="R275" s="146"/>
      <c r="T275" s="92" t="s">
        <v>5184</v>
      </c>
      <c r="U275">
        <v>2</v>
      </c>
      <c r="V275">
        <f>VLOOKUP(T275,'Data Angt'!$A$5:$F$5810,6,FALSE)</f>
        <v>40</v>
      </c>
      <c r="W275" s="5" t="str">
        <f t="shared" si="4"/>
        <v>PRODUKTIF</v>
      </c>
      <c r="X275" s="5" t="str">
        <f>VLOOKUP(T275,'Data Angt'!$A$5:$H$5810,8,FALSE)</f>
        <v>Mengurus Rumah Tangga</v>
      </c>
      <c r="Y275" s="5" t="str">
        <f>VLOOKUP(T275,'Data Angt'!$A$5:$C$5808,3,FALSE)</f>
        <v>PBL</v>
      </c>
    </row>
    <row r="276" spans="1:25" x14ac:dyDescent="0.3">
      <c r="A276" s="8">
        <v>270</v>
      </c>
      <c r="B276" s="9" t="s">
        <v>4639</v>
      </c>
      <c r="C276" s="10" t="str">
        <f>VLOOKUP(B276,'Data Angt'!$A$5:$B$5809,2,FALSE)</f>
        <v>A2025</v>
      </c>
      <c r="D276" s="11" t="s">
        <v>9833</v>
      </c>
      <c r="E276" s="12" t="s">
        <v>15729</v>
      </c>
      <c r="F276" s="13">
        <v>45625</v>
      </c>
      <c r="G276" s="14">
        <v>45930</v>
      </c>
      <c r="H276" s="15">
        <v>6000000</v>
      </c>
      <c r="I276" s="16">
        <v>12</v>
      </c>
      <c r="J276" s="17">
        <v>24</v>
      </c>
      <c r="K276" s="9" t="s">
        <v>9831</v>
      </c>
      <c r="L276" s="10" t="s">
        <v>15730</v>
      </c>
      <c r="M276" s="9" t="s">
        <v>9962</v>
      </c>
      <c r="N276" s="10" t="s">
        <v>9834</v>
      </c>
      <c r="O276" s="15">
        <v>1101700</v>
      </c>
      <c r="P276" s="145">
        <v>290885</v>
      </c>
      <c r="Q276" s="9" t="s">
        <v>22254</v>
      </c>
      <c r="R276" s="146" t="s">
        <v>22440</v>
      </c>
      <c r="T276" s="92" t="s">
        <v>5202</v>
      </c>
      <c r="U276">
        <v>1</v>
      </c>
      <c r="V276">
        <f>VLOOKUP(T276,'Data Angt'!$A$5:$F$5810,6,FALSE)</f>
        <v>56</v>
      </c>
      <c r="W276" s="5">
        <f t="shared" si="4"/>
        <v>0</v>
      </c>
      <c r="X276" s="5" t="str">
        <f>VLOOKUP(T276,'Data Angt'!$A$5:$H$5810,8,FALSE)</f>
        <v>Wiraswasta</v>
      </c>
      <c r="Y276" s="5" t="str">
        <f>VLOOKUP(T276,'Data Angt'!$A$5:$C$5808,3,FALSE)</f>
        <v>PBL</v>
      </c>
    </row>
    <row r="277" spans="1:25" x14ac:dyDescent="0.3">
      <c r="A277" s="8">
        <v>271</v>
      </c>
      <c r="B277" s="9" t="s">
        <v>4643</v>
      </c>
      <c r="C277" s="10" t="str">
        <f>VLOOKUP(B277,'Data Angt'!$A$5:$B$5809,2,FALSE)</f>
        <v>A2027</v>
      </c>
      <c r="D277" s="11" t="s">
        <v>9842</v>
      </c>
      <c r="E277" s="12" t="s">
        <v>10025</v>
      </c>
      <c r="F277" s="13">
        <v>44932</v>
      </c>
      <c r="G277" s="14">
        <v>45926</v>
      </c>
      <c r="H277" s="15">
        <v>300000000</v>
      </c>
      <c r="I277" s="16">
        <v>132</v>
      </c>
      <c r="J277" s="17">
        <v>2.4</v>
      </c>
      <c r="K277" s="9" t="s">
        <v>9831</v>
      </c>
      <c r="L277" s="10" t="s">
        <v>10026</v>
      </c>
      <c r="M277" s="9" t="s">
        <v>10027</v>
      </c>
      <c r="N277" s="10" t="s">
        <v>9830</v>
      </c>
      <c r="O277" s="15">
        <v>266924400</v>
      </c>
      <c r="P277" s="145">
        <v>6680841</v>
      </c>
      <c r="Q277" s="9" t="s">
        <v>22220</v>
      </c>
      <c r="R277" s="146" t="s">
        <v>22441</v>
      </c>
      <c r="T277" s="92" t="s">
        <v>5227</v>
      </c>
      <c r="U277">
        <v>2</v>
      </c>
      <c r="V277">
        <f>VLOOKUP(T277,'Data Angt'!$A$5:$F$5810,6,FALSE)</f>
        <v>38</v>
      </c>
      <c r="W277" s="5" t="str">
        <f t="shared" si="4"/>
        <v>PRODUKTIF</v>
      </c>
      <c r="X277" s="5" t="str">
        <f>VLOOKUP(T277,'Data Angt'!$A$5:$H$5810,8,FALSE)</f>
        <v>Aparatur/Pejabat Negara</v>
      </c>
      <c r="Y277" s="5" t="str">
        <f>VLOOKUP(T277,'Data Angt'!$A$5:$C$5808,3,FALSE)</f>
        <v>PBL</v>
      </c>
    </row>
    <row r="278" spans="1:25" x14ac:dyDescent="0.3">
      <c r="A278" s="8">
        <v>272</v>
      </c>
      <c r="B278" s="9" t="s">
        <v>4643</v>
      </c>
      <c r="C278" s="10" t="str">
        <f>VLOOKUP(B278,'Data Angt'!$A$5:$B$5809,2,FALSE)</f>
        <v>A2027</v>
      </c>
      <c r="D278" s="11" t="s">
        <v>9826</v>
      </c>
      <c r="E278" s="12" t="s">
        <v>15731</v>
      </c>
      <c r="F278" s="13">
        <v>45811</v>
      </c>
      <c r="G278" s="14">
        <v>45904</v>
      </c>
      <c r="H278" s="15">
        <v>1500000</v>
      </c>
      <c r="I278" s="16">
        <v>12</v>
      </c>
      <c r="J278" s="17">
        <v>18</v>
      </c>
      <c r="K278" s="9" t="s">
        <v>9831</v>
      </c>
      <c r="L278" s="10" t="s">
        <v>15732</v>
      </c>
      <c r="M278" s="9" t="s">
        <v>10352</v>
      </c>
      <c r="N278" s="10" t="s">
        <v>9828</v>
      </c>
      <c r="O278" s="15">
        <v>1149600</v>
      </c>
      <c r="P278" s="145">
        <v>23399</v>
      </c>
      <c r="Q278" s="9"/>
      <c r="R278" s="146"/>
      <c r="T278" s="92" t="s">
        <v>5248</v>
      </c>
      <c r="U278">
        <v>2</v>
      </c>
      <c r="V278">
        <f>VLOOKUP(T278,'Data Angt'!$A$5:$F$5810,6,FALSE)</f>
        <v>30</v>
      </c>
      <c r="W278" s="5" t="str">
        <f t="shared" si="4"/>
        <v>KESEJAHTERAAN</v>
      </c>
      <c r="X278" s="5" t="str">
        <f>VLOOKUP(T278,'Data Angt'!$A$5:$H$5810,8,FALSE)</f>
        <v>Karyawan</v>
      </c>
      <c r="Y278" s="5" t="str">
        <f>VLOOKUP(T278,'Data Angt'!$A$5:$C$5808,3,FALSE)</f>
        <v>PBL</v>
      </c>
    </row>
    <row r="279" spans="1:25" x14ac:dyDescent="0.3">
      <c r="A279" s="8">
        <v>273</v>
      </c>
      <c r="B279" s="9" t="s">
        <v>4669</v>
      </c>
      <c r="C279" s="10" t="str">
        <f>VLOOKUP(B279,'Data Angt'!$A$5:$B$5809,2,FALSE)</f>
        <v>A2039</v>
      </c>
      <c r="D279" s="11" t="s">
        <v>9895</v>
      </c>
      <c r="E279" s="12" t="s">
        <v>15733</v>
      </c>
      <c r="F279" s="13">
        <v>45526</v>
      </c>
      <c r="G279" s="14">
        <v>45925</v>
      </c>
      <c r="H279" s="15">
        <v>32000000</v>
      </c>
      <c r="I279" s="16">
        <v>24</v>
      </c>
      <c r="J279" s="17">
        <v>21</v>
      </c>
      <c r="K279" s="9" t="s">
        <v>9831</v>
      </c>
      <c r="L279" s="10" t="s">
        <v>15734</v>
      </c>
      <c r="M279" s="9" t="s">
        <v>10076</v>
      </c>
      <c r="N279" s="10" t="s">
        <v>9828</v>
      </c>
      <c r="O279" s="15">
        <v>16324000</v>
      </c>
      <c r="P279" s="145">
        <v>2137947</v>
      </c>
      <c r="Q279" s="9" t="s">
        <v>22276</v>
      </c>
      <c r="R279" s="146" t="s">
        <v>22442</v>
      </c>
      <c r="T279" s="92" t="s">
        <v>5260</v>
      </c>
      <c r="U279">
        <v>1</v>
      </c>
      <c r="V279">
        <f>VLOOKUP(T279,'Data Angt'!$A$5:$F$5810,6,FALSE)</f>
        <v>53</v>
      </c>
      <c r="W279" s="5" t="str">
        <f t="shared" si="4"/>
        <v>PRODUKTIF</v>
      </c>
      <c r="X279" s="5" t="str">
        <f>VLOOKUP(T279,'Data Angt'!$A$5:$H$5810,8,FALSE)</f>
        <v>Lain-Lain</v>
      </c>
      <c r="Y279" s="5" t="str">
        <f>VLOOKUP(T279,'Data Angt'!$A$5:$C$5808,3,FALSE)</f>
        <v>PBL</v>
      </c>
    </row>
    <row r="280" spans="1:25" x14ac:dyDescent="0.3">
      <c r="A280" s="8">
        <v>274</v>
      </c>
      <c r="B280" s="9" t="s">
        <v>4708</v>
      </c>
      <c r="C280" s="10" t="str">
        <f>VLOOKUP(B280,'Data Angt'!$A$5:$B$5809,2,FALSE)</f>
        <v>A2057</v>
      </c>
      <c r="D280" s="11" t="s">
        <v>9829</v>
      </c>
      <c r="E280" s="12" t="s">
        <v>10030</v>
      </c>
      <c r="F280" s="13">
        <v>43606</v>
      </c>
      <c r="G280" s="14">
        <v>45807</v>
      </c>
      <c r="H280" s="15">
        <v>40000000</v>
      </c>
      <c r="I280" s="16">
        <v>36</v>
      </c>
      <c r="J280" s="17">
        <v>21</v>
      </c>
      <c r="K280" s="9" t="s">
        <v>9827</v>
      </c>
      <c r="L280" s="10" t="s">
        <v>10031</v>
      </c>
      <c r="M280" s="9" t="s">
        <v>10032</v>
      </c>
      <c r="N280" s="10" t="s">
        <v>9834</v>
      </c>
      <c r="O280" s="15">
        <v>26090600</v>
      </c>
      <c r="P280" s="145">
        <v>7779091</v>
      </c>
      <c r="Q280" s="9"/>
      <c r="R280" s="146"/>
      <c r="T280" s="92" t="s">
        <v>5265</v>
      </c>
      <c r="U280">
        <v>1</v>
      </c>
      <c r="V280">
        <f>VLOOKUP(T280,'Data Angt'!$A$5:$F$5810,6,FALSE)</f>
        <v>42</v>
      </c>
      <c r="W280" s="5" t="str">
        <f t="shared" si="4"/>
        <v>PENDIDIKAN</v>
      </c>
      <c r="X280" s="5" t="str">
        <f>VLOOKUP(T280,'Data Angt'!$A$5:$H$5810,8,FALSE)</f>
        <v>Mengurus Rumah Tangga</v>
      </c>
      <c r="Y280" s="5" t="str">
        <f>VLOOKUP(T280,'Data Angt'!$A$5:$C$5808,3,FALSE)</f>
        <v>PBL</v>
      </c>
    </row>
    <row r="281" spans="1:25" x14ac:dyDescent="0.3">
      <c r="A281" s="8">
        <v>275</v>
      </c>
      <c r="B281" s="9" t="s">
        <v>4722</v>
      </c>
      <c r="C281" s="10" t="str">
        <f>VLOOKUP(B281,'Data Angt'!$A$5:$B$5809,2,FALSE)</f>
        <v>A2062</v>
      </c>
      <c r="D281" s="11" t="s">
        <v>9829</v>
      </c>
      <c r="E281" s="12" t="s">
        <v>15735</v>
      </c>
      <c r="F281" s="13">
        <v>45700</v>
      </c>
      <c r="G281" s="14">
        <v>45912</v>
      </c>
      <c r="H281" s="15">
        <v>3000000</v>
      </c>
      <c r="I281" s="16">
        <v>12</v>
      </c>
      <c r="J281" s="17">
        <v>11.88</v>
      </c>
      <c r="K281" s="9" t="s">
        <v>9831</v>
      </c>
      <c r="L281" s="10" t="s">
        <v>15736</v>
      </c>
      <c r="M281" s="9" t="s">
        <v>9838</v>
      </c>
      <c r="N281" s="10" t="s">
        <v>9830</v>
      </c>
      <c r="O281" s="15">
        <v>1293300</v>
      </c>
      <c r="P281" s="145">
        <v>59286</v>
      </c>
      <c r="Q281" s="9"/>
      <c r="R281" s="146"/>
      <c r="T281" s="92" t="s">
        <v>5267</v>
      </c>
      <c r="U281">
        <v>2</v>
      </c>
      <c r="V281">
        <f>VLOOKUP(T281,'Data Angt'!$A$5:$F$5810,6,FALSE)</f>
        <v>54</v>
      </c>
      <c r="W281" s="5" t="str">
        <f t="shared" si="4"/>
        <v>KESEJAHTERAAN</v>
      </c>
      <c r="X281" s="5" t="str">
        <f>VLOOKUP(T281,'Data Angt'!$A$5:$H$5810,8,FALSE)</f>
        <v>Karyawan</v>
      </c>
      <c r="Y281" s="5" t="str">
        <f>VLOOKUP(T281,'Data Angt'!$A$5:$C$5808,3,FALSE)</f>
        <v>PBL</v>
      </c>
    </row>
    <row r="282" spans="1:25" x14ac:dyDescent="0.3">
      <c r="A282" s="8">
        <v>276</v>
      </c>
      <c r="B282" s="9" t="s">
        <v>4739</v>
      </c>
      <c r="C282" s="10" t="str">
        <f>VLOOKUP(B282,'Data Angt'!$A$5:$B$5809,2,FALSE)</f>
        <v>A2071</v>
      </c>
      <c r="D282" s="11" t="s">
        <v>9829</v>
      </c>
      <c r="E282" s="12" t="s">
        <v>15737</v>
      </c>
      <c r="F282" s="13">
        <v>45553</v>
      </c>
      <c r="G282" s="14">
        <v>45890</v>
      </c>
      <c r="H282" s="15">
        <v>7000000</v>
      </c>
      <c r="I282" s="16">
        <v>24</v>
      </c>
      <c r="J282" s="17">
        <v>24</v>
      </c>
      <c r="K282" s="9" t="s">
        <v>9831</v>
      </c>
      <c r="L282" s="10" t="s">
        <v>15738</v>
      </c>
      <c r="M282" s="9" t="s">
        <v>9838</v>
      </c>
      <c r="N282" s="10" t="s">
        <v>9830</v>
      </c>
      <c r="O282" s="15">
        <v>4200600</v>
      </c>
      <c r="P282" s="145">
        <v>476886</v>
      </c>
      <c r="Q282" s="9" t="s">
        <v>22254</v>
      </c>
      <c r="R282" s="146" t="s">
        <v>22443</v>
      </c>
      <c r="T282" s="92" t="s">
        <v>5317</v>
      </c>
      <c r="U282">
        <v>1</v>
      </c>
      <c r="V282">
        <f>VLOOKUP(T282,'Data Angt'!$A$5:$F$5810,6,FALSE)</f>
        <v>48</v>
      </c>
      <c r="W282" s="5" t="str">
        <f t="shared" si="4"/>
        <v>KONSUMTIF</v>
      </c>
      <c r="X282" s="5" t="str">
        <f>VLOOKUP(T282,'Data Angt'!$A$5:$H$5810,8,FALSE)</f>
        <v>Lain-Lain</v>
      </c>
      <c r="Y282" s="5" t="str">
        <f>VLOOKUP(T282,'Data Angt'!$A$5:$C$5808,3,FALSE)</f>
        <v>PBL</v>
      </c>
    </row>
    <row r="283" spans="1:25" x14ac:dyDescent="0.3">
      <c r="A283" s="8">
        <v>277</v>
      </c>
      <c r="B283" s="9" t="s">
        <v>4758</v>
      </c>
      <c r="C283" s="10" t="str">
        <f>VLOOKUP(B283,'Data Angt'!$A$5:$B$5809,2,FALSE)</f>
        <v>A2082</v>
      </c>
      <c r="D283" s="11" t="s">
        <v>9829</v>
      </c>
      <c r="E283" s="12" t="s">
        <v>15739</v>
      </c>
      <c r="F283" s="13">
        <v>45617</v>
      </c>
      <c r="G283" s="14">
        <v>45901</v>
      </c>
      <c r="H283" s="15">
        <v>6000000</v>
      </c>
      <c r="I283" s="16">
        <v>24</v>
      </c>
      <c r="J283" s="17">
        <v>24</v>
      </c>
      <c r="K283" s="9" t="s">
        <v>9831</v>
      </c>
      <c r="L283" s="10" t="s">
        <v>15740</v>
      </c>
      <c r="M283" s="9" t="s">
        <v>15741</v>
      </c>
      <c r="N283" s="10" t="s">
        <v>17</v>
      </c>
      <c r="O283" s="15">
        <v>3840200</v>
      </c>
      <c r="P283" s="145">
        <v>379948</v>
      </c>
      <c r="Q283" s="9"/>
      <c r="R283" s="146"/>
      <c r="T283" s="92" t="s">
        <v>5319</v>
      </c>
      <c r="U283">
        <v>1</v>
      </c>
      <c r="V283">
        <f>VLOOKUP(T283,'Data Angt'!$A$5:$F$5810,6,FALSE)</f>
        <v>53</v>
      </c>
      <c r="W283" s="5" t="str">
        <f t="shared" si="4"/>
        <v>PENDIDIKAN</v>
      </c>
      <c r="X283" s="5" t="str">
        <f>VLOOKUP(T283,'Data Angt'!$A$5:$H$5810,8,FALSE)</f>
        <v>Wiraswasta</v>
      </c>
      <c r="Y283" s="5" t="str">
        <f>VLOOKUP(T283,'Data Angt'!$A$5:$C$5808,3,FALSE)</f>
        <v>PBL</v>
      </c>
    </row>
    <row r="284" spans="1:25" x14ac:dyDescent="0.3">
      <c r="A284" s="8">
        <v>278</v>
      </c>
      <c r="B284" s="9" t="s">
        <v>4771</v>
      </c>
      <c r="C284" s="10" t="str">
        <f>VLOOKUP(B284,'Data Angt'!$A$5:$B$5809,2,FALSE)</f>
        <v>A2087</v>
      </c>
      <c r="D284" s="11" t="s">
        <v>9833</v>
      </c>
      <c r="E284" s="12" t="s">
        <v>10033</v>
      </c>
      <c r="F284" s="13">
        <v>44016</v>
      </c>
      <c r="G284" s="14">
        <v>44370</v>
      </c>
      <c r="H284" s="15">
        <v>15000000</v>
      </c>
      <c r="I284" s="16">
        <v>24</v>
      </c>
      <c r="J284" s="17">
        <v>24</v>
      </c>
      <c r="K284" s="9" t="s">
        <v>9827</v>
      </c>
      <c r="L284" s="10" t="s">
        <v>10034</v>
      </c>
      <c r="M284" s="9" t="s">
        <v>10035</v>
      </c>
      <c r="N284" s="10" t="s">
        <v>9834</v>
      </c>
      <c r="O284" s="15">
        <v>11250000</v>
      </c>
      <c r="P284" s="145">
        <v>1054685</v>
      </c>
      <c r="Q284" s="9"/>
      <c r="R284" s="146"/>
      <c r="T284" s="92" t="s">
        <v>5358</v>
      </c>
      <c r="U284">
        <v>1</v>
      </c>
      <c r="V284">
        <f>VLOOKUP(T284,'Data Angt'!$A$5:$F$5810,6,FALSE)</f>
        <v>46</v>
      </c>
      <c r="W284" s="5" t="str">
        <f t="shared" si="4"/>
        <v>PRODUKTIF</v>
      </c>
      <c r="X284" s="5" t="str">
        <f>VLOOKUP(T284,'Data Angt'!$A$5:$H$5810,8,FALSE)</f>
        <v>Mengurus Rumah Tangga</v>
      </c>
      <c r="Y284" s="5" t="str">
        <f>VLOOKUP(T284,'Data Angt'!$A$5:$C$5808,3,FALSE)</f>
        <v>PBL</v>
      </c>
    </row>
    <row r="285" spans="1:25" x14ac:dyDescent="0.3">
      <c r="A285" s="8">
        <v>279</v>
      </c>
      <c r="B285" s="9" t="s">
        <v>4774</v>
      </c>
      <c r="C285" s="10" t="str">
        <f>VLOOKUP(B285,'Data Angt'!$A$5:$B$5809,2,FALSE)</f>
        <v>A2088</v>
      </c>
      <c r="D285" s="11" t="s">
        <v>9833</v>
      </c>
      <c r="E285" s="12" t="s">
        <v>15742</v>
      </c>
      <c r="F285" s="13">
        <v>45463</v>
      </c>
      <c r="G285" s="14">
        <v>45920</v>
      </c>
      <c r="H285" s="15">
        <v>40000000</v>
      </c>
      <c r="I285" s="16">
        <v>48</v>
      </c>
      <c r="J285" s="17">
        <v>21</v>
      </c>
      <c r="K285" s="9" t="s">
        <v>9831</v>
      </c>
      <c r="L285" s="10" t="s">
        <v>15743</v>
      </c>
      <c r="M285" s="9" t="s">
        <v>15744</v>
      </c>
      <c r="N285" s="10" t="s">
        <v>9834</v>
      </c>
      <c r="O285" s="15">
        <v>30851300</v>
      </c>
      <c r="P285" s="145">
        <v>3536923</v>
      </c>
      <c r="Q285" s="9" t="s">
        <v>22220</v>
      </c>
      <c r="R285" s="146" t="s">
        <v>22444</v>
      </c>
      <c r="T285" s="92" t="s">
        <v>5364</v>
      </c>
      <c r="U285">
        <v>1</v>
      </c>
      <c r="V285">
        <f>VLOOKUP(T285,'Data Angt'!$A$5:$F$5810,6,FALSE)</f>
        <v>34</v>
      </c>
      <c r="W285" s="5" t="str">
        <f t="shared" si="4"/>
        <v>KONSUMTIF</v>
      </c>
      <c r="X285" s="5" t="str">
        <f>VLOOKUP(T285,'Data Angt'!$A$5:$H$5810,8,FALSE)</f>
        <v>Wiraswasta</v>
      </c>
      <c r="Y285" s="5" t="str">
        <f>VLOOKUP(T285,'Data Angt'!$A$5:$C$5808,3,FALSE)</f>
        <v>PBL</v>
      </c>
    </row>
    <row r="286" spans="1:25" x14ac:dyDescent="0.3">
      <c r="A286" s="8">
        <v>280</v>
      </c>
      <c r="B286" s="9" t="s">
        <v>4778</v>
      </c>
      <c r="C286" s="10" t="str">
        <f>VLOOKUP(B286,'Data Angt'!$A$5:$B$5809,2,FALSE)</f>
        <v>A2089</v>
      </c>
      <c r="D286" s="11" t="s">
        <v>9829</v>
      </c>
      <c r="E286" s="12" t="s">
        <v>15745</v>
      </c>
      <c r="F286" s="13">
        <v>45783</v>
      </c>
      <c r="G286" s="14">
        <v>45901</v>
      </c>
      <c r="H286" s="15">
        <v>3000000</v>
      </c>
      <c r="I286" s="16">
        <v>24</v>
      </c>
      <c r="J286" s="17">
        <v>24</v>
      </c>
      <c r="K286" s="9" t="s">
        <v>9827</v>
      </c>
      <c r="L286" s="10" t="s">
        <v>15746</v>
      </c>
      <c r="M286" s="9" t="s">
        <v>15747</v>
      </c>
      <c r="N286" s="10" t="s">
        <v>9830</v>
      </c>
      <c r="O286" s="15">
        <v>2500000</v>
      </c>
      <c r="P286" s="145">
        <v>84374</v>
      </c>
      <c r="Q286" s="9"/>
      <c r="R286" s="146"/>
      <c r="T286" s="92" t="s">
        <v>5372</v>
      </c>
      <c r="U286">
        <v>1</v>
      </c>
      <c r="V286">
        <f>VLOOKUP(T286,'Data Angt'!$A$5:$F$5810,6,FALSE)</f>
        <v>46</v>
      </c>
      <c r="W286" s="5" t="str">
        <f t="shared" si="4"/>
        <v>PENDIDIKAN</v>
      </c>
      <c r="X286" s="5" t="str">
        <f>VLOOKUP(T286,'Data Angt'!$A$5:$H$5810,8,FALSE)</f>
        <v>Petani/Pekebun/Nelayan</v>
      </c>
      <c r="Y286" s="5" t="str">
        <f>VLOOKUP(T286,'Data Angt'!$A$5:$C$5808,3,FALSE)</f>
        <v>PBL</v>
      </c>
    </row>
    <row r="287" spans="1:25" x14ac:dyDescent="0.3">
      <c r="A287" s="8">
        <v>281</v>
      </c>
      <c r="B287" s="9" t="s">
        <v>4821</v>
      </c>
      <c r="C287" s="10" t="str">
        <f>VLOOKUP(B287,'Data Angt'!$A$5:$B$5809,2,FALSE)</f>
        <v>A2109</v>
      </c>
      <c r="D287" s="11" t="s">
        <v>9829</v>
      </c>
      <c r="E287" s="12" t="s">
        <v>10036</v>
      </c>
      <c r="F287" s="13">
        <v>44343</v>
      </c>
      <c r="G287" s="14">
        <v>45502</v>
      </c>
      <c r="H287" s="15">
        <v>15000000</v>
      </c>
      <c r="I287" s="16">
        <v>48</v>
      </c>
      <c r="J287" s="17">
        <v>24</v>
      </c>
      <c r="K287" s="9" t="s">
        <v>9831</v>
      </c>
      <c r="L287" s="10" t="s">
        <v>10037</v>
      </c>
      <c r="M287" s="9" t="s">
        <v>9976</v>
      </c>
      <c r="N287" s="10" t="s">
        <v>9828</v>
      </c>
      <c r="O287" s="15">
        <v>14016200</v>
      </c>
      <c r="P287" s="145">
        <v>548136</v>
      </c>
      <c r="Q287" s="9"/>
      <c r="R287" s="146"/>
      <c r="T287" s="92" t="s">
        <v>5411</v>
      </c>
      <c r="U287">
        <v>1</v>
      </c>
      <c r="V287">
        <f>VLOOKUP(T287,'Data Angt'!$A$5:$F$5810,6,FALSE)</f>
        <v>39</v>
      </c>
      <c r="W287" s="5" t="str">
        <f t="shared" si="4"/>
        <v>PRODUKTIF</v>
      </c>
      <c r="X287" s="5" t="str">
        <f>VLOOKUP(T287,'Data Angt'!$A$5:$H$5810,8,FALSE)</f>
        <v>Wiraswasta</v>
      </c>
      <c r="Y287" s="5" t="str">
        <f>VLOOKUP(T287,'Data Angt'!$A$5:$C$5808,3,FALSE)</f>
        <v>PBL</v>
      </c>
    </row>
    <row r="288" spans="1:25" x14ac:dyDescent="0.3">
      <c r="A288" s="8">
        <v>282</v>
      </c>
      <c r="B288" s="9" t="s">
        <v>4824</v>
      </c>
      <c r="C288" s="10" t="str">
        <f>VLOOKUP(B288,'Data Angt'!$A$5:$B$5809,2,FALSE)</f>
        <v>A2111</v>
      </c>
      <c r="D288" s="11" t="s">
        <v>9829</v>
      </c>
      <c r="E288" s="12" t="s">
        <v>10038</v>
      </c>
      <c r="F288" s="13">
        <v>45262</v>
      </c>
      <c r="G288" s="14">
        <v>45902</v>
      </c>
      <c r="H288" s="15">
        <v>15000000</v>
      </c>
      <c r="I288" s="16">
        <v>24</v>
      </c>
      <c r="J288" s="17">
        <v>24</v>
      </c>
      <c r="K288" s="9" t="s">
        <v>9831</v>
      </c>
      <c r="L288" s="10" t="s">
        <v>10039</v>
      </c>
      <c r="M288" s="9" t="s">
        <v>10040</v>
      </c>
      <c r="N288" s="10" t="s">
        <v>9830</v>
      </c>
      <c r="O288" s="15">
        <v>2287300</v>
      </c>
      <c r="P288" s="145">
        <v>1478394</v>
      </c>
      <c r="Q288" s="9" t="s">
        <v>22189</v>
      </c>
      <c r="R288" s="146" t="s">
        <v>22445</v>
      </c>
      <c r="T288" s="92" t="s">
        <v>5422</v>
      </c>
      <c r="U288">
        <v>1</v>
      </c>
      <c r="V288">
        <f>VLOOKUP(T288,'Data Angt'!$A$5:$F$5810,6,FALSE)</f>
        <v>44</v>
      </c>
      <c r="W288" s="5" t="str">
        <f t="shared" si="4"/>
        <v>KESEJAHTERAAN</v>
      </c>
      <c r="X288" s="5" t="str">
        <f>VLOOKUP(T288,'Data Angt'!$A$5:$H$5810,8,FALSE)</f>
        <v>Aparatur/Pejabat Negara</v>
      </c>
      <c r="Y288" s="5" t="str">
        <f>VLOOKUP(T288,'Data Angt'!$A$5:$C$5808,3,FALSE)</f>
        <v>PBL</v>
      </c>
    </row>
    <row r="289" spans="1:25" x14ac:dyDescent="0.3">
      <c r="A289" s="8">
        <v>283</v>
      </c>
      <c r="B289" s="9" t="s">
        <v>4835</v>
      </c>
      <c r="C289" s="10" t="str">
        <f>VLOOKUP(B289,'Data Angt'!$A$5:$B$5809,2,FALSE)</f>
        <v>A2115</v>
      </c>
      <c r="D289" s="11" t="s">
        <v>9829</v>
      </c>
      <c r="E289" s="12" t="s">
        <v>10041</v>
      </c>
      <c r="F289" s="13">
        <v>45281</v>
      </c>
      <c r="G289" s="14">
        <v>45924</v>
      </c>
      <c r="H289" s="15">
        <v>20000000</v>
      </c>
      <c r="I289" s="16">
        <v>24</v>
      </c>
      <c r="J289" s="17">
        <v>24</v>
      </c>
      <c r="K289" s="9" t="s">
        <v>9831</v>
      </c>
      <c r="L289" s="10" t="s">
        <v>10042</v>
      </c>
      <c r="M289" s="9" t="s">
        <v>10043</v>
      </c>
      <c r="N289" s="10" t="s">
        <v>9830</v>
      </c>
      <c r="O289" s="15">
        <v>3048800</v>
      </c>
      <c r="P289" s="145">
        <v>1971107</v>
      </c>
      <c r="Q289" s="9" t="s">
        <v>22189</v>
      </c>
      <c r="R289" s="146" t="s">
        <v>22446</v>
      </c>
      <c r="T289" s="92" t="s">
        <v>5429</v>
      </c>
      <c r="U289">
        <v>1</v>
      </c>
      <c r="V289">
        <f>VLOOKUP(T289,'Data Angt'!$A$5:$F$5810,6,FALSE)</f>
        <v>42</v>
      </c>
      <c r="W289" s="5" t="str">
        <f t="shared" si="4"/>
        <v>KESEJAHTERAAN</v>
      </c>
      <c r="X289" s="5" t="str">
        <f>VLOOKUP(T289,'Data Angt'!$A$5:$H$5810,8,FALSE)</f>
        <v>Tenaga Pengajar</v>
      </c>
      <c r="Y289" s="5" t="str">
        <f>VLOOKUP(T289,'Data Angt'!$A$5:$C$5808,3,FALSE)</f>
        <v>PBL</v>
      </c>
    </row>
    <row r="290" spans="1:25" x14ac:dyDescent="0.3">
      <c r="A290" s="8">
        <v>284</v>
      </c>
      <c r="B290" s="9" t="s">
        <v>4842</v>
      </c>
      <c r="C290" s="10" t="str">
        <f>VLOOKUP(B290,'Data Angt'!$A$5:$B$5809,2,FALSE)</f>
        <v>A2119</v>
      </c>
      <c r="D290" s="11" t="s">
        <v>9842</v>
      </c>
      <c r="E290" s="12" t="s">
        <v>10044</v>
      </c>
      <c r="F290" s="13">
        <v>43857</v>
      </c>
      <c r="G290" s="14">
        <v>45925</v>
      </c>
      <c r="H290" s="15">
        <v>200000000</v>
      </c>
      <c r="I290" s="16">
        <v>144</v>
      </c>
      <c r="J290" s="17">
        <v>11.4</v>
      </c>
      <c r="K290" s="9" t="s">
        <v>9831</v>
      </c>
      <c r="L290" s="10" t="s">
        <v>10045</v>
      </c>
      <c r="M290" s="9" t="s">
        <v>9855</v>
      </c>
      <c r="N290" s="10" t="s">
        <v>9830</v>
      </c>
      <c r="O290" s="15">
        <v>137836700</v>
      </c>
      <c r="P290" s="145">
        <v>41833595</v>
      </c>
      <c r="Q290" s="9"/>
      <c r="R290" s="146"/>
      <c r="T290" s="92" t="s">
        <v>5442</v>
      </c>
      <c r="U290">
        <v>1</v>
      </c>
      <c r="V290">
        <f>VLOOKUP(T290,'Data Angt'!$A$5:$F$5810,6,FALSE)</f>
        <v>47</v>
      </c>
      <c r="W290" s="5" t="str">
        <f t="shared" si="4"/>
        <v>PRODUKTIF</v>
      </c>
      <c r="X290" s="5" t="str">
        <f>VLOOKUP(T290,'Data Angt'!$A$5:$H$5810,8,FALSE)</f>
        <v>Mengurus Rumah Tangga</v>
      </c>
      <c r="Y290" s="5" t="str">
        <f>VLOOKUP(T290,'Data Angt'!$A$5:$C$5808,3,FALSE)</f>
        <v>PBL</v>
      </c>
    </row>
    <row r="291" spans="1:25" x14ac:dyDescent="0.3">
      <c r="A291" s="8">
        <v>285</v>
      </c>
      <c r="B291" s="9" t="s">
        <v>4876</v>
      </c>
      <c r="C291" s="10" t="str">
        <f>VLOOKUP(B291,'Data Angt'!$A$5:$B$5809,2,FALSE)</f>
        <v>A2135</v>
      </c>
      <c r="D291" s="11" t="s">
        <v>9826</v>
      </c>
      <c r="E291" s="12" t="s">
        <v>22447</v>
      </c>
      <c r="F291" s="13">
        <v>45846</v>
      </c>
      <c r="G291" s="14">
        <v>45925</v>
      </c>
      <c r="H291" s="15">
        <v>5000000</v>
      </c>
      <c r="I291" s="16">
        <v>12</v>
      </c>
      <c r="J291" s="17">
        <v>18</v>
      </c>
      <c r="K291" s="9" t="s">
        <v>9831</v>
      </c>
      <c r="L291" s="10" t="s">
        <v>22448</v>
      </c>
      <c r="M291" s="9" t="s">
        <v>9854</v>
      </c>
      <c r="N291" s="10" t="s">
        <v>17</v>
      </c>
      <c r="O291" s="15">
        <v>4227500</v>
      </c>
      <c r="P291" s="145">
        <v>54112</v>
      </c>
      <c r="Q291" s="9"/>
      <c r="R291" s="146"/>
      <c r="T291" s="92" t="s">
        <v>5487</v>
      </c>
      <c r="U291">
        <v>2</v>
      </c>
      <c r="V291">
        <f>VLOOKUP(T291,'Data Angt'!$A$5:$F$5810,6,FALSE)</f>
        <v>36</v>
      </c>
      <c r="W291" s="5" t="str">
        <f t="shared" si="4"/>
        <v>KESEJAHTERAAN</v>
      </c>
      <c r="X291" s="5" t="str">
        <f>VLOOKUP(T291,'Data Angt'!$A$5:$H$5810,8,FALSE)</f>
        <v>Tenaga Pengajar</v>
      </c>
      <c r="Y291" s="5" t="str">
        <f>VLOOKUP(T291,'Data Angt'!$A$5:$C$5808,3,FALSE)</f>
        <v>PBL</v>
      </c>
    </row>
    <row r="292" spans="1:25" x14ac:dyDescent="0.3">
      <c r="A292" s="8">
        <v>286</v>
      </c>
      <c r="B292" s="9" t="s">
        <v>4876</v>
      </c>
      <c r="C292" s="10" t="str">
        <f>VLOOKUP(B292,'Data Angt'!$A$5:$B$5809,2,FALSE)</f>
        <v>A2135</v>
      </c>
      <c r="D292" s="11" t="s">
        <v>9829</v>
      </c>
      <c r="E292" s="12" t="s">
        <v>10046</v>
      </c>
      <c r="F292" s="13">
        <v>44624</v>
      </c>
      <c r="G292" s="14">
        <v>45926</v>
      </c>
      <c r="H292" s="15">
        <v>60000000</v>
      </c>
      <c r="I292" s="16">
        <v>60</v>
      </c>
      <c r="J292" s="17">
        <v>18</v>
      </c>
      <c r="K292" s="9" t="s">
        <v>9831</v>
      </c>
      <c r="L292" s="10" t="s">
        <v>10047</v>
      </c>
      <c r="M292" s="9" t="s">
        <v>10048</v>
      </c>
      <c r="N292" s="10" t="s">
        <v>9828</v>
      </c>
      <c r="O292" s="15">
        <v>23893100</v>
      </c>
      <c r="P292" s="145">
        <v>10458178</v>
      </c>
      <c r="Q292" s="9" t="s">
        <v>22197</v>
      </c>
      <c r="R292" s="146" t="s">
        <v>22449</v>
      </c>
      <c r="T292" s="92" t="s">
        <v>5505</v>
      </c>
      <c r="U292">
        <v>1</v>
      </c>
      <c r="V292">
        <f>VLOOKUP(T292,'Data Angt'!$A$5:$F$5810,6,FALSE)</f>
        <v>43</v>
      </c>
      <c r="W292" s="5" t="str">
        <f t="shared" si="4"/>
        <v>PRODUKTIF</v>
      </c>
      <c r="X292" s="5" t="str">
        <f>VLOOKUP(T292,'Data Angt'!$A$5:$H$5810,8,FALSE)</f>
        <v>Wiraswasta</v>
      </c>
      <c r="Y292" s="5" t="str">
        <f>VLOOKUP(T292,'Data Angt'!$A$5:$C$5808,3,FALSE)</f>
        <v>PBL</v>
      </c>
    </row>
    <row r="293" spans="1:25" x14ac:dyDescent="0.3">
      <c r="A293" s="8">
        <v>287</v>
      </c>
      <c r="B293" s="9" t="s">
        <v>4936</v>
      </c>
      <c r="C293" s="10" t="str">
        <f>VLOOKUP(B293,'Data Angt'!$A$5:$B$5809,2,FALSE)</f>
        <v>A2162</v>
      </c>
      <c r="D293" s="11" t="s">
        <v>9829</v>
      </c>
      <c r="E293" s="12" t="s">
        <v>10049</v>
      </c>
      <c r="F293" s="13">
        <v>45063</v>
      </c>
      <c r="G293" s="14">
        <v>45917</v>
      </c>
      <c r="H293" s="15">
        <v>150000000</v>
      </c>
      <c r="I293" s="16">
        <v>60</v>
      </c>
      <c r="J293" s="17">
        <v>21</v>
      </c>
      <c r="K293" s="9" t="s">
        <v>9831</v>
      </c>
      <c r="L293" s="10" t="s">
        <v>10050</v>
      </c>
      <c r="M293" s="9" t="s">
        <v>10051</v>
      </c>
      <c r="N293" s="10" t="s">
        <v>110</v>
      </c>
      <c r="O293" s="15">
        <v>98786000</v>
      </c>
      <c r="P293" s="145">
        <v>23404792</v>
      </c>
      <c r="Q293" s="9" t="s">
        <v>22197</v>
      </c>
      <c r="R293" s="146" t="s">
        <v>22450</v>
      </c>
      <c r="T293" s="92" t="s">
        <v>5528</v>
      </c>
      <c r="U293">
        <v>1</v>
      </c>
      <c r="V293">
        <f>VLOOKUP(T293,'Data Angt'!$A$5:$F$5810,6,FALSE)</f>
        <v>57</v>
      </c>
      <c r="W293" s="5" t="str">
        <f t="shared" si="4"/>
        <v>PRODUKTIF</v>
      </c>
      <c r="X293" s="5" t="str">
        <f>VLOOKUP(T293,'Data Angt'!$A$5:$H$5810,8,FALSE)</f>
        <v>Mengurus Rumah Tangga</v>
      </c>
      <c r="Y293" s="5" t="str">
        <f>VLOOKUP(T293,'Data Angt'!$A$5:$C$5808,3,FALSE)</f>
        <v>PBL</v>
      </c>
    </row>
    <row r="294" spans="1:25" x14ac:dyDescent="0.3">
      <c r="A294" s="8">
        <v>288</v>
      </c>
      <c r="B294" s="9" t="s">
        <v>4948</v>
      </c>
      <c r="C294" s="10" t="str">
        <f>VLOOKUP(B294,'Data Angt'!$A$5:$B$5809,2,FALSE)</f>
        <v>A2167</v>
      </c>
      <c r="D294" s="11" t="s">
        <v>9829</v>
      </c>
      <c r="E294" s="12" t="s">
        <v>15748</v>
      </c>
      <c r="F294" s="13">
        <v>45797</v>
      </c>
      <c r="G294" s="14">
        <v>45920</v>
      </c>
      <c r="H294" s="15">
        <v>30000000</v>
      </c>
      <c r="I294" s="16">
        <v>24</v>
      </c>
      <c r="J294" s="17">
        <v>21</v>
      </c>
      <c r="K294" s="9" t="s">
        <v>9831</v>
      </c>
      <c r="L294" s="10" t="s">
        <v>15749</v>
      </c>
      <c r="M294" s="9" t="s">
        <v>10352</v>
      </c>
      <c r="N294" s="10" t="s">
        <v>9828</v>
      </c>
      <c r="O294" s="15">
        <v>25825800</v>
      </c>
      <c r="P294" s="145">
        <v>747074</v>
      </c>
      <c r="Q294" s="9"/>
      <c r="R294" s="146"/>
      <c r="T294" s="92" t="s">
        <v>5568</v>
      </c>
      <c r="U294">
        <v>1</v>
      </c>
      <c r="V294">
        <f>VLOOKUP(T294,'Data Angt'!$A$5:$F$5810,6,FALSE)</f>
        <v>64</v>
      </c>
      <c r="W294" s="5" t="str">
        <f t="shared" si="4"/>
        <v>KESEJAHTERAAN</v>
      </c>
      <c r="X294" s="5" t="str">
        <f>VLOOKUP(T294,'Data Angt'!$A$5:$H$5810,8,FALSE)</f>
        <v>Aparatur/Pejabat Negara</v>
      </c>
      <c r="Y294" s="5" t="str">
        <f>VLOOKUP(T294,'Data Angt'!$A$5:$C$5808,3,FALSE)</f>
        <v>PBL</v>
      </c>
    </row>
    <row r="295" spans="1:25" x14ac:dyDescent="0.3">
      <c r="A295" s="8">
        <v>289</v>
      </c>
      <c r="B295" s="9" t="s">
        <v>4996</v>
      </c>
      <c r="C295" s="10" t="str">
        <f>VLOOKUP(B295,'Data Angt'!$A$5:$B$5809,2,FALSE)</f>
        <v>A2190</v>
      </c>
      <c r="D295" s="11" t="s">
        <v>9829</v>
      </c>
      <c r="E295" s="12" t="s">
        <v>10052</v>
      </c>
      <c r="F295" s="13">
        <v>42814</v>
      </c>
      <c r="G295" s="14">
        <v>45901</v>
      </c>
      <c r="H295" s="15">
        <v>140000000</v>
      </c>
      <c r="I295" s="16">
        <v>60</v>
      </c>
      <c r="J295" s="17">
        <v>21</v>
      </c>
      <c r="K295" s="9" t="s">
        <v>9827</v>
      </c>
      <c r="L295" s="10"/>
      <c r="M295" s="9"/>
      <c r="N295" s="10"/>
      <c r="O295" s="15">
        <v>24788200</v>
      </c>
      <c r="P295" s="145">
        <v>32762390</v>
      </c>
      <c r="Q295" s="9"/>
      <c r="R295" s="146"/>
      <c r="T295" s="92" t="s">
        <v>5581</v>
      </c>
      <c r="U295">
        <v>1</v>
      </c>
      <c r="V295">
        <f>VLOOKUP(T295,'Data Angt'!$A$5:$F$5810,6,FALSE)</f>
        <v>72</v>
      </c>
      <c r="W295" s="5" t="str">
        <f t="shared" si="4"/>
        <v>PRODUKTIF</v>
      </c>
      <c r="X295" s="5" t="str">
        <f>VLOOKUP(T295,'Data Angt'!$A$5:$H$5810,8,FALSE)</f>
        <v>Wiraswasta</v>
      </c>
      <c r="Y295" s="5" t="str">
        <f>VLOOKUP(T295,'Data Angt'!$A$5:$C$5808,3,FALSE)</f>
        <v>PBL</v>
      </c>
    </row>
    <row r="296" spans="1:25" x14ac:dyDescent="0.3">
      <c r="A296" s="8">
        <v>290</v>
      </c>
      <c r="B296" s="9" t="s">
        <v>5002</v>
      </c>
      <c r="C296" s="10" t="str">
        <f>VLOOKUP(B296,'Data Angt'!$A$5:$B$5809,2,FALSE)</f>
        <v>A2192</v>
      </c>
      <c r="D296" s="11" t="s">
        <v>9833</v>
      </c>
      <c r="E296" s="12" t="s">
        <v>15750</v>
      </c>
      <c r="F296" s="13">
        <v>45561</v>
      </c>
      <c r="G296" s="14">
        <v>45917</v>
      </c>
      <c r="H296" s="15">
        <v>10000000</v>
      </c>
      <c r="I296" s="16">
        <v>36</v>
      </c>
      <c r="J296" s="17">
        <v>24</v>
      </c>
      <c r="K296" s="9" t="s">
        <v>9831</v>
      </c>
      <c r="L296" s="10" t="s">
        <v>15751</v>
      </c>
      <c r="M296" s="9" t="s">
        <v>9868</v>
      </c>
      <c r="N296" s="10" t="s">
        <v>9834</v>
      </c>
      <c r="O296" s="15">
        <v>7420000</v>
      </c>
      <c r="P296" s="145">
        <v>798298</v>
      </c>
      <c r="Q296" s="9" t="s">
        <v>22220</v>
      </c>
      <c r="R296" s="146" t="s">
        <v>22451</v>
      </c>
      <c r="T296" s="92" t="s">
        <v>5591</v>
      </c>
      <c r="U296">
        <v>1</v>
      </c>
      <c r="V296">
        <f>VLOOKUP(T296,'Data Angt'!$A$5:$F$5810,6,FALSE)</f>
        <v>32</v>
      </c>
      <c r="W296" s="5" t="str">
        <f t="shared" si="4"/>
        <v>KONSUMTIF</v>
      </c>
      <c r="X296" s="5" t="str">
        <f>VLOOKUP(T296,'Data Angt'!$A$5:$H$5810,8,FALSE)</f>
        <v>Karyawan</v>
      </c>
      <c r="Y296" s="5" t="str">
        <f>VLOOKUP(T296,'Data Angt'!$A$5:$C$5808,3,FALSE)</f>
        <v>PBL</v>
      </c>
    </row>
    <row r="297" spans="1:25" x14ac:dyDescent="0.3">
      <c r="A297" s="8">
        <v>291</v>
      </c>
      <c r="B297" s="9" t="s">
        <v>5023</v>
      </c>
      <c r="C297" s="10" t="str">
        <f>VLOOKUP(B297,'Data Angt'!$A$5:$B$5809,2,FALSE)</f>
        <v>A2202</v>
      </c>
      <c r="D297" s="11" t="s">
        <v>9829</v>
      </c>
      <c r="E297" s="12" t="s">
        <v>15752</v>
      </c>
      <c r="F297" s="13">
        <v>45351</v>
      </c>
      <c r="G297" s="14">
        <v>45926</v>
      </c>
      <c r="H297" s="15">
        <v>18000000</v>
      </c>
      <c r="I297" s="16">
        <v>48</v>
      </c>
      <c r="J297" s="17">
        <v>24</v>
      </c>
      <c r="K297" s="9" t="s">
        <v>9831</v>
      </c>
      <c r="L297" s="10" t="s">
        <v>15753</v>
      </c>
      <c r="M297" s="9" t="s">
        <v>9832</v>
      </c>
      <c r="N297" s="10" t="s">
        <v>17</v>
      </c>
      <c r="O297" s="15">
        <v>12818500</v>
      </c>
      <c r="P297" s="145">
        <v>2238596</v>
      </c>
      <c r="Q297" s="9" t="s">
        <v>22431</v>
      </c>
      <c r="R297" s="146" t="s">
        <v>22452</v>
      </c>
      <c r="T297" s="92" t="s">
        <v>5597</v>
      </c>
      <c r="U297">
        <v>1</v>
      </c>
      <c r="V297">
        <f>VLOOKUP(T297,'Data Angt'!$A$5:$F$5810,6,FALSE)</f>
        <v>37</v>
      </c>
      <c r="W297" s="5" t="str">
        <f t="shared" si="4"/>
        <v>KESEJAHTERAAN</v>
      </c>
      <c r="X297" s="5" t="str">
        <f>VLOOKUP(T297,'Data Angt'!$A$5:$H$5810,8,FALSE)</f>
        <v>Lain-Lain</v>
      </c>
      <c r="Y297" s="5" t="str">
        <f>VLOOKUP(T297,'Data Angt'!$A$5:$C$5808,3,FALSE)</f>
        <v>PBL</v>
      </c>
    </row>
    <row r="298" spans="1:25" x14ac:dyDescent="0.3">
      <c r="A298" s="8">
        <v>292</v>
      </c>
      <c r="B298" s="9" t="s">
        <v>5042</v>
      </c>
      <c r="C298" s="10" t="str">
        <f>VLOOKUP(B298,'Data Angt'!$A$5:$B$5809,2,FALSE)</f>
        <v>A2211</v>
      </c>
      <c r="D298" s="11" t="s">
        <v>9833</v>
      </c>
      <c r="E298" s="12" t="s">
        <v>22453</v>
      </c>
      <c r="F298" s="13">
        <v>45901</v>
      </c>
      <c r="G298" s="14">
        <v>45901</v>
      </c>
      <c r="H298" s="15">
        <v>5000000</v>
      </c>
      <c r="I298" s="16">
        <v>12</v>
      </c>
      <c r="J298" s="17">
        <v>24</v>
      </c>
      <c r="K298" s="9" t="s">
        <v>9831</v>
      </c>
      <c r="L298" s="10" t="s">
        <v>22454</v>
      </c>
      <c r="M298" s="9" t="s">
        <v>9862</v>
      </c>
      <c r="N298" s="10" t="s">
        <v>9834</v>
      </c>
      <c r="O298" s="15">
        <v>5000000</v>
      </c>
      <c r="P298" s="147">
        <v>0</v>
      </c>
      <c r="Q298" s="9"/>
      <c r="R298" s="146"/>
      <c r="T298" s="92" t="s">
        <v>5599</v>
      </c>
      <c r="U298">
        <v>1</v>
      </c>
      <c r="V298">
        <f>VLOOKUP(T298,'Data Angt'!$A$5:$F$5810,6,FALSE)</f>
        <v>23</v>
      </c>
      <c r="W298" s="5" t="str">
        <f t="shared" si="4"/>
        <v>KESEJAHTERAAN</v>
      </c>
      <c r="X298" s="5">
        <f>VLOOKUP(T298,'Data Angt'!$A$5:$H$5810,8,FALSE)</f>
        <v>0</v>
      </c>
      <c r="Y298" s="5" t="str">
        <f>VLOOKUP(T298,'Data Angt'!$A$5:$C$5808,3,FALSE)</f>
        <v>PBL</v>
      </c>
    </row>
    <row r="299" spans="1:25" x14ac:dyDescent="0.3">
      <c r="A299" s="8">
        <v>293</v>
      </c>
      <c r="B299" s="9" t="s">
        <v>5066</v>
      </c>
      <c r="C299" s="10" t="str">
        <f>VLOOKUP(B299,'Data Angt'!$A$5:$B$5809,2,FALSE)</f>
        <v>A2223</v>
      </c>
      <c r="D299" s="11" t="s">
        <v>9829</v>
      </c>
      <c r="E299" s="12" t="s">
        <v>15754</v>
      </c>
      <c r="F299" s="13">
        <v>45710</v>
      </c>
      <c r="G299" s="14">
        <v>45920</v>
      </c>
      <c r="H299" s="15">
        <v>43500000</v>
      </c>
      <c r="I299" s="16">
        <v>48</v>
      </c>
      <c r="J299" s="17">
        <v>21</v>
      </c>
      <c r="K299" s="9" t="s">
        <v>9831</v>
      </c>
      <c r="L299" s="10" t="s">
        <v>15755</v>
      </c>
      <c r="M299" s="9" t="s">
        <v>10727</v>
      </c>
      <c r="N299" s="10" t="s">
        <v>9828</v>
      </c>
      <c r="O299" s="15">
        <v>39177600</v>
      </c>
      <c r="P299" s="145">
        <v>1915237</v>
      </c>
      <c r="Q299" s="9" t="s">
        <v>22455</v>
      </c>
      <c r="R299" s="146" t="s">
        <v>22456</v>
      </c>
      <c r="T299" s="92" t="s">
        <v>5610</v>
      </c>
      <c r="U299">
        <v>2</v>
      </c>
      <c r="V299">
        <f>VLOOKUP(T299,'Data Angt'!$A$5:$F$5810,6,FALSE)</f>
        <v>42</v>
      </c>
      <c r="W299" s="5" t="str">
        <f t="shared" si="4"/>
        <v>PRODUKTIF</v>
      </c>
      <c r="X299" s="5" t="str">
        <f>VLOOKUP(T299,'Data Angt'!$A$5:$H$5810,8,FALSE)</f>
        <v>Karyawan</v>
      </c>
      <c r="Y299" s="5" t="str">
        <f>VLOOKUP(T299,'Data Angt'!$A$5:$C$5808,3,FALSE)</f>
        <v>PBL</v>
      </c>
    </row>
    <row r="300" spans="1:25" x14ac:dyDescent="0.3">
      <c r="A300" s="8">
        <v>294</v>
      </c>
      <c r="B300" s="9" t="s">
        <v>5070</v>
      </c>
      <c r="C300" s="10" t="str">
        <f>VLOOKUP(B300,'Data Angt'!$A$5:$B$5809,2,FALSE)</f>
        <v>A2225</v>
      </c>
      <c r="D300" s="11" t="s">
        <v>9829</v>
      </c>
      <c r="E300" s="12" t="s">
        <v>10053</v>
      </c>
      <c r="F300" s="13">
        <v>45143</v>
      </c>
      <c r="G300" s="14">
        <v>45801</v>
      </c>
      <c r="H300" s="15">
        <v>49000000</v>
      </c>
      <c r="I300" s="16">
        <v>36</v>
      </c>
      <c r="J300" s="17">
        <v>21</v>
      </c>
      <c r="K300" s="9" t="s">
        <v>9831</v>
      </c>
      <c r="L300" s="10" t="s">
        <v>10054</v>
      </c>
      <c r="M300" s="9" t="s">
        <v>10055</v>
      </c>
      <c r="N300" s="10" t="s">
        <v>9828</v>
      </c>
      <c r="O300" s="15">
        <v>26944200</v>
      </c>
      <c r="P300" s="145">
        <v>4898508</v>
      </c>
      <c r="Q300" s="9" t="s">
        <v>22197</v>
      </c>
      <c r="R300" s="146" t="s">
        <v>22457</v>
      </c>
      <c r="T300" s="92" t="s">
        <v>5676</v>
      </c>
      <c r="U300">
        <v>1</v>
      </c>
      <c r="V300">
        <f>VLOOKUP(T300,'Data Angt'!$A$5:$F$5810,6,FALSE)</f>
        <v>71</v>
      </c>
      <c r="W300" s="5" t="str">
        <f t="shared" si="4"/>
        <v>PRODUKTIF</v>
      </c>
      <c r="X300" s="5" t="str">
        <f>VLOOKUP(T300,'Data Angt'!$A$5:$H$5810,8,FALSE)</f>
        <v>Wiraswasta</v>
      </c>
      <c r="Y300" s="5" t="str">
        <f>VLOOKUP(T300,'Data Angt'!$A$5:$C$5808,3,FALSE)</f>
        <v>PBL</v>
      </c>
    </row>
    <row r="301" spans="1:25" x14ac:dyDescent="0.3">
      <c r="A301" s="8">
        <v>295</v>
      </c>
      <c r="B301" s="9" t="s">
        <v>5076</v>
      </c>
      <c r="C301" s="10" t="str">
        <f>VLOOKUP(B301,'Data Angt'!$A$5:$B$5809,2,FALSE)</f>
        <v>A2228</v>
      </c>
      <c r="D301" s="11" t="s">
        <v>9826</v>
      </c>
      <c r="E301" s="12" t="s">
        <v>15758</v>
      </c>
      <c r="F301" s="13">
        <v>45756</v>
      </c>
      <c r="G301" s="14">
        <v>45903</v>
      </c>
      <c r="H301" s="15">
        <v>5000000</v>
      </c>
      <c r="I301" s="16">
        <v>12</v>
      </c>
      <c r="J301" s="17">
        <v>24</v>
      </c>
      <c r="K301" s="9" t="s">
        <v>9827</v>
      </c>
      <c r="L301" s="10" t="s">
        <v>15759</v>
      </c>
      <c r="M301" s="9" t="s">
        <v>9862</v>
      </c>
      <c r="N301" s="10" t="s">
        <v>9834</v>
      </c>
      <c r="O301" s="15">
        <v>2916500</v>
      </c>
      <c r="P301" s="145">
        <v>156299</v>
      </c>
      <c r="Q301" s="9"/>
      <c r="R301" s="146"/>
      <c r="T301" s="92" t="s">
        <v>5680</v>
      </c>
      <c r="U301">
        <v>1</v>
      </c>
      <c r="V301">
        <f>VLOOKUP(T301,'Data Angt'!$A$5:$F$5810,6,FALSE)</f>
        <v>50</v>
      </c>
      <c r="W301" s="5" t="str">
        <f t="shared" si="4"/>
        <v>KESEJAHTERAAN</v>
      </c>
      <c r="X301" s="5" t="str">
        <f>VLOOKUP(T301,'Data Angt'!$A$5:$H$5810,8,FALSE)</f>
        <v>Tenaga Pengajar</v>
      </c>
      <c r="Y301" s="5" t="str">
        <f>VLOOKUP(T301,'Data Angt'!$A$5:$C$5808,3,FALSE)</f>
        <v>PBL</v>
      </c>
    </row>
    <row r="302" spans="1:25" x14ac:dyDescent="0.3">
      <c r="A302" s="8">
        <v>296</v>
      </c>
      <c r="B302" s="9" t="s">
        <v>5076</v>
      </c>
      <c r="C302" s="10" t="str">
        <f>VLOOKUP(B302,'Data Angt'!$A$5:$B$5809,2,FALSE)</f>
        <v>A2228</v>
      </c>
      <c r="D302" s="11" t="s">
        <v>9833</v>
      </c>
      <c r="E302" s="12" t="s">
        <v>15756</v>
      </c>
      <c r="F302" s="13">
        <v>45664</v>
      </c>
      <c r="G302" s="14">
        <v>45903</v>
      </c>
      <c r="H302" s="15">
        <v>27000000</v>
      </c>
      <c r="I302" s="16">
        <v>36</v>
      </c>
      <c r="J302" s="17">
        <v>21</v>
      </c>
      <c r="K302" s="9" t="s">
        <v>9831</v>
      </c>
      <c r="L302" s="10" t="s">
        <v>15757</v>
      </c>
      <c r="M302" s="9" t="s">
        <v>10105</v>
      </c>
      <c r="N302" s="10" t="s">
        <v>9834</v>
      </c>
      <c r="O302" s="15">
        <v>22365400</v>
      </c>
      <c r="P302" s="145">
        <v>1313924</v>
      </c>
      <c r="Q302" s="9" t="s">
        <v>22189</v>
      </c>
      <c r="R302" s="146" t="s">
        <v>22458</v>
      </c>
      <c r="T302" s="92" t="s">
        <v>5694</v>
      </c>
      <c r="U302">
        <v>1</v>
      </c>
      <c r="V302">
        <f>VLOOKUP(T302,'Data Angt'!$A$5:$F$5810,6,FALSE)</f>
        <v>41</v>
      </c>
      <c r="W302" s="5" t="str">
        <f t="shared" si="4"/>
        <v>PRODUKTIF</v>
      </c>
      <c r="X302" s="5" t="str">
        <f>VLOOKUP(T302,'Data Angt'!$A$5:$H$5810,8,FALSE)</f>
        <v>Lain-Lain</v>
      </c>
      <c r="Y302" s="5" t="str">
        <f>VLOOKUP(T302,'Data Angt'!$A$5:$C$5808,3,FALSE)</f>
        <v>PBL</v>
      </c>
    </row>
    <row r="303" spans="1:25" x14ac:dyDescent="0.3">
      <c r="A303" s="8">
        <v>297</v>
      </c>
      <c r="B303" s="9" t="s">
        <v>5113</v>
      </c>
      <c r="C303" s="10" t="str">
        <f>VLOOKUP(B303,'Data Angt'!$A$5:$B$5809,2,FALSE)</f>
        <v>A2246</v>
      </c>
      <c r="D303" s="11" t="s">
        <v>9833</v>
      </c>
      <c r="E303" s="12" t="s">
        <v>22459</v>
      </c>
      <c r="F303" s="13">
        <v>45901</v>
      </c>
      <c r="G303" s="14">
        <v>45901</v>
      </c>
      <c r="H303" s="15">
        <v>2000000</v>
      </c>
      <c r="I303" s="16">
        <v>12</v>
      </c>
      <c r="J303" s="17">
        <v>24</v>
      </c>
      <c r="K303" s="9" t="s">
        <v>9831</v>
      </c>
      <c r="L303" s="10" t="s">
        <v>22460</v>
      </c>
      <c r="M303" s="9" t="s">
        <v>9962</v>
      </c>
      <c r="N303" s="10" t="s">
        <v>9834</v>
      </c>
      <c r="O303" s="15">
        <v>2000000</v>
      </c>
      <c r="P303" s="147">
        <v>0</v>
      </c>
      <c r="Q303" s="9"/>
      <c r="R303" s="146"/>
      <c r="T303" s="92" t="s">
        <v>5712</v>
      </c>
      <c r="U303">
        <v>1</v>
      </c>
      <c r="V303">
        <f>VLOOKUP(T303,'Data Angt'!$A$5:$F$5810,6,FALSE)</f>
        <v>42</v>
      </c>
      <c r="W303" s="5" t="str">
        <f t="shared" si="4"/>
        <v>PENDIDIKAN</v>
      </c>
      <c r="X303" s="5" t="str">
        <f>VLOOKUP(T303,'Data Angt'!$A$5:$H$5810,8,FALSE)</f>
        <v>Mengurus Rumah Tangga</v>
      </c>
      <c r="Y303" s="5" t="str">
        <f>VLOOKUP(T303,'Data Angt'!$A$5:$C$5808,3,FALSE)</f>
        <v>PBL</v>
      </c>
    </row>
    <row r="304" spans="1:25" x14ac:dyDescent="0.3">
      <c r="A304" s="8">
        <v>298</v>
      </c>
      <c r="B304" s="9" t="s">
        <v>5117</v>
      </c>
      <c r="C304" s="10" t="str">
        <f>VLOOKUP(B304,'Data Angt'!$A$5:$B$5809,2,FALSE)</f>
        <v>A2248</v>
      </c>
      <c r="D304" s="11" t="s">
        <v>9833</v>
      </c>
      <c r="E304" s="12" t="s">
        <v>15760</v>
      </c>
      <c r="F304" s="13">
        <v>45600</v>
      </c>
      <c r="G304" s="14">
        <v>45904</v>
      </c>
      <c r="H304" s="15">
        <v>2500000</v>
      </c>
      <c r="I304" s="16">
        <v>12</v>
      </c>
      <c r="J304" s="17">
        <v>11.9</v>
      </c>
      <c r="K304" s="9" t="s">
        <v>9831</v>
      </c>
      <c r="L304" s="10" t="s">
        <v>15761</v>
      </c>
      <c r="M304" s="9" t="s">
        <v>9977</v>
      </c>
      <c r="N304" s="10" t="s">
        <v>9834</v>
      </c>
      <c r="O304" s="15">
        <v>436900</v>
      </c>
      <c r="P304" s="145">
        <v>59209</v>
      </c>
      <c r="Q304" s="9"/>
      <c r="R304" s="146"/>
      <c r="T304" s="92" t="s">
        <v>5718</v>
      </c>
      <c r="U304">
        <v>1</v>
      </c>
      <c r="V304">
        <f>VLOOKUP(T304,'Data Angt'!$A$5:$F$5810,6,FALSE)</f>
        <v>55</v>
      </c>
      <c r="W304" s="5" t="str">
        <f t="shared" si="4"/>
        <v>PRODUKTIF</v>
      </c>
      <c r="X304" s="5" t="str">
        <f>VLOOKUP(T304,'Data Angt'!$A$5:$H$5810,8,FALSE)</f>
        <v>Lain-Lain</v>
      </c>
      <c r="Y304" s="5" t="str">
        <f>VLOOKUP(T304,'Data Angt'!$A$5:$C$5808,3,FALSE)</f>
        <v>PBL</v>
      </c>
    </row>
    <row r="305" spans="1:25" x14ac:dyDescent="0.3">
      <c r="A305" s="8">
        <v>299</v>
      </c>
      <c r="B305" s="9" t="s">
        <v>5117</v>
      </c>
      <c r="C305" s="10" t="str">
        <f>VLOOKUP(B305,'Data Angt'!$A$5:$B$5809,2,FALSE)</f>
        <v>A2248</v>
      </c>
      <c r="D305" s="11" t="s">
        <v>9829</v>
      </c>
      <c r="E305" s="12" t="s">
        <v>22461</v>
      </c>
      <c r="F305" s="13">
        <v>45861</v>
      </c>
      <c r="G305" s="14">
        <v>45923</v>
      </c>
      <c r="H305" s="15">
        <v>10000000</v>
      </c>
      <c r="I305" s="16">
        <v>24</v>
      </c>
      <c r="J305" s="17">
        <v>24</v>
      </c>
      <c r="K305" s="9" t="s">
        <v>9831</v>
      </c>
      <c r="L305" s="10" t="s">
        <v>22462</v>
      </c>
      <c r="M305" s="9" t="s">
        <v>22463</v>
      </c>
      <c r="N305" s="10" t="s">
        <v>9828</v>
      </c>
      <c r="O305" s="15">
        <v>9335900</v>
      </c>
      <c r="P305" s="145">
        <v>147562</v>
      </c>
      <c r="Q305" s="9" t="s">
        <v>22189</v>
      </c>
      <c r="R305" s="146" t="s">
        <v>22464</v>
      </c>
      <c r="T305" s="92" t="s">
        <v>5737</v>
      </c>
      <c r="U305">
        <v>1</v>
      </c>
      <c r="V305">
        <f>VLOOKUP(T305,'Data Angt'!$A$5:$F$5810,6,FALSE)</f>
        <v>55</v>
      </c>
      <c r="W305" s="5" t="str">
        <f t="shared" si="4"/>
        <v>KESEJAHTERAAN</v>
      </c>
      <c r="X305" s="5" t="str">
        <f>VLOOKUP(T305,'Data Angt'!$A$5:$H$5810,8,FALSE)</f>
        <v>Karyawan</v>
      </c>
      <c r="Y305" s="5" t="str">
        <f>VLOOKUP(T305,'Data Angt'!$A$5:$C$5808,3,FALSE)</f>
        <v>PBL</v>
      </c>
    </row>
    <row r="306" spans="1:25" x14ac:dyDescent="0.3">
      <c r="A306" s="8">
        <v>300</v>
      </c>
      <c r="B306" s="9" t="s">
        <v>5125</v>
      </c>
      <c r="C306" s="10" t="str">
        <f>VLOOKUP(B306,'Data Angt'!$A$5:$B$5809,2,FALSE)</f>
        <v>A2252</v>
      </c>
      <c r="D306" s="11" t="s">
        <v>9826</v>
      </c>
      <c r="E306" s="12" t="s">
        <v>15762</v>
      </c>
      <c r="F306" s="13">
        <v>45590</v>
      </c>
      <c r="G306" s="14">
        <v>45920</v>
      </c>
      <c r="H306" s="15">
        <v>1500000</v>
      </c>
      <c r="I306" s="16">
        <v>12</v>
      </c>
      <c r="J306" s="17">
        <v>24</v>
      </c>
      <c r="K306" s="9" t="s">
        <v>9831</v>
      </c>
      <c r="L306" s="10" t="s">
        <v>15763</v>
      </c>
      <c r="M306" s="9" t="s">
        <v>9962</v>
      </c>
      <c r="N306" s="10" t="s">
        <v>9834</v>
      </c>
      <c r="O306" s="15">
        <v>138600</v>
      </c>
      <c r="P306" s="145">
        <v>74811</v>
      </c>
      <c r="Q306" s="9"/>
      <c r="R306" s="146"/>
      <c r="T306" s="92" t="s">
        <v>5745</v>
      </c>
      <c r="U306">
        <v>1</v>
      </c>
      <c r="V306">
        <f>VLOOKUP(T306,'Data Angt'!$A$5:$F$5810,6,FALSE)</f>
        <v>54</v>
      </c>
      <c r="W306" s="5" t="str">
        <f t="shared" si="4"/>
        <v>PENDIDIKAN</v>
      </c>
      <c r="X306" s="5" t="str">
        <f>VLOOKUP(T306,'Data Angt'!$A$5:$H$5810,8,FALSE)</f>
        <v>Karyawan</v>
      </c>
      <c r="Y306" s="5" t="str">
        <f>VLOOKUP(T306,'Data Angt'!$A$5:$C$5808,3,FALSE)</f>
        <v>PBL</v>
      </c>
    </row>
    <row r="307" spans="1:25" x14ac:dyDescent="0.3">
      <c r="A307" s="8">
        <v>301</v>
      </c>
      <c r="B307" s="9" t="s">
        <v>5125</v>
      </c>
      <c r="C307" s="10" t="str">
        <f>VLOOKUP(B307,'Data Angt'!$A$5:$B$5809,2,FALSE)</f>
        <v>A2252</v>
      </c>
      <c r="D307" s="11" t="s">
        <v>9829</v>
      </c>
      <c r="E307" s="12" t="s">
        <v>22465</v>
      </c>
      <c r="F307" s="13">
        <v>45860</v>
      </c>
      <c r="G307" s="14">
        <v>45920</v>
      </c>
      <c r="H307" s="15">
        <v>150000000</v>
      </c>
      <c r="I307" s="16">
        <v>48</v>
      </c>
      <c r="J307" s="17">
        <v>21</v>
      </c>
      <c r="K307" s="9" t="s">
        <v>9831</v>
      </c>
      <c r="L307" s="10" t="s">
        <v>22466</v>
      </c>
      <c r="M307" s="9" t="s">
        <v>15866</v>
      </c>
      <c r="N307" s="10" t="s">
        <v>9828</v>
      </c>
      <c r="O307" s="15">
        <v>145924900</v>
      </c>
      <c r="P307" s="145">
        <v>1955512</v>
      </c>
      <c r="Q307" s="9" t="s">
        <v>22197</v>
      </c>
      <c r="R307" s="146" t="s">
        <v>22467</v>
      </c>
      <c r="T307" s="92" t="s">
        <v>5790</v>
      </c>
      <c r="U307">
        <v>1</v>
      </c>
      <c r="V307">
        <f>VLOOKUP(T307,'Data Angt'!$A$5:$F$5810,6,FALSE)</f>
        <v>59</v>
      </c>
      <c r="W307" s="5" t="str">
        <f t="shared" si="4"/>
        <v>KONSUMTIF</v>
      </c>
      <c r="X307" s="5" t="str">
        <f>VLOOKUP(T307,'Data Angt'!$A$5:$H$5810,8,FALSE)</f>
        <v>Tenaga Pengajar</v>
      </c>
      <c r="Y307" s="5" t="str">
        <f>VLOOKUP(T307,'Data Angt'!$A$5:$C$5808,3,FALSE)</f>
        <v>PBL</v>
      </c>
    </row>
    <row r="308" spans="1:25" x14ac:dyDescent="0.3">
      <c r="A308" s="8">
        <v>302</v>
      </c>
      <c r="B308" s="9" t="s">
        <v>5174</v>
      </c>
      <c r="C308" s="10" t="str">
        <f>VLOOKUP(B308,'Data Angt'!$A$5:$B$5809,2,FALSE)</f>
        <v>A2276</v>
      </c>
      <c r="D308" s="11" t="s">
        <v>9829</v>
      </c>
      <c r="E308" s="12" t="s">
        <v>22468</v>
      </c>
      <c r="F308" s="13">
        <v>45887</v>
      </c>
      <c r="G308" s="14">
        <v>45908</v>
      </c>
      <c r="H308" s="15">
        <v>7000000</v>
      </c>
      <c r="I308" s="16">
        <v>12</v>
      </c>
      <c r="J308" s="17">
        <v>24</v>
      </c>
      <c r="K308" s="9" t="s">
        <v>9831</v>
      </c>
      <c r="L308" s="10" t="s">
        <v>22469</v>
      </c>
      <c r="M308" s="9" t="s">
        <v>9832</v>
      </c>
      <c r="N308" s="10" t="s">
        <v>17</v>
      </c>
      <c r="O308" s="15">
        <v>6478000</v>
      </c>
      <c r="P308" s="145">
        <v>52500</v>
      </c>
      <c r="Q308" s="9" t="s">
        <v>22189</v>
      </c>
      <c r="R308" s="146" t="s">
        <v>22470</v>
      </c>
      <c r="T308" s="92" t="s">
        <v>5802</v>
      </c>
      <c r="U308">
        <v>1</v>
      </c>
      <c r="V308">
        <f>VLOOKUP(T308,'Data Angt'!$A$5:$F$5810,6,FALSE)</f>
        <v>36</v>
      </c>
      <c r="W308" s="5" t="str">
        <f t="shared" si="4"/>
        <v>PENDIDIKAN</v>
      </c>
      <c r="X308" s="5" t="str">
        <f>VLOOKUP(T308,'Data Angt'!$A$5:$H$5810,8,FALSE)</f>
        <v>Wiraswasta</v>
      </c>
      <c r="Y308" s="5" t="str">
        <f>VLOOKUP(T308,'Data Angt'!$A$5:$C$5808,3,FALSE)</f>
        <v>PBL</v>
      </c>
    </row>
    <row r="309" spans="1:25" x14ac:dyDescent="0.3">
      <c r="A309" s="8">
        <v>303</v>
      </c>
      <c r="B309" s="9" t="s">
        <v>5184</v>
      </c>
      <c r="C309" s="10" t="str">
        <f>VLOOKUP(B309,'Data Angt'!$A$5:$B$5809,2,FALSE)</f>
        <v>A2280</v>
      </c>
      <c r="D309" s="11" t="s">
        <v>9833</v>
      </c>
      <c r="E309" s="12" t="s">
        <v>15766</v>
      </c>
      <c r="F309" s="13">
        <v>45825</v>
      </c>
      <c r="G309" s="14">
        <v>45917</v>
      </c>
      <c r="H309" s="15">
        <v>13000000</v>
      </c>
      <c r="I309" s="16">
        <v>12</v>
      </c>
      <c r="J309" s="17">
        <v>24</v>
      </c>
      <c r="K309" s="9" t="s">
        <v>9831</v>
      </c>
      <c r="L309" s="10" t="s">
        <v>15767</v>
      </c>
      <c r="M309" s="9" t="s">
        <v>9862</v>
      </c>
      <c r="N309" s="10" t="s">
        <v>9834</v>
      </c>
      <c r="O309" s="15">
        <v>10033700</v>
      </c>
      <c r="P309" s="145">
        <v>270599</v>
      </c>
      <c r="Q309" s="9" t="s">
        <v>22471</v>
      </c>
      <c r="R309" s="146" t="s">
        <v>22472</v>
      </c>
      <c r="T309" s="92" t="s">
        <v>5805</v>
      </c>
      <c r="U309">
        <v>1</v>
      </c>
      <c r="V309">
        <f>VLOOKUP(T309,'Data Angt'!$A$5:$F$5810,6,FALSE)</f>
        <v>30</v>
      </c>
      <c r="W309" s="5" t="str">
        <f t="shared" si="4"/>
        <v>PRODUKTIF</v>
      </c>
      <c r="X309" s="5" t="str">
        <f>VLOOKUP(T309,'Data Angt'!$A$5:$H$5810,8,FALSE)</f>
        <v>Karyawan</v>
      </c>
      <c r="Y309" s="5" t="str">
        <f>VLOOKUP(T309,'Data Angt'!$A$5:$C$5808,3,FALSE)</f>
        <v>PBL</v>
      </c>
    </row>
    <row r="310" spans="1:25" x14ac:dyDescent="0.3">
      <c r="A310" s="8">
        <v>304</v>
      </c>
      <c r="B310" s="9" t="s">
        <v>5184</v>
      </c>
      <c r="C310" s="10" t="str">
        <f>VLOOKUP(B310,'Data Angt'!$A$5:$B$5809,2,FALSE)</f>
        <v>A2280</v>
      </c>
      <c r="D310" s="11" t="s">
        <v>9826</v>
      </c>
      <c r="E310" s="12" t="s">
        <v>15764</v>
      </c>
      <c r="F310" s="13">
        <v>45782</v>
      </c>
      <c r="G310" s="14">
        <v>45908</v>
      </c>
      <c r="H310" s="15">
        <v>5000000</v>
      </c>
      <c r="I310" s="16">
        <v>12</v>
      </c>
      <c r="J310" s="17">
        <v>24</v>
      </c>
      <c r="K310" s="9" t="s">
        <v>9831</v>
      </c>
      <c r="L310" s="10" t="s">
        <v>15765</v>
      </c>
      <c r="M310" s="9" t="s">
        <v>9862</v>
      </c>
      <c r="N310" s="10" t="s">
        <v>9834</v>
      </c>
      <c r="O310" s="15">
        <v>3463600</v>
      </c>
      <c r="P310" s="145">
        <v>133050</v>
      </c>
      <c r="Q310" s="9"/>
      <c r="R310" s="146"/>
      <c r="T310" s="92" t="s">
        <v>5813</v>
      </c>
      <c r="U310">
        <v>1</v>
      </c>
      <c r="V310">
        <f>VLOOKUP(T310,'Data Angt'!$A$5:$F$5810,6,FALSE)</f>
        <v>58</v>
      </c>
      <c r="W310" s="5">
        <f t="shared" si="4"/>
        <v>0</v>
      </c>
      <c r="X310" s="5" t="str">
        <f>VLOOKUP(T310,'Data Angt'!$A$5:$H$5810,8,FALSE)</f>
        <v>Wiraswasta</v>
      </c>
      <c r="Y310" s="5" t="str">
        <f>VLOOKUP(T310,'Data Angt'!$A$5:$C$5808,3,FALSE)</f>
        <v>PBL</v>
      </c>
    </row>
    <row r="311" spans="1:25" x14ac:dyDescent="0.3">
      <c r="A311" s="8">
        <v>305</v>
      </c>
      <c r="B311" s="9" t="s">
        <v>5202</v>
      </c>
      <c r="C311" s="10" t="str">
        <f>VLOOKUP(B311,'Data Angt'!$A$5:$B$5809,2,FALSE)</f>
        <v>A2290</v>
      </c>
      <c r="D311" s="11" t="s">
        <v>9843</v>
      </c>
      <c r="E311" s="12" t="s">
        <v>10056</v>
      </c>
      <c r="F311" s="13">
        <v>43047</v>
      </c>
      <c r="G311" s="14">
        <v>45896</v>
      </c>
      <c r="H311" s="15">
        <v>250000000</v>
      </c>
      <c r="I311" s="16">
        <v>60</v>
      </c>
      <c r="J311" s="17">
        <v>11.4</v>
      </c>
      <c r="K311" s="9" t="s">
        <v>9831</v>
      </c>
      <c r="L311" s="10" t="s">
        <v>10056</v>
      </c>
      <c r="M311" s="9"/>
      <c r="N311" s="10"/>
      <c r="O311" s="15">
        <v>119634600</v>
      </c>
      <c r="P311" s="145">
        <v>44802113</v>
      </c>
      <c r="Q311" s="9"/>
      <c r="R311" s="146"/>
      <c r="T311" s="92" t="s">
        <v>5827</v>
      </c>
      <c r="U311">
        <v>1</v>
      </c>
      <c r="V311">
        <f>VLOOKUP(T311,'Data Angt'!$A$5:$F$5810,6,FALSE)</f>
        <v>61</v>
      </c>
      <c r="W311" s="5" t="str">
        <f t="shared" si="4"/>
        <v>KONSUMTIF</v>
      </c>
      <c r="X311" s="5" t="str">
        <f>VLOOKUP(T311,'Data Angt'!$A$5:$H$5810,8,FALSE)</f>
        <v>Wiraswasta</v>
      </c>
      <c r="Y311" s="5" t="str">
        <f>VLOOKUP(T311,'Data Angt'!$A$5:$C$5808,3,FALSE)</f>
        <v>PBL</v>
      </c>
    </row>
    <row r="312" spans="1:25" x14ac:dyDescent="0.3">
      <c r="A312" s="8">
        <v>306</v>
      </c>
      <c r="B312" s="9" t="s">
        <v>5227</v>
      </c>
      <c r="C312" s="10" t="str">
        <f>VLOOKUP(B312,'Data Angt'!$A$5:$B$5809,2,FALSE)</f>
        <v>A2299</v>
      </c>
      <c r="D312" s="11" t="s">
        <v>9833</v>
      </c>
      <c r="E312" s="12" t="s">
        <v>15768</v>
      </c>
      <c r="F312" s="13">
        <v>45580</v>
      </c>
      <c r="G312" s="14">
        <v>45915</v>
      </c>
      <c r="H312" s="15">
        <v>15000000</v>
      </c>
      <c r="I312" s="16">
        <v>12</v>
      </c>
      <c r="J312" s="17">
        <v>24</v>
      </c>
      <c r="K312" s="9" t="s">
        <v>9831</v>
      </c>
      <c r="L312" s="10" t="s">
        <v>15769</v>
      </c>
      <c r="M312" s="9" t="s">
        <v>9862</v>
      </c>
      <c r="N312" s="10" t="s">
        <v>9834</v>
      </c>
      <c r="O312" s="15">
        <v>1391300</v>
      </c>
      <c r="P312" s="145">
        <v>747634</v>
      </c>
      <c r="Q312" s="9"/>
      <c r="R312" s="146"/>
      <c r="T312" s="92" t="s">
        <v>5859</v>
      </c>
      <c r="U312">
        <v>1</v>
      </c>
      <c r="V312">
        <f>VLOOKUP(T312,'Data Angt'!$A$5:$F$5810,6,FALSE)</f>
        <v>45</v>
      </c>
      <c r="W312" s="5" t="str">
        <f t="shared" si="4"/>
        <v>PRODUKTIF</v>
      </c>
      <c r="X312" s="5" t="str">
        <f>VLOOKUP(T312,'Data Angt'!$A$5:$H$5810,8,FALSE)</f>
        <v>Wiraswasta</v>
      </c>
      <c r="Y312" s="5" t="str">
        <f>VLOOKUP(T312,'Data Angt'!$A$5:$C$5808,3,FALSE)</f>
        <v>PBL</v>
      </c>
    </row>
    <row r="313" spans="1:25" x14ac:dyDescent="0.3">
      <c r="A313" s="8">
        <v>307</v>
      </c>
      <c r="B313" s="9" t="s">
        <v>5248</v>
      </c>
      <c r="C313" s="10" t="str">
        <f>VLOOKUP(B313,'Data Angt'!$A$5:$B$5809,2,FALSE)</f>
        <v>A2309</v>
      </c>
      <c r="D313" s="11" t="s">
        <v>9829</v>
      </c>
      <c r="E313" s="12" t="s">
        <v>10057</v>
      </c>
      <c r="F313" s="13">
        <v>44880</v>
      </c>
      <c r="G313" s="14">
        <v>45913</v>
      </c>
      <c r="H313" s="15">
        <v>25000000</v>
      </c>
      <c r="I313" s="16">
        <v>48</v>
      </c>
      <c r="J313" s="17">
        <v>21</v>
      </c>
      <c r="K313" s="9" t="s">
        <v>9831</v>
      </c>
      <c r="L313" s="10" t="s">
        <v>10058</v>
      </c>
      <c r="M313" s="9" t="s">
        <v>9838</v>
      </c>
      <c r="N313" s="10" t="s">
        <v>9830</v>
      </c>
      <c r="O313" s="15">
        <v>9538900</v>
      </c>
      <c r="P313" s="145">
        <v>4073130</v>
      </c>
      <c r="Q313" s="9" t="s">
        <v>22197</v>
      </c>
      <c r="R313" s="146" t="s">
        <v>22473</v>
      </c>
      <c r="T313" s="92" t="s">
        <v>5866</v>
      </c>
      <c r="U313">
        <v>2</v>
      </c>
      <c r="V313">
        <f>VLOOKUP(T313,'Data Angt'!$A$5:$F$5810,6,FALSE)</f>
        <v>60</v>
      </c>
      <c r="W313" s="5" t="str">
        <f t="shared" si="4"/>
        <v>KESEJAHTERAAN</v>
      </c>
      <c r="X313" s="5" t="str">
        <f>VLOOKUP(T313,'Data Angt'!$A$5:$H$5810,8,FALSE)</f>
        <v>Karyawan</v>
      </c>
      <c r="Y313" s="5" t="str">
        <f>VLOOKUP(T313,'Data Angt'!$A$5:$C$5808,3,FALSE)</f>
        <v>PBL</v>
      </c>
    </row>
    <row r="314" spans="1:25" x14ac:dyDescent="0.3">
      <c r="A314" s="8">
        <v>308</v>
      </c>
      <c r="B314" s="9" t="s">
        <v>5260</v>
      </c>
      <c r="C314" s="10" t="str">
        <f>VLOOKUP(B314,'Data Angt'!$A$5:$B$5809,2,FALSE)</f>
        <v>A2315</v>
      </c>
      <c r="D314" s="11" t="s">
        <v>9826</v>
      </c>
      <c r="E314" s="12" t="s">
        <v>22474</v>
      </c>
      <c r="F314" s="13">
        <v>45856</v>
      </c>
      <c r="G314" s="14">
        <v>45913</v>
      </c>
      <c r="H314" s="15">
        <v>5000000</v>
      </c>
      <c r="I314" s="16">
        <v>12</v>
      </c>
      <c r="J314" s="17">
        <v>11.88</v>
      </c>
      <c r="K314" s="9" t="s">
        <v>9831</v>
      </c>
      <c r="L314" s="10" t="s">
        <v>22475</v>
      </c>
      <c r="M314" s="9" t="s">
        <v>9862</v>
      </c>
      <c r="N314" s="10" t="s">
        <v>9834</v>
      </c>
      <c r="O314" s="15">
        <v>4207100</v>
      </c>
      <c r="P314" s="145">
        <v>35662</v>
      </c>
      <c r="Q314" s="9"/>
      <c r="R314" s="146"/>
      <c r="T314" s="92" t="s">
        <v>5943</v>
      </c>
      <c r="U314">
        <v>1</v>
      </c>
      <c r="V314">
        <f>VLOOKUP(T314,'Data Angt'!$A$5:$F$5810,6,FALSE)</f>
        <v>39</v>
      </c>
      <c r="W314" s="5" t="str">
        <f t="shared" si="4"/>
        <v>PRODUKTIF</v>
      </c>
      <c r="X314" s="5" t="str">
        <f>VLOOKUP(T314,'Data Angt'!$A$5:$H$5810,8,FALSE)</f>
        <v>Wiraswasta</v>
      </c>
      <c r="Y314" s="5" t="str">
        <f>VLOOKUP(T314,'Data Angt'!$A$5:$C$5808,3,FALSE)</f>
        <v>PBL</v>
      </c>
    </row>
    <row r="315" spans="1:25" x14ac:dyDescent="0.3">
      <c r="A315" s="8">
        <v>309</v>
      </c>
      <c r="B315" s="9" t="s">
        <v>5265</v>
      </c>
      <c r="C315" s="10" t="str">
        <f>VLOOKUP(B315,'Data Angt'!$A$5:$B$5809,2,FALSE)</f>
        <v>A2318</v>
      </c>
      <c r="D315" s="11" t="s">
        <v>9829</v>
      </c>
      <c r="E315" s="12" t="s">
        <v>15770</v>
      </c>
      <c r="F315" s="13">
        <v>45665</v>
      </c>
      <c r="G315" s="14">
        <v>45908</v>
      </c>
      <c r="H315" s="15">
        <v>4000000</v>
      </c>
      <c r="I315" s="16">
        <v>15</v>
      </c>
      <c r="J315" s="17">
        <v>24</v>
      </c>
      <c r="K315" s="9" t="s">
        <v>9831</v>
      </c>
      <c r="L315" s="10" t="s">
        <v>15771</v>
      </c>
      <c r="M315" s="9" t="s">
        <v>9964</v>
      </c>
      <c r="N315" s="10" t="s">
        <v>17</v>
      </c>
      <c r="O315" s="15">
        <v>2014400</v>
      </c>
      <c r="P315" s="145">
        <v>189598</v>
      </c>
      <c r="Q315" s="9" t="s">
        <v>22189</v>
      </c>
      <c r="R315" s="146" t="s">
        <v>22476</v>
      </c>
      <c r="T315" s="92" t="s">
        <v>5962</v>
      </c>
      <c r="U315">
        <v>1</v>
      </c>
      <c r="V315">
        <f>VLOOKUP(T315,'Data Angt'!$A$5:$F$5810,6,FALSE)</f>
        <v>39</v>
      </c>
      <c r="W315" s="5" t="str">
        <f t="shared" si="4"/>
        <v>KESEJAHTERAAN</v>
      </c>
      <c r="X315" s="5" t="str">
        <f>VLOOKUP(T315,'Data Angt'!$A$5:$H$5810,8,FALSE)</f>
        <v>Karyawan</v>
      </c>
      <c r="Y315" s="5" t="str">
        <f>VLOOKUP(T315,'Data Angt'!$A$5:$C$5808,3,FALSE)</f>
        <v>PBL</v>
      </c>
    </row>
    <row r="316" spans="1:25" x14ac:dyDescent="0.3">
      <c r="A316" s="8">
        <v>310</v>
      </c>
      <c r="B316" s="9" t="s">
        <v>5267</v>
      </c>
      <c r="C316" s="10" t="str">
        <f>VLOOKUP(B316,'Data Angt'!$A$5:$B$5809,2,FALSE)</f>
        <v>A2319</v>
      </c>
      <c r="D316" s="11" t="s">
        <v>9829</v>
      </c>
      <c r="E316" s="12" t="s">
        <v>15772</v>
      </c>
      <c r="F316" s="13">
        <v>45614</v>
      </c>
      <c r="G316" s="14">
        <v>45926</v>
      </c>
      <c r="H316" s="15">
        <v>10000000</v>
      </c>
      <c r="I316" s="16">
        <v>18</v>
      </c>
      <c r="J316" s="17">
        <v>24</v>
      </c>
      <c r="K316" s="9" t="s">
        <v>9831</v>
      </c>
      <c r="L316" s="10" t="s">
        <v>15773</v>
      </c>
      <c r="M316" s="9" t="s">
        <v>10091</v>
      </c>
      <c r="N316" s="10" t="s">
        <v>9830</v>
      </c>
      <c r="O316" s="15">
        <v>5444000</v>
      </c>
      <c r="P316" s="145">
        <v>583797</v>
      </c>
      <c r="Q316" s="9" t="s">
        <v>22189</v>
      </c>
      <c r="R316" s="146" t="s">
        <v>22477</v>
      </c>
      <c r="T316" s="92" t="s">
        <v>5989</v>
      </c>
      <c r="U316">
        <v>1</v>
      </c>
      <c r="V316">
        <f>VLOOKUP(T316,'Data Angt'!$A$5:$F$5810,6,FALSE)</f>
        <v>62</v>
      </c>
      <c r="W316" s="5" t="str">
        <f t="shared" si="4"/>
        <v>PRODUKTIF</v>
      </c>
      <c r="X316" s="5" t="str">
        <f>VLOOKUP(T316,'Data Angt'!$A$5:$H$5810,8,FALSE)</f>
        <v>Mengurus Rumah Tangga</v>
      </c>
      <c r="Y316" s="5" t="str">
        <f>VLOOKUP(T316,'Data Angt'!$A$5:$C$5808,3,FALSE)</f>
        <v>PBL</v>
      </c>
    </row>
    <row r="317" spans="1:25" x14ac:dyDescent="0.3">
      <c r="A317" s="8">
        <v>311</v>
      </c>
      <c r="B317" s="9" t="s">
        <v>5317</v>
      </c>
      <c r="C317" s="10" t="str">
        <f>VLOOKUP(B317,'Data Angt'!$A$5:$B$5809,2,FALSE)</f>
        <v>A2341</v>
      </c>
      <c r="D317" s="11" t="s">
        <v>9829</v>
      </c>
      <c r="E317" s="12" t="s">
        <v>22478</v>
      </c>
      <c r="F317" s="13">
        <v>45899</v>
      </c>
      <c r="G317" s="14">
        <v>45930</v>
      </c>
      <c r="H317" s="15">
        <v>6500000</v>
      </c>
      <c r="I317" s="16">
        <v>24</v>
      </c>
      <c r="J317" s="17">
        <v>24</v>
      </c>
      <c r="K317" s="9" t="s">
        <v>9831</v>
      </c>
      <c r="L317" s="10" t="s">
        <v>22479</v>
      </c>
      <c r="M317" s="9" t="s">
        <v>22480</v>
      </c>
      <c r="N317" s="10" t="s">
        <v>9828</v>
      </c>
      <c r="O317" s="15">
        <v>6286300</v>
      </c>
      <c r="P317" s="145">
        <v>48750</v>
      </c>
      <c r="Q317" s="9" t="s">
        <v>22189</v>
      </c>
      <c r="R317" s="146" t="s">
        <v>22481</v>
      </c>
      <c r="T317" s="92" t="s">
        <v>5991</v>
      </c>
      <c r="U317">
        <v>1</v>
      </c>
      <c r="V317">
        <f>VLOOKUP(T317,'Data Angt'!$A$5:$F$5810,6,FALSE)</f>
        <v>33</v>
      </c>
      <c r="W317" s="5" t="str">
        <f t="shared" si="4"/>
        <v>KONSUMTIF</v>
      </c>
      <c r="X317" s="5" t="str">
        <f>VLOOKUP(T317,'Data Angt'!$A$5:$H$5810,8,FALSE)</f>
        <v>Tenaga Pengajar</v>
      </c>
      <c r="Y317" s="5" t="str">
        <f>VLOOKUP(T317,'Data Angt'!$A$5:$C$5808,3,FALSE)</f>
        <v>PBL</v>
      </c>
    </row>
    <row r="318" spans="1:25" x14ac:dyDescent="0.3">
      <c r="A318" s="8">
        <v>312</v>
      </c>
      <c r="B318" s="9" t="s">
        <v>5319</v>
      </c>
      <c r="C318" s="10" t="str">
        <f>VLOOKUP(B318,'Data Angt'!$A$5:$B$5809,2,FALSE)</f>
        <v>A2342</v>
      </c>
      <c r="D318" s="11" t="s">
        <v>9829</v>
      </c>
      <c r="E318" s="12" t="s">
        <v>22482</v>
      </c>
      <c r="F318" s="13">
        <v>45840</v>
      </c>
      <c r="G318" s="14">
        <v>45902</v>
      </c>
      <c r="H318" s="15">
        <v>15000000</v>
      </c>
      <c r="I318" s="16">
        <v>36</v>
      </c>
      <c r="J318" s="17">
        <v>24</v>
      </c>
      <c r="K318" s="9" t="s">
        <v>9831</v>
      </c>
      <c r="L318" s="10" t="s">
        <v>22483</v>
      </c>
      <c r="M318" s="9" t="s">
        <v>22484</v>
      </c>
      <c r="N318" s="10" t="s">
        <v>17</v>
      </c>
      <c r="O318" s="15">
        <v>14417300</v>
      </c>
      <c r="P318" s="145">
        <v>222862</v>
      </c>
      <c r="Q318" s="9" t="s">
        <v>22189</v>
      </c>
      <c r="R318" s="146" t="s">
        <v>22485</v>
      </c>
      <c r="T318" s="92" t="s">
        <v>5993</v>
      </c>
      <c r="U318">
        <v>1</v>
      </c>
      <c r="V318">
        <f>VLOOKUP(T318,'Data Angt'!$A$5:$F$5810,6,FALSE)</f>
        <v>69</v>
      </c>
      <c r="W318" s="5">
        <f t="shared" si="4"/>
        <v>0</v>
      </c>
      <c r="X318" s="5" t="str">
        <f>VLOOKUP(T318,'Data Angt'!$A$5:$H$5810,8,FALSE)</f>
        <v>Wiraswasta</v>
      </c>
      <c r="Y318" s="5" t="str">
        <f>VLOOKUP(T318,'Data Angt'!$A$5:$C$5808,3,FALSE)</f>
        <v>PBL</v>
      </c>
    </row>
    <row r="319" spans="1:25" x14ac:dyDescent="0.3">
      <c r="A319" s="8">
        <v>313</v>
      </c>
      <c r="B319" s="9" t="s">
        <v>5358</v>
      </c>
      <c r="C319" s="10" t="str">
        <f>VLOOKUP(B319,'Data Angt'!$A$5:$B$5809,2,FALSE)</f>
        <v>A2362</v>
      </c>
      <c r="D319" s="11" t="s">
        <v>9826</v>
      </c>
      <c r="E319" s="12" t="s">
        <v>15775</v>
      </c>
      <c r="F319" s="13">
        <v>45708</v>
      </c>
      <c r="G319" s="14">
        <v>45920</v>
      </c>
      <c r="H319" s="15">
        <v>5000000</v>
      </c>
      <c r="I319" s="16">
        <v>10</v>
      </c>
      <c r="J319" s="17">
        <v>24</v>
      </c>
      <c r="K319" s="9" t="s">
        <v>9831</v>
      </c>
      <c r="L319" s="10" t="s">
        <v>15776</v>
      </c>
      <c r="M319" s="9" t="s">
        <v>9977</v>
      </c>
      <c r="N319" s="10" t="s">
        <v>9834</v>
      </c>
      <c r="O319" s="15">
        <v>1605000</v>
      </c>
      <c r="P319" s="145">
        <v>188211</v>
      </c>
      <c r="Q319" s="9"/>
      <c r="R319" s="146"/>
      <c r="T319" s="92" t="s">
        <v>6021</v>
      </c>
      <c r="U319">
        <v>1</v>
      </c>
      <c r="V319">
        <f>VLOOKUP(T319,'Data Angt'!$A$5:$F$5810,6,FALSE)</f>
        <v>42</v>
      </c>
      <c r="W319" s="5" t="str">
        <f t="shared" si="4"/>
        <v>KESEJAHTERAAN</v>
      </c>
      <c r="X319" s="5" t="str">
        <f>VLOOKUP(T319,'Data Angt'!$A$5:$H$5810,8,FALSE)</f>
        <v>Karyawan</v>
      </c>
      <c r="Y319" s="5" t="str">
        <f>VLOOKUP(T319,'Data Angt'!$A$5:$C$5808,3,FALSE)</f>
        <v>PBL</v>
      </c>
    </row>
    <row r="320" spans="1:25" x14ac:dyDescent="0.3">
      <c r="A320" s="8">
        <v>314</v>
      </c>
      <c r="B320" s="9" t="s">
        <v>5358</v>
      </c>
      <c r="C320" s="10" t="str">
        <f>VLOOKUP(B320,'Data Angt'!$A$5:$B$5809,2,FALSE)</f>
        <v>A2362</v>
      </c>
      <c r="D320" s="11" t="s">
        <v>9829</v>
      </c>
      <c r="E320" s="12" t="s">
        <v>15777</v>
      </c>
      <c r="F320" s="13">
        <v>45369</v>
      </c>
      <c r="G320" s="14">
        <v>45918</v>
      </c>
      <c r="H320" s="15">
        <v>80000000</v>
      </c>
      <c r="I320" s="16">
        <v>48</v>
      </c>
      <c r="J320" s="17">
        <v>21</v>
      </c>
      <c r="K320" s="9" t="s">
        <v>9831</v>
      </c>
      <c r="L320" s="10" t="s">
        <v>15778</v>
      </c>
      <c r="M320" s="9" t="s">
        <v>9865</v>
      </c>
      <c r="N320" s="10" t="s">
        <v>9830</v>
      </c>
      <c r="O320" s="15">
        <v>57437300</v>
      </c>
      <c r="P320" s="145">
        <v>8260758</v>
      </c>
      <c r="Q320" s="9" t="s">
        <v>22220</v>
      </c>
      <c r="R320" s="146" t="s">
        <v>22486</v>
      </c>
      <c r="T320" s="92" t="s">
        <v>6049</v>
      </c>
      <c r="U320">
        <v>1</v>
      </c>
      <c r="V320">
        <f>VLOOKUP(T320,'Data Angt'!$A$5:$F$5810,6,FALSE)</f>
        <v>71</v>
      </c>
      <c r="W320" s="5" t="str">
        <f t="shared" si="4"/>
        <v>KONSUMTIF</v>
      </c>
      <c r="X320" s="5" t="str">
        <f>VLOOKUP(T320,'Data Angt'!$A$5:$H$5810,8,FALSE)</f>
        <v>Wiraswasta</v>
      </c>
      <c r="Y320" s="5" t="str">
        <f>VLOOKUP(T320,'Data Angt'!$A$5:$C$5808,3,FALSE)</f>
        <v>PBL</v>
      </c>
    </row>
    <row r="321" spans="1:25" x14ac:dyDescent="0.3">
      <c r="A321" s="8">
        <v>315</v>
      </c>
      <c r="B321" s="9" t="s">
        <v>5364</v>
      </c>
      <c r="C321" s="10" t="str">
        <f>VLOOKUP(B321,'Data Angt'!$A$5:$B$5809,2,FALSE)</f>
        <v>A2365</v>
      </c>
      <c r="D321" s="11" t="s">
        <v>9829</v>
      </c>
      <c r="E321" s="12" t="s">
        <v>15779</v>
      </c>
      <c r="F321" s="13">
        <v>45768</v>
      </c>
      <c r="G321" s="14">
        <v>45918</v>
      </c>
      <c r="H321" s="15">
        <v>5000000</v>
      </c>
      <c r="I321" s="16">
        <v>18</v>
      </c>
      <c r="J321" s="17">
        <v>24</v>
      </c>
      <c r="K321" s="9" t="s">
        <v>9831</v>
      </c>
      <c r="L321" s="10" t="s">
        <v>15780</v>
      </c>
      <c r="M321" s="9" t="s">
        <v>10257</v>
      </c>
      <c r="N321" s="10" t="s">
        <v>9828</v>
      </c>
      <c r="O321" s="15">
        <v>3784600</v>
      </c>
      <c r="P321" s="145">
        <v>169725</v>
      </c>
      <c r="Q321" s="9"/>
      <c r="R321" s="146"/>
      <c r="T321" s="92" t="s">
        <v>6073</v>
      </c>
      <c r="U321">
        <v>1</v>
      </c>
      <c r="V321">
        <f>VLOOKUP(T321,'Data Angt'!$A$5:$F$5810,6,FALSE)</f>
        <v>44</v>
      </c>
      <c r="W321" s="5">
        <f t="shared" si="4"/>
        <v>0</v>
      </c>
      <c r="X321" s="5" t="str">
        <f>VLOOKUP(T321,'Data Angt'!$A$5:$H$5810,8,FALSE)</f>
        <v>Mengurus Rumah Tangga</v>
      </c>
      <c r="Y321" s="5" t="str">
        <f>VLOOKUP(T321,'Data Angt'!$A$5:$C$5808,3,FALSE)</f>
        <v>PBL</v>
      </c>
    </row>
    <row r="322" spans="1:25" x14ac:dyDescent="0.3">
      <c r="A322" s="8">
        <v>316</v>
      </c>
      <c r="B322" s="9" t="s">
        <v>5372</v>
      </c>
      <c r="C322" s="10" t="str">
        <f>VLOOKUP(B322,'Data Angt'!$A$5:$B$5809,2,FALSE)</f>
        <v>A2368</v>
      </c>
      <c r="D322" s="11" t="s">
        <v>9829</v>
      </c>
      <c r="E322" s="12" t="s">
        <v>15781</v>
      </c>
      <c r="F322" s="13">
        <v>45734</v>
      </c>
      <c r="G322" s="14">
        <v>45918</v>
      </c>
      <c r="H322" s="15">
        <v>3000000</v>
      </c>
      <c r="I322" s="16">
        <v>18</v>
      </c>
      <c r="J322" s="17">
        <v>24</v>
      </c>
      <c r="K322" s="9" t="s">
        <v>9831</v>
      </c>
      <c r="L322" s="10" t="s">
        <v>15782</v>
      </c>
      <c r="M322" s="9" t="s">
        <v>15783</v>
      </c>
      <c r="N322" s="10" t="s">
        <v>17</v>
      </c>
      <c r="O322" s="15">
        <v>2115900</v>
      </c>
      <c r="P322" s="145">
        <v>118911</v>
      </c>
      <c r="Q322" s="9"/>
      <c r="R322" s="146"/>
      <c r="T322" s="92" t="s">
        <v>6081</v>
      </c>
      <c r="U322">
        <v>1</v>
      </c>
      <c r="V322">
        <f>VLOOKUP(T322,'Data Angt'!$A$5:$F$5810,6,FALSE)</f>
        <v>51</v>
      </c>
      <c r="W322" s="5" t="str">
        <f t="shared" si="4"/>
        <v>PENDIDIKAN</v>
      </c>
      <c r="X322" s="5" t="str">
        <f>VLOOKUP(T322,'Data Angt'!$A$5:$H$5810,8,FALSE)</f>
        <v>Aparatur/Pejabat Negara</v>
      </c>
      <c r="Y322" s="5" t="str">
        <f>VLOOKUP(T322,'Data Angt'!$A$5:$C$5808,3,FALSE)</f>
        <v>PBL</v>
      </c>
    </row>
    <row r="323" spans="1:25" x14ac:dyDescent="0.3">
      <c r="A323" s="8">
        <v>317</v>
      </c>
      <c r="B323" s="9" t="s">
        <v>5411</v>
      </c>
      <c r="C323" s="10" t="str">
        <f>VLOOKUP(B323,'Data Angt'!$A$5:$B$5809,2,FALSE)</f>
        <v>A2387</v>
      </c>
      <c r="D323" s="11" t="s">
        <v>9833</v>
      </c>
      <c r="E323" s="12" t="s">
        <v>15784</v>
      </c>
      <c r="F323" s="13">
        <v>45713</v>
      </c>
      <c r="G323" s="14">
        <v>45924</v>
      </c>
      <c r="H323" s="15">
        <v>12000000</v>
      </c>
      <c r="I323" s="16">
        <v>30</v>
      </c>
      <c r="J323" s="17">
        <v>24</v>
      </c>
      <c r="K323" s="9" t="s">
        <v>9831</v>
      </c>
      <c r="L323" s="10" t="s">
        <v>15785</v>
      </c>
      <c r="M323" s="9" t="s">
        <v>9977</v>
      </c>
      <c r="N323" s="10" t="s">
        <v>9834</v>
      </c>
      <c r="O323" s="15">
        <v>9801200</v>
      </c>
      <c r="P323" s="145">
        <v>581922</v>
      </c>
      <c r="Q323" s="9" t="s">
        <v>22189</v>
      </c>
      <c r="R323" s="146" t="s">
        <v>22487</v>
      </c>
      <c r="T323" s="92" t="s">
        <v>6097</v>
      </c>
      <c r="U323">
        <v>1</v>
      </c>
      <c r="V323">
        <f>VLOOKUP(T323,'Data Angt'!$A$5:$F$5810,6,FALSE)</f>
        <v>82</v>
      </c>
      <c r="W323" s="5" t="str">
        <f t="shared" si="4"/>
        <v>KESEJAHTERAAN</v>
      </c>
      <c r="X323" s="5" t="str">
        <f>VLOOKUP(T323,'Data Angt'!$A$5:$H$5810,8,FALSE)</f>
        <v>Tenaga Pengajar</v>
      </c>
      <c r="Y323" s="5" t="str">
        <f>VLOOKUP(T323,'Data Angt'!$A$5:$C$5808,3,FALSE)</f>
        <v>PBL</v>
      </c>
    </row>
    <row r="324" spans="1:25" x14ac:dyDescent="0.3">
      <c r="A324" s="8">
        <v>318</v>
      </c>
      <c r="B324" s="9" t="s">
        <v>5422</v>
      </c>
      <c r="C324" s="10" t="str">
        <f>VLOOKUP(B324,'Data Angt'!$A$5:$B$5809,2,FALSE)</f>
        <v>A2393</v>
      </c>
      <c r="D324" s="11" t="s">
        <v>9826</v>
      </c>
      <c r="E324" s="12" t="s">
        <v>15786</v>
      </c>
      <c r="F324" s="13">
        <v>45787</v>
      </c>
      <c r="G324" s="14">
        <v>45912</v>
      </c>
      <c r="H324" s="15">
        <v>5000000</v>
      </c>
      <c r="I324" s="16">
        <v>12</v>
      </c>
      <c r="J324" s="17">
        <v>11.88</v>
      </c>
      <c r="K324" s="9" t="s">
        <v>9831</v>
      </c>
      <c r="L324" s="10" t="s">
        <v>15787</v>
      </c>
      <c r="M324" s="9" t="s">
        <v>9838</v>
      </c>
      <c r="N324" s="10" t="s">
        <v>9830</v>
      </c>
      <c r="O324" s="15">
        <v>3398500</v>
      </c>
      <c r="P324" s="145">
        <v>65436</v>
      </c>
      <c r="Q324" s="9"/>
      <c r="R324" s="146"/>
      <c r="T324" s="92" t="s">
        <v>6118</v>
      </c>
      <c r="U324">
        <v>1</v>
      </c>
      <c r="V324">
        <f>VLOOKUP(T324,'Data Angt'!$A$5:$F$5810,6,FALSE)</f>
        <v>42</v>
      </c>
      <c r="W324" s="5" t="str">
        <f t="shared" si="4"/>
        <v>PRODUKTIF</v>
      </c>
      <c r="X324" s="5" t="str">
        <f>VLOOKUP(T324,'Data Angt'!$A$5:$H$5810,8,FALSE)</f>
        <v>Mengurus Rumah Tangga</v>
      </c>
      <c r="Y324" s="5" t="str">
        <f>VLOOKUP(T324,'Data Angt'!$A$5:$C$5808,3,FALSE)</f>
        <v>PBL</v>
      </c>
    </row>
    <row r="325" spans="1:25" x14ac:dyDescent="0.3">
      <c r="A325" s="8">
        <v>319</v>
      </c>
      <c r="B325" s="9" t="s">
        <v>5429</v>
      </c>
      <c r="C325" s="10" t="str">
        <f>VLOOKUP(B325,'Data Angt'!$A$5:$B$5809,2,FALSE)</f>
        <v>A2396</v>
      </c>
      <c r="D325" s="11" t="s">
        <v>9829</v>
      </c>
      <c r="E325" s="12" t="s">
        <v>15788</v>
      </c>
      <c r="F325" s="13">
        <v>45726</v>
      </c>
      <c r="G325" s="14">
        <v>45910</v>
      </c>
      <c r="H325" s="15">
        <v>3000000</v>
      </c>
      <c r="I325" s="16">
        <v>10</v>
      </c>
      <c r="J325" s="17">
        <v>24</v>
      </c>
      <c r="K325" s="9" t="s">
        <v>9831</v>
      </c>
      <c r="L325" s="10" t="s">
        <v>15789</v>
      </c>
      <c r="M325" s="9" t="s">
        <v>9880</v>
      </c>
      <c r="N325" s="10" t="s">
        <v>9830</v>
      </c>
      <c r="O325" s="15">
        <v>1271900</v>
      </c>
      <c r="P325" s="145">
        <v>103461</v>
      </c>
      <c r="Q325" s="9"/>
      <c r="R325" s="146"/>
      <c r="T325" s="92" t="s">
        <v>6141</v>
      </c>
      <c r="U325">
        <v>1</v>
      </c>
      <c r="V325">
        <f>VLOOKUP(T325,'Data Angt'!$A$5:$F$5810,6,FALSE)</f>
        <v>28</v>
      </c>
      <c r="W325" s="5" t="str">
        <f t="shared" si="4"/>
        <v>KONSUMTIF</v>
      </c>
      <c r="X325" s="5" t="str">
        <f>VLOOKUP(T325,'Data Angt'!$A$5:$H$5810,8,FALSE)</f>
        <v>Karyawan</v>
      </c>
      <c r="Y325" s="5" t="str">
        <f>VLOOKUP(T325,'Data Angt'!$A$5:$C$5808,3,FALSE)</f>
        <v>PBL</v>
      </c>
    </row>
    <row r="326" spans="1:25" x14ac:dyDescent="0.3">
      <c r="A326" s="8">
        <v>320</v>
      </c>
      <c r="B326" s="9" t="s">
        <v>5442</v>
      </c>
      <c r="C326" s="10" t="str">
        <f>VLOOKUP(B326,'Data Angt'!$A$5:$B$5809,2,FALSE)</f>
        <v>A2402</v>
      </c>
      <c r="D326" s="11" t="s">
        <v>9833</v>
      </c>
      <c r="E326" s="12" t="s">
        <v>15790</v>
      </c>
      <c r="F326" s="13">
        <v>45602</v>
      </c>
      <c r="G326" s="14">
        <v>45908</v>
      </c>
      <c r="H326" s="15">
        <v>5000000</v>
      </c>
      <c r="I326" s="16">
        <v>24</v>
      </c>
      <c r="J326" s="17">
        <v>24</v>
      </c>
      <c r="K326" s="9" t="s">
        <v>9831</v>
      </c>
      <c r="L326" s="10" t="s">
        <v>15791</v>
      </c>
      <c r="M326" s="9" t="s">
        <v>10213</v>
      </c>
      <c r="N326" s="10" t="s">
        <v>9834</v>
      </c>
      <c r="O326" s="15">
        <v>3200300</v>
      </c>
      <c r="P326" s="145">
        <v>316611</v>
      </c>
      <c r="Q326" s="9"/>
      <c r="R326" s="146"/>
      <c r="T326" s="92" t="s">
        <v>6163</v>
      </c>
      <c r="U326">
        <v>1</v>
      </c>
      <c r="V326">
        <f>VLOOKUP(T326,'Data Angt'!$A$5:$F$5810,6,FALSE)</f>
        <v>37</v>
      </c>
      <c r="W326" s="5" t="str">
        <f t="shared" si="4"/>
        <v>KESEJAHTERAAN</v>
      </c>
      <c r="X326" s="5" t="str">
        <f>VLOOKUP(T326,'Data Angt'!$A$5:$H$5810,8,FALSE)</f>
        <v>Karyawan</v>
      </c>
      <c r="Y326" s="5" t="str">
        <f>VLOOKUP(T326,'Data Angt'!$A$5:$C$5808,3,FALSE)</f>
        <v>PBL</v>
      </c>
    </row>
    <row r="327" spans="1:25" x14ac:dyDescent="0.3">
      <c r="A327" s="8">
        <v>321</v>
      </c>
      <c r="B327" s="9" t="s">
        <v>5487</v>
      </c>
      <c r="C327" s="10" t="str">
        <f>VLOOKUP(B327,'Data Angt'!$A$5:$B$5809,2,FALSE)</f>
        <v>A2422</v>
      </c>
      <c r="D327" s="11" t="s">
        <v>9842</v>
      </c>
      <c r="E327" s="12" t="s">
        <v>15792</v>
      </c>
      <c r="F327" s="13">
        <v>45365</v>
      </c>
      <c r="G327" s="14">
        <v>45885</v>
      </c>
      <c r="H327" s="15">
        <v>200000000</v>
      </c>
      <c r="I327" s="16">
        <v>144</v>
      </c>
      <c r="J327" s="17">
        <v>11.4</v>
      </c>
      <c r="K327" s="9" t="s">
        <v>9831</v>
      </c>
      <c r="L327" s="10" t="s">
        <v>15793</v>
      </c>
      <c r="M327" s="9" t="s">
        <v>10082</v>
      </c>
      <c r="N327" s="10" t="s">
        <v>9830</v>
      </c>
      <c r="O327" s="15">
        <v>187983500</v>
      </c>
      <c r="P327" s="145">
        <v>11780022</v>
      </c>
      <c r="Q327" s="9" t="s">
        <v>22235</v>
      </c>
      <c r="R327" s="146" t="s">
        <v>22488</v>
      </c>
      <c r="T327" s="92" t="s">
        <v>6213</v>
      </c>
      <c r="U327">
        <v>1</v>
      </c>
      <c r="V327">
        <f>VLOOKUP(T327,'Data Angt'!$A$5:$F$5810,6,FALSE)</f>
        <v>66</v>
      </c>
      <c r="W327" s="5" t="str">
        <f t="shared" ref="W327:W390" si="5">VLOOKUP(T327,$B$7:$N$1869,13,FALSE)</f>
        <v>PENDIDIKAN</v>
      </c>
      <c r="X327" s="5" t="str">
        <f>VLOOKUP(T327,'Data Angt'!$A$5:$H$5810,8,FALSE)</f>
        <v>Wiraswasta</v>
      </c>
      <c r="Y327" s="5" t="str">
        <f>VLOOKUP(T327,'Data Angt'!$A$5:$C$5808,3,FALSE)</f>
        <v>PBL</v>
      </c>
    </row>
    <row r="328" spans="1:25" x14ac:dyDescent="0.3">
      <c r="A328" s="8">
        <v>322</v>
      </c>
      <c r="B328" s="9" t="s">
        <v>5505</v>
      </c>
      <c r="C328" s="10" t="str">
        <f>VLOOKUP(B328,'Data Angt'!$A$5:$B$5809,2,FALSE)</f>
        <v>A2430</v>
      </c>
      <c r="D328" s="11" t="s">
        <v>9833</v>
      </c>
      <c r="E328" s="12" t="s">
        <v>15796</v>
      </c>
      <c r="F328" s="13">
        <v>45692</v>
      </c>
      <c r="G328" s="14">
        <v>45904</v>
      </c>
      <c r="H328" s="15">
        <v>5000000</v>
      </c>
      <c r="I328" s="16">
        <v>12</v>
      </c>
      <c r="J328" s="17">
        <v>24</v>
      </c>
      <c r="K328" s="9" t="s">
        <v>9831</v>
      </c>
      <c r="L328" s="10" t="s">
        <v>15797</v>
      </c>
      <c r="M328" s="9" t="s">
        <v>15798</v>
      </c>
      <c r="N328" s="10" t="s">
        <v>9834</v>
      </c>
      <c r="O328" s="15">
        <v>2228800</v>
      </c>
      <c r="P328" s="145">
        <v>201899</v>
      </c>
      <c r="Q328" s="9"/>
      <c r="R328" s="146"/>
      <c r="T328" s="92" t="s">
        <v>6249</v>
      </c>
      <c r="U328">
        <v>1</v>
      </c>
      <c r="V328">
        <f>VLOOKUP(T328,'Data Angt'!$A$5:$F$5810,6,FALSE)</f>
        <v>54</v>
      </c>
      <c r="W328" s="5" t="str">
        <f t="shared" si="5"/>
        <v>KESEJAHTERAAN</v>
      </c>
      <c r="X328" s="5" t="str">
        <f>VLOOKUP(T328,'Data Angt'!$A$5:$H$5810,8,FALSE)</f>
        <v>Lain-Lain</v>
      </c>
      <c r="Y328" s="5" t="str">
        <f>VLOOKUP(T328,'Data Angt'!$A$5:$C$5808,3,FALSE)</f>
        <v>PBL</v>
      </c>
    </row>
    <row r="329" spans="1:25" x14ac:dyDescent="0.3">
      <c r="A329" s="8">
        <v>323</v>
      </c>
      <c r="B329" s="9" t="s">
        <v>5505</v>
      </c>
      <c r="C329" s="10" t="str">
        <f>VLOOKUP(B329,'Data Angt'!$A$5:$B$5809,2,FALSE)</f>
        <v>A2430</v>
      </c>
      <c r="D329" s="11" t="s">
        <v>9826</v>
      </c>
      <c r="E329" s="12" t="s">
        <v>15794</v>
      </c>
      <c r="F329" s="13">
        <v>45826</v>
      </c>
      <c r="G329" s="14">
        <v>45909</v>
      </c>
      <c r="H329" s="15">
        <v>4000000</v>
      </c>
      <c r="I329" s="16">
        <v>12</v>
      </c>
      <c r="J329" s="17">
        <v>24</v>
      </c>
      <c r="K329" s="9" t="s">
        <v>9827</v>
      </c>
      <c r="L329" s="10" t="s">
        <v>15795</v>
      </c>
      <c r="M329" s="9" t="s">
        <v>9854</v>
      </c>
      <c r="N329" s="10" t="s">
        <v>17</v>
      </c>
      <c r="O329" s="15">
        <v>2999800</v>
      </c>
      <c r="P329" s="145">
        <v>82537</v>
      </c>
      <c r="Q329" s="9" t="s">
        <v>22189</v>
      </c>
      <c r="R329" s="146" t="s">
        <v>22489</v>
      </c>
      <c r="T329" s="92" t="s">
        <v>6267</v>
      </c>
      <c r="U329">
        <v>1</v>
      </c>
      <c r="V329">
        <f>VLOOKUP(T329,'Data Angt'!$A$5:$F$5810,6,FALSE)</f>
        <v>39</v>
      </c>
      <c r="W329" s="5" t="str">
        <f t="shared" si="5"/>
        <v>KESEJAHTERAAN</v>
      </c>
      <c r="X329" s="5" t="str">
        <f>VLOOKUP(T329,'Data Angt'!$A$5:$H$5810,8,FALSE)</f>
        <v>Karyawan</v>
      </c>
      <c r="Y329" s="5" t="str">
        <f>VLOOKUP(T329,'Data Angt'!$A$5:$C$5808,3,FALSE)</f>
        <v>PBL</v>
      </c>
    </row>
    <row r="330" spans="1:25" x14ac:dyDescent="0.3">
      <c r="A330" s="8">
        <v>324</v>
      </c>
      <c r="B330" s="9" t="s">
        <v>5528</v>
      </c>
      <c r="C330" s="10" t="str">
        <f>VLOOKUP(B330,'Data Angt'!$A$5:$B$5809,2,FALSE)</f>
        <v>A2439</v>
      </c>
      <c r="D330" s="11" t="s">
        <v>9833</v>
      </c>
      <c r="E330" s="12" t="s">
        <v>22490</v>
      </c>
      <c r="F330" s="13">
        <v>45922</v>
      </c>
      <c r="G330" s="14">
        <v>45922</v>
      </c>
      <c r="H330" s="15">
        <v>10000000</v>
      </c>
      <c r="I330" s="16">
        <v>24</v>
      </c>
      <c r="J330" s="17">
        <v>24</v>
      </c>
      <c r="K330" s="9" t="s">
        <v>9831</v>
      </c>
      <c r="L330" s="10" t="s">
        <v>22491</v>
      </c>
      <c r="M330" s="9" t="s">
        <v>9977</v>
      </c>
      <c r="N330" s="10" t="s">
        <v>9834</v>
      </c>
      <c r="O330" s="15">
        <v>10000000</v>
      </c>
      <c r="P330" s="147">
        <v>0</v>
      </c>
      <c r="Q330" s="9"/>
      <c r="R330" s="146"/>
      <c r="T330" s="92" t="s">
        <v>6271</v>
      </c>
      <c r="U330">
        <v>1</v>
      </c>
      <c r="V330">
        <f>VLOOKUP(T330,'Data Angt'!$A$5:$F$5810,6,FALSE)</f>
        <v>52</v>
      </c>
      <c r="W330" s="5" t="str">
        <f t="shared" si="5"/>
        <v>PENDIDIKAN</v>
      </c>
      <c r="X330" s="5" t="str">
        <f>VLOOKUP(T330,'Data Angt'!$A$5:$H$5810,8,FALSE)</f>
        <v>Lain-Lain</v>
      </c>
      <c r="Y330" s="5" t="str">
        <f>VLOOKUP(T330,'Data Angt'!$A$5:$C$5808,3,FALSE)</f>
        <v>PBL</v>
      </c>
    </row>
    <row r="331" spans="1:25" x14ac:dyDescent="0.3">
      <c r="A331" s="8">
        <v>325</v>
      </c>
      <c r="B331" s="9" t="s">
        <v>5568</v>
      </c>
      <c r="C331" s="10" t="str">
        <f>VLOOKUP(B331,'Data Angt'!$A$5:$B$5809,2,FALSE)</f>
        <v>A2459</v>
      </c>
      <c r="D331" s="11" t="s">
        <v>9829</v>
      </c>
      <c r="E331" s="12" t="s">
        <v>15799</v>
      </c>
      <c r="F331" s="13">
        <v>45677</v>
      </c>
      <c r="G331" s="14">
        <v>45920</v>
      </c>
      <c r="H331" s="15">
        <v>32500000</v>
      </c>
      <c r="I331" s="16">
        <v>48</v>
      </c>
      <c r="J331" s="17">
        <v>21</v>
      </c>
      <c r="K331" s="9" t="s">
        <v>9831</v>
      </c>
      <c r="L331" s="10" t="s">
        <v>15800</v>
      </c>
      <c r="M331" s="9" t="s">
        <v>15801</v>
      </c>
      <c r="N331" s="10" t="s">
        <v>9830</v>
      </c>
      <c r="O331" s="15">
        <v>28777000</v>
      </c>
      <c r="P331" s="145">
        <v>1623073</v>
      </c>
      <c r="Q331" s="9" t="s">
        <v>22197</v>
      </c>
      <c r="R331" s="146" t="s">
        <v>22492</v>
      </c>
      <c r="T331" s="92" t="s">
        <v>6274</v>
      </c>
      <c r="U331">
        <v>1</v>
      </c>
      <c r="V331">
        <f>VLOOKUP(T331,'Data Angt'!$A$5:$F$5810,6,FALSE)</f>
        <v>32</v>
      </c>
      <c r="W331" s="5" t="str">
        <f t="shared" si="5"/>
        <v>PRODUKTIF</v>
      </c>
      <c r="X331" s="5" t="str">
        <f>VLOOKUP(T331,'Data Angt'!$A$5:$H$5810,8,FALSE)</f>
        <v>Wiraswasta</v>
      </c>
      <c r="Y331" s="5" t="str">
        <f>VLOOKUP(T331,'Data Angt'!$A$5:$C$5808,3,FALSE)</f>
        <v>PBL</v>
      </c>
    </row>
    <row r="332" spans="1:25" x14ac:dyDescent="0.3">
      <c r="A332" s="8">
        <v>326</v>
      </c>
      <c r="B332" s="9" t="s">
        <v>5581</v>
      </c>
      <c r="C332" s="10" t="str">
        <f>VLOOKUP(B332,'Data Angt'!$A$5:$B$5809,2,FALSE)</f>
        <v>A2465</v>
      </c>
      <c r="D332" s="11" t="s">
        <v>9833</v>
      </c>
      <c r="E332" s="12" t="s">
        <v>15802</v>
      </c>
      <c r="F332" s="13">
        <v>45706</v>
      </c>
      <c r="G332" s="14">
        <v>45917</v>
      </c>
      <c r="H332" s="15">
        <v>20000000</v>
      </c>
      <c r="I332" s="16">
        <v>12</v>
      </c>
      <c r="J332" s="17">
        <v>24</v>
      </c>
      <c r="K332" s="9" t="s">
        <v>9831</v>
      </c>
      <c r="L332" s="10" t="s">
        <v>15803</v>
      </c>
      <c r="M332" s="9" t="s">
        <v>9862</v>
      </c>
      <c r="N332" s="10" t="s">
        <v>9834</v>
      </c>
      <c r="O332" s="15">
        <v>8914200</v>
      </c>
      <c r="P332" s="145">
        <v>807224</v>
      </c>
      <c r="Q332" s="9"/>
      <c r="R332" s="146"/>
      <c r="T332" s="92" t="s">
        <v>6305</v>
      </c>
      <c r="U332">
        <v>1</v>
      </c>
      <c r="V332">
        <f>VLOOKUP(T332,'Data Angt'!$A$5:$F$5810,6,FALSE)</f>
        <v>55</v>
      </c>
      <c r="W332" s="5" t="str">
        <f t="shared" si="5"/>
        <v>KESEJAHTERAAN</v>
      </c>
      <c r="X332" s="5" t="str">
        <f>VLOOKUP(T332,'Data Angt'!$A$5:$H$5810,8,FALSE)</f>
        <v>Wiraswasta</v>
      </c>
      <c r="Y332" s="5" t="str">
        <f>VLOOKUP(T332,'Data Angt'!$A$5:$C$5808,3,FALSE)</f>
        <v>PBL</v>
      </c>
    </row>
    <row r="333" spans="1:25" x14ac:dyDescent="0.3">
      <c r="A333" s="8">
        <v>327</v>
      </c>
      <c r="B333" s="9" t="s">
        <v>5591</v>
      </c>
      <c r="C333" s="10" t="str">
        <f>VLOOKUP(B333,'Data Angt'!$A$5:$B$5809,2,FALSE)</f>
        <v>A2469</v>
      </c>
      <c r="D333" s="11" t="s">
        <v>9881</v>
      </c>
      <c r="E333" s="12" t="s">
        <v>22493</v>
      </c>
      <c r="F333" s="13">
        <v>45855</v>
      </c>
      <c r="G333" s="14">
        <v>45911</v>
      </c>
      <c r="H333" s="15">
        <v>3400000</v>
      </c>
      <c r="I333" s="16">
        <v>12</v>
      </c>
      <c r="J333" s="17">
        <v>12</v>
      </c>
      <c r="K333" s="9" t="s">
        <v>9831</v>
      </c>
      <c r="L333" s="10" t="s">
        <v>22494</v>
      </c>
      <c r="M333" s="9" t="s">
        <v>9835</v>
      </c>
      <c r="N333" s="10" t="s">
        <v>9828</v>
      </c>
      <c r="O333" s="15">
        <v>2861200</v>
      </c>
      <c r="P333" s="145">
        <v>24525</v>
      </c>
      <c r="Q333" s="9"/>
      <c r="R333" s="146"/>
      <c r="T333" s="92" t="s">
        <v>6314</v>
      </c>
      <c r="U333">
        <v>1</v>
      </c>
      <c r="V333">
        <f>VLOOKUP(T333,'Data Angt'!$A$5:$F$5810,6,FALSE)</f>
        <v>49</v>
      </c>
      <c r="W333" s="5" t="str">
        <f t="shared" si="5"/>
        <v>KONSUMTIF</v>
      </c>
      <c r="X333" s="5" t="str">
        <f>VLOOKUP(T333,'Data Angt'!$A$5:$H$5810,8,FALSE)</f>
        <v>Lain-Lain</v>
      </c>
      <c r="Y333" s="5" t="str">
        <f>VLOOKUP(T333,'Data Angt'!$A$5:$C$5808,3,FALSE)</f>
        <v>PBL</v>
      </c>
    </row>
    <row r="334" spans="1:25" x14ac:dyDescent="0.3">
      <c r="A334" s="8">
        <v>328</v>
      </c>
      <c r="B334" s="9" t="s">
        <v>5597</v>
      </c>
      <c r="C334" s="10" t="str">
        <f>VLOOKUP(B334,'Data Angt'!$A$5:$B$5809,2,FALSE)</f>
        <v>A2472</v>
      </c>
      <c r="D334" s="11" t="s">
        <v>9829</v>
      </c>
      <c r="E334" s="12" t="s">
        <v>15804</v>
      </c>
      <c r="F334" s="13">
        <v>45329</v>
      </c>
      <c r="G334" s="14">
        <v>45902</v>
      </c>
      <c r="H334" s="15">
        <v>3500000</v>
      </c>
      <c r="I334" s="16">
        <v>24</v>
      </c>
      <c r="J334" s="17">
        <v>24</v>
      </c>
      <c r="K334" s="9" t="s">
        <v>9827</v>
      </c>
      <c r="L334" s="10" t="s">
        <v>15805</v>
      </c>
      <c r="M334" s="9" t="s">
        <v>9838</v>
      </c>
      <c r="N334" s="10" t="s">
        <v>9830</v>
      </c>
      <c r="O334" s="15">
        <v>727900</v>
      </c>
      <c r="P334" s="145">
        <v>311958</v>
      </c>
      <c r="Q334" s="9"/>
      <c r="R334" s="146"/>
      <c r="T334" s="92" t="s">
        <v>6346</v>
      </c>
      <c r="U334">
        <v>1</v>
      </c>
      <c r="V334">
        <f>VLOOKUP(T334,'Data Angt'!$A$5:$F$5810,6,FALSE)</f>
        <v>46</v>
      </c>
      <c r="W334" s="5" t="str">
        <f t="shared" si="5"/>
        <v>KESEHATAN</v>
      </c>
      <c r="X334" s="5" t="str">
        <f>VLOOKUP(T334,'Data Angt'!$A$5:$H$5810,8,FALSE)</f>
        <v>Lain-Lain</v>
      </c>
      <c r="Y334" s="5" t="str">
        <f>VLOOKUP(T334,'Data Angt'!$A$5:$C$5808,3,FALSE)</f>
        <v>PBL</v>
      </c>
    </row>
    <row r="335" spans="1:25" x14ac:dyDescent="0.3">
      <c r="A335" s="8">
        <v>329</v>
      </c>
      <c r="B335" s="9" t="s">
        <v>5599</v>
      </c>
      <c r="C335" s="10" t="str">
        <f>VLOOKUP(B335,'Data Angt'!$A$5:$B$5809,2,FALSE)</f>
        <v>A2473</v>
      </c>
      <c r="D335" s="11" t="s">
        <v>9829</v>
      </c>
      <c r="E335" s="12" t="s">
        <v>22495</v>
      </c>
      <c r="F335" s="13">
        <v>45845</v>
      </c>
      <c r="G335" s="14">
        <v>45908</v>
      </c>
      <c r="H335" s="15">
        <v>20000000</v>
      </c>
      <c r="I335" s="16">
        <v>24</v>
      </c>
      <c r="J335" s="17">
        <v>24</v>
      </c>
      <c r="K335" s="9" t="s">
        <v>9831</v>
      </c>
      <c r="L335" s="10" t="s">
        <v>22496</v>
      </c>
      <c r="M335" s="9" t="s">
        <v>22497</v>
      </c>
      <c r="N335" s="10" t="s">
        <v>9830</v>
      </c>
      <c r="O335" s="15">
        <v>18671900</v>
      </c>
      <c r="P335" s="145">
        <v>295087</v>
      </c>
      <c r="Q335" s="9" t="s">
        <v>22498</v>
      </c>
      <c r="R335" s="146" t="s">
        <v>22499</v>
      </c>
      <c r="T335" s="92" t="s">
        <v>6351</v>
      </c>
      <c r="U335">
        <v>1</v>
      </c>
      <c r="V335">
        <f>VLOOKUP(T335,'Data Angt'!$A$5:$F$5810,6,FALSE)</f>
        <v>51</v>
      </c>
      <c r="W335" s="5" t="str">
        <f t="shared" si="5"/>
        <v>PRODUKTIF</v>
      </c>
      <c r="X335" s="5" t="str">
        <f>VLOOKUP(T335,'Data Angt'!$A$5:$H$5810,8,FALSE)</f>
        <v>Pensiunan</v>
      </c>
      <c r="Y335" s="5" t="str">
        <f>VLOOKUP(T335,'Data Angt'!$A$5:$C$5808,3,FALSE)</f>
        <v>PBL</v>
      </c>
    </row>
    <row r="336" spans="1:25" x14ac:dyDescent="0.3">
      <c r="A336" s="8">
        <v>330</v>
      </c>
      <c r="B336" s="9" t="s">
        <v>5610</v>
      </c>
      <c r="C336" s="10" t="str">
        <f>VLOOKUP(B336,'Data Angt'!$A$5:$B$5809,2,FALSE)</f>
        <v>A2478</v>
      </c>
      <c r="D336" s="11" t="s">
        <v>9833</v>
      </c>
      <c r="E336" s="12" t="s">
        <v>10061</v>
      </c>
      <c r="F336" s="13">
        <v>44433</v>
      </c>
      <c r="G336" s="14">
        <v>45590</v>
      </c>
      <c r="H336" s="15">
        <v>5000000</v>
      </c>
      <c r="I336" s="16">
        <v>36</v>
      </c>
      <c r="J336" s="17">
        <v>24</v>
      </c>
      <c r="K336" s="9" t="s">
        <v>9827</v>
      </c>
      <c r="L336" s="10" t="s">
        <v>10062</v>
      </c>
      <c r="M336" s="9" t="s">
        <v>10063</v>
      </c>
      <c r="N336" s="10" t="s">
        <v>9834</v>
      </c>
      <c r="O336" s="15">
        <v>3749900</v>
      </c>
      <c r="P336" s="145">
        <v>442986</v>
      </c>
      <c r="Q336" s="9"/>
      <c r="R336" s="146"/>
      <c r="T336" s="92" t="s">
        <v>6462</v>
      </c>
      <c r="U336">
        <v>1</v>
      </c>
      <c r="V336">
        <f>VLOOKUP(T336,'Data Angt'!$A$5:$F$5810,6,FALSE)</f>
        <v>36</v>
      </c>
      <c r="W336" s="5" t="str">
        <f t="shared" si="5"/>
        <v>KONSUMTIF</v>
      </c>
      <c r="X336" s="5" t="str">
        <f>VLOOKUP(T336,'Data Angt'!$A$5:$H$5810,8,FALSE)</f>
        <v>Mengurus Rumah Tangga</v>
      </c>
      <c r="Y336" s="5" t="str">
        <f>VLOOKUP(T336,'Data Angt'!$A$5:$C$5808,3,FALSE)</f>
        <v>PBL</v>
      </c>
    </row>
    <row r="337" spans="1:25" x14ac:dyDescent="0.3">
      <c r="A337" s="8">
        <v>331</v>
      </c>
      <c r="B337" s="9" t="s">
        <v>5676</v>
      </c>
      <c r="C337" s="10" t="str">
        <f>VLOOKUP(B337,'Data Angt'!$A$5:$B$5809,2,FALSE)</f>
        <v>A2506</v>
      </c>
      <c r="D337" s="11" t="s">
        <v>9829</v>
      </c>
      <c r="E337" s="12" t="s">
        <v>15806</v>
      </c>
      <c r="F337" s="13">
        <v>45665</v>
      </c>
      <c r="G337" s="14">
        <v>45908</v>
      </c>
      <c r="H337" s="15">
        <v>10000000</v>
      </c>
      <c r="I337" s="16">
        <v>12</v>
      </c>
      <c r="J337" s="17">
        <v>11.9</v>
      </c>
      <c r="K337" s="9" t="s">
        <v>9831</v>
      </c>
      <c r="L337" s="10" t="s">
        <v>15807</v>
      </c>
      <c r="M337" s="9" t="s">
        <v>9962</v>
      </c>
      <c r="N337" s="10" t="s">
        <v>9834</v>
      </c>
      <c r="O337" s="15">
        <v>3465500</v>
      </c>
      <c r="P337" s="145">
        <v>213860</v>
      </c>
      <c r="Q337" s="9"/>
      <c r="R337" s="146"/>
      <c r="T337" s="92" t="s">
        <v>6482</v>
      </c>
      <c r="U337">
        <v>1</v>
      </c>
      <c r="V337">
        <f>VLOOKUP(T337,'Data Angt'!$A$5:$F$5810,6,FALSE)</f>
        <v>63</v>
      </c>
      <c r="W337" s="5" t="str">
        <f t="shared" si="5"/>
        <v>PRODUKTIF</v>
      </c>
      <c r="X337" s="5" t="str">
        <f>VLOOKUP(T337,'Data Angt'!$A$5:$H$5810,8,FALSE)</f>
        <v>Lain-Lain</v>
      </c>
      <c r="Y337" s="5" t="str">
        <f>VLOOKUP(T337,'Data Angt'!$A$5:$C$5808,3,FALSE)</f>
        <v>PBL</v>
      </c>
    </row>
    <row r="338" spans="1:25" x14ac:dyDescent="0.3">
      <c r="A338" s="8">
        <v>332</v>
      </c>
      <c r="B338" s="9" t="s">
        <v>5680</v>
      </c>
      <c r="C338" s="10" t="str">
        <f>VLOOKUP(B338,'Data Angt'!$A$5:$B$5809,2,FALSE)</f>
        <v>A2507</v>
      </c>
      <c r="D338" s="11" t="s">
        <v>9829</v>
      </c>
      <c r="E338" s="12" t="s">
        <v>10064</v>
      </c>
      <c r="F338" s="13">
        <v>45075</v>
      </c>
      <c r="G338" s="14">
        <v>45901</v>
      </c>
      <c r="H338" s="15">
        <v>60000000</v>
      </c>
      <c r="I338" s="16">
        <v>48</v>
      </c>
      <c r="J338" s="17">
        <v>21</v>
      </c>
      <c r="K338" s="9" t="s">
        <v>9827</v>
      </c>
      <c r="L338" s="10" t="s">
        <v>10065</v>
      </c>
      <c r="M338" s="9" t="s">
        <v>10066</v>
      </c>
      <c r="N338" s="10" t="s">
        <v>9830</v>
      </c>
      <c r="O338" s="15">
        <v>25000000</v>
      </c>
      <c r="P338" s="145">
        <v>7924606</v>
      </c>
      <c r="Q338" s="9" t="s">
        <v>22197</v>
      </c>
      <c r="R338" s="146" t="s">
        <v>22500</v>
      </c>
      <c r="T338" s="92" t="s">
        <v>6484</v>
      </c>
      <c r="U338">
        <v>1</v>
      </c>
      <c r="V338">
        <f>VLOOKUP(T338,'Data Angt'!$A$5:$F$5810,6,FALSE)</f>
        <v>47</v>
      </c>
      <c r="W338" s="5" t="str">
        <f t="shared" si="5"/>
        <v>PRODUKTIF</v>
      </c>
      <c r="X338" s="5" t="str">
        <f>VLOOKUP(T338,'Data Angt'!$A$5:$H$5810,8,FALSE)</f>
        <v>Mengurus Rumah Tangga</v>
      </c>
      <c r="Y338" s="5" t="str">
        <f>VLOOKUP(T338,'Data Angt'!$A$5:$C$5808,3,FALSE)</f>
        <v>PBL</v>
      </c>
    </row>
    <row r="339" spans="1:25" x14ac:dyDescent="0.3">
      <c r="A339" s="8">
        <v>333</v>
      </c>
      <c r="B339" s="9" t="s">
        <v>5694</v>
      </c>
      <c r="C339" s="10" t="str">
        <f>VLOOKUP(B339,'Data Angt'!$A$5:$B$5809,2,FALSE)</f>
        <v>A2513</v>
      </c>
      <c r="D339" s="11" t="s">
        <v>9829</v>
      </c>
      <c r="E339" s="12" t="s">
        <v>22501</v>
      </c>
      <c r="F339" s="13">
        <v>45904</v>
      </c>
      <c r="G339" s="14">
        <v>45904</v>
      </c>
      <c r="H339" s="15">
        <v>4000000</v>
      </c>
      <c r="I339" s="16">
        <v>18</v>
      </c>
      <c r="J339" s="17">
        <v>24</v>
      </c>
      <c r="K339" s="9" t="s">
        <v>9831</v>
      </c>
      <c r="L339" s="10" t="s">
        <v>22502</v>
      </c>
      <c r="M339" s="9" t="s">
        <v>22503</v>
      </c>
      <c r="N339" s="10" t="s">
        <v>9834</v>
      </c>
      <c r="O339" s="15">
        <v>4000000</v>
      </c>
      <c r="P339" s="147">
        <v>0</v>
      </c>
      <c r="Q339" s="9"/>
      <c r="R339" s="146"/>
      <c r="T339" s="92" t="s">
        <v>6486</v>
      </c>
      <c r="U339">
        <v>1</v>
      </c>
      <c r="V339">
        <f>VLOOKUP(T339,'Data Angt'!$A$5:$F$5810,6,FALSE)</f>
        <v>58</v>
      </c>
      <c r="W339" s="5" t="str">
        <f t="shared" si="5"/>
        <v>PENDIDIKAN</v>
      </c>
      <c r="X339" s="5" t="str">
        <f>VLOOKUP(T339,'Data Angt'!$A$5:$H$5810,8,FALSE)</f>
        <v>Karyawan</v>
      </c>
      <c r="Y339" s="5" t="str">
        <f>VLOOKUP(T339,'Data Angt'!$A$5:$C$5808,3,FALSE)</f>
        <v>PBL</v>
      </c>
    </row>
    <row r="340" spans="1:25" x14ac:dyDescent="0.3">
      <c r="A340" s="8">
        <v>334</v>
      </c>
      <c r="B340" s="9" t="s">
        <v>5712</v>
      </c>
      <c r="C340" s="10" t="str">
        <f>VLOOKUP(B340,'Data Angt'!$A$5:$B$5809,2,FALSE)</f>
        <v>A2521</v>
      </c>
      <c r="D340" s="11" t="s">
        <v>9829</v>
      </c>
      <c r="E340" s="12" t="s">
        <v>22504</v>
      </c>
      <c r="F340" s="13">
        <v>45848</v>
      </c>
      <c r="G340" s="14">
        <v>45909</v>
      </c>
      <c r="H340" s="15">
        <v>4000000</v>
      </c>
      <c r="I340" s="16">
        <v>18</v>
      </c>
      <c r="J340" s="17">
        <v>24</v>
      </c>
      <c r="K340" s="9" t="s">
        <v>9831</v>
      </c>
      <c r="L340" s="10" t="s">
        <v>22505</v>
      </c>
      <c r="M340" s="9" t="s">
        <v>22506</v>
      </c>
      <c r="N340" s="10" t="s">
        <v>17</v>
      </c>
      <c r="O340" s="15">
        <v>3622500</v>
      </c>
      <c r="P340" s="145">
        <v>58612</v>
      </c>
      <c r="Q340" s="9"/>
      <c r="R340" s="146"/>
      <c r="T340" s="92" t="s">
        <v>6488</v>
      </c>
      <c r="U340">
        <v>1</v>
      </c>
      <c r="V340">
        <f>VLOOKUP(T340,'Data Angt'!$A$5:$F$5810,6,FALSE)</f>
        <v>36</v>
      </c>
      <c r="W340" s="5" t="str">
        <f t="shared" si="5"/>
        <v>KESEJAHTERAAN</v>
      </c>
      <c r="X340" s="5" t="str">
        <f>VLOOKUP(T340,'Data Angt'!$A$5:$H$5810,8,FALSE)</f>
        <v>Lain-Lain</v>
      </c>
      <c r="Y340" s="5" t="str">
        <f>VLOOKUP(T340,'Data Angt'!$A$5:$C$5808,3,FALSE)</f>
        <v>PBL</v>
      </c>
    </row>
    <row r="341" spans="1:25" x14ac:dyDescent="0.3">
      <c r="A341" s="8">
        <v>335</v>
      </c>
      <c r="B341" s="9" t="s">
        <v>5718</v>
      </c>
      <c r="C341" s="10" t="str">
        <f>VLOOKUP(B341,'Data Angt'!$A$5:$B$5809,2,FALSE)</f>
        <v>A2523</v>
      </c>
      <c r="D341" s="11" t="s">
        <v>9833</v>
      </c>
      <c r="E341" s="12" t="s">
        <v>10067</v>
      </c>
      <c r="F341" s="13">
        <v>43936</v>
      </c>
      <c r="G341" s="14">
        <v>44594</v>
      </c>
      <c r="H341" s="15">
        <v>45000000</v>
      </c>
      <c r="I341" s="16">
        <v>36</v>
      </c>
      <c r="J341" s="17">
        <v>21</v>
      </c>
      <c r="K341" s="9" t="s">
        <v>9831</v>
      </c>
      <c r="L341" s="10" t="s">
        <v>10068</v>
      </c>
      <c r="M341" s="9" t="s">
        <v>10069</v>
      </c>
      <c r="N341" s="10" t="s">
        <v>9834</v>
      </c>
      <c r="O341" s="15">
        <v>22263400</v>
      </c>
      <c r="P341" s="145">
        <v>5004408</v>
      </c>
      <c r="Q341" s="9"/>
      <c r="R341" s="146"/>
      <c r="T341" s="92" t="s">
        <v>6495</v>
      </c>
      <c r="U341">
        <v>1</v>
      </c>
      <c r="V341">
        <f>VLOOKUP(T341,'Data Angt'!$A$5:$F$5810,6,FALSE)</f>
        <v>39</v>
      </c>
      <c r="W341" s="5" t="str">
        <f t="shared" si="5"/>
        <v>KONSUMTIF</v>
      </c>
      <c r="X341" s="5" t="str">
        <f>VLOOKUP(T341,'Data Angt'!$A$5:$H$5810,8,FALSE)</f>
        <v>Mengurus Rumah Tangga</v>
      </c>
      <c r="Y341" s="5" t="str">
        <f>VLOOKUP(T341,'Data Angt'!$A$5:$C$5808,3,FALSE)</f>
        <v>PBL</v>
      </c>
    </row>
    <row r="342" spans="1:25" x14ac:dyDescent="0.3">
      <c r="A342" s="8">
        <v>336</v>
      </c>
      <c r="B342" s="9" t="s">
        <v>5737</v>
      </c>
      <c r="C342" s="10" t="str">
        <f>VLOOKUP(B342,'Data Angt'!$A$5:$B$5809,2,FALSE)</f>
        <v>A2530</v>
      </c>
      <c r="D342" s="11" t="s">
        <v>9829</v>
      </c>
      <c r="E342" s="12" t="s">
        <v>15808</v>
      </c>
      <c r="F342" s="13">
        <v>45799</v>
      </c>
      <c r="G342" s="14">
        <v>45920</v>
      </c>
      <c r="H342" s="15">
        <v>2000000</v>
      </c>
      <c r="I342" s="16">
        <v>12</v>
      </c>
      <c r="J342" s="17">
        <v>11.88</v>
      </c>
      <c r="K342" s="9" t="s">
        <v>9831</v>
      </c>
      <c r="L342" s="10" t="s">
        <v>15809</v>
      </c>
      <c r="M342" s="9" t="s">
        <v>9838</v>
      </c>
      <c r="N342" s="10" t="s">
        <v>9830</v>
      </c>
      <c r="O342" s="15">
        <v>1359500</v>
      </c>
      <c r="P342" s="145">
        <v>26211</v>
      </c>
      <c r="Q342" s="9"/>
      <c r="R342" s="146"/>
      <c r="T342" s="92" t="s">
        <v>6532</v>
      </c>
      <c r="U342">
        <v>1</v>
      </c>
      <c r="V342">
        <f>VLOOKUP(T342,'Data Angt'!$A$5:$F$5810,6,FALSE)</f>
        <v>37</v>
      </c>
      <c r="W342" s="5" t="str">
        <f t="shared" si="5"/>
        <v>KONSUMTIF</v>
      </c>
      <c r="X342" s="5" t="str">
        <f>VLOOKUP(T342,'Data Angt'!$A$5:$H$5810,8,FALSE)</f>
        <v>Lain-Lain</v>
      </c>
      <c r="Y342" s="5" t="str">
        <f>VLOOKUP(T342,'Data Angt'!$A$5:$C$5808,3,FALSE)</f>
        <v>PBL</v>
      </c>
    </row>
    <row r="343" spans="1:25" x14ac:dyDescent="0.3">
      <c r="A343" s="8">
        <v>337</v>
      </c>
      <c r="B343" s="9" t="s">
        <v>5745</v>
      </c>
      <c r="C343" s="10" t="str">
        <f>VLOOKUP(B343,'Data Angt'!$A$5:$B$5809,2,FALSE)</f>
        <v>A2533</v>
      </c>
      <c r="D343" s="11" t="s">
        <v>9826</v>
      </c>
      <c r="E343" s="12" t="s">
        <v>15810</v>
      </c>
      <c r="F343" s="13">
        <v>45785</v>
      </c>
      <c r="G343" s="14">
        <v>45908</v>
      </c>
      <c r="H343" s="15">
        <v>5000000</v>
      </c>
      <c r="I343" s="16">
        <v>12</v>
      </c>
      <c r="J343" s="17">
        <v>24</v>
      </c>
      <c r="K343" s="9" t="s">
        <v>9831</v>
      </c>
      <c r="L343" s="10" t="s">
        <v>15811</v>
      </c>
      <c r="M343" s="9" t="s">
        <v>15812</v>
      </c>
      <c r="N343" s="10" t="s">
        <v>17</v>
      </c>
      <c r="O343" s="15">
        <v>3463600</v>
      </c>
      <c r="P343" s="145">
        <v>133050</v>
      </c>
      <c r="Q343" s="9"/>
      <c r="R343" s="146"/>
      <c r="T343" s="92" t="s">
        <v>6563</v>
      </c>
      <c r="U343">
        <v>1</v>
      </c>
      <c r="V343">
        <f>VLOOKUP(T343,'Data Angt'!$A$5:$F$5810,6,FALSE)</f>
        <v>27</v>
      </c>
      <c r="W343" s="5" t="str">
        <f t="shared" si="5"/>
        <v>KONSUMTIF</v>
      </c>
      <c r="X343" s="5" t="str">
        <f>VLOOKUP(T343,'Data Angt'!$A$5:$H$5810,8,FALSE)</f>
        <v>Karyawan</v>
      </c>
      <c r="Y343" s="5" t="str">
        <f>VLOOKUP(T343,'Data Angt'!$A$5:$C$5808,3,FALSE)</f>
        <v>PBL</v>
      </c>
    </row>
    <row r="344" spans="1:25" x14ac:dyDescent="0.3">
      <c r="A344" s="8">
        <v>338</v>
      </c>
      <c r="B344" s="9" t="s">
        <v>5745</v>
      </c>
      <c r="C344" s="10" t="str">
        <f>VLOOKUP(B344,'Data Angt'!$A$5:$B$5809,2,FALSE)</f>
        <v>A2533</v>
      </c>
      <c r="D344" s="11" t="s">
        <v>9829</v>
      </c>
      <c r="E344" s="12" t="s">
        <v>22507</v>
      </c>
      <c r="F344" s="13">
        <v>45891</v>
      </c>
      <c r="G344" s="14">
        <v>45908</v>
      </c>
      <c r="H344" s="15">
        <v>9000000</v>
      </c>
      <c r="I344" s="16">
        <v>18</v>
      </c>
      <c r="J344" s="17">
        <v>24</v>
      </c>
      <c r="K344" s="9" t="s">
        <v>9831</v>
      </c>
      <c r="L344" s="10" t="s">
        <v>22508</v>
      </c>
      <c r="M344" s="9" t="s">
        <v>9841</v>
      </c>
      <c r="N344" s="10" t="s">
        <v>17</v>
      </c>
      <c r="O344" s="15">
        <v>8579600</v>
      </c>
      <c r="P344" s="145">
        <v>67500</v>
      </c>
      <c r="Q344" s="9" t="s">
        <v>22189</v>
      </c>
      <c r="R344" s="146" t="s">
        <v>22509</v>
      </c>
      <c r="T344" s="92" t="s">
        <v>6575</v>
      </c>
      <c r="U344">
        <v>1</v>
      </c>
      <c r="V344">
        <f>VLOOKUP(T344,'Data Angt'!$A$5:$F$5810,6,FALSE)</f>
        <v>29</v>
      </c>
      <c r="W344" s="5" t="str">
        <f t="shared" si="5"/>
        <v>PENDIDIKAN</v>
      </c>
      <c r="X344" s="5" t="str">
        <f>VLOOKUP(T344,'Data Angt'!$A$5:$H$5810,8,FALSE)</f>
        <v>Lain-Lain</v>
      </c>
      <c r="Y344" s="5" t="str">
        <f>VLOOKUP(T344,'Data Angt'!$A$5:$C$5808,3,FALSE)</f>
        <v>PBL</v>
      </c>
    </row>
    <row r="345" spans="1:25" x14ac:dyDescent="0.3">
      <c r="A345" s="8">
        <v>339</v>
      </c>
      <c r="B345" s="9" t="s">
        <v>5790</v>
      </c>
      <c r="C345" s="10" t="str">
        <f>VLOOKUP(B345,'Data Angt'!$A$5:$B$5809,2,FALSE)</f>
        <v>A2553</v>
      </c>
      <c r="D345" s="11" t="s">
        <v>9829</v>
      </c>
      <c r="E345" s="12" t="s">
        <v>22510</v>
      </c>
      <c r="F345" s="13">
        <v>45920</v>
      </c>
      <c r="G345" s="14">
        <v>45920</v>
      </c>
      <c r="H345" s="15">
        <v>3000000</v>
      </c>
      <c r="I345" s="16">
        <v>15</v>
      </c>
      <c r="J345" s="17">
        <v>24</v>
      </c>
      <c r="K345" s="9" t="s">
        <v>9831</v>
      </c>
      <c r="L345" s="10" t="s">
        <v>22511</v>
      </c>
      <c r="M345" s="9" t="s">
        <v>2150</v>
      </c>
      <c r="N345" s="10" t="s">
        <v>9828</v>
      </c>
      <c r="O345" s="15">
        <v>3000000</v>
      </c>
      <c r="P345" s="147">
        <v>0</v>
      </c>
      <c r="Q345" s="9"/>
      <c r="R345" s="146"/>
      <c r="T345" s="92" t="s">
        <v>6586</v>
      </c>
      <c r="U345">
        <v>1</v>
      </c>
      <c r="V345">
        <f>VLOOKUP(T345,'Data Angt'!$A$5:$F$5810,6,FALSE)</f>
        <v>62</v>
      </c>
      <c r="W345" s="5" t="str">
        <f t="shared" si="5"/>
        <v>KONSUMTIF</v>
      </c>
      <c r="X345" s="5" t="str">
        <f>VLOOKUP(T345,'Data Angt'!$A$5:$H$5810,8,FALSE)</f>
        <v>Lain-Lain</v>
      </c>
      <c r="Y345" s="5" t="str">
        <f>VLOOKUP(T345,'Data Angt'!$A$5:$C$5808,3,FALSE)</f>
        <v>PBL</v>
      </c>
    </row>
    <row r="346" spans="1:25" x14ac:dyDescent="0.3">
      <c r="A346" s="8">
        <v>340</v>
      </c>
      <c r="B346" s="9" t="s">
        <v>5802</v>
      </c>
      <c r="C346" s="10" t="str">
        <f>VLOOKUP(B346,'Data Angt'!$A$5:$B$5809,2,FALSE)</f>
        <v>A2559</v>
      </c>
      <c r="D346" s="11" t="s">
        <v>9829</v>
      </c>
      <c r="E346" s="12" t="s">
        <v>15814</v>
      </c>
      <c r="F346" s="13">
        <v>45825</v>
      </c>
      <c r="G346" s="14">
        <v>45918</v>
      </c>
      <c r="H346" s="15">
        <v>6000000</v>
      </c>
      <c r="I346" s="16">
        <v>24</v>
      </c>
      <c r="J346" s="17">
        <v>24</v>
      </c>
      <c r="K346" s="9" t="s">
        <v>9831</v>
      </c>
      <c r="L346" s="10" t="s">
        <v>15815</v>
      </c>
      <c r="M346" s="9" t="s">
        <v>15816</v>
      </c>
      <c r="N346" s="10" t="s">
        <v>17</v>
      </c>
      <c r="O346" s="15">
        <v>5396300</v>
      </c>
      <c r="P346" s="145">
        <v>130574</v>
      </c>
      <c r="Q346" s="9" t="s">
        <v>22189</v>
      </c>
      <c r="R346" s="146" t="s">
        <v>22512</v>
      </c>
      <c r="T346" s="92" t="s">
        <v>6596</v>
      </c>
      <c r="U346">
        <v>1</v>
      </c>
      <c r="V346">
        <f>VLOOKUP(T346,'Data Angt'!$A$5:$F$5810,6,FALSE)</f>
        <v>36</v>
      </c>
      <c r="W346" s="5" t="str">
        <f t="shared" si="5"/>
        <v>PRODUKTIF</v>
      </c>
      <c r="X346" s="5" t="str">
        <f>VLOOKUP(T346,'Data Angt'!$A$5:$H$5810,8,FALSE)</f>
        <v>Wiraswasta</v>
      </c>
      <c r="Y346" s="5" t="str">
        <f>VLOOKUP(T346,'Data Angt'!$A$5:$C$5808,3,FALSE)</f>
        <v>PBL</v>
      </c>
    </row>
    <row r="347" spans="1:25" x14ac:dyDescent="0.3">
      <c r="A347" s="8">
        <v>341</v>
      </c>
      <c r="B347" s="9" t="s">
        <v>5805</v>
      </c>
      <c r="C347" s="10" t="str">
        <f>VLOOKUP(B347,'Data Angt'!$A$5:$B$5809,2,FALSE)</f>
        <v>A2560</v>
      </c>
      <c r="D347" s="11" t="s">
        <v>9833</v>
      </c>
      <c r="E347" s="12" t="s">
        <v>10070</v>
      </c>
      <c r="F347" s="13">
        <v>44705</v>
      </c>
      <c r="G347" s="14">
        <v>45887</v>
      </c>
      <c r="H347" s="15">
        <v>65000000</v>
      </c>
      <c r="I347" s="16">
        <v>48</v>
      </c>
      <c r="J347" s="17">
        <v>21</v>
      </c>
      <c r="K347" s="9" t="s">
        <v>9831</v>
      </c>
      <c r="L347" s="10" t="s">
        <v>10071</v>
      </c>
      <c r="M347" s="9" t="s">
        <v>10072</v>
      </c>
      <c r="N347" s="10" t="s">
        <v>9834</v>
      </c>
      <c r="O347" s="15">
        <v>46667800</v>
      </c>
      <c r="P347" s="145">
        <v>7883506</v>
      </c>
      <c r="Q347" s="9" t="s">
        <v>22197</v>
      </c>
      <c r="R347" s="146" t="s">
        <v>22513</v>
      </c>
      <c r="T347" s="92" t="s">
        <v>6616</v>
      </c>
      <c r="U347">
        <v>1</v>
      </c>
      <c r="V347">
        <f>VLOOKUP(T347,'Data Angt'!$A$5:$F$5810,6,FALSE)</f>
        <v>42</v>
      </c>
      <c r="W347" s="5" t="str">
        <f t="shared" si="5"/>
        <v>KESEJAHTERAAN</v>
      </c>
      <c r="X347" s="5" t="str">
        <f>VLOOKUP(T347,'Data Angt'!$A$5:$H$5810,8,FALSE)</f>
        <v>Lain-Lain</v>
      </c>
      <c r="Y347" s="5" t="str">
        <f>VLOOKUP(T347,'Data Angt'!$A$5:$C$5808,3,FALSE)</f>
        <v>PBL</v>
      </c>
    </row>
    <row r="348" spans="1:25" x14ac:dyDescent="0.3">
      <c r="A348" s="8">
        <v>342</v>
      </c>
      <c r="B348" s="9" t="s">
        <v>5813</v>
      </c>
      <c r="C348" s="10" t="str">
        <f>VLOOKUP(B348,'Data Angt'!$A$5:$B$5809,2,FALSE)</f>
        <v>A2563</v>
      </c>
      <c r="D348" s="11" t="s">
        <v>9829</v>
      </c>
      <c r="E348" s="12" t="s">
        <v>10073</v>
      </c>
      <c r="F348" s="13">
        <v>42970</v>
      </c>
      <c r="G348" s="14">
        <v>45930</v>
      </c>
      <c r="H348" s="15">
        <v>50000000</v>
      </c>
      <c r="I348" s="16">
        <v>60</v>
      </c>
      <c r="J348" s="17">
        <v>21</v>
      </c>
      <c r="K348" s="9" t="s">
        <v>9827</v>
      </c>
      <c r="L348" s="10"/>
      <c r="M348" s="9"/>
      <c r="N348" s="10"/>
      <c r="O348" s="15">
        <v>6450800</v>
      </c>
      <c r="P348" s="145">
        <v>9323355</v>
      </c>
      <c r="Q348" s="9"/>
      <c r="R348" s="146"/>
      <c r="T348" s="92" t="s">
        <v>6620</v>
      </c>
      <c r="U348">
        <v>1</v>
      </c>
      <c r="V348">
        <f>VLOOKUP(T348,'Data Angt'!$A$5:$F$5810,6,FALSE)</f>
        <v>50</v>
      </c>
      <c r="W348" s="5" t="str">
        <f t="shared" si="5"/>
        <v>KONSUMTIF</v>
      </c>
      <c r="X348" s="5" t="str">
        <f>VLOOKUP(T348,'Data Angt'!$A$5:$H$5810,8,FALSE)</f>
        <v>Lain-Lain</v>
      </c>
      <c r="Y348" s="5" t="str">
        <f>VLOOKUP(T348,'Data Angt'!$A$5:$C$5808,3,FALSE)</f>
        <v>PBL</v>
      </c>
    </row>
    <row r="349" spans="1:25" x14ac:dyDescent="0.3">
      <c r="A349" s="8">
        <v>343</v>
      </c>
      <c r="B349" s="9" t="s">
        <v>5827</v>
      </c>
      <c r="C349" s="10" t="str">
        <f>VLOOKUP(B349,'Data Angt'!$A$5:$B$5809,2,FALSE)</f>
        <v>A2570</v>
      </c>
      <c r="D349" s="11" t="s">
        <v>9895</v>
      </c>
      <c r="E349" s="12" t="s">
        <v>10074</v>
      </c>
      <c r="F349" s="13">
        <v>44714</v>
      </c>
      <c r="G349" s="14">
        <v>45902</v>
      </c>
      <c r="H349" s="15">
        <v>12000000</v>
      </c>
      <c r="I349" s="16">
        <v>36</v>
      </c>
      <c r="J349" s="17">
        <v>24</v>
      </c>
      <c r="K349" s="9" t="s">
        <v>9831</v>
      </c>
      <c r="L349" s="10" t="s">
        <v>10075</v>
      </c>
      <c r="M349" s="9" t="s">
        <v>10076</v>
      </c>
      <c r="N349" s="10" t="s">
        <v>9828</v>
      </c>
      <c r="O349" s="15">
        <v>4900700</v>
      </c>
      <c r="P349" s="145">
        <v>2426652</v>
      </c>
      <c r="Q349" s="9"/>
      <c r="R349" s="146"/>
      <c r="T349" s="92" t="s">
        <v>6627</v>
      </c>
      <c r="U349">
        <v>1</v>
      </c>
      <c r="V349">
        <f>VLOOKUP(T349,'Data Angt'!$A$5:$F$5810,6,FALSE)</f>
        <v>44</v>
      </c>
      <c r="W349" s="5" t="str">
        <f t="shared" si="5"/>
        <v>PENDIDIKAN</v>
      </c>
      <c r="X349" s="5" t="str">
        <f>VLOOKUP(T349,'Data Angt'!$A$5:$H$5810,8,FALSE)</f>
        <v>Mengurus Rumah Tangga</v>
      </c>
      <c r="Y349" s="5" t="str">
        <f>VLOOKUP(T349,'Data Angt'!$A$5:$C$5808,3,FALSE)</f>
        <v>PBL</v>
      </c>
    </row>
    <row r="350" spans="1:25" x14ac:dyDescent="0.3">
      <c r="A350" s="8">
        <v>344</v>
      </c>
      <c r="B350" s="9" t="s">
        <v>5859</v>
      </c>
      <c r="C350" s="10" t="str">
        <f>VLOOKUP(B350,'Data Angt'!$A$5:$B$5809,2,FALSE)</f>
        <v>A2587</v>
      </c>
      <c r="D350" s="11" t="s">
        <v>9833</v>
      </c>
      <c r="E350" s="12" t="s">
        <v>10077</v>
      </c>
      <c r="F350" s="13">
        <v>43452</v>
      </c>
      <c r="G350" s="14">
        <v>45904</v>
      </c>
      <c r="H350" s="15">
        <v>75000000</v>
      </c>
      <c r="I350" s="16">
        <v>48</v>
      </c>
      <c r="J350" s="17">
        <v>12</v>
      </c>
      <c r="K350" s="9" t="s">
        <v>9831</v>
      </c>
      <c r="L350" s="10" t="s">
        <v>10078</v>
      </c>
      <c r="M350" s="9" t="s">
        <v>10079</v>
      </c>
      <c r="N350" s="10" t="s">
        <v>9834</v>
      </c>
      <c r="O350" s="15">
        <v>38733000</v>
      </c>
      <c r="P350" s="145">
        <v>11843578</v>
      </c>
      <c r="Q350" s="9" t="s">
        <v>22514</v>
      </c>
      <c r="R350" s="146" t="s">
        <v>22515</v>
      </c>
      <c r="T350" s="92" t="s">
        <v>6629</v>
      </c>
      <c r="U350">
        <v>1</v>
      </c>
      <c r="V350">
        <f>VLOOKUP(T350,'Data Angt'!$A$5:$F$5810,6,FALSE)</f>
        <v>65</v>
      </c>
      <c r="W350" s="5" t="str">
        <f t="shared" si="5"/>
        <v>KESEJAHTERAAN</v>
      </c>
      <c r="X350" s="5" t="str">
        <f>VLOOKUP(T350,'Data Angt'!$A$5:$H$5810,8,FALSE)</f>
        <v>Mengurus Rumah Tangga</v>
      </c>
      <c r="Y350" s="5" t="str">
        <f>VLOOKUP(T350,'Data Angt'!$A$5:$C$5808,3,FALSE)</f>
        <v>PBL</v>
      </c>
    </row>
    <row r="351" spans="1:25" x14ac:dyDescent="0.3">
      <c r="A351" s="8">
        <v>345</v>
      </c>
      <c r="B351" s="9" t="s">
        <v>5866</v>
      </c>
      <c r="C351" s="10" t="str">
        <f>VLOOKUP(B351,'Data Angt'!$A$5:$B$5809,2,FALSE)</f>
        <v>A2589</v>
      </c>
      <c r="D351" s="11" t="s">
        <v>9829</v>
      </c>
      <c r="E351" s="12" t="s">
        <v>22516</v>
      </c>
      <c r="F351" s="13">
        <v>45918</v>
      </c>
      <c r="G351" s="14">
        <v>45918</v>
      </c>
      <c r="H351" s="15">
        <v>30000000</v>
      </c>
      <c r="I351" s="16">
        <v>24</v>
      </c>
      <c r="J351" s="17">
        <v>21</v>
      </c>
      <c r="K351" s="9" t="s">
        <v>9831</v>
      </c>
      <c r="L351" s="10" t="s">
        <v>22517</v>
      </c>
      <c r="M351" s="9" t="s">
        <v>9838</v>
      </c>
      <c r="N351" s="10" t="s">
        <v>9830</v>
      </c>
      <c r="O351" s="15">
        <v>30000000</v>
      </c>
      <c r="P351" s="147">
        <v>0</v>
      </c>
      <c r="Q351" s="9" t="s">
        <v>22189</v>
      </c>
      <c r="R351" s="146" t="s">
        <v>22518</v>
      </c>
      <c r="T351" s="92" t="s">
        <v>6664</v>
      </c>
      <c r="U351">
        <v>1</v>
      </c>
      <c r="V351">
        <f>VLOOKUP(T351,'Data Angt'!$A$5:$F$5810,6,FALSE)</f>
        <v>28</v>
      </c>
      <c r="W351" s="5" t="str">
        <f t="shared" si="5"/>
        <v>KONSUMTIF</v>
      </c>
      <c r="X351" s="5" t="str">
        <f>VLOOKUP(T351,'Data Angt'!$A$5:$H$5810,8,FALSE)</f>
        <v>Karyawan</v>
      </c>
      <c r="Y351" s="5" t="str">
        <f>VLOOKUP(T351,'Data Angt'!$A$5:$C$5808,3,FALSE)</f>
        <v>PBL</v>
      </c>
    </row>
    <row r="352" spans="1:25" x14ac:dyDescent="0.3">
      <c r="A352" s="8">
        <v>346</v>
      </c>
      <c r="B352" s="9" t="s">
        <v>5943</v>
      </c>
      <c r="C352" s="10" t="str">
        <f>VLOOKUP(B352,'Data Angt'!$A$5:$B$5809,2,FALSE)</f>
        <v>A2623</v>
      </c>
      <c r="D352" s="11" t="s">
        <v>9833</v>
      </c>
      <c r="E352" s="12" t="s">
        <v>15817</v>
      </c>
      <c r="F352" s="13">
        <v>45561</v>
      </c>
      <c r="G352" s="14">
        <v>45908</v>
      </c>
      <c r="H352" s="15">
        <v>4000000</v>
      </c>
      <c r="I352" s="16">
        <v>18</v>
      </c>
      <c r="J352" s="17">
        <v>24</v>
      </c>
      <c r="K352" s="9" t="s">
        <v>9831</v>
      </c>
      <c r="L352" s="10" t="s">
        <v>15818</v>
      </c>
      <c r="M352" s="9" t="s">
        <v>15819</v>
      </c>
      <c r="N352" s="10" t="s">
        <v>9834</v>
      </c>
      <c r="O352" s="15">
        <v>1493900</v>
      </c>
      <c r="P352" s="145">
        <v>261260</v>
      </c>
      <c r="Q352" s="9"/>
      <c r="R352" s="146"/>
      <c r="T352" s="92" t="s">
        <v>6667</v>
      </c>
      <c r="U352">
        <v>1</v>
      </c>
      <c r="V352">
        <f>VLOOKUP(T352,'Data Angt'!$A$5:$F$5810,6,FALSE)</f>
        <v>39</v>
      </c>
      <c r="W352" s="5" t="str">
        <f t="shared" si="5"/>
        <v>KONSUMTIF</v>
      </c>
      <c r="X352" s="5" t="str">
        <f>VLOOKUP(T352,'Data Angt'!$A$5:$H$5810,8,FALSE)</f>
        <v>Mengurus Rumah Tangga</v>
      </c>
      <c r="Y352" s="5" t="str">
        <f>VLOOKUP(T352,'Data Angt'!$A$5:$C$5808,3,FALSE)</f>
        <v>PBL</v>
      </c>
    </row>
    <row r="353" spans="1:25" x14ac:dyDescent="0.3">
      <c r="A353" s="8">
        <v>347</v>
      </c>
      <c r="B353" s="9" t="s">
        <v>5962</v>
      </c>
      <c r="C353" s="10" t="str">
        <f>VLOOKUP(B353,'Data Angt'!$A$5:$B$5809,2,FALSE)</f>
        <v>A2632</v>
      </c>
      <c r="D353" s="11" t="s">
        <v>9842</v>
      </c>
      <c r="E353" s="12" t="s">
        <v>10080</v>
      </c>
      <c r="F353" s="13">
        <v>43397</v>
      </c>
      <c r="G353" s="14">
        <v>45927</v>
      </c>
      <c r="H353" s="15">
        <v>245000000</v>
      </c>
      <c r="I353" s="16">
        <v>180</v>
      </c>
      <c r="J353" s="17">
        <v>11.4</v>
      </c>
      <c r="K353" s="9" t="s">
        <v>9831</v>
      </c>
      <c r="L353" s="10" t="s">
        <v>10081</v>
      </c>
      <c r="M353" s="9" t="s">
        <v>10082</v>
      </c>
      <c r="N353" s="10" t="s">
        <v>9830</v>
      </c>
      <c r="O353" s="15">
        <v>179876800</v>
      </c>
      <c r="P353" s="145">
        <v>64179202</v>
      </c>
      <c r="Q353" s="9"/>
      <c r="R353" s="146"/>
      <c r="T353" s="92" t="s">
        <v>6677</v>
      </c>
      <c r="U353">
        <v>2</v>
      </c>
      <c r="V353">
        <f>VLOOKUP(T353,'Data Angt'!$A$5:$F$5810,6,FALSE)</f>
        <v>35</v>
      </c>
      <c r="W353" s="5" t="str">
        <f t="shared" si="5"/>
        <v>PRODUKTIF</v>
      </c>
      <c r="X353" s="5" t="str">
        <f>VLOOKUP(T353,'Data Angt'!$A$5:$H$5810,8,FALSE)</f>
        <v>Mengurus Rumah Tangga</v>
      </c>
      <c r="Y353" s="5" t="str">
        <f>VLOOKUP(T353,'Data Angt'!$A$5:$C$5808,3,FALSE)</f>
        <v>PBL</v>
      </c>
    </row>
    <row r="354" spans="1:25" x14ac:dyDescent="0.3">
      <c r="A354" s="8">
        <v>348</v>
      </c>
      <c r="B354" s="9" t="s">
        <v>5989</v>
      </c>
      <c r="C354" s="10" t="str">
        <f>VLOOKUP(B354,'Data Angt'!$A$5:$B$5809,2,FALSE)</f>
        <v>A2645</v>
      </c>
      <c r="D354" s="11" t="s">
        <v>9833</v>
      </c>
      <c r="E354" s="12" t="s">
        <v>15820</v>
      </c>
      <c r="F354" s="13">
        <v>45328</v>
      </c>
      <c r="G354" s="14">
        <v>45906</v>
      </c>
      <c r="H354" s="15">
        <v>12000000</v>
      </c>
      <c r="I354" s="16">
        <v>24</v>
      </c>
      <c r="J354" s="17">
        <v>24</v>
      </c>
      <c r="K354" s="9" t="s">
        <v>9831</v>
      </c>
      <c r="L354" s="10" t="s">
        <v>15821</v>
      </c>
      <c r="M354" s="9" t="s">
        <v>10083</v>
      </c>
      <c r="N354" s="10" t="s">
        <v>9834</v>
      </c>
      <c r="O354" s="15">
        <v>2990300</v>
      </c>
      <c r="P354" s="145">
        <v>1142171</v>
      </c>
      <c r="Q354" s="9" t="s">
        <v>22189</v>
      </c>
      <c r="R354" s="146" t="s">
        <v>22519</v>
      </c>
      <c r="T354" s="92" t="s">
        <v>6683</v>
      </c>
      <c r="U354">
        <v>1</v>
      </c>
      <c r="V354">
        <f>VLOOKUP(T354,'Data Angt'!$A$5:$F$5810,6,FALSE)</f>
        <v>46</v>
      </c>
      <c r="W354" s="5" t="str">
        <f t="shared" si="5"/>
        <v>PRODUKTIF</v>
      </c>
      <c r="X354" s="5" t="str">
        <f>VLOOKUP(T354,'Data Angt'!$A$5:$H$5810,8,FALSE)</f>
        <v>Lain-Lain</v>
      </c>
      <c r="Y354" s="5" t="str">
        <f>VLOOKUP(T354,'Data Angt'!$A$5:$C$5808,3,FALSE)</f>
        <v>PBL</v>
      </c>
    </row>
    <row r="355" spans="1:25" x14ac:dyDescent="0.3">
      <c r="A355" s="8">
        <v>349</v>
      </c>
      <c r="B355" s="9" t="s">
        <v>5991</v>
      </c>
      <c r="C355" s="10" t="str">
        <f>VLOOKUP(B355,'Data Angt'!$A$5:$B$5809,2,FALSE)</f>
        <v>A2647</v>
      </c>
      <c r="D355" s="11" t="s">
        <v>9829</v>
      </c>
      <c r="E355" s="12" t="s">
        <v>15822</v>
      </c>
      <c r="F355" s="13">
        <v>45779</v>
      </c>
      <c r="G355" s="14">
        <v>45902</v>
      </c>
      <c r="H355" s="15">
        <v>30000000</v>
      </c>
      <c r="I355" s="16">
        <v>48</v>
      </c>
      <c r="J355" s="17">
        <v>21</v>
      </c>
      <c r="K355" s="9" t="s">
        <v>9831</v>
      </c>
      <c r="L355" s="10" t="s">
        <v>15823</v>
      </c>
      <c r="M355" s="9" t="s">
        <v>15824</v>
      </c>
      <c r="N355" s="10" t="s">
        <v>9828</v>
      </c>
      <c r="O355" s="15">
        <v>28341300</v>
      </c>
      <c r="P355" s="145">
        <v>771487</v>
      </c>
      <c r="Q355" s="9" t="s">
        <v>22220</v>
      </c>
      <c r="R355" s="146" t="s">
        <v>22520</v>
      </c>
      <c r="T355" s="92" t="s">
        <v>6703</v>
      </c>
      <c r="U355">
        <v>1</v>
      </c>
      <c r="V355">
        <f>VLOOKUP(T355,'Data Angt'!$A$5:$F$5810,6,FALSE)</f>
        <v>45</v>
      </c>
      <c r="W355" s="5" t="str">
        <f t="shared" si="5"/>
        <v>KESEJAHTERAAN</v>
      </c>
      <c r="X355" s="5" t="str">
        <f>VLOOKUP(T355,'Data Angt'!$A$5:$H$5810,8,FALSE)</f>
        <v>Karyawan</v>
      </c>
      <c r="Y355" s="5" t="str">
        <f>VLOOKUP(T355,'Data Angt'!$A$5:$C$5808,3,FALSE)</f>
        <v>PBL</v>
      </c>
    </row>
    <row r="356" spans="1:25" x14ac:dyDescent="0.3">
      <c r="A356" s="8">
        <v>350</v>
      </c>
      <c r="B356" s="9" t="s">
        <v>5993</v>
      </c>
      <c r="C356" s="10" t="str">
        <f>VLOOKUP(B356,'Data Angt'!$A$5:$B$5809,2,FALSE)</f>
        <v>A2648</v>
      </c>
      <c r="D356" s="11" t="s">
        <v>9842</v>
      </c>
      <c r="E356" s="12" t="s">
        <v>10084</v>
      </c>
      <c r="F356" s="13">
        <v>44585</v>
      </c>
      <c r="G356" s="14">
        <v>45923</v>
      </c>
      <c r="H356" s="15">
        <v>100000000</v>
      </c>
      <c r="I356" s="16">
        <v>72</v>
      </c>
      <c r="J356" s="17">
        <v>11.8</v>
      </c>
      <c r="K356" s="9" t="s">
        <v>9831</v>
      </c>
      <c r="L356" s="10" t="s">
        <v>10085</v>
      </c>
      <c r="M356" s="9"/>
      <c r="N356" s="10"/>
      <c r="O356" s="15">
        <v>47394000</v>
      </c>
      <c r="P356" s="145">
        <v>12360289</v>
      </c>
      <c r="Q356" s="9" t="s">
        <v>22197</v>
      </c>
      <c r="R356" s="146" t="s">
        <v>22521</v>
      </c>
      <c r="T356" s="92" t="s">
        <v>6735</v>
      </c>
      <c r="U356">
        <v>1</v>
      </c>
      <c r="V356">
        <f>VLOOKUP(T356,'Data Angt'!$A$5:$F$5810,6,FALSE)</f>
        <v>56</v>
      </c>
      <c r="W356" s="5" t="str">
        <f t="shared" si="5"/>
        <v>PRODUKTIF</v>
      </c>
      <c r="X356" s="5" t="str">
        <f>VLOOKUP(T356,'Data Angt'!$A$5:$H$5810,8,FALSE)</f>
        <v>Wiraswasta</v>
      </c>
      <c r="Y356" s="5" t="str">
        <f>VLOOKUP(T356,'Data Angt'!$A$5:$C$5808,3,FALSE)</f>
        <v>PBL</v>
      </c>
    </row>
    <row r="357" spans="1:25" x14ac:dyDescent="0.3">
      <c r="A357" s="8">
        <v>351</v>
      </c>
      <c r="B357" s="9" t="s">
        <v>6021</v>
      </c>
      <c r="C357" s="10" t="str">
        <f>VLOOKUP(B357,'Data Angt'!$A$5:$B$5809,2,FALSE)</f>
        <v>A2661</v>
      </c>
      <c r="D357" s="11" t="s">
        <v>9842</v>
      </c>
      <c r="E357" s="12" t="s">
        <v>10087</v>
      </c>
      <c r="F357" s="13">
        <v>43544</v>
      </c>
      <c r="G357" s="14">
        <v>45807</v>
      </c>
      <c r="H357" s="15">
        <v>170000000</v>
      </c>
      <c r="I357" s="16">
        <v>144</v>
      </c>
      <c r="J357" s="17">
        <v>11.4</v>
      </c>
      <c r="K357" s="9" t="s">
        <v>9831</v>
      </c>
      <c r="L357" s="10" t="s">
        <v>10088</v>
      </c>
      <c r="M357" s="9" t="s">
        <v>9855</v>
      </c>
      <c r="N357" s="10" t="s">
        <v>9830</v>
      </c>
      <c r="O357" s="15">
        <v>126337900</v>
      </c>
      <c r="P357" s="145">
        <v>31671139</v>
      </c>
      <c r="Q357" s="9"/>
      <c r="R357" s="146"/>
      <c r="T357" s="92" t="s">
        <v>6784</v>
      </c>
      <c r="U357">
        <v>1</v>
      </c>
      <c r="V357">
        <f>VLOOKUP(T357,'Data Angt'!$A$5:$F$5810,6,FALSE)</f>
        <v>50</v>
      </c>
      <c r="W357" s="5" t="str">
        <f t="shared" si="5"/>
        <v>KESEJAHTERAAN</v>
      </c>
      <c r="X357" s="5" t="str">
        <f>VLOOKUP(T357,'Data Angt'!$A$5:$H$5810,8,FALSE)</f>
        <v>Lain-Lain</v>
      </c>
      <c r="Y357" s="5" t="str">
        <f>VLOOKUP(T357,'Data Angt'!$A$5:$C$5808,3,FALSE)</f>
        <v>PBL</v>
      </c>
    </row>
    <row r="358" spans="1:25" x14ac:dyDescent="0.3">
      <c r="A358" s="8">
        <v>352</v>
      </c>
      <c r="B358" s="9" t="s">
        <v>6049</v>
      </c>
      <c r="C358" s="10" t="str">
        <f>VLOOKUP(B358,'Data Angt'!$A$5:$B$5809,2,FALSE)</f>
        <v>A2675</v>
      </c>
      <c r="D358" s="11" t="s">
        <v>9829</v>
      </c>
      <c r="E358" s="12" t="s">
        <v>22522</v>
      </c>
      <c r="F358" s="13">
        <v>45860</v>
      </c>
      <c r="G358" s="14">
        <v>45924</v>
      </c>
      <c r="H358" s="15">
        <v>6000000</v>
      </c>
      <c r="I358" s="16">
        <v>10</v>
      </c>
      <c r="J358" s="17">
        <v>24</v>
      </c>
      <c r="K358" s="9" t="s">
        <v>9831</v>
      </c>
      <c r="L358" s="10" t="s">
        <v>22523</v>
      </c>
      <c r="M358" s="9" t="s">
        <v>22524</v>
      </c>
      <c r="N358" s="10" t="s">
        <v>9828</v>
      </c>
      <c r="O358" s="15">
        <v>4893100</v>
      </c>
      <c r="P358" s="145">
        <v>85912</v>
      </c>
      <c r="Q358" s="9"/>
      <c r="R358" s="146"/>
      <c r="T358" s="92" t="s">
        <v>6787</v>
      </c>
      <c r="U358">
        <v>1</v>
      </c>
      <c r="V358">
        <f>VLOOKUP(T358,'Data Angt'!$A$5:$F$5810,6,FALSE)</f>
        <v>57</v>
      </c>
      <c r="W358" s="5" t="str">
        <f t="shared" si="5"/>
        <v>PRODUKTIF</v>
      </c>
      <c r="X358" s="5" t="str">
        <f>VLOOKUP(T358,'Data Angt'!$A$5:$H$5810,8,FALSE)</f>
        <v>Wiraswasta</v>
      </c>
      <c r="Y358" s="5" t="str">
        <f>VLOOKUP(T358,'Data Angt'!$A$5:$C$5808,3,FALSE)</f>
        <v>PBL</v>
      </c>
    </row>
    <row r="359" spans="1:25" x14ac:dyDescent="0.3">
      <c r="A359" s="8">
        <v>353</v>
      </c>
      <c r="B359" s="9" t="s">
        <v>6073</v>
      </c>
      <c r="C359" s="10" t="str">
        <f>VLOOKUP(B359,'Data Angt'!$A$5:$B$5809,2,FALSE)</f>
        <v>A2685</v>
      </c>
      <c r="D359" s="11" t="s">
        <v>10089</v>
      </c>
      <c r="E359" s="12" t="s">
        <v>10090</v>
      </c>
      <c r="F359" s="13">
        <v>42748</v>
      </c>
      <c r="G359" s="14">
        <v>44879</v>
      </c>
      <c r="H359" s="15">
        <v>150000000</v>
      </c>
      <c r="I359" s="16">
        <v>24</v>
      </c>
      <c r="J359" s="17">
        <v>11.88</v>
      </c>
      <c r="K359" s="9" t="s">
        <v>9867</v>
      </c>
      <c r="L359" s="10"/>
      <c r="M359" s="9"/>
      <c r="N359" s="10"/>
      <c r="O359" s="15">
        <v>125000000</v>
      </c>
      <c r="P359" s="145">
        <v>15170625</v>
      </c>
      <c r="Q359" s="9"/>
      <c r="R359" s="146"/>
      <c r="T359" s="92" t="s">
        <v>6821</v>
      </c>
      <c r="U359">
        <v>1</v>
      </c>
      <c r="V359">
        <f>VLOOKUP(T359,'Data Angt'!$A$5:$F$5810,6,FALSE)</f>
        <v>35</v>
      </c>
      <c r="W359" s="5" t="str">
        <f t="shared" si="5"/>
        <v>PENDIDIKAN</v>
      </c>
      <c r="X359" s="5" t="str">
        <f>VLOOKUP(T359,'Data Angt'!$A$5:$H$5810,8,FALSE)</f>
        <v>Lain-Lain</v>
      </c>
      <c r="Y359" s="5" t="str">
        <f>VLOOKUP(T359,'Data Angt'!$A$5:$C$5808,3,FALSE)</f>
        <v>PBL</v>
      </c>
    </row>
    <row r="360" spans="1:25" x14ac:dyDescent="0.3">
      <c r="A360" s="8">
        <v>354</v>
      </c>
      <c r="B360" s="9" t="s">
        <v>6081</v>
      </c>
      <c r="C360" s="10" t="str">
        <f>VLOOKUP(B360,'Data Angt'!$A$5:$B$5809,2,FALSE)</f>
        <v>A2690</v>
      </c>
      <c r="D360" s="11" t="s">
        <v>9829</v>
      </c>
      <c r="E360" s="12" t="s">
        <v>15825</v>
      </c>
      <c r="F360" s="13">
        <v>45318</v>
      </c>
      <c r="G360" s="14">
        <v>45919</v>
      </c>
      <c r="H360" s="15">
        <v>25000000</v>
      </c>
      <c r="I360" s="16">
        <v>48</v>
      </c>
      <c r="J360" s="17">
        <v>21</v>
      </c>
      <c r="K360" s="9" t="s">
        <v>9831</v>
      </c>
      <c r="L360" s="10" t="s">
        <v>15826</v>
      </c>
      <c r="M360" s="9" t="s">
        <v>9841</v>
      </c>
      <c r="N360" s="10" t="s">
        <v>17</v>
      </c>
      <c r="O360" s="15">
        <v>17021000</v>
      </c>
      <c r="P360" s="145">
        <v>2814371</v>
      </c>
      <c r="Q360" s="9" t="s">
        <v>22197</v>
      </c>
      <c r="R360" s="146" t="s">
        <v>22525</v>
      </c>
      <c r="T360" s="92" t="s">
        <v>12446</v>
      </c>
      <c r="U360">
        <v>1</v>
      </c>
      <c r="V360">
        <f>VLOOKUP(T360,'Data Angt'!$A$5:$F$5810,6,FALSE)</f>
        <v>37</v>
      </c>
      <c r="W360" s="5" t="str">
        <f t="shared" si="5"/>
        <v>KONSUMTIF</v>
      </c>
      <c r="X360" s="5" t="str">
        <f>VLOOKUP(T360,'Data Angt'!$A$5:$H$5810,8,FALSE)</f>
        <v>Wiraswasta</v>
      </c>
      <c r="Y360" s="5" t="str">
        <f>VLOOKUP(T360,'Data Angt'!$A$5:$C$5808,3,FALSE)</f>
        <v>PBL</v>
      </c>
    </row>
    <row r="361" spans="1:25" x14ac:dyDescent="0.3">
      <c r="A361" s="8">
        <v>355</v>
      </c>
      <c r="B361" s="9" t="s">
        <v>6097</v>
      </c>
      <c r="C361" s="10" t="str">
        <f>VLOOKUP(B361,'Data Angt'!$A$5:$B$5809,2,FALSE)</f>
        <v>A2699</v>
      </c>
      <c r="D361" s="11" t="s">
        <v>9829</v>
      </c>
      <c r="E361" s="12" t="s">
        <v>15827</v>
      </c>
      <c r="F361" s="13">
        <v>45804</v>
      </c>
      <c r="G361" s="14">
        <v>45909</v>
      </c>
      <c r="H361" s="15">
        <v>10000000</v>
      </c>
      <c r="I361" s="16">
        <v>10</v>
      </c>
      <c r="J361" s="17">
        <v>24</v>
      </c>
      <c r="K361" s="9" t="s">
        <v>9831</v>
      </c>
      <c r="L361" s="10" t="s">
        <v>15828</v>
      </c>
      <c r="M361" s="9" t="s">
        <v>10091</v>
      </c>
      <c r="N361" s="10" t="s">
        <v>9830</v>
      </c>
      <c r="O361" s="15">
        <v>6236000</v>
      </c>
      <c r="P361" s="145">
        <v>258450</v>
      </c>
      <c r="Q361" s="9" t="s">
        <v>22526</v>
      </c>
      <c r="R361" s="146" t="s">
        <v>22527</v>
      </c>
      <c r="T361" s="92" t="s">
        <v>6823</v>
      </c>
      <c r="U361">
        <v>1</v>
      </c>
      <c r="V361">
        <f>VLOOKUP(T361,'Data Angt'!$A$5:$F$5810,6,FALSE)</f>
        <v>49</v>
      </c>
      <c r="W361" s="5" t="str">
        <f t="shared" si="5"/>
        <v>PRODUKTIF</v>
      </c>
      <c r="X361" s="5" t="str">
        <f>VLOOKUP(T361,'Data Angt'!$A$5:$H$5810,8,FALSE)</f>
        <v>Mengurus Rumah Tangga</v>
      </c>
      <c r="Y361" s="5" t="str">
        <f>VLOOKUP(T361,'Data Angt'!$A$5:$C$5808,3,FALSE)</f>
        <v>PBL</v>
      </c>
    </row>
    <row r="362" spans="1:25" x14ac:dyDescent="0.3">
      <c r="A362" s="8">
        <v>356</v>
      </c>
      <c r="B362" s="9" t="s">
        <v>6118</v>
      </c>
      <c r="C362" s="10" t="str">
        <f>VLOOKUP(B362,'Data Angt'!$A$5:$B$5809,2,FALSE)</f>
        <v>A2710</v>
      </c>
      <c r="D362" s="11" t="s">
        <v>9833</v>
      </c>
      <c r="E362" s="12" t="s">
        <v>22528</v>
      </c>
      <c r="F362" s="13">
        <v>45861</v>
      </c>
      <c r="G362" s="14">
        <v>45924</v>
      </c>
      <c r="H362" s="15">
        <v>7000000</v>
      </c>
      <c r="I362" s="16">
        <v>12</v>
      </c>
      <c r="J362" s="17">
        <v>24</v>
      </c>
      <c r="K362" s="9" t="s">
        <v>9831</v>
      </c>
      <c r="L362" s="10" t="s">
        <v>22529</v>
      </c>
      <c r="M362" s="9" t="s">
        <v>22530</v>
      </c>
      <c r="N362" s="10" t="s">
        <v>9834</v>
      </c>
      <c r="O362" s="15">
        <v>5945600</v>
      </c>
      <c r="P362" s="145">
        <v>101100</v>
      </c>
      <c r="Q362" s="9" t="s">
        <v>22189</v>
      </c>
      <c r="R362" s="146" t="s">
        <v>22531</v>
      </c>
      <c r="T362" s="92" t="s">
        <v>6850</v>
      </c>
      <c r="U362">
        <v>2</v>
      </c>
      <c r="V362">
        <f>VLOOKUP(T362,'Data Angt'!$A$5:$F$5810,6,FALSE)</f>
        <v>41</v>
      </c>
      <c r="W362" s="5" t="str">
        <f t="shared" si="5"/>
        <v>KESEJAHTERAAN</v>
      </c>
      <c r="X362" s="5" t="str">
        <f>VLOOKUP(T362,'Data Angt'!$A$5:$H$5810,8,FALSE)</f>
        <v>Karyawan</v>
      </c>
      <c r="Y362" s="5" t="str">
        <f>VLOOKUP(T362,'Data Angt'!$A$5:$C$5808,3,FALSE)</f>
        <v>PBL</v>
      </c>
    </row>
    <row r="363" spans="1:25" x14ac:dyDescent="0.3">
      <c r="A363" s="8">
        <v>357</v>
      </c>
      <c r="B363" s="9" t="s">
        <v>6141</v>
      </c>
      <c r="C363" s="10" t="str">
        <f>VLOOKUP(B363,'Data Angt'!$A$5:$B$5809,2,FALSE)</f>
        <v>A2720</v>
      </c>
      <c r="D363" s="11" t="s">
        <v>9829</v>
      </c>
      <c r="E363" s="12" t="s">
        <v>15829</v>
      </c>
      <c r="F363" s="13">
        <v>45693</v>
      </c>
      <c r="G363" s="14">
        <v>45908</v>
      </c>
      <c r="H363" s="15">
        <v>13000000</v>
      </c>
      <c r="I363" s="16">
        <v>12</v>
      </c>
      <c r="J363" s="17">
        <v>24</v>
      </c>
      <c r="K363" s="9" t="s">
        <v>9831</v>
      </c>
      <c r="L363" s="10" t="s">
        <v>15830</v>
      </c>
      <c r="M363" s="9" t="s">
        <v>15831</v>
      </c>
      <c r="N363" s="10" t="s">
        <v>9828</v>
      </c>
      <c r="O363" s="15">
        <v>5794400</v>
      </c>
      <c r="P363" s="145">
        <v>524811</v>
      </c>
      <c r="Q363" s="9" t="s">
        <v>22189</v>
      </c>
      <c r="R363" s="146" t="s">
        <v>22532</v>
      </c>
      <c r="T363" s="92" t="s">
        <v>6853</v>
      </c>
      <c r="U363">
        <v>2</v>
      </c>
      <c r="V363">
        <f>VLOOKUP(T363,'Data Angt'!$A$5:$F$5810,6,FALSE)</f>
        <v>49</v>
      </c>
      <c r="W363" s="5" t="str">
        <f t="shared" si="5"/>
        <v>KESEJAHTERAAN</v>
      </c>
      <c r="X363" s="5" t="str">
        <f>VLOOKUP(T363,'Data Angt'!$A$5:$H$5810,8,FALSE)</f>
        <v>Wiraswasta</v>
      </c>
      <c r="Y363" s="5" t="str">
        <f>VLOOKUP(T363,'Data Angt'!$A$5:$C$5808,3,FALSE)</f>
        <v>PBL</v>
      </c>
    </row>
    <row r="364" spans="1:25" x14ac:dyDescent="0.3">
      <c r="A364" s="8">
        <v>358</v>
      </c>
      <c r="B364" s="9" t="s">
        <v>6163</v>
      </c>
      <c r="C364" s="10" t="str">
        <f>VLOOKUP(B364,'Data Angt'!$A$5:$B$5809,2,FALSE)</f>
        <v>A2730</v>
      </c>
      <c r="D364" s="11" t="s">
        <v>9842</v>
      </c>
      <c r="E364" s="12" t="s">
        <v>10092</v>
      </c>
      <c r="F364" s="13">
        <v>43918</v>
      </c>
      <c r="G364" s="14">
        <v>44527</v>
      </c>
      <c r="H364" s="15">
        <v>275000000</v>
      </c>
      <c r="I364" s="16">
        <v>84</v>
      </c>
      <c r="J364" s="17">
        <v>2.4</v>
      </c>
      <c r="K364" s="9" t="s">
        <v>9831</v>
      </c>
      <c r="L364" s="10" t="s">
        <v>10093</v>
      </c>
      <c r="M364" s="9" t="s">
        <v>10094</v>
      </c>
      <c r="N364" s="10" t="s">
        <v>9830</v>
      </c>
      <c r="O364" s="15">
        <v>213647600</v>
      </c>
      <c r="P364" s="145">
        <v>3691346</v>
      </c>
      <c r="Q364" s="9" t="s">
        <v>22197</v>
      </c>
      <c r="R364" s="146" t="s">
        <v>22533</v>
      </c>
      <c r="T364" s="92" t="s">
        <v>6872</v>
      </c>
      <c r="U364">
        <v>1</v>
      </c>
      <c r="V364">
        <f>VLOOKUP(T364,'Data Angt'!$A$5:$F$5810,6,FALSE)</f>
        <v>70</v>
      </c>
      <c r="W364" s="5" t="str">
        <f t="shared" si="5"/>
        <v>PRODUKTIF</v>
      </c>
      <c r="X364" s="5" t="str">
        <f>VLOOKUP(T364,'Data Angt'!$A$5:$H$5810,8,FALSE)</f>
        <v>Wiraswasta</v>
      </c>
      <c r="Y364" s="5" t="str">
        <f>VLOOKUP(T364,'Data Angt'!$A$5:$C$5808,3,FALSE)</f>
        <v>PBL</v>
      </c>
    </row>
    <row r="365" spans="1:25" x14ac:dyDescent="0.3">
      <c r="A365" s="8">
        <v>359</v>
      </c>
      <c r="B365" s="9" t="s">
        <v>6213</v>
      </c>
      <c r="C365" s="10" t="str">
        <f>VLOOKUP(B365,'Data Angt'!$A$5:$B$5809,2,FALSE)</f>
        <v>A2752</v>
      </c>
      <c r="D365" s="11" t="s">
        <v>9829</v>
      </c>
      <c r="E365" s="12" t="s">
        <v>15832</v>
      </c>
      <c r="F365" s="13">
        <v>45664</v>
      </c>
      <c r="G365" s="14">
        <v>45903</v>
      </c>
      <c r="H365" s="15">
        <v>5000000</v>
      </c>
      <c r="I365" s="16">
        <v>24</v>
      </c>
      <c r="J365" s="17">
        <v>24</v>
      </c>
      <c r="K365" s="9" t="s">
        <v>9831</v>
      </c>
      <c r="L365" s="10" t="s">
        <v>15833</v>
      </c>
      <c r="M365" s="9" t="s">
        <v>15834</v>
      </c>
      <c r="N365" s="10" t="s">
        <v>17</v>
      </c>
      <c r="O365" s="15">
        <v>3589300</v>
      </c>
      <c r="P365" s="145">
        <v>264186</v>
      </c>
      <c r="Q365" s="9"/>
      <c r="R365" s="146"/>
      <c r="T365" s="92" t="s">
        <v>6879</v>
      </c>
      <c r="U365">
        <v>1</v>
      </c>
      <c r="V365">
        <f>VLOOKUP(T365,'Data Angt'!$A$5:$F$5810,6,FALSE)</f>
        <v>50</v>
      </c>
      <c r="W365" s="5" t="str">
        <f t="shared" si="5"/>
        <v>KESEJAHTERAAN</v>
      </c>
      <c r="X365" s="5" t="str">
        <f>VLOOKUP(T365,'Data Angt'!$A$5:$H$5810,8,FALSE)</f>
        <v>Karyawan</v>
      </c>
      <c r="Y365" s="5" t="str">
        <f>VLOOKUP(T365,'Data Angt'!$A$5:$C$5808,3,FALSE)</f>
        <v>PBL</v>
      </c>
    </row>
    <row r="366" spans="1:25" x14ac:dyDescent="0.3">
      <c r="A366" s="8">
        <v>360</v>
      </c>
      <c r="B366" s="9" t="s">
        <v>6249</v>
      </c>
      <c r="C366" s="10" t="str">
        <f>VLOOKUP(B366,'Data Angt'!$A$5:$B$5809,2,FALSE)</f>
        <v>A2768</v>
      </c>
      <c r="D366" s="11" t="s">
        <v>9829</v>
      </c>
      <c r="E366" s="12" t="s">
        <v>15835</v>
      </c>
      <c r="F366" s="13">
        <v>45598</v>
      </c>
      <c r="G366" s="14">
        <v>45902</v>
      </c>
      <c r="H366" s="15">
        <v>12000000</v>
      </c>
      <c r="I366" s="16">
        <v>18</v>
      </c>
      <c r="J366" s="17">
        <v>18</v>
      </c>
      <c r="K366" s="9" t="s">
        <v>9831</v>
      </c>
      <c r="L366" s="10" t="s">
        <v>15836</v>
      </c>
      <c r="M366" s="9" t="s">
        <v>15837</v>
      </c>
      <c r="N366" s="10" t="s">
        <v>9830</v>
      </c>
      <c r="O366" s="15">
        <v>5731900</v>
      </c>
      <c r="P366" s="145">
        <v>520834</v>
      </c>
      <c r="Q366" s="9" t="s">
        <v>22189</v>
      </c>
      <c r="R366" s="146" t="s">
        <v>22534</v>
      </c>
      <c r="T366" s="92" t="s">
        <v>6881</v>
      </c>
      <c r="U366">
        <v>1</v>
      </c>
      <c r="V366">
        <f>VLOOKUP(T366,'Data Angt'!$A$5:$F$5810,6,FALSE)</f>
        <v>56</v>
      </c>
      <c r="W366" s="5" t="str">
        <f t="shared" si="5"/>
        <v>KONSUMTIF</v>
      </c>
      <c r="X366" s="5" t="str">
        <f>VLOOKUP(T366,'Data Angt'!$A$5:$H$5810,8,FALSE)</f>
        <v>Lain-Lain</v>
      </c>
      <c r="Y366" s="5" t="str">
        <f>VLOOKUP(T366,'Data Angt'!$A$5:$C$5808,3,FALSE)</f>
        <v>PBL</v>
      </c>
    </row>
    <row r="367" spans="1:25" x14ac:dyDescent="0.3">
      <c r="A367" s="8">
        <v>361</v>
      </c>
      <c r="B367" s="9" t="s">
        <v>6267</v>
      </c>
      <c r="C367" s="10" t="str">
        <f>VLOOKUP(B367,'Data Angt'!$A$5:$B$5809,2,FALSE)</f>
        <v>A2776</v>
      </c>
      <c r="D367" s="11" t="s">
        <v>9842</v>
      </c>
      <c r="E367" s="12" t="s">
        <v>10096</v>
      </c>
      <c r="F367" s="13">
        <v>43636</v>
      </c>
      <c r="G367" s="14">
        <v>45901</v>
      </c>
      <c r="H367" s="15">
        <v>165000000</v>
      </c>
      <c r="I367" s="16">
        <v>120</v>
      </c>
      <c r="J367" s="17">
        <v>11.4</v>
      </c>
      <c r="K367" s="9" t="s">
        <v>9831</v>
      </c>
      <c r="L367" s="10" t="s">
        <v>10097</v>
      </c>
      <c r="M367" s="9" t="s">
        <v>9855</v>
      </c>
      <c r="N367" s="10" t="s">
        <v>9830</v>
      </c>
      <c r="O367" s="15">
        <v>84284800</v>
      </c>
      <c r="P367" s="145">
        <v>34711782</v>
      </c>
      <c r="Q367" s="9"/>
      <c r="R367" s="146"/>
      <c r="T367" s="92" t="s">
        <v>6885</v>
      </c>
      <c r="U367">
        <v>1</v>
      </c>
      <c r="V367">
        <f>VLOOKUP(T367,'Data Angt'!$A$5:$F$5810,6,FALSE)</f>
        <v>45</v>
      </c>
      <c r="W367" s="5" t="str">
        <f t="shared" si="5"/>
        <v>PRODUKTIF</v>
      </c>
      <c r="X367" s="5" t="str">
        <f>VLOOKUP(T367,'Data Angt'!$A$5:$H$5810,8,FALSE)</f>
        <v>Mengurus Rumah Tangga</v>
      </c>
      <c r="Y367" s="5" t="str">
        <f>VLOOKUP(T367,'Data Angt'!$A$5:$C$5808,3,FALSE)</f>
        <v>PBL</v>
      </c>
    </row>
    <row r="368" spans="1:25" x14ac:dyDescent="0.3">
      <c r="A368" s="8">
        <v>362</v>
      </c>
      <c r="B368" s="9" t="s">
        <v>6271</v>
      </c>
      <c r="C368" s="10" t="str">
        <f>VLOOKUP(B368,'Data Angt'!$A$5:$B$5809,2,FALSE)</f>
        <v>A2778</v>
      </c>
      <c r="D368" s="11" t="s">
        <v>9829</v>
      </c>
      <c r="E368" s="12" t="s">
        <v>15838</v>
      </c>
      <c r="F368" s="13">
        <v>45785</v>
      </c>
      <c r="G368" s="14">
        <v>45908</v>
      </c>
      <c r="H368" s="15">
        <v>4000000</v>
      </c>
      <c r="I368" s="16">
        <v>10</v>
      </c>
      <c r="J368" s="17">
        <v>24</v>
      </c>
      <c r="K368" s="9" t="s">
        <v>9831</v>
      </c>
      <c r="L368" s="10" t="s">
        <v>15839</v>
      </c>
      <c r="M368" s="9" t="s">
        <v>9854</v>
      </c>
      <c r="N368" s="10" t="s">
        <v>17</v>
      </c>
      <c r="O368" s="15">
        <v>2494100</v>
      </c>
      <c r="P368" s="145">
        <v>103386</v>
      </c>
      <c r="Q368" s="9" t="s">
        <v>22189</v>
      </c>
      <c r="R368" s="146" t="s">
        <v>22535</v>
      </c>
      <c r="T368" s="92" t="s">
        <v>6898</v>
      </c>
      <c r="U368">
        <v>2</v>
      </c>
      <c r="V368">
        <f>VLOOKUP(T368,'Data Angt'!$A$5:$F$5810,6,FALSE)</f>
        <v>43</v>
      </c>
      <c r="W368" s="5">
        <f t="shared" si="5"/>
        <v>0</v>
      </c>
      <c r="X368" s="5" t="str">
        <f>VLOOKUP(T368,'Data Angt'!$A$5:$H$5810,8,FALSE)</f>
        <v>Lain-Lain</v>
      </c>
      <c r="Y368" s="5" t="str">
        <f>VLOOKUP(T368,'Data Angt'!$A$5:$C$5808,3,FALSE)</f>
        <v>PBL</v>
      </c>
    </row>
    <row r="369" spans="1:25" x14ac:dyDescent="0.3">
      <c r="A369" s="8">
        <v>363</v>
      </c>
      <c r="B369" s="9" t="s">
        <v>6274</v>
      </c>
      <c r="C369" s="10" t="str">
        <f>VLOOKUP(B369,'Data Angt'!$A$5:$B$5809,2,FALSE)</f>
        <v>A2779</v>
      </c>
      <c r="D369" s="11" t="s">
        <v>9833</v>
      </c>
      <c r="E369" s="12" t="s">
        <v>15840</v>
      </c>
      <c r="F369" s="13">
        <v>45630</v>
      </c>
      <c r="G369" s="14">
        <v>45904</v>
      </c>
      <c r="H369" s="15">
        <v>100000000</v>
      </c>
      <c r="I369" s="16">
        <v>24</v>
      </c>
      <c r="J369" s="17">
        <v>12</v>
      </c>
      <c r="K369" s="9" t="s">
        <v>9831</v>
      </c>
      <c r="L369" s="10" t="s">
        <v>15841</v>
      </c>
      <c r="M369" s="9" t="s">
        <v>9962</v>
      </c>
      <c r="N369" s="10" t="s">
        <v>9834</v>
      </c>
      <c r="O369" s="15">
        <v>65267500</v>
      </c>
      <c r="P369" s="145">
        <v>2862785</v>
      </c>
      <c r="Q369" s="9"/>
      <c r="R369" s="146"/>
      <c r="T369" s="92" t="s">
        <v>6921</v>
      </c>
      <c r="U369">
        <v>1</v>
      </c>
      <c r="V369">
        <f>VLOOKUP(T369,'Data Angt'!$A$5:$F$5810,6,FALSE)</f>
        <v>31</v>
      </c>
      <c r="W369" s="5" t="str">
        <f t="shared" si="5"/>
        <v>KONSUMTIF</v>
      </c>
      <c r="X369" s="5" t="str">
        <f>VLOOKUP(T369,'Data Angt'!$A$5:$H$5810,8,FALSE)</f>
        <v>Wiraswasta</v>
      </c>
      <c r="Y369" s="5" t="str">
        <f>VLOOKUP(T369,'Data Angt'!$A$5:$C$5808,3,FALSE)</f>
        <v>PBL</v>
      </c>
    </row>
    <row r="370" spans="1:25" x14ac:dyDescent="0.3">
      <c r="A370" s="8">
        <v>364</v>
      </c>
      <c r="B370" s="9" t="s">
        <v>6305</v>
      </c>
      <c r="C370" s="10" t="str">
        <f>VLOOKUP(B370,'Data Angt'!$A$5:$B$5809,2,FALSE)</f>
        <v>A2794</v>
      </c>
      <c r="D370" s="11" t="s">
        <v>9829</v>
      </c>
      <c r="E370" s="12" t="s">
        <v>10098</v>
      </c>
      <c r="F370" s="13">
        <v>43564</v>
      </c>
      <c r="G370" s="14">
        <v>45677</v>
      </c>
      <c r="H370" s="15">
        <v>25000000</v>
      </c>
      <c r="I370" s="16">
        <v>24</v>
      </c>
      <c r="J370" s="17">
        <v>21</v>
      </c>
      <c r="K370" s="9" t="s">
        <v>9831</v>
      </c>
      <c r="L370" s="10" t="s">
        <v>10099</v>
      </c>
      <c r="M370" s="9" t="s">
        <v>10100</v>
      </c>
      <c r="N370" s="10" t="s">
        <v>9830</v>
      </c>
      <c r="O370" s="15">
        <v>8394500</v>
      </c>
      <c r="P370" s="145">
        <v>3968432</v>
      </c>
      <c r="Q370" s="9"/>
      <c r="R370" s="146"/>
      <c r="T370" s="92" t="s">
        <v>6967</v>
      </c>
      <c r="U370">
        <v>1</v>
      </c>
      <c r="V370">
        <f>VLOOKUP(T370,'Data Angt'!$A$5:$F$5810,6,FALSE)</f>
        <v>63</v>
      </c>
      <c r="W370" s="5" t="str">
        <f t="shared" si="5"/>
        <v>KONSUMTIF</v>
      </c>
      <c r="X370" s="5" t="str">
        <f>VLOOKUP(T370,'Data Angt'!$A$5:$H$5810,8,FALSE)</f>
        <v>Tenaga Pengajar</v>
      </c>
      <c r="Y370" s="5" t="str">
        <f>VLOOKUP(T370,'Data Angt'!$A$5:$C$5808,3,FALSE)</f>
        <v>PBL</v>
      </c>
    </row>
    <row r="371" spans="1:25" x14ac:dyDescent="0.3">
      <c r="A371" s="8">
        <v>365</v>
      </c>
      <c r="B371" s="9" t="s">
        <v>6314</v>
      </c>
      <c r="C371" s="10" t="str">
        <f>VLOOKUP(B371,'Data Angt'!$A$5:$B$5809,2,FALSE)</f>
        <v>A2798</v>
      </c>
      <c r="D371" s="11" t="s">
        <v>9826</v>
      </c>
      <c r="E371" s="12" t="s">
        <v>22536</v>
      </c>
      <c r="F371" s="13">
        <v>45863</v>
      </c>
      <c r="G371" s="14">
        <v>45911</v>
      </c>
      <c r="H371" s="15">
        <v>2100000</v>
      </c>
      <c r="I371" s="16">
        <v>12</v>
      </c>
      <c r="J371" s="17">
        <v>11.88</v>
      </c>
      <c r="K371" s="9" t="s">
        <v>9831</v>
      </c>
      <c r="L371" s="10" t="s">
        <v>22537</v>
      </c>
      <c r="M371" s="9" t="s">
        <v>22538</v>
      </c>
      <c r="N371" s="10" t="s">
        <v>9828</v>
      </c>
      <c r="O371" s="15">
        <v>1767000</v>
      </c>
      <c r="P371" s="145">
        <v>15000</v>
      </c>
      <c r="Q371" s="9"/>
      <c r="R371" s="146"/>
      <c r="T371" s="92" t="s">
        <v>7002</v>
      </c>
      <c r="U371">
        <v>1</v>
      </c>
      <c r="V371">
        <f>VLOOKUP(T371,'Data Angt'!$A$5:$F$5810,6,FALSE)</f>
        <v>50</v>
      </c>
      <c r="W371" s="5" t="str">
        <f t="shared" si="5"/>
        <v>PENDIDIKAN</v>
      </c>
      <c r="X371" s="5" t="str">
        <f>VLOOKUP(T371,'Data Angt'!$A$5:$H$5810,8,FALSE)</f>
        <v>Tenaga Pengajar</v>
      </c>
      <c r="Y371" s="5" t="str">
        <f>VLOOKUP(T371,'Data Angt'!$A$5:$C$5808,3,FALSE)</f>
        <v>PBL</v>
      </c>
    </row>
    <row r="372" spans="1:25" x14ac:dyDescent="0.3">
      <c r="A372" s="8">
        <v>366</v>
      </c>
      <c r="B372" s="9" t="s">
        <v>6346</v>
      </c>
      <c r="C372" s="10" t="str">
        <f>VLOOKUP(B372,'Data Angt'!$A$5:$B$5809,2,FALSE)</f>
        <v>A2813</v>
      </c>
      <c r="D372" s="11" t="s">
        <v>9829</v>
      </c>
      <c r="E372" s="12" t="s">
        <v>15842</v>
      </c>
      <c r="F372" s="13">
        <v>45490</v>
      </c>
      <c r="G372" s="14">
        <v>45926</v>
      </c>
      <c r="H372" s="15">
        <v>42000000</v>
      </c>
      <c r="I372" s="16">
        <v>48</v>
      </c>
      <c r="J372" s="17">
        <v>21</v>
      </c>
      <c r="K372" s="9" t="s">
        <v>9831</v>
      </c>
      <c r="L372" s="10" t="s">
        <v>15843</v>
      </c>
      <c r="M372" s="9" t="s">
        <v>10538</v>
      </c>
      <c r="N372" s="10" t="s">
        <v>110</v>
      </c>
      <c r="O372" s="15">
        <v>39687700</v>
      </c>
      <c r="P372" s="145">
        <v>1348162</v>
      </c>
      <c r="Q372" s="9" t="s">
        <v>22197</v>
      </c>
      <c r="R372" s="146" t="s">
        <v>22539</v>
      </c>
      <c r="T372" s="92" t="s">
        <v>7045</v>
      </c>
      <c r="U372">
        <v>1</v>
      </c>
      <c r="V372">
        <f>VLOOKUP(T372,'Data Angt'!$A$5:$F$5810,6,FALSE)</f>
        <v>40</v>
      </c>
      <c r="W372" s="5" t="str">
        <f t="shared" si="5"/>
        <v>KONSUMTIF</v>
      </c>
      <c r="X372" s="5" t="str">
        <f>VLOOKUP(T372,'Data Angt'!$A$5:$H$5810,8,FALSE)</f>
        <v>Aparatur/Pejabat Negara</v>
      </c>
      <c r="Y372" s="5" t="str">
        <f>VLOOKUP(T372,'Data Angt'!$A$5:$C$5808,3,FALSE)</f>
        <v>PBL</v>
      </c>
    </row>
    <row r="373" spans="1:25" x14ac:dyDescent="0.3">
      <c r="A373" s="8">
        <v>367</v>
      </c>
      <c r="B373" s="9" t="s">
        <v>6351</v>
      </c>
      <c r="C373" s="10" t="str">
        <f>VLOOKUP(B373,'Data Angt'!$A$5:$B$5809,2,FALSE)</f>
        <v>A2815</v>
      </c>
      <c r="D373" s="11" t="s">
        <v>9833</v>
      </c>
      <c r="E373" s="12" t="s">
        <v>15844</v>
      </c>
      <c r="F373" s="13">
        <v>45528</v>
      </c>
      <c r="G373" s="14">
        <v>45930</v>
      </c>
      <c r="H373" s="15">
        <v>46000000</v>
      </c>
      <c r="I373" s="16">
        <v>24</v>
      </c>
      <c r="J373" s="17">
        <v>21</v>
      </c>
      <c r="K373" s="9" t="s">
        <v>9831</v>
      </c>
      <c r="L373" s="10" t="s">
        <v>15845</v>
      </c>
      <c r="M373" s="9" t="s">
        <v>15846</v>
      </c>
      <c r="N373" s="10" t="s">
        <v>9834</v>
      </c>
      <c r="O373" s="15">
        <v>23465900</v>
      </c>
      <c r="P373" s="145">
        <v>3073236</v>
      </c>
      <c r="Q373" s="9" t="s">
        <v>22189</v>
      </c>
      <c r="R373" s="146" t="s">
        <v>22540</v>
      </c>
      <c r="T373" s="92" t="s">
        <v>7059</v>
      </c>
      <c r="U373">
        <v>1</v>
      </c>
      <c r="V373">
        <f>VLOOKUP(T373,'Data Angt'!$A$5:$F$5810,6,FALSE)</f>
        <v>34</v>
      </c>
      <c r="W373" s="5" t="str">
        <f t="shared" si="5"/>
        <v>PENDIDIKAN</v>
      </c>
      <c r="X373" s="5" t="str">
        <f>VLOOKUP(T373,'Data Angt'!$A$5:$H$5810,8,FALSE)</f>
        <v>Karyawan</v>
      </c>
      <c r="Y373" s="5" t="str">
        <f>VLOOKUP(T373,'Data Angt'!$A$5:$C$5808,3,FALSE)</f>
        <v>PBL</v>
      </c>
    </row>
    <row r="374" spans="1:25" x14ac:dyDescent="0.3">
      <c r="A374" s="8">
        <v>368</v>
      </c>
      <c r="B374" s="9" t="s">
        <v>6462</v>
      </c>
      <c r="C374" s="10" t="str">
        <f>VLOOKUP(B374,'Data Angt'!$A$5:$B$5809,2,FALSE)</f>
        <v>A2866</v>
      </c>
      <c r="D374" s="11" t="s">
        <v>9829</v>
      </c>
      <c r="E374" s="12" t="s">
        <v>15847</v>
      </c>
      <c r="F374" s="13">
        <v>45784</v>
      </c>
      <c r="G374" s="14">
        <v>45911</v>
      </c>
      <c r="H374" s="15">
        <v>40000000</v>
      </c>
      <c r="I374" s="16">
        <v>36</v>
      </c>
      <c r="J374" s="17">
        <v>21</v>
      </c>
      <c r="K374" s="9" t="s">
        <v>9831</v>
      </c>
      <c r="L374" s="10" t="s">
        <v>15848</v>
      </c>
      <c r="M374" s="9" t="s">
        <v>15849</v>
      </c>
      <c r="N374" s="10" t="s">
        <v>9828</v>
      </c>
      <c r="O374" s="15">
        <v>36686000</v>
      </c>
      <c r="P374" s="145">
        <v>1017899</v>
      </c>
      <c r="Q374" s="9" t="s">
        <v>22240</v>
      </c>
      <c r="R374" s="146" t="s">
        <v>22541</v>
      </c>
      <c r="T374" s="92" t="s">
        <v>7084</v>
      </c>
      <c r="U374">
        <v>1</v>
      </c>
      <c r="V374">
        <f>VLOOKUP(T374,'Data Angt'!$A$5:$F$5810,6,FALSE)</f>
        <v>31</v>
      </c>
      <c r="W374" s="5" t="str">
        <f t="shared" si="5"/>
        <v>KESEJAHTERAAN</v>
      </c>
      <c r="X374" s="5" t="str">
        <f>VLOOKUP(T374,'Data Angt'!$A$5:$H$5810,8,FALSE)</f>
        <v>Wiraswasta</v>
      </c>
      <c r="Y374" s="5" t="str">
        <f>VLOOKUP(T374,'Data Angt'!$A$5:$C$5808,3,FALSE)</f>
        <v>PBL</v>
      </c>
    </row>
    <row r="375" spans="1:25" x14ac:dyDescent="0.3">
      <c r="A375" s="8">
        <v>369</v>
      </c>
      <c r="B375" s="9" t="s">
        <v>6482</v>
      </c>
      <c r="C375" s="10" t="str">
        <f>VLOOKUP(B375,'Data Angt'!$A$5:$B$5809,2,FALSE)</f>
        <v>A2875</v>
      </c>
      <c r="D375" s="11" t="s">
        <v>9826</v>
      </c>
      <c r="E375" s="12" t="s">
        <v>15850</v>
      </c>
      <c r="F375" s="13">
        <v>45833</v>
      </c>
      <c r="G375" s="14">
        <v>45910</v>
      </c>
      <c r="H375" s="15">
        <v>5000000</v>
      </c>
      <c r="I375" s="16">
        <v>10</v>
      </c>
      <c r="J375" s="17">
        <v>24</v>
      </c>
      <c r="K375" s="9" t="s">
        <v>9827</v>
      </c>
      <c r="L375" s="10" t="s">
        <v>15851</v>
      </c>
      <c r="M375" s="9" t="s">
        <v>9862</v>
      </c>
      <c r="N375" s="10" t="s">
        <v>9834</v>
      </c>
      <c r="O375" s="15">
        <v>3500000</v>
      </c>
      <c r="P375" s="145">
        <v>101250</v>
      </c>
      <c r="Q375" s="9"/>
      <c r="R375" s="146"/>
      <c r="T375" s="92" t="s">
        <v>7091</v>
      </c>
      <c r="U375">
        <v>1</v>
      </c>
      <c r="V375">
        <f>VLOOKUP(T375,'Data Angt'!$A$5:$F$5810,6,FALSE)</f>
        <v>52</v>
      </c>
      <c r="W375" s="5" t="str">
        <f t="shared" si="5"/>
        <v>PRODUKTIF</v>
      </c>
      <c r="X375" s="5" t="str">
        <f>VLOOKUP(T375,'Data Angt'!$A$5:$H$5810,8,FALSE)</f>
        <v>Lain-Lain</v>
      </c>
      <c r="Y375" s="5" t="str">
        <f>VLOOKUP(T375,'Data Angt'!$A$5:$C$5808,3,FALSE)</f>
        <v>PBL</v>
      </c>
    </row>
    <row r="376" spans="1:25" x14ac:dyDescent="0.3">
      <c r="A376" s="8">
        <v>370</v>
      </c>
      <c r="B376" s="9" t="s">
        <v>6484</v>
      </c>
      <c r="C376" s="10" t="str">
        <f>VLOOKUP(B376,'Data Angt'!$A$5:$B$5809,2,FALSE)</f>
        <v>A2876</v>
      </c>
      <c r="D376" s="11" t="s">
        <v>9833</v>
      </c>
      <c r="E376" s="12" t="s">
        <v>15852</v>
      </c>
      <c r="F376" s="13">
        <v>45763</v>
      </c>
      <c r="G376" s="14">
        <v>45916</v>
      </c>
      <c r="H376" s="15">
        <v>49000000</v>
      </c>
      <c r="I376" s="16">
        <v>36</v>
      </c>
      <c r="J376" s="17">
        <v>21</v>
      </c>
      <c r="K376" s="9" t="s">
        <v>9831</v>
      </c>
      <c r="L376" s="10" t="s">
        <v>15853</v>
      </c>
      <c r="M376" s="9" t="s">
        <v>9962</v>
      </c>
      <c r="N376" s="10" t="s">
        <v>9834</v>
      </c>
      <c r="O376" s="15">
        <v>43881000</v>
      </c>
      <c r="P376" s="145">
        <v>1541811</v>
      </c>
      <c r="Q376" s="9" t="s">
        <v>22197</v>
      </c>
      <c r="R376" s="146" t="s">
        <v>22542</v>
      </c>
      <c r="T376" s="92" t="s">
        <v>7116</v>
      </c>
      <c r="U376">
        <v>1</v>
      </c>
      <c r="V376">
        <f>VLOOKUP(T376,'Data Angt'!$A$5:$F$5810,6,FALSE)</f>
        <v>27</v>
      </c>
      <c r="W376" s="5" t="str">
        <f t="shared" si="5"/>
        <v>PRODUKTIF</v>
      </c>
      <c r="X376" s="5" t="str">
        <f>VLOOKUP(T376,'Data Angt'!$A$5:$H$5810,8,FALSE)</f>
        <v>Karyawan</v>
      </c>
      <c r="Y376" s="5" t="str">
        <f>VLOOKUP(T376,'Data Angt'!$A$5:$C$5808,3,FALSE)</f>
        <v>PBL</v>
      </c>
    </row>
    <row r="377" spans="1:25" x14ac:dyDescent="0.3">
      <c r="A377" s="8">
        <v>371</v>
      </c>
      <c r="B377" s="9" t="s">
        <v>6486</v>
      </c>
      <c r="C377" s="10" t="str">
        <f>VLOOKUP(B377,'Data Angt'!$A$5:$B$5809,2,FALSE)</f>
        <v>A2877</v>
      </c>
      <c r="D377" s="11" t="s">
        <v>9829</v>
      </c>
      <c r="E377" s="12" t="s">
        <v>15854</v>
      </c>
      <c r="F377" s="13">
        <v>45744</v>
      </c>
      <c r="G377" s="14">
        <v>45929</v>
      </c>
      <c r="H377" s="15">
        <v>5000000</v>
      </c>
      <c r="I377" s="16">
        <v>18</v>
      </c>
      <c r="J377" s="17">
        <v>24</v>
      </c>
      <c r="K377" s="9" t="s">
        <v>9831</v>
      </c>
      <c r="L377" s="10" t="s">
        <v>15855</v>
      </c>
      <c r="M377" s="9" t="s">
        <v>9854</v>
      </c>
      <c r="N377" s="10" t="s">
        <v>17</v>
      </c>
      <c r="O377" s="15">
        <v>3784600</v>
      </c>
      <c r="P377" s="145">
        <v>200025</v>
      </c>
      <c r="Q377" s="9"/>
      <c r="R377" s="146"/>
      <c r="T377" s="92" t="s">
        <v>7118</v>
      </c>
      <c r="U377">
        <v>1</v>
      </c>
      <c r="V377">
        <f>VLOOKUP(T377,'Data Angt'!$A$5:$F$5810,6,FALSE)</f>
        <v>35</v>
      </c>
      <c r="W377" s="5" t="str">
        <f t="shared" si="5"/>
        <v>PENDIDIKAN</v>
      </c>
      <c r="X377" s="5" t="str">
        <f>VLOOKUP(T377,'Data Angt'!$A$5:$H$5810,8,FALSE)</f>
        <v>Karyawan</v>
      </c>
      <c r="Y377" s="5" t="str">
        <f>VLOOKUP(T377,'Data Angt'!$A$5:$C$5808,3,FALSE)</f>
        <v>PBL</v>
      </c>
    </row>
    <row r="378" spans="1:25" x14ac:dyDescent="0.3">
      <c r="A378" s="8">
        <v>372</v>
      </c>
      <c r="B378" s="9" t="s">
        <v>6488</v>
      </c>
      <c r="C378" s="10" t="str">
        <f>VLOOKUP(B378,'Data Angt'!$A$5:$B$5809,2,FALSE)</f>
        <v>A2878</v>
      </c>
      <c r="D378" s="11" t="s">
        <v>9829</v>
      </c>
      <c r="E378" s="12" t="s">
        <v>15856</v>
      </c>
      <c r="F378" s="13">
        <v>45360</v>
      </c>
      <c r="G378" s="14">
        <v>45908</v>
      </c>
      <c r="H378" s="15">
        <v>10000000</v>
      </c>
      <c r="I378" s="16">
        <v>24</v>
      </c>
      <c r="J378" s="17">
        <v>24</v>
      </c>
      <c r="K378" s="9" t="s">
        <v>9831</v>
      </c>
      <c r="L378" s="10" t="s">
        <v>15857</v>
      </c>
      <c r="M378" s="9" t="s">
        <v>9838</v>
      </c>
      <c r="N378" s="10" t="s">
        <v>9830</v>
      </c>
      <c r="O378" s="15">
        <v>2960600</v>
      </c>
      <c r="P378" s="145">
        <v>929620</v>
      </c>
      <c r="Q378" s="9" t="s">
        <v>22189</v>
      </c>
      <c r="R378" s="146" t="s">
        <v>22543</v>
      </c>
      <c r="T378" s="92" t="s">
        <v>7123</v>
      </c>
      <c r="U378">
        <v>2</v>
      </c>
      <c r="V378">
        <f>VLOOKUP(T378,'Data Angt'!$A$5:$F$5810,6,FALSE)</f>
        <v>62</v>
      </c>
      <c r="W378" s="5" t="str">
        <f t="shared" si="5"/>
        <v>PENDIDIKAN</v>
      </c>
      <c r="X378" s="5" t="str">
        <f>VLOOKUP(T378,'Data Angt'!$A$5:$H$5810,8,FALSE)</f>
        <v>Karyawan</v>
      </c>
      <c r="Y378" s="5" t="str">
        <f>VLOOKUP(T378,'Data Angt'!$A$5:$C$5808,3,FALSE)</f>
        <v>PBL</v>
      </c>
    </row>
    <row r="379" spans="1:25" x14ac:dyDescent="0.3">
      <c r="A379" s="8">
        <v>373</v>
      </c>
      <c r="B379" s="9" t="s">
        <v>6495</v>
      </c>
      <c r="C379" s="10" t="str">
        <f>VLOOKUP(B379,'Data Angt'!$A$5:$B$5809,2,FALSE)</f>
        <v>A2881</v>
      </c>
      <c r="D379" s="11" t="s">
        <v>9829</v>
      </c>
      <c r="E379" s="12" t="s">
        <v>15858</v>
      </c>
      <c r="F379" s="13">
        <v>45740</v>
      </c>
      <c r="G379" s="14">
        <v>45924</v>
      </c>
      <c r="H379" s="15">
        <v>4000000</v>
      </c>
      <c r="I379" s="16">
        <v>12</v>
      </c>
      <c r="J379" s="17">
        <v>24</v>
      </c>
      <c r="K379" s="9" t="s">
        <v>9831</v>
      </c>
      <c r="L379" s="10" t="s">
        <v>15859</v>
      </c>
      <c r="M379" s="9" t="s">
        <v>15860</v>
      </c>
      <c r="N379" s="10" t="s">
        <v>9828</v>
      </c>
      <c r="O379" s="15">
        <v>2118600</v>
      </c>
      <c r="P379" s="145">
        <v>145649</v>
      </c>
      <c r="Q379" s="9"/>
      <c r="R379" s="146"/>
      <c r="T379" s="92" t="s">
        <v>7127</v>
      </c>
      <c r="U379">
        <v>1</v>
      </c>
      <c r="V379">
        <f>VLOOKUP(T379,'Data Angt'!$A$5:$F$5810,6,FALSE)</f>
        <v>43</v>
      </c>
      <c r="W379" s="5" t="str">
        <f t="shared" si="5"/>
        <v>PRODUKTIF</v>
      </c>
      <c r="X379" s="5" t="str">
        <f>VLOOKUP(T379,'Data Angt'!$A$5:$H$5810,8,FALSE)</f>
        <v>Wiraswasta</v>
      </c>
      <c r="Y379" s="5" t="str">
        <f>VLOOKUP(T379,'Data Angt'!$A$5:$C$5808,3,FALSE)</f>
        <v>PBL</v>
      </c>
    </row>
    <row r="380" spans="1:25" x14ac:dyDescent="0.3">
      <c r="A380" s="8">
        <v>374</v>
      </c>
      <c r="B380" s="9" t="s">
        <v>6532</v>
      </c>
      <c r="C380" s="10" t="str">
        <f>VLOOKUP(B380,'Data Angt'!$A$5:$B$5809,2,FALSE)</f>
        <v>A2901</v>
      </c>
      <c r="D380" s="11" t="s">
        <v>9829</v>
      </c>
      <c r="E380" s="12" t="s">
        <v>15861</v>
      </c>
      <c r="F380" s="13">
        <v>45682</v>
      </c>
      <c r="G380" s="14">
        <v>45916</v>
      </c>
      <c r="H380" s="15">
        <v>6000000</v>
      </c>
      <c r="I380" s="16">
        <v>12</v>
      </c>
      <c r="J380" s="17">
        <v>11.9</v>
      </c>
      <c r="K380" s="9" t="s">
        <v>9831</v>
      </c>
      <c r="L380" s="10" t="s">
        <v>15862</v>
      </c>
      <c r="M380" s="9" t="s">
        <v>15863</v>
      </c>
      <c r="N380" s="10" t="s">
        <v>9828</v>
      </c>
      <c r="O380" s="15">
        <v>2079100</v>
      </c>
      <c r="P380" s="145">
        <v>128359</v>
      </c>
      <c r="Q380" s="9"/>
      <c r="R380" s="146"/>
      <c r="T380" s="92" t="s">
        <v>7175</v>
      </c>
      <c r="U380">
        <v>1</v>
      </c>
      <c r="V380">
        <f>VLOOKUP(T380,'Data Angt'!$A$5:$F$5810,6,FALSE)</f>
        <v>54</v>
      </c>
      <c r="W380" s="5" t="str">
        <f t="shared" si="5"/>
        <v>KONSUMTIF</v>
      </c>
      <c r="X380" s="5" t="str">
        <f>VLOOKUP(T380,'Data Angt'!$A$5:$H$5810,8,FALSE)</f>
        <v>Mengurus Rumah Tangga</v>
      </c>
      <c r="Y380" s="5" t="str">
        <f>VLOOKUP(T380,'Data Angt'!$A$5:$C$5808,3,FALSE)</f>
        <v>PBL</v>
      </c>
    </row>
    <row r="381" spans="1:25" x14ac:dyDescent="0.3">
      <c r="A381" s="8">
        <v>375</v>
      </c>
      <c r="B381" s="9" t="s">
        <v>6563</v>
      </c>
      <c r="C381" s="10" t="str">
        <f>VLOOKUP(B381,'Data Angt'!$A$5:$B$5809,2,FALSE)</f>
        <v>A2915</v>
      </c>
      <c r="D381" s="11" t="s">
        <v>9829</v>
      </c>
      <c r="E381" s="12" t="s">
        <v>15864</v>
      </c>
      <c r="F381" s="13">
        <v>45682</v>
      </c>
      <c r="G381" s="14">
        <v>45925</v>
      </c>
      <c r="H381" s="15">
        <v>75000000</v>
      </c>
      <c r="I381" s="16">
        <v>84</v>
      </c>
      <c r="J381" s="17">
        <v>9</v>
      </c>
      <c r="K381" s="9" t="s">
        <v>9831</v>
      </c>
      <c r="L381" s="10" t="s">
        <v>15865</v>
      </c>
      <c r="M381" s="9" t="s">
        <v>15866</v>
      </c>
      <c r="N381" s="10" t="s">
        <v>9828</v>
      </c>
      <c r="O381" s="15">
        <v>69709400</v>
      </c>
      <c r="P381" s="145">
        <v>1636123</v>
      </c>
      <c r="Q381" s="9" t="s">
        <v>22240</v>
      </c>
      <c r="R381" s="146" t="s">
        <v>22544</v>
      </c>
      <c r="T381" s="92" t="s">
        <v>7198</v>
      </c>
      <c r="U381">
        <v>1</v>
      </c>
      <c r="V381">
        <f>VLOOKUP(T381,'Data Angt'!$A$5:$F$5810,6,FALSE)</f>
        <v>33</v>
      </c>
      <c r="W381" s="5" t="str">
        <f t="shared" si="5"/>
        <v>KESEJAHTERAAN</v>
      </c>
      <c r="X381" s="5" t="str">
        <f>VLOOKUP(T381,'Data Angt'!$A$5:$H$5810,8,FALSE)</f>
        <v>Karyawan</v>
      </c>
      <c r="Y381" s="5" t="str">
        <f>VLOOKUP(T381,'Data Angt'!$A$5:$C$5808,3,FALSE)</f>
        <v>PBL</v>
      </c>
    </row>
    <row r="382" spans="1:25" x14ac:dyDescent="0.3">
      <c r="A382" s="8">
        <v>376</v>
      </c>
      <c r="B382" s="9" t="s">
        <v>6563</v>
      </c>
      <c r="C382" s="10" t="str">
        <f>VLOOKUP(B382,'Data Angt'!$A$5:$B$5809,2,FALSE)</f>
        <v>A2915</v>
      </c>
      <c r="D382" s="11" t="s">
        <v>9845</v>
      </c>
      <c r="E382" s="12" t="s">
        <v>22545</v>
      </c>
      <c r="F382" s="13">
        <v>45909</v>
      </c>
      <c r="G382" s="14">
        <v>45909</v>
      </c>
      <c r="H382" s="15">
        <v>4000000</v>
      </c>
      <c r="I382" s="16">
        <v>18</v>
      </c>
      <c r="J382" s="17">
        <v>12</v>
      </c>
      <c r="K382" s="9" t="s">
        <v>9831</v>
      </c>
      <c r="L382" s="10" t="s">
        <v>22546</v>
      </c>
      <c r="M382" s="9" t="s">
        <v>9846</v>
      </c>
      <c r="N382" s="10" t="s">
        <v>9828</v>
      </c>
      <c r="O382" s="15">
        <v>4000000</v>
      </c>
      <c r="P382" s="147">
        <v>0</v>
      </c>
      <c r="Q382" s="9"/>
      <c r="R382" s="146"/>
      <c r="T382" s="92" t="s">
        <v>7217</v>
      </c>
      <c r="U382">
        <v>1</v>
      </c>
      <c r="V382">
        <f>VLOOKUP(T382,'Data Angt'!$A$5:$F$5810,6,FALSE)</f>
        <v>44</v>
      </c>
      <c r="W382" s="5" t="str">
        <f t="shared" si="5"/>
        <v>KONSUMTIF</v>
      </c>
      <c r="X382" s="5" t="str">
        <f>VLOOKUP(T382,'Data Angt'!$A$5:$H$5810,8,FALSE)</f>
        <v>Mengurus Rumah Tangga</v>
      </c>
      <c r="Y382" s="5" t="str">
        <f>VLOOKUP(T382,'Data Angt'!$A$5:$C$5808,3,FALSE)</f>
        <v>PBL</v>
      </c>
    </row>
    <row r="383" spans="1:25" x14ac:dyDescent="0.3">
      <c r="A383" s="8">
        <v>377</v>
      </c>
      <c r="B383" s="9" t="s">
        <v>6575</v>
      </c>
      <c r="C383" s="10" t="str">
        <f>VLOOKUP(B383,'Data Angt'!$A$5:$B$5809,2,FALSE)</f>
        <v>A2921</v>
      </c>
      <c r="D383" s="11" t="s">
        <v>9826</v>
      </c>
      <c r="E383" s="12" t="s">
        <v>15867</v>
      </c>
      <c r="F383" s="13">
        <v>45824</v>
      </c>
      <c r="G383" s="14">
        <v>45910</v>
      </c>
      <c r="H383" s="15">
        <v>5000000</v>
      </c>
      <c r="I383" s="16">
        <v>12</v>
      </c>
      <c r="J383" s="17">
        <v>24</v>
      </c>
      <c r="K383" s="9" t="s">
        <v>9831</v>
      </c>
      <c r="L383" s="10" t="s">
        <v>15868</v>
      </c>
      <c r="M383" s="9" t="s">
        <v>9964</v>
      </c>
      <c r="N383" s="10" t="s">
        <v>17</v>
      </c>
      <c r="O383" s="15">
        <v>3859200</v>
      </c>
      <c r="P383" s="145">
        <v>104100</v>
      </c>
      <c r="Q383" s="9"/>
      <c r="R383" s="146"/>
      <c r="T383" s="92" t="s">
        <v>7219</v>
      </c>
      <c r="U383">
        <v>1</v>
      </c>
      <c r="V383">
        <f>VLOOKUP(T383,'Data Angt'!$A$5:$F$5810,6,FALSE)</f>
        <v>39</v>
      </c>
      <c r="W383" s="5" t="str">
        <f t="shared" si="5"/>
        <v>PRODUKTIF</v>
      </c>
      <c r="X383" s="5" t="str">
        <f>VLOOKUP(T383,'Data Angt'!$A$5:$H$5810,8,FALSE)</f>
        <v>Tenaga Pengajar</v>
      </c>
      <c r="Y383" s="5" t="str">
        <f>VLOOKUP(T383,'Data Angt'!$A$5:$C$5808,3,FALSE)</f>
        <v>PBL</v>
      </c>
    </row>
    <row r="384" spans="1:25" x14ac:dyDescent="0.3">
      <c r="A384" s="8">
        <v>378</v>
      </c>
      <c r="B384" s="9" t="s">
        <v>6575</v>
      </c>
      <c r="C384" s="10" t="str">
        <f>VLOOKUP(B384,'Data Angt'!$A$5:$B$5809,2,FALSE)</f>
        <v>A2921</v>
      </c>
      <c r="D384" s="11" t="s">
        <v>9829</v>
      </c>
      <c r="E384" s="12" t="s">
        <v>15869</v>
      </c>
      <c r="F384" s="13">
        <v>45343</v>
      </c>
      <c r="G384" s="14">
        <v>45925</v>
      </c>
      <c r="H384" s="15">
        <v>15000000</v>
      </c>
      <c r="I384" s="16">
        <v>20</v>
      </c>
      <c r="J384" s="17">
        <v>24</v>
      </c>
      <c r="K384" s="9" t="s">
        <v>9831</v>
      </c>
      <c r="L384" s="10" t="s">
        <v>15870</v>
      </c>
      <c r="M384" s="9" t="s">
        <v>9838</v>
      </c>
      <c r="N384" s="10" t="s">
        <v>9830</v>
      </c>
      <c r="O384" s="15">
        <v>899600</v>
      </c>
      <c r="P384" s="145">
        <v>1248820</v>
      </c>
      <c r="Q384" s="9" t="s">
        <v>22276</v>
      </c>
      <c r="R384" s="146" t="s">
        <v>22547</v>
      </c>
      <c r="T384" s="92" t="s">
        <v>7228</v>
      </c>
      <c r="U384">
        <v>1</v>
      </c>
      <c r="V384">
        <f>VLOOKUP(T384,'Data Angt'!$A$5:$F$5810,6,FALSE)</f>
        <v>37</v>
      </c>
      <c r="W384" s="5" t="str">
        <f t="shared" si="5"/>
        <v>PRODUKTIF</v>
      </c>
      <c r="X384" s="5" t="str">
        <f>VLOOKUP(T384,'Data Angt'!$A$5:$H$5810,8,FALSE)</f>
        <v>Mengurus Rumah Tangga</v>
      </c>
      <c r="Y384" s="5" t="str">
        <f>VLOOKUP(T384,'Data Angt'!$A$5:$C$5808,3,FALSE)</f>
        <v>PBL</v>
      </c>
    </row>
    <row r="385" spans="1:25" x14ac:dyDescent="0.3">
      <c r="A385" s="8">
        <v>379</v>
      </c>
      <c r="B385" s="9" t="s">
        <v>6586</v>
      </c>
      <c r="C385" s="10" t="str">
        <f>VLOOKUP(B385,'Data Angt'!$A$5:$B$5809,2,FALSE)</f>
        <v>A2926</v>
      </c>
      <c r="D385" s="11" t="s">
        <v>9829</v>
      </c>
      <c r="E385" s="12" t="s">
        <v>15871</v>
      </c>
      <c r="F385" s="13">
        <v>45723</v>
      </c>
      <c r="G385" s="14">
        <v>45904</v>
      </c>
      <c r="H385" s="15">
        <v>5000000</v>
      </c>
      <c r="I385" s="16">
        <v>15</v>
      </c>
      <c r="J385" s="17">
        <v>24</v>
      </c>
      <c r="K385" s="9" t="s">
        <v>9831</v>
      </c>
      <c r="L385" s="10" t="s">
        <v>15872</v>
      </c>
      <c r="M385" s="9" t="s">
        <v>10512</v>
      </c>
      <c r="N385" s="10" t="s">
        <v>9828</v>
      </c>
      <c r="O385" s="15">
        <v>3176100</v>
      </c>
      <c r="P385" s="145">
        <v>191737</v>
      </c>
      <c r="Q385" s="9"/>
      <c r="R385" s="146"/>
      <c r="T385" s="92" t="s">
        <v>7232</v>
      </c>
      <c r="U385">
        <v>1</v>
      </c>
      <c r="V385">
        <f>VLOOKUP(T385,'Data Angt'!$A$5:$F$5810,6,FALSE)</f>
        <v>51</v>
      </c>
      <c r="W385" s="5" t="str">
        <f t="shared" si="5"/>
        <v>PENDIDIKAN</v>
      </c>
      <c r="X385" s="5" t="str">
        <f>VLOOKUP(T385,'Data Angt'!$A$5:$H$5810,8,FALSE)</f>
        <v>Mengurus Rumah Tangga</v>
      </c>
      <c r="Y385" s="5" t="str">
        <f>VLOOKUP(T385,'Data Angt'!$A$5:$C$5808,3,FALSE)</f>
        <v>PBL</v>
      </c>
    </row>
    <row r="386" spans="1:25" x14ac:dyDescent="0.3">
      <c r="A386" s="8">
        <v>380</v>
      </c>
      <c r="B386" s="9" t="s">
        <v>6596</v>
      </c>
      <c r="C386" s="10" t="str">
        <f>VLOOKUP(B386,'Data Angt'!$A$5:$B$5809,2,FALSE)</f>
        <v>A2930</v>
      </c>
      <c r="D386" s="11" t="s">
        <v>9833</v>
      </c>
      <c r="E386" s="12" t="s">
        <v>10103</v>
      </c>
      <c r="F386" s="13">
        <v>44744</v>
      </c>
      <c r="G386" s="14">
        <v>45780</v>
      </c>
      <c r="H386" s="15">
        <v>8000000</v>
      </c>
      <c r="I386" s="16">
        <v>36</v>
      </c>
      <c r="J386" s="17">
        <v>24</v>
      </c>
      <c r="K386" s="9" t="s">
        <v>9827</v>
      </c>
      <c r="L386" s="10" t="s">
        <v>10104</v>
      </c>
      <c r="M386" s="9" t="s">
        <v>10105</v>
      </c>
      <c r="N386" s="10" t="s">
        <v>9834</v>
      </c>
      <c r="O386" s="15">
        <v>6221600</v>
      </c>
      <c r="P386" s="145">
        <v>543486</v>
      </c>
      <c r="Q386" s="9" t="s">
        <v>22189</v>
      </c>
      <c r="R386" s="146" t="s">
        <v>22548</v>
      </c>
      <c r="T386" s="92" t="s">
        <v>7242</v>
      </c>
      <c r="U386">
        <v>1</v>
      </c>
      <c r="V386">
        <f>VLOOKUP(T386,'Data Angt'!$A$5:$F$5810,6,FALSE)</f>
        <v>39</v>
      </c>
      <c r="W386" s="5" t="str">
        <f t="shared" si="5"/>
        <v>KONSUMTIF</v>
      </c>
      <c r="X386" s="5" t="str">
        <f>VLOOKUP(T386,'Data Angt'!$A$5:$H$5810,8,FALSE)</f>
        <v>Karyawan</v>
      </c>
      <c r="Y386" s="5" t="str">
        <f>VLOOKUP(T386,'Data Angt'!$A$5:$C$5808,3,FALSE)</f>
        <v>PBL</v>
      </c>
    </row>
    <row r="387" spans="1:25" x14ac:dyDescent="0.3">
      <c r="A387" s="8">
        <v>381</v>
      </c>
      <c r="B387" s="9" t="s">
        <v>6616</v>
      </c>
      <c r="C387" s="10" t="str">
        <f>VLOOKUP(B387,'Data Angt'!$A$5:$B$5809,2,FALSE)</f>
        <v>A2939</v>
      </c>
      <c r="D387" s="11" t="s">
        <v>9842</v>
      </c>
      <c r="E387" s="12" t="s">
        <v>10106</v>
      </c>
      <c r="F387" s="13">
        <v>44081</v>
      </c>
      <c r="G387" s="14">
        <v>45792</v>
      </c>
      <c r="H387" s="15">
        <v>80000000</v>
      </c>
      <c r="I387" s="16">
        <v>120</v>
      </c>
      <c r="J387" s="17">
        <v>11.4</v>
      </c>
      <c r="K387" s="9" t="s">
        <v>9831</v>
      </c>
      <c r="L387" s="10" t="s">
        <v>10107</v>
      </c>
      <c r="M387" s="9" t="s">
        <v>9855</v>
      </c>
      <c r="N387" s="10" t="s">
        <v>9830</v>
      </c>
      <c r="O387" s="15">
        <v>63099500</v>
      </c>
      <c r="P387" s="145">
        <v>10294230</v>
      </c>
      <c r="Q387" s="9"/>
      <c r="R387" s="146"/>
      <c r="T387" s="92" t="s">
        <v>7268</v>
      </c>
      <c r="U387">
        <v>1</v>
      </c>
      <c r="V387">
        <f>VLOOKUP(T387,'Data Angt'!$A$5:$F$5810,6,FALSE)</f>
        <v>30</v>
      </c>
      <c r="W387" s="5" t="str">
        <f t="shared" si="5"/>
        <v>PRODUKTIF</v>
      </c>
      <c r="X387" s="5" t="str">
        <f>VLOOKUP(T387,'Data Angt'!$A$5:$H$5810,8,FALSE)</f>
        <v>Karyawan</v>
      </c>
      <c r="Y387" s="5" t="str">
        <f>VLOOKUP(T387,'Data Angt'!$A$5:$C$5808,3,FALSE)</f>
        <v>PBL</v>
      </c>
    </row>
    <row r="388" spans="1:25" x14ac:dyDescent="0.3">
      <c r="A388" s="8">
        <v>382</v>
      </c>
      <c r="B388" s="9" t="s">
        <v>6620</v>
      </c>
      <c r="C388" s="10" t="str">
        <f>VLOOKUP(B388,'Data Angt'!$A$5:$B$5809,2,FALSE)</f>
        <v>A2941</v>
      </c>
      <c r="D388" s="11" t="s">
        <v>9895</v>
      </c>
      <c r="E388" s="12" t="s">
        <v>10108</v>
      </c>
      <c r="F388" s="13">
        <v>44965</v>
      </c>
      <c r="G388" s="14">
        <v>45904</v>
      </c>
      <c r="H388" s="15">
        <v>25000000</v>
      </c>
      <c r="I388" s="16">
        <v>36</v>
      </c>
      <c r="J388" s="17">
        <v>21</v>
      </c>
      <c r="K388" s="9" t="s">
        <v>9831</v>
      </c>
      <c r="L388" s="10" t="s">
        <v>10109</v>
      </c>
      <c r="M388" s="9" t="s">
        <v>10076</v>
      </c>
      <c r="N388" s="10" t="s">
        <v>9828</v>
      </c>
      <c r="O388" s="15">
        <v>4472800</v>
      </c>
      <c r="P388" s="145">
        <v>3251880</v>
      </c>
      <c r="Q388" s="9" t="s">
        <v>22276</v>
      </c>
      <c r="R388" s="146" t="s">
        <v>22549</v>
      </c>
      <c r="T388" s="92" t="s">
        <v>7282</v>
      </c>
      <c r="U388">
        <v>1</v>
      </c>
      <c r="V388">
        <f>VLOOKUP(T388,'Data Angt'!$A$5:$F$5810,6,FALSE)</f>
        <v>43</v>
      </c>
      <c r="W388" s="5" t="str">
        <f t="shared" si="5"/>
        <v>KESEJAHTERAAN</v>
      </c>
      <c r="X388" s="5" t="str">
        <f>VLOOKUP(T388,'Data Angt'!$A$5:$H$5810,8,FALSE)</f>
        <v>Wiraswasta</v>
      </c>
      <c r="Y388" s="5" t="str">
        <f>VLOOKUP(T388,'Data Angt'!$A$5:$C$5808,3,FALSE)</f>
        <v>PBL</v>
      </c>
    </row>
    <row r="389" spans="1:25" x14ac:dyDescent="0.3">
      <c r="A389" s="8">
        <v>383</v>
      </c>
      <c r="B389" s="9" t="s">
        <v>6627</v>
      </c>
      <c r="C389" s="10" t="str">
        <f>VLOOKUP(B389,'Data Angt'!$A$5:$B$5809,2,FALSE)</f>
        <v>A2944</v>
      </c>
      <c r="D389" s="11" t="s">
        <v>9829</v>
      </c>
      <c r="E389" s="12" t="s">
        <v>15873</v>
      </c>
      <c r="F389" s="13">
        <v>45320</v>
      </c>
      <c r="G389" s="14">
        <v>45899</v>
      </c>
      <c r="H389" s="15">
        <v>10000000</v>
      </c>
      <c r="I389" s="16">
        <v>24</v>
      </c>
      <c r="J389" s="17">
        <v>24</v>
      </c>
      <c r="K389" s="9" t="s">
        <v>9831</v>
      </c>
      <c r="L389" s="10" t="s">
        <v>15874</v>
      </c>
      <c r="M389" s="9" t="s">
        <v>9841</v>
      </c>
      <c r="N389" s="10" t="s">
        <v>17</v>
      </c>
      <c r="O389" s="15">
        <v>6793100</v>
      </c>
      <c r="P389" s="145">
        <v>582111</v>
      </c>
      <c r="Q389" s="9" t="s">
        <v>22220</v>
      </c>
      <c r="R389" s="146" t="s">
        <v>22550</v>
      </c>
      <c r="T389" s="92" t="s">
        <v>7286</v>
      </c>
      <c r="U389">
        <v>1</v>
      </c>
      <c r="V389">
        <f>VLOOKUP(T389,'Data Angt'!$A$5:$F$5810,6,FALSE)</f>
        <v>53</v>
      </c>
      <c r="W389" s="5" t="str">
        <f t="shared" si="5"/>
        <v>KONSUMTIF</v>
      </c>
      <c r="X389" s="5" t="str">
        <f>VLOOKUP(T389,'Data Angt'!$A$5:$H$5810,8,FALSE)</f>
        <v>Karyawan</v>
      </c>
      <c r="Y389" s="5" t="str">
        <f>VLOOKUP(T389,'Data Angt'!$A$5:$C$5808,3,FALSE)</f>
        <v>PBL</v>
      </c>
    </row>
    <row r="390" spans="1:25" x14ac:dyDescent="0.3">
      <c r="A390" s="8">
        <v>384</v>
      </c>
      <c r="B390" s="9" t="s">
        <v>6629</v>
      </c>
      <c r="C390" s="10" t="str">
        <f>VLOOKUP(B390,'Data Angt'!$A$5:$B$5809,2,FALSE)</f>
        <v>A2945</v>
      </c>
      <c r="D390" s="11" t="s">
        <v>9829</v>
      </c>
      <c r="E390" s="12" t="s">
        <v>15875</v>
      </c>
      <c r="F390" s="13">
        <v>45451</v>
      </c>
      <c r="G390" s="14">
        <v>45908</v>
      </c>
      <c r="H390" s="15">
        <v>10000000</v>
      </c>
      <c r="I390" s="16">
        <v>20</v>
      </c>
      <c r="J390" s="17">
        <v>24</v>
      </c>
      <c r="K390" s="9" t="s">
        <v>9831</v>
      </c>
      <c r="L390" s="10" t="s">
        <v>15876</v>
      </c>
      <c r="M390" s="9" t="s">
        <v>9838</v>
      </c>
      <c r="N390" s="10" t="s">
        <v>9830</v>
      </c>
      <c r="O390" s="15">
        <v>2882900</v>
      </c>
      <c r="P390" s="145">
        <v>771334</v>
      </c>
      <c r="Q390" s="9" t="s">
        <v>22551</v>
      </c>
      <c r="R390" s="146" t="s">
        <v>22552</v>
      </c>
      <c r="T390" s="92" t="s">
        <v>7320</v>
      </c>
      <c r="U390">
        <v>1</v>
      </c>
      <c r="V390">
        <f>VLOOKUP(T390,'Data Angt'!$A$5:$F$5810,6,FALSE)</f>
        <v>47</v>
      </c>
      <c r="W390" s="5" t="str">
        <f t="shared" si="5"/>
        <v>KESEJAHTERAAN</v>
      </c>
      <c r="X390" s="5" t="str">
        <f>VLOOKUP(T390,'Data Angt'!$A$5:$H$5810,8,FALSE)</f>
        <v>Karyawan</v>
      </c>
      <c r="Y390" s="5" t="str">
        <f>VLOOKUP(T390,'Data Angt'!$A$5:$C$5808,3,FALSE)</f>
        <v>PBL</v>
      </c>
    </row>
    <row r="391" spans="1:25" x14ac:dyDescent="0.3">
      <c r="A391" s="8">
        <v>385</v>
      </c>
      <c r="B391" s="9" t="s">
        <v>6664</v>
      </c>
      <c r="C391" s="10" t="str">
        <f>VLOOKUP(B391,'Data Angt'!$A$5:$B$5809,2,FALSE)</f>
        <v>A2960</v>
      </c>
      <c r="D391" s="11" t="s">
        <v>9829</v>
      </c>
      <c r="E391" s="12" t="s">
        <v>15877</v>
      </c>
      <c r="F391" s="13">
        <v>45665</v>
      </c>
      <c r="G391" s="14">
        <v>45901</v>
      </c>
      <c r="H391" s="15">
        <v>21000000</v>
      </c>
      <c r="I391" s="16">
        <v>14</v>
      </c>
      <c r="J391" s="17">
        <v>24</v>
      </c>
      <c r="K391" s="9" t="s">
        <v>9831</v>
      </c>
      <c r="L391" s="10" t="s">
        <v>15878</v>
      </c>
      <c r="M391" s="9" t="s">
        <v>10642</v>
      </c>
      <c r="N391" s="10" t="s">
        <v>9828</v>
      </c>
      <c r="O391" s="15">
        <v>14158500</v>
      </c>
      <c r="P391" s="145">
        <v>1026749</v>
      </c>
      <c r="Q391" s="9" t="s">
        <v>22189</v>
      </c>
      <c r="R391" s="146" t="s">
        <v>22553</v>
      </c>
      <c r="T391" s="92" t="s">
        <v>7343</v>
      </c>
      <c r="U391">
        <v>1</v>
      </c>
      <c r="V391">
        <f>VLOOKUP(T391,'Data Angt'!$A$5:$F$5810,6,FALSE)</f>
        <v>46</v>
      </c>
      <c r="W391" s="5" t="str">
        <f t="shared" ref="W391:W454" si="6">VLOOKUP(T391,$B$7:$N$1869,13,FALSE)</f>
        <v>PRODUKTIF</v>
      </c>
      <c r="X391" s="5" t="str">
        <f>VLOOKUP(T391,'Data Angt'!$A$5:$H$5810,8,FALSE)</f>
        <v>Karyawan</v>
      </c>
      <c r="Y391" s="5" t="str">
        <f>VLOOKUP(T391,'Data Angt'!$A$5:$C$5808,3,FALSE)</f>
        <v>PBL</v>
      </c>
    </row>
    <row r="392" spans="1:25" x14ac:dyDescent="0.3">
      <c r="A392" s="8">
        <v>386</v>
      </c>
      <c r="B392" s="9" t="s">
        <v>6667</v>
      </c>
      <c r="C392" s="10" t="str">
        <f>VLOOKUP(B392,'Data Angt'!$A$5:$B$5809,2,FALSE)</f>
        <v>A2962</v>
      </c>
      <c r="D392" s="11" t="s">
        <v>9829</v>
      </c>
      <c r="E392" s="12" t="s">
        <v>10111</v>
      </c>
      <c r="F392" s="13">
        <v>44587</v>
      </c>
      <c r="G392" s="14">
        <v>45742</v>
      </c>
      <c r="H392" s="15">
        <v>35000000</v>
      </c>
      <c r="I392" s="16">
        <v>48</v>
      </c>
      <c r="J392" s="17">
        <v>21</v>
      </c>
      <c r="K392" s="9" t="s">
        <v>9831</v>
      </c>
      <c r="L392" s="10" t="s">
        <v>10112</v>
      </c>
      <c r="M392" s="9" t="s">
        <v>10113</v>
      </c>
      <c r="N392" s="10" t="s">
        <v>9828</v>
      </c>
      <c r="O392" s="15">
        <v>21771200</v>
      </c>
      <c r="P392" s="145">
        <v>4580431</v>
      </c>
      <c r="Q392" s="9" t="s">
        <v>22197</v>
      </c>
      <c r="R392" s="146" t="s">
        <v>22554</v>
      </c>
      <c r="T392" s="92" t="s">
        <v>7369</v>
      </c>
      <c r="U392">
        <v>1</v>
      </c>
      <c r="V392">
        <f>VLOOKUP(T392,'Data Angt'!$A$5:$F$5810,6,FALSE)</f>
        <v>46</v>
      </c>
      <c r="W392" s="5" t="str">
        <f t="shared" si="6"/>
        <v>KONSUMTIF</v>
      </c>
      <c r="X392" s="5" t="str">
        <f>VLOOKUP(T392,'Data Angt'!$A$5:$H$5810,8,FALSE)</f>
        <v>Wiraswasta</v>
      </c>
      <c r="Y392" s="5" t="str">
        <f>VLOOKUP(T392,'Data Angt'!$A$5:$C$5808,3,FALSE)</f>
        <v>PBL</v>
      </c>
    </row>
    <row r="393" spans="1:25" x14ac:dyDescent="0.3">
      <c r="A393" s="8">
        <v>387</v>
      </c>
      <c r="B393" s="9" t="s">
        <v>6677</v>
      </c>
      <c r="C393" s="10" t="str">
        <f>VLOOKUP(B393,'Data Angt'!$A$5:$B$5809,2,FALSE)</f>
        <v>A2967</v>
      </c>
      <c r="D393" s="11" t="s">
        <v>9833</v>
      </c>
      <c r="E393" s="12" t="s">
        <v>15881</v>
      </c>
      <c r="F393" s="13">
        <v>45371</v>
      </c>
      <c r="G393" s="14">
        <v>45917</v>
      </c>
      <c r="H393" s="15">
        <v>25000000</v>
      </c>
      <c r="I393" s="16">
        <v>24</v>
      </c>
      <c r="J393" s="17">
        <v>21</v>
      </c>
      <c r="K393" s="9" t="s">
        <v>9831</v>
      </c>
      <c r="L393" s="10" t="s">
        <v>15882</v>
      </c>
      <c r="M393" s="9" t="s">
        <v>15883</v>
      </c>
      <c r="N393" s="10" t="s">
        <v>9834</v>
      </c>
      <c r="O393" s="15">
        <v>7256800</v>
      </c>
      <c r="P393" s="145">
        <v>2018021</v>
      </c>
      <c r="Q393" s="9" t="s">
        <v>22555</v>
      </c>
      <c r="R393" s="146" t="s">
        <v>22556</v>
      </c>
      <c r="T393" s="92" t="s">
        <v>7377</v>
      </c>
      <c r="U393">
        <v>1</v>
      </c>
      <c r="V393">
        <f>VLOOKUP(T393,'Data Angt'!$A$5:$F$5810,6,FALSE)</f>
        <v>47</v>
      </c>
      <c r="W393" s="5" t="str">
        <f t="shared" si="6"/>
        <v>PRODUKTIF</v>
      </c>
      <c r="X393" s="5" t="str">
        <f>VLOOKUP(T393,'Data Angt'!$A$5:$H$5810,8,FALSE)</f>
        <v>Wiraswasta</v>
      </c>
      <c r="Y393" s="5" t="str">
        <f>VLOOKUP(T393,'Data Angt'!$A$5:$C$5808,3,FALSE)</f>
        <v>PBL</v>
      </c>
    </row>
    <row r="394" spans="1:25" x14ac:dyDescent="0.3">
      <c r="A394" s="8">
        <v>388</v>
      </c>
      <c r="B394" s="9" t="s">
        <v>6677</v>
      </c>
      <c r="C394" s="10" t="str">
        <f>VLOOKUP(B394,'Data Angt'!$A$5:$B$5809,2,FALSE)</f>
        <v>A2967</v>
      </c>
      <c r="D394" s="11" t="s">
        <v>9826</v>
      </c>
      <c r="E394" s="12" t="s">
        <v>15879</v>
      </c>
      <c r="F394" s="13">
        <v>45721</v>
      </c>
      <c r="G394" s="14">
        <v>45903</v>
      </c>
      <c r="H394" s="15">
        <v>5000000</v>
      </c>
      <c r="I394" s="16">
        <v>12</v>
      </c>
      <c r="J394" s="17">
        <v>24</v>
      </c>
      <c r="K394" s="9" t="s">
        <v>9831</v>
      </c>
      <c r="L394" s="10" t="s">
        <v>15880</v>
      </c>
      <c r="M394" s="9" t="s">
        <v>9862</v>
      </c>
      <c r="N394" s="10" t="s">
        <v>9834</v>
      </c>
      <c r="O394" s="15">
        <v>2648600</v>
      </c>
      <c r="P394" s="145">
        <v>182024</v>
      </c>
      <c r="Q394" s="9"/>
      <c r="R394" s="146"/>
      <c r="T394" s="92" t="s">
        <v>7380</v>
      </c>
      <c r="U394">
        <v>1</v>
      </c>
      <c r="V394">
        <f>VLOOKUP(T394,'Data Angt'!$A$5:$F$5810,6,FALSE)</f>
        <v>67</v>
      </c>
      <c r="W394" s="5" t="str">
        <f t="shared" si="6"/>
        <v>PENDIDIKAN</v>
      </c>
      <c r="X394" s="5" t="str">
        <f>VLOOKUP(T394,'Data Angt'!$A$5:$H$5810,8,FALSE)</f>
        <v>Pensiunan</v>
      </c>
      <c r="Y394" s="5" t="str">
        <f>VLOOKUP(T394,'Data Angt'!$A$5:$C$5808,3,FALSE)</f>
        <v>PBL</v>
      </c>
    </row>
    <row r="395" spans="1:25" x14ac:dyDescent="0.3">
      <c r="A395" s="8">
        <v>389</v>
      </c>
      <c r="B395" s="9" t="s">
        <v>6683</v>
      </c>
      <c r="C395" s="10" t="str">
        <f>VLOOKUP(B395,'Data Angt'!$A$5:$B$5809,2,FALSE)</f>
        <v>A2972</v>
      </c>
      <c r="D395" s="11" t="s">
        <v>9833</v>
      </c>
      <c r="E395" s="12" t="s">
        <v>22557</v>
      </c>
      <c r="F395" s="13">
        <v>45913</v>
      </c>
      <c r="G395" s="14">
        <v>45913</v>
      </c>
      <c r="H395" s="15">
        <v>4000000</v>
      </c>
      <c r="I395" s="16">
        <v>12</v>
      </c>
      <c r="J395" s="17">
        <v>24</v>
      </c>
      <c r="K395" s="9" t="s">
        <v>9831</v>
      </c>
      <c r="L395" s="10" t="s">
        <v>22558</v>
      </c>
      <c r="M395" s="9" t="s">
        <v>9962</v>
      </c>
      <c r="N395" s="10" t="s">
        <v>9834</v>
      </c>
      <c r="O395" s="15">
        <v>4000000</v>
      </c>
      <c r="P395" s="147">
        <v>0</v>
      </c>
      <c r="Q395" s="9"/>
      <c r="R395" s="146"/>
      <c r="T395" s="92" t="s">
        <v>7393</v>
      </c>
      <c r="U395">
        <v>2</v>
      </c>
      <c r="V395">
        <f>VLOOKUP(T395,'Data Angt'!$A$5:$F$5810,6,FALSE)</f>
        <v>48</v>
      </c>
      <c r="W395" s="5" t="str">
        <f t="shared" si="6"/>
        <v>KONSUMTIF</v>
      </c>
      <c r="X395" s="5" t="str">
        <f>VLOOKUP(T395,'Data Angt'!$A$5:$H$5810,8,FALSE)</f>
        <v>Mengurus Rumah Tangga</v>
      </c>
      <c r="Y395" s="5" t="str">
        <f>VLOOKUP(T395,'Data Angt'!$A$5:$C$5808,3,FALSE)</f>
        <v>PBL</v>
      </c>
    </row>
    <row r="396" spans="1:25" x14ac:dyDescent="0.3">
      <c r="A396" s="8">
        <v>390</v>
      </c>
      <c r="B396" s="9" t="s">
        <v>6703</v>
      </c>
      <c r="C396" s="10" t="str">
        <f>VLOOKUP(B396,'Data Angt'!$A$5:$B$5809,2,FALSE)</f>
        <v>A2981</v>
      </c>
      <c r="D396" s="11" t="s">
        <v>9842</v>
      </c>
      <c r="E396" s="12" t="s">
        <v>10116</v>
      </c>
      <c r="F396" s="13">
        <v>43881</v>
      </c>
      <c r="G396" s="14">
        <v>45920</v>
      </c>
      <c r="H396" s="15">
        <v>150000000</v>
      </c>
      <c r="I396" s="16">
        <v>120</v>
      </c>
      <c r="J396" s="17">
        <v>11.4</v>
      </c>
      <c r="K396" s="9" t="s">
        <v>9831</v>
      </c>
      <c r="L396" s="10" t="s">
        <v>10117</v>
      </c>
      <c r="M396" s="9" t="s">
        <v>10094</v>
      </c>
      <c r="N396" s="10" t="s">
        <v>9830</v>
      </c>
      <c r="O396" s="15">
        <v>87143700</v>
      </c>
      <c r="P396" s="145">
        <v>29201422</v>
      </c>
      <c r="Q396" s="9"/>
      <c r="R396" s="146"/>
      <c r="T396" s="92" t="s">
        <v>7395</v>
      </c>
      <c r="U396">
        <v>1</v>
      </c>
      <c r="V396">
        <f>VLOOKUP(T396,'Data Angt'!$A$5:$F$5810,6,FALSE)</f>
        <v>35</v>
      </c>
      <c r="W396" s="5" t="str">
        <f t="shared" si="6"/>
        <v>PRODUKTIF</v>
      </c>
      <c r="X396" s="5" t="str">
        <f>VLOOKUP(T396,'Data Angt'!$A$5:$H$5810,8,FALSE)</f>
        <v>Mengurus Rumah Tangga</v>
      </c>
      <c r="Y396" s="5" t="str">
        <f>VLOOKUP(T396,'Data Angt'!$A$5:$C$5808,3,FALSE)</f>
        <v>PBL</v>
      </c>
    </row>
    <row r="397" spans="1:25" x14ac:dyDescent="0.3">
      <c r="A397" s="8">
        <v>391</v>
      </c>
      <c r="B397" s="9" t="s">
        <v>6735</v>
      </c>
      <c r="C397" s="10" t="str">
        <f>VLOOKUP(B397,'Data Angt'!$A$5:$B$5809,2,FALSE)</f>
        <v>A2996</v>
      </c>
      <c r="D397" s="11" t="s">
        <v>9833</v>
      </c>
      <c r="E397" s="12" t="s">
        <v>10118</v>
      </c>
      <c r="F397" s="13">
        <v>44938</v>
      </c>
      <c r="G397" s="14">
        <v>45714</v>
      </c>
      <c r="H397" s="15">
        <v>5000000</v>
      </c>
      <c r="I397" s="16">
        <v>30</v>
      </c>
      <c r="J397" s="17">
        <v>24</v>
      </c>
      <c r="K397" s="9" t="s">
        <v>9831</v>
      </c>
      <c r="L397" s="10" t="s">
        <v>10119</v>
      </c>
      <c r="M397" s="9" t="s">
        <v>10120</v>
      </c>
      <c r="N397" s="10" t="s">
        <v>9834</v>
      </c>
      <c r="O397" s="15">
        <v>3942100</v>
      </c>
      <c r="P397" s="145">
        <v>586306</v>
      </c>
      <c r="Q397" s="9"/>
      <c r="R397" s="146"/>
      <c r="T397" s="92" t="s">
        <v>7410</v>
      </c>
      <c r="U397">
        <v>1</v>
      </c>
      <c r="V397">
        <f>VLOOKUP(T397,'Data Angt'!$A$5:$F$5810,6,FALSE)</f>
        <v>43</v>
      </c>
      <c r="W397" s="5" t="str">
        <f t="shared" si="6"/>
        <v>PRODUKTIF</v>
      </c>
      <c r="X397" s="5" t="str">
        <f>VLOOKUP(T397,'Data Angt'!$A$5:$H$5810,8,FALSE)</f>
        <v>Wiraswasta</v>
      </c>
      <c r="Y397" s="5" t="str">
        <f>VLOOKUP(T397,'Data Angt'!$A$5:$C$5808,3,FALSE)</f>
        <v>PBL</v>
      </c>
    </row>
    <row r="398" spans="1:25" x14ac:dyDescent="0.3">
      <c r="A398" s="8">
        <v>392</v>
      </c>
      <c r="B398" s="9" t="s">
        <v>6784</v>
      </c>
      <c r="C398" s="10" t="str">
        <f>VLOOKUP(B398,'Data Angt'!$A$5:$B$5809,2,FALSE)</f>
        <v>A3018</v>
      </c>
      <c r="D398" s="11" t="s">
        <v>9829</v>
      </c>
      <c r="E398" s="12" t="s">
        <v>22559</v>
      </c>
      <c r="F398" s="13">
        <v>45854</v>
      </c>
      <c r="G398" s="14">
        <v>45912</v>
      </c>
      <c r="H398" s="15">
        <v>10000000</v>
      </c>
      <c r="I398" s="16">
        <v>24</v>
      </c>
      <c r="J398" s="17">
        <v>24</v>
      </c>
      <c r="K398" s="9" t="s">
        <v>9831</v>
      </c>
      <c r="L398" s="10" t="s">
        <v>22560</v>
      </c>
      <c r="M398" s="9" t="s">
        <v>9886</v>
      </c>
      <c r="N398" s="10" t="s">
        <v>9830</v>
      </c>
      <c r="O398" s="15">
        <v>9335900</v>
      </c>
      <c r="P398" s="145">
        <v>147562</v>
      </c>
      <c r="Q398" s="9" t="s">
        <v>22189</v>
      </c>
      <c r="R398" s="146" t="s">
        <v>22561</v>
      </c>
      <c r="T398" s="92" t="s">
        <v>7439</v>
      </c>
      <c r="U398">
        <v>1</v>
      </c>
      <c r="V398">
        <f>VLOOKUP(T398,'Data Angt'!$A$5:$F$5810,6,FALSE)</f>
        <v>56</v>
      </c>
      <c r="W398" s="5" t="str">
        <f t="shared" si="6"/>
        <v>PRODUKTIF</v>
      </c>
      <c r="X398" s="5" t="str">
        <f>VLOOKUP(T398,'Data Angt'!$A$5:$H$5810,8,FALSE)</f>
        <v>Wiraswasta</v>
      </c>
      <c r="Y398" s="5" t="str">
        <f>VLOOKUP(T398,'Data Angt'!$A$5:$C$5808,3,FALSE)</f>
        <v>PBL</v>
      </c>
    </row>
    <row r="399" spans="1:25" x14ac:dyDescent="0.3">
      <c r="A399" s="8">
        <v>393</v>
      </c>
      <c r="B399" s="9" t="s">
        <v>6787</v>
      </c>
      <c r="C399" s="10" t="str">
        <f>VLOOKUP(B399,'Data Angt'!$A$5:$B$5809,2,FALSE)</f>
        <v>A3020</v>
      </c>
      <c r="D399" s="11" t="s">
        <v>9833</v>
      </c>
      <c r="E399" s="12" t="s">
        <v>10121</v>
      </c>
      <c r="F399" s="13">
        <v>43777</v>
      </c>
      <c r="G399" s="14">
        <v>45911</v>
      </c>
      <c r="H399" s="15">
        <v>35000000</v>
      </c>
      <c r="I399" s="16">
        <v>48</v>
      </c>
      <c r="J399" s="17">
        <v>21</v>
      </c>
      <c r="K399" s="9" t="s">
        <v>9831</v>
      </c>
      <c r="L399" s="10" t="s">
        <v>10122</v>
      </c>
      <c r="M399" s="9" t="s">
        <v>10123</v>
      </c>
      <c r="N399" s="10" t="s">
        <v>9834</v>
      </c>
      <c r="O399" s="15">
        <v>7101600</v>
      </c>
      <c r="P399" s="145">
        <v>8522765</v>
      </c>
      <c r="Q399" s="9"/>
      <c r="R399" s="146"/>
      <c r="T399" s="92" t="s">
        <v>7445</v>
      </c>
      <c r="U399">
        <v>1</v>
      </c>
      <c r="V399">
        <f>VLOOKUP(T399,'Data Angt'!$A$5:$F$5810,6,FALSE)</f>
        <v>44</v>
      </c>
      <c r="W399" s="5" t="str">
        <f t="shared" si="6"/>
        <v>PRODUKTIF</v>
      </c>
      <c r="X399" s="5" t="str">
        <f>VLOOKUP(T399,'Data Angt'!$A$5:$H$5810,8,FALSE)</f>
        <v>Lain-Lain</v>
      </c>
      <c r="Y399" s="5" t="str">
        <f>VLOOKUP(T399,'Data Angt'!$A$5:$C$5808,3,FALSE)</f>
        <v>PBL</v>
      </c>
    </row>
    <row r="400" spans="1:25" x14ac:dyDescent="0.3">
      <c r="A400" s="8">
        <v>394</v>
      </c>
      <c r="B400" s="9" t="s">
        <v>6821</v>
      </c>
      <c r="C400" s="10" t="str">
        <f>VLOOKUP(B400,'Data Angt'!$A$5:$B$5809,2,FALSE)</f>
        <v>A3037</v>
      </c>
      <c r="D400" s="11" t="s">
        <v>9826</v>
      </c>
      <c r="E400" s="12" t="s">
        <v>15884</v>
      </c>
      <c r="F400" s="13">
        <v>45820</v>
      </c>
      <c r="G400" s="14">
        <v>45912</v>
      </c>
      <c r="H400" s="15">
        <v>5000000</v>
      </c>
      <c r="I400" s="16">
        <v>10</v>
      </c>
      <c r="J400" s="17">
        <v>24</v>
      </c>
      <c r="K400" s="9" t="s">
        <v>9827</v>
      </c>
      <c r="L400" s="10" t="s">
        <v>15885</v>
      </c>
      <c r="M400" s="9" t="s">
        <v>9964</v>
      </c>
      <c r="N400" s="10" t="s">
        <v>17</v>
      </c>
      <c r="O400" s="15">
        <v>3500000</v>
      </c>
      <c r="P400" s="145">
        <v>101250</v>
      </c>
      <c r="Q400" s="9"/>
      <c r="R400" s="146"/>
      <c r="T400" s="92" t="s">
        <v>7517</v>
      </c>
      <c r="U400">
        <v>1</v>
      </c>
      <c r="V400">
        <f>VLOOKUP(T400,'Data Angt'!$A$5:$F$5810,6,FALSE)</f>
        <v>36</v>
      </c>
      <c r="W400" s="5" t="str">
        <f t="shared" si="6"/>
        <v>PRODUKTIF</v>
      </c>
      <c r="X400" s="5">
        <f>VLOOKUP(T400,'Data Angt'!$A$5:$H$5810,8,FALSE)</f>
        <v>0</v>
      </c>
      <c r="Y400" s="5" t="str">
        <f>VLOOKUP(T400,'Data Angt'!$A$5:$C$5808,3,FALSE)</f>
        <v>PBL</v>
      </c>
    </row>
    <row r="401" spans="1:25" x14ac:dyDescent="0.3">
      <c r="A401" s="8">
        <v>395</v>
      </c>
      <c r="B401" s="9" t="s">
        <v>6821</v>
      </c>
      <c r="C401" s="10" t="str">
        <f>VLOOKUP(B401,'Data Angt'!$A$5:$B$5809,2,FALSE)</f>
        <v>A3037</v>
      </c>
      <c r="D401" s="11" t="s">
        <v>9829</v>
      </c>
      <c r="E401" s="12" t="s">
        <v>15886</v>
      </c>
      <c r="F401" s="13">
        <v>45691</v>
      </c>
      <c r="G401" s="14">
        <v>45901</v>
      </c>
      <c r="H401" s="15">
        <v>11000000</v>
      </c>
      <c r="I401" s="16">
        <v>36</v>
      </c>
      <c r="J401" s="17">
        <v>24</v>
      </c>
      <c r="K401" s="9" t="s">
        <v>9831</v>
      </c>
      <c r="L401" s="10" t="s">
        <v>15887</v>
      </c>
      <c r="M401" s="9" t="s">
        <v>9838</v>
      </c>
      <c r="N401" s="10" t="s">
        <v>9830</v>
      </c>
      <c r="O401" s="15">
        <v>9427200</v>
      </c>
      <c r="P401" s="145">
        <v>543149</v>
      </c>
      <c r="Q401" s="9"/>
      <c r="R401" s="146"/>
      <c r="T401" s="92" t="s">
        <v>7525</v>
      </c>
      <c r="U401">
        <v>1</v>
      </c>
      <c r="V401">
        <f>VLOOKUP(T401,'Data Angt'!$A$5:$F$5810,6,FALSE)</f>
        <v>38</v>
      </c>
      <c r="W401" s="5" t="str">
        <f t="shared" si="6"/>
        <v>PRODUKTIF</v>
      </c>
      <c r="X401" s="5" t="str">
        <f>VLOOKUP(T401,'Data Angt'!$A$5:$H$5810,8,FALSE)</f>
        <v>Karyawan</v>
      </c>
      <c r="Y401" s="5" t="str">
        <f>VLOOKUP(T401,'Data Angt'!$A$5:$C$5808,3,FALSE)</f>
        <v>PBL</v>
      </c>
    </row>
    <row r="402" spans="1:25" x14ac:dyDescent="0.3">
      <c r="A402" s="8">
        <v>396</v>
      </c>
      <c r="B402" s="9" t="s">
        <v>12446</v>
      </c>
      <c r="C402" s="10" t="str">
        <f>VLOOKUP(B402,'Data Angt'!$A$5:$B$5809,2,FALSE)</f>
        <v>A3038</v>
      </c>
      <c r="D402" s="11" t="s">
        <v>9881</v>
      </c>
      <c r="E402" s="12" t="s">
        <v>22562</v>
      </c>
      <c r="F402" s="13">
        <v>45874</v>
      </c>
      <c r="G402" s="14">
        <v>45902</v>
      </c>
      <c r="H402" s="15">
        <v>2600000</v>
      </c>
      <c r="I402" s="16">
        <v>12</v>
      </c>
      <c r="J402" s="17">
        <v>12</v>
      </c>
      <c r="K402" s="9" t="s">
        <v>9831</v>
      </c>
      <c r="L402" s="10" t="s">
        <v>22563</v>
      </c>
      <c r="M402" s="9" t="s">
        <v>9835</v>
      </c>
      <c r="N402" s="10" t="s">
        <v>9828</v>
      </c>
      <c r="O402" s="15">
        <v>2394900</v>
      </c>
      <c r="P402" s="145">
        <v>9750</v>
      </c>
      <c r="Q402" s="9"/>
      <c r="R402" s="146"/>
      <c r="T402" s="92" t="s">
        <v>7549</v>
      </c>
      <c r="U402">
        <v>1</v>
      </c>
      <c r="V402">
        <f>VLOOKUP(T402,'Data Angt'!$A$5:$F$5810,6,FALSE)</f>
        <v>44</v>
      </c>
      <c r="W402" s="5" t="str">
        <f t="shared" si="6"/>
        <v>PRODUKTIF</v>
      </c>
      <c r="X402" s="5" t="str">
        <f>VLOOKUP(T402,'Data Angt'!$A$5:$H$5810,8,FALSE)</f>
        <v>Mengurus Rumah Tangga</v>
      </c>
      <c r="Y402" s="5" t="str">
        <f>VLOOKUP(T402,'Data Angt'!$A$5:$C$5808,3,FALSE)</f>
        <v>PBL</v>
      </c>
    </row>
    <row r="403" spans="1:25" x14ac:dyDescent="0.3">
      <c r="A403" s="8">
        <v>397</v>
      </c>
      <c r="B403" s="9" t="s">
        <v>6823</v>
      </c>
      <c r="C403" s="10" t="str">
        <f>VLOOKUP(B403,'Data Angt'!$A$5:$B$5809,2,FALSE)</f>
        <v>A3039</v>
      </c>
      <c r="D403" s="11" t="s">
        <v>9833</v>
      </c>
      <c r="E403" s="12" t="s">
        <v>10124</v>
      </c>
      <c r="F403" s="13">
        <v>43840</v>
      </c>
      <c r="G403" s="14">
        <v>45892</v>
      </c>
      <c r="H403" s="15">
        <v>10000000</v>
      </c>
      <c r="I403" s="16">
        <v>24</v>
      </c>
      <c r="J403" s="17">
        <v>24</v>
      </c>
      <c r="K403" s="9" t="s">
        <v>9827</v>
      </c>
      <c r="L403" s="10" t="s">
        <v>10125</v>
      </c>
      <c r="M403" s="9" t="s">
        <v>10126</v>
      </c>
      <c r="N403" s="10" t="s">
        <v>9834</v>
      </c>
      <c r="O403" s="15">
        <v>4999600</v>
      </c>
      <c r="P403" s="145">
        <v>1900160</v>
      </c>
      <c r="Q403" s="9" t="s">
        <v>22431</v>
      </c>
      <c r="R403" s="146" t="s">
        <v>22564</v>
      </c>
      <c r="T403" s="92" t="s">
        <v>7560</v>
      </c>
      <c r="U403">
        <v>2</v>
      </c>
      <c r="V403">
        <f>VLOOKUP(T403,'Data Angt'!$A$5:$F$5810,6,FALSE)</f>
        <v>48</v>
      </c>
      <c r="W403" s="5" t="str">
        <f t="shared" si="6"/>
        <v>KONSUMTIF</v>
      </c>
      <c r="X403" s="5" t="str">
        <f>VLOOKUP(T403,'Data Angt'!$A$5:$H$5810,8,FALSE)</f>
        <v>Karyawan</v>
      </c>
      <c r="Y403" s="5" t="str">
        <f>VLOOKUP(T403,'Data Angt'!$A$5:$C$5808,3,FALSE)</f>
        <v>PBL</v>
      </c>
    </row>
    <row r="404" spans="1:25" x14ac:dyDescent="0.3">
      <c r="A404" s="8">
        <v>398</v>
      </c>
      <c r="B404" s="9" t="s">
        <v>6850</v>
      </c>
      <c r="C404" s="10" t="str">
        <f>VLOOKUP(B404,'Data Angt'!$A$5:$B$5809,2,FALSE)</f>
        <v>A3054</v>
      </c>
      <c r="D404" s="11" t="s">
        <v>9829</v>
      </c>
      <c r="E404" s="12" t="s">
        <v>15888</v>
      </c>
      <c r="F404" s="13">
        <v>45812</v>
      </c>
      <c r="G404" s="14">
        <v>45904</v>
      </c>
      <c r="H404" s="15">
        <v>2000000</v>
      </c>
      <c r="I404" s="16">
        <v>6</v>
      </c>
      <c r="J404" s="17">
        <v>24</v>
      </c>
      <c r="K404" s="9" t="s">
        <v>9831</v>
      </c>
      <c r="L404" s="10" t="s">
        <v>15889</v>
      </c>
      <c r="M404" s="9" t="s">
        <v>15890</v>
      </c>
      <c r="N404" s="10" t="s">
        <v>9830</v>
      </c>
      <c r="O404" s="15">
        <v>1029600</v>
      </c>
      <c r="P404" s="145">
        <v>37837</v>
      </c>
      <c r="Q404" s="9"/>
      <c r="R404" s="146"/>
      <c r="T404" s="92" t="s">
        <v>7572</v>
      </c>
      <c r="U404">
        <v>1</v>
      </c>
      <c r="V404">
        <f>VLOOKUP(T404,'Data Angt'!$A$5:$F$5810,6,FALSE)</f>
        <v>44</v>
      </c>
      <c r="W404" s="5" t="str">
        <f t="shared" si="6"/>
        <v>PENDIDIKAN</v>
      </c>
      <c r="X404" s="5" t="str">
        <f>VLOOKUP(T404,'Data Angt'!$A$5:$H$5810,8,FALSE)</f>
        <v>Mengurus Rumah Tangga</v>
      </c>
      <c r="Y404" s="5" t="str">
        <f>VLOOKUP(T404,'Data Angt'!$A$5:$C$5808,3,FALSE)</f>
        <v>PBL</v>
      </c>
    </row>
    <row r="405" spans="1:25" x14ac:dyDescent="0.3">
      <c r="A405" s="8">
        <v>399</v>
      </c>
      <c r="B405" s="9" t="s">
        <v>6853</v>
      </c>
      <c r="C405" s="10" t="str">
        <f>VLOOKUP(B405,'Data Angt'!$A$5:$B$5809,2,FALSE)</f>
        <v>A3055</v>
      </c>
      <c r="D405" s="11" t="s">
        <v>9829</v>
      </c>
      <c r="E405" s="12" t="s">
        <v>10128</v>
      </c>
      <c r="F405" s="13">
        <v>43346</v>
      </c>
      <c r="G405" s="14">
        <v>45442</v>
      </c>
      <c r="H405" s="15">
        <v>85000000</v>
      </c>
      <c r="I405" s="16">
        <v>60</v>
      </c>
      <c r="J405" s="17">
        <v>21</v>
      </c>
      <c r="K405" s="9" t="s">
        <v>9827</v>
      </c>
      <c r="L405" s="10" t="s">
        <v>10129</v>
      </c>
      <c r="M405" s="9" t="s">
        <v>10130</v>
      </c>
      <c r="N405" s="10" t="s">
        <v>9830</v>
      </c>
      <c r="O405" s="15">
        <v>80749900</v>
      </c>
      <c r="P405" s="145">
        <v>9594862</v>
      </c>
      <c r="Q405" s="9"/>
      <c r="R405" s="146"/>
      <c r="T405" s="92" t="s">
        <v>7579</v>
      </c>
      <c r="U405">
        <v>1</v>
      </c>
      <c r="V405">
        <f>VLOOKUP(T405,'Data Angt'!$A$5:$F$5810,6,FALSE)</f>
        <v>34</v>
      </c>
      <c r="W405" s="5" t="str">
        <f t="shared" si="6"/>
        <v>KESEJAHTERAAN</v>
      </c>
      <c r="X405" s="5" t="str">
        <f>VLOOKUP(T405,'Data Angt'!$A$5:$H$5810,8,FALSE)</f>
        <v>Karyawan</v>
      </c>
      <c r="Y405" s="5" t="str">
        <f>VLOOKUP(T405,'Data Angt'!$A$5:$C$5808,3,FALSE)</f>
        <v>PBL</v>
      </c>
    </row>
    <row r="406" spans="1:25" x14ac:dyDescent="0.3">
      <c r="A406" s="8">
        <v>400</v>
      </c>
      <c r="B406" s="9" t="s">
        <v>6872</v>
      </c>
      <c r="C406" s="10" t="str">
        <f>VLOOKUP(B406,'Data Angt'!$A$5:$B$5809,2,FALSE)</f>
        <v>A3066</v>
      </c>
      <c r="D406" s="11" t="s">
        <v>9833</v>
      </c>
      <c r="E406" s="12" t="s">
        <v>15891</v>
      </c>
      <c r="F406" s="13">
        <v>45742</v>
      </c>
      <c r="G406" s="14">
        <v>45923</v>
      </c>
      <c r="H406" s="15">
        <v>3000000</v>
      </c>
      <c r="I406" s="16">
        <v>12</v>
      </c>
      <c r="J406" s="17">
        <v>24</v>
      </c>
      <c r="K406" s="9" t="s">
        <v>9831</v>
      </c>
      <c r="L406" s="10" t="s">
        <v>15892</v>
      </c>
      <c r="M406" s="9" t="s">
        <v>9977</v>
      </c>
      <c r="N406" s="10" t="s">
        <v>9834</v>
      </c>
      <c r="O406" s="15">
        <v>1589200</v>
      </c>
      <c r="P406" s="145">
        <v>109275</v>
      </c>
      <c r="Q406" s="9"/>
      <c r="R406" s="146"/>
      <c r="T406" s="92" t="s">
        <v>7590</v>
      </c>
      <c r="U406">
        <v>1</v>
      </c>
      <c r="V406">
        <f>VLOOKUP(T406,'Data Angt'!$A$5:$F$5810,6,FALSE)</f>
        <v>41</v>
      </c>
      <c r="W406" s="5" t="str">
        <f t="shared" si="6"/>
        <v>KESEJAHTERAAN</v>
      </c>
      <c r="X406" s="5" t="str">
        <f>VLOOKUP(T406,'Data Angt'!$A$5:$H$5810,8,FALSE)</f>
        <v>Lain-Lain</v>
      </c>
      <c r="Y406" s="5" t="str">
        <f>VLOOKUP(T406,'Data Angt'!$A$5:$C$5808,3,FALSE)</f>
        <v>PBL</v>
      </c>
    </row>
    <row r="407" spans="1:25" x14ac:dyDescent="0.3">
      <c r="A407" s="8">
        <v>401</v>
      </c>
      <c r="B407" s="9" t="s">
        <v>6879</v>
      </c>
      <c r="C407" s="10" t="str">
        <f>VLOOKUP(B407,'Data Angt'!$A$5:$B$5809,2,FALSE)</f>
        <v>A3070</v>
      </c>
      <c r="D407" s="11" t="s">
        <v>9829</v>
      </c>
      <c r="E407" s="12" t="s">
        <v>15893</v>
      </c>
      <c r="F407" s="13">
        <v>45528</v>
      </c>
      <c r="G407" s="14">
        <v>45922</v>
      </c>
      <c r="H407" s="15">
        <v>60000000</v>
      </c>
      <c r="I407" s="16">
        <v>30</v>
      </c>
      <c r="J407" s="17">
        <v>21</v>
      </c>
      <c r="K407" s="9" t="s">
        <v>9831</v>
      </c>
      <c r="L407" s="10" t="s">
        <v>15894</v>
      </c>
      <c r="M407" s="9" t="s">
        <v>15895</v>
      </c>
      <c r="N407" s="10" t="s">
        <v>9830</v>
      </c>
      <c r="O407" s="15">
        <v>37769400</v>
      </c>
      <c r="P407" s="145">
        <v>4279046</v>
      </c>
      <c r="Q407" s="9" t="s">
        <v>22240</v>
      </c>
      <c r="R407" s="146" t="s">
        <v>22565</v>
      </c>
      <c r="T407" s="92" t="s">
        <v>7600</v>
      </c>
      <c r="U407">
        <v>1</v>
      </c>
      <c r="V407">
        <f>VLOOKUP(T407,'Data Angt'!$A$5:$F$5810,6,FALSE)</f>
        <v>67</v>
      </c>
      <c r="W407" s="5" t="str">
        <f t="shared" si="6"/>
        <v>KONSUMTIF</v>
      </c>
      <c r="X407" s="5" t="str">
        <f>VLOOKUP(T407,'Data Angt'!$A$5:$H$5810,8,FALSE)</f>
        <v>Pensiunan</v>
      </c>
      <c r="Y407" s="5" t="str">
        <f>VLOOKUP(T407,'Data Angt'!$A$5:$C$5808,3,FALSE)</f>
        <v>PBL</v>
      </c>
    </row>
    <row r="408" spans="1:25" x14ac:dyDescent="0.3">
      <c r="A408" s="8">
        <v>402</v>
      </c>
      <c r="B408" s="9" t="s">
        <v>6881</v>
      </c>
      <c r="C408" s="10" t="str">
        <f>VLOOKUP(B408,'Data Angt'!$A$5:$B$5809,2,FALSE)</f>
        <v>A3072</v>
      </c>
      <c r="D408" s="11" t="s">
        <v>9829</v>
      </c>
      <c r="E408" s="12" t="s">
        <v>22566</v>
      </c>
      <c r="F408" s="13">
        <v>45881</v>
      </c>
      <c r="G408" s="14">
        <v>45911</v>
      </c>
      <c r="H408" s="15">
        <v>1000000</v>
      </c>
      <c r="I408" s="16">
        <v>5</v>
      </c>
      <c r="J408" s="17">
        <v>24</v>
      </c>
      <c r="K408" s="9" t="s">
        <v>9831</v>
      </c>
      <c r="L408" s="10" t="s">
        <v>22567</v>
      </c>
      <c r="M408" s="9" t="s">
        <v>22568</v>
      </c>
      <c r="N408" s="10" t="s">
        <v>9828</v>
      </c>
      <c r="O408" s="15">
        <v>807800</v>
      </c>
      <c r="P408" s="145">
        <v>7500</v>
      </c>
      <c r="Q408" s="9"/>
      <c r="R408" s="146"/>
      <c r="T408" s="92" t="s">
        <v>7620</v>
      </c>
      <c r="U408">
        <v>1</v>
      </c>
      <c r="V408">
        <f>VLOOKUP(T408,'Data Angt'!$A$5:$F$5810,6,FALSE)</f>
        <v>42</v>
      </c>
      <c r="W408" s="5" t="str">
        <f t="shared" si="6"/>
        <v>PRODUKTIF</v>
      </c>
      <c r="X408" s="5" t="str">
        <f>VLOOKUP(T408,'Data Angt'!$A$5:$H$5810,8,FALSE)</f>
        <v>Karyawan</v>
      </c>
      <c r="Y408" s="5" t="str">
        <f>VLOOKUP(T408,'Data Angt'!$A$5:$C$5808,3,FALSE)</f>
        <v>PBL</v>
      </c>
    </row>
    <row r="409" spans="1:25" x14ac:dyDescent="0.3">
      <c r="A409" s="8">
        <v>403</v>
      </c>
      <c r="B409" s="9" t="s">
        <v>6885</v>
      </c>
      <c r="C409" s="10" t="str">
        <f>VLOOKUP(B409,'Data Angt'!$A$5:$B$5809,2,FALSE)</f>
        <v>A3073</v>
      </c>
      <c r="D409" s="11" t="s">
        <v>9833</v>
      </c>
      <c r="E409" s="12" t="s">
        <v>10131</v>
      </c>
      <c r="F409" s="13">
        <v>44938</v>
      </c>
      <c r="G409" s="14">
        <v>45902</v>
      </c>
      <c r="H409" s="15">
        <v>15000000</v>
      </c>
      <c r="I409" s="16">
        <v>36</v>
      </c>
      <c r="J409" s="17">
        <v>24</v>
      </c>
      <c r="K409" s="9" t="s">
        <v>9827</v>
      </c>
      <c r="L409" s="10" t="s">
        <v>10132</v>
      </c>
      <c r="M409" s="9" t="s">
        <v>10133</v>
      </c>
      <c r="N409" s="10" t="s">
        <v>9834</v>
      </c>
      <c r="O409" s="15">
        <v>1665600</v>
      </c>
      <c r="P409" s="145">
        <v>2050381</v>
      </c>
      <c r="Q409" s="9" t="s">
        <v>22254</v>
      </c>
      <c r="R409" s="146" t="s">
        <v>22569</v>
      </c>
      <c r="T409" s="92" t="s">
        <v>7622</v>
      </c>
      <c r="U409">
        <v>1</v>
      </c>
      <c r="V409">
        <f>VLOOKUP(T409,'Data Angt'!$A$5:$F$5810,6,FALSE)</f>
        <v>67</v>
      </c>
      <c r="W409" s="5" t="str">
        <f t="shared" si="6"/>
        <v>KESEJAHTERAAN</v>
      </c>
      <c r="X409" s="5" t="str">
        <f>VLOOKUP(T409,'Data Angt'!$A$5:$H$5810,8,FALSE)</f>
        <v>Pensiunan</v>
      </c>
      <c r="Y409" s="5" t="str">
        <f>VLOOKUP(T409,'Data Angt'!$A$5:$C$5808,3,FALSE)</f>
        <v>PBL</v>
      </c>
    </row>
    <row r="410" spans="1:25" x14ac:dyDescent="0.3">
      <c r="A410" s="8">
        <v>404</v>
      </c>
      <c r="B410" s="9" t="s">
        <v>6898</v>
      </c>
      <c r="C410" s="10" t="str">
        <f>VLOOKUP(B410,'Data Angt'!$A$5:$B$5809,2,FALSE)</f>
        <v>A3079</v>
      </c>
      <c r="D410" s="11" t="s">
        <v>9843</v>
      </c>
      <c r="E410" s="12" t="s">
        <v>10134</v>
      </c>
      <c r="F410" s="13">
        <v>43133</v>
      </c>
      <c r="G410" s="14">
        <v>45902</v>
      </c>
      <c r="H410" s="15">
        <v>135000000</v>
      </c>
      <c r="I410" s="16">
        <v>120</v>
      </c>
      <c r="J410" s="17">
        <v>11.4</v>
      </c>
      <c r="K410" s="9" t="s">
        <v>9831</v>
      </c>
      <c r="L410" s="10" t="s">
        <v>10134</v>
      </c>
      <c r="M410" s="9"/>
      <c r="N410" s="10"/>
      <c r="O410" s="15">
        <v>47715700</v>
      </c>
      <c r="P410" s="145">
        <v>33365839</v>
      </c>
      <c r="Q410" s="9"/>
      <c r="R410" s="146"/>
      <c r="T410" s="92" t="s">
        <v>7632</v>
      </c>
      <c r="U410">
        <v>1</v>
      </c>
      <c r="V410">
        <f>VLOOKUP(T410,'Data Angt'!$A$5:$F$5810,6,FALSE)</f>
        <v>32</v>
      </c>
      <c r="W410" s="5" t="str">
        <f t="shared" si="6"/>
        <v>KESEJAHTERAAN</v>
      </c>
      <c r="X410" s="5" t="str">
        <f>VLOOKUP(T410,'Data Angt'!$A$5:$H$5810,8,FALSE)</f>
        <v>Tenaga Pengajar</v>
      </c>
      <c r="Y410" s="5" t="str">
        <f>VLOOKUP(T410,'Data Angt'!$A$5:$C$5808,3,FALSE)</f>
        <v>PBL</v>
      </c>
    </row>
    <row r="411" spans="1:25" x14ac:dyDescent="0.3">
      <c r="A411" s="8">
        <v>405</v>
      </c>
      <c r="B411" s="9" t="s">
        <v>6921</v>
      </c>
      <c r="C411" s="10" t="str">
        <f>VLOOKUP(B411,'Data Angt'!$A$5:$B$5809,2,FALSE)</f>
        <v>A3092</v>
      </c>
      <c r="D411" s="11" t="s">
        <v>9881</v>
      </c>
      <c r="E411" s="12" t="s">
        <v>15896</v>
      </c>
      <c r="F411" s="13">
        <v>45324</v>
      </c>
      <c r="G411" s="14">
        <v>45908</v>
      </c>
      <c r="H411" s="15">
        <v>3000000</v>
      </c>
      <c r="I411" s="16">
        <v>12</v>
      </c>
      <c r="J411" s="17">
        <v>12</v>
      </c>
      <c r="K411" s="9" t="s">
        <v>9831</v>
      </c>
      <c r="L411" s="10" t="s">
        <v>15897</v>
      </c>
      <c r="M411" s="9" t="s">
        <v>9878</v>
      </c>
      <c r="N411" s="10" t="s">
        <v>9828</v>
      </c>
      <c r="O411" s="15">
        <v>2039500</v>
      </c>
      <c r="P411" s="145">
        <v>91235</v>
      </c>
      <c r="Q411" s="9"/>
      <c r="R411" s="146"/>
      <c r="T411" s="92" t="s">
        <v>7656</v>
      </c>
      <c r="U411">
        <v>2</v>
      </c>
      <c r="V411">
        <f>VLOOKUP(T411,'Data Angt'!$A$5:$F$5810,6,FALSE)</f>
        <v>31</v>
      </c>
      <c r="W411" s="5" t="str">
        <f t="shared" si="6"/>
        <v>KONSUMTIF</v>
      </c>
      <c r="X411" s="5" t="str">
        <f>VLOOKUP(T411,'Data Angt'!$A$5:$H$5810,8,FALSE)</f>
        <v>Karyawan</v>
      </c>
      <c r="Y411" s="5" t="str">
        <f>VLOOKUP(T411,'Data Angt'!$A$5:$C$5808,3,FALSE)</f>
        <v>PBL</v>
      </c>
    </row>
    <row r="412" spans="1:25" x14ac:dyDescent="0.3">
      <c r="A412" s="8">
        <v>406</v>
      </c>
      <c r="B412" s="9" t="s">
        <v>6921</v>
      </c>
      <c r="C412" s="10" t="str">
        <f>VLOOKUP(B412,'Data Angt'!$A$5:$B$5809,2,FALSE)</f>
        <v>A3092</v>
      </c>
      <c r="D412" s="11" t="s">
        <v>9829</v>
      </c>
      <c r="E412" s="12" t="s">
        <v>15898</v>
      </c>
      <c r="F412" s="13">
        <v>45407</v>
      </c>
      <c r="G412" s="14">
        <v>45625</v>
      </c>
      <c r="H412" s="15">
        <v>6000000</v>
      </c>
      <c r="I412" s="16">
        <v>12</v>
      </c>
      <c r="J412" s="17">
        <v>24</v>
      </c>
      <c r="K412" s="9" t="s">
        <v>9831</v>
      </c>
      <c r="L412" s="10" t="s">
        <v>15899</v>
      </c>
      <c r="M412" s="9" t="s">
        <v>15900</v>
      </c>
      <c r="N412" s="10" t="s">
        <v>17</v>
      </c>
      <c r="O412" s="15">
        <v>5552600</v>
      </c>
      <c r="P412" s="145">
        <v>298311</v>
      </c>
      <c r="Q412" s="9" t="s">
        <v>22371</v>
      </c>
      <c r="R412" s="146" t="s">
        <v>22570</v>
      </c>
      <c r="T412" s="92" t="s">
        <v>7669</v>
      </c>
      <c r="U412">
        <v>1</v>
      </c>
      <c r="V412">
        <f>VLOOKUP(T412,'Data Angt'!$A$5:$F$5810,6,FALSE)</f>
        <v>39</v>
      </c>
      <c r="W412" s="5" t="str">
        <f t="shared" si="6"/>
        <v>KESEJAHTERAAN</v>
      </c>
      <c r="X412" s="5" t="str">
        <f>VLOOKUP(T412,'Data Angt'!$A$5:$H$5810,8,FALSE)</f>
        <v>Aparatur/Pejabat Negara</v>
      </c>
      <c r="Y412" s="5" t="str">
        <f>VLOOKUP(T412,'Data Angt'!$A$5:$C$5808,3,FALSE)</f>
        <v>PBL</v>
      </c>
    </row>
    <row r="413" spans="1:25" x14ac:dyDescent="0.3">
      <c r="A413" s="8">
        <v>407</v>
      </c>
      <c r="B413" s="9" t="s">
        <v>6967</v>
      </c>
      <c r="C413" s="10" t="str">
        <f>VLOOKUP(B413,'Data Angt'!$A$5:$B$5809,2,FALSE)</f>
        <v>A3117</v>
      </c>
      <c r="D413" s="11" t="s">
        <v>9895</v>
      </c>
      <c r="E413" s="12" t="s">
        <v>15901</v>
      </c>
      <c r="F413" s="13">
        <v>45476</v>
      </c>
      <c r="G413" s="14">
        <v>45904</v>
      </c>
      <c r="H413" s="15">
        <v>12850000</v>
      </c>
      <c r="I413" s="16">
        <v>18</v>
      </c>
      <c r="J413" s="17">
        <v>24</v>
      </c>
      <c r="K413" s="9" t="s">
        <v>9831</v>
      </c>
      <c r="L413" s="10" t="s">
        <v>15902</v>
      </c>
      <c r="M413" s="9" t="s">
        <v>15903</v>
      </c>
      <c r="N413" s="10" t="s">
        <v>9828</v>
      </c>
      <c r="O413" s="15">
        <v>3263100</v>
      </c>
      <c r="P413" s="145">
        <v>905211</v>
      </c>
      <c r="Q413" s="9"/>
      <c r="R413" s="146"/>
      <c r="T413" s="92" t="s">
        <v>7684</v>
      </c>
      <c r="U413">
        <v>1</v>
      </c>
      <c r="V413">
        <f>VLOOKUP(T413,'Data Angt'!$A$5:$F$5810,6,FALSE)</f>
        <v>47</v>
      </c>
      <c r="W413" s="5" t="str">
        <f t="shared" si="6"/>
        <v>KESEJAHTERAAN</v>
      </c>
      <c r="X413" s="5" t="str">
        <f>VLOOKUP(T413,'Data Angt'!$A$5:$H$5810,8,FALSE)</f>
        <v>Wiraswasta</v>
      </c>
      <c r="Y413" s="5" t="str">
        <f>VLOOKUP(T413,'Data Angt'!$A$5:$C$5808,3,FALSE)</f>
        <v>PBL</v>
      </c>
    </row>
    <row r="414" spans="1:25" x14ac:dyDescent="0.3">
      <c r="A414" s="8">
        <v>408</v>
      </c>
      <c r="B414" s="9" t="s">
        <v>7002</v>
      </c>
      <c r="C414" s="10" t="str">
        <f>VLOOKUP(B414,'Data Angt'!$A$5:$B$5809,2,FALSE)</f>
        <v>A3133</v>
      </c>
      <c r="D414" s="11" t="s">
        <v>9829</v>
      </c>
      <c r="E414" s="12" t="s">
        <v>15904</v>
      </c>
      <c r="F414" s="13">
        <v>45821</v>
      </c>
      <c r="G414" s="14">
        <v>45910</v>
      </c>
      <c r="H414" s="15">
        <v>1500000</v>
      </c>
      <c r="I414" s="16">
        <v>12</v>
      </c>
      <c r="J414" s="17">
        <v>11.88</v>
      </c>
      <c r="K414" s="9" t="s">
        <v>9831</v>
      </c>
      <c r="L414" s="10" t="s">
        <v>15905</v>
      </c>
      <c r="M414" s="9" t="s">
        <v>15906</v>
      </c>
      <c r="N414" s="10" t="s">
        <v>17</v>
      </c>
      <c r="O414" s="15">
        <v>1141500</v>
      </c>
      <c r="P414" s="145">
        <v>15411</v>
      </c>
      <c r="Q414" s="9"/>
      <c r="R414" s="146"/>
      <c r="T414" s="92" t="s">
        <v>7719</v>
      </c>
      <c r="U414">
        <v>1</v>
      </c>
      <c r="V414">
        <f>VLOOKUP(T414,'Data Angt'!$A$5:$F$5810,6,FALSE)</f>
        <v>41</v>
      </c>
      <c r="W414" s="5" t="str">
        <f t="shared" si="6"/>
        <v>PENDIDIKAN</v>
      </c>
      <c r="X414" s="5" t="str">
        <f>VLOOKUP(T414,'Data Angt'!$A$5:$H$5810,8,FALSE)</f>
        <v>Karyawan</v>
      </c>
      <c r="Y414" s="5" t="str">
        <f>VLOOKUP(T414,'Data Angt'!$A$5:$C$5808,3,FALSE)</f>
        <v>PBL</v>
      </c>
    </row>
    <row r="415" spans="1:25" x14ac:dyDescent="0.3">
      <c r="A415" s="8">
        <v>409</v>
      </c>
      <c r="B415" s="9" t="s">
        <v>7045</v>
      </c>
      <c r="C415" s="10" t="str">
        <f>VLOOKUP(B415,'Data Angt'!$A$5:$B$5809,2,FALSE)</f>
        <v>A3151</v>
      </c>
      <c r="D415" s="11" t="s">
        <v>9881</v>
      </c>
      <c r="E415" s="12" t="s">
        <v>15907</v>
      </c>
      <c r="F415" s="13">
        <v>45496</v>
      </c>
      <c r="G415" s="14">
        <v>45920</v>
      </c>
      <c r="H415" s="15">
        <v>10000000</v>
      </c>
      <c r="I415" s="16">
        <v>18</v>
      </c>
      <c r="J415" s="17">
        <v>12</v>
      </c>
      <c r="K415" s="9" t="s">
        <v>9831</v>
      </c>
      <c r="L415" s="10" t="s">
        <v>15908</v>
      </c>
      <c r="M415" s="9" t="s">
        <v>9835</v>
      </c>
      <c r="N415" s="10" t="s">
        <v>9828</v>
      </c>
      <c r="O415" s="15">
        <v>2379000</v>
      </c>
      <c r="P415" s="145">
        <v>344097</v>
      </c>
      <c r="Q415" s="9"/>
      <c r="R415" s="146"/>
      <c r="T415" s="92" t="s">
        <v>7723</v>
      </c>
      <c r="U415">
        <v>1</v>
      </c>
      <c r="V415">
        <f>VLOOKUP(T415,'Data Angt'!$A$5:$F$5810,6,FALSE)</f>
        <v>46</v>
      </c>
      <c r="W415" s="5" t="str">
        <f t="shared" si="6"/>
        <v>PRODUKTIF</v>
      </c>
      <c r="X415" s="5" t="str">
        <f>VLOOKUP(T415,'Data Angt'!$A$5:$H$5810,8,FALSE)</f>
        <v>Mengurus Rumah Tangga</v>
      </c>
      <c r="Y415" s="5" t="str">
        <f>VLOOKUP(T415,'Data Angt'!$A$5:$C$5808,3,FALSE)</f>
        <v>PBL</v>
      </c>
    </row>
    <row r="416" spans="1:25" x14ac:dyDescent="0.3">
      <c r="A416" s="8">
        <v>410</v>
      </c>
      <c r="B416" s="9" t="s">
        <v>7059</v>
      </c>
      <c r="C416" s="10" t="str">
        <f>VLOOKUP(B416,'Data Angt'!$A$5:$B$5809,2,FALSE)</f>
        <v>A3156</v>
      </c>
      <c r="D416" s="11" t="s">
        <v>9829</v>
      </c>
      <c r="E416" s="12" t="s">
        <v>15909</v>
      </c>
      <c r="F416" s="13">
        <v>45827</v>
      </c>
      <c r="G416" s="14">
        <v>45924</v>
      </c>
      <c r="H416" s="15">
        <v>5000000</v>
      </c>
      <c r="I416" s="16">
        <v>12</v>
      </c>
      <c r="J416" s="17">
        <v>24</v>
      </c>
      <c r="K416" s="9" t="s">
        <v>9831</v>
      </c>
      <c r="L416" s="10" t="s">
        <v>15910</v>
      </c>
      <c r="M416" s="9" t="s">
        <v>9866</v>
      </c>
      <c r="N416" s="10" t="s">
        <v>17</v>
      </c>
      <c r="O416" s="15">
        <v>3859200</v>
      </c>
      <c r="P416" s="145">
        <v>104100</v>
      </c>
      <c r="Q416" s="9"/>
      <c r="R416" s="146"/>
      <c r="T416" s="92" t="s">
        <v>7775</v>
      </c>
      <c r="U416">
        <v>1</v>
      </c>
      <c r="V416">
        <f>VLOOKUP(T416,'Data Angt'!$A$5:$F$5810,6,FALSE)</f>
        <v>27</v>
      </c>
      <c r="W416" s="5" t="str">
        <f t="shared" si="6"/>
        <v>KONSUMTIF</v>
      </c>
      <c r="X416" s="5" t="str">
        <f>VLOOKUP(T416,'Data Angt'!$A$5:$H$5810,8,FALSE)</f>
        <v>Karyawan</v>
      </c>
      <c r="Y416" s="5" t="str">
        <f>VLOOKUP(T416,'Data Angt'!$A$5:$C$5808,3,FALSE)</f>
        <v>PBL</v>
      </c>
    </row>
    <row r="417" spans="1:25" x14ac:dyDescent="0.3">
      <c r="A417" s="8">
        <v>411</v>
      </c>
      <c r="B417" s="9" t="s">
        <v>7084</v>
      </c>
      <c r="C417" s="10" t="str">
        <f>VLOOKUP(B417,'Data Angt'!$A$5:$B$5809,2,FALSE)</f>
        <v>A3169</v>
      </c>
      <c r="D417" s="11" t="s">
        <v>9829</v>
      </c>
      <c r="E417" s="12" t="s">
        <v>15911</v>
      </c>
      <c r="F417" s="13">
        <v>45310</v>
      </c>
      <c r="G417" s="14">
        <v>45919</v>
      </c>
      <c r="H417" s="15">
        <v>3000000</v>
      </c>
      <c r="I417" s="16">
        <v>36</v>
      </c>
      <c r="J417" s="17">
        <v>24</v>
      </c>
      <c r="K417" s="9" t="s">
        <v>9831</v>
      </c>
      <c r="L417" s="10" t="s">
        <v>15912</v>
      </c>
      <c r="M417" s="9" t="s">
        <v>9838</v>
      </c>
      <c r="N417" s="10" t="s">
        <v>9830</v>
      </c>
      <c r="O417" s="15">
        <v>1599200</v>
      </c>
      <c r="P417" s="145">
        <v>357446</v>
      </c>
      <c r="Q417" s="9"/>
      <c r="R417" s="146"/>
      <c r="T417" s="92" t="s">
        <v>7779</v>
      </c>
      <c r="U417">
        <v>1</v>
      </c>
      <c r="V417">
        <f>VLOOKUP(T417,'Data Angt'!$A$5:$F$5810,6,FALSE)</f>
        <v>35</v>
      </c>
      <c r="W417" s="5" t="str">
        <f t="shared" si="6"/>
        <v>KESEJAHTERAAN</v>
      </c>
      <c r="X417" s="5" t="str">
        <f>VLOOKUP(T417,'Data Angt'!$A$5:$H$5810,8,FALSE)</f>
        <v>Mengurus Rumah Tangga</v>
      </c>
      <c r="Y417" s="5" t="str">
        <f>VLOOKUP(T417,'Data Angt'!$A$5:$C$5808,3,FALSE)</f>
        <v>PBL</v>
      </c>
    </row>
    <row r="418" spans="1:25" x14ac:dyDescent="0.3">
      <c r="A418" s="8">
        <v>412</v>
      </c>
      <c r="B418" s="9" t="s">
        <v>7091</v>
      </c>
      <c r="C418" s="10" t="str">
        <f>VLOOKUP(B418,'Data Angt'!$A$5:$B$5809,2,FALSE)</f>
        <v>A3172</v>
      </c>
      <c r="D418" s="11" t="s">
        <v>9833</v>
      </c>
      <c r="E418" s="12" t="s">
        <v>15913</v>
      </c>
      <c r="F418" s="13">
        <v>45566</v>
      </c>
      <c r="G418" s="14">
        <v>45901</v>
      </c>
      <c r="H418" s="15">
        <v>48000000</v>
      </c>
      <c r="I418" s="16">
        <v>24</v>
      </c>
      <c r="J418" s="17">
        <v>21</v>
      </c>
      <c r="K418" s="9" t="s">
        <v>9831</v>
      </c>
      <c r="L418" s="10" t="s">
        <v>15914</v>
      </c>
      <c r="M418" s="9" t="s">
        <v>15611</v>
      </c>
      <c r="N418" s="10" t="s">
        <v>9834</v>
      </c>
      <c r="O418" s="15">
        <v>28457300</v>
      </c>
      <c r="P418" s="145">
        <v>2846211</v>
      </c>
      <c r="Q418" s="9"/>
      <c r="R418" s="146"/>
      <c r="T418" s="92" t="s">
        <v>7795</v>
      </c>
      <c r="U418">
        <v>1</v>
      </c>
      <c r="V418">
        <f>VLOOKUP(T418,'Data Angt'!$A$5:$F$5810,6,FALSE)</f>
        <v>46</v>
      </c>
      <c r="W418" s="5" t="str">
        <f t="shared" si="6"/>
        <v>KESEJAHTERAAN</v>
      </c>
      <c r="X418" s="5" t="str">
        <f>VLOOKUP(T418,'Data Angt'!$A$5:$H$5810,8,FALSE)</f>
        <v>Mengurus Rumah Tangga</v>
      </c>
      <c r="Y418" s="5" t="str">
        <f>VLOOKUP(T418,'Data Angt'!$A$5:$C$5808,3,FALSE)</f>
        <v>PBL</v>
      </c>
    </row>
    <row r="419" spans="1:25" x14ac:dyDescent="0.3">
      <c r="A419" s="8">
        <v>413</v>
      </c>
      <c r="B419" s="9" t="s">
        <v>7116</v>
      </c>
      <c r="C419" s="10" t="str">
        <f>VLOOKUP(B419,'Data Angt'!$A$5:$B$5809,2,FALSE)</f>
        <v>A3186</v>
      </c>
      <c r="D419" s="11" t="s">
        <v>9833</v>
      </c>
      <c r="E419" s="12" t="s">
        <v>15915</v>
      </c>
      <c r="F419" s="13">
        <v>45327</v>
      </c>
      <c r="G419" s="14">
        <v>45902</v>
      </c>
      <c r="H419" s="15">
        <v>10000000</v>
      </c>
      <c r="I419" s="16">
        <v>20</v>
      </c>
      <c r="J419" s="17">
        <v>24</v>
      </c>
      <c r="K419" s="9" t="s">
        <v>9831</v>
      </c>
      <c r="L419" s="10" t="s">
        <v>15916</v>
      </c>
      <c r="M419" s="9" t="s">
        <v>15917</v>
      </c>
      <c r="N419" s="10" t="s">
        <v>9834</v>
      </c>
      <c r="O419" s="15">
        <v>599900</v>
      </c>
      <c r="P419" s="145">
        <v>832608</v>
      </c>
      <c r="Q419" s="9"/>
      <c r="R419" s="146"/>
      <c r="T419" s="92" t="s">
        <v>7797</v>
      </c>
      <c r="U419">
        <v>1</v>
      </c>
      <c r="V419">
        <f>VLOOKUP(T419,'Data Angt'!$A$5:$F$5810,6,FALSE)</f>
        <v>32</v>
      </c>
      <c r="W419" s="5" t="str">
        <f t="shared" si="6"/>
        <v>PENDIDIKAN</v>
      </c>
      <c r="X419" s="5" t="str">
        <f>VLOOKUP(T419,'Data Angt'!$A$5:$H$5810,8,FALSE)</f>
        <v>Karyawan</v>
      </c>
      <c r="Y419" s="5" t="str">
        <f>VLOOKUP(T419,'Data Angt'!$A$5:$C$5808,3,FALSE)</f>
        <v>PBL</v>
      </c>
    </row>
    <row r="420" spans="1:25" x14ac:dyDescent="0.3">
      <c r="A420" s="8">
        <v>414</v>
      </c>
      <c r="B420" s="9" t="s">
        <v>7118</v>
      </c>
      <c r="C420" s="10" t="str">
        <f>VLOOKUP(B420,'Data Angt'!$A$5:$B$5809,2,FALSE)</f>
        <v>A3187</v>
      </c>
      <c r="D420" s="11" t="s">
        <v>9829</v>
      </c>
      <c r="E420" s="12" t="s">
        <v>15918</v>
      </c>
      <c r="F420" s="13">
        <v>45736</v>
      </c>
      <c r="G420" s="14">
        <v>45908</v>
      </c>
      <c r="H420" s="15">
        <v>10000000</v>
      </c>
      <c r="I420" s="16">
        <v>15</v>
      </c>
      <c r="J420" s="17">
        <v>24</v>
      </c>
      <c r="K420" s="9" t="s">
        <v>9831</v>
      </c>
      <c r="L420" s="10" t="s">
        <v>15919</v>
      </c>
      <c r="M420" s="9" t="s">
        <v>9866</v>
      </c>
      <c r="N420" s="10" t="s">
        <v>17</v>
      </c>
      <c r="O420" s="15">
        <v>6990800</v>
      </c>
      <c r="P420" s="145">
        <v>330861</v>
      </c>
      <c r="Q420" s="9" t="s">
        <v>22254</v>
      </c>
      <c r="R420" s="146" t="s">
        <v>22571</v>
      </c>
      <c r="T420" s="92" t="s">
        <v>7814</v>
      </c>
      <c r="U420">
        <v>1</v>
      </c>
      <c r="V420">
        <f>VLOOKUP(T420,'Data Angt'!$A$5:$F$5810,6,FALSE)</f>
        <v>40</v>
      </c>
      <c r="W420" s="5" t="str">
        <f t="shared" si="6"/>
        <v>PRODUKTIF</v>
      </c>
      <c r="X420" s="5" t="str">
        <f>VLOOKUP(T420,'Data Angt'!$A$5:$H$5810,8,FALSE)</f>
        <v>Mengurus Rumah Tangga</v>
      </c>
      <c r="Y420" s="5" t="str">
        <f>VLOOKUP(T420,'Data Angt'!$A$5:$C$5808,3,FALSE)</f>
        <v>PBL</v>
      </c>
    </row>
    <row r="421" spans="1:25" x14ac:dyDescent="0.3">
      <c r="A421" s="8">
        <v>415</v>
      </c>
      <c r="B421" s="9" t="s">
        <v>7123</v>
      </c>
      <c r="C421" s="10" t="str">
        <f>VLOOKUP(B421,'Data Angt'!$A$5:$B$5809,2,FALSE)</f>
        <v>A3189</v>
      </c>
      <c r="D421" s="11" t="s">
        <v>9829</v>
      </c>
      <c r="E421" s="12" t="s">
        <v>15920</v>
      </c>
      <c r="F421" s="13">
        <v>45836</v>
      </c>
      <c r="G421" s="14">
        <v>45915</v>
      </c>
      <c r="H421" s="15">
        <v>30000000</v>
      </c>
      <c r="I421" s="16">
        <v>30</v>
      </c>
      <c r="J421" s="17">
        <v>21</v>
      </c>
      <c r="K421" s="9" t="s">
        <v>9831</v>
      </c>
      <c r="L421" s="10" t="s">
        <v>15921</v>
      </c>
      <c r="M421" s="9" t="s">
        <v>9832</v>
      </c>
      <c r="N421" s="10" t="s">
        <v>17</v>
      </c>
      <c r="O421" s="15">
        <v>27652800</v>
      </c>
      <c r="P421" s="145">
        <v>575437</v>
      </c>
      <c r="Q421" s="9" t="s">
        <v>22189</v>
      </c>
      <c r="R421" s="146" t="s">
        <v>22572</v>
      </c>
      <c r="T421" s="92" t="s">
        <v>12517</v>
      </c>
      <c r="U421">
        <v>1</v>
      </c>
      <c r="V421">
        <f>VLOOKUP(T421,'Data Angt'!$A$5:$F$5810,6,FALSE)</f>
        <v>34</v>
      </c>
      <c r="W421" s="5" t="str">
        <f t="shared" si="6"/>
        <v>KESEJAHTERAAN</v>
      </c>
      <c r="X421" s="5" t="str">
        <f>VLOOKUP(T421,'Data Angt'!$A$5:$H$5810,8,FALSE)</f>
        <v>Karyawan</v>
      </c>
      <c r="Y421" s="5" t="str">
        <f>VLOOKUP(T421,'Data Angt'!$A$5:$C$5808,3,FALSE)</f>
        <v>PBL</v>
      </c>
    </row>
    <row r="422" spans="1:25" x14ac:dyDescent="0.3">
      <c r="A422" s="8">
        <v>416</v>
      </c>
      <c r="B422" s="9" t="s">
        <v>7127</v>
      </c>
      <c r="C422" s="10" t="str">
        <f>VLOOKUP(B422,'Data Angt'!$A$5:$B$5809,2,FALSE)</f>
        <v>A3190</v>
      </c>
      <c r="D422" s="11" t="s">
        <v>9833</v>
      </c>
      <c r="E422" s="12" t="s">
        <v>15922</v>
      </c>
      <c r="F422" s="13">
        <v>45653</v>
      </c>
      <c r="G422" s="14">
        <v>45897</v>
      </c>
      <c r="H422" s="15">
        <v>100000000</v>
      </c>
      <c r="I422" s="16">
        <v>48</v>
      </c>
      <c r="J422" s="17">
        <v>21</v>
      </c>
      <c r="K422" s="9" t="s">
        <v>9831</v>
      </c>
      <c r="L422" s="10" t="s">
        <v>15923</v>
      </c>
      <c r="M422" s="9" t="s">
        <v>15924</v>
      </c>
      <c r="N422" s="10" t="s">
        <v>9834</v>
      </c>
      <c r="O422" s="15">
        <v>90089300</v>
      </c>
      <c r="P422" s="145">
        <v>4412248</v>
      </c>
      <c r="Q422" s="9" t="s">
        <v>22197</v>
      </c>
      <c r="R422" s="146" t="s">
        <v>22573</v>
      </c>
      <c r="T422" s="92" t="s">
        <v>7851</v>
      </c>
      <c r="U422">
        <v>1</v>
      </c>
      <c r="V422">
        <f>VLOOKUP(T422,'Data Angt'!$A$5:$F$5810,6,FALSE)</f>
        <v>46</v>
      </c>
      <c r="W422" s="5" t="str">
        <f t="shared" si="6"/>
        <v>PENDIDIKAN</v>
      </c>
      <c r="X422" s="5" t="str">
        <f>VLOOKUP(T422,'Data Angt'!$A$5:$H$5810,8,FALSE)</f>
        <v>Wiraswasta</v>
      </c>
      <c r="Y422" s="5" t="str">
        <f>VLOOKUP(T422,'Data Angt'!$A$5:$C$5808,3,FALSE)</f>
        <v>PBL</v>
      </c>
    </row>
    <row r="423" spans="1:25" x14ac:dyDescent="0.3">
      <c r="A423" s="8">
        <v>417</v>
      </c>
      <c r="B423" s="9" t="s">
        <v>7175</v>
      </c>
      <c r="C423" s="10" t="str">
        <f>VLOOKUP(B423,'Data Angt'!$A$5:$B$5809,2,FALSE)</f>
        <v>A3209</v>
      </c>
      <c r="D423" s="11" t="s">
        <v>9829</v>
      </c>
      <c r="E423" s="12" t="s">
        <v>15925</v>
      </c>
      <c r="F423" s="13">
        <v>45713</v>
      </c>
      <c r="G423" s="14">
        <v>45922</v>
      </c>
      <c r="H423" s="15">
        <v>7000000</v>
      </c>
      <c r="I423" s="16">
        <v>12</v>
      </c>
      <c r="J423" s="17">
        <v>24</v>
      </c>
      <c r="K423" s="9" t="s">
        <v>9831</v>
      </c>
      <c r="L423" s="10" t="s">
        <v>15926</v>
      </c>
      <c r="M423" s="9" t="s">
        <v>9847</v>
      </c>
      <c r="N423" s="10" t="s">
        <v>9828</v>
      </c>
      <c r="O423" s="15">
        <v>3119600</v>
      </c>
      <c r="P423" s="145">
        <v>282599</v>
      </c>
      <c r="Q423" s="9" t="s">
        <v>22189</v>
      </c>
      <c r="R423" s="146" t="s">
        <v>22574</v>
      </c>
      <c r="T423" s="92" t="s">
        <v>7853</v>
      </c>
      <c r="U423">
        <v>1</v>
      </c>
      <c r="V423">
        <f>VLOOKUP(T423,'Data Angt'!$A$5:$F$5810,6,FALSE)</f>
        <v>43</v>
      </c>
      <c r="W423" s="5" t="str">
        <f t="shared" si="6"/>
        <v>KESEJAHTERAAN</v>
      </c>
      <c r="X423" s="5" t="str">
        <f>VLOOKUP(T423,'Data Angt'!$A$5:$H$5810,8,FALSE)</f>
        <v>Karyawan</v>
      </c>
      <c r="Y423" s="5" t="str">
        <f>VLOOKUP(T423,'Data Angt'!$A$5:$C$5808,3,FALSE)</f>
        <v>PBL</v>
      </c>
    </row>
    <row r="424" spans="1:25" x14ac:dyDescent="0.3">
      <c r="A424" s="8">
        <v>418</v>
      </c>
      <c r="B424" s="9" t="s">
        <v>7198</v>
      </c>
      <c r="C424" s="10" t="str">
        <f>VLOOKUP(B424,'Data Angt'!$A$5:$B$5809,2,FALSE)</f>
        <v>A3219</v>
      </c>
      <c r="D424" s="11" t="s">
        <v>9829</v>
      </c>
      <c r="E424" s="12" t="s">
        <v>15927</v>
      </c>
      <c r="F424" s="13">
        <v>45640</v>
      </c>
      <c r="G424" s="14">
        <v>45915</v>
      </c>
      <c r="H424" s="15">
        <v>100000000</v>
      </c>
      <c r="I424" s="16">
        <v>24</v>
      </c>
      <c r="J424" s="17">
        <v>21</v>
      </c>
      <c r="K424" s="9" t="s">
        <v>9831</v>
      </c>
      <c r="L424" s="10" t="s">
        <v>15928</v>
      </c>
      <c r="M424" s="9" t="s">
        <v>9865</v>
      </c>
      <c r="N424" s="10" t="s">
        <v>9830</v>
      </c>
      <c r="O424" s="15">
        <v>67278600</v>
      </c>
      <c r="P424" s="145">
        <v>5072248</v>
      </c>
      <c r="Q424" s="9" t="s">
        <v>22575</v>
      </c>
      <c r="R424" s="146" t="s">
        <v>22576</v>
      </c>
      <c r="T424" s="92" t="s">
        <v>7861</v>
      </c>
      <c r="U424">
        <v>1</v>
      </c>
      <c r="V424">
        <f>VLOOKUP(T424,'Data Angt'!$A$5:$F$5810,6,FALSE)</f>
        <v>54</v>
      </c>
      <c r="W424" s="5" t="str">
        <f t="shared" si="6"/>
        <v>KESEJAHTERAAN</v>
      </c>
      <c r="X424" s="5" t="str">
        <f>VLOOKUP(T424,'Data Angt'!$A$5:$H$5810,8,FALSE)</f>
        <v>Wiraswasta</v>
      </c>
      <c r="Y424" s="5" t="str">
        <f>VLOOKUP(T424,'Data Angt'!$A$5:$C$5808,3,FALSE)</f>
        <v>PBL</v>
      </c>
    </row>
    <row r="425" spans="1:25" x14ac:dyDescent="0.3">
      <c r="A425" s="8">
        <v>419</v>
      </c>
      <c r="B425" s="9" t="s">
        <v>7217</v>
      </c>
      <c r="C425" s="10" t="str">
        <f>VLOOKUP(B425,'Data Angt'!$A$5:$B$5809,2,FALSE)</f>
        <v>A3226</v>
      </c>
      <c r="D425" s="11" t="s">
        <v>9895</v>
      </c>
      <c r="E425" s="12" t="s">
        <v>15929</v>
      </c>
      <c r="F425" s="13">
        <v>45695</v>
      </c>
      <c r="G425" s="14">
        <v>45908</v>
      </c>
      <c r="H425" s="15">
        <v>30000000</v>
      </c>
      <c r="I425" s="16">
        <v>24</v>
      </c>
      <c r="J425" s="17">
        <v>21</v>
      </c>
      <c r="K425" s="9" t="s">
        <v>9827</v>
      </c>
      <c r="L425" s="10" t="s">
        <v>15930</v>
      </c>
      <c r="M425" s="9" t="s">
        <v>15931</v>
      </c>
      <c r="N425" s="10" t="s">
        <v>9828</v>
      </c>
      <c r="O425" s="15">
        <v>21250000</v>
      </c>
      <c r="P425" s="145">
        <v>1205961</v>
      </c>
      <c r="Q425" s="9"/>
      <c r="R425" s="146"/>
      <c r="T425" s="92" t="s">
        <v>7863</v>
      </c>
      <c r="U425">
        <v>1</v>
      </c>
      <c r="V425">
        <f>VLOOKUP(T425,'Data Angt'!$A$5:$F$5810,6,FALSE)</f>
        <v>37</v>
      </c>
      <c r="W425" s="5" t="str">
        <f t="shared" si="6"/>
        <v>KESEJAHTERAAN</v>
      </c>
      <c r="X425" s="5" t="str">
        <f>VLOOKUP(T425,'Data Angt'!$A$5:$H$5810,8,FALSE)</f>
        <v>Lain-Lain</v>
      </c>
      <c r="Y425" s="5" t="str">
        <f>VLOOKUP(T425,'Data Angt'!$A$5:$C$5808,3,FALSE)</f>
        <v>PBL</v>
      </c>
    </row>
    <row r="426" spans="1:25" x14ac:dyDescent="0.3">
      <c r="A426" s="8">
        <v>420</v>
      </c>
      <c r="B426" s="9" t="s">
        <v>7219</v>
      </c>
      <c r="C426" s="10" t="str">
        <f>VLOOKUP(B426,'Data Angt'!$A$5:$B$5809,2,FALSE)</f>
        <v>A3227</v>
      </c>
      <c r="D426" s="11" t="s">
        <v>9833</v>
      </c>
      <c r="E426" s="12" t="s">
        <v>10137</v>
      </c>
      <c r="F426" s="13">
        <v>44931</v>
      </c>
      <c r="G426" s="14">
        <v>45901</v>
      </c>
      <c r="H426" s="15">
        <v>10000000</v>
      </c>
      <c r="I426" s="16">
        <v>36</v>
      </c>
      <c r="J426" s="17">
        <v>24</v>
      </c>
      <c r="K426" s="9" t="s">
        <v>9827</v>
      </c>
      <c r="L426" s="10" t="s">
        <v>10138</v>
      </c>
      <c r="M426" s="9" t="s">
        <v>10139</v>
      </c>
      <c r="N426" s="10" t="s">
        <v>9834</v>
      </c>
      <c r="O426" s="15">
        <v>1110400</v>
      </c>
      <c r="P426" s="145">
        <v>1367130</v>
      </c>
      <c r="Q426" s="9" t="s">
        <v>22347</v>
      </c>
      <c r="R426" s="146" t="s">
        <v>22577</v>
      </c>
      <c r="T426" s="92" t="s">
        <v>7877</v>
      </c>
      <c r="U426">
        <v>1</v>
      </c>
      <c r="V426">
        <f>VLOOKUP(T426,'Data Angt'!$A$5:$F$5810,6,FALSE)</f>
        <v>53</v>
      </c>
      <c r="W426" s="5" t="str">
        <f t="shared" si="6"/>
        <v>KESEJAHTERAAN</v>
      </c>
      <c r="X426" s="5" t="str">
        <f>VLOOKUP(T426,'Data Angt'!$A$5:$H$5810,8,FALSE)</f>
        <v>Karyawan</v>
      </c>
      <c r="Y426" s="5" t="str">
        <f>VLOOKUP(T426,'Data Angt'!$A$5:$C$5808,3,FALSE)</f>
        <v>PBL</v>
      </c>
    </row>
    <row r="427" spans="1:25" x14ac:dyDescent="0.3">
      <c r="A427" s="8">
        <v>421</v>
      </c>
      <c r="B427" s="9" t="s">
        <v>7228</v>
      </c>
      <c r="C427" s="10" t="str">
        <f>VLOOKUP(B427,'Data Angt'!$A$5:$B$5809,2,FALSE)</f>
        <v>A3231</v>
      </c>
      <c r="D427" s="11" t="s">
        <v>9833</v>
      </c>
      <c r="E427" s="12" t="s">
        <v>10140</v>
      </c>
      <c r="F427" s="13">
        <v>44001</v>
      </c>
      <c r="G427" s="14">
        <v>45196</v>
      </c>
      <c r="H427" s="15">
        <v>30000000</v>
      </c>
      <c r="I427" s="16">
        <v>48</v>
      </c>
      <c r="J427" s="17">
        <v>21</v>
      </c>
      <c r="K427" s="9" t="s">
        <v>9831</v>
      </c>
      <c r="L427" s="10" t="s">
        <v>10141</v>
      </c>
      <c r="M427" s="9" t="s">
        <v>10142</v>
      </c>
      <c r="N427" s="10" t="s">
        <v>9834</v>
      </c>
      <c r="O427" s="15">
        <v>27467700</v>
      </c>
      <c r="P427" s="145">
        <v>1878786</v>
      </c>
      <c r="Q427" s="9"/>
      <c r="R427" s="146"/>
      <c r="T427" s="92" t="s">
        <v>7879</v>
      </c>
      <c r="U427">
        <v>1</v>
      </c>
      <c r="V427">
        <f>VLOOKUP(T427,'Data Angt'!$A$5:$F$5810,6,FALSE)</f>
        <v>42</v>
      </c>
      <c r="W427" s="5" t="str">
        <f t="shared" si="6"/>
        <v>KESEJAHTERAAN</v>
      </c>
      <c r="X427" s="5" t="str">
        <f>VLOOKUP(T427,'Data Angt'!$A$5:$H$5810,8,FALSE)</f>
        <v>Karyawan</v>
      </c>
      <c r="Y427" s="5" t="str">
        <f>VLOOKUP(T427,'Data Angt'!$A$5:$C$5808,3,FALSE)</f>
        <v>PBL</v>
      </c>
    </row>
    <row r="428" spans="1:25" x14ac:dyDescent="0.3">
      <c r="A428" s="8">
        <v>422</v>
      </c>
      <c r="B428" s="9" t="s">
        <v>7232</v>
      </c>
      <c r="C428" s="10" t="str">
        <f>VLOOKUP(B428,'Data Angt'!$A$5:$B$5809,2,FALSE)</f>
        <v>A3233</v>
      </c>
      <c r="D428" s="11" t="s">
        <v>9829</v>
      </c>
      <c r="E428" s="12" t="s">
        <v>15932</v>
      </c>
      <c r="F428" s="13">
        <v>45708</v>
      </c>
      <c r="G428" s="14">
        <v>45919</v>
      </c>
      <c r="H428" s="15">
        <v>25000000</v>
      </c>
      <c r="I428" s="16">
        <v>36</v>
      </c>
      <c r="J428" s="17">
        <v>21</v>
      </c>
      <c r="K428" s="9" t="s">
        <v>9831</v>
      </c>
      <c r="L428" s="10" t="s">
        <v>15933</v>
      </c>
      <c r="M428" s="9" t="s">
        <v>10008</v>
      </c>
      <c r="N428" s="10" t="s">
        <v>17</v>
      </c>
      <c r="O428" s="15">
        <v>21278500</v>
      </c>
      <c r="P428" s="145">
        <v>1076923</v>
      </c>
      <c r="Q428" s="9" t="s">
        <v>22189</v>
      </c>
      <c r="R428" s="146" t="s">
        <v>22578</v>
      </c>
      <c r="T428" s="92" t="s">
        <v>7895</v>
      </c>
      <c r="U428">
        <v>1</v>
      </c>
      <c r="V428">
        <f>VLOOKUP(T428,'Data Angt'!$A$5:$F$5810,6,FALSE)</f>
        <v>44</v>
      </c>
      <c r="W428" s="5" t="str">
        <f t="shared" si="6"/>
        <v>PRODUKTIF</v>
      </c>
      <c r="X428" s="5" t="str">
        <f>VLOOKUP(T428,'Data Angt'!$A$5:$H$5810,8,FALSE)</f>
        <v>Mengurus Rumah Tangga</v>
      </c>
      <c r="Y428" s="5" t="str">
        <f>VLOOKUP(T428,'Data Angt'!$A$5:$C$5808,3,FALSE)</f>
        <v>PBL</v>
      </c>
    </row>
    <row r="429" spans="1:25" x14ac:dyDescent="0.3">
      <c r="A429" s="8">
        <v>423</v>
      </c>
      <c r="B429" s="9" t="s">
        <v>7242</v>
      </c>
      <c r="C429" s="10" t="str">
        <f>VLOOKUP(B429,'Data Angt'!$A$5:$B$5809,2,FALSE)</f>
        <v>A3237</v>
      </c>
      <c r="D429" s="11" t="s">
        <v>9826</v>
      </c>
      <c r="E429" s="12" t="s">
        <v>10143</v>
      </c>
      <c r="F429" s="13">
        <v>43570</v>
      </c>
      <c r="G429" s="14">
        <v>43822</v>
      </c>
      <c r="H429" s="15">
        <v>3000000</v>
      </c>
      <c r="I429" s="16">
        <v>12</v>
      </c>
      <c r="J429" s="17">
        <v>18</v>
      </c>
      <c r="K429" s="9" t="s">
        <v>9827</v>
      </c>
      <c r="L429" s="10" t="s">
        <v>10144</v>
      </c>
      <c r="M429" s="9" t="s">
        <v>10145</v>
      </c>
      <c r="N429" s="10" t="s">
        <v>9828</v>
      </c>
      <c r="O429" s="15">
        <v>1000000</v>
      </c>
      <c r="P429" s="145">
        <v>95698</v>
      </c>
      <c r="Q429" s="9"/>
      <c r="R429" s="146"/>
      <c r="T429" s="92" t="s">
        <v>7905</v>
      </c>
      <c r="U429">
        <v>1</v>
      </c>
      <c r="V429">
        <f>VLOOKUP(T429,'Data Angt'!$A$5:$F$5810,6,FALSE)</f>
        <v>68</v>
      </c>
      <c r="W429" s="5" t="str">
        <f t="shared" si="6"/>
        <v>PRODUKTIF</v>
      </c>
      <c r="X429" s="5" t="str">
        <f>VLOOKUP(T429,'Data Angt'!$A$5:$H$5810,8,FALSE)</f>
        <v>Pensiunan</v>
      </c>
      <c r="Y429" s="5" t="str">
        <f>VLOOKUP(T429,'Data Angt'!$A$5:$C$5808,3,FALSE)</f>
        <v>PBL</v>
      </c>
    </row>
    <row r="430" spans="1:25" x14ac:dyDescent="0.3">
      <c r="A430" s="8">
        <v>424</v>
      </c>
      <c r="B430" s="9" t="s">
        <v>7242</v>
      </c>
      <c r="C430" s="10" t="str">
        <f>VLOOKUP(B430,'Data Angt'!$A$5:$B$5809,2,FALSE)</f>
        <v>A3237</v>
      </c>
      <c r="D430" s="11" t="s">
        <v>9829</v>
      </c>
      <c r="E430" s="12" t="s">
        <v>10146</v>
      </c>
      <c r="F430" s="13">
        <v>43321</v>
      </c>
      <c r="G430" s="14">
        <v>43822</v>
      </c>
      <c r="H430" s="15">
        <v>10000000</v>
      </c>
      <c r="I430" s="16">
        <v>36</v>
      </c>
      <c r="J430" s="17">
        <v>21</v>
      </c>
      <c r="K430" s="9" t="s">
        <v>9831</v>
      </c>
      <c r="L430" s="10" t="s">
        <v>10147</v>
      </c>
      <c r="M430" s="9" t="s">
        <v>10148</v>
      </c>
      <c r="N430" s="10" t="s">
        <v>9828</v>
      </c>
      <c r="O430" s="15">
        <v>6311700</v>
      </c>
      <c r="P430" s="145">
        <v>877685</v>
      </c>
      <c r="Q430" s="9"/>
      <c r="R430" s="146"/>
      <c r="T430" s="92" t="s">
        <v>7932</v>
      </c>
      <c r="U430">
        <v>1</v>
      </c>
      <c r="V430">
        <f>VLOOKUP(T430,'Data Angt'!$A$5:$F$5810,6,FALSE)</f>
        <v>29</v>
      </c>
      <c r="W430" s="5" t="str">
        <f t="shared" si="6"/>
        <v>PENDIDIKAN</v>
      </c>
      <c r="X430" s="5" t="str">
        <f>VLOOKUP(T430,'Data Angt'!$A$5:$H$5810,8,FALSE)</f>
        <v>Wiraswasta</v>
      </c>
      <c r="Y430" s="5" t="str">
        <f>VLOOKUP(T430,'Data Angt'!$A$5:$C$5808,3,FALSE)</f>
        <v>PBL</v>
      </c>
    </row>
    <row r="431" spans="1:25" x14ac:dyDescent="0.3">
      <c r="A431" s="8">
        <v>425</v>
      </c>
      <c r="B431" s="9" t="s">
        <v>7268</v>
      </c>
      <c r="C431" s="10" t="str">
        <f>VLOOKUP(B431,'Data Angt'!$A$5:$B$5809,2,FALSE)</f>
        <v>A3250</v>
      </c>
      <c r="D431" s="11" t="s">
        <v>9833</v>
      </c>
      <c r="E431" s="12" t="s">
        <v>15934</v>
      </c>
      <c r="F431" s="13">
        <v>45716</v>
      </c>
      <c r="G431" s="14">
        <v>45926</v>
      </c>
      <c r="H431" s="15">
        <v>25000000</v>
      </c>
      <c r="I431" s="16">
        <v>36</v>
      </c>
      <c r="J431" s="17">
        <v>18</v>
      </c>
      <c r="K431" s="9" t="s">
        <v>9831</v>
      </c>
      <c r="L431" s="10" t="s">
        <v>15935</v>
      </c>
      <c r="M431" s="9" t="s">
        <v>15936</v>
      </c>
      <c r="N431" s="10" t="s">
        <v>9834</v>
      </c>
      <c r="O431" s="15">
        <v>21127200</v>
      </c>
      <c r="P431" s="145">
        <v>920436</v>
      </c>
      <c r="Q431" s="9" t="s">
        <v>22189</v>
      </c>
      <c r="R431" s="146" t="s">
        <v>22579</v>
      </c>
      <c r="T431" s="92" t="s">
        <v>7948</v>
      </c>
      <c r="U431">
        <v>1</v>
      </c>
      <c r="V431">
        <f>VLOOKUP(T431,'Data Angt'!$A$5:$F$5810,6,FALSE)</f>
        <v>39</v>
      </c>
      <c r="W431" s="5" t="str">
        <f t="shared" si="6"/>
        <v>PRODUKTIF</v>
      </c>
      <c r="X431" s="5" t="str">
        <f>VLOOKUP(T431,'Data Angt'!$A$5:$H$5810,8,FALSE)</f>
        <v>Karyawan</v>
      </c>
      <c r="Y431" s="5" t="str">
        <f>VLOOKUP(T431,'Data Angt'!$A$5:$C$5808,3,FALSE)</f>
        <v>PBL</v>
      </c>
    </row>
    <row r="432" spans="1:25" x14ac:dyDescent="0.3">
      <c r="A432" s="8">
        <v>426</v>
      </c>
      <c r="B432" s="9" t="s">
        <v>7282</v>
      </c>
      <c r="C432" s="10" t="str">
        <f>VLOOKUP(B432,'Data Angt'!$A$5:$B$5809,2,FALSE)</f>
        <v>A3258</v>
      </c>
      <c r="D432" s="11" t="s">
        <v>9842</v>
      </c>
      <c r="E432" s="12" t="s">
        <v>10150</v>
      </c>
      <c r="F432" s="13">
        <v>45092</v>
      </c>
      <c r="G432" s="14">
        <v>45915</v>
      </c>
      <c r="H432" s="15">
        <v>200000000</v>
      </c>
      <c r="I432" s="16">
        <v>60</v>
      </c>
      <c r="J432" s="17">
        <v>11.4</v>
      </c>
      <c r="K432" s="9" t="s">
        <v>9831</v>
      </c>
      <c r="L432" s="10" t="s">
        <v>10151</v>
      </c>
      <c r="M432" s="9" t="s">
        <v>10082</v>
      </c>
      <c r="N432" s="10" t="s">
        <v>9830</v>
      </c>
      <c r="O432" s="15">
        <v>130152000</v>
      </c>
      <c r="P432" s="145">
        <v>15953468</v>
      </c>
      <c r="Q432" s="9" t="s">
        <v>22220</v>
      </c>
      <c r="R432" s="146" t="s">
        <v>22580</v>
      </c>
      <c r="T432" s="92" t="s">
        <v>7960</v>
      </c>
      <c r="U432">
        <v>1</v>
      </c>
      <c r="V432">
        <f>VLOOKUP(T432,'Data Angt'!$A$5:$F$5810,6,FALSE)</f>
        <v>25</v>
      </c>
      <c r="W432" s="5" t="str">
        <f t="shared" si="6"/>
        <v>KONSUMTIF</v>
      </c>
      <c r="X432" s="5" t="str">
        <f>VLOOKUP(T432,'Data Angt'!$A$5:$H$5810,8,FALSE)</f>
        <v>Karyawan</v>
      </c>
      <c r="Y432" s="5" t="str">
        <f>VLOOKUP(T432,'Data Angt'!$A$5:$C$5808,3,FALSE)</f>
        <v>PBL</v>
      </c>
    </row>
    <row r="433" spans="1:25" x14ac:dyDescent="0.3">
      <c r="A433" s="8">
        <v>427</v>
      </c>
      <c r="B433" s="9" t="s">
        <v>7286</v>
      </c>
      <c r="C433" s="10" t="str">
        <f>VLOOKUP(B433,'Data Angt'!$A$5:$B$5809,2,FALSE)</f>
        <v>A3260</v>
      </c>
      <c r="D433" s="11" t="s">
        <v>9895</v>
      </c>
      <c r="E433" s="12" t="s">
        <v>22581</v>
      </c>
      <c r="F433" s="13">
        <v>45859</v>
      </c>
      <c r="G433" s="14">
        <v>45901</v>
      </c>
      <c r="H433" s="15">
        <v>25000000</v>
      </c>
      <c r="I433" s="16">
        <v>36</v>
      </c>
      <c r="J433" s="17">
        <v>21</v>
      </c>
      <c r="K433" s="9" t="s">
        <v>9831</v>
      </c>
      <c r="L433" s="10" t="s">
        <v>22582</v>
      </c>
      <c r="M433" s="9" t="s">
        <v>22583</v>
      </c>
      <c r="N433" s="10" t="s">
        <v>9828</v>
      </c>
      <c r="O433" s="15">
        <v>23982400</v>
      </c>
      <c r="P433" s="145">
        <v>324824</v>
      </c>
      <c r="Q433" s="9" t="s">
        <v>22189</v>
      </c>
      <c r="R433" s="146" t="s">
        <v>22584</v>
      </c>
      <c r="T433" s="92" t="s">
        <v>7972</v>
      </c>
      <c r="U433">
        <v>1</v>
      </c>
      <c r="V433">
        <f>VLOOKUP(T433,'Data Angt'!$A$5:$F$5810,6,FALSE)</f>
        <v>39</v>
      </c>
      <c r="W433" s="5" t="str">
        <f t="shared" si="6"/>
        <v>KONSUMTIF</v>
      </c>
      <c r="X433" s="5" t="str">
        <f>VLOOKUP(T433,'Data Angt'!$A$5:$H$5810,8,FALSE)</f>
        <v>Tenaga Pengajar</v>
      </c>
      <c r="Y433" s="5" t="str">
        <f>VLOOKUP(T433,'Data Angt'!$A$5:$C$5808,3,FALSE)</f>
        <v>PBL</v>
      </c>
    </row>
    <row r="434" spans="1:25" x14ac:dyDescent="0.3">
      <c r="A434" s="8">
        <v>428</v>
      </c>
      <c r="B434" s="9" t="s">
        <v>7320</v>
      </c>
      <c r="C434" s="10" t="str">
        <f>VLOOKUP(B434,'Data Angt'!$A$5:$B$5809,2,FALSE)</f>
        <v>A3274</v>
      </c>
      <c r="D434" s="11" t="s">
        <v>9842</v>
      </c>
      <c r="E434" s="12" t="s">
        <v>15937</v>
      </c>
      <c r="F434" s="13">
        <v>45469</v>
      </c>
      <c r="G434" s="14">
        <v>45920</v>
      </c>
      <c r="H434" s="15">
        <v>75000000</v>
      </c>
      <c r="I434" s="16">
        <v>36</v>
      </c>
      <c r="J434" s="17">
        <v>11.4</v>
      </c>
      <c r="K434" s="9" t="s">
        <v>9831</v>
      </c>
      <c r="L434" s="10" t="s">
        <v>15938</v>
      </c>
      <c r="M434" s="9" t="s">
        <v>9865</v>
      </c>
      <c r="N434" s="10" t="s">
        <v>9830</v>
      </c>
      <c r="O434" s="15">
        <v>46815800</v>
      </c>
      <c r="P434" s="145">
        <v>3322983</v>
      </c>
      <c r="Q434" s="9" t="s">
        <v>22197</v>
      </c>
      <c r="R434" s="146" t="s">
        <v>22585</v>
      </c>
      <c r="T434" s="92" t="s">
        <v>7980</v>
      </c>
      <c r="U434">
        <v>1</v>
      </c>
      <c r="V434">
        <f>VLOOKUP(T434,'Data Angt'!$A$5:$F$5810,6,FALSE)</f>
        <v>28</v>
      </c>
      <c r="W434" s="5" t="str">
        <f t="shared" si="6"/>
        <v>KONSUMTIF</v>
      </c>
      <c r="X434" s="5">
        <f>VLOOKUP(T434,'Data Angt'!$A$5:$H$5810,8,FALSE)</f>
        <v>0</v>
      </c>
      <c r="Y434" s="5" t="str">
        <f>VLOOKUP(T434,'Data Angt'!$A$5:$C$5808,3,FALSE)</f>
        <v>PBL</v>
      </c>
    </row>
    <row r="435" spans="1:25" x14ac:dyDescent="0.3">
      <c r="A435" s="8">
        <v>429</v>
      </c>
      <c r="B435" s="9" t="s">
        <v>7343</v>
      </c>
      <c r="C435" s="10" t="str">
        <f>VLOOKUP(B435,'Data Angt'!$A$5:$B$5809,2,FALSE)</f>
        <v>A3284</v>
      </c>
      <c r="D435" s="11" t="s">
        <v>9829</v>
      </c>
      <c r="E435" s="12" t="s">
        <v>10152</v>
      </c>
      <c r="F435" s="13">
        <v>43377</v>
      </c>
      <c r="G435" s="14">
        <v>45654</v>
      </c>
      <c r="H435" s="15">
        <v>100000000</v>
      </c>
      <c r="I435" s="16">
        <v>36</v>
      </c>
      <c r="J435" s="17">
        <v>21</v>
      </c>
      <c r="K435" s="9" t="s">
        <v>9831</v>
      </c>
      <c r="L435" s="10" t="s">
        <v>10153</v>
      </c>
      <c r="M435" s="9" t="s">
        <v>10154</v>
      </c>
      <c r="N435" s="10" t="s">
        <v>9834</v>
      </c>
      <c r="O435" s="15">
        <v>54755200</v>
      </c>
      <c r="P435" s="145">
        <v>23502555</v>
      </c>
      <c r="Q435" s="9"/>
      <c r="R435" s="146"/>
      <c r="T435" s="92" t="s">
        <v>8008</v>
      </c>
      <c r="U435">
        <v>1</v>
      </c>
      <c r="V435">
        <f>VLOOKUP(T435,'Data Angt'!$A$5:$F$5810,6,FALSE)</f>
        <v>27</v>
      </c>
      <c r="W435" s="5" t="str">
        <f t="shared" si="6"/>
        <v>KONSUMTIF</v>
      </c>
      <c r="X435" s="5" t="str">
        <f>VLOOKUP(T435,'Data Angt'!$A$5:$H$5810,8,FALSE)</f>
        <v>Karyawan</v>
      </c>
      <c r="Y435" s="5" t="str">
        <f>VLOOKUP(T435,'Data Angt'!$A$5:$C$5808,3,FALSE)</f>
        <v>PBL</v>
      </c>
    </row>
    <row r="436" spans="1:25" x14ac:dyDescent="0.3">
      <c r="A436" s="8">
        <v>430</v>
      </c>
      <c r="B436" s="9" t="s">
        <v>7369</v>
      </c>
      <c r="C436" s="10" t="str">
        <f>VLOOKUP(B436,'Data Angt'!$A$5:$B$5809,2,FALSE)</f>
        <v>A3295</v>
      </c>
      <c r="D436" s="11" t="s">
        <v>9829</v>
      </c>
      <c r="E436" s="12" t="s">
        <v>15939</v>
      </c>
      <c r="F436" s="13">
        <v>45610</v>
      </c>
      <c r="G436" s="14">
        <v>45901</v>
      </c>
      <c r="H436" s="15">
        <v>4000000</v>
      </c>
      <c r="I436" s="16">
        <v>24</v>
      </c>
      <c r="J436" s="17">
        <v>24</v>
      </c>
      <c r="K436" s="9" t="s">
        <v>9831</v>
      </c>
      <c r="L436" s="10" t="s">
        <v>15940</v>
      </c>
      <c r="M436" s="9" t="s">
        <v>10642</v>
      </c>
      <c r="N436" s="10" t="s">
        <v>9828</v>
      </c>
      <c r="O436" s="15">
        <v>2560600</v>
      </c>
      <c r="P436" s="145">
        <v>253348</v>
      </c>
      <c r="Q436" s="9"/>
      <c r="R436" s="146"/>
      <c r="T436" s="92" t="s">
        <v>8019</v>
      </c>
      <c r="U436">
        <v>1</v>
      </c>
      <c r="V436">
        <f>VLOOKUP(T436,'Data Angt'!$A$5:$F$5810,6,FALSE)</f>
        <v>29</v>
      </c>
      <c r="W436" s="5" t="str">
        <f t="shared" si="6"/>
        <v>PRODUKTIF</v>
      </c>
      <c r="X436" s="5" t="str">
        <f>VLOOKUP(T436,'Data Angt'!$A$5:$H$5810,8,FALSE)</f>
        <v>Karyawan</v>
      </c>
      <c r="Y436" s="5" t="str">
        <f>VLOOKUP(T436,'Data Angt'!$A$5:$C$5808,3,FALSE)</f>
        <v>PBL</v>
      </c>
    </row>
    <row r="437" spans="1:25" x14ac:dyDescent="0.3">
      <c r="A437" s="8">
        <v>431</v>
      </c>
      <c r="B437" s="9" t="s">
        <v>7377</v>
      </c>
      <c r="C437" s="10" t="str">
        <f>VLOOKUP(B437,'Data Angt'!$A$5:$B$5809,2,FALSE)</f>
        <v>A3298</v>
      </c>
      <c r="D437" s="11" t="s">
        <v>9833</v>
      </c>
      <c r="E437" s="12" t="s">
        <v>10155</v>
      </c>
      <c r="F437" s="13">
        <v>44965</v>
      </c>
      <c r="G437" s="14">
        <v>45908</v>
      </c>
      <c r="H437" s="15">
        <v>75000000</v>
      </c>
      <c r="I437" s="16">
        <v>36</v>
      </c>
      <c r="J437" s="17">
        <v>21</v>
      </c>
      <c r="K437" s="9" t="s">
        <v>9831</v>
      </c>
      <c r="L437" s="10" t="s">
        <v>10156</v>
      </c>
      <c r="M437" s="9" t="s">
        <v>10157</v>
      </c>
      <c r="N437" s="10" t="s">
        <v>9834</v>
      </c>
      <c r="O437" s="15">
        <v>13414700</v>
      </c>
      <c r="P437" s="145">
        <v>9754266</v>
      </c>
      <c r="Q437" s="9" t="s">
        <v>22220</v>
      </c>
      <c r="R437" s="146" t="s">
        <v>22586</v>
      </c>
      <c r="T437" s="92" t="s">
        <v>8026</v>
      </c>
      <c r="U437">
        <v>1</v>
      </c>
      <c r="V437">
        <f>VLOOKUP(T437,'Data Angt'!$A$5:$F$5810,6,FALSE)</f>
        <v>42</v>
      </c>
      <c r="W437" s="5" t="str">
        <f t="shared" si="6"/>
        <v>KONSUMTIF</v>
      </c>
      <c r="X437" s="5" t="str">
        <f>VLOOKUP(T437,'Data Angt'!$A$5:$H$5810,8,FALSE)</f>
        <v>Mengurus Rumah Tangga</v>
      </c>
      <c r="Y437" s="5" t="str">
        <f>VLOOKUP(T437,'Data Angt'!$A$5:$C$5808,3,FALSE)</f>
        <v>PBL</v>
      </c>
    </row>
    <row r="438" spans="1:25" x14ac:dyDescent="0.3">
      <c r="A438" s="8">
        <v>432</v>
      </c>
      <c r="B438" s="9" t="s">
        <v>7380</v>
      </c>
      <c r="C438" s="10" t="str">
        <f>VLOOKUP(B438,'Data Angt'!$A$5:$B$5809,2,FALSE)</f>
        <v>A3300</v>
      </c>
      <c r="D438" s="11" t="s">
        <v>9829</v>
      </c>
      <c r="E438" s="12" t="s">
        <v>10158</v>
      </c>
      <c r="F438" s="13">
        <v>45223</v>
      </c>
      <c r="G438" s="14">
        <v>45920</v>
      </c>
      <c r="H438" s="15">
        <v>20000000</v>
      </c>
      <c r="I438" s="16">
        <v>36</v>
      </c>
      <c r="J438" s="17">
        <v>24</v>
      </c>
      <c r="K438" s="9" t="s">
        <v>9831</v>
      </c>
      <c r="L438" s="10" t="s">
        <v>10159</v>
      </c>
      <c r="M438" s="9" t="s">
        <v>10008</v>
      </c>
      <c r="N438" s="10" t="s">
        <v>17</v>
      </c>
      <c r="O438" s="15">
        <v>9011500</v>
      </c>
      <c r="P438" s="145">
        <v>2647343</v>
      </c>
      <c r="Q438" s="9" t="s">
        <v>22189</v>
      </c>
      <c r="R438" s="146" t="s">
        <v>22587</v>
      </c>
      <c r="T438" s="92" t="s">
        <v>8047</v>
      </c>
      <c r="U438">
        <v>1</v>
      </c>
      <c r="V438">
        <f>VLOOKUP(T438,'Data Angt'!$A$5:$F$5810,6,FALSE)</f>
        <v>67</v>
      </c>
      <c r="W438" s="5" t="str">
        <f t="shared" si="6"/>
        <v>KONSUMTIF</v>
      </c>
      <c r="X438" s="5" t="str">
        <f>VLOOKUP(T438,'Data Angt'!$A$5:$H$5810,8,FALSE)</f>
        <v>Wiraswasta</v>
      </c>
      <c r="Y438" s="5" t="str">
        <f>VLOOKUP(T438,'Data Angt'!$A$5:$C$5808,3,FALSE)</f>
        <v>PBL</v>
      </c>
    </row>
    <row r="439" spans="1:25" x14ac:dyDescent="0.3">
      <c r="A439" s="8">
        <v>433</v>
      </c>
      <c r="B439" s="9" t="s">
        <v>7393</v>
      </c>
      <c r="C439" s="10" t="str">
        <f>VLOOKUP(B439,'Data Angt'!$A$5:$B$5809,2,FALSE)</f>
        <v>A3305</v>
      </c>
      <c r="D439" s="11" t="s">
        <v>9833</v>
      </c>
      <c r="E439" s="12" t="s">
        <v>15941</v>
      </c>
      <c r="F439" s="13">
        <v>45667</v>
      </c>
      <c r="G439" s="14">
        <v>45910</v>
      </c>
      <c r="H439" s="15">
        <v>18000000</v>
      </c>
      <c r="I439" s="16">
        <v>36</v>
      </c>
      <c r="J439" s="17">
        <v>24</v>
      </c>
      <c r="K439" s="9" t="s">
        <v>9831</v>
      </c>
      <c r="L439" s="10" t="s">
        <v>15942</v>
      </c>
      <c r="M439" s="9" t="s">
        <v>9872</v>
      </c>
      <c r="N439" s="10" t="s">
        <v>9828</v>
      </c>
      <c r="O439" s="15">
        <v>15029000</v>
      </c>
      <c r="P439" s="145">
        <v>1004473</v>
      </c>
      <c r="Q439" s="9" t="s">
        <v>22220</v>
      </c>
      <c r="R439" s="146" t="s">
        <v>22588</v>
      </c>
      <c r="T439" s="92" t="s">
        <v>8061</v>
      </c>
      <c r="U439">
        <v>1</v>
      </c>
      <c r="V439">
        <f>VLOOKUP(T439,'Data Angt'!$A$5:$F$5810,6,FALSE)</f>
        <v>37</v>
      </c>
      <c r="W439" s="5" t="str">
        <f t="shared" si="6"/>
        <v>KESEJAHTERAAN</v>
      </c>
      <c r="X439" s="5" t="str">
        <f>VLOOKUP(T439,'Data Angt'!$A$5:$H$5810,8,FALSE)</f>
        <v>Karyawan</v>
      </c>
      <c r="Y439" s="5" t="str">
        <f>VLOOKUP(T439,'Data Angt'!$A$5:$C$5808,3,FALSE)</f>
        <v>PBL</v>
      </c>
    </row>
    <row r="440" spans="1:25" x14ac:dyDescent="0.3">
      <c r="A440" s="8">
        <v>434</v>
      </c>
      <c r="B440" s="9" t="s">
        <v>7393</v>
      </c>
      <c r="C440" s="10" t="str">
        <f>VLOOKUP(B440,'Data Angt'!$A$5:$B$5809,2,FALSE)</f>
        <v>A3305</v>
      </c>
      <c r="D440" s="11" t="s">
        <v>9826</v>
      </c>
      <c r="E440" s="12" t="s">
        <v>15943</v>
      </c>
      <c r="F440" s="13">
        <v>45626</v>
      </c>
      <c r="G440" s="14">
        <v>45929</v>
      </c>
      <c r="H440" s="15">
        <v>2000000</v>
      </c>
      <c r="I440" s="16">
        <v>12</v>
      </c>
      <c r="J440" s="17">
        <v>24</v>
      </c>
      <c r="K440" s="9" t="s">
        <v>9831</v>
      </c>
      <c r="L440" s="10" t="s">
        <v>15944</v>
      </c>
      <c r="M440" s="9" t="s">
        <v>9962</v>
      </c>
      <c r="N440" s="10" t="s">
        <v>9834</v>
      </c>
      <c r="O440" s="15">
        <v>366700</v>
      </c>
      <c r="P440" s="145">
        <v>97010</v>
      </c>
      <c r="Q440" s="9"/>
      <c r="R440" s="146"/>
      <c r="T440" s="92" t="s">
        <v>8079</v>
      </c>
      <c r="U440">
        <v>1</v>
      </c>
      <c r="V440">
        <f>VLOOKUP(T440,'Data Angt'!$A$5:$F$5810,6,FALSE)</f>
        <v>57</v>
      </c>
      <c r="W440" s="5" t="str">
        <f t="shared" si="6"/>
        <v>PRODUKTIF</v>
      </c>
      <c r="X440" s="5" t="str">
        <f>VLOOKUP(T440,'Data Angt'!$A$5:$H$5810,8,FALSE)</f>
        <v>Tenaga Pengajar</v>
      </c>
      <c r="Y440" s="5" t="str">
        <f>VLOOKUP(T440,'Data Angt'!$A$5:$C$5808,3,FALSE)</f>
        <v>PBL</v>
      </c>
    </row>
    <row r="441" spans="1:25" x14ac:dyDescent="0.3">
      <c r="A441" s="8">
        <v>435</v>
      </c>
      <c r="B441" s="9" t="s">
        <v>7395</v>
      </c>
      <c r="C441" s="10" t="str">
        <f>VLOOKUP(B441,'Data Angt'!$A$5:$B$5809,2,FALSE)</f>
        <v>A3306</v>
      </c>
      <c r="D441" s="11" t="s">
        <v>9833</v>
      </c>
      <c r="E441" s="12" t="s">
        <v>15945</v>
      </c>
      <c r="F441" s="13">
        <v>45365</v>
      </c>
      <c r="G441" s="14">
        <v>45911</v>
      </c>
      <c r="H441" s="15">
        <v>40000000</v>
      </c>
      <c r="I441" s="16">
        <v>36</v>
      </c>
      <c r="J441" s="17">
        <v>21</v>
      </c>
      <c r="K441" s="9" t="s">
        <v>9831</v>
      </c>
      <c r="L441" s="10" t="s">
        <v>15946</v>
      </c>
      <c r="M441" s="9" t="s">
        <v>15947</v>
      </c>
      <c r="N441" s="10" t="s">
        <v>9834</v>
      </c>
      <c r="O441" s="15">
        <v>30319500</v>
      </c>
      <c r="P441" s="145">
        <v>2785497</v>
      </c>
      <c r="Q441" s="9" t="s">
        <v>22197</v>
      </c>
      <c r="R441" s="146" t="s">
        <v>22589</v>
      </c>
      <c r="T441" s="92" t="s">
        <v>8097</v>
      </c>
      <c r="U441">
        <v>1</v>
      </c>
      <c r="V441">
        <f>VLOOKUP(T441,'Data Angt'!$A$5:$F$5810,6,FALSE)</f>
        <v>34</v>
      </c>
      <c r="W441" s="5" t="str">
        <f t="shared" si="6"/>
        <v>PRODUKTIF</v>
      </c>
      <c r="X441" s="5" t="str">
        <f>VLOOKUP(T441,'Data Angt'!$A$5:$H$5810,8,FALSE)</f>
        <v>Mengurus Rumah Tangga</v>
      </c>
      <c r="Y441" s="5" t="str">
        <f>VLOOKUP(T441,'Data Angt'!$A$5:$C$5808,3,FALSE)</f>
        <v>PBL</v>
      </c>
    </row>
    <row r="442" spans="1:25" x14ac:dyDescent="0.3">
      <c r="A442" s="8">
        <v>436</v>
      </c>
      <c r="B442" s="9" t="s">
        <v>7410</v>
      </c>
      <c r="C442" s="10" t="str">
        <f>VLOOKUP(B442,'Data Angt'!$A$5:$B$5809,2,FALSE)</f>
        <v>A3314</v>
      </c>
      <c r="D442" s="11" t="s">
        <v>9833</v>
      </c>
      <c r="E442" s="12" t="s">
        <v>22590</v>
      </c>
      <c r="F442" s="13">
        <v>45894</v>
      </c>
      <c r="G442" s="14">
        <v>45924</v>
      </c>
      <c r="H442" s="15">
        <v>40000000</v>
      </c>
      <c r="I442" s="16">
        <v>12</v>
      </c>
      <c r="J442" s="17">
        <v>21</v>
      </c>
      <c r="K442" s="9" t="s">
        <v>9831</v>
      </c>
      <c r="L442" s="10" t="s">
        <v>22591</v>
      </c>
      <c r="M442" s="9" t="s">
        <v>9977</v>
      </c>
      <c r="N442" s="10" t="s">
        <v>9834</v>
      </c>
      <c r="O442" s="15">
        <v>36975400</v>
      </c>
      <c r="P442" s="145">
        <v>262500</v>
      </c>
      <c r="Q442" s="9" t="s">
        <v>22189</v>
      </c>
      <c r="R442" s="146" t="s">
        <v>22592</v>
      </c>
      <c r="T442" s="92" t="s">
        <v>8099</v>
      </c>
      <c r="U442">
        <v>1</v>
      </c>
      <c r="V442">
        <f>VLOOKUP(T442,'Data Angt'!$A$5:$F$5810,6,FALSE)</f>
        <v>39</v>
      </c>
      <c r="W442" s="5" t="str">
        <f t="shared" si="6"/>
        <v>PRODUKTIF</v>
      </c>
      <c r="X442" s="5" t="str">
        <f>VLOOKUP(T442,'Data Angt'!$A$5:$H$5810,8,FALSE)</f>
        <v>Wiraswasta</v>
      </c>
      <c r="Y442" s="5" t="str">
        <f>VLOOKUP(T442,'Data Angt'!$A$5:$C$5808,3,FALSE)</f>
        <v>PBL</v>
      </c>
    </row>
    <row r="443" spans="1:25" x14ac:dyDescent="0.3">
      <c r="A443" s="8">
        <v>437</v>
      </c>
      <c r="B443" s="9" t="s">
        <v>7439</v>
      </c>
      <c r="C443" s="10" t="str">
        <f>VLOOKUP(B443,'Data Angt'!$A$5:$B$5809,2,FALSE)</f>
        <v>A3327</v>
      </c>
      <c r="D443" s="11" t="s">
        <v>9833</v>
      </c>
      <c r="E443" s="12" t="s">
        <v>15948</v>
      </c>
      <c r="F443" s="13">
        <v>45427</v>
      </c>
      <c r="G443" s="14">
        <v>45908</v>
      </c>
      <c r="H443" s="15">
        <v>1800000000</v>
      </c>
      <c r="I443" s="16">
        <v>24</v>
      </c>
      <c r="J443" s="17">
        <v>10</v>
      </c>
      <c r="K443" s="9" t="s">
        <v>9867</v>
      </c>
      <c r="L443" s="10" t="s">
        <v>15949</v>
      </c>
      <c r="M443" s="9" t="s">
        <v>15950</v>
      </c>
      <c r="N443" s="10" t="s">
        <v>9834</v>
      </c>
      <c r="O443" s="15">
        <v>1800000000</v>
      </c>
      <c r="P443" s="145">
        <v>90000000</v>
      </c>
      <c r="Q443" s="9"/>
      <c r="R443" s="146"/>
      <c r="T443" s="92" t="s">
        <v>8147</v>
      </c>
      <c r="U443">
        <v>1</v>
      </c>
      <c r="V443">
        <f>VLOOKUP(T443,'Data Angt'!$A$5:$F$5810,6,FALSE)</f>
        <v>26</v>
      </c>
      <c r="W443" s="5" t="str">
        <f t="shared" si="6"/>
        <v>KONSUMTIF</v>
      </c>
      <c r="X443" s="5" t="str">
        <f>VLOOKUP(T443,'Data Angt'!$A$5:$H$5810,8,FALSE)</f>
        <v>Mengurus Rumah Tangga</v>
      </c>
      <c r="Y443" s="5" t="str">
        <f>VLOOKUP(T443,'Data Angt'!$A$5:$C$5808,3,FALSE)</f>
        <v>PBL</v>
      </c>
    </row>
    <row r="444" spans="1:25" x14ac:dyDescent="0.3">
      <c r="A444" s="8">
        <v>438</v>
      </c>
      <c r="B444" s="9" t="s">
        <v>7445</v>
      </c>
      <c r="C444" s="10" t="str">
        <f>VLOOKUP(B444,'Data Angt'!$A$5:$B$5809,2,FALSE)</f>
        <v>A3330</v>
      </c>
      <c r="D444" s="11" t="s">
        <v>9833</v>
      </c>
      <c r="E444" s="12" t="s">
        <v>10160</v>
      </c>
      <c r="F444" s="13">
        <v>44077</v>
      </c>
      <c r="G444" s="14">
        <v>45888</v>
      </c>
      <c r="H444" s="15">
        <v>100000000</v>
      </c>
      <c r="I444" s="16">
        <v>36</v>
      </c>
      <c r="J444" s="17">
        <v>21</v>
      </c>
      <c r="K444" s="9" t="s">
        <v>9831</v>
      </c>
      <c r="L444" s="10" t="s">
        <v>10161</v>
      </c>
      <c r="M444" s="9" t="s">
        <v>10162</v>
      </c>
      <c r="N444" s="10" t="s">
        <v>9834</v>
      </c>
      <c r="O444" s="15">
        <v>27255700</v>
      </c>
      <c r="P444" s="145">
        <v>19543565</v>
      </c>
      <c r="Q444" s="9" t="s">
        <v>22197</v>
      </c>
      <c r="R444" s="146" t="s">
        <v>22593</v>
      </c>
      <c r="T444" s="92" t="s">
        <v>8154</v>
      </c>
      <c r="U444">
        <v>1</v>
      </c>
      <c r="V444">
        <f>VLOOKUP(T444,'Data Angt'!$A$5:$F$5810,6,FALSE)</f>
        <v>65</v>
      </c>
      <c r="W444" s="5" t="str">
        <f t="shared" si="6"/>
        <v>KESEJAHTERAAN</v>
      </c>
      <c r="X444" s="5" t="str">
        <f>VLOOKUP(T444,'Data Angt'!$A$5:$H$5810,8,FALSE)</f>
        <v>Pensiunan</v>
      </c>
      <c r="Y444" s="5" t="str">
        <f>VLOOKUP(T444,'Data Angt'!$A$5:$C$5808,3,FALSE)</f>
        <v>PBL</v>
      </c>
    </row>
    <row r="445" spans="1:25" x14ac:dyDescent="0.3">
      <c r="A445" s="8">
        <v>439</v>
      </c>
      <c r="B445" s="9" t="s">
        <v>7517</v>
      </c>
      <c r="C445" s="10" t="str">
        <f>VLOOKUP(B445,'Data Angt'!$A$5:$B$5809,2,FALSE)</f>
        <v>A3365</v>
      </c>
      <c r="D445" s="11" t="s">
        <v>9833</v>
      </c>
      <c r="E445" s="12" t="s">
        <v>22594</v>
      </c>
      <c r="F445" s="13">
        <v>45904</v>
      </c>
      <c r="G445" s="14">
        <v>45904</v>
      </c>
      <c r="H445" s="15">
        <v>20000000</v>
      </c>
      <c r="I445" s="16">
        <v>24</v>
      </c>
      <c r="J445" s="17">
        <v>24</v>
      </c>
      <c r="K445" s="9" t="s">
        <v>9831</v>
      </c>
      <c r="L445" s="10" t="s">
        <v>22595</v>
      </c>
      <c r="M445" s="9" t="s">
        <v>9962</v>
      </c>
      <c r="N445" s="10" t="s">
        <v>9834</v>
      </c>
      <c r="O445" s="15">
        <v>20000000</v>
      </c>
      <c r="P445" s="147">
        <v>0</v>
      </c>
      <c r="Q445" s="9" t="s">
        <v>22240</v>
      </c>
      <c r="R445" s="146" t="s">
        <v>22596</v>
      </c>
      <c r="T445" s="92" t="s">
        <v>8159</v>
      </c>
      <c r="U445">
        <v>1</v>
      </c>
      <c r="V445">
        <f>VLOOKUP(T445,'Data Angt'!$A$5:$F$5810,6,FALSE)</f>
        <v>63</v>
      </c>
      <c r="W445" s="5" t="str">
        <f t="shared" si="6"/>
        <v>KESEJAHTERAAN</v>
      </c>
      <c r="X445" s="5">
        <f>VLOOKUP(T445,'Data Angt'!$A$5:$H$5810,8,FALSE)</f>
        <v>0</v>
      </c>
      <c r="Y445" s="5" t="str">
        <f>VLOOKUP(T445,'Data Angt'!$A$5:$C$5808,3,FALSE)</f>
        <v>PBL</v>
      </c>
    </row>
    <row r="446" spans="1:25" x14ac:dyDescent="0.3">
      <c r="A446" s="8">
        <v>440</v>
      </c>
      <c r="B446" s="9" t="s">
        <v>7525</v>
      </c>
      <c r="C446" s="10" t="str">
        <f>VLOOKUP(B446,'Data Angt'!$A$5:$B$5809,2,FALSE)</f>
        <v>A3369</v>
      </c>
      <c r="D446" s="11" t="s">
        <v>9833</v>
      </c>
      <c r="E446" s="12" t="s">
        <v>15951</v>
      </c>
      <c r="F446" s="13">
        <v>45534</v>
      </c>
      <c r="G446" s="14">
        <v>45902</v>
      </c>
      <c r="H446" s="15">
        <v>49000000</v>
      </c>
      <c r="I446" s="16">
        <v>18</v>
      </c>
      <c r="J446" s="17">
        <v>21</v>
      </c>
      <c r="K446" s="9" t="s">
        <v>9831</v>
      </c>
      <c r="L446" s="10" t="s">
        <v>15952</v>
      </c>
      <c r="M446" s="9" t="s">
        <v>9862</v>
      </c>
      <c r="N446" s="10" t="s">
        <v>9834</v>
      </c>
      <c r="O446" s="15">
        <v>15178000</v>
      </c>
      <c r="P446" s="145">
        <v>2902609</v>
      </c>
      <c r="Q446" s="9" t="s">
        <v>22220</v>
      </c>
      <c r="R446" s="146" t="s">
        <v>22597</v>
      </c>
      <c r="T446" s="92" t="s">
        <v>8174</v>
      </c>
      <c r="U446">
        <v>1</v>
      </c>
      <c r="V446">
        <f>VLOOKUP(T446,'Data Angt'!$A$5:$F$5810,6,FALSE)</f>
        <v>28</v>
      </c>
      <c r="W446" s="5" t="str">
        <f t="shared" si="6"/>
        <v>PENDIDIKAN</v>
      </c>
      <c r="X446" s="5" t="str">
        <f>VLOOKUP(T446,'Data Angt'!$A$5:$H$5810,8,FALSE)</f>
        <v>Tenaga Pengajar</v>
      </c>
      <c r="Y446" s="5" t="str">
        <f>VLOOKUP(T446,'Data Angt'!$A$5:$C$5808,3,FALSE)</f>
        <v>PBL</v>
      </c>
    </row>
    <row r="447" spans="1:25" x14ac:dyDescent="0.3">
      <c r="A447" s="8">
        <v>441</v>
      </c>
      <c r="B447" s="9" t="s">
        <v>7549</v>
      </c>
      <c r="C447" s="10" t="str">
        <f>VLOOKUP(B447,'Data Angt'!$A$5:$B$5809,2,FALSE)</f>
        <v>A3381</v>
      </c>
      <c r="D447" s="11" t="s">
        <v>9833</v>
      </c>
      <c r="E447" s="12" t="s">
        <v>15953</v>
      </c>
      <c r="F447" s="13">
        <v>45696</v>
      </c>
      <c r="G447" s="14">
        <v>45908</v>
      </c>
      <c r="H447" s="15">
        <v>3000000</v>
      </c>
      <c r="I447" s="16">
        <v>12</v>
      </c>
      <c r="J447" s="17">
        <v>24</v>
      </c>
      <c r="K447" s="9" t="s">
        <v>9831</v>
      </c>
      <c r="L447" s="10" t="s">
        <v>15954</v>
      </c>
      <c r="M447" s="9" t="s">
        <v>15955</v>
      </c>
      <c r="N447" s="10" t="s">
        <v>9834</v>
      </c>
      <c r="O447" s="15">
        <v>1337300</v>
      </c>
      <c r="P447" s="145">
        <v>121200</v>
      </c>
      <c r="Q447" s="9"/>
      <c r="R447" s="146"/>
      <c r="T447" s="92" t="s">
        <v>8184</v>
      </c>
      <c r="U447">
        <v>1</v>
      </c>
      <c r="V447">
        <f>VLOOKUP(T447,'Data Angt'!$A$5:$F$5810,6,FALSE)</f>
        <v>41</v>
      </c>
      <c r="W447" s="5" t="str">
        <f t="shared" si="6"/>
        <v>KESEJAHTERAAN</v>
      </c>
      <c r="X447" s="5" t="str">
        <f>VLOOKUP(T447,'Data Angt'!$A$5:$H$5810,8,FALSE)</f>
        <v>Wiraswasta</v>
      </c>
      <c r="Y447" s="5" t="str">
        <f>VLOOKUP(T447,'Data Angt'!$A$5:$C$5808,3,FALSE)</f>
        <v>PBL</v>
      </c>
    </row>
    <row r="448" spans="1:25" x14ac:dyDescent="0.3">
      <c r="A448" s="8">
        <v>442</v>
      </c>
      <c r="B448" s="9" t="s">
        <v>7560</v>
      </c>
      <c r="C448" s="10" t="str">
        <f>VLOOKUP(B448,'Data Angt'!$A$5:$B$5809,2,FALSE)</f>
        <v>A3387</v>
      </c>
      <c r="D448" s="11" t="s">
        <v>9881</v>
      </c>
      <c r="E448" s="12" t="s">
        <v>15956</v>
      </c>
      <c r="F448" s="13">
        <v>45812</v>
      </c>
      <c r="G448" s="14">
        <v>45903</v>
      </c>
      <c r="H448" s="15">
        <v>3200000</v>
      </c>
      <c r="I448" s="16">
        <v>12</v>
      </c>
      <c r="J448" s="17">
        <v>12</v>
      </c>
      <c r="K448" s="9" t="s">
        <v>9831</v>
      </c>
      <c r="L448" s="10" t="s">
        <v>15957</v>
      </c>
      <c r="M448" s="9" t="s">
        <v>9878</v>
      </c>
      <c r="N448" s="10" t="s">
        <v>9828</v>
      </c>
      <c r="O448" s="15">
        <v>2435300</v>
      </c>
      <c r="P448" s="145">
        <v>33187</v>
      </c>
      <c r="Q448" s="9"/>
      <c r="R448" s="146"/>
      <c r="T448" s="92" t="s">
        <v>8189</v>
      </c>
      <c r="U448">
        <v>1</v>
      </c>
      <c r="V448">
        <f>VLOOKUP(T448,'Data Angt'!$A$5:$F$5810,6,FALSE)</f>
        <v>64</v>
      </c>
      <c r="W448" s="5" t="str">
        <f t="shared" si="6"/>
        <v>KONSUMTIF</v>
      </c>
      <c r="X448" s="5" t="str">
        <f>VLOOKUP(T448,'Data Angt'!$A$5:$H$5810,8,FALSE)</f>
        <v>Wiraswasta</v>
      </c>
      <c r="Y448" s="5" t="str">
        <f>VLOOKUP(T448,'Data Angt'!$A$5:$C$5808,3,FALSE)</f>
        <v>PBL</v>
      </c>
    </row>
    <row r="449" spans="1:25" x14ac:dyDescent="0.3">
      <c r="A449" s="8">
        <v>443</v>
      </c>
      <c r="B449" s="9" t="s">
        <v>7572</v>
      </c>
      <c r="C449" s="10" t="str">
        <f>VLOOKUP(B449,'Data Angt'!$A$5:$B$5809,2,FALSE)</f>
        <v>A3392</v>
      </c>
      <c r="D449" s="11" t="s">
        <v>9826</v>
      </c>
      <c r="E449" s="12" t="s">
        <v>15958</v>
      </c>
      <c r="F449" s="13">
        <v>45666</v>
      </c>
      <c r="G449" s="14">
        <v>45910</v>
      </c>
      <c r="H449" s="15">
        <v>5000000</v>
      </c>
      <c r="I449" s="16">
        <v>12</v>
      </c>
      <c r="J449" s="17">
        <v>24</v>
      </c>
      <c r="K449" s="9" t="s">
        <v>9831</v>
      </c>
      <c r="L449" s="10" t="s">
        <v>15959</v>
      </c>
      <c r="M449" s="9" t="s">
        <v>15960</v>
      </c>
      <c r="N449" s="10" t="s">
        <v>17</v>
      </c>
      <c r="O449" s="15">
        <v>1800600</v>
      </c>
      <c r="P449" s="145">
        <v>218624</v>
      </c>
      <c r="Q449" s="9" t="s">
        <v>22189</v>
      </c>
      <c r="R449" s="146" t="s">
        <v>22598</v>
      </c>
      <c r="T449" s="92" t="s">
        <v>8204</v>
      </c>
      <c r="U449">
        <v>1</v>
      </c>
      <c r="V449">
        <f>VLOOKUP(T449,'Data Angt'!$A$5:$F$5810,6,FALSE)</f>
        <v>37</v>
      </c>
      <c r="W449" s="5" t="str">
        <f t="shared" si="6"/>
        <v>PRODUKTIF</v>
      </c>
      <c r="X449" s="5" t="str">
        <f>VLOOKUP(T449,'Data Angt'!$A$5:$H$5810,8,FALSE)</f>
        <v>Karyawan</v>
      </c>
      <c r="Y449" s="5" t="str">
        <f>VLOOKUP(T449,'Data Angt'!$A$5:$C$5808,3,FALSE)</f>
        <v>PBL</v>
      </c>
    </row>
    <row r="450" spans="1:25" x14ac:dyDescent="0.3">
      <c r="A450" s="8">
        <v>444</v>
      </c>
      <c r="B450" s="9" t="s">
        <v>7572</v>
      </c>
      <c r="C450" s="10" t="str">
        <f>VLOOKUP(B450,'Data Angt'!$A$5:$B$5809,2,FALSE)</f>
        <v>A3392</v>
      </c>
      <c r="D450" s="11" t="s">
        <v>9829</v>
      </c>
      <c r="E450" s="12" t="s">
        <v>15961</v>
      </c>
      <c r="F450" s="13">
        <v>45836</v>
      </c>
      <c r="G450" s="14">
        <v>45926</v>
      </c>
      <c r="H450" s="15">
        <v>10000000</v>
      </c>
      <c r="I450" s="16">
        <v>12</v>
      </c>
      <c r="J450" s="17">
        <v>24</v>
      </c>
      <c r="K450" s="9" t="s">
        <v>9831</v>
      </c>
      <c r="L450" s="10" t="s">
        <v>15962</v>
      </c>
      <c r="M450" s="9" t="s">
        <v>9854</v>
      </c>
      <c r="N450" s="10" t="s">
        <v>17</v>
      </c>
      <c r="O450" s="15">
        <v>7718200</v>
      </c>
      <c r="P450" s="145">
        <v>208124</v>
      </c>
      <c r="Q450" s="9" t="s">
        <v>15890</v>
      </c>
      <c r="R450" s="146" t="s">
        <v>22599</v>
      </c>
      <c r="T450" s="92" t="s">
        <v>8223</v>
      </c>
      <c r="U450">
        <v>1</v>
      </c>
      <c r="V450">
        <f>VLOOKUP(T450,'Data Angt'!$A$5:$F$5810,6,FALSE)</f>
        <v>46</v>
      </c>
      <c r="W450" s="5" t="str">
        <f t="shared" si="6"/>
        <v>PRODUKTIF</v>
      </c>
      <c r="X450" s="5" t="str">
        <f>VLOOKUP(T450,'Data Angt'!$A$5:$H$5810,8,FALSE)</f>
        <v>Karyawan</v>
      </c>
      <c r="Y450" s="5" t="str">
        <f>VLOOKUP(T450,'Data Angt'!$A$5:$C$5808,3,FALSE)</f>
        <v>PBL</v>
      </c>
    </row>
    <row r="451" spans="1:25" x14ac:dyDescent="0.3">
      <c r="A451" s="8">
        <v>445</v>
      </c>
      <c r="B451" s="9" t="s">
        <v>7579</v>
      </c>
      <c r="C451" s="10" t="str">
        <f>VLOOKUP(B451,'Data Angt'!$A$5:$B$5809,2,FALSE)</f>
        <v>A3395</v>
      </c>
      <c r="D451" s="11" t="s">
        <v>9842</v>
      </c>
      <c r="E451" s="12" t="s">
        <v>15963</v>
      </c>
      <c r="F451" s="13">
        <v>45644</v>
      </c>
      <c r="G451" s="14">
        <v>45909</v>
      </c>
      <c r="H451" s="15">
        <v>45000000</v>
      </c>
      <c r="I451" s="16">
        <v>36</v>
      </c>
      <c r="J451" s="17">
        <v>11.4</v>
      </c>
      <c r="K451" s="9" t="s">
        <v>9831</v>
      </c>
      <c r="L451" s="10" t="s">
        <v>15964</v>
      </c>
      <c r="M451" s="9" t="s">
        <v>15965</v>
      </c>
      <c r="N451" s="10" t="s">
        <v>9830</v>
      </c>
      <c r="O451" s="15">
        <v>35142900</v>
      </c>
      <c r="P451" s="145">
        <v>1304660</v>
      </c>
      <c r="Q451" s="9" t="s">
        <v>22220</v>
      </c>
      <c r="R451" s="146" t="s">
        <v>22600</v>
      </c>
      <c r="T451" s="92" t="s">
        <v>8229</v>
      </c>
      <c r="U451">
        <v>1</v>
      </c>
      <c r="V451">
        <f>VLOOKUP(T451,'Data Angt'!$A$5:$F$5810,6,FALSE)</f>
        <v>31</v>
      </c>
      <c r="W451" s="5" t="str">
        <f t="shared" si="6"/>
        <v>PRODUKTIF</v>
      </c>
      <c r="X451" s="5" t="str">
        <f>VLOOKUP(T451,'Data Angt'!$A$5:$H$5810,8,FALSE)</f>
        <v>Mengurus Rumah Tangga</v>
      </c>
      <c r="Y451" s="5" t="str">
        <f>VLOOKUP(T451,'Data Angt'!$A$5:$C$5808,3,FALSE)</f>
        <v>PBL</v>
      </c>
    </row>
    <row r="452" spans="1:25" x14ac:dyDescent="0.3">
      <c r="A452" s="8">
        <v>446</v>
      </c>
      <c r="B452" s="9" t="s">
        <v>7590</v>
      </c>
      <c r="C452" s="10" t="str">
        <f>VLOOKUP(B452,'Data Angt'!$A$5:$B$5809,2,FALSE)</f>
        <v>A3399</v>
      </c>
      <c r="D452" s="11" t="s">
        <v>9829</v>
      </c>
      <c r="E452" s="12" t="s">
        <v>15966</v>
      </c>
      <c r="F452" s="13">
        <v>45647</v>
      </c>
      <c r="G452" s="14">
        <v>45925</v>
      </c>
      <c r="H452" s="15">
        <v>22000000</v>
      </c>
      <c r="I452" s="16">
        <v>36</v>
      </c>
      <c r="J452" s="17">
        <v>24</v>
      </c>
      <c r="K452" s="9" t="s">
        <v>9831</v>
      </c>
      <c r="L452" s="10" t="s">
        <v>15967</v>
      </c>
      <c r="M452" s="9" t="s">
        <v>9838</v>
      </c>
      <c r="N452" s="10" t="s">
        <v>9830</v>
      </c>
      <c r="O452" s="15">
        <v>17872300</v>
      </c>
      <c r="P452" s="145">
        <v>1365411</v>
      </c>
      <c r="Q452" s="9" t="s">
        <v>22601</v>
      </c>
      <c r="R452" s="146" t="s">
        <v>22602</v>
      </c>
      <c r="T452" s="92" t="s">
        <v>8235</v>
      </c>
      <c r="U452">
        <v>1</v>
      </c>
      <c r="V452">
        <f>VLOOKUP(T452,'Data Angt'!$A$5:$F$5810,6,FALSE)</f>
        <v>32</v>
      </c>
      <c r="W452" s="5" t="str">
        <f t="shared" si="6"/>
        <v>PRODUKTIF</v>
      </c>
      <c r="X452" s="5" t="str">
        <f>VLOOKUP(T452,'Data Angt'!$A$5:$H$5810,8,FALSE)</f>
        <v>Mengurus Rumah Tangga</v>
      </c>
      <c r="Y452" s="5" t="str">
        <f>VLOOKUP(T452,'Data Angt'!$A$5:$C$5808,3,FALSE)</f>
        <v>PBL</v>
      </c>
    </row>
    <row r="453" spans="1:25" x14ac:dyDescent="0.3">
      <c r="A453" s="8">
        <v>447</v>
      </c>
      <c r="B453" s="9" t="s">
        <v>7600</v>
      </c>
      <c r="C453" s="10" t="str">
        <f>VLOOKUP(B453,'Data Angt'!$A$5:$B$5809,2,FALSE)</f>
        <v>A3404</v>
      </c>
      <c r="D453" s="11" t="s">
        <v>9829</v>
      </c>
      <c r="E453" s="12" t="s">
        <v>15968</v>
      </c>
      <c r="F453" s="13">
        <v>45390</v>
      </c>
      <c r="G453" s="14">
        <v>45911</v>
      </c>
      <c r="H453" s="15">
        <v>10000000</v>
      </c>
      <c r="I453" s="16">
        <v>18</v>
      </c>
      <c r="J453" s="17">
        <v>24</v>
      </c>
      <c r="K453" s="9" t="s">
        <v>9831</v>
      </c>
      <c r="L453" s="10" t="s">
        <v>15969</v>
      </c>
      <c r="M453" s="9" t="s">
        <v>15970</v>
      </c>
      <c r="N453" s="10" t="s">
        <v>9828</v>
      </c>
      <c r="O453" s="15">
        <v>653200</v>
      </c>
      <c r="P453" s="145">
        <v>747708</v>
      </c>
      <c r="Q453" s="9"/>
      <c r="R453" s="146"/>
      <c r="T453" s="92" t="s">
        <v>8239</v>
      </c>
      <c r="U453">
        <v>1</v>
      </c>
      <c r="V453">
        <f>VLOOKUP(T453,'Data Angt'!$A$5:$F$5810,6,FALSE)</f>
        <v>40</v>
      </c>
      <c r="W453" s="5" t="str">
        <f t="shared" si="6"/>
        <v>KONSUMTIF</v>
      </c>
      <c r="X453" s="5" t="str">
        <f>VLOOKUP(T453,'Data Angt'!$A$5:$H$5810,8,FALSE)</f>
        <v>Wiraswasta</v>
      </c>
      <c r="Y453" s="5" t="str">
        <f>VLOOKUP(T453,'Data Angt'!$A$5:$C$5808,3,FALSE)</f>
        <v>PBL</v>
      </c>
    </row>
    <row r="454" spans="1:25" x14ac:dyDescent="0.3">
      <c r="A454" s="8">
        <v>448</v>
      </c>
      <c r="B454" s="9" t="s">
        <v>7620</v>
      </c>
      <c r="C454" s="10" t="str">
        <f>VLOOKUP(B454,'Data Angt'!$A$5:$B$5809,2,FALSE)</f>
        <v>A3413</v>
      </c>
      <c r="D454" s="11" t="s">
        <v>9833</v>
      </c>
      <c r="E454" s="12" t="s">
        <v>15971</v>
      </c>
      <c r="F454" s="13">
        <v>45534</v>
      </c>
      <c r="G454" s="14">
        <v>45920</v>
      </c>
      <c r="H454" s="15">
        <v>30000000</v>
      </c>
      <c r="I454" s="16">
        <v>48</v>
      </c>
      <c r="J454" s="17">
        <v>21</v>
      </c>
      <c r="K454" s="9" t="s">
        <v>9831</v>
      </c>
      <c r="L454" s="10" t="s">
        <v>15972</v>
      </c>
      <c r="M454" s="9" t="s">
        <v>15973</v>
      </c>
      <c r="N454" s="10" t="s">
        <v>9834</v>
      </c>
      <c r="O454" s="15">
        <v>24160200</v>
      </c>
      <c r="P454" s="145">
        <v>2338947</v>
      </c>
      <c r="Q454" s="9" t="s">
        <v>22197</v>
      </c>
      <c r="R454" s="146" t="s">
        <v>22603</v>
      </c>
      <c r="T454" s="92" t="s">
        <v>8247</v>
      </c>
      <c r="U454">
        <v>1</v>
      </c>
      <c r="V454">
        <f>VLOOKUP(T454,'Data Angt'!$A$5:$F$5810,6,FALSE)</f>
        <v>53</v>
      </c>
      <c r="W454" s="5" t="str">
        <f t="shared" si="6"/>
        <v>KONSUMTIF</v>
      </c>
      <c r="X454" s="5" t="str">
        <f>VLOOKUP(T454,'Data Angt'!$A$5:$H$5810,8,FALSE)</f>
        <v>Lain-Lain</v>
      </c>
      <c r="Y454" s="5" t="str">
        <f>VLOOKUP(T454,'Data Angt'!$A$5:$C$5808,3,FALSE)</f>
        <v>PBL</v>
      </c>
    </row>
    <row r="455" spans="1:25" x14ac:dyDescent="0.3">
      <c r="A455" s="8">
        <v>449</v>
      </c>
      <c r="B455" s="9" t="s">
        <v>7622</v>
      </c>
      <c r="C455" s="10" t="str">
        <f>VLOOKUP(B455,'Data Angt'!$A$5:$B$5809,2,FALSE)</f>
        <v>A3414</v>
      </c>
      <c r="D455" s="11" t="s">
        <v>9829</v>
      </c>
      <c r="E455" s="12" t="s">
        <v>15974</v>
      </c>
      <c r="F455" s="13">
        <v>45313</v>
      </c>
      <c r="G455" s="14">
        <v>45911</v>
      </c>
      <c r="H455" s="15">
        <v>10000000</v>
      </c>
      <c r="I455" s="16">
        <v>30</v>
      </c>
      <c r="J455" s="17">
        <v>24</v>
      </c>
      <c r="K455" s="9" t="s">
        <v>9827</v>
      </c>
      <c r="L455" s="10" t="s">
        <v>15975</v>
      </c>
      <c r="M455" s="9" t="s">
        <v>15976</v>
      </c>
      <c r="N455" s="10" t="s">
        <v>9830</v>
      </c>
      <c r="O455" s="15">
        <v>3332000</v>
      </c>
      <c r="P455" s="145">
        <v>1025247</v>
      </c>
      <c r="Q455" s="9" t="s">
        <v>22189</v>
      </c>
      <c r="R455" s="146" t="s">
        <v>22604</v>
      </c>
      <c r="T455" s="92" t="s">
        <v>8249</v>
      </c>
      <c r="U455">
        <v>1</v>
      </c>
      <c r="V455">
        <f>VLOOKUP(T455,'Data Angt'!$A$5:$F$5810,6,FALSE)</f>
        <v>51</v>
      </c>
      <c r="W455" s="5" t="str">
        <f t="shared" ref="W455:W518" si="7">VLOOKUP(T455,$B$7:$N$1869,13,FALSE)</f>
        <v>KONSUMTIF</v>
      </c>
      <c r="X455" s="5" t="str">
        <f>VLOOKUP(T455,'Data Angt'!$A$5:$H$5810,8,FALSE)</f>
        <v>Karyawan</v>
      </c>
      <c r="Y455" s="5" t="str">
        <f>VLOOKUP(T455,'Data Angt'!$A$5:$C$5808,3,FALSE)</f>
        <v>PBL</v>
      </c>
    </row>
    <row r="456" spans="1:25" x14ac:dyDescent="0.3">
      <c r="A456" s="8">
        <v>450</v>
      </c>
      <c r="B456" s="9" t="s">
        <v>7632</v>
      </c>
      <c r="C456" s="10" t="str">
        <f>VLOOKUP(B456,'Data Angt'!$A$5:$B$5809,2,FALSE)</f>
        <v>A3418</v>
      </c>
      <c r="D456" s="11" t="s">
        <v>9829</v>
      </c>
      <c r="E456" s="12" t="s">
        <v>15977</v>
      </c>
      <c r="F456" s="13">
        <v>45727</v>
      </c>
      <c r="G456" s="14">
        <v>45911</v>
      </c>
      <c r="H456" s="15">
        <v>15000000</v>
      </c>
      <c r="I456" s="16">
        <v>30</v>
      </c>
      <c r="J456" s="17">
        <v>24</v>
      </c>
      <c r="K456" s="9" t="s">
        <v>9827</v>
      </c>
      <c r="L456" s="10" t="s">
        <v>15978</v>
      </c>
      <c r="M456" s="9" t="s">
        <v>9838</v>
      </c>
      <c r="N456" s="10" t="s">
        <v>9830</v>
      </c>
      <c r="O456" s="15">
        <v>12000000</v>
      </c>
      <c r="P456" s="145">
        <v>618750</v>
      </c>
      <c r="Q456" s="9" t="s">
        <v>22197</v>
      </c>
      <c r="R456" s="146" t="s">
        <v>22605</v>
      </c>
      <c r="T456" s="92" t="s">
        <v>8276</v>
      </c>
      <c r="U456">
        <v>1</v>
      </c>
      <c r="V456">
        <f>VLOOKUP(T456,'Data Angt'!$A$5:$F$5810,6,FALSE)</f>
        <v>57</v>
      </c>
      <c r="W456" s="5" t="str">
        <f t="shared" si="7"/>
        <v>PRODUKTIF</v>
      </c>
      <c r="X456" s="5" t="str">
        <f>VLOOKUP(T456,'Data Angt'!$A$5:$H$5810,8,FALSE)</f>
        <v>Mengurus Rumah Tangga</v>
      </c>
      <c r="Y456" s="5" t="str">
        <f>VLOOKUP(T456,'Data Angt'!$A$5:$C$5808,3,FALSE)</f>
        <v>PBL</v>
      </c>
    </row>
    <row r="457" spans="1:25" x14ac:dyDescent="0.3">
      <c r="A457" s="8">
        <v>451</v>
      </c>
      <c r="B457" s="9" t="s">
        <v>7656</v>
      </c>
      <c r="C457" s="10" t="str">
        <f>VLOOKUP(B457,'Data Angt'!$A$5:$B$5809,2,FALSE)</f>
        <v>A3430</v>
      </c>
      <c r="D457" s="11" t="s">
        <v>9829</v>
      </c>
      <c r="E457" s="12" t="s">
        <v>15979</v>
      </c>
      <c r="F457" s="13">
        <v>45707</v>
      </c>
      <c r="G457" s="14">
        <v>45924</v>
      </c>
      <c r="H457" s="15">
        <v>120000000</v>
      </c>
      <c r="I457" s="16">
        <v>48</v>
      </c>
      <c r="J457" s="17">
        <v>21</v>
      </c>
      <c r="K457" s="9" t="s">
        <v>9831</v>
      </c>
      <c r="L457" s="10" t="s">
        <v>15980</v>
      </c>
      <c r="M457" s="9" t="s">
        <v>9959</v>
      </c>
      <c r="N457" s="10" t="s">
        <v>9828</v>
      </c>
      <c r="O457" s="15">
        <v>108077500</v>
      </c>
      <c r="P457" s="145">
        <v>5283299</v>
      </c>
      <c r="Q457" s="9" t="s">
        <v>7657</v>
      </c>
      <c r="R457" s="146" t="s">
        <v>22606</v>
      </c>
      <c r="T457" s="92" t="s">
        <v>8290</v>
      </c>
      <c r="U457">
        <v>1</v>
      </c>
      <c r="V457">
        <f>VLOOKUP(T457,'Data Angt'!$A$5:$F$5810,6,FALSE)</f>
        <v>54</v>
      </c>
      <c r="W457" s="5" t="str">
        <f t="shared" si="7"/>
        <v>KESEJAHTERAAN</v>
      </c>
      <c r="X457" s="5" t="str">
        <f>VLOOKUP(T457,'Data Angt'!$A$5:$H$5810,8,FALSE)</f>
        <v>Wiraswasta</v>
      </c>
      <c r="Y457" s="5" t="str">
        <f>VLOOKUP(T457,'Data Angt'!$A$5:$C$5808,3,FALSE)</f>
        <v>PBL</v>
      </c>
    </row>
    <row r="458" spans="1:25" x14ac:dyDescent="0.3">
      <c r="A458" s="8">
        <v>452</v>
      </c>
      <c r="B458" s="9" t="s">
        <v>7669</v>
      </c>
      <c r="C458" s="10" t="str">
        <f>VLOOKUP(B458,'Data Angt'!$A$5:$B$5809,2,FALSE)</f>
        <v>A3438</v>
      </c>
      <c r="D458" s="11" t="s">
        <v>9842</v>
      </c>
      <c r="E458" s="12" t="s">
        <v>10163</v>
      </c>
      <c r="F458" s="13">
        <v>44214</v>
      </c>
      <c r="G458" s="14">
        <v>45916</v>
      </c>
      <c r="H458" s="15">
        <v>170000000</v>
      </c>
      <c r="I458" s="16">
        <v>120</v>
      </c>
      <c r="J458" s="17">
        <v>11.4</v>
      </c>
      <c r="K458" s="9" t="s">
        <v>9831</v>
      </c>
      <c r="L458" s="10" t="s">
        <v>10164</v>
      </c>
      <c r="M458" s="9" t="s">
        <v>9935</v>
      </c>
      <c r="N458" s="10" t="s">
        <v>9830</v>
      </c>
      <c r="O458" s="15">
        <v>113754100</v>
      </c>
      <c r="P458" s="145">
        <v>28898273</v>
      </c>
      <c r="Q458" s="9"/>
      <c r="R458" s="146"/>
      <c r="T458" s="92" t="s">
        <v>8305</v>
      </c>
      <c r="U458">
        <v>1</v>
      </c>
      <c r="V458">
        <f>VLOOKUP(T458,'Data Angt'!$A$5:$F$5810,6,FALSE)</f>
        <v>50</v>
      </c>
      <c r="W458" s="5" t="str">
        <f t="shared" si="7"/>
        <v>PENDIDIKAN</v>
      </c>
      <c r="X458" s="5" t="str">
        <f>VLOOKUP(T458,'Data Angt'!$A$5:$H$5810,8,FALSE)</f>
        <v>Wiraswasta</v>
      </c>
      <c r="Y458" s="5" t="str">
        <f>VLOOKUP(T458,'Data Angt'!$A$5:$C$5808,3,FALSE)</f>
        <v>PBL</v>
      </c>
    </row>
    <row r="459" spans="1:25" x14ac:dyDescent="0.3">
      <c r="A459" s="8">
        <v>453</v>
      </c>
      <c r="B459" s="9" t="s">
        <v>7684</v>
      </c>
      <c r="C459" s="10" t="str">
        <f>VLOOKUP(B459,'Data Angt'!$A$5:$B$5809,2,FALSE)</f>
        <v>A3446</v>
      </c>
      <c r="D459" s="11" t="s">
        <v>9829</v>
      </c>
      <c r="E459" s="12" t="s">
        <v>10165</v>
      </c>
      <c r="F459" s="13">
        <v>44875</v>
      </c>
      <c r="G459" s="14">
        <v>45910</v>
      </c>
      <c r="H459" s="15">
        <v>55000000</v>
      </c>
      <c r="I459" s="16">
        <v>48</v>
      </c>
      <c r="J459" s="17">
        <v>21</v>
      </c>
      <c r="K459" s="9" t="s">
        <v>9831</v>
      </c>
      <c r="L459" s="10" t="s">
        <v>10166</v>
      </c>
      <c r="M459" s="9" t="s">
        <v>9932</v>
      </c>
      <c r="N459" s="10" t="s">
        <v>9830</v>
      </c>
      <c r="O459" s="15">
        <v>41522400</v>
      </c>
      <c r="P459" s="145">
        <v>5490296</v>
      </c>
      <c r="Q459" s="9"/>
      <c r="R459" s="146"/>
      <c r="T459" s="92" t="s">
        <v>8310</v>
      </c>
      <c r="U459">
        <v>1</v>
      </c>
      <c r="V459">
        <f>VLOOKUP(T459,'Data Angt'!$A$5:$F$5810,6,FALSE)</f>
        <v>50</v>
      </c>
      <c r="W459" s="5" t="str">
        <f t="shared" si="7"/>
        <v>KONSUMTIF</v>
      </c>
      <c r="X459" s="5" t="str">
        <f>VLOOKUP(T459,'Data Angt'!$A$5:$H$5810,8,FALSE)</f>
        <v>Karyawan</v>
      </c>
      <c r="Y459" s="5" t="str">
        <f>VLOOKUP(T459,'Data Angt'!$A$5:$C$5808,3,FALSE)</f>
        <v>PBL</v>
      </c>
    </row>
    <row r="460" spans="1:25" x14ac:dyDescent="0.3">
      <c r="A460" s="8">
        <v>454</v>
      </c>
      <c r="B460" s="9" t="s">
        <v>7719</v>
      </c>
      <c r="C460" s="10" t="str">
        <f>VLOOKUP(B460,'Data Angt'!$A$5:$B$5809,2,FALSE)</f>
        <v>A3464</v>
      </c>
      <c r="D460" s="11" t="s">
        <v>9829</v>
      </c>
      <c r="E460" s="12" t="s">
        <v>15981</v>
      </c>
      <c r="F460" s="13">
        <v>45327</v>
      </c>
      <c r="G460" s="14">
        <v>45926</v>
      </c>
      <c r="H460" s="15">
        <v>20000000</v>
      </c>
      <c r="I460" s="16">
        <v>36</v>
      </c>
      <c r="J460" s="17">
        <v>24</v>
      </c>
      <c r="K460" s="9" t="s">
        <v>9831</v>
      </c>
      <c r="L460" s="10" t="s">
        <v>15982</v>
      </c>
      <c r="M460" s="9" t="s">
        <v>9866</v>
      </c>
      <c r="N460" s="10" t="s">
        <v>17</v>
      </c>
      <c r="O460" s="15">
        <v>11214300</v>
      </c>
      <c r="P460" s="145">
        <v>2296345</v>
      </c>
      <c r="Q460" s="9" t="s">
        <v>22197</v>
      </c>
      <c r="R460" s="146" t="s">
        <v>22607</v>
      </c>
      <c r="T460" s="92" t="s">
        <v>8313</v>
      </c>
      <c r="U460">
        <v>1</v>
      </c>
      <c r="V460">
        <f>VLOOKUP(T460,'Data Angt'!$A$5:$F$5810,6,FALSE)</f>
        <v>48</v>
      </c>
      <c r="W460" s="5" t="str">
        <f t="shared" si="7"/>
        <v>KONSUMTIF</v>
      </c>
      <c r="X460" s="5" t="str">
        <f>VLOOKUP(T460,'Data Angt'!$A$5:$H$5810,8,FALSE)</f>
        <v>Karyawan</v>
      </c>
      <c r="Y460" s="5" t="str">
        <f>VLOOKUP(T460,'Data Angt'!$A$5:$C$5808,3,FALSE)</f>
        <v>PBL</v>
      </c>
    </row>
    <row r="461" spans="1:25" x14ac:dyDescent="0.3">
      <c r="A461" s="8">
        <v>455</v>
      </c>
      <c r="B461" s="9" t="s">
        <v>7723</v>
      </c>
      <c r="C461" s="10" t="str">
        <f>VLOOKUP(B461,'Data Angt'!$A$5:$B$5809,2,FALSE)</f>
        <v>A3466</v>
      </c>
      <c r="D461" s="11" t="s">
        <v>9833</v>
      </c>
      <c r="E461" s="12" t="s">
        <v>15983</v>
      </c>
      <c r="F461" s="13">
        <v>45692</v>
      </c>
      <c r="G461" s="14">
        <v>45902</v>
      </c>
      <c r="H461" s="15">
        <v>10000000</v>
      </c>
      <c r="I461" s="16">
        <v>12</v>
      </c>
      <c r="J461" s="17">
        <v>24</v>
      </c>
      <c r="K461" s="9" t="s">
        <v>9831</v>
      </c>
      <c r="L461" s="10" t="s">
        <v>15984</v>
      </c>
      <c r="M461" s="9" t="s">
        <v>9962</v>
      </c>
      <c r="N461" s="10" t="s">
        <v>9834</v>
      </c>
      <c r="O461" s="15">
        <v>4457200</v>
      </c>
      <c r="P461" s="145">
        <v>403649</v>
      </c>
      <c r="Q461" s="9"/>
      <c r="R461" s="146"/>
      <c r="T461" s="92" t="s">
        <v>8413</v>
      </c>
      <c r="U461">
        <v>1</v>
      </c>
      <c r="V461">
        <f>VLOOKUP(T461,'Data Angt'!$A$5:$F$5810,6,FALSE)</f>
        <v>41</v>
      </c>
      <c r="W461" s="5" t="str">
        <f t="shared" si="7"/>
        <v>PRODUKTIF</v>
      </c>
      <c r="X461" s="5" t="str">
        <f>VLOOKUP(T461,'Data Angt'!$A$5:$H$5810,8,FALSE)</f>
        <v>Wiraswasta</v>
      </c>
      <c r="Y461" s="5" t="str">
        <f>VLOOKUP(T461,'Data Angt'!$A$5:$C$5808,3,FALSE)</f>
        <v>PBL</v>
      </c>
    </row>
    <row r="462" spans="1:25" x14ac:dyDescent="0.3">
      <c r="A462" s="8">
        <v>456</v>
      </c>
      <c r="B462" s="9" t="s">
        <v>7775</v>
      </c>
      <c r="C462" s="10" t="str">
        <f>VLOOKUP(B462,'Data Angt'!$A$5:$B$5809,2,FALSE)</f>
        <v>A3492</v>
      </c>
      <c r="D462" s="11" t="s">
        <v>9829</v>
      </c>
      <c r="E462" s="12" t="s">
        <v>15985</v>
      </c>
      <c r="F462" s="13">
        <v>45804</v>
      </c>
      <c r="G462" s="14">
        <v>45926</v>
      </c>
      <c r="H462" s="15">
        <v>3000000</v>
      </c>
      <c r="I462" s="16">
        <v>12</v>
      </c>
      <c r="J462" s="17">
        <v>24</v>
      </c>
      <c r="K462" s="9" t="s">
        <v>9831</v>
      </c>
      <c r="L462" s="10" t="s">
        <v>15986</v>
      </c>
      <c r="M462" s="9" t="s">
        <v>10642</v>
      </c>
      <c r="N462" s="10" t="s">
        <v>9828</v>
      </c>
      <c r="O462" s="15">
        <v>2078200</v>
      </c>
      <c r="P462" s="145">
        <v>79875</v>
      </c>
      <c r="Q462" s="9"/>
      <c r="R462" s="146"/>
      <c r="T462" s="92" t="s">
        <v>8421</v>
      </c>
      <c r="U462">
        <v>1</v>
      </c>
      <c r="V462">
        <f>VLOOKUP(T462,'Data Angt'!$A$5:$F$5810,6,FALSE)</f>
        <v>53</v>
      </c>
      <c r="W462" s="5" t="str">
        <f t="shared" si="7"/>
        <v>KESEJAHTERAAN</v>
      </c>
      <c r="X462" s="5" t="str">
        <f>VLOOKUP(T462,'Data Angt'!$A$5:$H$5810,8,FALSE)</f>
        <v>Mengurus Rumah Tangga</v>
      </c>
      <c r="Y462" s="5" t="str">
        <f>VLOOKUP(T462,'Data Angt'!$A$5:$C$5808,3,FALSE)</f>
        <v>PBL</v>
      </c>
    </row>
    <row r="463" spans="1:25" x14ac:dyDescent="0.3">
      <c r="A463" s="8">
        <v>457</v>
      </c>
      <c r="B463" s="9" t="s">
        <v>7779</v>
      </c>
      <c r="C463" s="10" t="str">
        <f>VLOOKUP(B463,'Data Angt'!$A$5:$B$5809,2,FALSE)</f>
        <v>A3493</v>
      </c>
      <c r="D463" s="11" t="s">
        <v>9842</v>
      </c>
      <c r="E463" s="12" t="s">
        <v>22608</v>
      </c>
      <c r="F463" s="13">
        <v>45888</v>
      </c>
      <c r="G463" s="14">
        <v>45915</v>
      </c>
      <c r="H463" s="15">
        <v>250000000</v>
      </c>
      <c r="I463" s="16">
        <v>120</v>
      </c>
      <c r="J463" s="17">
        <v>11.4</v>
      </c>
      <c r="K463" s="9" t="s">
        <v>9831</v>
      </c>
      <c r="L463" s="10" t="s">
        <v>22609</v>
      </c>
      <c r="M463" s="9" t="s">
        <v>10082</v>
      </c>
      <c r="N463" s="10" t="s">
        <v>9830</v>
      </c>
      <c r="O463" s="15">
        <v>248874400</v>
      </c>
      <c r="P463" s="145">
        <v>890625</v>
      </c>
      <c r="Q463" s="9" t="s">
        <v>22220</v>
      </c>
      <c r="R463" s="146" t="s">
        <v>22610</v>
      </c>
      <c r="T463" s="92" t="s">
        <v>8427</v>
      </c>
      <c r="U463">
        <v>1</v>
      </c>
      <c r="V463">
        <f>VLOOKUP(T463,'Data Angt'!$A$5:$F$5810,6,FALSE)</f>
        <v>42</v>
      </c>
      <c r="W463" s="5" t="str">
        <f t="shared" si="7"/>
        <v>PRODUKTIF</v>
      </c>
      <c r="X463" s="5" t="str">
        <f>VLOOKUP(T463,'Data Angt'!$A$5:$H$5810,8,FALSE)</f>
        <v>Mengurus Rumah Tangga</v>
      </c>
      <c r="Y463" s="5" t="str">
        <f>VLOOKUP(T463,'Data Angt'!$A$5:$C$5808,3,FALSE)</f>
        <v>PBL</v>
      </c>
    </row>
    <row r="464" spans="1:25" x14ac:dyDescent="0.3">
      <c r="A464" s="8">
        <v>458</v>
      </c>
      <c r="B464" s="9" t="s">
        <v>7795</v>
      </c>
      <c r="C464" s="10" t="str">
        <f>VLOOKUP(B464,'Data Angt'!$A$5:$B$5809,2,FALSE)</f>
        <v>A3504</v>
      </c>
      <c r="D464" s="11" t="s">
        <v>9829</v>
      </c>
      <c r="E464" s="12" t="s">
        <v>15987</v>
      </c>
      <c r="F464" s="13">
        <v>45385</v>
      </c>
      <c r="G464" s="14">
        <v>45906</v>
      </c>
      <c r="H464" s="15">
        <v>30000000</v>
      </c>
      <c r="I464" s="16">
        <v>36</v>
      </c>
      <c r="J464" s="17">
        <v>21</v>
      </c>
      <c r="K464" s="9" t="s">
        <v>9831</v>
      </c>
      <c r="L464" s="10" t="s">
        <v>15988</v>
      </c>
      <c r="M464" s="9" t="s">
        <v>15989</v>
      </c>
      <c r="N464" s="10" t="s">
        <v>9830</v>
      </c>
      <c r="O464" s="15">
        <v>18136300</v>
      </c>
      <c r="P464" s="145">
        <v>2756771</v>
      </c>
      <c r="Q464" s="9" t="s">
        <v>22220</v>
      </c>
      <c r="R464" s="146" t="s">
        <v>22611</v>
      </c>
      <c r="T464" s="92" t="s">
        <v>8428</v>
      </c>
      <c r="U464">
        <v>1</v>
      </c>
      <c r="V464">
        <f>VLOOKUP(T464,'Data Angt'!$A$5:$F$5810,6,FALSE)</f>
        <v>38</v>
      </c>
      <c r="W464" s="5" t="str">
        <f t="shared" si="7"/>
        <v>PENDIDIKAN</v>
      </c>
      <c r="X464" s="5" t="str">
        <f>VLOOKUP(T464,'Data Angt'!$A$5:$H$5810,8,FALSE)</f>
        <v>Wiraswasta</v>
      </c>
      <c r="Y464" s="5" t="str">
        <f>VLOOKUP(T464,'Data Angt'!$A$5:$C$5808,3,FALSE)</f>
        <v>PBL</v>
      </c>
    </row>
    <row r="465" spans="1:25" x14ac:dyDescent="0.3">
      <c r="A465" s="8">
        <v>459</v>
      </c>
      <c r="B465" s="9" t="s">
        <v>7795</v>
      </c>
      <c r="C465" s="10" t="str">
        <f>VLOOKUP(B465,'Data Angt'!$A$5:$B$5809,2,FALSE)</f>
        <v>A3504</v>
      </c>
      <c r="D465" s="11" t="s">
        <v>9881</v>
      </c>
      <c r="E465" s="12" t="s">
        <v>22612</v>
      </c>
      <c r="F465" s="13">
        <v>45846</v>
      </c>
      <c r="G465" s="14">
        <v>45909</v>
      </c>
      <c r="H465" s="15">
        <v>2600000</v>
      </c>
      <c r="I465" s="16">
        <v>12</v>
      </c>
      <c r="J465" s="17">
        <v>12</v>
      </c>
      <c r="K465" s="9" t="s">
        <v>9831</v>
      </c>
      <c r="L465" s="10" t="s">
        <v>22613</v>
      </c>
      <c r="M465" s="9" t="s">
        <v>9835</v>
      </c>
      <c r="N465" s="10" t="s">
        <v>9828</v>
      </c>
      <c r="O465" s="15">
        <v>2187800</v>
      </c>
      <c r="P465" s="145">
        <v>18750</v>
      </c>
      <c r="Q465" s="9"/>
      <c r="R465" s="146"/>
      <c r="T465" s="92" t="s">
        <v>8465</v>
      </c>
      <c r="U465">
        <v>1</v>
      </c>
      <c r="V465">
        <f>VLOOKUP(T465,'Data Angt'!$A$5:$F$5810,6,FALSE)</f>
        <v>32</v>
      </c>
      <c r="W465" s="5" t="str">
        <f t="shared" si="7"/>
        <v>KONSUMTIF</v>
      </c>
      <c r="X465" s="5" t="str">
        <f>VLOOKUP(T465,'Data Angt'!$A$5:$H$5810,8,FALSE)</f>
        <v>Karyawan</v>
      </c>
      <c r="Y465" s="5" t="str">
        <f>VLOOKUP(T465,'Data Angt'!$A$5:$C$5808,3,FALSE)</f>
        <v>PBL</v>
      </c>
    </row>
    <row r="466" spans="1:25" x14ac:dyDescent="0.3">
      <c r="A466" s="8">
        <v>460</v>
      </c>
      <c r="B466" s="9" t="s">
        <v>7797</v>
      </c>
      <c r="C466" s="10" t="str">
        <f>VLOOKUP(B466,'Data Angt'!$A$5:$B$5809,2,FALSE)</f>
        <v>A3505</v>
      </c>
      <c r="D466" s="11" t="s">
        <v>9829</v>
      </c>
      <c r="E466" s="12" t="s">
        <v>15990</v>
      </c>
      <c r="F466" s="13">
        <v>45450</v>
      </c>
      <c r="G466" s="14">
        <v>45908</v>
      </c>
      <c r="H466" s="15">
        <v>100000000</v>
      </c>
      <c r="I466" s="16">
        <v>48</v>
      </c>
      <c r="J466" s="17">
        <v>21</v>
      </c>
      <c r="K466" s="9" t="s">
        <v>9831</v>
      </c>
      <c r="L466" s="10" t="s">
        <v>15991</v>
      </c>
      <c r="M466" s="9" t="s">
        <v>15992</v>
      </c>
      <c r="N466" s="10" t="s">
        <v>17</v>
      </c>
      <c r="O466" s="15">
        <v>77129600</v>
      </c>
      <c r="P466" s="145">
        <v>8841971</v>
      </c>
      <c r="Q466" s="9" t="s">
        <v>22220</v>
      </c>
      <c r="R466" s="146" t="s">
        <v>22614</v>
      </c>
      <c r="T466" s="92" t="s">
        <v>8470</v>
      </c>
      <c r="U466">
        <v>1</v>
      </c>
      <c r="V466">
        <f>VLOOKUP(T466,'Data Angt'!$A$5:$F$5810,6,FALSE)</f>
        <v>63</v>
      </c>
      <c r="W466" s="5" t="str">
        <f t="shared" si="7"/>
        <v>PRODUKTIF</v>
      </c>
      <c r="X466" s="5" t="str">
        <f>VLOOKUP(T466,'Data Angt'!$A$5:$H$5810,8,FALSE)</f>
        <v>Wiraswasta</v>
      </c>
      <c r="Y466" s="5" t="str">
        <f>VLOOKUP(T466,'Data Angt'!$A$5:$C$5808,3,FALSE)</f>
        <v>PBL</v>
      </c>
    </row>
    <row r="467" spans="1:25" x14ac:dyDescent="0.3">
      <c r="A467" s="8">
        <v>461</v>
      </c>
      <c r="B467" s="9" t="s">
        <v>7814</v>
      </c>
      <c r="C467" s="10" t="str">
        <f>VLOOKUP(B467,'Data Angt'!$A$5:$B$5809,2,FALSE)</f>
        <v>A3512</v>
      </c>
      <c r="D467" s="11" t="s">
        <v>9833</v>
      </c>
      <c r="E467" s="12" t="s">
        <v>10167</v>
      </c>
      <c r="F467" s="13">
        <v>43844</v>
      </c>
      <c r="G467" s="14">
        <v>45894</v>
      </c>
      <c r="H467" s="15">
        <v>15000000</v>
      </c>
      <c r="I467" s="16">
        <v>12</v>
      </c>
      <c r="J467" s="17">
        <v>24</v>
      </c>
      <c r="K467" s="9" t="s">
        <v>9827</v>
      </c>
      <c r="L467" s="10" t="s">
        <v>10168</v>
      </c>
      <c r="M467" s="9" t="s">
        <v>10169</v>
      </c>
      <c r="N467" s="10" t="s">
        <v>9834</v>
      </c>
      <c r="O467" s="15">
        <v>12150400</v>
      </c>
      <c r="P467" s="145">
        <v>2035537</v>
      </c>
      <c r="Q467" s="9"/>
      <c r="R467" s="146"/>
      <c r="T467" s="92" t="s">
        <v>8476</v>
      </c>
      <c r="U467">
        <v>1</v>
      </c>
      <c r="V467">
        <f>VLOOKUP(T467,'Data Angt'!$A$5:$F$5810,6,FALSE)</f>
        <v>26</v>
      </c>
      <c r="W467" s="5" t="str">
        <f t="shared" si="7"/>
        <v>KONSUMTIF</v>
      </c>
      <c r="X467" s="5" t="str">
        <f>VLOOKUP(T467,'Data Angt'!$A$5:$H$5810,8,FALSE)</f>
        <v>Pelajar/Mahasiswa</v>
      </c>
      <c r="Y467" s="5" t="str">
        <f>VLOOKUP(T467,'Data Angt'!$A$5:$C$5808,3,FALSE)</f>
        <v>PBL</v>
      </c>
    </row>
    <row r="468" spans="1:25" x14ac:dyDescent="0.3">
      <c r="A468" s="8">
        <v>462</v>
      </c>
      <c r="B468" s="9" t="s">
        <v>12517</v>
      </c>
      <c r="C468" s="10" t="str">
        <f>VLOOKUP(B468,'Data Angt'!$A$5:$B$5809,2,FALSE)</f>
        <v>A3515</v>
      </c>
      <c r="D468" s="11" t="s">
        <v>9829</v>
      </c>
      <c r="E468" s="12" t="s">
        <v>15993</v>
      </c>
      <c r="F468" s="13">
        <v>45612</v>
      </c>
      <c r="G468" s="14">
        <v>45925</v>
      </c>
      <c r="H468" s="15">
        <v>60000000</v>
      </c>
      <c r="I468" s="16">
        <v>60</v>
      </c>
      <c r="J468" s="17">
        <v>18</v>
      </c>
      <c r="K468" s="9" t="s">
        <v>9831</v>
      </c>
      <c r="L468" s="10" t="s">
        <v>15994</v>
      </c>
      <c r="M468" s="9" t="s">
        <v>10309</v>
      </c>
      <c r="N468" s="10" t="s">
        <v>9830</v>
      </c>
      <c r="O468" s="15">
        <v>53325300</v>
      </c>
      <c r="P468" s="145">
        <v>3210861</v>
      </c>
      <c r="Q468" s="9" t="s">
        <v>22340</v>
      </c>
      <c r="R468" s="146" t="s">
        <v>22615</v>
      </c>
      <c r="T468" s="92" t="s">
        <v>8497</v>
      </c>
      <c r="U468">
        <v>2</v>
      </c>
      <c r="V468">
        <f>VLOOKUP(T468,'Data Angt'!$A$5:$F$5810,6,FALSE)</f>
        <v>31</v>
      </c>
      <c r="W468" s="5" t="str">
        <f t="shared" si="7"/>
        <v>KONSUMTIF</v>
      </c>
      <c r="X468" s="5" t="str">
        <f>VLOOKUP(T468,'Data Angt'!$A$5:$H$5810,8,FALSE)</f>
        <v>Karyawan</v>
      </c>
      <c r="Y468" s="5" t="str">
        <f>VLOOKUP(T468,'Data Angt'!$A$5:$C$5808,3,FALSE)</f>
        <v>PBL</v>
      </c>
    </row>
    <row r="469" spans="1:25" x14ac:dyDescent="0.3">
      <c r="A469" s="8">
        <v>463</v>
      </c>
      <c r="B469" s="9" t="s">
        <v>7851</v>
      </c>
      <c r="C469" s="10" t="str">
        <f>VLOOKUP(B469,'Data Angt'!$A$5:$B$5809,2,FALSE)</f>
        <v>A3529</v>
      </c>
      <c r="D469" s="11" t="s">
        <v>9829</v>
      </c>
      <c r="E469" s="12" t="s">
        <v>15995</v>
      </c>
      <c r="F469" s="13">
        <v>45433</v>
      </c>
      <c r="G469" s="14">
        <v>45920</v>
      </c>
      <c r="H469" s="15">
        <v>4000000</v>
      </c>
      <c r="I469" s="16">
        <v>18</v>
      </c>
      <c r="J469" s="17">
        <v>24</v>
      </c>
      <c r="K469" s="9" t="s">
        <v>9831</v>
      </c>
      <c r="L469" s="10" t="s">
        <v>15996</v>
      </c>
      <c r="M469" s="9" t="s">
        <v>15997</v>
      </c>
      <c r="N469" s="10" t="s">
        <v>17</v>
      </c>
      <c r="O469" s="15">
        <v>517200</v>
      </c>
      <c r="P469" s="145">
        <v>295347</v>
      </c>
      <c r="Q469" s="9"/>
      <c r="R469" s="146"/>
      <c r="T469" s="92" t="s">
        <v>8513</v>
      </c>
      <c r="U469">
        <v>1</v>
      </c>
      <c r="V469">
        <f>VLOOKUP(T469,'Data Angt'!$A$5:$F$5810,6,FALSE)</f>
        <v>35</v>
      </c>
      <c r="W469" s="5" t="str">
        <f t="shared" si="7"/>
        <v>PRODUKTIF</v>
      </c>
      <c r="X469" s="5" t="str">
        <f>VLOOKUP(T469,'Data Angt'!$A$5:$H$5810,8,FALSE)</f>
        <v>Karyawan</v>
      </c>
      <c r="Y469" s="5" t="str">
        <f>VLOOKUP(T469,'Data Angt'!$A$5:$C$5808,3,FALSE)</f>
        <v>PBL</v>
      </c>
    </row>
    <row r="470" spans="1:25" x14ac:dyDescent="0.3">
      <c r="A470" s="8">
        <v>464</v>
      </c>
      <c r="B470" s="9" t="s">
        <v>7853</v>
      </c>
      <c r="C470" s="10" t="str">
        <f>VLOOKUP(B470,'Data Angt'!$A$5:$B$5809,2,FALSE)</f>
        <v>A3530</v>
      </c>
      <c r="D470" s="11" t="s">
        <v>9842</v>
      </c>
      <c r="E470" s="12" t="s">
        <v>10170</v>
      </c>
      <c r="F470" s="13">
        <v>43754</v>
      </c>
      <c r="G470" s="14">
        <v>45916</v>
      </c>
      <c r="H470" s="15">
        <v>970000000</v>
      </c>
      <c r="I470" s="16">
        <v>60</v>
      </c>
      <c r="J470" s="17">
        <v>10.56</v>
      </c>
      <c r="K470" s="9" t="s">
        <v>9831</v>
      </c>
      <c r="L470" s="10" t="s">
        <v>10171</v>
      </c>
      <c r="M470" s="9" t="s">
        <v>9859</v>
      </c>
      <c r="N470" s="10" t="s">
        <v>9830</v>
      </c>
      <c r="O470" s="15">
        <v>731483000</v>
      </c>
      <c r="P470" s="145">
        <v>136619722</v>
      </c>
      <c r="Q470" s="9"/>
      <c r="R470" s="146"/>
      <c r="T470" s="92" t="s">
        <v>8550</v>
      </c>
      <c r="U470">
        <v>1</v>
      </c>
      <c r="V470">
        <f>VLOOKUP(T470,'Data Angt'!$A$5:$F$5810,6,FALSE)</f>
        <v>41</v>
      </c>
      <c r="W470" s="5" t="str">
        <f t="shared" si="7"/>
        <v>PRODUKTIF</v>
      </c>
      <c r="X470" s="5" t="str">
        <f>VLOOKUP(T470,'Data Angt'!$A$5:$H$5810,8,FALSE)</f>
        <v>Karyawan</v>
      </c>
      <c r="Y470" s="5" t="str">
        <f>VLOOKUP(T470,'Data Angt'!$A$5:$C$5808,3,FALSE)</f>
        <v>PBL</v>
      </c>
    </row>
    <row r="471" spans="1:25" x14ac:dyDescent="0.3">
      <c r="A471" s="8">
        <v>465</v>
      </c>
      <c r="B471" s="9" t="s">
        <v>7861</v>
      </c>
      <c r="C471" s="10" t="str">
        <f>VLOOKUP(B471,'Data Angt'!$A$5:$B$5809,2,FALSE)</f>
        <v>A3534</v>
      </c>
      <c r="D471" s="11" t="s">
        <v>9829</v>
      </c>
      <c r="E471" s="12" t="s">
        <v>15998</v>
      </c>
      <c r="F471" s="13">
        <v>45532</v>
      </c>
      <c r="G471" s="14">
        <v>45918</v>
      </c>
      <c r="H471" s="15">
        <v>5000000</v>
      </c>
      <c r="I471" s="16">
        <v>18</v>
      </c>
      <c r="J471" s="17">
        <v>24</v>
      </c>
      <c r="K471" s="9" t="s">
        <v>9831</v>
      </c>
      <c r="L471" s="10" t="s">
        <v>15999</v>
      </c>
      <c r="M471" s="9" t="s">
        <v>16000</v>
      </c>
      <c r="N471" s="10" t="s">
        <v>9830</v>
      </c>
      <c r="O471" s="15">
        <v>1571400</v>
      </c>
      <c r="P471" s="145">
        <v>340573</v>
      </c>
      <c r="Q471" s="9"/>
      <c r="R471" s="146"/>
      <c r="T471" s="92" t="s">
        <v>8581</v>
      </c>
      <c r="U471">
        <v>2</v>
      </c>
      <c r="V471">
        <f>VLOOKUP(T471,'Data Angt'!$A$5:$F$5810,6,FALSE)</f>
        <v>74</v>
      </c>
      <c r="W471" s="5" t="str">
        <f t="shared" si="7"/>
        <v>KONSUMTIF</v>
      </c>
      <c r="X471" s="5" t="str">
        <f>VLOOKUP(T471,'Data Angt'!$A$5:$H$5810,8,FALSE)</f>
        <v>Pensiunan</v>
      </c>
      <c r="Y471" s="5" t="str">
        <f>VLOOKUP(T471,'Data Angt'!$A$5:$C$5808,3,FALSE)</f>
        <v>PBL</v>
      </c>
    </row>
    <row r="472" spans="1:25" x14ac:dyDescent="0.3">
      <c r="A472" s="8">
        <v>466</v>
      </c>
      <c r="B472" s="9" t="s">
        <v>7863</v>
      </c>
      <c r="C472" s="10" t="str">
        <f>VLOOKUP(B472,'Data Angt'!$A$5:$B$5809,2,FALSE)</f>
        <v>A3535</v>
      </c>
      <c r="D472" s="11" t="s">
        <v>9829</v>
      </c>
      <c r="E472" s="12" t="s">
        <v>10173</v>
      </c>
      <c r="F472" s="13">
        <v>43728</v>
      </c>
      <c r="G472" s="14">
        <v>45904</v>
      </c>
      <c r="H472" s="15">
        <v>30000000</v>
      </c>
      <c r="I472" s="16">
        <v>60</v>
      </c>
      <c r="J472" s="17">
        <v>24</v>
      </c>
      <c r="K472" s="9" t="s">
        <v>9831</v>
      </c>
      <c r="L472" s="10" t="s">
        <v>10174</v>
      </c>
      <c r="M472" s="9" t="s">
        <v>9838</v>
      </c>
      <c r="N472" s="10" t="s">
        <v>9830</v>
      </c>
      <c r="O472" s="15">
        <v>13421800</v>
      </c>
      <c r="P472" s="145">
        <v>7065139</v>
      </c>
      <c r="Q472" s="9"/>
      <c r="R472" s="146"/>
      <c r="T472" s="92" t="s">
        <v>8591</v>
      </c>
      <c r="U472">
        <v>1</v>
      </c>
      <c r="V472">
        <f>VLOOKUP(T472,'Data Angt'!$A$5:$F$5810,6,FALSE)</f>
        <v>41</v>
      </c>
      <c r="W472" s="5" t="str">
        <f t="shared" si="7"/>
        <v>KONSUMTIF</v>
      </c>
      <c r="X472" s="5" t="str">
        <f>VLOOKUP(T472,'Data Angt'!$A$5:$H$5810,8,FALSE)</f>
        <v>Wiraswasta</v>
      </c>
      <c r="Y472" s="5" t="str">
        <f>VLOOKUP(T472,'Data Angt'!$A$5:$C$5808,3,FALSE)</f>
        <v>PBL</v>
      </c>
    </row>
    <row r="473" spans="1:25" x14ac:dyDescent="0.3">
      <c r="A473" s="8">
        <v>467</v>
      </c>
      <c r="B473" s="9" t="s">
        <v>7877</v>
      </c>
      <c r="C473" s="10" t="str">
        <f>VLOOKUP(B473,'Data Angt'!$A$5:$B$5809,2,FALSE)</f>
        <v>A3543</v>
      </c>
      <c r="D473" s="11" t="s">
        <v>9842</v>
      </c>
      <c r="E473" s="12" t="s">
        <v>10175</v>
      </c>
      <c r="F473" s="13">
        <v>43742</v>
      </c>
      <c r="G473" s="14">
        <v>45904</v>
      </c>
      <c r="H473" s="15">
        <v>100000000</v>
      </c>
      <c r="I473" s="16">
        <v>120</v>
      </c>
      <c r="J473" s="17">
        <v>11.4</v>
      </c>
      <c r="K473" s="9" t="s">
        <v>9831</v>
      </c>
      <c r="L473" s="10" t="s">
        <v>10176</v>
      </c>
      <c r="M473" s="9" t="s">
        <v>9859</v>
      </c>
      <c r="N473" s="10" t="s">
        <v>9830</v>
      </c>
      <c r="O473" s="15">
        <v>54652300</v>
      </c>
      <c r="P473" s="145">
        <v>20277579</v>
      </c>
      <c r="Q473" s="9"/>
      <c r="R473" s="146"/>
      <c r="T473" s="92" t="s">
        <v>8602</v>
      </c>
      <c r="U473">
        <v>1</v>
      </c>
      <c r="V473">
        <f>VLOOKUP(T473,'Data Angt'!$A$5:$F$5810,6,FALSE)</f>
        <v>45</v>
      </c>
      <c r="W473" s="5" t="str">
        <f t="shared" si="7"/>
        <v>PRODUKTIF</v>
      </c>
      <c r="X473" s="5" t="str">
        <f>VLOOKUP(T473,'Data Angt'!$A$5:$H$5810,8,FALSE)</f>
        <v>Wiraswasta</v>
      </c>
      <c r="Y473" s="5" t="str">
        <f>VLOOKUP(T473,'Data Angt'!$A$5:$C$5808,3,FALSE)</f>
        <v>PBL</v>
      </c>
    </row>
    <row r="474" spans="1:25" x14ac:dyDescent="0.3">
      <c r="A474" s="8">
        <v>468</v>
      </c>
      <c r="B474" s="9" t="s">
        <v>7879</v>
      </c>
      <c r="C474" s="10" t="str">
        <f>VLOOKUP(B474,'Data Angt'!$A$5:$B$5809,2,FALSE)</f>
        <v>A3545</v>
      </c>
      <c r="D474" s="11" t="s">
        <v>9829</v>
      </c>
      <c r="E474" s="12" t="s">
        <v>22616</v>
      </c>
      <c r="F474" s="13">
        <v>45870</v>
      </c>
      <c r="G474" s="14">
        <v>45901</v>
      </c>
      <c r="H474" s="15">
        <v>35000000</v>
      </c>
      <c r="I474" s="16">
        <v>40</v>
      </c>
      <c r="J474" s="17">
        <v>21</v>
      </c>
      <c r="K474" s="9" t="s">
        <v>9831</v>
      </c>
      <c r="L474" s="10" t="s">
        <v>22617</v>
      </c>
      <c r="M474" s="9" t="s">
        <v>9838</v>
      </c>
      <c r="N474" s="10" t="s">
        <v>9830</v>
      </c>
      <c r="O474" s="15">
        <v>34388400</v>
      </c>
      <c r="P474" s="145">
        <v>229687</v>
      </c>
      <c r="Q474" s="9" t="s">
        <v>22189</v>
      </c>
      <c r="R474" s="146" t="s">
        <v>22618</v>
      </c>
      <c r="T474" s="92" t="s">
        <v>8614</v>
      </c>
      <c r="U474">
        <v>1</v>
      </c>
      <c r="V474">
        <f>VLOOKUP(T474,'Data Angt'!$A$5:$F$5810,6,FALSE)</f>
        <v>52</v>
      </c>
      <c r="W474" s="5" t="str">
        <f t="shared" si="7"/>
        <v>PRODUKTIF</v>
      </c>
      <c r="X474" s="5" t="str">
        <f>VLOOKUP(T474,'Data Angt'!$A$5:$H$5810,8,FALSE)</f>
        <v>Lain-Lain</v>
      </c>
      <c r="Y474" s="5" t="str">
        <f>VLOOKUP(T474,'Data Angt'!$A$5:$C$5808,3,FALSE)</f>
        <v>PBL</v>
      </c>
    </row>
    <row r="475" spans="1:25" x14ac:dyDescent="0.3">
      <c r="A475" s="8">
        <v>469</v>
      </c>
      <c r="B475" s="9" t="s">
        <v>7895</v>
      </c>
      <c r="C475" s="10" t="str">
        <f>VLOOKUP(B475,'Data Angt'!$A$5:$B$5809,2,FALSE)</f>
        <v>A3556</v>
      </c>
      <c r="D475" s="11" t="s">
        <v>9833</v>
      </c>
      <c r="E475" s="12" t="s">
        <v>16001</v>
      </c>
      <c r="F475" s="13">
        <v>45418</v>
      </c>
      <c r="G475" s="14">
        <v>45908</v>
      </c>
      <c r="H475" s="15">
        <v>18000000</v>
      </c>
      <c r="I475" s="16">
        <v>24</v>
      </c>
      <c r="J475" s="17">
        <v>24</v>
      </c>
      <c r="K475" s="9" t="s">
        <v>9831</v>
      </c>
      <c r="L475" s="10" t="s">
        <v>16002</v>
      </c>
      <c r="M475" s="9" t="s">
        <v>10101</v>
      </c>
      <c r="N475" s="10" t="s">
        <v>9834</v>
      </c>
      <c r="O475" s="15">
        <v>6971900</v>
      </c>
      <c r="P475" s="145">
        <v>1574658</v>
      </c>
      <c r="Q475" s="9" t="s">
        <v>22248</v>
      </c>
      <c r="R475" s="146" t="s">
        <v>22619</v>
      </c>
      <c r="T475" s="92" t="s">
        <v>8632</v>
      </c>
      <c r="U475">
        <v>1</v>
      </c>
      <c r="V475">
        <f>VLOOKUP(T475,'Data Angt'!$A$5:$F$5810,6,FALSE)</f>
        <v>47</v>
      </c>
      <c r="W475" s="5" t="str">
        <f t="shared" si="7"/>
        <v>PRODUKTIF</v>
      </c>
      <c r="X475" s="5" t="str">
        <f>VLOOKUP(T475,'Data Angt'!$A$5:$H$5810,8,FALSE)</f>
        <v>Karyawan</v>
      </c>
      <c r="Y475" s="5" t="str">
        <f>VLOOKUP(T475,'Data Angt'!$A$5:$C$5808,3,FALSE)</f>
        <v>PBL</v>
      </c>
    </row>
    <row r="476" spans="1:25" x14ac:dyDescent="0.3">
      <c r="A476" s="8">
        <v>470</v>
      </c>
      <c r="B476" s="9" t="s">
        <v>7905</v>
      </c>
      <c r="C476" s="10" t="str">
        <f>VLOOKUP(B476,'Data Angt'!$A$5:$B$5809,2,FALSE)</f>
        <v>A3561</v>
      </c>
      <c r="D476" s="11" t="s">
        <v>9833</v>
      </c>
      <c r="E476" s="12" t="s">
        <v>16003</v>
      </c>
      <c r="F476" s="13">
        <v>45587</v>
      </c>
      <c r="G476" s="14">
        <v>45920</v>
      </c>
      <c r="H476" s="15">
        <v>15000000</v>
      </c>
      <c r="I476" s="16">
        <v>40</v>
      </c>
      <c r="J476" s="17">
        <v>24</v>
      </c>
      <c r="K476" s="9" t="s">
        <v>9827</v>
      </c>
      <c r="L476" s="10" t="s">
        <v>16004</v>
      </c>
      <c r="M476" s="9" t="s">
        <v>16005</v>
      </c>
      <c r="N476" s="10" t="s">
        <v>9834</v>
      </c>
      <c r="O476" s="15">
        <v>10875000</v>
      </c>
      <c r="P476" s="145">
        <v>1082810</v>
      </c>
      <c r="Q476" s="9"/>
      <c r="R476" s="146"/>
      <c r="T476" s="92" t="s">
        <v>8639</v>
      </c>
      <c r="U476">
        <v>1</v>
      </c>
      <c r="V476">
        <f>VLOOKUP(T476,'Data Angt'!$A$5:$F$5810,6,FALSE)</f>
        <v>43</v>
      </c>
      <c r="W476" s="5" t="str">
        <f t="shared" si="7"/>
        <v>PRODUKTIF</v>
      </c>
      <c r="X476" s="5" t="str">
        <f>VLOOKUP(T476,'Data Angt'!$A$5:$H$5810,8,FALSE)</f>
        <v>Tenaga Pengajar</v>
      </c>
      <c r="Y476" s="5" t="str">
        <f>VLOOKUP(T476,'Data Angt'!$A$5:$C$5808,3,FALSE)</f>
        <v>PBL</v>
      </c>
    </row>
    <row r="477" spans="1:25" x14ac:dyDescent="0.3">
      <c r="A477" s="8">
        <v>471</v>
      </c>
      <c r="B477" s="9" t="s">
        <v>7932</v>
      </c>
      <c r="C477" s="10" t="str">
        <f>VLOOKUP(B477,'Data Angt'!$A$5:$B$5809,2,FALSE)</f>
        <v>A3574</v>
      </c>
      <c r="D477" s="11" t="s">
        <v>9829</v>
      </c>
      <c r="E477" s="12" t="s">
        <v>22620</v>
      </c>
      <c r="F477" s="13">
        <v>45882</v>
      </c>
      <c r="G477" s="14">
        <v>45916</v>
      </c>
      <c r="H477" s="15">
        <v>3000000</v>
      </c>
      <c r="I477" s="16">
        <v>15</v>
      </c>
      <c r="J477" s="17">
        <v>24</v>
      </c>
      <c r="K477" s="9" t="s">
        <v>9831</v>
      </c>
      <c r="L477" s="10" t="s">
        <v>22621</v>
      </c>
      <c r="M477" s="9" t="s">
        <v>9841</v>
      </c>
      <c r="N477" s="10" t="s">
        <v>17</v>
      </c>
      <c r="O477" s="15">
        <v>2826500</v>
      </c>
      <c r="P477" s="145">
        <v>22500</v>
      </c>
      <c r="Q477" s="9"/>
      <c r="R477" s="146"/>
      <c r="T477" s="92" t="s">
        <v>8672</v>
      </c>
      <c r="U477">
        <v>1</v>
      </c>
      <c r="V477">
        <f>VLOOKUP(T477,'Data Angt'!$A$5:$F$5810,6,FALSE)</f>
        <v>35</v>
      </c>
      <c r="W477" s="5" t="str">
        <f t="shared" si="7"/>
        <v>KESEJAHTERAAN</v>
      </c>
      <c r="X477" s="5" t="str">
        <f>VLOOKUP(T477,'Data Angt'!$A$5:$H$5810,8,FALSE)</f>
        <v>Karyawan</v>
      </c>
      <c r="Y477" s="5" t="str">
        <f>VLOOKUP(T477,'Data Angt'!$A$5:$C$5808,3,FALSE)</f>
        <v>PBL</v>
      </c>
    </row>
    <row r="478" spans="1:25" x14ac:dyDescent="0.3">
      <c r="A478" s="8">
        <v>472</v>
      </c>
      <c r="B478" s="9" t="s">
        <v>7948</v>
      </c>
      <c r="C478" s="10" t="str">
        <f>VLOOKUP(B478,'Data Angt'!$A$5:$B$5809,2,FALSE)</f>
        <v>A3582</v>
      </c>
      <c r="D478" s="11" t="s">
        <v>9833</v>
      </c>
      <c r="E478" s="12" t="s">
        <v>16006</v>
      </c>
      <c r="F478" s="13">
        <v>45803</v>
      </c>
      <c r="G478" s="14">
        <v>45922</v>
      </c>
      <c r="H478" s="15">
        <v>5000000</v>
      </c>
      <c r="I478" s="16">
        <v>24</v>
      </c>
      <c r="J478" s="17">
        <v>24</v>
      </c>
      <c r="K478" s="9" t="s">
        <v>9831</v>
      </c>
      <c r="L478" s="10" t="s">
        <v>16007</v>
      </c>
      <c r="M478" s="9" t="s">
        <v>16008</v>
      </c>
      <c r="N478" s="10" t="s">
        <v>9834</v>
      </c>
      <c r="O478" s="15">
        <v>4322600</v>
      </c>
      <c r="P478" s="145">
        <v>142575</v>
      </c>
      <c r="Q478" s="9" t="s">
        <v>22189</v>
      </c>
      <c r="R478" s="146" t="s">
        <v>22622</v>
      </c>
      <c r="T478" s="92" t="s">
        <v>8673</v>
      </c>
      <c r="U478">
        <v>2</v>
      </c>
      <c r="V478">
        <f>VLOOKUP(T478,'Data Angt'!$A$5:$F$5810,6,FALSE)</f>
        <v>49</v>
      </c>
      <c r="W478" s="5" t="str">
        <f t="shared" si="7"/>
        <v>PENDIDIKAN</v>
      </c>
      <c r="X478" s="5" t="str">
        <f>VLOOKUP(T478,'Data Angt'!$A$5:$H$5810,8,FALSE)</f>
        <v>Lain-Lain</v>
      </c>
      <c r="Y478" s="5" t="str">
        <f>VLOOKUP(T478,'Data Angt'!$A$5:$C$5808,3,FALSE)</f>
        <v>PBL</v>
      </c>
    </row>
    <row r="479" spans="1:25" x14ac:dyDescent="0.3">
      <c r="A479" s="8">
        <v>473</v>
      </c>
      <c r="B479" s="9" t="s">
        <v>7960</v>
      </c>
      <c r="C479" s="10" t="str">
        <f>VLOOKUP(B479,'Data Angt'!$A$5:$B$5809,2,FALSE)</f>
        <v>A3588</v>
      </c>
      <c r="D479" s="11" t="s">
        <v>9829</v>
      </c>
      <c r="E479" s="12" t="s">
        <v>16009</v>
      </c>
      <c r="F479" s="13">
        <v>45626</v>
      </c>
      <c r="G479" s="14">
        <v>45930</v>
      </c>
      <c r="H479" s="15">
        <v>15000000</v>
      </c>
      <c r="I479" s="16">
        <v>12</v>
      </c>
      <c r="J479" s="17">
        <v>24</v>
      </c>
      <c r="K479" s="9" t="s">
        <v>9831</v>
      </c>
      <c r="L479" s="10" t="s">
        <v>16010</v>
      </c>
      <c r="M479" s="9" t="s">
        <v>16011</v>
      </c>
      <c r="N479" s="10" t="s">
        <v>9828</v>
      </c>
      <c r="O479" s="15">
        <v>2754600</v>
      </c>
      <c r="P479" s="145">
        <v>726972</v>
      </c>
      <c r="Q479" s="9" t="s">
        <v>22431</v>
      </c>
      <c r="R479" s="146" t="s">
        <v>22623</v>
      </c>
      <c r="T479" s="92" t="s">
        <v>8695</v>
      </c>
      <c r="U479">
        <v>1</v>
      </c>
      <c r="V479">
        <f>VLOOKUP(T479,'Data Angt'!$A$5:$F$5810,6,FALSE)</f>
        <v>52</v>
      </c>
      <c r="W479" s="5" t="str">
        <f t="shared" si="7"/>
        <v>KESEJAHTERAAN</v>
      </c>
      <c r="X479" s="5" t="str">
        <f>VLOOKUP(T479,'Data Angt'!$A$5:$H$5810,8,FALSE)</f>
        <v>Wiraswasta</v>
      </c>
      <c r="Y479" s="5" t="str">
        <f>VLOOKUP(T479,'Data Angt'!$A$5:$C$5808,3,FALSE)</f>
        <v>PBL</v>
      </c>
    </row>
    <row r="480" spans="1:25" x14ac:dyDescent="0.3">
      <c r="A480" s="8">
        <v>474</v>
      </c>
      <c r="B480" s="9" t="s">
        <v>7972</v>
      </c>
      <c r="C480" s="10" t="str">
        <f>VLOOKUP(B480,'Data Angt'!$A$5:$B$5809,2,FALSE)</f>
        <v>A3594</v>
      </c>
      <c r="D480" s="11" t="s">
        <v>9829</v>
      </c>
      <c r="E480" s="12" t="s">
        <v>16012</v>
      </c>
      <c r="F480" s="13">
        <v>45744</v>
      </c>
      <c r="G480" s="14">
        <v>45929</v>
      </c>
      <c r="H480" s="15">
        <v>10853800</v>
      </c>
      <c r="I480" s="16">
        <v>30</v>
      </c>
      <c r="J480" s="17">
        <v>24</v>
      </c>
      <c r="K480" s="9" t="s">
        <v>9831</v>
      </c>
      <c r="L480" s="10" t="s">
        <v>16013</v>
      </c>
      <c r="M480" s="9" t="s">
        <v>16014</v>
      </c>
      <c r="N480" s="10" t="s">
        <v>9828</v>
      </c>
      <c r="O480" s="15">
        <v>9459400</v>
      </c>
      <c r="P480" s="145">
        <v>463235</v>
      </c>
      <c r="Q480" s="9" t="s">
        <v>22276</v>
      </c>
      <c r="R480" s="146" t="s">
        <v>22624</v>
      </c>
      <c r="T480" s="92" t="s">
        <v>8727</v>
      </c>
      <c r="U480">
        <v>2</v>
      </c>
      <c r="V480">
        <f>VLOOKUP(T480,'Data Angt'!$A$5:$F$5810,6,FALSE)</f>
        <v>40</v>
      </c>
      <c r="W480" s="5" t="str">
        <f t="shared" si="7"/>
        <v>PENDIDIKAN</v>
      </c>
      <c r="X480" s="5" t="str">
        <f>VLOOKUP(T480,'Data Angt'!$A$5:$H$5810,8,FALSE)</f>
        <v>Tenaga Pengajar</v>
      </c>
      <c r="Y480" s="5" t="str">
        <f>VLOOKUP(T480,'Data Angt'!$A$5:$C$5808,3,FALSE)</f>
        <v>PBL</v>
      </c>
    </row>
    <row r="481" spans="1:25" x14ac:dyDescent="0.3">
      <c r="A481" s="8">
        <v>475</v>
      </c>
      <c r="B481" s="9" t="s">
        <v>7980</v>
      </c>
      <c r="C481" s="10" t="str">
        <f>VLOOKUP(B481,'Data Angt'!$A$5:$B$5809,2,FALSE)</f>
        <v>A3597</v>
      </c>
      <c r="D481" s="11" t="s">
        <v>9829</v>
      </c>
      <c r="E481" s="12" t="s">
        <v>16015</v>
      </c>
      <c r="F481" s="13">
        <v>45735</v>
      </c>
      <c r="G481" s="14">
        <v>45920</v>
      </c>
      <c r="H481" s="15">
        <v>6000000</v>
      </c>
      <c r="I481" s="16">
        <v>12</v>
      </c>
      <c r="J481" s="17">
        <v>24</v>
      </c>
      <c r="K481" s="9" t="s">
        <v>9831</v>
      </c>
      <c r="L481" s="10" t="s">
        <v>16016</v>
      </c>
      <c r="M481" s="9" t="s">
        <v>16017</v>
      </c>
      <c r="N481" s="10" t="s">
        <v>9828</v>
      </c>
      <c r="O481" s="15">
        <v>3178100</v>
      </c>
      <c r="P481" s="145">
        <v>218436</v>
      </c>
      <c r="Q481" s="9" t="s">
        <v>22189</v>
      </c>
      <c r="R481" s="146" t="s">
        <v>22625</v>
      </c>
      <c r="T481" s="92" t="s">
        <v>8732</v>
      </c>
      <c r="U481">
        <v>1</v>
      </c>
      <c r="V481">
        <f>VLOOKUP(T481,'Data Angt'!$A$5:$F$5810,6,FALSE)</f>
        <v>22</v>
      </c>
      <c r="W481" s="5" t="str">
        <f t="shared" si="7"/>
        <v>KESEJAHTERAAN</v>
      </c>
      <c r="X481" s="5" t="str">
        <f>VLOOKUP(T481,'Data Angt'!$A$5:$H$5810,8,FALSE)</f>
        <v>Karyawan</v>
      </c>
      <c r="Y481" s="5" t="str">
        <f>VLOOKUP(T481,'Data Angt'!$A$5:$C$5808,3,FALSE)</f>
        <v>PBL</v>
      </c>
    </row>
    <row r="482" spans="1:25" x14ac:dyDescent="0.3">
      <c r="A482" s="8">
        <v>476</v>
      </c>
      <c r="B482" s="9" t="s">
        <v>8008</v>
      </c>
      <c r="C482" s="10" t="str">
        <f>VLOOKUP(B482,'Data Angt'!$A$5:$B$5809,2,FALSE)</f>
        <v>A3612</v>
      </c>
      <c r="D482" s="11" t="s">
        <v>9829</v>
      </c>
      <c r="E482" s="12" t="s">
        <v>22626</v>
      </c>
      <c r="F482" s="13">
        <v>45901</v>
      </c>
      <c r="G482" s="14">
        <v>45901</v>
      </c>
      <c r="H482" s="15">
        <v>2500000</v>
      </c>
      <c r="I482" s="16">
        <v>12</v>
      </c>
      <c r="J482" s="17">
        <v>24</v>
      </c>
      <c r="K482" s="9" t="s">
        <v>9831</v>
      </c>
      <c r="L482" s="10" t="s">
        <v>22627</v>
      </c>
      <c r="M482" s="9" t="s">
        <v>22628</v>
      </c>
      <c r="N482" s="10" t="s">
        <v>9828</v>
      </c>
      <c r="O482" s="15">
        <v>2500000</v>
      </c>
      <c r="P482" s="147">
        <v>0</v>
      </c>
      <c r="Q482" s="9"/>
      <c r="R482" s="146"/>
      <c r="T482" s="92" t="s">
        <v>8752</v>
      </c>
      <c r="U482">
        <v>1</v>
      </c>
      <c r="V482">
        <f>VLOOKUP(T482,'Data Angt'!$A$5:$F$5810,6,FALSE)</f>
        <v>49</v>
      </c>
      <c r="W482" s="5" t="str">
        <f t="shared" si="7"/>
        <v>KESEJAHTERAAN</v>
      </c>
      <c r="X482" s="5" t="str">
        <f>VLOOKUP(T482,'Data Angt'!$A$5:$H$5810,8,FALSE)</f>
        <v>Lain-Lain</v>
      </c>
      <c r="Y482" s="5" t="str">
        <f>VLOOKUP(T482,'Data Angt'!$A$5:$C$5808,3,FALSE)</f>
        <v>PBL</v>
      </c>
    </row>
    <row r="483" spans="1:25" x14ac:dyDescent="0.3">
      <c r="A483" s="8">
        <v>477</v>
      </c>
      <c r="B483" s="9" t="s">
        <v>8019</v>
      </c>
      <c r="C483" s="10" t="str">
        <f>VLOOKUP(B483,'Data Angt'!$A$5:$B$5809,2,FALSE)</f>
        <v>A3616</v>
      </c>
      <c r="D483" s="11" t="s">
        <v>9833</v>
      </c>
      <c r="E483" s="12" t="s">
        <v>16018</v>
      </c>
      <c r="F483" s="13">
        <v>45324</v>
      </c>
      <c r="G483" s="14">
        <v>45902</v>
      </c>
      <c r="H483" s="15">
        <v>11000000</v>
      </c>
      <c r="I483" s="16">
        <v>24</v>
      </c>
      <c r="J483" s="17">
        <v>24</v>
      </c>
      <c r="K483" s="9" t="s">
        <v>9831</v>
      </c>
      <c r="L483" s="10" t="s">
        <v>16019</v>
      </c>
      <c r="M483" s="9" t="s">
        <v>16020</v>
      </c>
      <c r="N483" s="10" t="s">
        <v>9834</v>
      </c>
      <c r="O483" s="15">
        <v>2741800</v>
      </c>
      <c r="P483" s="145">
        <v>1047070</v>
      </c>
      <c r="Q483" s="9"/>
      <c r="R483" s="146"/>
      <c r="T483" s="92" t="s">
        <v>8774</v>
      </c>
      <c r="U483">
        <v>1</v>
      </c>
      <c r="V483">
        <f>VLOOKUP(T483,'Data Angt'!$A$5:$F$5810,6,FALSE)</f>
        <v>24</v>
      </c>
      <c r="W483" s="5" t="str">
        <f t="shared" si="7"/>
        <v>KONSUMTIF</v>
      </c>
      <c r="X483" s="5" t="str">
        <f>VLOOKUP(T483,'Data Angt'!$A$5:$H$5810,8,FALSE)</f>
        <v>Lain-Lain</v>
      </c>
      <c r="Y483" s="5" t="str">
        <f>VLOOKUP(T483,'Data Angt'!$A$5:$C$5808,3,FALSE)</f>
        <v>PBL</v>
      </c>
    </row>
    <row r="484" spans="1:25" x14ac:dyDescent="0.3">
      <c r="A484" s="8">
        <v>478</v>
      </c>
      <c r="B484" s="9" t="s">
        <v>8026</v>
      </c>
      <c r="C484" s="10" t="str">
        <f>VLOOKUP(B484,'Data Angt'!$A$5:$B$5809,2,FALSE)</f>
        <v>A3619</v>
      </c>
      <c r="D484" s="11" t="s">
        <v>9829</v>
      </c>
      <c r="E484" s="12" t="s">
        <v>16021</v>
      </c>
      <c r="F484" s="13">
        <v>45680</v>
      </c>
      <c r="G484" s="14">
        <v>45920</v>
      </c>
      <c r="H484" s="15">
        <v>3000000</v>
      </c>
      <c r="I484" s="16">
        <v>12</v>
      </c>
      <c r="J484" s="17">
        <v>24</v>
      </c>
      <c r="K484" s="9" t="s">
        <v>9831</v>
      </c>
      <c r="L484" s="10" t="s">
        <v>16022</v>
      </c>
      <c r="M484" s="9" t="s">
        <v>16023</v>
      </c>
      <c r="N484" s="10" t="s">
        <v>9828</v>
      </c>
      <c r="O484" s="15">
        <v>1080400</v>
      </c>
      <c r="P484" s="145">
        <v>131250</v>
      </c>
      <c r="Q484" s="9"/>
      <c r="R484" s="146"/>
      <c r="T484" s="92" t="s">
        <v>8776</v>
      </c>
      <c r="U484">
        <v>1</v>
      </c>
      <c r="V484">
        <f>VLOOKUP(T484,'Data Angt'!$A$5:$F$5810,6,FALSE)</f>
        <v>42</v>
      </c>
      <c r="W484" s="5" t="str">
        <f t="shared" si="7"/>
        <v>PENDIDIKAN</v>
      </c>
      <c r="X484" s="5">
        <f>VLOOKUP(T484,'Data Angt'!$A$5:$H$5810,8,FALSE)</f>
        <v>0</v>
      </c>
      <c r="Y484" s="5" t="str">
        <f>VLOOKUP(T484,'Data Angt'!$A$5:$C$5808,3,FALSE)</f>
        <v>PBL</v>
      </c>
    </row>
    <row r="485" spans="1:25" x14ac:dyDescent="0.3">
      <c r="A485" s="8">
        <v>479</v>
      </c>
      <c r="B485" s="9" t="s">
        <v>8047</v>
      </c>
      <c r="C485" s="10" t="str">
        <f>VLOOKUP(B485,'Data Angt'!$A$5:$B$5809,2,FALSE)</f>
        <v>A3634</v>
      </c>
      <c r="D485" s="11" t="s">
        <v>9829</v>
      </c>
      <c r="E485" s="12" t="s">
        <v>16024</v>
      </c>
      <c r="F485" s="13">
        <v>45693</v>
      </c>
      <c r="G485" s="14">
        <v>45908</v>
      </c>
      <c r="H485" s="15">
        <v>20000000</v>
      </c>
      <c r="I485" s="16">
        <v>36</v>
      </c>
      <c r="J485" s="17">
        <v>24</v>
      </c>
      <c r="K485" s="9" t="s">
        <v>9831</v>
      </c>
      <c r="L485" s="10" t="s">
        <v>16025</v>
      </c>
      <c r="M485" s="9" t="s">
        <v>16026</v>
      </c>
      <c r="N485" s="10" t="s">
        <v>9828</v>
      </c>
      <c r="O485" s="15">
        <v>17140300</v>
      </c>
      <c r="P485" s="145">
        <v>987448</v>
      </c>
      <c r="Q485" s="9" t="s">
        <v>22189</v>
      </c>
      <c r="R485" s="146" t="s">
        <v>22629</v>
      </c>
      <c r="T485" s="92" t="s">
        <v>8839</v>
      </c>
      <c r="U485">
        <v>1</v>
      </c>
      <c r="V485">
        <f>VLOOKUP(T485,'Data Angt'!$A$5:$F$5810,6,FALSE)</f>
        <v>24</v>
      </c>
      <c r="W485" s="5" t="str">
        <f t="shared" si="7"/>
        <v>KONSUMTIF</v>
      </c>
      <c r="X485" s="5" t="str">
        <f>VLOOKUP(T485,'Data Angt'!$A$5:$H$5810,8,FALSE)</f>
        <v>Karyawan</v>
      </c>
      <c r="Y485" s="5" t="str">
        <f>VLOOKUP(T485,'Data Angt'!$A$5:$C$5808,3,FALSE)</f>
        <v>PBL</v>
      </c>
    </row>
    <row r="486" spans="1:25" x14ac:dyDescent="0.3">
      <c r="A486" s="8">
        <v>480</v>
      </c>
      <c r="B486" s="9" t="s">
        <v>8061</v>
      </c>
      <c r="C486" s="10" t="str">
        <f>VLOOKUP(B486,'Data Angt'!$A$5:$B$5809,2,FALSE)</f>
        <v>A3641</v>
      </c>
      <c r="D486" s="11" t="s">
        <v>9829</v>
      </c>
      <c r="E486" s="12" t="s">
        <v>16027</v>
      </c>
      <c r="F486" s="13">
        <v>45629</v>
      </c>
      <c r="G486" s="14">
        <v>45901</v>
      </c>
      <c r="H486" s="15">
        <v>20000000</v>
      </c>
      <c r="I486" s="16">
        <v>12</v>
      </c>
      <c r="J486" s="17">
        <v>24</v>
      </c>
      <c r="K486" s="9" t="s">
        <v>9827</v>
      </c>
      <c r="L486" s="10" t="s">
        <v>16028</v>
      </c>
      <c r="M486" s="9" t="s">
        <v>16029</v>
      </c>
      <c r="N486" s="10" t="s">
        <v>9830</v>
      </c>
      <c r="O486" s="15">
        <v>4999700</v>
      </c>
      <c r="P486" s="145">
        <v>900111</v>
      </c>
      <c r="Q486" s="9"/>
      <c r="R486" s="146"/>
      <c r="T486" s="92" t="s">
        <v>8876</v>
      </c>
      <c r="U486">
        <v>1</v>
      </c>
      <c r="V486">
        <f>VLOOKUP(T486,'Data Angt'!$A$5:$F$5810,6,FALSE)</f>
        <v>33</v>
      </c>
      <c r="W486" s="5" t="str">
        <f t="shared" si="7"/>
        <v>KESEJAHTERAAN</v>
      </c>
      <c r="X486" s="5">
        <f>VLOOKUP(T486,'Data Angt'!$A$5:$H$5810,8,FALSE)</f>
        <v>0</v>
      </c>
      <c r="Y486" s="5" t="str">
        <f>VLOOKUP(T486,'Data Angt'!$A$5:$C$5808,3,FALSE)</f>
        <v>PBL</v>
      </c>
    </row>
    <row r="487" spans="1:25" x14ac:dyDescent="0.3">
      <c r="A487" s="8">
        <v>481</v>
      </c>
      <c r="B487" s="9" t="s">
        <v>8079</v>
      </c>
      <c r="C487" s="10" t="str">
        <f>VLOOKUP(B487,'Data Angt'!$A$5:$B$5809,2,FALSE)</f>
        <v>A3651</v>
      </c>
      <c r="D487" s="11" t="s">
        <v>9833</v>
      </c>
      <c r="E487" s="12" t="s">
        <v>16030</v>
      </c>
      <c r="F487" s="13">
        <v>45713</v>
      </c>
      <c r="G487" s="14">
        <v>45926</v>
      </c>
      <c r="H487" s="15">
        <v>6000000</v>
      </c>
      <c r="I487" s="16">
        <v>12</v>
      </c>
      <c r="J487" s="17">
        <v>24</v>
      </c>
      <c r="K487" s="9" t="s">
        <v>9831</v>
      </c>
      <c r="L487" s="10" t="s">
        <v>16031</v>
      </c>
      <c r="M487" s="9" t="s">
        <v>16032</v>
      </c>
      <c r="N487" s="10" t="s">
        <v>9834</v>
      </c>
      <c r="O487" s="15">
        <v>2674300</v>
      </c>
      <c r="P487" s="145">
        <v>242286</v>
      </c>
      <c r="Q487" s="9" t="s">
        <v>22526</v>
      </c>
      <c r="R487" s="146" t="s">
        <v>22630</v>
      </c>
      <c r="T487" s="92" t="s">
        <v>8903</v>
      </c>
      <c r="U487">
        <v>1</v>
      </c>
      <c r="V487">
        <f>VLOOKUP(T487,'Data Angt'!$A$5:$F$5810,6,FALSE)</f>
        <v>38</v>
      </c>
      <c r="W487" s="5" t="str">
        <f t="shared" si="7"/>
        <v>KONSUMTIF</v>
      </c>
      <c r="X487" s="5" t="str">
        <f>VLOOKUP(T487,'Data Angt'!$A$5:$H$5810,8,FALSE)</f>
        <v>Tenaga Pengajar</v>
      </c>
      <c r="Y487" s="5" t="str">
        <f>VLOOKUP(T487,'Data Angt'!$A$5:$C$5808,3,FALSE)</f>
        <v>PBL</v>
      </c>
    </row>
    <row r="488" spans="1:25" x14ac:dyDescent="0.3">
      <c r="A488" s="8">
        <v>482</v>
      </c>
      <c r="B488" s="9" t="s">
        <v>8079</v>
      </c>
      <c r="C488" s="10" t="str">
        <f>VLOOKUP(B488,'Data Angt'!$A$5:$B$5809,2,FALSE)</f>
        <v>A3651</v>
      </c>
      <c r="D488" s="11" t="s">
        <v>9826</v>
      </c>
      <c r="E488" s="12" t="s">
        <v>22631</v>
      </c>
      <c r="F488" s="13">
        <v>45922</v>
      </c>
      <c r="G488" s="14">
        <v>45922</v>
      </c>
      <c r="H488" s="15">
        <v>5000000</v>
      </c>
      <c r="I488" s="16">
        <v>12</v>
      </c>
      <c r="J488" s="17">
        <v>24</v>
      </c>
      <c r="K488" s="9" t="s">
        <v>9831</v>
      </c>
      <c r="L488" s="10" t="s">
        <v>22632</v>
      </c>
      <c r="M488" s="9" t="s">
        <v>22633</v>
      </c>
      <c r="N488" s="10" t="s">
        <v>9828</v>
      </c>
      <c r="O488" s="15">
        <v>5000000</v>
      </c>
      <c r="P488" s="147">
        <v>0</v>
      </c>
      <c r="Q488" s="9" t="s">
        <v>22189</v>
      </c>
      <c r="R488" s="146" t="s">
        <v>22634</v>
      </c>
      <c r="T488" s="92" t="s">
        <v>8913</v>
      </c>
      <c r="U488">
        <v>1</v>
      </c>
      <c r="V488">
        <f>VLOOKUP(T488,'Data Angt'!$A$5:$F$5810,6,FALSE)</f>
        <v>29</v>
      </c>
      <c r="W488" s="5" t="str">
        <f t="shared" si="7"/>
        <v>KESEJAHTERAAN</v>
      </c>
      <c r="X488" s="5" t="str">
        <f>VLOOKUP(T488,'Data Angt'!$A$5:$H$5810,8,FALSE)</f>
        <v>Karyawan</v>
      </c>
      <c r="Y488" s="5" t="str">
        <f>VLOOKUP(T488,'Data Angt'!$A$5:$C$5808,3,FALSE)</f>
        <v>PBL</v>
      </c>
    </row>
    <row r="489" spans="1:25" x14ac:dyDescent="0.3">
      <c r="A489" s="8">
        <v>483</v>
      </c>
      <c r="B489" s="9" t="s">
        <v>8097</v>
      </c>
      <c r="C489" s="10" t="str">
        <f>VLOOKUP(B489,'Data Angt'!$A$5:$B$5809,2,FALSE)</f>
        <v>A3663</v>
      </c>
      <c r="D489" s="11" t="s">
        <v>9833</v>
      </c>
      <c r="E489" s="12" t="s">
        <v>16033</v>
      </c>
      <c r="F489" s="13">
        <v>45782</v>
      </c>
      <c r="G489" s="14">
        <v>45908</v>
      </c>
      <c r="H489" s="15">
        <v>1500000</v>
      </c>
      <c r="I489" s="16">
        <v>12</v>
      </c>
      <c r="J489" s="17">
        <v>11.88</v>
      </c>
      <c r="K489" s="9" t="s">
        <v>9831</v>
      </c>
      <c r="L489" s="10" t="s">
        <v>16034</v>
      </c>
      <c r="M489" s="9" t="s">
        <v>16035</v>
      </c>
      <c r="N489" s="10" t="s">
        <v>9834</v>
      </c>
      <c r="O489" s="15">
        <v>1019700</v>
      </c>
      <c r="P489" s="145">
        <v>19686</v>
      </c>
      <c r="Q489" s="9"/>
      <c r="R489" s="146"/>
      <c r="T489" s="92" t="s">
        <v>8945</v>
      </c>
      <c r="U489">
        <v>1</v>
      </c>
      <c r="V489">
        <f>VLOOKUP(T489,'Data Angt'!$A$5:$F$5810,6,FALSE)</f>
        <v>43</v>
      </c>
      <c r="W489" s="5" t="str">
        <f t="shared" si="7"/>
        <v>KESEJAHTERAAN</v>
      </c>
      <c r="X489" s="5" t="str">
        <f>VLOOKUP(T489,'Data Angt'!$A$5:$H$5810,8,FALSE)</f>
        <v>Wiraswasta</v>
      </c>
      <c r="Y489" s="5" t="str">
        <f>VLOOKUP(T489,'Data Angt'!$A$5:$C$5808,3,FALSE)</f>
        <v>PBL</v>
      </c>
    </row>
    <row r="490" spans="1:25" x14ac:dyDescent="0.3">
      <c r="A490" s="8">
        <v>484</v>
      </c>
      <c r="B490" s="9" t="s">
        <v>8099</v>
      </c>
      <c r="C490" s="10" t="str">
        <f>VLOOKUP(B490,'Data Angt'!$A$5:$B$5809,2,FALSE)</f>
        <v>A3664</v>
      </c>
      <c r="D490" s="11" t="s">
        <v>9833</v>
      </c>
      <c r="E490" s="12" t="s">
        <v>10178</v>
      </c>
      <c r="F490" s="13">
        <v>44055</v>
      </c>
      <c r="G490" s="14">
        <v>44879</v>
      </c>
      <c r="H490" s="15">
        <v>10000000</v>
      </c>
      <c r="I490" s="16">
        <v>10</v>
      </c>
      <c r="J490" s="17">
        <v>24</v>
      </c>
      <c r="K490" s="9" t="s">
        <v>9831</v>
      </c>
      <c r="L490" s="10" t="s">
        <v>10179</v>
      </c>
      <c r="M490" s="9" t="s">
        <v>10180</v>
      </c>
      <c r="N490" s="10" t="s">
        <v>9834</v>
      </c>
      <c r="O490" s="15">
        <v>5997800</v>
      </c>
      <c r="P490" s="145">
        <v>726600</v>
      </c>
      <c r="Q490" s="9"/>
      <c r="R490" s="146"/>
      <c r="T490" s="92" t="s">
        <v>8948</v>
      </c>
      <c r="U490">
        <v>1</v>
      </c>
      <c r="V490">
        <f>VLOOKUP(T490,'Data Angt'!$A$5:$F$5810,6,FALSE)</f>
        <v>47</v>
      </c>
      <c r="W490" s="5" t="str">
        <f t="shared" si="7"/>
        <v>PRODUKTIF</v>
      </c>
      <c r="X490" s="5">
        <f>VLOOKUP(T490,'Data Angt'!$A$5:$H$5810,8,FALSE)</f>
        <v>0</v>
      </c>
      <c r="Y490" s="5" t="str">
        <f>VLOOKUP(T490,'Data Angt'!$A$5:$C$5808,3,FALSE)</f>
        <v>PBL</v>
      </c>
    </row>
    <row r="491" spans="1:25" x14ac:dyDescent="0.3">
      <c r="A491" s="8">
        <v>485</v>
      </c>
      <c r="B491" s="9" t="s">
        <v>8147</v>
      </c>
      <c r="C491" s="10" t="str">
        <f>VLOOKUP(B491,'Data Angt'!$A$5:$B$5809,2,FALSE)</f>
        <v>A3689</v>
      </c>
      <c r="D491" s="11" t="s">
        <v>9895</v>
      </c>
      <c r="E491" s="12" t="s">
        <v>16036</v>
      </c>
      <c r="F491" s="13">
        <v>45603</v>
      </c>
      <c r="G491" s="14">
        <v>45904</v>
      </c>
      <c r="H491" s="15">
        <v>32000000</v>
      </c>
      <c r="I491" s="16">
        <v>34</v>
      </c>
      <c r="J491" s="17">
        <v>21</v>
      </c>
      <c r="K491" s="9" t="s">
        <v>9831</v>
      </c>
      <c r="L491" s="10" t="s">
        <v>16037</v>
      </c>
      <c r="M491" s="9" t="s">
        <v>10076</v>
      </c>
      <c r="N491" s="10" t="s">
        <v>9828</v>
      </c>
      <c r="O491" s="15">
        <v>24471100</v>
      </c>
      <c r="P491" s="145">
        <v>1889660</v>
      </c>
      <c r="Q491" s="9" t="s">
        <v>22189</v>
      </c>
      <c r="R491" s="146" t="s">
        <v>22635</v>
      </c>
      <c r="T491" s="92" t="s">
        <v>8949</v>
      </c>
      <c r="U491">
        <v>1</v>
      </c>
      <c r="V491">
        <f>VLOOKUP(T491,'Data Angt'!$A$5:$F$5810,6,FALSE)</f>
        <v>54</v>
      </c>
      <c r="W491" s="5" t="str">
        <f t="shared" si="7"/>
        <v>PENDIDIKAN</v>
      </c>
      <c r="X491" s="5" t="str">
        <f>VLOOKUP(T491,'Data Angt'!$A$5:$H$5810,8,FALSE)</f>
        <v>Karyawan</v>
      </c>
      <c r="Y491" s="5" t="str">
        <f>VLOOKUP(T491,'Data Angt'!$A$5:$C$5808,3,FALSE)</f>
        <v>PBL</v>
      </c>
    </row>
    <row r="492" spans="1:25" x14ac:dyDescent="0.3">
      <c r="A492" s="8">
        <v>486</v>
      </c>
      <c r="B492" s="9" t="s">
        <v>8154</v>
      </c>
      <c r="C492" s="10" t="str">
        <f>VLOOKUP(B492,'Data Angt'!$A$5:$B$5809,2,FALSE)</f>
        <v>A3692</v>
      </c>
      <c r="D492" s="11" t="s">
        <v>9829</v>
      </c>
      <c r="E492" s="12" t="s">
        <v>16038</v>
      </c>
      <c r="F492" s="13">
        <v>45609</v>
      </c>
      <c r="G492" s="14">
        <v>45909</v>
      </c>
      <c r="H492" s="15">
        <v>45000000</v>
      </c>
      <c r="I492" s="16">
        <v>24</v>
      </c>
      <c r="J492" s="17">
        <v>21</v>
      </c>
      <c r="K492" s="9" t="s">
        <v>9831</v>
      </c>
      <c r="L492" s="10" t="s">
        <v>16039</v>
      </c>
      <c r="M492" s="9" t="s">
        <v>9838</v>
      </c>
      <c r="N492" s="10" t="s">
        <v>9830</v>
      </c>
      <c r="O492" s="15">
        <v>28493000</v>
      </c>
      <c r="P492" s="145">
        <v>2481371</v>
      </c>
      <c r="Q492" s="9" t="s">
        <v>22220</v>
      </c>
      <c r="R492" s="146" t="s">
        <v>22636</v>
      </c>
      <c r="T492" s="92" t="s">
        <v>8956</v>
      </c>
      <c r="U492">
        <v>1</v>
      </c>
      <c r="V492">
        <f>VLOOKUP(T492,'Data Angt'!$A$5:$F$5810,6,FALSE)</f>
        <v>26</v>
      </c>
      <c r="W492" s="5" t="str">
        <f t="shared" si="7"/>
        <v>KONSUMTIF</v>
      </c>
      <c r="X492" s="5" t="str">
        <f>VLOOKUP(T492,'Data Angt'!$A$5:$H$5810,8,FALSE)</f>
        <v>Wiraswasta</v>
      </c>
      <c r="Y492" s="5" t="str">
        <f>VLOOKUP(T492,'Data Angt'!$A$5:$C$5808,3,FALSE)</f>
        <v>PBL</v>
      </c>
    </row>
    <row r="493" spans="1:25" x14ac:dyDescent="0.3">
      <c r="A493" s="8">
        <v>487</v>
      </c>
      <c r="B493" s="9" t="s">
        <v>8159</v>
      </c>
      <c r="C493" s="10" t="str">
        <f>VLOOKUP(B493,'Data Angt'!$A$5:$B$5809,2,FALSE)</f>
        <v>A3694</v>
      </c>
      <c r="D493" s="11" t="s">
        <v>9829</v>
      </c>
      <c r="E493" s="12" t="s">
        <v>16040</v>
      </c>
      <c r="F493" s="13">
        <v>45721</v>
      </c>
      <c r="G493" s="14">
        <v>45904</v>
      </c>
      <c r="H493" s="15">
        <v>3000000</v>
      </c>
      <c r="I493" s="16">
        <v>10</v>
      </c>
      <c r="J493" s="17">
        <v>24</v>
      </c>
      <c r="K493" s="9" t="s">
        <v>9831</v>
      </c>
      <c r="L493" s="10" t="s">
        <v>16041</v>
      </c>
      <c r="M493" s="9" t="s">
        <v>9838</v>
      </c>
      <c r="N493" s="10" t="s">
        <v>9830</v>
      </c>
      <c r="O493" s="15">
        <v>1271900</v>
      </c>
      <c r="P493" s="145">
        <v>103461</v>
      </c>
      <c r="Q493" s="9"/>
      <c r="R493" s="146"/>
      <c r="T493" s="92" t="s">
        <v>8958</v>
      </c>
      <c r="U493">
        <v>1</v>
      </c>
      <c r="V493">
        <f>VLOOKUP(T493,'Data Angt'!$A$5:$F$5810,6,FALSE)</f>
        <v>30</v>
      </c>
      <c r="W493" s="5" t="str">
        <f t="shared" si="7"/>
        <v>KONSUMTIF</v>
      </c>
      <c r="X493" s="5" t="str">
        <f>VLOOKUP(T493,'Data Angt'!$A$5:$H$5810,8,FALSE)</f>
        <v>Karyawan</v>
      </c>
      <c r="Y493" s="5" t="str">
        <f>VLOOKUP(T493,'Data Angt'!$A$5:$C$5808,3,FALSE)</f>
        <v>PBL</v>
      </c>
    </row>
    <row r="494" spans="1:25" x14ac:dyDescent="0.3">
      <c r="A494" s="8">
        <v>488</v>
      </c>
      <c r="B494" s="9" t="s">
        <v>8174</v>
      </c>
      <c r="C494" s="10" t="str">
        <f>VLOOKUP(B494,'Data Angt'!$A$5:$B$5809,2,FALSE)</f>
        <v>A3700</v>
      </c>
      <c r="D494" s="11" t="s">
        <v>9826</v>
      </c>
      <c r="E494" s="12" t="s">
        <v>16042</v>
      </c>
      <c r="F494" s="13">
        <v>45642</v>
      </c>
      <c r="G494" s="14">
        <v>45916</v>
      </c>
      <c r="H494" s="15">
        <v>3000000</v>
      </c>
      <c r="I494" s="16">
        <v>12</v>
      </c>
      <c r="J494" s="17">
        <v>24</v>
      </c>
      <c r="K494" s="9" t="s">
        <v>9831</v>
      </c>
      <c r="L494" s="10" t="s">
        <v>16043</v>
      </c>
      <c r="M494" s="9" t="s">
        <v>10008</v>
      </c>
      <c r="N494" s="10" t="s">
        <v>17</v>
      </c>
      <c r="O494" s="15">
        <v>818400</v>
      </c>
      <c r="P494" s="145">
        <v>139387</v>
      </c>
      <c r="Q494" s="9"/>
      <c r="R494" s="146"/>
      <c r="T494" s="92" t="s">
        <v>8966</v>
      </c>
      <c r="U494">
        <v>1</v>
      </c>
      <c r="V494">
        <f>VLOOKUP(T494,'Data Angt'!$A$5:$F$5810,6,FALSE)</f>
        <v>45</v>
      </c>
      <c r="W494" s="5" t="str">
        <f t="shared" si="7"/>
        <v>KESEJAHTERAAN</v>
      </c>
      <c r="X494" s="5" t="str">
        <f>VLOOKUP(T494,'Data Angt'!$A$5:$H$5810,8,FALSE)</f>
        <v>Lain-Lain</v>
      </c>
      <c r="Y494" s="5" t="str">
        <f>VLOOKUP(T494,'Data Angt'!$A$5:$C$5808,3,FALSE)</f>
        <v>PBL</v>
      </c>
    </row>
    <row r="495" spans="1:25" x14ac:dyDescent="0.3">
      <c r="A495" s="8">
        <v>489</v>
      </c>
      <c r="B495" s="9" t="s">
        <v>8184</v>
      </c>
      <c r="C495" s="10" t="str">
        <f>VLOOKUP(B495,'Data Angt'!$A$5:$B$5809,2,FALSE)</f>
        <v>A3706</v>
      </c>
      <c r="D495" s="11" t="s">
        <v>9829</v>
      </c>
      <c r="E495" s="12" t="s">
        <v>16044</v>
      </c>
      <c r="F495" s="13">
        <v>45734</v>
      </c>
      <c r="G495" s="14">
        <v>45912</v>
      </c>
      <c r="H495" s="15">
        <v>7500000</v>
      </c>
      <c r="I495" s="16">
        <v>15</v>
      </c>
      <c r="J495" s="17">
        <v>24</v>
      </c>
      <c r="K495" s="9" t="s">
        <v>9831</v>
      </c>
      <c r="L495" s="10" t="s">
        <v>16045</v>
      </c>
      <c r="M495" s="9" t="s">
        <v>9880</v>
      </c>
      <c r="N495" s="10" t="s">
        <v>9830</v>
      </c>
      <c r="O495" s="15">
        <v>4764400</v>
      </c>
      <c r="P495" s="145">
        <v>287473</v>
      </c>
      <c r="Q495" s="9" t="s">
        <v>22189</v>
      </c>
      <c r="R495" s="146" t="s">
        <v>22637</v>
      </c>
      <c r="T495" s="92" t="s">
        <v>8970</v>
      </c>
      <c r="U495">
        <v>1</v>
      </c>
      <c r="V495">
        <f>VLOOKUP(T495,'Data Angt'!$A$5:$F$5810,6,FALSE)</f>
        <v>46</v>
      </c>
      <c r="W495" s="5" t="str">
        <f t="shared" si="7"/>
        <v>KESEJAHTERAAN</v>
      </c>
      <c r="X495" s="5" t="str">
        <f>VLOOKUP(T495,'Data Angt'!$A$5:$H$5810,8,FALSE)</f>
        <v>Mengurus Rumah Tangga</v>
      </c>
      <c r="Y495" s="5" t="str">
        <f>VLOOKUP(T495,'Data Angt'!$A$5:$C$5808,3,FALSE)</f>
        <v>PBL</v>
      </c>
    </row>
    <row r="496" spans="1:25" x14ac:dyDescent="0.3">
      <c r="A496" s="8">
        <v>490</v>
      </c>
      <c r="B496" s="9" t="s">
        <v>8189</v>
      </c>
      <c r="C496" s="10" t="str">
        <f>VLOOKUP(B496,'Data Angt'!$A$5:$B$5809,2,FALSE)</f>
        <v>A3708</v>
      </c>
      <c r="D496" s="11" t="s">
        <v>9829</v>
      </c>
      <c r="E496" s="12" t="s">
        <v>16046</v>
      </c>
      <c r="F496" s="13">
        <v>45726</v>
      </c>
      <c r="G496" s="14">
        <v>45910</v>
      </c>
      <c r="H496" s="15">
        <v>5000000</v>
      </c>
      <c r="I496" s="16">
        <v>10</v>
      </c>
      <c r="J496" s="17">
        <v>24</v>
      </c>
      <c r="K496" s="9" t="s">
        <v>9831</v>
      </c>
      <c r="L496" s="10" t="s">
        <v>16047</v>
      </c>
      <c r="M496" s="9" t="s">
        <v>10462</v>
      </c>
      <c r="N496" s="10" t="s">
        <v>9828</v>
      </c>
      <c r="O496" s="15">
        <v>2119300</v>
      </c>
      <c r="P496" s="145">
        <v>172311</v>
      </c>
      <c r="Q496" s="9" t="s">
        <v>22189</v>
      </c>
      <c r="R496" s="146" t="s">
        <v>22638</v>
      </c>
      <c r="T496" s="92" t="s">
        <v>8982</v>
      </c>
      <c r="U496">
        <v>1</v>
      </c>
      <c r="V496">
        <f>VLOOKUP(T496,'Data Angt'!$A$5:$F$5810,6,FALSE)</f>
        <v>45</v>
      </c>
      <c r="W496" s="5" t="str">
        <f t="shared" si="7"/>
        <v>PENDIDIKAN</v>
      </c>
      <c r="X496" s="5" t="str">
        <f>VLOOKUP(T496,'Data Angt'!$A$5:$H$5810,8,FALSE)</f>
        <v>Wiraswasta</v>
      </c>
      <c r="Y496" s="5" t="str">
        <f>VLOOKUP(T496,'Data Angt'!$A$5:$C$5808,3,FALSE)</f>
        <v>PBL</v>
      </c>
    </row>
    <row r="497" spans="1:25" x14ac:dyDescent="0.3">
      <c r="A497" s="8">
        <v>491</v>
      </c>
      <c r="B497" s="9" t="s">
        <v>8204</v>
      </c>
      <c r="C497" s="10" t="str">
        <f>VLOOKUP(B497,'Data Angt'!$A$5:$B$5809,2,FALSE)</f>
        <v>A3715</v>
      </c>
      <c r="D497" s="11" t="s">
        <v>9833</v>
      </c>
      <c r="E497" s="12" t="s">
        <v>16048</v>
      </c>
      <c r="F497" s="13">
        <v>45427</v>
      </c>
      <c r="G497" s="14">
        <v>45906</v>
      </c>
      <c r="H497" s="15">
        <v>12000000</v>
      </c>
      <c r="I497" s="16">
        <v>48</v>
      </c>
      <c r="J497" s="17">
        <v>24</v>
      </c>
      <c r="K497" s="9" t="s">
        <v>9831</v>
      </c>
      <c r="L497" s="10" t="s">
        <v>16049</v>
      </c>
      <c r="M497" s="9" t="s">
        <v>9862</v>
      </c>
      <c r="N497" s="10" t="s">
        <v>9834</v>
      </c>
      <c r="O497" s="15">
        <v>9180600</v>
      </c>
      <c r="P497" s="145">
        <v>1290521</v>
      </c>
      <c r="Q497" s="9" t="s">
        <v>22189</v>
      </c>
      <c r="R497" s="146" t="s">
        <v>22639</v>
      </c>
      <c r="T497" s="92" t="s">
        <v>8983</v>
      </c>
      <c r="U497">
        <v>1</v>
      </c>
      <c r="V497">
        <f>VLOOKUP(T497,'Data Angt'!$A$5:$F$5810,6,FALSE)</f>
        <v>54</v>
      </c>
      <c r="W497" s="5" t="str">
        <f t="shared" si="7"/>
        <v>KONSUMTIF</v>
      </c>
      <c r="X497" s="5" t="str">
        <f>VLOOKUP(T497,'Data Angt'!$A$5:$H$5810,8,FALSE)</f>
        <v>Aparatur/Pejabat Negara</v>
      </c>
      <c r="Y497" s="5" t="str">
        <f>VLOOKUP(T497,'Data Angt'!$A$5:$C$5808,3,FALSE)</f>
        <v>PBL</v>
      </c>
    </row>
    <row r="498" spans="1:25" x14ac:dyDescent="0.3">
      <c r="A498" s="8">
        <v>492</v>
      </c>
      <c r="B498" s="9" t="s">
        <v>8223</v>
      </c>
      <c r="C498" s="10" t="str">
        <f>VLOOKUP(B498,'Data Angt'!$A$5:$B$5809,2,FALSE)</f>
        <v>A3725</v>
      </c>
      <c r="D498" s="11" t="s">
        <v>9833</v>
      </c>
      <c r="E498" s="12" t="s">
        <v>16050</v>
      </c>
      <c r="F498" s="13">
        <v>45701</v>
      </c>
      <c r="G498" s="14">
        <v>45913</v>
      </c>
      <c r="H498" s="15">
        <v>30000000</v>
      </c>
      <c r="I498" s="16">
        <v>24</v>
      </c>
      <c r="J498" s="17">
        <v>21</v>
      </c>
      <c r="K498" s="9" t="s">
        <v>9831</v>
      </c>
      <c r="L498" s="10" t="s">
        <v>16051</v>
      </c>
      <c r="M498" s="9" t="s">
        <v>9977</v>
      </c>
      <c r="N498" s="10" t="s">
        <v>9834</v>
      </c>
      <c r="O498" s="15">
        <v>22499400</v>
      </c>
      <c r="P498" s="145">
        <v>1233973</v>
      </c>
      <c r="Q498" s="9" t="s">
        <v>22189</v>
      </c>
      <c r="R498" s="146" t="s">
        <v>22640</v>
      </c>
      <c r="T498" s="92" t="s">
        <v>8989</v>
      </c>
      <c r="U498">
        <v>2</v>
      </c>
      <c r="V498">
        <f>VLOOKUP(T498,'Data Angt'!$A$5:$F$5810,6,FALSE)</f>
        <v>54</v>
      </c>
      <c r="W498" s="5" t="str">
        <f t="shared" si="7"/>
        <v>KONSUMTIF</v>
      </c>
      <c r="X498" s="5" t="str">
        <f>VLOOKUP(T498,'Data Angt'!$A$5:$H$5810,8,FALSE)</f>
        <v>Aparatur/Pejabat Negara</v>
      </c>
      <c r="Y498" s="5" t="str">
        <f>VLOOKUP(T498,'Data Angt'!$A$5:$C$5808,3,FALSE)</f>
        <v>PBL</v>
      </c>
    </row>
    <row r="499" spans="1:25" x14ac:dyDescent="0.3">
      <c r="A499" s="8">
        <v>493</v>
      </c>
      <c r="B499" s="9" t="s">
        <v>8229</v>
      </c>
      <c r="C499" s="10" t="str">
        <f>VLOOKUP(B499,'Data Angt'!$A$5:$B$5809,2,FALSE)</f>
        <v>A3728</v>
      </c>
      <c r="D499" s="11" t="s">
        <v>9833</v>
      </c>
      <c r="E499" s="12" t="s">
        <v>16052</v>
      </c>
      <c r="F499" s="13">
        <v>45615</v>
      </c>
      <c r="G499" s="14">
        <v>45919</v>
      </c>
      <c r="H499" s="15">
        <v>25000000</v>
      </c>
      <c r="I499" s="16">
        <v>20</v>
      </c>
      <c r="J499" s="17">
        <v>21</v>
      </c>
      <c r="K499" s="9" t="s">
        <v>9831</v>
      </c>
      <c r="L499" s="10" t="s">
        <v>16053</v>
      </c>
      <c r="M499" s="9" t="s">
        <v>16054</v>
      </c>
      <c r="N499" s="10" t="s">
        <v>9834</v>
      </c>
      <c r="O499" s="15">
        <v>13581900</v>
      </c>
      <c r="P499" s="145">
        <v>1314335</v>
      </c>
      <c r="Q499" s="9" t="s">
        <v>22220</v>
      </c>
      <c r="R499" s="146" t="s">
        <v>22641</v>
      </c>
      <c r="T499" s="92" t="s">
        <v>8999</v>
      </c>
      <c r="U499">
        <v>1</v>
      </c>
      <c r="V499">
        <f>VLOOKUP(T499,'Data Angt'!$A$5:$F$5810,6,FALSE)</f>
        <v>28</v>
      </c>
      <c r="W499" s="5" t="str">
        <f t="shared" si="7"/>
        <v>KONSUMTIF</v>
      </c>
      <c r="X499" s="5" t="str">
        <f>VLOOKUP(T499,'Data Angt'!$A$5:$H$5810,8,FALSE)</f>
        <v>Karyawan</v>
      </c>
      <c r="Y499" s="5" t="str">
        <f>VLOOKUP(T499,'Data Angt'!$A$5:$C$5808,3,FALSE)</f>
        <v>PBL</v>
      </c>
    </row>
    <row r="500" spans="1:25" x14ac:dyDescent="0.3">
      <c r="A500" s="8">
        <v>494</v>
      </c>
      <c r="B500" s="9" t="s">
        <v>8235</v>
      </c>
      <c r="C500" s="10" t="str">
        <f>VLOOKUP(B500,'Data Angt'!$A$5:$B$5809,2,FALSE)</f>
        <v>A3730</v>
      </c>
      <c r="D500" s="11" t="s">
        <v>9833</v>
      </c>
      <c r="E500" s="12" t="s">
        <v>16055</v>
      </c>
      <c r="F500" s="13">
        <v>45828</v>
      </c>
      <c r="G500" s="14">
        <v>45920</v>
      </c>
      <c r="H500" s="15">
        <v>20000000</v>
      </c>
      <c r="I500" s="16">
        <v>15</v>
      </c>
      <c r="J500" s="17">
        <v>24</v>
      </c>
      <c r="K500" s="9" t="s">
        <v>9831</v>
      </c>
      <c r="L500" s="10" t="s">
        <v>16056</v>
      </c>
      <c r="M500" s="9" t="s">
        <v>9862</v>
      </c>
      <c r="N500" s="10" t="s">
        <v>9834</v>
      </c>
      <c r="O500" s="15">
        <v>16460400</v>
      </c>
      <c r="P500" s="145">
        <v>423824</v>
      </c>
      <c r="Q500" s="9" t="s">
        <v>22238</v>
      </c>
      <c r="R500" s="146" t="s">
        <v>22642</v>
      </c>
      <c r="T500" s="92" t="s">
        <v>9030</v>
      </c>
      <c r="U500">
        <v>1</v>
      </c>
      <c r="V500">
        <f>VLOOKUP(T500,'Data Angt'!$A$5:$F$5810,6,FALSE)</f>
        <v>22</v>
      </c>
      <c r="W500" s="5" t="str">
        <f t="shared" si="7"/>
        <v>PRODUKTIF</v>
      </c>
      <c r="X500" s="5">
        <f>VLOOKUP(T500,'Data Angt'!$A$5:$H$5810,8,FALSE)</f>
        <v>0</v>
      </c>
      <c r="Y500" s="5" t="str">
        <f>VLOOKUP(T500,'Data Angt'!$A$5:$C$5808,3,FALSE)</f>
        <v>PBL</v>
      </c>
    </row>
    <row r="501" spans="1:25" x14ac:dyDescent="0.3">
      <c r="A501" s="8">
        <v>495</v>
      </c>
      <c r="B501" s="9" t="s">
        <v>8239</v>
      </c>
      <c r="C501" s="10" t="str">
        <f>VLOOKUP(B501,'Data Angt'!$A$5:$B$5809,2,FALSE)</f>
        <v>A3732</v>
      </c>
      <c r="D501" s="11" t="s">
        <v>9895</v>
      </c>
      <c r="E501" s="12" t="s">
        <v>10183</v>
      </c>
      <c r="F501" s="13">
        <v>45280</v>
      </c>
      <c r="G501" s="14">
        <v>45920</v>
      </c>
      <c r="H501" s="15">
        <v>25000000</v>
      </c>
      <c r="I501" s="16">
        <v>36</v>
      </c>
      <c r="J501" s="17">
        <v>21</v>
      </c>
      <c r="K501" s="9" t="s">
        <v>9827</v>
      </c>
      <c r="L501" s="10" t="s">
        <v>10184</v>
      </c>
      <c r="M501" s="9" t="s">
        <v>9896</v>
      </c>
      <c r="N501" s="10" t="s">
        <v>9828</v>
      </c>
      <c r="O501" s="15">
        <v>10415500</v>
      </c>
      <c r="P501" s="145">
        <v>2488570</v>
      </c>
      <c r="Q501" s="9" t="s">
        <v>22643</v>
      </c>
      <c r="R501" s="146" t="s">
        <v>22644</v>
      </c>
      <c r="T501" s="92" t="s">
        <v>9074</v>
      </c>
      <c r="U501">
        <v>1</v>
      </c>
      <c r="V501">
        <f>VLOOKUP(T501,'Data Angt'!$A$5:$F$5810,6,FALSE)</f>
        <v>54</v>
      </c>
      <c r="W501" s="5" t="str">
        <f t="shared" si="7"/>
        <v>PRODUKTIF</v>
      </c>
      <c r="X501" s="5" t="str">
        <f>VLOOKUP(T501,'Data Angt'!$A$5:$H$5810,8,FALSE)</f>
        <v>Wiraswasta</v>
      </c>
      <c r="Y501" s="5" t="str">
        <f>VLOOKUP(T501,'Data Angt'!$A$5:$C$5808,3,FALSE)</f>
        <v>PBL</v>
      </c>
    </row>
    <row r="502" spans="1:25" x14ac:dyDescent="0.3">
      <c r="A502" s="8">
        <v>496</v>
      </c>
      <c r="B502" s="9" t="s">
        <v>8247</v>
      </c>
      <c r="C502" s="10" t="str">
        <f>VLOOKUP(B502,'Data Angt'!$A$5:$B$5809,2,FALSE)</f>
        <v>A3736</v>
      </c>
      <c r="D502" s="11" t="s">
        <v>9829</v>
      </c>
      <c r="E502" s="12" t="s">
        <v>16057</v>
      </c>
      <c r="F502" s="13">
        <v>45427</v>
      </c>
      <c r="G502" s="14">
        <v>45908</v>
      </c>
      <c r="H502" s="15">
        <v>3000000</v>
      </c>
      <c r="I502" s="16">
        <v>24</v>
      </c>
      <c r="J502" s="17">
        <v>24</v>
      </c>
      <c r="K502" s="9" t="s">
        <v>9831</v>
      </c>
      <c r="L502" s="10" t="s">
        <v>16058</v>
      </c>
      <c r="M502" s="9" t="s">
        <v>9890</v>
      </c>
      <c r="N502" s="10" t="s">
        <v>9828</v>
      </c>
      <c r="O502" s="15">
        <v>1161100</v>
      </c>
      <c r="P502" s="145">
        <v>262609</v>
      </c>
      <c r="Q502" s="9"/>
      <c r="R502" s="146"/>
      <c r="T502" s="92" t="s">
        <v>9094</v>
      </c>
      <c r="U502">
        <v>1</v>
      </c>
      <c r="V502">
        <f>VLOOKUP(T502,'Data Angt'!$A$5:$F$5810,6,FALSE)</f>
        <v>37</v>
      </c>
      <c r="W502" s="5" t="str">
        <f t="shared" si="7"/>
        <v>PENDIDIKAN</v>
      </c>
      <c r="X502" s="5" t="str">
        <f>VLOOKUP(T502,'Data Angt'!$A$5:$H$5810,8,FALSE)</f>
        <v>Karyawan</v>
      </c>
      <c r="Y502" s="5" t="str">
        <f>VLOOKUP(T502,'Data Angt'!$A$5:$C$5808,3,FALSE)</f>
        <v>PBL</v>
      </c>
    </row>
    <row r="503" spans="1:25" x14ac:dyDescent="0.3">
      <c r="A503" s="8">
        <v>497</v>
      </c>
      <c r="B503" s="9" t="s">
        <v>8249</v>
      </c>
      <c r="C503" s="10" t="str">
        <f>VLOOKUP(B503,'Data Angt'!$A$5:$B$5809,2,FALSE)</f>
        <v>A3737</v>
      </c>
      <c r="D503" s="11" t="s">
        <v>9829</v>
      </c>
      <c r="E503" s="12" t="s">
        <v>16059</v>
      </c>
      <c r="F503" s="13">
        <v>45671</v>
      </c>
      <c r="G503" s="14">
        <v>45916</v>
      </c>
      <c r="H503" s="15">
        <v>5000000</v>
      </c>
      <c r="I503" s="16">
        <v>18</v>
      </c>
      <c r="J503" s="17">
        <v>24</v>
      </c>
      <c r="K503" s="9" t="s">
        <v>9831</v>
      </c>
      <c r="L503" s="10" t="s">
        <v>16060</v>
      </c>
      <c r="M503" s="9" t="s">
        <v>16061</v>
      </c>
      <c r="N503" s="10" t="s">
        <v>9828</v>
      </c>
      <c r="O503" s="15">
        <v>2995400</v>
      </c>
      <c r="P503" s="145">
        <v>249074</v>
      </c>
      <c r="Q503" s="9" t="s">
        <v>22189</v>
      </c>
      <c r="R503" s="146" t="s">
        <v>22645</v>
      </c>
      <c r="T503" s="92" t="s">
        <v>9117</v>
      </c>
      <c r="U503">
        <v>1</v>
      </c>
      <c r="V503">
        <f>VLOOKUP(T503,'Data Angt'!$A$5:$F$5810,6,FALSE)</f>
        <v>48</v>
      </c>
      <c r="W503" s="5" t="str">
        <f t="shared" si="7"/>
        <v>KONSUMTIF</v>
      </c>
      <c r="X503" s="5" t="str">
        <f>VLOOKUP(T503,'Data Angt'!$A$5:$H$5810,8,FALSE)</f>
        <v>Karyawan</v>
      </c>
      <c r="Y503" s="5" t="str">
        <f>VLOOKUP(T503,'Data Angt'!$A$5:$C$5808,3,FALSE)</f>
        <v>PBL</v>
      </c>
    </row>
    <row r="504" spans="1:25" x14ac:dyDescent="0.3">
      <c r="A504" s="8">
        <v>498</v>
      </c>
      <c r="B504" s="9" t="s">
        <v>8276</v>
      </c>
      <c r="C504" s="10" t="str">
        <f>VLOOKUP(B504,'Data Angt'!$A$5:$B$5809,2,FALSE)</f>
        <v>A3750</v>
      </c>
      <c r="D504" s="11" t="s">
        <v>9833</v>
      </c>
      <c r="E504" s="12" t="s">
        <v>16062</v>
      </c>
      <c r="F504" s="13">
        <v>45710</v>
      </c>
      <c r="G504" s="14">
        <v>45919</v>
      </c>
      <c r="H504" s="15">
        <v>5000000</v>
      </c>
      <c r="I504" s="16">
        <v>18</v>
      </c>
      <c r="J504" s="17">
        <v>24</v>
      </c>
      <c r="K504" s="9" t="s">
        <v>9831</v>
      </c>
      <c r="L504" s="10" t="s">
        <v>16063</v>
      </c>
      <c r="M504" s="9" t="s">
        <v>9962</v>
      </c>
      <c r="N504" s="10" t="s">
        <v>9834</v>
      </c>
      <c r="O504" s="15">
        <v>3263700</v>
      </c>
      <c r="P504" s="145">
        <v>224587</v>
      </c>
      <c r="Q504" s="9"/>
      <c r="R504" s="146"/>
      <c r="T504" s="92" t="s">
        <v>9130</v>
      </c>
      <c r="U504">
        <v>1</v>
      </c>
      <c r="V504">
        <f>VLOOKUP(T504,'Data Angt'!$A$5:$F$5810,6,FALSE)</f>
        <v>24</v>
      </c>
      <c r="W504" s="5" t="str">
        <f t="shared" si="7"/>
        <v>KONSUMTIF</v>
      </c>
      <c r="X504" s="5" t="str">
        <f>VLOOKUP(T504,'Data Angt'!$A$5:$H$5810,8,FALSE)</f>
        <v>Karyawan</v>
      </c>
      <c r="Y504" s="5" t="str">
        <f>VLOOKUP(T504,'Data Angt'!$A$5:$C$5808,3,FALSE)</f>
        <v>PBL</v>
      </c>
    </row>
    <row r="505" spans="1:25" x14ac:dyDescent="0.3">
      <c r="A505" s="8">
        <v>499</v>
      </c>
      <c r="B505" s="9" t="s">
        <v>8290</v>
      </c>
      <c r="C505" s="10" t="str">
        <f>VLOOKUP(B505,'Data Angt'!$A$5:$B$5809,2,FALSE)</f>
        <v>A3757</v>
      </c>
      <c r="D505" s="11" t="s">
        <v>9842</v>
      </c>
      <c r="E505" s="12" t="s">
        <v>10185</v>
      </c>
      <c r="F505" s="13">
        <v>44323</v>
      </c>
      <c r="G505" s="14">
        <v>45908</v>
      </c>
      <c r="H505" s="15">
        <v>100000000</v>
      </c>
      <c r="I505" s="16">
        <v>120</v>
      </c>
      <c r="J505" s="17">
        <v>11.4</v>
      </c>
      <c r="K505" s="9" t="s">
        <v>9831</v>
      </c>
      <c r="L505" s="10" t="s">
        <v>10186</v>
      </c>
      <c r="M505" s="9" t="s">
        <v>9855</v>
      </c>
      <c r="N505" s="10" t="s">
        <v>9830</v>
      </c>
      <c r="O505" s="15">
        <v>69902600</v>
      </c>
      <c r="P505" s="145">
        <v>16019311</v>
      </c>
      <c r="Q505" s="9"/>
      <c r="R505" s="146"/>
      <c r="T505" s="92" t="s">
        <v>9142</v>
      </c>
      <c r="U505">
        <v>1</v>
      </c>
      <c r="V505">
        <f>VLOOKUP(T505,'Data Angt'!$A$5:$F$5810,6,FALSE)</f>
        <v>28</v>
      </c>
      <c r="W505" s="5" t="str">
        <f t="shared" si="7"/>
        <v>KESEJAHTERAAN</v>
      </c>
      <c r="X505" s="5" t="str">
        <f>VLOOKUP(T505,'Data Angt'!$A$5:$H$5810,8,FALSE)</f>
        <v>Karyawan</v>
      </c>
      <c r="Y505" s="5" t="str">
        <f>VLOOKUP(T505,'Data Angt'!$A$5:$C$5808,3,FALSE)</f>
        <v>PBL</v>
      </c>
    </row>
    <row r="506" spans="1:25" x14ac:dyDescent="0.3">
      <c r="A506" s="8">
        <v>500</v>
      </c>
      <c r="B506" s="9" t="s">
        <v>8305</v>
      </c>
      <c r="C506" s="10" t="str">
        <f>VLOOKUP(B506,'Data Angt'!$A$5:$B$5809,2,FALSE)</f>
        <v>A3765</v>
      </c>
      <c r="D506" s="11" t="s">
        <v>9829</v>
      </c>
      <c r="E506" s="12" t="s">
        <v>16064</v>
      </c>
      <c r="F506" s="13">
        <v>45387</v>
      </c>
      <c r="G506" s="14">
        <v>45387</v>
      </c>
      <c r="H506" s="15">
        <v>1500000</v>
      </c>
      <c r="I506" s="16">
        <v>10</v>
      </c>
      <c r="J506" s="17">
        <v>24</v>
      </c>
      <c r="K506" s="9" t="s">
        <v>9831</v>
      </c>
      <c r="L506" s="10" t="s">
        <v>16065</v>
      </c>
      <c r="M506" s="9" t="s">
        <v>16066</v>
      </c>
      <c r="N506" s="10" t="s">
        <v>17</v>
      </c>
      <c r="O506" s="15">
        <v>1500000</v>
      </c>
      <c r="P506" s="147">
        <v>0</v>
      </c>
      <c r="Q506" s="9"/>
      <c r="R506" s="146"/>
      <c r="T506" s="92" t="s">
        <v>9174</v>
      </c>
      <c r="U506">
        <v>1</v>
      </c>
      <c r="V506">
        <f>VLOOKUP(T506,'Data Angt'!$A$5:$F$5810,6,FALSE)</f>
        <v>20</v>
      </c>
      <c r="W506" s="5" t="str">
        <f t="shared" si="7"/>
        <v>KONSUMTIF</v>
      </c>
      <c r="X506" s="5" t="str">
        <f>VLOOKUP(T506,'Data Angt'!$A$5:$H$5810,8,FALSE)</f>
        <v>Karyawan</v>
      </c>
      <c r="Y506" s="5" t="str">
        <f>VLOOKUP(T506,'Data Angt'!$A$5:$C$5808,3,FALSE)</f>
        <v>PBL</v>
      </c>
    </row>
    <row r="507" spans="1:25" x14ac:dyDescent="0.3">
      <c r="A507" s="8">
        <v>501</v>
      </c>
      <c r="B507" s="9" t="s">
        <v>8310</v>
      </c>
      <c r="C507" s="10" t="str">
        <f>VLOOKUP(B507,'Data Angt'!$A$5:$B$5809,2,FALSE)</f>
        <v>A3768</v>
      </c>
      <c r="D507" s="11" t="s">
        <v>9829</v>
      </c>
      <c r="E507" s="12" t="s">
        <v>16067</v>
      </c>
      <c r="F507" s="13">
        <v>45819</v>
      </c>
      <c r="G507" s="14">
        <v>45913</v>
      </c>
      <c r="H507" s="15">
        <v>100000000</v>
      </c>
      <c r="I507" s="16">
        <v>36</v>
      </c>
      <c r="J507" s="17">
        <v>21</v>
      </c>
      <c r="K507" s="9" t="s">
        <v>9831</v>
      </c>
      <c r="L507" s="10" t="s">
        <v>16068</v>
      </c>
      <c r="M507" s="9" t="s">
        <v>10721</v>
      </c>
      <c r="N507" s="10" t="s">
        <v>9828</v>
      </c>
      <c r="O507" s="15">
        <v>93840700</v>
      </c>
      <c r="P507" s="145">
        <v>1928812</v>
      </c>
      <c r="Q507" s="9" t="s">
        <v>22646</v>
      </c>
      <c r="R507" s="146" t="s">
        <v>22647</v>
      </c>
      <c r="T507" s="92" t="s">
        <v>9179</v>
      </c>
      <c r="U507">
        <v>1</v>
      </c>
      <c r="V507">
        <f>VLOOKUP(T507,'Data Angt'!$A$5:$F$5810,6,FALSE)</f>
        <v>40</v>
      </c>
      <c r="W507" s="5" t="str">
        <f t="shared" si="7"/>
        <v>PRODUKTIF</v>
      </c>
      <c r="X507" s="5" t="str">
        <f>VLOOKUP(T507,'Data Angt'!$A$5:$H$5810,8,FALSE)</f>
        <v>Karyawan</v>
      </c>
      <c r="Y507" s="5" t="str">
        <f>VLOOKUP(T507,'Data Angt'!$A$5:$C$5808,3,FALSE)</f>
        <v>PBL</v>
      </c>
    </row>
    <row r="508" spans="1:25" x14ac:dyDescent="0.3">
      <c r="A508" s="8">
        <v>502</v>
      </c>
      <c r="B508" s="9" t="s">
        <v>8313</v>
      </c>
      <c r="C508" s="10" t="str">
        <f>VLOOKUP(B508,'Data Angt'!$A$5:$B$5809,2,FALSE)</f>
        <v>A3769</v>
      </c>
      <c r="D508" s="11" t="s">
        <v>9829</v>
      </c>
      <c r="E508" s="12" t="s">
        <v>16069</v>
      </c>
      <c r="F508" s="13">
        <v>45759</v>
      </c>
      <c r="G508" s="14">
        <v>45912</v>
      </c>
      <c r="H508" s="15">
        <v>20000000</v>
      </c>
      <c r="I508" s="16">
        <v>24</v>
      </c>
      <c r="J508" s="17">
        <v>24</v>
      </c>
      <c r="K508" s="9" t="s">
        <v>9827</v>
      </c>
      <c r="L508" s="10" t="s">
        <v>16070</v>
      </c>
      <c r="M508" s="9" t="s">
        <v>10723</v>
      </c>
      <c r="N508" s="10" t="s">
        <v>9828</v>
      </c>
      <c r="O508" s="15">
        <v>15833000</v>
      </c>
      <c r="P508" s="145">
        <v>687562</v>
      </c>
      <c r="Q508" s="9" t="s">
        <v>22189</v>
      </c>
      <c r="R508" s="146" t="s">
        <v>22648</v>
      </c>
      <c r="T508" s="92" t="s">
        <v>9202</v>
      </c>
      <c r="U508">
        <v>1</v>
      </c>
      <c r="V508">
        <f>VLOOKUP(T508,'Data Angt'!$A$5:$F$5810,6,FALSE)</f>
        <v>53</v>
      </c>
      <c r="W508" s="5" t="str">
        <f t="shared" si="7"/>
        <v>PENDIDIKAN</v>
      </c>
      <c r="X508" s="5" t="str">
        <f>VLOOKUP(T508,'Data Angt'!$A$5:$H$5810,8,FALSE)</f>
        <v>Tenaga Pengajar</v>
      </c>
      <c r="Y508" s="5" t="str">
        <f>VLOOKUP(T508,'Data Angt'!$A$5:$C$5808,3,FALSE)</f>
        <v>PBL</v>
      </c>
    </row>
    <row r="509" spans="1:25" x14ac:dyDescent="0.3">
      <c r="A509" s="8">
        <v>503</v>
      </c>
      <c r="B509" s="9" t="s">
        <v>8413</v>
      </c>
      <c r="C509" s="10" t="str">
        <f>VLOOKUP(B509,'Data Angt'!$A$5:$B$5809,2,FALSE)</f>
        <v>A3814</v>
      </c>
      <c r="D509" s="11" t="s">
        <v>9833</v>
      </c>
      <c r="E509" s="12" t="s">
        <v>16071</v>
      </c>
      <c r="F509" s="13">
        <v>45374</v>
      </c>
      <c r="G509" s="14">
        <v>45621</v>
      </c>
      <c r="H509" s="15">
        <v>13000000</v>
      </c>
      <c r="I509" s="16">
        <v>24</v>
      </c>
      <c r="J509" s="17">
        <v>24</v>
      </c>
      <c r="K509" s="9" t="s">
        <v>9831</v>
      </c>
      <c r="L509" s="10" t="s">
        <v>16072</v>
      </c>
      <c r="M509" s="9" t="s">
        <v>16073</v>
      </c>
      <c r="N509" s="10" t="s">
        <v>9834</v>
      </c>
      <c r="O509" s="15">
        <v>9822900</v>
      </c>
      <c r="P509" s="145">
        <v>693861</v>
      </c>
      <c r="Q509" s="9" t="s">
        <v>22189</v>
      </c>
      <c r="R509" s="146" t="s">
        <v>22649</v>
      </c>
      <c r="T509" s="92" t="s">
        <v>9230</v>
      </c>
      <c r="U509">
        <v>1</v>
      </c>
      <c r="V509">
        <f>VLOOKUP(T509,'Data Angt'!$A$5:$F$5810,6,FALSE)</f>
        <v>43</v>
      </c>
      <c r="W509" s="5" t="str">
        <f t="shared" si="7"/>
        <v>PRODUKTIF</v>
      </c>
      <c r="X509" s="5" t="str">
        <f>VLOOKUP(T509,'Data Angt'!$A$5:$H$5810,8,FALSE)</f>
        <v>Karyawan</v>
      </c>
      <c r="Y509" s="5" t="str">
        <f>VLOOKUP(T509,'Data Angt'!$A$5:$C$5808,3,FALSE)</f>
        <v>PBL</v>
      </c>
    </row>
    <row r="510" spans="1:25" x14ac:dyDescent="0.3">
      <c r="A510" s="8">
        <v>504</v>
      </c>
      <c r="B510" s="9" t="s">
        <v>8413</v>
      </c>
      <c r="C510" s="10" t="str">
        <f>VLOOKUP(B510,'Data Angt'!$A$5:$B$5809,2,FALSE)</f>
        <v>A3814</v>
      </c>
      <c r="D510" s="11" t="s">
        <v>9826</v>
      </c>
      <c r="E510" s="12" t="s">
        <v>16074</v>
      </c>
      <c r="F510" s="13">
        <v>45442</v>
      </c>
      <c r="G510" s="14">
        <v>45621</v>
      </c>
      <c r="H510" s="15">
        <v>3000000</v>
      </c>
      <c r="I510" s="16">
        <v>12</v>
      </c>
      <c r="J510" s="17">
        <v>24</v>
      </c>
      <c r="K510" s="9" t="s">
        <v>9831</v>
      </c>
      <c r="L510" s="10" t="s">
        <v>16075</v>
      </c>
      <c r="M510" s="9" t="s">
        <v>16073</v>
      </c>
      <c r="N510" s="10" t="s">
        <v>9834</v>
      </c>
      <c r="O510" s="15">
        <v>2078200</v>
      </c>
      <c r="P510" s="145">
        <v>114675</v>
      </c>
      <c r="Q510" s="9"/>
      <c r="R510" s="146"/>
      <c r="T510" s="92" t="s">
        <v>9233</v>
      </c>
      <c r="U510">
        <v>1</v>
      </c>
      <c r="V510">
        <f>VLOOKUP(T510,'Data Angt'!$A$5:$F$5810,6,FALSE)</f>
        <v>53</v>
      </c>
      <c r="W510" s="5" t="str">
        <f t="shared" si="7"/>
        <v>KESEJAHTERAAN</v>
      </c>
      <c r="X510" s="5" t="str">
        <f>VLOOKUP(T510,'Data Angt'!$A$5:$H$5810,8,FALSE)</f>
        <v>Karyawan</v>
      </c>
      <c r="Y510" s="5" t="str">
        <f>VLOOKUP(T510,'Data Angt'!$A$5:$C$5808,3,FALSE)</f>
        <v>PBL</v>
      </c>
    </row>
    <row r="511" spans="1:25" x14ac:dyDescent="0.3">
      <c r="A511" s="8">
        <v>505</v>
      </c>
      <c r="B511" s="9" t="s">
        <v>8421</v>
      </c>
      <c r="C511" s="10" t="str">
        <f>VLOOKUP(B511,'Data Angt'!$A$5:$B$5809,2,FALSE)</f>
        <v>A3817</v>
      </c>
      <c r="D511" s="11" t="s">
        <v>9829</v>
      </c>
      <c r="E511" s="12" t="s">
        <v>16076</v>
      </c>
      <c r="F511" s="13">
        <v>45834</v>
      </c>
      <c r="G511" s="14">
        <v>45908</v>
      </c>
      <c r="H511" s="15">
        <v>10000000</v>
      </c>
      <c r="I511" s="16">
        <v>18</v>
      </c>
      <c r="J511" s="17">
        <v>24</v>
      </c>
      <c r="K511" s="9" t="s">
        <v>9831</v>
      </c>
      <c r="L511" s="10" t="s">
        <v>16077</v>
      </c>
      <c r="M511" s="9" t="s">
        <v>9838</v>
      </c>
      <c r="N511" s="10" t="s">
        <v>9830</v>
      </c>
      <c r="O511" s="15">
        <v>8570600</v>
      </c>
      <c r="P511" s="145">
        <v>214462</v>
      </c>
      <c r="Q511" s="9" t="s">
        <v>22189</v>
      </c>
      <c r="R511" s="146" t="s">
        <v>22650</v>
      </c>
      <c r="T511" s="92" t="s">
        <v>9254</v>
      </c>
      <c r="U511">
        <v>1</v>
      </c>
      <c r="V511">
        <f>VLOOKUP(T511,'Data Angt'!$A$5:$F$5810,6,FALSE)</f>
        <v>47</v>
      </c>
      <c r="W511" s="5" t="str">
        <f t="shared" si="7"/>
        <v>PRODUKTIF</v>
      </c>
      <c r="X511" s="5" t="str">
        <f>VLOOKUP(T511,'Data Angt'!$A$5:$H$5810,8,FALSE)</f>
        <v>Wiraswasta</v>
      </c>
      <c r="Y511" s="5" t="str">
        <f>VLOOKUP(T511,'Data Angt'!$A$5:$C$5808,3,FALSE)</f>
        <v>PBL</v>
      </c>
    </row>
    <row r="512" spans="1:25" x14ac:dyDescent="0.3">
      <c r="A512" s="8">
        <v>506</v>
      </c>
      <c r="B512" s="9" t="s">
        <v>8427</v>
      </c>
      <c r="C512" s="10" t="str">
        <f>VLOOKUP(B512,'Data Angt'!$A$5:$B$5809,2,FALSE)</f>
        <v>A3820</v>
      </c>
      <c r="D512" s="11" t="s">
        <v>9833</v>
      </c>
      <c r="E512" s="12" t="s">
        <v>16078</v>
      </c>
      <c r="F512" s="13">
        <v>45741</v>
      </c>
      <c r="G512" s="14">
        <v>45922</v>
      </c>
      <c r="H512" s="15">
        <v>2500000</v>
      </c>
      <c r="I512" s="16">
        <v>12</v>
      </c>
      <c r="J512" s="17">
        <v>24</v>
      </c>
      <c r="K512" s="9" t="s">
        <v>9831</v>
      </c>
      <c r="L512" s="10" t="s">
        <v>16079</v>
      </c>
      <c r="M512" s="9" t="s">
        <v>10105</v>
      </c>
      <c r="N512" s="10" t="s">
        <v>9834</v>
      </c>
      <c r="O512" s="15">
        <v>1324400</v>
      </c>
      <c r="P512" s="145">
        <v>91048</v>
      </c>
      <c r="Q512" s="9"/>
      <c r="R512" s="146"/>
      <c r="T512" s="92" t="s">
        <v>9291</v>
      </c>
      <c r="U512">
        <v>1</v>
      </c>
      <c r="V512">
        <f>VLOOKUP(T512,'Data Angt'!$A$5:$F$5810,6,FALSE)</f>
        <v>26</v>
      </c>
      <c r="W512" s="5" t="str">
        <f t="shared" si="7"/>
        <v>KESEJAHTERAAN</v>
      </c>
      <c r="X512" s="5" t="str">
        <f>VLOOKUP(T512,'Data Angt'!$A$5:$H$5810,8,FALSE)</f>
        <v>Karyawan</v>
      </c>
      <c r="Y512" s="5" t="str">
        <f>VLOOKUP(T512,'Data Angt'!$A$5:$C$5808,3,FALSE)</f>
        <v>PBL</v>
      </c>
    </row>
    <row r="513" spans="1:25" x14ac:dyDescent="0.3">
      <c r="A513" s="8">
        <v>507</v>
      </c>
      <c r="B513" s="9" t="s">
        <v>8428</v>
      </c>
      <c r="C513" s="10" t="str">
        <f>VLOOKUP(B513,'Data Angt'!$A$5:$B$5809,2,FALSE)</f>
        <v>A3821</v>
      </c>
      <c r="D513" s="11" t="s">
        <v>9833</v>
      </c>
      <c r="E513" s="12" t="s">
        <v>16080</v>
      </c>
      <c r="F513" s="13">
        <v>45512</v>
      </c>
      <c r="G513" s="14">
        <v>45908</v>
      </c>
      <c r="H513" s="15">
        <v>15000000</v>
      </c>
      <c r="I513" s="16">
        <v>24</v>
      </c>
      <c r="J513" s="17">
        <v>24</v>
      </c>
      <c r="K513" s="9" t="s">
        <v>9831</v>
      </c>
      <c r="L513" s="10" t="s">
        <v>16081</v>
      </c>
      <c r="M513" s="9" t="s">
        <v>9854</v>
      </c>
      <c r="N513" s="10" t="s">
        <v>17</v>
      </c>
      <c r="O513" s="15">
        <v>7761800</v>
      </c>
      <c r="P513" s="145">
        <v>1152034</v>
      </c>
      <c r="Q513" s="9" t="s">
        <v>22248</v>
      </c>
      <c r="R513" s="146" t="s">
        <v>22651</v>
      </c>
      <c r="T513" s="92" t="s">
        <v>9304</v>
      </c>
      <c r="U513">
        <v>2</v>
      </c>
      <c r="V513">
        <f>VLOOKUP(T513,'Data Angt'!$A$5:$F$5810,6,FALSE)</f>
        <v>40</v>
      </c>
      <c r="W513" s="5" t="str">
        <f t="shared" si="7"/>
        <v>PENDIDIKAN</v>
      </c>
      <c r="X513" s="5" t="str">
        <f>VLOOKUP(T513,'Data Angt'!$A$5:$H$5810,8,FALSE)</f>
        <v>Karyawan</v>
      </c>
      <c r="Y513" s="5" t="str">
        <f>VLOOKUP(T513,'Data Angt'!$A$5:$C$5808,3,FALSE)</f>
        <v>PBL</v>
      </c>
    </row>
    <row r="514" spans="1:25" x14ac:dyDescent="0.3">
      <c r="A514" s="8">
        <v>508</v>
      </c>
      <c r="B514" s="9" t="s">
        <v>8428</v>
      </c>
      <c r="C514" s="10" t="str">
        <f>VLOOKUP(B514,'Data Angt'!$A$5:$B$5809,2,FALSE)</f>
        <v>A3821</v>
      </c>
      <c r="D514" s="11" t="s">
        <v>9826</v>
      </c>
      <c r="E514" s="12" t="s">
        <v>16082</v>
      </c>
      <c r="F514" s="13">
        <v>45671</v>
      </c>
      <c r="G514" s="14">
        <v>45915</v>
      </c>
      <c r="H514" s="15">
        <v>4000000</v>
      </c>
      <c r="I514" s="16">
        <v>12</v>
      </c>
      <c r="J514" s="17">
        <v>24</v>
      </c>
      <c r="K514" s="9" t="s">
        <v>9831</v>
      </c>
      <c r="L514" s="10" t="s">
        <v>16083</v>
      </c>
      <c r="M514" s="9" t="s">
        <v>9866</v>
      </c>
      <c r="N514" s="10" t="s">
        <v>17</v>
      </c>
      <c r="O514" s="15">
        <v>1440100</v>
      </c>
      <c r="P514" s="145">
        <v>174936</v>
      </c>
      <c r="Q514" s="9"/>
      <c r="R514" s="146"/>
      <c r="T514" s="92" t="s">
        <v>9306</v>
      </c>
      <c r="U514">
        <v>1</v>
      </c>
      <c r="V514">
        <f>VLOOKUP(T514,'Data Angt'!$A$5:$F$5810,6,FALSE)</f>
        <v>28</v>
      </c>
      <c r="W514" s="5" t="str">
        <f t="shared" si="7"/>
        <v>KONSUMTIF</v>
      </c>
      <c r="X514" s="5">
        <f>VLOOKUP(T514,'Data Angt'!$A$5:$H$5810,8,FALSE)</f>
        <v>0</v>
      </c>
      <c r="Y514" s="5" t="str">
        <f>VLOOKUP(T514,'Data Angt'!$A$5:$C$5808,3,FALSE)</f>
        <v>PBL</v>
      </c>
    </row>
    <row r="515" spans="1:25" x14ac:dyDescent="0.3">
      <c r="A515" s="8">
        <v>509</v>
      </c>
      <c r="B515" s="9" t="s">
        <v>8465</v>
      </c>
      <c r="C515" s="10" t="str">
        <f>VLOOKUP(B515,'Data Angt'!$A$5:$B$5809,2,FALSE)</f>
        <v>A3840</v>
      </c>
      <c r="D515" s="11" t="s">
        <v>9829</v>
      </c>
      <c r="E515" s="12" t="s">
        <v>16084</v>
      </c>
      <c r="F515" s="13">
        <v>45787</v>
      </c>
      <c r="G515" s="14">
        <v>45910</v>
      </c>
      <c r="H515" s="15">
        <v>4000000</v>
      </c>
      <c r="I515" s="16">
        <v>10</v>
      </c>
      <c r="J515" s="17">
        <v>24</v>
      </c>
      <c r="K515" s="9" t="s">
        <v>9831</v>
      </c>
      <c r="L515" s="10" t="s">
        <v>16085</v>
      </c>
      <c r="M515" s="9" t="s">
        <v>16086</v>
      </c>
      <c r="N515" s="10" t="s">
        <v>9828</v>
      </c>
      <c r="O515" s="15">
        <v>2494100</v>
      </c>
      <c r="P515" s="145">
        <v>103386</v>
      </c>
      <c r="Q515" s="9"/>
      <c r="R515" s="146"/>
      <c r="T515" s="92" t="s">
        <v>9313</v>
      </c>
      <c r="U515">
        <v>1</v>
      </c>
      <c r="V515">
        <f>VLOOKUP(T515,'Data Angt'!$A$5:$F$5810,6,FALSE)</f>
        <v>55</v>
      </c>
      <c r="W515" s="5" t="str">
        <f t="shared" si="7"/>
        <v>PRODUKTIF</v>
      </c>
      <c r="X515" s="5">
        <f>VLOOKUP(T515,'Data Angt'!$A$5:$H$5810,8,FALSE)</f>
        <v>0</v>
      </c>
      <c r="Y515" s="5" t="str">
        <f>VLOOKUP(T515,'Data Angt'!$A$5:$C$5808,3,FALSE)</f>
        <v>PBL</v>
      </c>
    </row>
    <row r="516" spans="1:25" x14ac:dyDescent="0.3">
      <c r="A516" s="8">
        <v>510</v>
      </c>
      <c r="B516" s="9" t="s">
        <v>8470</v>
      </c>
      <c r="C516" s="10" t="str">
        <f>VLOOKUP(B516,'Data Angt'!$A$5:$B$5809,2,FALSE)</f>
        <v>A3842</v>
      </c>
      <c r="D516" s="11" t="s">
        <v>9833</v>
      </c>
      <c r="E516" s="12" t="s">
        <v>16087</v>
      </c>
      <c r="F516" s="13">
        <v>45321</v>
      </c>
      <c r="G516" s="14">
        <v>45868</v>
      </c>
      <c r="H516" s="15">
        <v>8000000</v>
      </c>
      <c r="I516" s="16">
        <v>24</v>
      </c>
      <c r="J516" s="17">
        <v>24</v>
      </c>
      <c r="K516" s="9" t="s">
        <v>9831</v>
      </c>
      <c r="L516" s="10" t="s">
        <v>16088</v>
      </c>
      <c r="M516" s="9" t="s">
        <v>16089</v>
      </c>
      <c r="N516" s="10" t="s">
        <v>9834</v>
      </c>
      <c r="O516" s="15">
        <v>5435100</v>
      </c>
      <c r="P516" s="145">
        <v>780599</v>
      </c>
      <c r="Q516" s="9" t="s">
        <v>22189</v>
      </c>
      <c r="R516" s="146" t="s">
        <v>22652</v>
      </c>
      <c r="T516" s="92" t="s">
        <v>9325</v>
      </c>
      <c r="U516">
        <v>1</v>
      </c>
      <c r="V516">
        <f>VLOOKUP(T516,'Data Angt'!$A$5:$F$5810,6,FALSE)</f>
        <v>35</v>
      </c>
      <c r="W516" s="5" t="str">
        <f t="shared" si="7"/>
        <v>KESEJAHTERAAN</v>
      </c>
      <c r="X516" s="5" t="str">
        <f>VLOOKUP(T516,'Data Angt'!$A$5:$H$5810,8,FALSE)</f>
        <v>Karyawan</v>
      </c>
      <c r="Y516" s="5" t="str">
        <f>VLOOKUP(T516,'Data Angt'!$A$5:$C$5808,3,FALSE)</f>
        <v>PBL</v>
      </c>
    </row>
    <row r="517" spans="1:25" x14ac:dyDescent="0.3">
      <c r="A517" s="8">
        <v>511</v>
      </c>
      <c r="B517" s="9" t="s">
        <v>8476</v>
      </c>
      <c r="C517" s="10" t="str">
        <f>VLOOKUP(B517,'Data Angt'!$A$5:$B$5809,2,FALSE)</f>
        <v>A3844</v>
      </c>
      <c r="D517" s="11" t="s">
        <v>9895</v>
      </c>
      <c r="E517" s="12" t="s">
        <v>16090</v>
      </c>
      <c r="F517" s="13">
        <v>45418</v>
      </c>
      <c r="G517" s="14">
        <v>45903</v>
      </c>
      <c r="H517" s="15">
        <v>24000000</v>
      </c>
      <c r="I517" s="16">
        <v>24</v>
      </c>
      <c r="J517" s="17">
        <v>24</v>
      </c>
      <c r="K517" s="9" t="s">
        <v>9831</v>
      </c>
      <c r="L517" s="10" t="s">
        <v>16091</v>
      </c>
      <c r="M517" s="9" t="s">
        <v>10076</v>
      </c>
      <c r="N517" s="10" t="s">
        <v>9828</v>
      </c>
      <c r="O517" s="15">
        <v>9294400</v>
      </c>
      <c r="P517" s="145">
        <v>2099397</v>
      </c>
      <c r="Q517" s="9" t="s">
        <v>22276</v>
      </c>
      <c r="R517" s="146" t="s">
        <v>22653</v>
      </c>
      <c r="T517" s="92" t="s">
        <v>9341</v>
      </c>
      <c r="U517">
        <v>1</v>
      </c>
      <c r="V517">
        <f>VLOOKUP(T517,'Data Angt'!$A$5:$F$5810,6,FALSE)</f>
        <v>56</v>
      </c>
      <c r="W517" s="5" t="str">
        <f t="shared" si="7"/>
        <v>PRODUKTIF</v>
      </c>
      <c r="X517" s="5" t="str">
        <f>VLOOKUP(T517,'Data Angt'!$A$5:$H$5810,8,FALSE)</f>
        <v>Wiraswasta</v>
      </c>
      <c r="Y517" s="5" t="str">
        <f>VLOOKUP(T517,'Data Angt'!$A$5:$C$5808,3,FALSE)</f>
        <v>PBL</v>
      </c>
    </row>
    <row r="518" spans="1:25" x14ac:dyDescent="0.3">
      <c r="A518" s="8">
        <v>512</v>
      </c>
      <c r="B518" s="9" t="s">
        <v>8497</v>
      </c>
      <c r="C518" s="10" t="str">
        <f>VLOOKUP(B518,'Data Angt'!$A$5:$B$5809,2,FALSE)</f>
        <v>A3853</v>
      </c>
      <c r="D518" s="11" t="s">
        <v>9829</v>
      </c>
      <c r="E518" s="12" t="s">
        <v>16092</v>
      </c>
      <c r="F518" s="13">
        <v>45775</v>
      </c>
      <c r="G518" s="14">
        <v>45920</v>
      </c>
      <c r="H518" s="15">
        <v>2400000</v>
      </c>
      <c r="I518" s="16">
        <v>12</v>
      </c>
      <c r="J518" s="17">
        <v>11.88</v>
      </c>
      <c r="K518" s="9" t="s">
        <v>9831</v>
      </c>
      <c r="L518" s="10" t="s">
        <v>16093</v>
      </c>
      <c r="M518" s="9" t="s">
        <v>16094</v>
      </c>
      <c r="N518" s="10" t="s">
        <v>9828</v>
      </c>
      <c r="O518" s="15">
        <v>1434000</v>
      </c>
      <c r="P518" s="145">
        <v>37499</v>
      </c>
      <c r="Q518" s="9"/>
      <c r="R518" s="146"/>
      <c r="T518" s="92" t="s">
        <v>9352</v>
      </c>
      <c r="U518">
        <v>1</v>
      </c>
      <c r="V518">
        <f>VLOOKUP(T518,'Data Angt'!$A$5:$F$5810,6,FALSE)</f>
        <v>38</v>
      </c>
      <c r="W518" s="5" t="str">
        <f t="shared" si="7"/>
        <v>PRODUKTIF</v>
      </c>
      <c r="X518" s="5" t="str">
        <f>VLOOKUP(T518,'Data Angt'!$A$5:$H$5810,8,FALSE)</f>
        <v>Wiraswasta</v>
      </c>
      <c r="Y518" s="5" t="str">
        <f>VLOOKUP(T518,'Data Angt'!$A$5:$C$5808,3,FALSE)</f>
        <v>PBL</v>
      </c>
    </row>
    <row r="519" spans="1:25" x14ac:dyDescent="0.3">
      <c r="A519" s="8">
        <v>513</v>
      </c>
      <c r="B519" s="9" t="s">
        <v>8513</v>
      </c>
      <c r="C519" s="10" t="str">
        <f>VLOOKUP(B519,'Data Angt'!$A$5:$B$5809,2,FALSE)</f>
        <v>A3862</v>
      </c>
      <c r="D519" s="11" t="s">
        <v>9833</v>
      </c>
      <c r="E519" s="12" t="s">
        <v>16095</v>
      </c>
      <c r="F519" s="13">
        <v>45637</v>
      </c>
      <c r="G519" s="14">
        <v>45911</v>
      </c>
      <c r="H519" s="15">
        <v>5000000</v>
      </c>
      <c r="I519" s="16">
        <v>15</v>
      </c>
      <c r="J519" s="17">
        <v>24</v>
      </c>
      <c r="K519" s="9" t="s">
        <v>9831</v>
      </c>
      <c r="L519" s="10" t="s">
        <v>16096</v>
      </c>
      <c r="M519" s="9" t="s">
        <v>9977</v>
      </c>
      <c r="N519" s="10" t="s">
        <v>9834</v>
      </c>
      <c r="O519" s="15">
        <v>2179600</v>
      </c>
      <c r="P519" s="145">
        <v>255899</v>
      </c>
      <c r="Q519" s="9" t="s">
        <v>22189</v>
      </c>
      <c r="R519" s="146" t="s">
        <v>22654</v>
      </c>
      <c r="T519" s="92" t="s">
        <v>9357</v>
      </c>
      <c r="U519">
        <v>1</v>
      </c>
      <c r="V519">
        <f>VLOOKUP(T519,'Data Angt'!$A$5:$F$5810,6,FALSE)</f>
        <v>39</v>
      </c>
      <c r="W519" s="5" t="str">
        <f t="shared" ref="W519:W582" si="8">VLOOKUP(T519,$B$7:$N$1869,13,FALSE)</f>
        <v>KONSUMTIF</v>
      </c>
      <c r="X519" s="5" t="str">
        <f>VLOOKUP(T519,'Data Angt'!$A$5:$H$5810,8,FALSE)</f>
        <v>Karyawan</v>
      </c>
      <c r="Y519" s="5" t="str">
        <f>VLOOKUP(T519,'Data Angt'!$A$5:$C$5808,3,FALSE)</f>
        <v>PBL</v>
      </c>
    </row>
    <row r="520" spans="1:25" x14ac:dyDescent="0.3">
      <c r="A520" s="8">
        <v>514</v>
      </c>
      <c r="B520" s="9" t="s">
        <v>8550</v>
      </c>
      <c r="C520" s="10" t="str">
        <f>VLOOKUP(B520,'Data Angt'!$A$5:$B$5809,2,FALSE)</f>
        <v>A3878</v>
      </c>
      <c r="D520" s="11" t="s">
        <v>9833</v>
      </c>
      <c r="E520" s="12" t="s">
        <v>16097</v>
      </c>
      <c r="F520" s="13">
        <v>45691</v>
      </c>
      <c r="G520" s="14">
        <v>45904</v>
      </c>
      <c r="H520" s="15">
        <v>6500000</v>
      </c>
      <c r="I520" s="16">
        <v>18</v>
      </c>
      <c r="J520" s="17">
        <v>24</v>
      </c>
      <c r="K520" s="9" t="s">
        <v>9831</v>
      </c>
      <c r="L520" s="10" t="s">
        <v>16098</v>
      </c>
      <c r="M520" s="9" t="s">
        <v>16099</v>
      </c>
      <c r="N520" s="10" t="s">
        <v>9834</v>
      </c>
      <c r="O520" s="15">
        <v>4243400</v>
      </c>
      <c r="P520" s="145">
        <v>291974</v>
      </c>
      <c r="Q520" s="9" t="s">
        <v>22189</v>
      </c>
      <c r="R520" s="146" t="s">
        <v>22655</v>
      </c>
      <c r="T520" s="92" t="s">
        <v>9383</v>
      </c>
      <c r="U520">
        <v>1</v>
      </c>
      <c r="V520">
        <f>VLOOKUP(T520,'Data Angt'!$A$5:$F$5810,6,FALSE)</f>
        <v>58</v>
      </c>
      <c r="W520" s="5" t="str">
        <f t="shared" si="8"/>
        <v>PRODUKTIF</v>
      </c>
      <c r="X520" s="5" t="str">
        <f>VLOOKUP(T520,'Data Angt'!$A$5:$H$5810,8,FALSE)</f>
        <v>Aparatur/Pejabat Negara</v>
      </c>
      <c r="Y520" s="5" t="str">
        <f>VLOOKUP(T520,'Data Angt'!$A$5:$C$5808,3,FALSE)</f>
        <v>PBL</v>
      </c>
    </row>
    <row r="521" spans="1:25" x14ac:dyDescent="0.3">
      <c r="A521" s="8">
        <v>515</v>
      </c>
      <c r="B521" s="9" t="s">
        <v>8550</v>
      </c>
      <c r="C521" s="10" t="str">
        <f>VLOOKUP(B521,'Data Angt'!$A$5:$B$5809,2,FALSE)</f>
        <v>A3878</v>
      </c>
      <c r="D521" s="11" t="s">
        <v>9826</v>
      </c>
      <c r="E521" s="12" t="s">
        <v>22656</v>
      </c>
      <c r="F521" s="13">
        <v>45839</v>
      </c>
      <c r="G521" s="14">
        <v>45904</v>
      </c>
      <c r="H521" s="15">
        <v>1000000</v>
      </c>
      <c r="I521" s="16">
        <v>5</v>
      </c>
      <c r="J521" s="17">
        <v>24</v>
      </c>
      <c r="K521" s="9" t="s">
        <v>9831</v>
      </c>
      <c r="L521" s="10" t="s">
        <v>22657</v>
      </c>
      <c r="M521" s="9" t="s">
        <v>22658</v>
      </c>
      <c r="N521" s="10" t="s">
        <v>17</v>
      </c>
      <c r="O521" s="15">
        <v>611800</v>
      </c>
      <c r="P521" s="145">
        <v>13575</v>
      </c>
      <c r="Q521" s="9"/>
      <c r="R521" s="146"/>
      <c r="T521" s="92" t="s">
        <v>9395</v>
      </c>
      <c r="U521">
        <v>1</v>
      </c>
      <c r="V521">
        <f>VLOOKUP(T521,'Data Angt'!$A$5:$F$5810,6,FALSE)</f>
        <v>48</v>
      </c>
      <c r="W521" s="5" t="str">
        <f t="shared" si="8"/>
        <v>PRODUKTIF</v>
      </c>
      <c r="X521" s="5" t="str">
        <f>VLOOKUP(T521,'Data Angt'!$A$5:$H$5810,8,FALSE)</f>
        <v>Wiraswasta</v>
      </c>
      <c r="Y521" s="5" t="str">
        <f>VLOOKUP(T521,'Data Angt'!$A$5:$C$5808,3,FALSE)</f>
        <v>PBL</v>
      </c>
    </row>
    <row r="522" spans="1:25" x14ac:dyDescent="0.3">
      <c r="A522" s="8">
        <v>516</v>
      </c>
      <c r="B522" s="9" t="s">
        <v>8581</v>
      </c>
      <c r="C522" s="10" t="str">
        <f>VLOOKUP(B522,'Data Angt'!$A$5:$B$5809,2,FALSE)</f>
        <v>A3891</v>
      </c>
      <c r="D522" s="11" t="s">
        <v>9826</v>
      </c>
      <c r="E522" s="12" t="s">
        <v>16100</v>
      </c>
      <c r="F522" s="13">
        <v>45794</v>
      </c>
      <c r="G522" s="14">
        <v>45901</v>
      </c>
      <c r="H522" s="15">
        <v>5000000</v>
      </c>
      <c r="I522" s="16">
        <v>6</v>
      </c>
      <c r="J522" s="17">
        <v>24</v>
      </c>
      <c r="K522" s="9" t="s">
        <v>9831</v>
      </c>
      <c r="L522" s="10" t="s">
        <v>16101</v>
      </c>
      <c r="M522" s="9" t="s">
        <v>16102</v>
      </c>
      <c r="N522" s="10" t="s">
        <v>9828</v>
      </c>
      <c r="O522" s="15">
        <v>1732900</v>
      </c>
      <c r="P522" s="145">
        <v>113887</v>
      </c>
      <c r="Q522" s="9"/>
      <c r="R522" s="146"/>
      <c r="T522" s="92" t="s">
        <v>9407</v>
      </c>
      <c r="U522">
        <v>2</v>
      </c>
      <c r="V522">
        <f>VLOOKUP(T522,'Data Angt'!$A$5:$F$5810,6,FALSE)</f>
        <v>56</v>
      </c>
      <c r="W522" s="5" t="str">
        <f t="shared" si="8"/>
        <v>PENDIDIKAN</v>
      </c>
      <c r="X522" s="5" t="str">
        <f>VLOOKUP(T522,'Data Angt'!$A$5:$H$5810,8,FALSE)</f>
        <v>Karyawan</v>
      </c>
      <c r="Y522" s="5" t="str">
        <f>VLOOKUP(T522,'Data Angt'!$A$5:$C$5808,3,FALSE)</f>
        <v>PBL</v>
      </c>
    </row>
    <row r="523" spans="1:25" x14ac:dyDescent="0.3">
      <c r="A523" s="8">
        <v>517</v>
      </c>
      <c r="B523" s="9" t="s">
        <v>8581</v>
      </c>
      <c r="C523" s="10" t="str">
        <f>VLOOKUP(B523,'Data Angt'!$A$5:$B$5809,2,FALSE)</f>
        <v>A3891</v>
      </c>
      <c r="D523" s="11" t="s">
        <v>9829</v>
      </c>
      <c r="E523" s="12" t="s">
        <v>22659</v>
      </c>
      <c r="F523" s="13">
        <v>45903</v>
      </c>
      <c r="G523" s="14">
        <v>45903</v>
      </c>
      <c r="H523" s="15">
        <v>15000000</v>
      </c>
      <c r="I523" s="16">
        <v>12</v>
      </c>
      <c r="J523" s="17">
        <v>24</v>
      </c>
      <c r="K523" s="9" t="s">
        <v>9831</v>
      </c>
      <c r="L523" s="10" t="s">
        <v>22660</v>
      </c>
      <c r="M523" s="9" t="s">
        <v>22661</v>
      </c>
      <c r="N523" s="10" t="s">
        <v>9828</v>
      </c>
      <c r="O523" s="15">
        <v>15000000</v>
      </c>
      <c r="P523" s="147">
        <v>0</v>
      </c>
      <c r="Q523" s="9" t="s">
        <v>22200</v>
      </c>
      <c r="R523" s="146" t="s">
        <v>22662</v>
      </c>
      <c r="T523" s="92" t="s">
        <v>9481</v>
      </c>
      <c r="U523">
        <v>1</v>
      </c>
      <c r="V523">
        <f>VLOOKUP(T523,'Data Angt'!$A$5:$F$5810,6,FALSE)</f>
        <v>32</v>
      </c>
      <c r="W523" s="5" t="str">
        <f t="shared" si="8"/>
        <v>KESEJAHTERAAN</v>
      </c>
      <c r="X523" s="5" t="str">
        <f>VLOOKUP(T523,'Data Angt'!$A$5:$H$5810,8,FALSE)</f>
        <v>Karyawan</v>
      </c>
      <c r="Y523" s="5" t="str">
        <f>VLOOKUP(T523,'Data Angt'!$A$5:$C$5808,3,FALSE)</f>
        <v>PBL</v>
      </c>
    </row>
    <row r="524" spans="1:25" x14ac:dyDescent="0.3">
      <c r="A524" s="8">
        <v>518</v>
      </c>
      <c r="B524" s="9" t="s">
        <v>8591</v>
      </c>
      <c r="C524" s="10" t="str">
        <f>VLOOKUP(B524,'Data Angt'!$A$5:$B$5809,2,FALSE)</f>
        <v>A3897</v>
      </c>
      <c r="D524" s="11" t="s">
        <v>9895</v>
      </c>
      <c r="E524" s="12" t="s">
        <v>10189</v>
      </c>
      <c r="F524" s="13">
        <v>45145</v>
      </c>
      <c r="G524" s="14">
        <v>45910</v>
      </c>
      <c r="H524" s="15">
        <v>20000000</v>
      </c>
      <c r="I524" s="16">
        <v>36</v>
      </c>
      <c r="J524" s="17">
        <v>24</v>
      </c>
      <c r="K524" s="9" t="s">
        <v>9831</v>
      </c>
      <c r="L524" s="10" t="s">
        <v>10190</v>
      </c>
      <c r="M524" s="9" t="s">
        <v>10191</v>
      </c>
      <c r="N524" s="10" t="s">
        <v>9828</v>
      </c>
      <c r="O524" s="15">
        <v>7679300</v>
      </c>
      <c r="P524" s="145">
        <v>2736293</v>
      </c>
      <c r="Q524" s="9" t="s">
        <v>22189</v>
      </c>
      <c r="R524" s="146" t="s">
        <v>22663</v>
      </c>
      <c r="T524" s="92" t="s">
        <v>9494</v>
      </c>
      <c r="U524">
        <v>1</v>
      </c>
      <c r="V524">
        <f>VLOOKUP(T524,'Data Angt'!$A$5:$F$5810,6,FALSE)</f>
        <v>27</v>
      </c>
      <c r="W524" s="5" t="str">
        <f t="shared" si="8"/>
        <v>KONSUMTIF</v>
      </c>
      <c r="X524" s="5" t="str">
        <f>VLOOKUP(T524,'Data Angt'!$A$5:$H$5810,8,FALSE)</f>
        <v>Karyawan</v>
      </c>
      <c r="Y524" s="5" t="str">
        <f>VLOOKUP(T524,'Data Angt'!$A$5:$C$5808,3,FALSE)</f>
        <v>PBL</v>
      </c>
    </row>
    <row r="525" spans="1:25" x14ac:dyDescent="0.3">
      <c r="A525" s="8">
        <v>519</v>
      </c>
      <c r="B525" s="9" t="s">
        <v>8602</v>
      </c>
      <c r="C525" s="10" t="str">
        <f>VLOOKUP(B525,'Data Angt'!$A$5:$B$5809,2,FALSE)</f>
        <v>A3902</v>
      </c>
      <c r="D525" s="11" t="s">
        <v>9833</v>
      </c>
      <c r="E525" s="12" t="s">
        <v>16103</v>
      </c>
      <c r="F525" s="13">
        <v>45357</v>
      </c>
      <c r="G525" s="14">
        <v>45903</v>
      </c>
      <c r="H525" s="15">
        <v>15000000</v>
      </c>
      <c r="I525" s="16">
        <v>24</v>
      </c>
      <c r="J525" s="17">
        <v>24</v>
      </c>
      <c r="K525" s="9" t="s">
        <v>9831</v>
      </c>
      <c r="L525" s="10" t="s">
        <v>16104</v>
      </c>
      <c r="M525" s="9" t="s">
        <v>16105</v>
      </c>
      <c r="N525" s="10" t="s">
        <v>9834</v>
      </c>
      <c r="O525" s="15">
        <v>4442500</v>
      </c>
      <c r="P525" s="145">
        <v>1394357</v>
      </c>
      <c r="Q525" s="9" t="s">
        <v>22664</v>
      </c>
      <c r="R525" s="146" t="s">
        <v>22665</v>
      </c>
      <c r="T525" s="92" t="s">
        <v>9499</v>
      </c>
      <c r="U525">
        <v>1</v>
      </c>
      <c r="V525">
        <f>VLOOKUP(T525,'Data Angt'!$A$5:$F$5810,6,FALSE)</f>
        <v>65</v>
      </c>
      <c r="W525" s="5" t="str">
        <f t="shared" si="8"/>
        <v>KESEJAHTERAAN</v>
      </c>
      <c r="X525" s="5" t="str">
        <f>VLOOKUP(T525,'Data Angt'!$A$5:$H$5810,8,FALSE)</f>
        <v>Karyawan</v>
      </c>
      <c r="Y525" s="5" t="str">
        <f>VLOOKUP(T525,'Data Angt'!$A$5:$C$5808,3,FALSE)</f>
        <v>PBL</v>
      </c>
    </row>
    <row r="526" spans="1:25" x14ac:dyDescent="0.3">
      <c r="A526" s="8">
        <v>520</v>
      </c>
      <c r="B526" s="9" t="s">
        <v>8614</v>
      </c>
      <c r="C526" s="10" t="str">
        <f>VLOOKUP(B526,'Data Angt'!$A$5:$B$5809,2,FALSE)</f>
        <v>A3906</v>
      </c>
      <c r="D526" s="11" t="s">
        <v>9833</v>
      </c>
      <c r="E526" s="12" t="s">
        <v>16106</v>
      </c>
      <c r="F526" s="13">
        <v>45377</v>
      </c>
      <c r="G526" s="14">
        <v>45657</v>
      </c>
      <c r="H526" s="15">
        <v>30000000</v>
      </c>
      <c r="I526" s="16">
        <v>28</v>
      </c>
      <c r="J526" s="17">
        <v>21</v>
      </c>
      <c r="K526" s="9" t="s">
        <v>9831</v>
      </c>
      <c r="L526" s="10" t="s">
        <v>16107</v>
      </c>
      <c r="M526" s="9" t="s">
        <v>16108</v>
      </c>
      <c r="N526" s="10" t="s">
        <v>9834</v>
      </c>
      <c r="O526" s="15">
        <v>24737700</v>
      </c>
      <c r="P526" s="145">
        <v>1259137</v>
      </c>
      <c r="Q526" s="9" t="s">
        <v>22666</v>
      </c>
      <c r="R526" s="146" t="s">
        <v>22667</v>
      </c>
      <c r="T526" s="92" t="s">
        <v>9502</v>
      </c>
      <c r="U526">
        <v>1</v>
      </c>
      <c r="V526">
        <f>VLOOKUP(T526,'Data Angt'!$A$5:$F$5810,6,FALSE)</f>
        <v>49</v>
      </c>
      <c r="W526" s="5" t="str">
        <f t="shared" si="8"/>
        <v>PRODUKTIF</v>
      </c>
      <c r="X526" s="5" t="str">
        <f>VLOOKUP(T526,'Data Angt'!$A$5:$H$5810,8,FALSE)</f>
        <v>Wiraswasta</v>
      </c>
      <c r="Y526" s="5" t="str">
        <f>VLOOKUP(T526,'Data Angt'!$A$5:$C$5808,3,FALSE)</f>
        <v>PBL</v>
      </c>
    </row>
    <row r="527" spans="1:25" x14ac:dyDescent="0.3">
      <c r="A527" s="8">
        <v>521</v>
      </c>
      <c r="B527" s="9" t="s">
        <v>8632</v>
      </c>
      <c r="C527" s="10" t="str">
        <f>VLOOKUP(B527,'Data Angt'!$A$5:$B$5809,2,FALSE)</f>
        <v>A3914</v>
      </c>
      <c r="D527" s="11" t="s">
        <v>9833</v>
      </c>
      <c r="E527" s="12" t="s">
        <v>16109</v>
      </c>
      <c r="F527" s="13">
        <v>45496</v>
      </c>
      <c r="G527" s="14">
        <v>45919</v>
      </c>
      <c r="H527" s="15">
        <v>6000000</v>
      </c>
      <c r="I527" s="16">
        <v>24</v>
      </c>
      <c r="J527" s="17">
        <v>24</v>
      </c>
      <c r="K527" s="9" t="s">
        <v>9831</v>
      </c>
      <c r="L527" s="10" t="s">
        <v>16110</v>
      </c>
      <c r="M527" s="9" t="s">
        <v>9977</v>
      </c>
      <c r="N527" s="10" t="s">
        <v>9834</v>
      </c>
      <c r="O527" s="15">
        <v>2849100</v>
      </c>
      <c r="P527" s="145">
        <v>484234</v>
      </c>
      <c r="Q527" s="9"/>
      <c r="R527" s="146"/>
      <c r="T527" s="92" t="s">
        <v>9533</v>
      </c>
      <c r="U527">
        <v>1</v>
      </c>
      <c r="V527">
        <f>VLOOKUP(T527,'Data Angt'!$A$5:$F$5810,6,FALSE)</f>
        <v>48</v>
      </c>
      <c r="W527" s="5" t="str">
        <f t="shared" si="8"/>
        <v>KONSUMTIF</v>
      </c>
      <c r="X527" s="5" t="str">
        <f>VLOOKUP(T527,'Data Angt'!$A$5:$H$5810,8,FALSE)</f>
        <v>Wiraswasta</v>
      </c>
      <c r="Y527" s="5" t="str">
        <f>VLOOKUP(T527,'Data Angt'!$A$5:$C$5808,3,FALSE)</f>
        <v>PBL</v>
      </c>
    </row>
    <row r="528" spans="1:25" x14ac:dyDescent="0.3">
      <c r="A528" s="8">
        <v>522</v>
      </c>
      <c r="B528" s="9" t="s">
        <v>8639</v>
      </c>
      <c r="C528" s="10" t="str">
        <f>VLOOKUP(B528,'Data Angt'!$A$5:$B$5809,2,FALSE)</f>
        <v>A3917</v>
      </c>
      <c r="D528" s="11" t="s">
        <v>9833</v>
      </c>
      <c r="E528" s="12" t="s">
        <v>10192</v>
      </c>
      <c r="F528" s="13">
        <v>44946</v>
      </c>
      <c r="G528" s="14">
        <v>45898</v>
      </c>
      <c r="H528" s="15">
        <v>25000000</v>
      </c>
      <c r="I528" s="16">
        <v>24</v>
      </c>
      <c r="J528" s="17">
        <v>21</v>
      </c>
      <c r="K528" s="9" t="s">
        <v>9831</v>
      </c>
      <c r="L528" s="10" t="s">
        <v>10193</v>
      </c>
      <c r="M528" s="9" t="s">
        <v>10194</v>
      </c>
      <c r="N528" s="10" t="s">
        <v>9834</v>
      </c>
      <c r="O528" s="15">
        <v>7256800</v>
      </c>
      <c r="P528" s="145">
        <v>2018021</v>
      </c>
      <c r="Q528" s="9"/>
      <c r="R528" s="146"/>
      <c r="T528" s="92" t="s">
        <v>9579</v>
      </c>
      <c r="U528">
        <v>1</v>
      </c>
      <c r="V528">
        <f>VLOOKUP(T528,'Data Angt'!$A$5:$F$5810,6,FALSE)</f>
        <v>42</v>
      </c>
      <c r="W528" s="5" t="str">
        <f t="shared" si="8"/>
        <v>PRODUKTIF</v>
      </c>
      <c r="X528" s="5" t="str">
        <f>VLOOKUP(T528,'Data Angt'!$A$5:$H$5810,8,FALSE)</f>
        <v>Karyawan</v>
      </c>
      <c r="Y528" s="5" t="str">
        <f>VLOOKUP(T528,'Data Angt'!$A$5:$C$5808,3,FALSE)</f>
        <v>PBL</v>
      </c>
    </row>
    <row r="529" spans="1:25" x14ac:dyDescent="0.3">
      <c r="A529" s="8">
        <v>523</v>
      </c>
      <c r="B529" s="9" t="s">
        <v>8672</v>
      </c>
      <c r="C529" s="10" t="str">
        <f>VLOOKUP(B529,'Data Angt'!$A$5:$B$5809,2,FALSE)</f>
        <v>A3933</v>
      </c>
      <c r="D529" s="11" t="s">
        <v>9829</v>
      </c>
      <c r="E529" s="12" t="s">
        <v>10195</v>
      </c>
      <c r="F529" s="13">
        <v>45237</v>
      </c>
      <c r="G529" s="14">
        <v>45908</v>
      </c>
      <c r="H529" s="15">
        <v>20000000</v>
      </c>
      <c r="I529" s="16">
        <v>30</v>
      </c>
      <c r="J529" s="17">
        <v>24</v>
      </c>
      <c r="K529" s="9" t="s">
        <v>9831</v>
      </c>
      <c r="L529" s="10" t="s">
        <v>10196</v>
      </c>
      <c r="M529" s="9" t="s">
        <v>9838</v>
      </c>
      <c r="N529" s="10" t="s">
        <v>9830</v>
      </c>
      <c r="O529" s="15">
        <v>6557500</v>
      </c>
      <c r="P529" s="145">
        <v>2326307</v>
      </c>
      <c r="Q529" s="9" t="s">
        <v>22189</v>
      </c>
      <c r="R529" s="146" t="s">
        <v>22668</v>
      </c>
      <c r="T529" s="92" t="s">
        <v>12624</v>
      </c>
      <c r="U529">
        <v>1</v>
      </c>
      <c r="V529">
        <f>VLOOKUP(T529,'Data Angt'!$A$5:$F$5810,6,FALSE)</f>
        <v>59</v>
      </c>
      <c r="W529" s="5" t="str">
        <f t="shared" si="8"/>
        <v>KESEJAHTERAAN</v>
      </c>
      <c r="X529" s="5" t="str">
        <f>VLOOKUP(T529,'Data Angt'!$A$5:$H$5810,8,FALSE)</f>
        <v>Mengurus Rumah Tangga</v>
      </c>
      <c r="Y529" s="5" t="str">
        <f>VLOOKUP(T529,'Data Angt'!$A$5:$C$5808,3,FALSE)</f>
        <v>PBL</v>
      </c>
    </row>
    <row r="530" spans="1:25" x14ac:dyDescent="0.3">
      <c r="A530" s="8">
        <v>524</v>
      </c>
      <c r="B530" s="9" t="s">
        <v>8673</v>
      </c>
      <c r="C530" s="10" t="str">
        <f>VLOOKUP(B530,'Data Angt'!$A$5:$B$5809,2,FALSE)</f>
        <v>A3934</v>
      </c>
      <c r="D530" s="11" t="s">
        <v>9829</v>
      </c>
      <c r="E530" s="12" t="s">
        <v>16111</v>
      </c>
      <c r="F530" s="13">
        <v>45478</v>
      </c>
      <c r="G530" s="14">
        <v>45906</v>
      </c>
      <c r="H530" s="15">
        <v>5000000</v>
      </c>
      <c r="I530" s="16">
        <v>24</v>
      </c>
      <c r="J530" s="17">
        <v>24</v>
      </c>
      <c r="K530" s="9" t="s">
        <v>9831</v>
      </c>
      <c r="L530" s="10" t="s">
        <v>16112</v>
      </c>
      <c r="M530" s="9" t="s">
        <v>10086</v>
      </c>
      <c r="N530" s="10" t="s">
        <v>17</v>
      </c>
      <c r="O530" s="15">
        <v>2374600</v>
      </c>
      <c r="P530" s="145">
        <v>403573</v>
      </c>
      <c r="Q530" s="9"/>
      <c r="R530" s="146"/>
      <c r="T530" s="92" t="s">
        <v>12629</v>
      </c>
      <c r="U530">
        <v>1</v>
      </c>
      <c r="V530">
        <f>VLOOKUP(T530,'Data Angt'!$A$5:$F$5810,6,FALSE)</f>
        <v>43</v>
      </c>
      <c r="W530" s="5" t="str">
        <f t="shared" si="8"/>
        <v>PRODUKTIF</v>
      </c>
      <c r="X530" s="5" t="str">
        <f>VLOOKUP(T530,'Data Angt'!$A$5:$H$5810,8,FALSE)</f>
        <v>Mengurus Rumah Tangga</v>
      </c>
      <c r="Y530" s="5" t="str">
        <f>VLOOKUP(T530,'Data Angt'!$A$5:$C$5808,3,FALSE)</f>
        <v>PBL</v>
      </c>
    </row>
    <row r="531" spans="1:25" x14ac:dyDescent="0.3">
      <c r="A531" s="8">
        <v>525</v>
      </c>
      <c r="B531" s="9" t="s">
        <v>8695</v>
      </c>
      <c r="C531" s="10" t="str">
        <f>VLOOKUP(B531,'Data Angt'!$A$5:$B$5809,2,FALSE)</f>
        <v>A3946</v>
      </c>
      <c r="D531" s="11" t="s">
        <v>9829</v>
      </c>
      <c r="E531" s="12" t="s">
        <v>16113</v>
      </c>
      <c r="F531" s="13">
        <v>45631</v>
      </c>
      <c r="G531" s="14">
        <v>45904</v>
      </c>
      <c r="H531" s="15">
        <v>25000000</v>
      </c>
      <c r="I531" s="16">
        <v>36</v>
      </c>
      <c r="J531" s="17">
        <v>24</v>
      </c>
      <c r="K531" s="9" t="s">
        <v>9831</v>
      </c>
      <c r="L531" s="10" t="s">
        <v>16114</v>
      </c>
      <c r="M531" s="9" t="s">
        <v>9849</v>
      </c>
      <c r="N531" s="10" t="s">
        <v>9830</v>
      </c>
      <c r="O531" s="15">
        <v>20309400</v>
      </c>
      <c r="P531" s="145">
        <v>1551562</v>
      </c>
      <c r="Q531" s="9" t="s">
        <v>22189</v>
      </c>
      <c r="R531" s="146" t="s">
        <v>22669</v>
      </c>
      <c r="T531" s="92" t="s">
        <v>12659</v>
      </c>
      <c r="U531">
        <v>1</v>
      </c>
      <c r="V531">
        <f>VLOOKUP(T531,'Data Angt'!$A$5:$F$5810,6,FALSE)</f>
        <v>27</v>
      </c>
      <c r="W531" s="5" t="str">
        <f t="shared" si="8"/>
        <v>KONSUMTIF</v>
      </c>
      <c r="X531" s="5" t="str">
        <f>VLOOKUP(T531,'Data Angt'!$A$5:$H$5810,8,FALSE)</f>
        <v>Karyawan</v>
      </c>
      <c r="Y531" s="5" t="str">
        <f>VLOOKUP(T531,'Data Angt'!$A$5:$C$5808,3,FALSE)</f>
        <v>PBL</v>
      </c>
    </row>
    <row r="532" spans="1:25" x14ac:dyDescent="0.3">
      <c r="A532" s="8">
        <v>526</v>
      </c>
      <c r="B532" s="9" t="s">
        <v>8727</v>
      </c>
      <c r="C532" s="10" t="str">
        <f>VLOOKUP(B532,'Data Angt'!$A$5:$B$5809,2,FALSE)</f>
        <v>A3960</v>
      </c>
      <c r="D532" s="11" t="s">
        <v>9829</v>
      </c>
      <c r="E532" s="12" t="s">
        <v>16115</v>
      </c>
      <c r="F532" s="13">
        <v>45759</v>
      </c>
      <c r="G532" s="14">
        <v>45912</v>
      </c>
      <c r="H532" s="15">
        <v>10000000</v>
      </c>
      <c r="I532" s="16">
        <v>24</v>
      </c>
      <c r="J532" s="17">
        <v>24</v>
      </c>
      <c r="K532" s="9" t="s">
        <v>9831</v>
      </c>
      <c r="L532" s="10" t="s">
        <v>16116</v>
      </c>
      <c r="M532" s="9" t="s">
        <v>10008</v>
      </c>
      <c r="N532" s="10" t="s">
        <v>17</v>
      </c>
      <c r="O532" s="15">
        <v>8289100</v>
      </c>
      <c r="P532" s="145">
        <v>349911</v>
      </c>
      <c r="Q532" s="9" t="s">
        <v>22189</v>
      </c>
      <c r="R532" s="146" t="s">
        <v>22670</v>
      </c>
      <c r="T532" s="92" t="s">
        <v>12677</v>
      </c>
      <c r="U532">
        <v>1</v>
      </c>
      <c r="V532">
        <f>VLOOKUP(T532,'Data Angt'!$A$5:$F$5810,6,FALSE)</f>
        <v>26</v>
      </c>
      <c r="W532" s="5" t="str">
        <f t="shared" si="8"/>
        <v>KESEJAHTERAAN</v>
      </c>
      <c r="X532" s="5" t="str">
        <f>VLOOKUP(T532,'Data Angt'!$A$5:$H$5810,8,FALSE)</f>
        <v>Tenaga Pengajar</v>
      </c>
      <c r="Y532" s="5" t="str">
        <f>VLOOKUP(T532,'Data Angt'!$A$5:$C$5808,3,FALSE)</f>
        <v>PBL</v>
      </c>
    </row>
    <row r="533" spans="1:25" x14ac:dyDescent="0.3">
      <c r="A533" s="8">
        <v>527</v>
      </c>
      <c r="B533" s="9" t="s">
        <v>8732</v>
      </c>
      <c r="C533" s="10" t="str">
        <f>VLOOKUP(B533,'Data Angt'!$A$5:$B$5809,2,FALSE)</f>
        <v>A3963</v>
      </c>
      <c r="D533" s="11" t="s">
        <v>9829</v>
      </c>
      <c r="E533" s="12" t="s">
        <v>16117</v>
      </c>
      <c r="F533" s="13">
        <v>45805</v>
      </c>
      <c r="G533" s="14">
        <v>45919</v>
      </c>
      <c r="H533" s="15">
        <v>2000000</v>
      </c>
      <c r="I533" s="16">
        <v>12</v>
      </c>
      <c r="J533" s="17">
        <v>24</v>
      </c>
      <c r="K533" s="9" t="s">
        <v>9831</v>
      </c>
      <c r="L533" s="10" t="s">
        <v>16118</v>
      </c>
      <c r="M533" s="9" t="s">
        <v>9838</v>
      </c>
      <c r="N533" s="10" t="s">
        <v>9830</v>
      </c>
      <c r="O533" s="15">
        <v>1385200</v>
      </c>
      <c r="P533" s="145">
        <v>53249</v>
      </c>
      <c r="Q533" s="9"/>
      <c r="R533" s="146"/>
      <c r="T533" s="92" t="s">
        <v>12683</v>
      </c>
      <c r="U533">
        <v>1</v>
      </c>
      <c r="V533">
        <f>VLOOKUP(T533,'Data Angt'!$A$5:$F$5810,6,FALSE)</f>
        <v>48</v>
      </c>
      <c r="W533" s="5" t="str">
        <f t="shared" si="8"/>
        <v>KESEJAHTERAAN</v>
      </c>
      <c r="X533" s="5" t="str">
        <f>VLOOKUP(T533,'Data Angt'!$A$5:$H$5810,8,FALSE)</f>
        <v>Karyawan</v>
      </c>
      <c r="Y533" s="5" t="str">
        <f>VLOOKUP(T533,'Data Angt'!$A$5:$C$5808,3,FALSE)</f>
        <v>PBL</v>
      </c>
    </row>
    <row r="534" spans="1:25" x14ac:dyDescent="0.3">
      <c r="A534" s="8">
        <v>528</v>
      </c>
      <c r="B534" s="9" t="s">
        <v>8752</v>
      </c>
      <c r="C534" s="10" t="str">
        <f>VLOOKUP(B534,'Data Angt'!$A$5:$B$5809,2,FALSE)</f>
        <v>A3975</v>
      </c>
      <c r="D534" s="11" t="s">
        <v>9829</v>
      </c>
      <c r="E534" s="12" t="s">
        <v>16119</v>
      </c>
      <c r="F534" s="13">
        <v>45735</v>
      </c>
      <c r="G534" s="14">
        <v>45924</v>
      </c>
      <c r="H534" s="15">
        <v>4000000</v>
      </c>
      <c r="I534" s="16">
        <v>18</v>
      </c>
      <c r="J534" s="17">
        <v>24</v>
      </c>
      <c r="K534" s="9" t="s">
        <v>9831</v>
      </c>
      <c r="L534" s="10" t="s">
        <v>16120</v>
      </c>
      <c r="M534" s="9" t="s">
        <v>9838</v>
      </c>
      <c r="N534" s="10" t="s">
        <v>9830</v>
      </c>
      <c r="O534" s="15">
        <v>2821200</v>
      </c>
      <c r="P534" s="145">
        <v>158474</v>
      </c>
      <c r="Q534" s="9" t="s">
        <v>22189</v>
      </c>
      <c r="R534" s="146" t="s">
        <v>22671</v>
      </c>
      <c r="T534" s="92" t="s">
        <v>12687</v>
      </c>
      <c r="U534">
        <v>1</v>
      </c>
      <c r="V534">
        <f>VLOOKUP(T534,'Data Angt'!$A$5:$F$5810,6,FALSE)</f>
        <v>24</v>
      </c>
      <c r="W534" s="5" t="str">
        <f t="shared" si="8"/>
        <v>KONSUMTIF</v>
      </c>
      <c r="X534" s="5" t="str">
        <f>VLOOKUP(T534,'Data Angt'!$A$5:$H$5810,8,FALSE)</f>
        <v>Karyawan</v>
      </c>
      <c r="Y534" s="5" t="str">
        <f>VLOOKUP(T534,'Data Angt'!$A$5:$C$5808,3,FALSE)</f>
        <v>PBL</v>
      </c>
    </row>
    <row r="535" spans="1:25" x14ac:dyDescent="0.3">
      <c r="A535" s="8">
        <v>529</v>
      </c>
      <c r="B535" s="9" t="s">
        <v>8774</v>
      </c>
      <c r="C535" s="10" t="str">
        <f>VLOOKUP(B535,'Data Angt'!$A$5:$B$5809,2,FALSE)</f>
        <v>A3983</v>
      </c>
      <c r="D535" s="11" t="s">
        <v>9895</v>
      </c>
      <c r="E535" s="12" t="s">
        <v>22672</v>
      </c>
      <c r="F535" s="13">
        <v>45892</v>
      </c>
      <c r="G535" s="14">
        <v>45922</v>
      </c>
      <c r="H535" s="15">
        <v>20000000</v>
      </c>
      <c r="I535" s="16">
        <v>12</v>
      </c>
      <c r="J535" s="17">
        <v>24</v>
      </c>
      <c r="K535" s="9" t="s">
        <v>9831</v>
      </c>
      <c r="L535" s="10" t="s">
        <v>22673</v>
      </c>
      <c r="M535" s="9" t="s">
        <v>9896</v>
      </c>
      <c r="N535" s="10" t="s">
        <v>9828</v>
      </c>
      <c r="O535" s="15">
        <v>18508800</v>
      </c>
      <c r="P535" s="145">
        <v>150000</v>
      </c>
      <c r="Q535" s="9" t="s">
        <v>22189</v>
      </c>
      <c r="R535" s="146" t="s">
        <v>22674</v>
      </c>
      <c r="T535" s="92" t="s">
        <v>12690</v>
      </c>
      <c r="U535">
        <v>1</v>
      </c>
      <c r="V535">
        <f>VLOOKUP(T535,'Data Angt'!$A$5:$F$5810,6,FALSE)</f>
        <v>49</v>
      </c>
      <c r="W535" s="5" t="str">
        <f t="shared" si="8"/>
        <v>PENDIDIKAN</v>
      </c>
      <c r="X535" s="5" t="str">
        <f>VLOOKUP(T535,'Data Angt'!$A$5:$H$5810,8,FALSE)</f>
        <v>Aparatur/Pejabat Negara</v>
      </c>
      <c r="Y535" s="5" t="str">
        <f>VLOOKUP(T535,'Data Angt'!$A$5:$C$5808,3,FALSE)</f>
        <v>PBL</v>
      </c>
    </row>
    <row r="536" spans="1:25" x14ac:dyDescent="0.3">
      <c r="A536" s="8">
        <v>530</v>
      </c>
      <c r="B536" s="9" t="s">
        <v>8776</v>
      </c>
      <c r="C536" s="10" t="str">
        <f>VLOOKUP(B536,'Data Angt'!$A$5:$B$5809,2,FALSE)</f>
        <v>A3984</v>
      </c>
      <c r="D536" s="11" t="s">
        <v>9829</v>
      </c>
      <c r="E536" s="12" t="s">
        <v>16121</v>
      </c>
      <c r="F536" s="13">
        <v>45793</v>
      </c>
      <c r="G536" s="14">
        <v>45902</v>
      </c>
      <c r="H536" s="15">
        <v>20000000</v>
      </c>
      <c r="I536" s="16">
        <v>36</v>
      </c>
      <c r="J536" s="17">
        <v>24</v>
      </c>
      <c r="K536" s="9" t="s">
        <v>9831</v>
      </c>
      <c r="L536" s="10" t="s">
        <v>16122</v>
      </c>
      <c r="M536" s="9" t="s">
        <v>9854</v>
      </c>
      <c r="N536" s="10" t="s">
        <v>17</v>
      </c>
      <c r="O536" s="15">
        <v>18414600</v>
      </c>
      <c r="P536" s="145">
        <v>582524</v>
      </c>
      <c r="Q536" s="9" t="s">
        <v>22220</v>
      </c>
      <c r="R536" s="146" t="s">
        <v>22675</v>
      </c>
      <c r="T536" s="92" t="s">
        <v>12701</v>
      </c>
      <c r="U536">
        <v>1</v>
      </c>
      <c r="V536">
        <f>VLOOKUP(T536,'Data Angt'!$A$5:$F$5810,6,FALSE)</f>
        <v>52</v>
      </c>
      <c r="W536" s="5" t="str">
        <f t="shared" si="8"/>
        <v>KONSUMTIF</v>
      </c>
      <c r="X536" s="5" t="str">
        <f>VLOOKUP(T536,'Data Angt'!$A$5:$H$5810,8,FALSE)</f>
        <v>Lain-Lain</v>
      </c>
      <c r="Y536" s="5" t="str">
        <f>VLOOKUP(T536,'Data Angt'!$A$5:$C$5808,3,FALSE)</f>
        <v>PBL</v>
      </c>
    </row>
    <row r="537" spans="1:25" x14ac:dyDescent="0.3">
      <c r="A537" s="8">
        <v>531</v>
      </c>
      <c r="B537" s="9" t="s">
        <v>8839</v>
      </c>
      <c r="C537" s="10" t="str">
        <f>VLOOKUP(B537,'Data Angt'!$A$5:$B$5809,2,FALSE)</f>
        <v>A4012</v>
      </c>
      <c r="D537" s="11" t="s">
        <v>9829</v>
      </c>
      <c r="E537" s="12" t="s">
        <v>10197</v>
      </c>
      <c r="F537" s="13">
        <v>45216</v>
      </c>
      <c r="G537" s="14">
        <v>45925</v>
      </c>
      <c r="H537" s="15">
        <v>24000000</v>
      </c>
      <c r="I537" s="16">
        <v>25</v>
      </c>
      <c r="J537" s="17">
        <v>18</v>
      </c>
      <c r="K537" s="9" t="s">
        <v>9831</v>
      </c>
      <c r="L537" s="10" t="s">
        <v>10198</v>
      </c>
      <c r="M537" s="9" t="s">
        <v>10199</v>
      </c>
      <c r="N537" s="10" t="s">
        <v>9828</v>
      </c>
      <c r="O537" s="15">
        <v>29689700</v>
      </c>
      <c r="P537" s="145">
        <v>4032107</v>
      </c>
      <c r="Q537" s="9"/>
      <c r="R537" s="146"/>
      <c r="T537" s="92" t="s">
        <v>12746</v>
      </c>
      <c r="U537">
        <v>1</v>
      </c>
      <c r="V537">
        <f>VLOOKUP(T537,'Data Angt'!$A$5:$F$5810,6,FALSE)</f>
        <v>44</v>
      </c>
      <c r="W537" s="5" t="str">
        <f t="shared" si="8"/>
        <v>KESEJAHTERAAN</v>
      </c>
      <c r="X537" s="5" t="str">
        <f>VLOOKUP(T537,'Data Angt'!$A$5:$H$5810,8,FALSE)</f>
        <v>Karyawan</v>
      </c>
      <c r="Y537" s="5" t="str">
        <f>VLOOKUP(T537,'Data Angt'!$A$5:$C$5808,3,FALSE)</f>
        <v>PBL</v>
      </c>
    </row>
    <row r="538" spans="1:25" x14ac:dyDescent="0.3">
      <c r="A538" s="8">
        <v>532</v>
      </c>
      <c r="B538" s="9" t="s">
        <v>8876</v>
      </c>
      <c r="C538" s="10" t="str">
        <f>VLOOKUP(B538,'Data Angt'!$A$5:$B$5809,2,FALSE)</f>
        <v>A4031</v>
      </c>
      <c r="D538" s="11" t="s">
        <v>9829</v>
      </c>
      <c r="E538" s="12" t="s">
        <v>16123</v>
      </c>
      <c r="F538" s="13">
        <v>45345</v>
      </c>
      <c r="G538" s="14">
        <v>45920</v>
      </c>
      <c r="H538" s="15">
        <v>10000000</v>
      </c>
      <c r="I538" s="16">
        <v>24</v>
      </c>
      <c r="J538" s="17">
        <v>24</v>
      </c>
      <c r="K538" s="9" t="s">
        <v>9831</v>
      </c>
      <c r="L538" s="10" t="s">
        <v>16124</v>
      </c>
      <c r="M538" s="9" t="s">
        <v>9838</v>
      </c>
      <c r="N538" s="10" t="s">
        <v>9830</v>
      </c>
      <c r="O538" s="15">
        <v>2491100</v>
      </c>
      <c r="P538" s="145">
        <v>951857</v>
      </c>
      <c r="Q538" s="9" t="s">
        <v>22189</v>
      </c>
      <c r="R538" s="146" t="s">
        <v>22676</v>
      </c>
      <c r="T538" s="92" t="s">
        <v>12782</v>
      </c>
      <c r="U538">
        <v>1</v>
      </c>
      <c r="V538">
        <f>VLOOKUP(T538,'Data Angt'!$A$5:$F$5810,6,FALSE)</f>
        <v>30</v>
      </c>
      <c r="W538" s="5" t="str">
        <f t="shared" si="8"/>
        <v>KONSUMTIF</v>
      </c>
      <c r="X538" s="5" t="str">
        <f>VLOOKUP(T538,'Data Angt'!$A$5:$H$5810,8,FALSE)</f>
        <v>Karyawan</v>
      </c>
      <c r="Y538" s="5" t="str">
        <f>VLOOKUP(T538,'Data Angt'!$A$5:$C$5808,3,FALSE)</f>
        <v>PBL</v>
      </c>
    </row>
    <row r="539" spans="1:25" x14ac:dyDescent="0.3">
      <c r="A539" s="8">
        <v>533</v>
      </c>
      <c r="B539" s="9" t="s">
        <v>8903</v>
      </c>
      <c r="C539" s="10" t="str">
        <f>VLOOKUP(B539,'Data Angt'!$A$5:$B$5809,2,FALSE)</f>
        <v>A4045</v>
      </c>
      <c r="D539" s="11" t="s">
        <v>9829</v>
      </c>
      <c r="E539" s="12" t="s">
        <v>10200</v>
      </c>
      <c r="F539" s="13">
        <v>44947</v>
      </c>
      <c r="G539" s="14">
        <v>45786</v>
      </c>
      <c r="H539" s="15">
        <v>26777600</v>
      </c>
      <c r="I539" s="16">
        <v>48</v>
      </c>
      <c r="J539" s="17">
        <v>21</v>
      </c>
      <c r="K539" s="9" t="s">
        <v>9831</v>
      </c>
      <c r="L539" s="10" t="s">
        <v>10201</v>
      </c>
      <c r="M539" s="9" t="s">
        <v>10202</v>
      </c>
      <c r="N539" s="10" t="s">
        <v>9828</v>
      </c>
      <c r="O539" s="15">
        <v>24110300</v>
      </c>
      <c r="P539" s="145">
        <v>1176410</v>
      </c>
      <c r="Q539" s="9" t="s">
        <v>22220</v>
      </c>
      <c r="R539" s="146" t="s">
        <v>22677</v>
      </c>
      <c r="T539" s="92" t="s">
        <v>12809</v>
      </c>
      <c r="U539">
        <v>1</v>
      </c>
      <c r="V539">
        <f>VLOOKUP(T539,'Data Angt'!$A$5:$F$5810,6,FALSE)</f>
        <v>44</v>
      </c>
      <c r="W539" s="5" t="str">
        <f t="shared" si="8"/>
        <v>KESEJAHTERAAN</v>
      </c>
      <c r="X539" s="5" t="str">
        <f>VLOOKUP(T539,'Data Angt'!$A$5:$H$5810,8,FALSE)</f>
        <v>Mengurus Rumah Tangga</v>
      </c>
      <c r="Y539" s="5" t="str">
        <f>VLOOKUP(T539,'Data Angt'!$A$5:$C$5808,3,FALSE)</f>
        <v>PBL</v>
      </c>
    </row>
    <row r="540" spans="1:25" x14ac:dyDescent="0.3">
      <c r="A540" s="8">
        <v>534</v>
      </c>
      <c r="B540" s="9" t="s">
        <v>8913</v>
      </c>
      <c r="C540" s="10" t="str">
        <f>VLOOKUP(B540,'Data Angt'!$A$5:$B$5809,2,FALSE)</f>
        <v>A4050</v>
      </c>
      <c r="D540" s="11" t="s">
        <v>9829</v>
      </c>
      <c r="E540" s="12" t="s">
        <v>16125</v>
      </c>
      <c r="F540" s="13">
        <v>45785</v>
      </c>
      <c r="G540" s="14">
        <v>45908</v>
      </c>
      <c r="H540" s="15">
        <v>20000000</v>
      </c>
      <c r="I540" s="16">
        <v>12</v>
      </c>
      <c r="J540" s="17">
        <v>24</v>
      </c>
      <c r="K540" s="9" t="s">
        <v>9831</v>
      </c>
      <c r="L540" s="10" t="s">
        <v>16126</v>
      </c>
      <c r="M540" s="9" t="s">
        <v>16127</v>
      </c>
      <c r="N540" s="10" t="s">
        <v>9830</v>
      </c>
      <c r="O540" s="15">
        <v>13854000</v>
      </c>
      <c r="P540" s="145">
        <v>532050</v>
      </c>
      <c r="Q540" s="9" t="s">
        <v>22276</v>
      </c>
      <c r="R540" s="146" t="s">
        <v>22678</v>
      </c>
      <c r="T540" s="92" t="s">
        <v>12811</v>
      </c>
      <c r="U540">
        <v>1</v>
      </c>
      <c r="V540">
        <f>VLOOKUP(T540,'Data Angt'!$A$5:$F$5810,6,FALSE)</f>
        <v>37</v>
      </c>
      <c r="W540" s="5" t="str">
        <f t="shared" si="8"/>
        <v>PENDIDIKAN</v>
      </c>
      <c r="X540" s="5" t="str">
        <f>VLOOKUP(T540,'Data Angt'!$A$5:$H$5810,8,FALSE)</f>
        <v>Karyawan</v>
      </c>
      <c r="Y540" s="5" t="str">
        <f>VLOOKUP(T540,'Data Angt'!$A$5:$C$5808,3,FALSE)</f>
        <v>PBL</v>
      </c>
    </row>
    <row r="541" spans="1:25" x14ac:dyDescent="0.3">
      <c r="A541" s="8">
        <v>535</v>
      </c>
      <c r="B541" s="9" t="s">
        <v>8945</v>
      </c>
      <c r="C541" s="10" t="str">
        <f>VLOOKUP(B541,'Data Angt'!$A$5:$B$5809,2,FALSE)</f>
        <v>A4066</v>
      </c>
      <c r="D541" s="11" t="s">
        <v>9829</v>
      </c>
      <c r="E541" s="12" t="s">
        <v>16128</v>
      </c>
      <c r="F541" s="13">
        <v>45453</v>
      </c>
      <c r="G541" s="14">
        <v>45672</v>
      </c>
      <c r="H541" s="15">
        <v>30000000</v>
      </c>
      <c r="I541" s="16">
        <v>36</v>
      </c>
      <c r="J541" s="17">
        <v>21</v>
      </c>
      <c r="K541" s="9" t="s">
        <v>9831</v>
      </c>
      <c r="L541" s="10" t="s">
        <v>16129</v>
      </c>
      <c r="M541" s="9" t="s">
        <v>9880</v>
      </c>
      <c r="N541" s="10" t="s">
        <v>9830</v>
      </c>
      <c r="O541" s="15">
        <v>26348100</v>
      </c>
      <c r="P541" s="145">
        <v>1295023</v>
      </c>
      <c r="Q541" s="9" t="s">
        <v>22220</v>
      </c>
      <c r="R541" s="146" t="s">
        <v>22679</v>
      </c>
      <c r="T541" s="92" t="s">
        <v>12822</v>
      </c>
      <c r="U541">
        <v>1</v>
      </c>
      <c r="V541">
        <f>VLOOKUP(T541,'Data Angt'!$A$5:$F$5810,6,FALSE)</f>
        <v>44</v>
      </c>
      <c r="W541" s="5" t="str">
        <f t="shared" si="8"/>
        <v>PENDIDIKAN</v>
      </c>
      <c r="X541" s="5" t="str">
        <f>VLOOKUP(T541,'Data Angt'!$A$5:$H$5810,8,FALSE)</f>
        <v>Tenaga Pengajar</v>
      </c>
      <c r="Y541" s="5" t="str">
        <f>VLOOKUP(T541,'Data Angt'!$A$5:$C$5808,3,FALSE)</f>
        <v>PBL</v>
      </c>
    </row>
    <row r="542" spans="1:25" x14ac:dyDescent="0.3">
      <c r="A542" s="8">
        <v>536</v>
      </c>
      <c r="B542" s="9" t="s">
        <v>8948</v>
      </c>
      <c r="C542" s="10" t="str">
        <f>VLOOKUP(B542,'Data Angt'!$A$5:$B$5809,2,FALSE)</f>
        <v>A4069</v>
      </c>
      <c r="D542" s="11" t="s">
        <v>9833</v>
      </c>
      <c r="E542" s="12" t="s">
        <v>16130</v>
      </c>
      <c r="F542" s="13">
        <v>45642</v>
      </c>
      <c r="G542" s="14">
        <v>45916</v>
      </c>
      <c r="H542" s="15">
        <v>10000000</v>
      </c>
      <c r="I542" s="16">
        <v>24</v>
      </c>
      <c r="J542" s="17">
        <v>24</v>
      </c>
      <c r="K542" s="9" t="s">
        <v>9831</v>
      </c>
      <c r="L542" s="10" t="s">
        <v>16131</v>
      </c>
      <c r="M542" s="9" t="s">
        <v>16132</v>
      </c>
      <c r="N542" s="10" t="s">
        <v>9834</v>
      </c>
      <c r="O542" s="15">
        <v>6793100</v>
      </c>
      <c r="P542" s="145">
        <v>582111</v>
      </c>
      <c r="Q542" s="9" t="s">
        <v>22189</v>
      </c>
      <c r="R542" s="146" t="s">
        <v>22680</v>
      </c>
      <c r="T542" s="92" t="s">
        <v>12829</v>
      </c>
      <c r="U542">
        <v>1</v>
      </c>
      <c r="V542">
        <f>VLOOKUP(T542,'Data Angt'!$A$5:$F$5810,6,FALSE)</f>
        <v>46</v>
      </c>
      <c r="W542" s="5" t="str">
        <f t="shared" si="8"/>
        <v>PENDIDIKAN</v>
      </c>
      <c r="X542" s="5" t="str">
        <f>VLOOKUP(T542,'Data Angt'!$A$5:$H$5810,8,FALSE)</f>
        <v>Aparatur/Pejabat Negara</v>
      </c>
      <c r="Y542" s="5" t="str">
        <f>VLOOKUP(T542,'Data Angt'!$A$5:$C$5808,3,FALSE)</f>
        <v>PBL</v>
      </c>
    </row>
    <row r="543" spans="1:25" x14ac:dyDescent="0.3">
      <c r="A543" s="8">
        <v>537</v>
      </c>
      <c r="B543" s="9" t="s">
        <v>8949</v>
      </c>
      <c r="C543" s="10" t="str">
        <f>VLOOKUP(B543,'Data Angt'!$A$5:$B$5809,2,FALSE)</f>
        <v>A4070</v>
      </c>
      <c r="D543" s="11" t="s">
        <v>9829</v>
      </c>
      <c r="E543" s="12" t="s">
        <v>16133</v>
      </c>
      <c r="F543" s="13">
        <v>45787</v>
      </c>
      <c r="G543" s="14">
        <v>45903</v>
      </c>
      <c r="H543" s="15">
        <v>10000000</v>
      </c>
      <c r="I543" s="16">
        <v>12</v>
      </c>
      <c r="J543" s="17">
        <v>24</v>
      </c>
      <c r="K543" s="9" t="s">
        <v>9831</v>
      </c>
      <c r="L543" s="10" t="s">
        <v>16134</v>
      </c>
      <c r="M543" s="9" t="s">
        <v>9841</v>
      </c>
      <c r="N543" s="10" t="s">
        <v>17</v>
      </c>
      <c r="O543" s="15">
        <v>6927000</v>
      </c>
      <c r="P543" s="145">
        <v>266024</v>
      </c>
      <c r="Q543" s="9"/>
      <c r="R543" s="146"/>
      <c r="T543" s="92" t="s">
        <v>12834</v>
      </c>
      <c r="U543">
        <v>1</v>
      </c>
      <c r="V543">
        <f>VLOOKUP(T543,'Data Angt'!$A$5:$F$5810,6,FALSE)</f>
        <v>35</v>
      </c>
      <c r="W543" s="5" t="str">
        <f t="shared" si="8"/>
        <v>PRODUKTIF</v>
      </c>
      <c r="X543" s="5" t="str">
        <f>VLOOKUP(T543,'Data Angt'!$A$5:$H$5810,8,FALSE)</f>
        <v>Karyawan</v>
      </c>
      <c r="Y543" s="5" t="str">
        <f>VLOOKUP(T543,'Data Angt'!$A$5:$C$5808,3,FALSE)</f>
        <v>PBL</v>
      </c>
    </row>
    <row r="544" spans="1:25" x14ac:dyDescent="0.3">
      <c r="A544" s="8">
        <v>538</v>
      </c>
      <c r="B544" s="9" t="s">
        <v>8956</v>
      </c>
      <c r="C544" s="10" t="str">
        <f>VLOOKUP(B544,'Data Angt'!$A$5:$B$5809,2,FALSE)</f>
        <v>A4073</v>
      </c>
      <c r="D544" s="11" t="s">
        <v>9881</v>
      </c>
      <c r="E544" s="12" t="s">
        <v>16135</v>
      </c>
      <c r="F544" s="13">
        <v>45772</v>
      </c>
      <c r="G544" s="14">
        <v>45918</v>
      </c>
      <c r="H544" s="15">
        <v>3200000</v>
      </c>
      <c r="I544" s="16">
        <v>10</v>
      </c>
      <c r="J544" s="17">
        <v>12</v>
      </c>
      <c r="K544" s="9" t="s">
        <v>9831</v>
      </c>
      <c r="L544" s="10" t="s">
        <v>16136</v>
      </c>
      <c r="M544" s="9" t="s">
        <v>9835</v>
      </c>
      <c r="N544" s="10" t="s">
        <v>9828</v>
      </c>
      <c r="O544" s="15">
        <v>1639800</v>
      </c>
      <c r="P544" s="145">
        <v>48487</v>
      </c>
      <c r="Q544" s="9"/>
      <c r="R544" s="146"/>
      <c r="T544" s="92" t="s">
        <v>12846</v>
      </c>
      <c r="U544">
        <v>1</v>
      </c>
      <c r="V544">
        <f>VLOOKUP(T544,'Data Angt'!$A$5:$F$5810,6,FALSE)</f>
        <v>55</v>
      </c>
      <c r="W544" s="5" t="str">
        <f t="shared" si="8"/>
        <v>PRODUKTIF</v>
      </c>
      <c r="X544" s="5" t="str">
        <f>VLOOKUP(T544,'Data Angt'!$A$5:$H$5810,8,FALSE)</f>
        <v>Wiraswasta</v>
      </c>
      <c r="Y544" s="5" t="str">
        <f>VLOOKUP(T544,'Data Angt'!$A$5:$C$5808,3,FALSE)</f>
        <v>PBL</v>
      </c>
    </row>
    <row r="545" spans="1:25" x14ac:dyDescent="0.3">
      <c r="A545" s="8">
        <v>539</v>
      </c>
      <c r="B545" s="9" t="s">
        <v>8958</v>
      </c>
      <c r="C545" s="10" t="str">
        <f>VLOOKUP(B545,'Data Angt'!$A$5:$B$5809,2,FALSE)</f>
        <v>A4074</v>
      </c>
      <c r="D545" s="11" t="s">
        <v>9829</v>
      </c>
      <c r="E545" s="12" t="s">
        <v>16137</v>
      </c>
      <c r="F545" s="13">
        <v>45577</v>
      </c>
      <c r="G545" s="14">
        <v>45930</v>
      </c>
      <c r="H545" s="15">
        <v>12500000</v>
      </c>
      <c r="I545" s="16">
        <v>36</v>
      </c>
      <c r="J545" s="17">
        <v>24</v>
      </c>
      <c r="K545" s="9" t="s">
        <v>9831</v>
      </c>
      <c r="L545" s="10" t="s">
        <v>16138</v>
      </c>
      <c r="M545" s="9" t="s">
        <v>16139</v>
      </c>
      <c r="N545" s="10" t="s">
        <v>9828</v>
      </c>
      <c r="O545" s="15">
        <v>9585300</v>
      </c>
      <c r="P545" s="145">
        <v>930298</v>
      </c>
      <c r="Q545" s="9" t="s">
        <v>22248</v>
      </c>
      <c r="R545" s="146" t="s">
        <v>22681</v>
      </c>
      <c r="T545" s="92" t="s">
        <v>12864</v>
      </c>
      <c r="U545">
        <v>1</v>
      </c>
      <c r="V545">
        <f>VLOOKUP(T545,'Data Angt'!$A$5:$F$5810,6,FALSE)</f>
        <v>64</v>
      </c>
      <c r="W545" s="5" t="str">
        <f t="shared" si="8"/>
        <v>PENDIDIKAN</v>
      </c>
      <c r="X545" s="5" t="str">
        <f>VLOOKUP(T545,'Data Angt'!$A$5:$H$5810,8,FALSE)</f>
        <v>Karyawan</v>
      </c>
      <c r="Y545" s="5" t="str">
        <f>VLOOKUP(T545,'Data Angt'!$A$5:$C$5808,3,FALSE)</f>
        <v>PBL</v>
      </c>
    </row>
    <row r="546" spans="1:25" x14ac:dyDescent="0.3">
      <c r="A546" s="8">
        <v>540</v>
      </c>
      <c r="B546" s="9" t="s">
        <v>8966</v>
      </c>
      <c r="C546" s="10" t="str">
        <f>VLOOKUP(B546,'Data Angt'!$A$5:$B$5809,2,FALSE)</f>
        <v>A4078</v>
      </c>
      <c r="D546" s="11" t="s">
        <v>9829</v>
      </c>
      <c r="E546" s="12" t="s">
        <v>10203</v>
      </c>
      <c r="F546" s="13">
        <v>44984</v>
      </c>
      <c r="G546" s="14">
        <v>45918</v>
      </c>
      <c r="H546" s="15">
        <v>75000000</v>
      </c>
      <c r="I546" s="16">
        <v>48</v>
      </c>
      <c r="J546" s="17">
        <v>21</v>
      </c>
      <c r="K546" s="9" t="s">
        <v>9831</v>
      </c>
      <c r="L546" s="10" t="s">
        <v>10204</v>
      </c>
      <c r="M546" s="9" t="s">
        <v>9838</v>
      </c>
      <c r="N546" s="10" t="s">
        <v>9830</v>
      </c>
      <c r="O546" s="15">
        <v>33895000</v>
      </c>
      <c r="P546" s="145">
        <v>11584682</v>
      </c>
      <c r="Q546" s="9" t="s">
        <v>22220</v>
      </c>
      <c r="R546" s="146" t="s">
        <v>22682</v>
      </c>
      <c r="T546" s="92" t="s">
        <v>12891</v>
      </c>
      <c r="U546">
        <v>1</v>
      </c>
      <c r="V546">
        <f>VLOOKUP(T546,'Data Angt'!$A$5:$F$5810,6,FALSE)</f>
        <v>41</v>
      </c>
      <c r="W546" s="5" t="str">
        <f t="shared" si="8"/>
        <v>PRODUKTIF</v>
      </c>
      <c r="X546" s="5" t="str">
        <f>VLOOKUP(T546,'Data Angt'!$A$5:$H$5810,8,FALSE)</f>
        <v>Wiraswasta</v>
      </c>
      <c r="Y546" s="5" t="str">
        <f>VLOOKUP(T546,'Data Angt'!$A$5:$C$5808,3,FALSE)</f>
        <v>PBL</v>
      </c>
    </row>
    <row r="547" spans="1:25" x14ac:dyDescent="0.3">
      <c r="A547" s="8">
        <v>541</v>
      </c>
      <c r="B547" s="9" t="s">
        <v>8970</v>
      </c>
      <c r="C547" s="10" t="str">
        <f>VLOOKUP(B547,'Data Angt'!$A$5:$B$5809,2,FALSE)</f>
        <v>A4080</v>
      </c>
      <c r="D547" s="11" t="s">
        <v>9842</v>
      </c>
      <c r="E547" s="12" t="s">
        <v>16140</v>
      </c>
      <c r="F547" s="13">
        <v>45448</v>
      </c>
      <c r="G547" s="14">
        <v>45902</v>
      </c>
      <c r="H547" s="15">
        <v>150000000</v>
      </c>
      <c r="I547" s="16">
        <v>96</v>
      </c>
      <c r="J547" s="17">
        <v>11.4</v>
      </c>
      <c r="K547" s="9" t="s">
        <v>9831</v>
      </c>
      <c r="L547" s="10" t="s">
        <v>16141</v>
      </c>
      <c r="M547" s="9" t="s">
        <v>10082</v>
      </c>
      <c r="N547" s="10" t="s">
        <v>9830</v>
      </c>
      <c r="O547" s="15">
        <v>134541600</v>
      </c>
      <c r="P547" s="145">
        <v>7640096</v>
      </c>
      <c r="Q547" s="9" t="s">
        <v>22220</v>
      </c>
      <c r="R547" s="146" t="s">
        <v>22683</v>
      </c>
      <c r="T547" s="92" t="s">
        <v>12921</v>
      </c>
      <c r="U547">
        <v>1</v>
      </c>
      <c r="V547">
        <f>VLOOKUP(T547,'Data Angt'!$A$5:$F$5810,6,FALSE)</f>
        <v>32</v>
      </c>
      <c r="W547" s="5" t="str">
        <f t="shared" si="8"/>
        <v>KESEJAHTERAAN</v>
      </c>
      <c r="X547" s="5" t="str">
        <f>VLOOKUP(T547,'Data Angt'!$A$5:$H$5810,8,FALSE)</f>
        <v>Karyawan</v>
      </c>
      <c r="Y547" s="5" t="str">
        <f>VLOOKUP(T547,'Data Angt'!$A$5:$C$5808,3,FALSE)</f>
        <v>PBL</v>
      </c>
    </row>
    <row r="548" spans="1:25" x14ac:dyDescent="0.3">
      <c r="A548" s="8">
        <v>542</v>
      </c>
      <c r="B548" s="9" t="s">
        <v>8982</v>
      </c>
      <c r="C548" s="10" t="str">
        <f>VLOOKUP(B548,'Data Angt'!$A$5:$B$5809,2,FALSE)</f>
        <v>A4085</v>
      </c>
      <c r="D548" s="11" t="s">
        <v>9829</v>
      </c>
      <c r="E548" s="12" t="s">
        <v>16142</v>
      </c>
      <c r="F548" s="13">
        <v>45801</v>
      </c>
      <c r="G548" s="14">
        <v>45919</v>
      </c>
      <c r="H548" s="15">
        <v>2500000</v>
      </c>
      <c r="I548" s="16">
        <v>20</v>
      </c>
      <c r="J548" s="17">
        <v>24</v>
      </c>
      <c r="K548" s="9" t="s">
        <v>9831</v>
      </c>
      <c r="L548" s="10" t="s">
        <v>16143</v>
      </c>
      <c r="M548" s="9" t="s">
        <v>9841</v>
      </c>
      <c r="N548" s="10" t="s">
        <v>17</v>
      </c>
      <c r="O548" s="15">
        <v>2076100</v>
      </c>
      <c r="P548" s="145">
        <v>70387</v>
      </c>
      <c r="Q548" s="9"/>
      <c r="R548" s="146"/>
      <c r="T548" s="92" t="s">
        <v>12971</v>
      </c>
      <c r="U548">
        <v>1</v>
      </c>
      <c r="V548">
        <f>VLOOKUP(T548,'Data Angt'!$A$5:$F$5810,6,FALSE)</f>
        <v>37</v>
      </c>
      <c r="W548" s="5" t="str">
        <f t="shared" si="8"/>
        <v>PRODUKTIF</v>
      </c>
      <c r="X548" s="5" t="str">
        <f>VLOOKUP(T548,'Data Angt'!$A$5:$H$5810,8,FALSE)</f>
        <v>Wiraswasta</v>
      </c>
      <c r="Y548" s="5" t="str">
        <f>VLOOKUP(T548,'Data Angt'!$A$5:$C$5808,3,FALSE)</f>
        <v>PBL</v>
      </c>
    </row>
    <row r="549" spans="1:25" x14ac:dyDescent="0.3">
      <c r="A549" s="8">
        <v>543</v>
      </c>
      <c r="B549" s="9" t="s">
        <v>8983</v>
      </c>
      <c r="C549" s="10" t="str">
        <f>VLOOKUP(B549,'Data Angt'!$A$5:$B$5809,2,FALSE)</f>
        <v>A4086</v>
      </c>
      <c r="D549" s="11" t="s">
        <v>9895</v>
      </c>
      <c r="E549" s="12" t="s">
        <v>16144</v>
      </c>
      <c r="F549" s="13">
        <v>45318</v>
      </c>
      <c r="G549" s="14">
        <v>45917</v>
      </c>
      <c r="H549" s="15">
        <v>34000000</v>
      </c>
      <c r="I549" s="16">
        <v>24</v>
      </c>
      <c r="J549" s="17">
        <v>21</v>
      </c>
      <c r="K549" s="9" t="s">
        <v>9831</v>
      </c>
      <c r="L549" s="10" t="s">
        <v>16145</v>
      </c>
      <c r="M549" s="9" t="s">
        <v>16146</v>
      </c>
      <c r="N549" s="10" t="s">
        <v>9828</v>
      </c>
      <c r="O549" s="15">
        <v>6692300</v>
      </c>
      <c r="P549" s="145">
        <v>2863609</v>
      </c>
      <c r="Q549" s="9"/>
      <c r="R549" s="146"/>
      <c r="T549" s="92" t="s">
        <v>13008</v>
      </c>
      <c r="U549">
        <v>1</v>
      </c>
      <c r="V549">
        <f>VLOOKUP(T549,'Data Angt'!$A$5:$F$5810,6,FALSE)</f>
        <v>26</v>
      </c>
      <c r="W549" s="5" t="str">
        <f t="shared" si="8"/>
        <v>PRODUKTIF</v>
      </c>
      <c r="X549" s="5" t="str">
        <f>VLOOKUP(T549,'Data Angt'!$A$5:$H$5810,8,FALSE)</f>
        <v>Mengurus Rumah Tangga</v>
      </c>
      <c r="Y549" s="5" t="str">
        <f>VLOOKUP(T549,'Data Angt'!$A$5:$C$5808,3,FALSE)</f>
        <v>PBL</v>
      </c>
    </row>
    <row r="550" spans="1:25" x14ac:dyDescent="0.3">
      <c r="A550" s="8">
        <v>544</v>
      </c>
      <c r="B550" s="9" t="s">
        <v>8989</v>
      </c>
      <c r="C550" s="10" t="str">
        <f>VLOOKUP(B550,'Data Angt'!$A$5:$B$5809,2,FALSE)</f>
        <v>A4088</v>
      </c>
      <c r="D550" s="11" t="s">
        <v>9895</v>
      </c>
      <c r="E550" s="12" t="s">
        <v>10205</v>
      </c>
      <c r="F550" s="13">
        <v>45013</v>
      </c>
      <c r="G550" s="14">
        <v>45920</v>
      </c>
      <c r="H550" s="15">
        <v>38000000</v>
      </c>
      <c r="I550" s="16">
        <v>36</v>
      </c>
      <c r="J550" s="17">
        <v>21</v>
      </c>
      <c r="K550" s="9" t="s">
        <v>9831</v>
      </c>
      <c r="L550" s="10" t="s">
        <v>10206</v>
      </c>
      <c r="M550" s="9" t="s">
        <v>10076</v>
      </c>
      <c r="N550" s="10" t="s">
        <v>9828</v>
      </c>
      <c r="O550" s="15">
        <v>8087800</v>
      </c>
      <c r="P550" s="145">
        <v>4889542</v>
      </c>
      <c r="Q550" s="9" t="s">
        <v>22276</v>
      </c>
      <c r="R550" s="146" t="s">
        <v>22684</v>
      </c>
      <c r="T550" s="92" t="s">
        <v>13018</v>
      </c>
      <c r="U550">
        <v>1</v>
      </c>
      <c r="V550">
        <f>VLOOKUP(T550,'Data Angt'!$A$5:$F$5810,6,FALSE)</f>
        <v>39</v>
      </c>
      <c r="W550" s="5" t="str">
        <f t="shared" si="8"/>
        <v>PRODUKTIF</v>
      </c>
      <c r="X550" s="5" t="str">
        <f>VLOOKUP(T550,'Data Angt'!$A$5:$H$5810,8,FALSE)</f>
        <v>Wiraswasta</v>
      </c>
      <c r="Y550" s="5" t="str">
        <f>VLOOKUP(T550,'Data Angt'!$A$5:$C$5808,3,FALSE)</f>
        <v>PBL</v>
      </c>
    </row>
    <row r="551" spans="1:25" x14ac:dyDescent="0.3">
      <c r="A551" s="8">
        <v>545</v>
      </c>
      <c r="B551" s="9" t="s">
        <v>8999</v>
      </c>
      <c r="C551" s="10" t="str">
        <f>VLOOKUP(B551,'Data Angt'!$A$5:$B$5809,2,FALSE)</f>
        <v>A4093</v>
      </c>
      <c r="D551" s="11" t="s">
        <v>9895</v>
      </c>
      <c r="E551" s="12" t="s">
        <v>22685</v>
      </c>
      <c r="F551" s="13">
        <v>45904</v>
      </c>
      <c r="G551" s="14">
        <v>45904</v>
      </c>
      <c r="H551" s="15">
        <v>8000000</v>
      </c>
      <c r="I551" s="16">
        <v>48</v>
      </c>
      <c r="J551" s="17">
        <v>24</v>
      </c>
      <c r="K551" s="9" t="s">
        <v>9831</v>
      </c>
      <c r="L551" s="10" t="s">
        <v>22686</v>
      </c>
      <c r="M551" s="9" t="s">
        <v>9896</v>
      </c>
      <c r="N551" s="10" t="s">
        <v>9828</v>
      </c>
      <c r="O551" s="15">
        <v>8000000</v>
      </c>
      <c r="P551" s="147">
        <v>0</v>
      </c>
      <c r="Q551" s="9" t="s">
        <v>22189</v>
      </c>
      <c r="R551" s="146" t="s">
        <v>22687</v>
      </c>
      <c r="T551" s="92" t="s">
        <v>13024</v>
      </c>
      <c r="U551">
        <v>1</v>
      </c>
      <c r="V551">
        <f>VLOOKUP(T551,'Data Angt'!$A$5:$F$5810,6,FALSE)</f>
        <v>32</v>
      </c>
      <c r="W551" s="5" t="str">
        <f t="shared" si="8"/>
        <v>KONSUMTIF</v>
      </c>
      <c r="X551" s="5" t="str">
        <f>VLOOKUP(T551,'Data Angt'!$A$5:$H$5810,8,FALSE)</f>
        <v>Mengurus Rumah Tangga</v>
      </c>
      <c r="Y551" s="5" t="str">
        <f>VLOOKUP(T551,'Data Angt'!$A$5:$C$5808,3,FALSE)</f>
        <v>PBL</v>
      </c>
    </row>
    <row r="552" spans="1:25" x14ac:dyDescent="0.3">
      <c r="A552" s="8">
        <v>546</v>
      </c>
      <c r="B552" s="9" t="s">
        <v>9030</v>
      </c>
      <c r="C552" s="10" t="str">
        <f>VLOOKUP(B552,'Data Angt'!$A$5:$B$5809,2,FALSE)</f>
        <v>A4105</v>
      </c>
      <c r="D552" s="11" t="s">
        <v>9845</v>
      </c>
      <c r="E552" s="12" t="s">
        <v>16147</v>
      </c>
      <c r="F552" s="13">
        <v>45595</v>
      </c>
      <c r="G552" s="14">
        <v>45920</v>
      </c>
      <c r="H552" s="15">
        <v>12250000</v>
      </c>
      <c r="I552" s="16">
        <v>18</v>
      </c>
      <c r="J552" s="17">
        <v>12</v>
      </c>
      <c r="K552" s="9" t="s">
        <v>9831</v>
      </c>
      <c r="L552" s="10" t="s">
        <v>16148</v>
      </c>
      <c r="M552" s="9" t="s">
        <v>16149</v>
      </c>
      <c r="N552" s="10" t="s">
        <v>9834</v>
      </c>
      <c r="O552" s="15">
        <v>5025800</v>
      </c>
      <c r="P552" s="145">
        <v>372710</v>
      </c>
      <c r="Q552" s="9"/>
      <c r="R552" s="146"/>
      <c r="T552" s="92" t="s">
        <v>13028</v>
      </c>
      <c r="U552">
        <v>1</v>
      </c>
      <c r="V552">
        <f>VLOOKUP(T552,'Data Angt'!$A$5:$F$5810,6,FALSE)</f>
        <v>28</v>
      </c>
      <c r="W552" s="5" t="str">
        <f t="shared" si="8"/>
        <v>KESEJAHTERAAN</v>
      </c>
      <c r="X552" s="5" t="str">
        <f>VLOOKUP(T552,'Data Angt'!$A$5:$H$5810,8,FALSE)</f>
        <v>Karyawan</v>
      </c>
      <c r="Y552" s="5" t="str">
        <f>VLOOKUP(T552,'Data Angt'!$A$5:$C$5808,3,FALSE)</f>
        <v>PBL</v>
      </c>
    </row>
    <row r="553" spans="1:25" x14ac:dyDescent="0.3">
      <c r="A553" s="8">
        <v>547</v>
      </c>
      <c r="B553" s="9" t="s">
        <v>9074</v>
      </c>
      <c r="C553" s="10" t="str">
        <f>VLOOKUP(B553,'Data Angt'!$A$5:$B$5809,2,FALSE)</f>
        <v>A4127</v>
      </c>
      <c r="D553" s="11" t="s">
        <v>9833</v>
      </c>
      <c r="E553" s="12" t="s">
        <v>22688</v>
      </c>
      <c r="F553" s="13">
        <v>45891</v>
      </c>
      <c r="G553" s="14">
        <v>45918</v>
      </c>
      <c r="H553" s="15">
        <v>1500000</v>
      </c>
      <c r="I553" s="16">
        <v>12</v>
      </c>
      <c r="J553" s="17">
        <v>24</v>
      </c>
      <c r="K553" s="9" t="s">
        <v>9831</v>
      </c>
      <c r="L553" s="10" t="s">
        <v>22689</v>
      </c>
      <c r="M553" s="9" t="s">
        <v>22690</v>
      </c>
      <c r="N553" s="10" t="s">
        <v>9834</v>
      </c>
      <c r="O553" s="15">
        <v>1388100</v>
      </c>
      <c r="P553" s="145">
        <v>11250</v>
      </c>
      <c r="Q553" s="9"/>
      <c r="R553" s="146"/>
      <c r="T553" s="92" t="s">
        <v>13063</v>
      </c>
      <c r="U553">
        <v>1</v>
      </c>
      <c r="V553">
        <f>VLOOKUP(T553,'Data Angt'!$A$5:$F$5810,6,FALSE)</f>
        <v>32</v>
      </c>
      <c r="W553" s="5" t="str">
        <f t="shared" si="8"/>
        <v>PENDIDIKAN</v>
      </c>
      <c r="X553" s="5" t="str">
        <f>VLOOKUP(T553,'Data Angt'!$A$5:$H$5810,8,FALSE)</f>
        <v>Karyawan</v>
      </c>
      <c r="Y553" s="5" t="str">
        <f>VLOOKUP(T553,'Data Angt'!$A$5:$C$5808,3,FALSE)</f>
        <v>PBL</v>
      </c>
    </row>
    <row r="554" spans="1:25" x14ac:dyDescent="0.3">
      <c r="A554" s="8">
        <v>548</v>
      </c>
      <c r="B554" s="9" t="s">
        <v>9094</v>
      </c>
      <c r="C554" s="10" t="str">
        <f>VLOOKUP(B554,'Data Angt'!$A$5:$B$5809,2,FALSE)</f>
        <v>A4138</v>
      </c>
      <c r="D554" s="11" t="s">
        <v>9829</v>
      </c>
      <c r="E554" s="12" t="s">
        <v>22691</v>
      </c>
      <c r="F554" s="13">
        <v>45852</v>
      </c>
      <c r="G554" s="14">
        <v>45926</v>
      </c>
      <c r="H554" s="15">
        <v>6000000</v>
      </c>
      <c r="I554" s="16">
        <v>12</v>
      </c>
      <c r="J554" s="17">
        <v>18</v>
      </c>
      <c r="K554" s="9" t="s">
        <v>9831</v>
      </c>
      <c r="L554" s="10" t="s">
        <v>22692</v>
      </c>
      <c r="M554" s="9" t="s">
        <v>9841</v>
      </c>
      <c r="N554" s="10" t="s">
        <v>17</v>
      </c>
      <c r="O554" s="15">
        <v>5072900</v>
      </c>
      <c r="P554" s="145">
        <v>64912</v>
      </c>
      <c r="Q554" s="9"/>
      <c r="R554" s="146"/>
      <c r="T554" s="92" t="s">
        <v>13076</v>
      </c>
      <c r="U554">
        <v>1</v>
      </c>
      <c r="V554">
        <f>VLOOKUP(T554,'Data Angt'!$A$5:$F$5810,6,FALSE)</f>
        <v>60</v>
      </c>
      <c r="W554" s="5" t="str">
        <f t="shared" si="8"/>
        <v>KONSUMTIF</v>
      </c>
      <c r="X554" s="5" t="str">
        <f>VLOOKUP(T554,'Data Angt'!$A$5:$H$5810,8,FALSE)</f>
        <v>Wiraswasta</v>
      </c>
      <c r="Y554" s="5" t="str">
        <f>VLOOKUP(T554,'Data Angt'!$A$5:$C$5808,3,FALSE)</f>
        <v>PBL</v>
      </c>
    </row>
    <row r="555" spans="1:25" x14ac:dyDescent="0.3">
      <c r="A555" s="8">
        <v>549</v>
      </c>
      <c r="B555" s="9" t="s">
        <v>9117</v>
      </c>
      <c r="C555" s="10" t="str">
        <f>VLOOKUP(B555,'Data Angt'!$A$5:$B$5809,2,FALSE)</f>
        <v>A4148</v>
      </c>
      <c r="D555" s="11" t="s">
        <v>9826</v>
      </c>
      <c r="E555" s="12" t="s">
        <v>16150</v>
      </c>
      <c r="F555" s="13">
        <v>45794</v>
      </c>
      <c r="G555" s="14">
        <v>45918</v>
      </c>
      <c r="H555" s="15">
        <v>2500000</v>
      </c>
      <c r="I555" s="16">
        <v>10</v>
      </c>
      <c r="J555" s="17">
        <v>24</v>
      </c>
      <c r="K555" s="9" t="s">
        <v>9831</v>
      </c>
      <c r="L555" s="10" t="s">
        <v>16151</v>
      </c>
      <c r="M555" s="9" t="s">
        <v>9963</v>
      </c>
      <c r="N555" s="10" t="s">
        <v>9828</v>
      </c>
      <c r="O555" s="15">
        <v>1563500</v>
      </c>
      <c r="P555" s="145">
        <v>66412</v>
      </c>
      <c r="Q555" s="9"/>
      <c r="R555" s="146"/>
      <c r="T555" s="92" t="s">
        <v>13078</v>
      </c>
      <c r="U555">
        <v>1</v>
      </c>
      <c r="V555">
        <f>VLOOKUP(T555,'Data Angt'!$A$5:$F$5810,6,FALSE)</f>
        <v>36</v>
      </c>
      <c r="W555" s="5" t="str">
        <f t="shared" si="8"/>
        <v>KESEJAHTERAAN</v>
      </c>
      <c r="X555" s="5" t="str">
        <f>VLOOKUP(T555,'Data Angt'!$A$5:$H$5810,8,FALSE)</f>
        <v>Karyawan</v>
      </c>
      <c r="Y555" s="5" t="str">
        <f>VLOOKUP(T555,'Data Angt'!$A$5:$C$5808,3,FALSE)</f>
        <v>PBL</v>
      </c>
    </row>
    <row r="556" spans="1:25" x14ac:dyDescent="0.3">
      <c r="A556" s="8">
        <v>550</v>
      </c>
      <c r="B556" s="9" t="s">
        <v>9117</v>
      </c>
      <c r="C556" s="10" t="str">
        <f>VLOOKUP(B556,'Data Angt'!$A$5:$B$5809,2,FALSE)</f>
        <v>A4148</v>
      </c>
      <c r="D556" s="11" t="s">
        <v>9829</v>
      </c>
      <c r="E556" s="12" t="s">
        <v>16152</v>
      </c>
      <c r="F556" s="13">
        <v>45692</v>
      </c>
      <c r="G556" s="14">
        <v>45918</v>
      </c>
      <c r="H556" s="15">
        <v>48500000</v>
      </c>
      <c r="I556" s="16">
        <v>48</v>
      </c>
      <c r="J556" s="17">
        <v>21</v>
      </c>
      <c r="K556" s="9" t="s">
        <v>9831</v>
      </c>
      <c r="L556" s="10" t="s">
        <v>16153</v>
      </c>
      <c r="M556" s="9" t="s">
        <v>9849</v>
      </c>
      <c r="N556" s="10" t="s">
        <v>9830</v>
      </c>
      <c r="O556" s="15">
        <v>43681200</v>
      </c>
      <c r="P556" s="145">
        <v>2135436</v>
      </c>
      <c r="Q556" s="9" t="s">
        <v>22220</v>
      </c>
      <c r="R556" s="146" t="s">
        <v>22693</v>
      </c>
      <c r="T556" s="92" t="s">
        <v>13156</v>
      </c>
      <c r="U556">
        <v>1</v>
      </c>
      <c r="V556">
        <f>VLOOKUP(T556,'Data Angt'!$A$5:$F$5810,6,FALSE)</f>
        <v>48</v>
      </c>
      <c r="W556" s="5" t="str">
        <f t="shared" si="8"/>
        <v>PRODUKTIF</v>
      </c>
      <c r="X556" s="5" t="str">
        <f>VLOOKUP(T556,'Data Angt'!$A$5:$H$5810,8,FALSE)</f>
        <v>Wiraswasta</v>
      </c>
      <c r="Y556" s="5" t="str">
        <f>VLOOKUP(T556,'Data Angt'!$A$5:$C$5808,3,FALSE)</f>
        <v>PBL</v>
      </c>
    </row>
    <row r="557" spans="1:25" x14ac:dyDescent="0.3">
      <c r="A557" s="8">
        <v>551</v>
      </c>
      <c r="B557" s="9" t="s">
        <v>9130</v>
      </c>
      <c r="C557" s="10" t="str">
        <f>VLOOKUP(B557,'Data Angt'!$A$5:$B$5809,2,FALSE)</f>
        <v>A4153</v>
      </c>
      <c r="D557" s="11" t="s">
        <v>9895</v>
      </c>
      <c r="E557" s="12" t="s">
        <v>16154</v>
      </c>
      <c r="F557" s="13">
        <v>45350</v>
      </c>
      <c r="G557" s="14">
        <v>45923</v>
      </c>
      <c r="H557" s="15">
        <v>25000000</v>
      </c>
      <c r="I557" s="16">
        <v>36</v>
      </c>
      <c r="J557" s="17">
        <v>21</v>
      </c>
      <c r="K557" s="9" t="s">
        <v>9831</v>
      </c>
      <c r="L557" s="10" t="s">
        <v>16155</v>
      </c>
      <c r="M557" s="9" t="s">
        <v>10076</v>
      </c>
      <c r="N557" s="10" t="s">
        <v>9828</v>
      </c>
      <c r="O557" s="15">
        <v>13747100</v>
      </c>
      <c r="P557" s="145">
        <v>2491195</v>
      </c>
      <c r="Q557" s="9" t="s">
        <v>22643</v>
      </c>
      <c r="R557" s="146" t="s">
        <v>22694</v>
      </c>
      <c r="T557" s="92" t="s">
        <v>13208</v>
      </c>
      <c r="U557">
        <v>1</v>
      </c>
      <c r="V557">
        <f>VLOOKUP(T557,'Data Angt'!$A$5:$F$5810,6,FALSE)</f>
        <v>40</v>
      </c>
      <c r="W557" s="5" t="str">
        <f t="shared" si="8"/>
        <v>KESEJAHTERAAN</v>
      </c>
      <c r="X557" s="5" t="str">
        <f>VLOOKUP(T557,'Data Angt'!$A$5:$H$5810,8,FALSE)</f>
        <v>Wiraswasta</v>
      </c>
      <c r="Y557" s="5" t="str">
        <f>VLOOKUP(T557,'Data Angt'!$A$5:$C$5808,3,FALSE)</f>
        <v>PBL</v>
      </c>
    </row>
    <row r="558" spans="1:25" x14ac:dyDescent="0.3">
      <c r="A558" s="8">
        <v>552</v>
      </c>
      <c r="B558" s="9" t="s">
        <v>9142</v>
      </c>
      <c r="C558" s="10" t="str">
        <f>VLOOKUP(B558,'Data Angt'!$A$5:$B$5809,2,FALSE)</f>
        <v>A4158</v>
      </c>
      <c r="D558" s="11" t="s">
        <v>9829</v>
      </c>
      <c r="E558" s="12" t="s">
        <v>16156</v>
      </c>
      <c r="F558" s="13">
        <v>45797</v>
      </c>
      <c r="G558" s="14">
        <v>45930</v>
      </c>
      <c r="H558" s="15">
        <v>7500000</v>
      </c>
      <c r="I558" s="16">
        <v>12</v>
      </c>
      <c r="J558" s="17">
        <v>24</v>
      </c>
      <c r="K558" s="9" t="s">
        <v>9831</v>
      </c>
      <c r="L558" s="10" t="s">
        <v>16157</v>
      </c>
      <c r="M558" s="9" t="s">
        <v>16158</v>
      </c>
      <c r="N558" s="10" t="s">
        <v>9830</v>
      </c>
      <c r="O558" s="15">
        <v>5195400</v>
      </c>
      <c r="P558" s="145">
        <v>199574</v>
      </c>
      <c r="Q558" s="9" t="s">
        <v>22189</v>
      </c>
      <c r="R558" s="146" t="s">
        <v>22695</v>
      </c>
      <c r="T558" s="92" t="s">
        <v>13210</v>
      </c>
      <c r="U558">
        <v>1</v>
      </c>
      <c r="V558">
        <f>VLOOKUP(T558,'Data Angt'!$A$5:$F$5810,6,FALSE)</f>
        <v>23</v>
      </c>
      <c r="W558" s="5" t="str">
        <f t="shared" si="8"/>
        <v>KESEJAHTERAAN</v>
      </c>
      <c r="X558" s="5" t="str">
        <f>VLOOKUP(T558,'Data Angt'!$A$5:$H$5810,8,FALSE)</f>
        <v>Karyawan</v>
      </c>
      <c r="Y558" s="5" t="str">
        <f>VLOOKUP(T558,'Data Angt'!$A$5:$C$5808,3,FALSE)</f>
        <v>PBL</v>
      </c>
    </row>
    <row r="559" spans="1:25" x14ac:dyDescent="0.3">
      <c r="A559" s="8">
        <v>553</v>
      </c>
      <c r="B559" s="9" t="s">
        <v>9174</v>
      </c>
      <c r="C559" s="10" t="str">
        <f>VLOOKUP(B559,'Data Angt'!$A$5:$B$5809,2,FALSE)</f>
        <v>A4174</v>
      </c>
      <c r="D559" s="11" t="s">
        <v>9829</v>
      </c>
      <c r="E559" s="12" t="s">
        <v>10207</v>
      </c>
      <c r="F559" s="13">
        <v>45245</v>
      </c>
      <c r="G559" s="14">
        <v>45439</v>
      </c>
      <c r="H559" s="15">
        <v>25000000</v>
      </c>
      <c r="I559" s="16">
        <v>24</v>
      </c>
      <c r="J559" s="17">
        <v>18</v>
      </c>
      <c r="K559" s="9" t="s">
        <v>9831</v>
      </c>
      <c r="L559" s="10" t="s">
        <v>10208</v>
      </c>
      <c r="M559" s="9" t="s">
        <v>10209</v>
      </c>
      <c r="N559" s="10" t="s">
        <v>9828</v>
      </c>
      <c r="O559" s="15">
        <v>19560800</v>
      </c>
      <c r="P559" s="145">
        <v>768749</v>
      </c>
      <c r="Q559" s="9" t="s">
        <v>22189</v>
      </c>
      <c r="R559" s="146" t="s">
        <v>22696</v>
      </c>
      <c r="T559" s="92" t="s">
        <v>13528</v>
      </c>
      <c r="U559">
        <v>1</v>
      </c>
      <c r="V559">
        <f>VLOOKUP(T559,'Data Angt'!$A$5:$F$5810,6,FALSE)</f>
        <v>33</v>
      </c>
      <c r="W559" s="5" t="str">
        <f t="shared" si="8"/>
        <v>KONSUMTIF</v>
      </c>
      <c r="X559" s="5" t="str">
        <f>VLOOKUP(T559,'Data Angt'!$A$5:$H$5810,8,FALSE)</f>
        <v>Mengurus Rumah Tangga</v>
      </c>
      <c r="Y559" s="5" t="str">
        <f>VLOOKUP(T559,'Data Angt'!$A$5:$C$5808,3,FALSE)</f>
        <v>PBL</v>
      </c>
    </row>
    <row r="560" spans="1:25" x14ac:dyDescent="0.3">
      <c r="A560" s="8">
        <v>554</v>
      </c>
      <c r="B560" s="9" t="s">
        <v>9179</v>
      </c>
      <c r="C560" s="10" t="str">
        <f>VLOOKUP(B560,'Data Angt'!$A$5:$B$5809,2,FALSE)</f>
        <v>A4176</v>
      </c>
      <c r="D560" s="11" t="s">
        <v>9833</v>
      </c>
      <c r="E560" s="12" t="s">
        <v>16159</v>
      </c>
      <c r="F560" s="13">
        <v>45616</v>
      </c>
      <c r="G560" s="14">
        <v>45771</v>
      </c>
      <c r="H560" s="15">
        <v>20000000</v>
      </c>
      <c r="I560" s="16">
        <v>18</v>
      </c>
      <c r="J560" s="17">
        <v>24</v>
      </c>
      <c r="K560" s="9" t="s">
        <v>9831</v>
      </c>
      <c r="L560" s="10" t="s">
        <v>16160</v>
      </c>
      <c r="M560" s="9" t="s">
        <v>16161</v>
      </c>
      <c r="N560" s="10" t="s">
        <v>9834</v>
      </c>
      <c r="O560" s="15">
        <v>16150200</v>
      </c>
      <c r="P560" s="145">
        <v>557474</v>
      </c>
      <c r="Q560" s="9" t="s">
        <v>22220</v>
      </c>
      <c r="R560" s="146" t="s">
        <v>22697</v>
      </c>
      <c r="T560" s="92" t="s">
        <v>13584</v>
      </c>
      <c r="U560">
        <v>1</v>
      </c>
      <c r="V560">
        <f>VLOOKUP(T560,'Data Angt'!$A$5:$F$5810,6,FALSE)</f>
        <v>45</v>
      </c>
      <c r="W560" s="5" t="str">
        <f t="shared" si="8"/>
        <v>PENDIDIKAN</v>
      </c>
      <c r="X560" s="5" t="str">
        <f>VLOOKUP(T560,'Data Angt'!$A$5:$H$5810,8,FALSE)</f>
        <v>Tenaga Pengajar</v>
      </c>
      <c r="Y560" s="5" t="str">
        <f>VLOOKUP(T560,'Data Angt'!$A$5:$C$5808,3,FALSE)</f>
        <v>PBL</v>
      </c>
    </row>
    <row r="561" spans="1:25" x14ac:dyDescent="0.3">
      <c r="A561" s="8">
        <v>555</v>
      </c>
      <c r="B561" s="9" t="s">
        <v>9202</v>
      </c>
      <c r="C561" s="10" t="str">
        <f>VLOOKUP(B561,'Data Angt'!$A$5:$B$5809,2,FALSE)</f>
        <v>A4187</v>
      </c>
      <c r="D561" s="11" t="s">
        <v>9829</v>
      </c>
      <c r="E561" s="12" t="s">
        <v>22698</v>
      </c>
      <c r="F561" s="13">
        <v>45919</v>
      </c>
      <c r="G561" s="14">
        <v>45919</v>
      </c>
      <c r="H561" s="15">
        <v>50000000</v>
      </c>
      <c r="I561" s="16">
        <v>36</v>
      </c>
      <c r="J561" s="17">
        <v>21</v>
      </c>
      <c r="K561" s="9" t="s">
        <v>9831</v>
      </c>
      <c r="L561" s="10" t="s">
        <v>22699</v>
      </c>
      <c r="M561" s="9" t="s">
        <v>17</v>
      </c>
      <c r="N561" s="10" t="s">
        <v>17</v>
      </c>
      <c r="O561" s="15">
        <v>50000000</v>
      </c>
      <c r="P561" s="147">
        <v>0</v>
      </c>
      <c r="Q561" s="9" t="s">
        <v>22391</v>
      </c>
      <c r="R561" s="146" t="s">
        <v>22700</v>
      </c>
      <c r="T561" s="92" t="s">
        <v>13628</v>
      </c>
      <c r="U561">
        <v>1</v>
      </c>
      <c r="V561">
        <f>VLOOKUP(T561,'Data Angt'!$A$5:$F$5810,6,FALSE)</f>
        <v>48</v>
      </c>
      <c r="W561" s="5" t="str">
        <f t="shared" si="8"/>
        <v>PRODUKTIF</v>
      </c>
      <c r="X561" s="5" t="str">
        <f>VLOOKUP(T561,'Data Angt'!$A$5:$H$5810,8,FALSE)</f>
        <v>Wiraswasta</v>
      </c>
      <c r="Y561" s="5" t="str">
        <f>VLOOKUP(T561,'Data Angt'!$A$5:$C$5808,3,FALSE)</f>
        <v>PBL</v>
      </c>
    </row>
    <row r="562" spans="1:25" x14ac:dyDescent="0.3">
      <c r="A562" s="8">
        <v>556</v>
      </c>
      <c r="B562" s="9" t="s">
        <v>9230</v>
      </c>
      <c r="C562" s="10" t="str">
        <f>VLOOKUP(B562,'Data Angt'!$A$5:$B$5809,2,FALSE)</f>
        <v>A4198</v>
      </c>
      <c r="D562" s="11" t="s">
        <v>9829</v>
      </c>
      <c r="E562" s="12" t="s">
        <v>16162</v>
      </c>
      <c r="F562" s="13">
        <v>45689</v>
      </c>
      <c r="G562" s="14">
        <v>45901</v>
      </c>
      <c r="H562" s="15">
        <v>5000000</v>
      </c>
      <c r="I562" s="16">
        <v>8</v>
      </c>
      <c r="J562" s="17">
        <v>24</v>
      </c>
      <c r="K562" s="9" t="s">
        <v>9831</v>
      </c>
      <c r="L562" s="10" t="s">
        <v>16163</v>
      </c>
      <c r="M562" s="9" t="s">
        <v>9962</v>
      </c>
      <c r="N562" s="10" t="s">
        <v>9834</v>
      </c>
      <c r="O562" s="15">
        <v>669100</v>
      </c>
      <c r="P562" s="145">
        <v>167737</v>
      </c>
      <c r="Q562" s="9" t="s">
        <v>22189</v>
      </c>
      <c r="R562" s="146" t="s">
        <v>22701</v>
      </c>
      <c r="T562" s="92" t="s">
        <v>13630</v>
      </c>
      <c r="U562">
        <v>1</v>
      </c>
      <c r="V562">
        <f>VLOOKUP(T562,'Data Angt'!$A$5:$F$5810,6,FALSE)</f>
        <v>25</v>
      </c>
      <c r="W562" s="5" t="str">
        <f t="shared" si="8"/>
        <v>KESEJAHTERAAN</v>
      </c>
      <c r="X562" s="5" t="str">
        <f>VLOOKUP(T562,'Data Angt'!$A$5:$H$5810,8,FALSE)</f>
        <v>Karyawan</v>
      </c>
      <c r="Y562" s="5" t="str">
        <f>VLOOKUP(T562,'Data Angt'!$A$5:$C$5808,3,FALSE)</f>
        <v>PBL</v>
      </c>
    </row>
    <row r="563" spans="1:25" x14ac:dyDescent="0.3">
      <c r="A563" s="8">
        <v>557</v>
      </c>
      <c r="B563" s="9" t="s">
        <v>9233</v>
      </c>
      <c r="C563" s="10" t="str">
        <f>VLOOKUP(B563,'Data Angt'!$A$5:$B$5809,2,FALSE)</f>
        <v>A4199</v>
      </c>
      <c r="D563" s="11" t="s">
        <v>9826</v>
      </c>
      <c r="E563" s="12" t="s">
        <v>16164</v>
      </c>
      <c r="F563" s="13">
        <v>45804</v>
      </c>
      <c r="G563" s="14">
        <v>45924</v>
      </c>
      <c r="H563" s="15">
        <v>3000000</v>
      </c>
      <c r="I563" s="16">
        <v>10</v>
      </c>
      <c r="J563" s="17">
        <v>24</v>
      </c>
      <c r="K563" s="9" t="s">
        <v>9831</v>
      </c>
      <c r="L563" s="10" t="s">
        <v>16165</v>
      </c>
      <c r="M563" s="9" t="s">
        <v>9880</v>
      </c>
      <c r="N563" s="10" t="s">
        <v>9830</v>
      </c>
      <c r="O563" s="15">
        <v>1870900</v>
      </c>
      <c r="P563" s="145">
        <v>77587</v>
      </c>
      <c r="Q563" s="9"/>
      <c r="R563" s="146"/>
      <c r="T563" s="92" t="s">
        <v>13643</v>
      </c>
      <c r="U563">
        <v>1</v>
      </c>
      <c r="V563">
        <f>VLOOKUP(T563,'Data Angt'!$A$5:$F$5810,6,FALSE)</f>
        <v>55</v>
      </c>
      <c r="W563" s="5" t="str">
        <f t="shared" si="8"/>
        <v>PRODUKTIF</v>
      </c>
      <c r="X563" s="5" t="str">
        <f>VLOOKUP(T563,'Data Angt'!$A$5:$H$5810,8,FALSE)</f>
        <v>Tenaga Ahli</v>
      </c>
      <c r="Y563" s="5" t="str">
        <f>VLOOKUP(T563,'Data Angt'!$A$5:$C$5808,3,FALSE)</f>
        <v>PBL</v>
      </c>
    </row>
    <row r="564" spans="1:25" x14ac:dyDescent="0.3">
      <c r="A564" s="8">
        <v>558</v>
      </c>
      <c r="B564" s="9" t="s">
        <v>9233</v>
      </c>
      <c r="C564" s="10" t="str">
        <f>VLOOKUP(B564,'Data Angt'!$A$5:$B$5809,2,FALSE)</f>
        <v>A4199</v>
      </c>
      <c r="D564" s="11" t="s">
        <v>9829</v>
      </c>
      <c r="E564" s="12" t="s">
        <v>10210</v>
      </c>
      <c r="F564" s="13">
        <v>45159</v>
      </c>
      <c r="G564" s="14">
        <v>45922</v>
      </c>
      <c r="H564" s="15">
        <v>49000000</v>
      </c>
      <c r="I564" s="16">
        <v>48</v>
      </c>
      <c r="J564" s="17">
        <v>21</v>
      </c>
      <c r="K564" s="9" t="s">
        <v>9831</v>
      </c>
      <c r="L564" s="10" t="s">
        <v>10211</v>
      </c>
      <c r="M564" s="9" t="s">
        <v>10212</v>
      </c>
      <c r="N564" s="10" t="s">
        <v>9830</v>
      </c>
      <c r="O564" s="15">
        <v>28526300</v>
      </c>
      <c r="P564" s="145">
        <v>6547981</v>
      </c>
      <c r="Q564" s="9" t="s">
        <v>22220</v>
      </c>
      <c r="R564" s="146" t="s">
        <v>22702</v>
      </c>
      <c r="T564" s="92" t="s">
        <v>13661</v>
      </c>
      <c r="U564">
        <v>1</v>
      </c>
      <c r="V564">
        <f>VLOOKUP(T564,'Data Angt'!$A$5:$F$5810,6,FALSE)</f>
        <v>57</v>
      </c>
      <c r="W564" s="5" t="str">
        <f t="shared" si="8"/>
        <v>PRODUKTIF</v>
      </c>
      <c r="X564" s="5" t="str">
        <f>VLOOKUP(T564,'Data Angt'!$A$5:$H$5810,8,FALSE)</f>
        <v>Wiraswasta</v>
      </c>
      <c r="Y564" s="5" t="str">
        <f>VLOOKUP(T564,'Data Angt'!$A$5:$C$5808,3,FALSE)</f>
        <v>PBL</v>
      </c>
    </row>
    <row r="565" spans="1:25" x14ac:dyDescent="0.3">
      <c r="A565" s="8">
        <v>559</v>
      </c>
      <c r="B565" s="9" t="s">
        <v>9254</v>
      </c>
      <c r="C565" s="10" t="str">
        <f>VLOOKUP(B565,'Data Angt'!$A$5:$B$5809,2,FALSE)</f>
        <v>A4207</v>
      </c>
      <c r="D565" s="11" t="s">
        <v>9833</v>
      </c>
      <c r="E565" s="12" t="s">
        <v>16166</v>
      </c>
      <c r="F565" s="13">
        <v>45378</v>
      </c>
      <c r="G565" s="14">
        <v>45920</v>
      </c>
      <c r="H565" s="15">
        <v>5000000</v>
      </c>
      <c r="I565" s="16">
        <v>24</v>
      </c>
      <c r="J565" s="17">
        <v>24</v>
      </c>
      <c r="K565" s="9" t="s">
        <v>9831</v>
      </c>
      <c r="L565" s="10" t="s">
        <v>16167</v>
      </c>
      <c r="M565" s="9" t="s">
        <v>16168</v>
      </c>
      <c r="N565" s="10" t="s">
        <v>9834</v>
      </c>
      <c r="O565" s="15">
        <v>1480800</v>
      </c>
      <c r="P565" s="145">
        <v>464997</v>
      </c>
      <c r="Q565" s="9"/>
      <c r="R565" s="146"/>
      <c r="T565" s="92" t="s">
        <v>13682</v>
      </c>
      <c r="U565">
        <v>1</v>
      </c>
      <c r="V565">
        <f>VLOOKUP(T565,'Data Angt'!$A$5:$F$5810,6,FALSE)</f>
        <v>43</v>
      </c>
      <c r="W565" s="5" t="str">
        <f t="shared" si="8"/>
        <v>KONSUMTIF</v>
      </c>
      <c r="X565" s="5" t="str">
        <f>VLOOKUP(T565,'Data Angt'!$A$5:$H$5810,8,FALSE)</f>
        <v>Wiraswasta</v>
      </c>
      <c r="Y565" s="5" t="str">
        <f>VLOOKUP(T565,'Data Angt'!$A$5:$C$5808,3,FALSE)</f>
        <v>PBL</v>
      </c>
    </row>
    <row r="566" spans="1:25" x14ac:dyDescent="0.3">
      <c r="A566" s="8">
        <v>560</v>
      </c>
      <c r="B566" s="9" t="s">
        <v>9291</v>
      </c>
      <c r="C566" s="10" t="str">
        <f>VLOOKUP(B566,'Data Angt'!$A$5:$B$5809,2,FALSE)</f>
        <v>A4224</v>
      </c>
      <c r="D566" s="11" t="s">
        <v>9829</v>
      </c>
      <c r="E566" s="12" t="s">
        <v>22703</v>
      </c>
      <c r="F566" s="13">
        <v>45850</v>
      </c>
      <c r="G566" s="14">
        <v>45922</v>
      </c>
      <c r="H566" s="15">
        <v>2000000</v>
      </c>
      <c r="I566" s="16">
        <v>4</v>
      </c>
      <c r="J566" s="17">
        <v>24</v>
      </c>
      <c r="K566" s="9" t="s">
        <v>9831</v>
      </c>
      <c r="L566" s="10" t="s">
        <v>22704</v>
      </c>
      <c r="M566" s="9" t="s">
        <v>9838</v>
      </c>
      <c r="N566" s="10" t="s">
        <v>9830</v>
      </c>
      <c r="O566" s="15">
        <v>1019700</v>
      </c>
      <c r="P566" s="145">
        <v>26362</v>
      </c>
      <c r="Q566" s="9"/>
      <c r="R566" s="146"/>
      <c r="T566" s="92" t="s">
        <v>13693</v>
      </c>
      <c r="U566">
        <v>1</v>
      </c>
      <c r="V566">
        <f>VLOOKUP(T566,'Data Angt'!$A$5:$F$5810,6,FALSE)</f>
        <v>60</v>
      </c>
      <c r="W566" s="5" t="str">
        <f t="shared" si="8"/>
        <v>PRODUKTIF</v>
      </c>
      <c r="X566" s="5" t="str">
        <f>VLOOKUP(T566,'Data Angt'!$A$5:$H$5810,8,FALSE)</f>
        <v>Wiraswasta</v>
      </c>
      <c r="Y566" s="5" t="str">
        <f>VLOOKUP(T566,'Data Angt'!$A$5:$C$5808,3,FALSE)</f>
        <v>PBL</v>
      </c>
    </row>
    <row r="567" spans="1:25" x14ac:dyDescent="0.3">
      <c r="A567" s="8">
        <v>561</v>
      </c>
      <c r="B567" s="9" t="s">
        <v>9304</v>
      </c>
      <c r="C567" s="10" t="str">
        <f>VLOOKUP(B567,'Data Angt'!$A$5:$B$5809,2,FALSE)</f>
        <v>A4229</v>
      </c>
      <c r="D567" s="11" t="s">
        <v>9829</v>
      </c>
      <c r="E567" s="12" t="s">
        <v>16169</v>
      </c>
      <c r="F567" s="13">
        <v>45602</v>
      </c>
      <c r="G567" s="14">
        <v>45906</v>
      </c>
      <c r="H567" s="15">
        <v>6239300</v>
      </c>
      <c r="I567" s="16">
        <v>10</v>
      </c>
      <c r="J567" s="17">
        <v>24</v>
      </c>
      <c r="K567" s="9" t="s">
        <v>9831</v>
      </c>
      <c r="L567" s="10" t="s">
        <v>16170</v>
      </c>
      <c r="M567" s="9" t="s">
        <v>9964</v>
      </c>
      <c r="N567" s="10" t="s">
        <v>17</v>
      </c>
      <c r="O567" s="15">
        <v>35281900</v>
      </c>
      <c r="P567" s="145">
        <v>2670748</v>
      </c>
      <c r="Q567" s="9"/>
      <c r="R567" s="146"/>
      <c r="T567" s="92" t="s">
        <v>13697</v>
      </c>
      <c r="U567">
        <v>1</v>
      </c>
      <c r="V567">
        <f>VLOOKUP(T567,'Data Angt'!$A$5:$F$5810,6,FALSE)</f>
        <v>55</v>
      </c>
      <c r="W567" s="5" t="str">
        <f t="shared" si="8"/>
        <v>KONSUMTIF</v>
      </c>
      <c r="X567" s="5" t="str">
        <f>VLOOKUP(T567,'Data Angt'!$A$5:$H$5810,8,FALSE)</f>
        <v>Karyawan</v>
      </c>
      <c r="Y567" s="5" t="str">
        <f>VLOOKUP(T567,'Data Angt'!$A$5:$C$5808,3,FALSE)</f>
        <v>PBL</v>
      </c>
    </row>
    <row r="568" spans="1:25" x14ac:dyDescent="0.3">
      <c r="A568" s="8">
        <v>562</v>
      </c>
      <c r="B568" s="9" t="s">
        <v>9306</v>
      </c>
      <c r="C568" s="10" t="str">
        <f>VLOOKUP(B568,'Data Angt'!$A$5:$B$5809,2,FALSE)</f>
        <v>A4230</v>
      </c>
      <c r="D568" s="11" t="s">
        <v>9829</v>
      </c>
      <c r="E568" s="12" t="s">
        <v>16171</v>
      </c>
      <c r="F568" s="13">
        <v>45526</v>
      </c>
      <c r="G568" s="14">
        <v>45923</v>
      </c>
      <c r="H568" s="15">
        <v>65000000</v>
      </c>
      <c r="I568" s="16">
        <v>36</v>
      </c>
      <c r="J568" s="17">
        <v>21</v>
      </c>
      <c r="K568" s="9" t="s">
        <v>9831</v>
      </c>
      <c r="L568" s="10" t="s">
        <v>16172</v>
      </c>
      <c r="M568" s="9" t="s">
        <v>10214</v>
      </c>
      <c r="N568" s="10" t="s">
        <v>9828</v>
      </c>
      <c r="O568" s="15">
        <v>46042100</v>
      </c>
      <c r="P568" s="145">
        <v>4829171</v>
      </c>
      <c r="Q568" s="9"/>
      <c r="R568" s="146"/>
      <c r="T568" s="92" t="s">
        <v>13716</v>
      </c>
      <c r="U568">
        <v>1</v>
      </c>
      <c r="V568">
        <f>VLOOKUP(T568,'Data Angt'!$A$5:$F$5810,6,FALSE)</f>
        <v>52</v>
      </c>
      <c r="W568" s="5" t="str">
        <f t="shared" si="8"/>
        <v>PRODUKTIF</v>
      </c>
      <c r="X568" s="5" t="str">
        <f>VLOOKUP(T568,'Data Angt'!$A$5:$H$5810,8,FALSE)</f>
        <v>Tenaga Pengajar</v>
      </c>
      <c r="Y568" s="5" t="str">
        <f>VLOOKUP(T568,'Data Angt'!$A$5:$C$5808,3,FALSE)</f>
        <v>PBL</v>
      </c>
    </row>
    <row r="569" spans="1:25" x14ac:dyDescent="0.3">
      <c r="A569" s="8">
        <v>563</v>
      </c>
      <c r="B569" s="9" t="s">
        <v>9313</v>
      </c>
      <c r="C569" s="10" t="str">
        <f>VLOOKUP(B569,'Data Angt'!$A$5:$B$5809,2,FALSE)</f>
        <v>A4234</v>
      </c>
      <c r="D569" s="11" t="s">
        <v>9829</v>
      </c>
      <c r="E569" s="12" t="s">
        <v>16173</v>
      </c>
      <c r="F569" s="13">
        <v>45644</v>
      </c>
      <c r="G569" s="14">
        <v>45839</v>
      </c>
      <c r="H569" s="15">
        <v>25000000</v>
      </c>
      <c r="I569" s="16">
        <v>36</v>
      </c>
      <c r="J569" s="17">
        <v>21</v>
      </c>
      <c r="K569" s="9" t="s">
        <v>9831</v>
      </c>
      <c r="L569" s="10" t="s">
        <v>16174</v>
      </c>
      <c r="M569" s="9" t="s">
        <v>16175</v>
      </c>
      <c r="N569" s="10" t="s">
        <v>9834</v>
      </c>
      <c r="O569" s="15">
        <v>22388300</v>
      </c>
      <c r="P569" s="145">
        <v>786673</v>
      </c>
      <c r="Q569" s="9" t="s">
        <v>22197</v>
      </c>
      <c r="R569" s="146" t="s">
        <v>22705</v>
      </c>
      <c r="T569" s="92" t="s">
        <v>13747</v>
      </c>
      <c r="U569">
        <v>1</v>
      </c>
      <c r="V569">
        <f>VLOOKUP(T569,'Data Angt'!$A$5:$F$5810,6,FALSE)</f>
        <v>57</v>
      </c>
      <c r="W569" s="5" t="str">
        <f t="shared" si="8"/>
        <v>KESEHATAN</v>
      </c>
      <c r="X569" s="5" t="str">
        <f>VLOOKUP(T569,'Data Angt'!$A$5:$H$5810,8,FALSE)</f>
        <v>Wiraswasta</v>
      </c>
      <c r="Y569" s="5" t="str">
        <f>VLOOKUP(T569,'Data Angt'!$A$5:$C$5808,3,FALSE)</f>
        <v>PBL</v>
      </c>
    </row>
    <row r="570" spans="1:25" x14ac:dyDescent="0.3">
      <c r="A570" s="8">
        <v>564</v>
      </c>
      <c r="B570" s="9" t="s">
        <v>9325</v>
      </c>
      <c r="C570" s="10" t="str">
        <f>VLOOKUP(B570,'Data Angt'!$A$5:$B$5809,2,FALSE)</f>
        <v>A4240</v>
      </c>
      <c r="D570" s="11" t="s">
        <v>9829</v>
      </c>
      <c r="E570" s="12" t="s">
        <v>10215</v>
      </c>
      <c r="F570" s="13">
        <v>45190</v>
      </c>
      <c r="G570" s="14">
        <v>45916</v>
      </c>
      <c r="H570" s="15">
        <v>45000000</v>
      </c>
      <c r="I570" s="16">
        <v>30</v>
      </c>
      <c r="J570" s="17">
        <v>21</v>
      </c>
      <c r="K570" s="9" t="s">
        <v>9831</v>
      </c>
      <c r="L570" s="10" t="s">
        <v>10216</v>
      </c>
      <c r="M570" s="9" t="s">
        <v>10217</v>
      </c>
      <c r="N570" s="10" t="s">
        <v>9830</v>
      </c>
      <c r="O570" s="15">
        <v>27231800</v>
      </c>
      <c r="P570" s="145">
        <v>4733695</v>
      </c>
      <c r="Q570" s="9"/>
      <c r="R570" s="146"/>
      <c r="T570" s="92" t="s">
        <v>13754</v>
      </c>
      <c r="U570">
        <v>1</v>
      </c>
      <c r="V570">
        <f>VLOOKUP(T570,'Data Angt'!$A$5:$F$5810,6,FALSE)</f>
        <v>20</v>
      </c>
      <c r="W570" s="5" t="str">
        <f t="shared" si="8"/>
        <v>KONSUMTIF</v>
      </c>
      <c r="X570" s="5" t="str">
        <f>VLOOKUP(T570,'Data Angt'!$A$5:$H$5810,8,FALSE)</f>
        <v>Karyawan</v>
      </c>
      <c r="Y570" s="5" t="str">
        <f>VLOOKUP(T570,'Data Angt'!$A$5:$C$5808,3,FALSE)</f>
        <v>PBL</v>
      </c>
    </row>
    <row r="571" spans="1:25" x14ac:dyDescent="0.3">
      <c r="A571" s="8">
        <v>565</v>
      </c>
      <c r="B571" s="9" t="s">
        <v>9341</v>
      </c>
      <c r="C571" s="10" t="str">
        <f>VLOOKUP(B571,'Data Angt'!$A$5:$B$5809,2,FALSE)</f>
        <v>A4247</v>
      </c>
      <c r="D571" s="11" t="s">
        <v>9833</v>
      </c>
      <c r="E571" s="12" t="s">
        <v>22706</v>
      </c>
      <c r="F571" s="13">
        <v>45918</v>
      </c>
      <c r="G571" s="14">
        <v>45918</v>
      </c>
      <c r="H571" s="15">
        <v>2500000</v>
      </c>
      <c r="I571" s="16">
        <v>10</v>
      </c>
      <c r="J571" s="17">
        <v>24</v>
      </c>
      <c r="K571" s="9" t="s">
        <v>9831</v>
      </c>
      <c r="L571" s="10" t="s">
        <v>22707</v>
      </c>
      <c r="M571" s="9" t="s">
        <v>9862</v>
      </c>
      <c r="N571" s="10" t="s">
        <v>9834</v>
      </c>
      <c r="O571" s="15">
        <v>2500000</v>
      </c>
      <c r="P571" s="147">
        <v>0</v>
      </c>
      <c r="Q571" s="9"/>
      <c r="R571" s="146"/>
      <c r="T571" s="92" t="s">
        <v>13785</v>
      </c>
      <c r="U571">
        <v>1</v>
      </c>
      <c r="V571">
        <f>VLOOKUP(T571,'Data Angt'!$A$5:$F$5810,6,FALSE)</f>
        <v>27</v>
      </c>
      <c r="W571" s="5" t="str">
        <f t="shared" si="8"/>
        <v>KESEJAHTERAAN</v>
      </c>
      <c r="X571" s="5" t="str">
        <f>VLOOKUP(T571,'Data Angt'!$A$5:$H$5810,8,FALSE)</f>
        <v>Karyawan</v>
      </c>
      <c r="Y571" s="5" t="str">
        <f>VLOOKUP(T571,'Data Angt'!$A$5:$C$5808,3,FALSE)</f>
        <v>PBL</v>
      </c>
    </row>
    <row r="572" spans="1:25" x14ac:dyDescent="0.3">
      <c r="A572" s="8">
        <v>566</v>
      </c>
      <c r="B572" s="9" t="s">
        <v>9352</v>
      </c>
      <c r="C572" s="10" t="str">
        <f>VLOOKUP(B572,'Data Angt'!$A$5:$B$5809,2,FALSE)</f>
        <v>A4254</v>
      </c>
      <c r="D572" s="11" t="s">
        <v>9833</v>
      </c>
      <c r="E572" s="12" t="s">
        <v>16176</v>
      </c>
      <c r="F572" s="13">
        <v>45719</v>
      </c>
      <c r="G572" s="14">
        <v>45903</v>
      </c>
      <c r="H572" s="15">
        <v>5000000</v>
      </c>
      <c r="I572" s="16">
        <v>12</v>
      </c>
      <c r="J572" s="17">
        <v>24</v>
      </c>
      <c r="K572" s="9" t="s">
        <v>9831</v>
      </c>
      <c r="L572" s="10" t="s">
        <v>16177</v>
      </c>
      <c r="M572" s="9" t="s">
        <v>9862</v>
      </c>
      <c r="N572" s="10" t="s">
        <v>9834</v>
      </c>
      <c r="O572" s="15">
        <v>2648600</v>
      </c>
      <c r="P572" s="145">
        <v>182024</v>
      </c>
      <c r="Q572" s="9"/>
      <c r="R572" s="146"/>
      <c r="T572" s="92" t="s">
        <v>13788</v>
      </c>
      <c r="U572">
        <v>1</v>
      </c>
      <c r="V572">
        <f>VLOOKUP(T572,'Data Angt'!$A$5:$F$5810,6,FALSE)</f>
        <v>20</v>
      </c>
      <c r="W572" s="5" t="str">
        <f t="shared" si="8"/>
        <v>KONSUMTIF</v>
      </c>
      <c r="X572" s="5" t="str">
        <f>VLOOKUP(T572,'Data Angt'!$A$5:$H$5810,8,FALSE)</f>
        <v>Karyawan</v>
      </c>
      <c r="Y572" s="5" t="str">
        <f>VLOOKUP(T572,'Data Angt'!$A$5:$C$5808,3,FALSE)</f>
        <v>PBL</v>
      </c>
    </row>
    <row r="573" spans="1:25" x14ac:dyDescent="0.3">
      <c r="A573" s="8">
        <v>567</v>
      </c>
      <c r="B573" s="9" t="s">
        <v>9357</v>
      </c>
      <c r="C573" s="10" t="str">
        <f>VLOOKUP(B573,'Data Angt'!$A$5:$B$5809,2,FALSE)</f>
        <v>A4256</v>
      </c>
      <c r="D573" s="11" t="s">
        <v>9829</v>
      </c>
      <c r="E573" s="12" t="s">
        <v>16178</v>
      </c>
      <c r="F573" s="13">
        <v>45638</v>
      </c>
      <c r="G573" s="14">
        <v>45909</v>
      </c>
      <c r="H573" s="15">
        <v>18000000</v>
      </c>
      <c r="I573" s="16">
        <v>24</v>
      </c>
      <c r="J573" s="17">
        <v>24</v>
      </c>
      <c r="K573" s="9" t="s">
        <v>9831</v>
      </c>
      <c r="L573" s="10" t="s">
        <v>16179</v>
      </c>
      <c r="M573" s="9" t="s">
        <v>16180</v>
      </c>
      <c r="N573" s="10" t="s">
        <v>9828</v>
      </c>
      <c r="O573" s="15">
        <v>14920900</v>
      </c>
      <c r="P573" s="145">
        <v>881698</v>
      </c>
      <c r="Q573" s="9" t="s">
        <v>22220</v>
      </c>
      <c r="R573" s="146" t="s">
        <v>22708</v>
      </c>
      <c r="T573" s="92" t="s">
        <v>13791</v>
      </c>
      <c r="U573">
        <v>1</v>
      </c>
      <c r="V573">
        <f>VLOOKUP(T573,'Data Angt'!$A$5:$F$5810,6,FALSE)</f>
        <v>31</v>
      </c>
      <c r="W573" s="5" t="str">
        <f t="shared" si="8"/>
        <v>PRODUKTIF</v>
      </c>
      <c r="X573" s="5" t="str">
        <f>VLOOKUP(T573,'Data Angt'!$A$5:$H$5810,8,FALSE)</f>
        <v>Wiraswasta</v>
      </c>
      <c r="Y573" s="5" t="str">
        <f>VLOOKUP(T573,'Data Angt'!$A$5:$C$5808,3,FALSE)</f>
        <v>PBL</v>
      </c>
    </row>
    <row r="574" spans="1:25" x14ac:dyDescent="0.3">
      <c r="A574" s="8">
        <v>568</v>
      </c>
      <c r="B574" s="9" t="s">
        <v>9383</v>
      </c>
      <c r="C574" s="10" t="str">
        <f>VLOOKUP(B574,'Data Angt'!$A$5:$B$5809,2,FALSE)</f>
        <v>A4268</v>
      </c>
      <c r="D574" s="11" t="s">
        <v>9833</v>
      </c>
      <c r="E574" s="12" t="s">
        <v>16181</v>
      </c>
      <c r="F574" s="13">
        <v>45673</v>
      </c>
      <c r="G574" s="14">
        <v>45916</v>
      </c>
      <c r="H574" s="15">
        <v>20000000</v>
      </c>
      <c r="I574" s="16">
        <v>48</v>
      </c>
      <c r="J574" s="17">
        <v>24</v>
      </c>
      <c r="K574" s="9" t="s">
        <v>9831</v>
      </c>
      <c r="L574" s="10" t="s">
        <v>16182</v>
      </c>
      <c r="M574" s="9" t="s">
        <v>16183</v>
      </c>
      <c r="N574" s="10" t="s">
        <v>9834</v>
      </c>
      <c r="O574" s="15">
        <v>17836600</v>
      </c>
      <c r="P574" s="145">
        <v>1145024</v>
      </c>
      <c r="Q574" s="9" t="s">
        <v>22220</v>
      </c>
      <c r="R574" s="146" t="s">
        <v>22709</v>
      </c>
      <c r="T574" s="92" t="s">
        <v>13808</v>
      </c>
      <c r="U574">
        <v>1</v>
      </c>
      <c r="V574">
        <f>VLOOKUP(T574,'Data Angt'!$A$5:$F$5810,6,FALSE)</f>
        <v>38</v>
      </c>
      <c r="W574" s="5" t="str">
        <f t="shared" si="8"/>
        <v>PRODUKTIF</v>
      </c>
      <c r="X574" s="5" t="str">
        <f>VLOOKUP(T574,'Data Angt'!$A$5:$H$5810,8,FALSE)</f>
        <v>Wiraswasta</v>
      </c>
      <c r="Y574" s="5" t="str">
        <f>VLOOKUP(T574,'Data Angt'!$A$5:$C$5808,3,FALSE)</f>
        <v>PBL</v>
      </c>
    </row>
    <row r="575" spans="1:25" x14ac:dyDescent="0.3">
      <c r="A575" s="8">
        <v>569</v>
      </c>
      <c r="B575" s="9" t="s">
        <v>9395</v>
      </c>
      <c r="C575" s="10" t="str">
        <f>VLOOKUP(B575,'Data Angt'!$A$5:$B$5809,2,FALSE)</f>
        <v>A4274</v>
      </c>
      <c r="D575" s="11" t="s">
        <v>9833</v>
      </c>
      <c r="E575" s="12" t="s">
        <v>16184</v>
      </c>
      <c r="F575" s="13">
        <v>45730</v>
      </c>
      <c r="G575" s="14">
        <v>45916</v>
      </c>
      <c r="H575" s="15">
        <v>20000000</v>
      </c>
      <c r="I575" s="16">
        <v>24</v>
      </c>
      <c r="J575" s="17">
        <v>24</v>
      </c>
      <c r="K575" s="9" t="s">
        <v>9831</v>
      </c>
      <c r="L575" s="10" t="s">
        <v>16185</v>
      </c>
      <c r="M575" s="9" t="s">
        <v>9891</v>
      </c>
      <c r="N575" s="10" t="s">
        <v>9834</v>
      </c>
      <c r="O575" s="15">
        <v>15852700</v>
      </c>
      <c r="P575" s="145">
        <v>824136</v>
      </c>
      <c r="Q575" s="9" t="s">
        <v>22189</v>
      </c>
      <c r="R575" s="146" t="s">
        <v>22710</v>
      </c>
      <c r="T575" s="92" t="s">
        <v>13831</v>
      </c>
      <c r="U575">
        <v>1</v>
      </c>
      <c r="V575">
        <f>VLOOKUP(T575,'Data Angt'!$A$5:$F$5810,6,FALSE)</f>
        <v>24</v>
      </c>
      <c r="W575" s="5" t="str">
        <f t="shared" si="8"/>
        <v>KESEJAHTERAAN</v>
      </c>
      <c r="X575" s="5" t="str">
        <f>VLOOKUP(T575,'Data Angt'!$A$5:$H$5810,8,FALSE)</f>
        <v>Karyawan</v>
      </c>
      <c r="Y575" s="5" t="str">
        <f>VLOOKUP(T575,'Data Angt'!$A$5:$C$5808,3,FALSE)</f>
        <v>PBL</v>
      </c>
    </row>
    <row r="576" spans="1:25" x14ac:dyDescent="0.3">
      <c r="A576" s="8">
        <v>570</v>
      </c>
      <c r="B576" s="9" t="s">
        <v>9407</v>
      </c>
      <c r="C576" s="10" t="str">
        <f>VLOOKUP(B576,'Data Angt'!$A$5:$B$5809,2,FALSE)</f>
        <v>A4279</v>
      </c>
      <c r="D576" s="11" t="s">
        <v>9829</v>
      </c>
      <c r="E576" s="12" t="s">
        <v>16186</v>
      </c>
      <c r="F576" s="13">
        <v>45558</v>
      </c>
      <c r="G576" s="14">
        <v>45923</v>
      </c>
      <c r="H576" s="15">
        <v>10000000</v>
      </c>
      <c r="I576" s="16">
        <v>12</v>
      </c>
      <c r="J576" s="17">
        <v>24</v>
      </c>
      <c r="K576" s="9" t="s">
        <v>9827</v>
      </c>
      <c r="L576" s="10" t="s">
        <v>16187</v>
      </c>
      <c r="M576" s="9" t="s">
        <v>10008</v>
      </c>
      <c r="N576" s="10" t="s">
        <v>17</v>
      </c>
      <c r="O576" s="15">
        <v>9374300</v>
      </c>
      <c r="P576" s="145">
        <v>707961</v>
      </c>
      <c r="Q576" s="9"/>
      <c r="R576" s="146"/>
      <c r="T576" s="92" t="s">
        <v>13844</v>
      </c>
      <c r="U576">
        <v>1</v>
      </c>
      <c r="V576">
        <f>VLOOKUP(T576,'Data Angt'!$A$5:$F$5810,6,FALSE)</f>
        <v>53</v>
      </c>
      <c r="W576" s="5" t="str">
        <f t="shared" si="8"/>
        <v>PENDIDIKAN</v>
      </c>
      <c r="X576" s="5" t="str">
        <f>VLOOKUP(T576,'Data Angt'!$A$5:$H$5810,8,FALSE)</f>
        <v>Wiraswasta</v>
      </c>
      <c r="Y576" s="5" t="str">
        <f>VLOOKUP(T576,'Data Angt'!$A$5:$C$5808,3,FALSE)</f>
        <v>PBL</v>
      </c>
    </row>
    <row r="577" spans="1:25" x14ac:dyDescent="0.3">
      <c r="A577" s="8">
        <v>571</v>
      </c>
      <c r="B577" s="9" t="s">
        <v>9481</v>
      </c>
      <c r="C577" s="10" t="str">
        <f>VLOOKUP(B577,'Data Angt'!$A$5:$B$5809,2,FALSE)</f>
        <v>A4313</v>
      </c>
      <c r="D577" s="11" t="s">
        <v>9829</v>
      </c>
      <c r="E577" s="12" t="s">
        <v>16188</v>
      </c>
      <c r="F577" s="13">
        <v>45703</v>
      </c>
      <c r="G577" s="14">
        <v>45910</v>
      </c>
      <c r="H577" s="15">
        <v>8000000</v>
      </c>
      <c r="I577" s="16">
        <v>24</v>
      </c>
      <c r="J577" s="17">
        <v>24</v>
      </c>
      <c r="K577" s="9" t="s">
        <v>9831</v>
      </c>
      <c r="L577" s="10" t="s">
        <v>16189</v>
      </c>
      <c r="M577" s="9" t="s">
        <v>16190</v>
      </c>
      <c r="N577" s="10" t="s">
        <v>9830</v>
      </c>
      <c r="O577" s="15">
        <v>6045200</v>
      </c>
      <c r="P577" s="145">
        <v>377324</v>
      </c>
      <c r="Q577" s="9" t="s">
        <v>22189</v>
      </c>
      <c r="R577" s="146" t="s">
        <v>22711</v>
      </c>
      <c r="T577" s="92" t="s">
        <v>13885</v>
      </c>
      <c r="U577">
        <v>1</v>
      </c>
      <c r="V577">
        <f>VLOOKUP(T577,'Data Angt'!$A$5:$F$5810,6,FALSE)</f>
        <v>65</v>
      </c>
      <c r="W577" s="5" t="str">
        <f t="shared" si="8"/>
        <v>PRODUKTIF</v>
      </c>
      <c r="X577" s="5" t="str">
        <f>VLOOKUP(T577,'Data Angt'!$A$5:$H$5810,8,FALSE)</f>
        <v>Wiraswasta</v>
      </c>
      <c r="Y577" s="5" t="str">
        <f>VLOOKUP(T577,'Data Angt'!$A$5:$C$5808,3,FALSE)</f>
        <v>PBL</v>
      </c>
    </row>
    <row r="578" spans="1:25" x14ac:dyDescent="0.3">
      <c r="A578" s="8">
        <v>572</v>
      </c>
      <c r="B578" s="9" t="s">
        <v>9494</v>
      </c>
      <c r="C578" s="10" t="str">
        <f>VLOOKUP(B578,'Data Angt'!$A$5:$B$5809,2,FALSE)</f>
        <v>A4318</v>
      </c>
      <c r="D578" s="11" t="s">
        <v>9829</v>
      </c>
      <c r="E578" s="12" t="s">
        <v>16191</v>
      </c>
      <c r="F578" s="13">
        <v>45671</v>
      </c>
      <c r="G578" s="14">
        <v>45915</v>
      </c>
      <c r="H578" s="15">
        <v>10000000</v>
      </c>
      <c r="I578" s="16">
        <v>18</v>
      </c>
      <c r="J578" s="17">
        <v>24</v>
      </c>
      <c r="K578" s="9" t="s">
        <v>9831</v>
      </c>
      <c r="L578" s="10" t="s">
        <v>16192</v>
      </c>
      <c r="M578" s="9" t="s">
        <v>16193</v>
      </c>
      <c r="N578" s="10" t="s">
        <v>9828</v>
      </c>
      <c r="O578" s="15">
        <v>5991200</v>
      </c>
      <c r="P578" s="145">
        <v>497998</v>
      </c>
      <c r="Q578" s="9" t="s">
        <v>22189</v>
      </c>
      <c r="R578" s="146" t="s">
        <v>22712</v>
      </c>
      <c r="T578" s="92" t="s">
        <v>13888</v>
      </c>
      <c r="U578">
        <v>1</v>
      </c>
      <c r="V578">
        <f>VLOOKUP(T578,'Data Angt'!$A$5:$F$5810,6,FALSE)</f>
        <v>43</v>
      </c>
      <c r="W578" s="5" t="str">
        <f t="shared" si="8"/>
        <v>KESEJAHTERAAN</v>
      </c>
      <c r="X578" s="5" t="str">
        <f>VLOOKUP(T578,'Data Angt'!$A$5:$H$5810,8,FALSE)</f>
        <v>Karyawan</v>
      </c>
      <c r="Y578" s="5" t="str">
        <f>VLOOKUP(T578,'Data Angt'!$A$5:$C$5808,3,FALSE)</f>
        <v>PBL</v>
      </c>
    </row>
    <row r="579" spans="1:25" x14ac:dyDescent="0.3">
      <c r="A579" s="8">
        <v>573</v>
      </c>
      <c r="B579" s="9" t="s">
        <v>9499</v>
      </c>
      <c r="C579" s="10" t="str">
        <f>VLOOKUP(B579,'Data Angt'!$A$5:$B$5809,2,FALSE)</f>
        <v>A4320</v>
      </c>
      <c r="D579" s="11" t="s">
        <v>9829</v>
      </c>
      <c r="E579" s="12" t="s">
        <v>16194</v>
      </c>
      <c r="F579" s="13">
        <v>45670</v>
      </c>
      <c r="G579" s="14">
        <v>45917</v>
      </c>
      <c r="H579" s="15">
        <v>5000000</v>
      </c>
      <c r="I579" s="16">
        <v>12</v>
      </c>
      <c r="J579" s="17">
        <v>24</v>
      </c>
      <c r="K579" s="9" t="s">
        <v>9831</v>
      </c>
      <c r="L579" s="10" t="s">
        <v>16195</v>
      </c>
      <c r="M579" s="9" t="s">
        <v>16196</v>
      </c>
      <c r="N579" s="10" t="s">
        <v>9830</v>
      </c>
      <c r="O579" s="15">
        <v>3060100</v>
      </c>
      <c r="P579" s="145">
        <v>161887</v>
      </c>
      <c r="Q579" s="9" t="s">
        <v>22189</v>
      </c>
      <c r="R579" s="146" t="s">
        <v>22713</v>
      </c>
      <c r="T579" s="92" t="s">
        <v>13917</v>
      </c>
      <c r="U579">
        <v>1</v>
      </c>
      <c r="V579">
        <f>VLOOKUP(T579,'Data Angt'!$A$5:$F$5810,6,FALSE)</f>
        <v>39</v>
      </c>
      <c r="W579" s="5" t="str">
        <f t="shared" si="8"/>
        <v>PRODUKTIF</v>
      </c>
      <c r="X579" s="5" t="str">
        <f>VLOOKUP(T579,'Data Angt'!$A$5:$H$5810,8,FALSE)</f>
        <v>Wiraswasta</v>
      </c>
      <c r="Y579" s="5" t="str">
        <f>VLOOKUP(T579,'Data Angt'!$A$5:$C$5808,3,FALSE)</f>
        <v>PBL</v>
      </c>
    </row>
    <row r="580" spans="1:25" x14ac:dyDescent="0.3">
      <c r="A580" s="8">
        <v>574</v>
      </c>
      <c r="B580" s="9" t="s">
        <v>9502</v>
      </c>
      <c r="C580" s="10" t="str">
        <f>VLOOKUP(B580,'Data Angt'!$A$5:$B$5809,2,FALSE)</f>
        <v>A4321</v>
      </c>
      <c r="D580" s="11" t="s">
        <v>9833</v>
      </c>
      <c r="E580" s="12" t="s">
        <v>22714</v>
      </c>
      <c r="F580" s="13">
        <v>45904</v>
      </c>
      <c r="G580" s="14">
        <v>45904</v>
      </c>
      <c r="H580" s="15">
        <v>1500000</v>
      </c>
      <c r="I580" s="16">
        <v>5</v>
      </c>
      <c r="J580" s="17">
        <v>24</v>
      </c>
      <c r="K580" s="9" t="s">
        <v>9831</v>
      </c>
      <c r="L580" s="10" t="s">
        <v>22715</v>
      </c>
      <c r="M580" s="9" t="s">
        <v>9962</v>
      </c>
      <c r="N580" s="10" t="s">
        <v>9834</v>
      </c>
      <c r="O580" s="15">
        <v>1500000</v>
      </c>
      <c r="P580" s="147">
        <v>0</v>
      </c>
      <c r="Q580" s="9"/>
      <c r="R580" s="146"/>
      <c r="T580" s="92" t="s">
        <v>13929</v>
      </c>
      <c r="U580">
        <v>1</v>
      </c>
      <c r="V580">
        <f>VLOOKUP(T580,'Data Angt'!$A$5:$F$5810,6,FALSE)</f>
        <v>45</v>
      </c>
      <c r="W580" s="5" t="str">
        <f t="shared" si="8"/>
        <v>PRODUKTIF</v>
      </c>
      <c r="X580" s="5" t="str">
        <f>VLOOKUP(T580,'Data Angt'!$A$5:$H$5810,8,FALSE)</f>
        <v>Tenaga Ahli</v>
      </c>
      <c r="Y580" s="5" t="str">
        <f>VLOOKUP(T580,'Data Angt'!$A$5:$C$5808,3,FALSE)</f>
        <v>PBL</v>
      </c>
    </row>
    <row r="581" spans="1:25" x14ac:dyDescent="0.3">
      <c r="A581" s="8">
        <v>575</v>
      </c>
      <c r="B581" s="9" t="s">
        <v>9533</v>
      </c>
      <c r="C581" s="10" t="str">
        <f>VLOOKUP(B581,'Data Angt'!$A$5:$B$5809,2,FALSE)</f>
        <v>A4334</v>
      </c>
      <c r="D581" s="11" t="s">
        <v>9881</v>
      </c>
      <c r="E581" s="12" t="s">
        <v>16197</v>
      </c>
      <c r="F581" s="13">
        <v>45709</v>
      </c>
      <c r="G581" s="14">
        <v>45917</v>
      </c>
      <c r="H581" s="15">
        <v>1600000</v>
      </c>
      <c r="I581" s="16">
        <v>12</v>
      </c>
      <c r="J581" s="17">
        <v>12</v>
      </c>
      <c r="K581" s="9" t="s">
        <v>9831</v>
      </c>
      <c r="L581" s="10" t="s">
        <v>16198</v>
      </c>
      <c r="M581" s="9" t="s">
        <v>9835</v>
      </c>
      <c r="N581" s="10" t="s">
        <v>9828</v>
      </c>
      <c r="O581" s="15">
        <v>689900</v>
      </c>
      <c r="P581" s="145">
        <v>31986</v>
      </c>
      <c r="Q581" s="9"/>
      <c r="R581" s="146"/>
      <c r="T581" s="92" t="s">
        <v>13934</v>
      </c>
      <c r="U581">
        <v>1</v>
      </c>
      <c r="V581">
        <f>VLOOKUP(T581,'Data Angt'!$A$5:$F$5810,6,FALSE)</f>
        <v>37</v>
      </c>
      <c r="W581" s="5" t="str">
        <f t="shared" si="8"/>
        <v>KESEJAHTERAAN</v>
      </c>
      <c r="X581" s="5" t="str">
        <f>VLOOKUP(T581,'Data Angt'!$A$5:$H$5810,8,FALSE)</f>
        <v>Karyawan</v>
      </c>
      <c r="Y581" s="5" t="str">
        <f>VLOOKUP(T581,'Data Angt'!$A$5:$C$5808,3,FALSE)</f>
        <v>PBL</v>
      </c>
    </row>
    <row r="582" spans="1:25" x14ac:dyDescent="0.3">
      <c r="A582" s="8">
        <v>576</v>
      </c>
      <c r="B582" s="9" t="s">
        <v>9579</v>
      </c>
      <c r="C582" s="10" t="str">
        <f>VLOOKUP(B582,'Data Angt'!$A$5:$B$5809,2,FALSE)</f>
        <v>A4353</v>
      </c>
      <c r="D582" s="11" t="s">
        <v>9833</v>
      </c>
      <c r="E582" s="12" t="s">
        <v>16199</v>
      </c>
      <c r="F582" s="13">
        <v>45614</v>
      </c>
      <c r="G582" s="14">
        <v>45917</v>
      </c>
      <c r="H582" s="15">
        <v>49000000</v>
      </c>
      <c r="I582" s="16">
        <v>24</v>
      </c>
      <c r="J582" s="17">
        <v>21</v>
      </c>
      <c r="K582" s="9" t="s">
        <v>9831</v>
      </c>
      <c r="L582" s="10" t="s">
        <v>16200</v>
      </c>
      <c r="M582" s="9" t="s">
        <v>9862</v>
      </c>
      <c r="N582" s="10" t="s">
        <v>9834</v>
      </c>
      <c r="O582" s="15">
        <v>38591600</v>
      </c>
      <c r="P582" s="145">
        <v>2879547</v>
      </c>
      <c r="Q582" s="9" t="s">
        <v>22220</v>
      </c>
      <c r="R582" s="146" t="s">
        <v>22716</v>
      </c>
      <c r="T582" s="92" t="s">
        <v>13942</v>
      </c>
      <c r="U582">
        <v>1</v>
      </c>
      <c r="V582">
        <f>VLOOKUP(T582,'Data Angt'!$A$5:$F$5810,6,FALSE)</f>
        <v>54</v>
      </c>
      <c r="W582" s="5" t="str">
        <f t="shared" si="8"/>
        <v>KONSUMTIF</v>
      </c>
      <c r="X582" s="5" t="str">
        <f>VLOOKUP(T582,'Data Angt'!$A$5:$H$5810,8,FALSE)</f>
        <v>Tenaga Pengajar</v>
      </c>
      <c r="Y582" s="5" t="str">
        <f>VLOOKUP(T582,'Data Angt'!$A$5:$C$5808,3,FALSE)</f>
        <v>PBL</v>
      </c>
    </row>
    <row r="583" spans="1:25" x14ac:dyDescent="0.3">
      <c r="A583" s="8">
        <v>577</v>
      </c>
      <c r="B583" s="9" t="s">
        <v>12624</v>
      </c>
      <c r="C583" s="10" t="str">
        <f>VLOOKUP(B583,'Data Angt'!$A$5:$B$5809,2,FALSE)</f>
        <v>A4364</v>
      </c>
      <c r="D583" s="11" t="s">
        <v>9829</v>
      </c>
      <c r="E583" s="12" t="s">
        <v>16201</v>
      </c>
      <c r="F583" s="13">
        <v>45801</v>
      </c>
      <c r="G583" s="14">
        <v>45901</v>
      </c>
      <c r="H583" s="15">
        <v>5000000</v>
      </c>
      <c r="I583" s="16">
        <v>12</v>
      </c>
      <c r="J583" s="17">
        <v>24</v>
      </c>
      <c r="K583" s="9" t="s">
        <v>9831</v>
      </c>
      <c r="L583" s="10" t="s">
        <v>16202</v>
      </c>
      <c r="M583" s="9" t="s">
        <v>9880</v>
      </c>
      <c r="N583" s="10" t="s">
        <v>9830</v>
      </c>
      <c r="O583" s="15">
        <v>3471300</v>
      </c>
      <c r="P583" s="145">
        <v>135937</v>
      </c>
      <c r="Q583" s="9"/>
      <c r="R583" s="146"/>
      <c r="T583" s="92" t="s">
        <v>13945</v>
      </c>
      <c r="U583">
        <v>1</v>
      </c>
      <c r="V583">
        <f>VLOOKUP(T583,'Data Angt'!$A$5:$F$5810,6,FALSE)</f>
        <v>36</v>
      </c>
      <c r="W583" s="5" t="str">
        <f t="shared" ref="W583:W646" si="9">VLOOKUP(T583,$B$7:$N$1869,13,FALSE)</f>
        <v>PENDIDIKAN</v>
      </c>
      <c r="X583" s="5" t="str">
        <f>VLOOKUP(T583,'Data Angt'!$A$5:$H$5810,8,FALSE)</f>
        <v>Wiraswasta</v>
      </c>
      <c r="Y583" s="5" t="str">
        <f>VLOOKUP(T583,'Data Angt'!$A$5:$C$5808,3,FALSE)</f>
        <v>PBL</v>
      </c>
    </row>
    <row r="584" spans="1:25" x14ac:dyDescent="0.3">
      <c r="A584" s="8">
        <v>578</v>
      </c>
      <c r="B584" s="9" t="s">
        <v>12629</v>
      </c>
      <c r="C584" s="10" t="str">
        <f>VLOOKUP(B584,'Data Angt'!$A$5:$B$5809,2,FALSE)</f>
        <v>A4367</v>
      </c>
      <c r="D584" s="11" t="s">
        <v>9833</v>
      </c>
      <c r="E584" s="12" t="s">
        <v>16203</v>
      </c>
      <c r="F584" s="13">
        <v>45807</v>
      </c>
      <c r="G584" s="14">
        <v>45926</v>
      </c>
      <c r="H584" s="15">
        <v>1500000</v>
      </c>
      <c r="I584" s="16">
        <v>10</v>
      </c>
      <c r="J584" s="17">
        <v>24</v>
      </c>
      <c r="K584" s="9" t="s">
        <v>9831</v>
      </c>
      <c r="L584" s="10" t="s">
        <v>16204</v>
      </c>
      <c r="M584" s="9" t="s">
        <v>16205</v>
      </c>
      <c r="N584" s="10" t="s">
        <v>9834</v>
      </c>
      <c r="O584" s="15">
        <v>935500</v>
      </c>
      <c r="P584" s="145">
        <v>38811</v>
      </c>
      <c r="Q584" s="9"/>
      <c r="R584" s="146"/>
      <c r="T584" s="92" t="s">
        <v>13951</v>
      </c>
      <c r="U584">
        <v>1</v>
      </c>
      <c r="V584">
        <f>VLOOKUP(T584,'Data Angt'!$A$5:$F$5810,6,FALSE)</f>
        <v>49</v>
      </c>
      <c r="W584" s="5" t="str">
        <f t="shared" si="9"/>
        <v>PENDIDIKAN</v>
      </c>
      <c r="X584" s="5" t="str">
        <f>VLOOKUP(T584,'Data Angt'!$A$5:$H$5810,8,FALSE)</f>
        <v>Wiraswasta</v>
      </c>
      <c r="Y584" s="5" t="str">
        <f>VLOOKUP(T584,'Data Angt'!$A$5:$C$5808,3,FALSE)</f>
        <v>PBL</v>
      </c>
    </row>
    <row r="585" spans="1:25" x14ac:dyDescent="0.3">
      <c r="A585" s="8">
        <v>579</v>
      </c>
      <c r="B585" s="9" t="s">
        <v>12659</v>
      </c>
      <c r="C585" s="10" t="str">
        <f>VLOOKUP(B585,'Data Angt'!$A$5:$B$5809,2,FALSE)</f>
        <v>A4383</v>
      </c>
      <c r="D585" s="11" t="s">
        <v>9829</v>
      </c>
      <c r="E585" s="12" t="s">
        <v>16206</v>
      </c>
      <c r="F585" s="13">
        <v>45345</v>
      </c>
      <c r="G585" s="14">
        <v>45924</v>
      </c>
      <c r="H585" s="15">
        <v>25000000</v>
      </c>
      <c r="I585" s="16">
        <v>30</v>
      </c>
      <c r="J585" s="17">
        <v>21</v>
      </c>
      <c r="K585" s="9" t="s">
        <v>9831</v>
      </c>
      <c r="L585" s="10" t="s">
        <v>16207</v>
      </c>
      <c r="M585" s="9" t="s">
        <v>16208</v>
      </c>
      <c r="N585" s="10" t="s">
        <v>9828</v>
      </c>
      <c r="O585" s="15">
        <v>10704200</v>
      </c>
      <c r="P585" s="145">
        <v>2321957</v>
      </c>
      <c r="Q585" s="9"/>
      <c r="R585" s="146"/>
      <c r="T585" s="92" t="s">
        <v>13953</v>
      </c>
      <c r="U585">
        <v>1</v>
      </c>
      <c r="V585">
        <f>VLOOKUP(T585,'Data Angt'!$A$5:$F$5810,6,FALSE)</f>
        <v>20</v>
      </c>
      <c r="W585" s="5" t="str">
        <f t="shared" si="9"/>
        <v>PENDIDIKAN</v>
      </c>
      <c r="X585" s="5" t="str">
        <f>VLOOKUP(T585,'Data Angt'!$A$5:$H$5810,8,FALSE)</f>
        <v>Tenaga Pengajar</v>
      </c>
      <c r="Y585" s="5" t="str">
        <f>VLOOKUP(T585,'Data Angt'!$A$5:$C$5808,3,FALSE)</f>
        <v>PBL</v>
      </c>
    </row>
    <row r="586" spans="1:25" x14ac:dyDescent="0.3">
      <c r="A586" s="8">
        <v>580</v>
      </c>
      <c r="B586" s="9" t="s">
        <v>12677</v>
      </c>
      <c r="C586" s="10" t="str">
        <f>VLOOKUP(B586,'Data Angt'!$A$5:$B$5809,2,FALSE)</f>
        <v>A4391</v>
      </c>
      <c r="D586" s="11" t="s">
        <v>9829</v>
      </c>
      <c r="E586" s="12" t="s">
        <v>16209</v>
      </c>
      <c r="F586" s="13">
        <v>45657</v>
      </c>
      <c r="G586" s="14">
        <v>45919</v>
      </c>
      <c r="H586" s="15">
        <v>5000000</v>
      </c>
      <c r="I586" s="16">
        <v>12</v>
      </c>
      <c r="J586" s="17">
        <v>18</v>
      </c>
      <c r="K586" s="9" t="s">
        <v>9831</v>
      </c>
      <c r="L586" s="10" t="s">
        <v>16210</v>
      </c>
      <c r="M586" s="9" t="s">
        <v>15343</v>
      </c>
      <c r="N586" s="10" t="s">
        <v>9830</v>
      </c>
      <c r="O586" s="15">
        <v>1335300</v>
      </c>
      <c r="P586" s="145">
        <v>172835</v>
      </c>
      <c r="Q586" s="9"/>
      <c r="R586" s="146"/>
      <c r="T586" s="92" t="s">
        <v>13957</v>
      </c>
      <c r="U586">
        <v>1</v>
      </c>
      <c r="V586">
        <f>VLOOKUP(T586,'Data Angt'!$A$5:$F$5810,6,FALSE)</f>
        <v>42</v>
      </c>
      <c r="W586" s="5" t="str">
        <f t="shared" si="9"/>
        <v>PRODUKTIF</v>
      </c>
      <c r="X586" s="5" t="str">
        <f>VLOOKUP(T586,'Data Angt'!$A$5:$H$5810,8,FALSE)</f>
        <v>Wiraswasta</v>
      </c>
      <c r="Y586" s="5" t="str">
        <f>VLOOKUP(T586,'Data Angt'!$A$5:$C$5808,3,FALSE)</f>
        <v>PBL</v>
      </c>
    </row>
    <row r="587" spans="1:25" x14ac:dyDescent="0.3">
      <c r="A587" s="8">
        <v>581</v>
      </c>
      <c r="B587" s="9" t="s">
        <v>12683</v>
      </c>
      <c r="C587" s="10" t="str">
        <f>VLOOKUP(B587,'Data Angt'!$A$5:$B$5809,2,FALSE)</f>
        <v>A4394</v>
      </c>
      <c r="D587" s="11" t="s">
        <v>9829</v>
      </c>
      <c r="E587" s="12" t="s">
        <v>16211</v>
      </c>
      <c r="F587" s="13">
        <v>45696</v>
      </c>
      <c r="G587" s="14">
        <v>45909</v>
      </c>
      <c r="H587" s="15">
        <v>10000000</v>
      </c>
      <c r="I587" s="16">
        <v>18</v>
      </c>
      <c r="J587" s="17">
        <v>24</v>
      </c>
      <c r="K587" s="9" t="s">
        <v>9831</v>
      </c>
      <c r="L587" s="10" t="s">
        <v>16212</v>
      </c>
      <c r="M587" s="9" t="s">
        <v>9880</v>
      </c>
      <c r="N587" s="10" t="s">
        <v>9830</v>
      </c>
      <c r="O587" s="15">
        <v>6527700</v>
      </c>
      <c r="P587" s="145">
        <v>449023</v>
      </c>
      <c r="Q587" s="9" t="s">
        <v>22248</v>
      </c>
      <c r="R587" s="146" t="s">
        <v>22717</v>
      </c>
      <c r="T587" s="92" t="s">
        <v>13978</v>
      </c>
      <c r="U587">
        <v>1</v>
      </c>
      <c r="V587">
        <f>VLOOKUP(T587,'Data Angt'!$A$5:$F$5810,6,FALSE)</f>
        <v>48</v>
      </c>
      <c r="W587" s="5" t="str">
        <f t="shared" si="9"/>
        <v>PENDIDIKAN</v>
      </c>
      <c r="X587" s="5" t="str">
        <f>VLOOKUP(T587,'Data Angt'!$A$5:$H$5810,8,FALSE)</f>
        <v>Karyawan</v>
      </c>
      <c r="Y587" s="5" t="str">
        <f>VLOOKUP(T587,'Data Angt'!$A$5:$C$5808,3,FALSE)</f>
        <v>PBL</v>
      </c>
    </row>
    <row r="588" spans="1:25" x14ac:dyDescent="0.3">
      <c r="A588" s="8">
        <v>582</v>
      </c>
      <c r="B588" s="9" t="s">
        <v>12687</v>
      </c>
      <c r="C588" s="10" t="str">
        <f>VLOOKUP(B588,'Data Angt'!$A$5:$B$5809,2,FALSE)</f>
        <v>A4395</v>
      </c>
      <c r="D588" s="11" t="s">
        <v>9895</v>
      </c>
      <c r="E588" s="12" t="s">
        <v>16213</v>
      </c>
      <c r="F588" s="13">
        <v>45309</v>
      </c>
      <c r="G588" s="14">
        <v>45912</v>
      </c>
      <c r="H588" s="15">
        <v>25312000</v>
      </c>
      <c r="I588" s="16">
        <v>36</v>
      </c>
      <c r="J588" s="17">
        <v>21</v>
      </c>
      <c r="K588" s="9" t="s">
        <v>9831</v>
      </c>
      <c r="L588" s="10" t="s">
        <v>16214</v>
      </c>
      <c r="M588" s="9" t="s">
        <v>10076</v>
      </c>
      <c r="N588" s="10" t="s">
        <v>9828</v>
      </c>
      <c r="O588" s="15">
        <v>13207700</v>
      </c>
      <c r="P588" s="145">
        <v>2613634</v>
      </c>
      <c r="Q588" s="9" t="s">
        <v>22189</v>
      </c>
      <c r="R588" s="146" t="s">
        <v>22643</v>
      </c>
      <c r="T588" s="92" t="s">
        <v>14002</v>
      </c>
      <c r="U588">
        <v>1</v>
      </c>
      <c r="V588">
        <f>VLOOKUP(T588,'Data Angt'!$A$5:$F$5810,6,FALSE)</f>
        <v>21</v>
      </c>
      <c r="W588" s="5" t="str">
        <f t="shared" si="9"/>
        <v>PENDIDIKAN</v>
      </c>
      <c r="X588" s="5" t="str">
        <f>VLOOKUP(T588,'Data Angt'!$A$5:$H$5810,8,FALSE)</f>
        <v>Mengurus Rumah Tangga</v>
      </c>
      <c r="Y588" s="5" t="str">
        <f>VLOOKUP(T588,'Data Angt'!$A$5:$C$5808,3,FALSE)</f>
        <v>PBL</v>
      </c>
    </row>
    <row r="589" spans="1:25" x14ac:dyDescent="0.3">
      <c r="A589" s="8">
        <v>583</v>
      </c>
      <c r="B589" s="9" t="s">
        <v>12690</v>
      </c>
      <c r="C589" s="10" t="str">
        <f>VLOOKUP(B589,'Data Angt'!$A$5:$B$5809,2,FALSE)</f>
        <v>A4396</v>
      </c>
      <c r="D589" s="11" t="s">
        <v>9829</v>
      </c>
      <c r="E589" s="12" t="s">
        <v>16215</v>
      </c>
      <c r="F589" s="13">
        <v>45666</v>
      </c>
      <c r="G589" s="14">
        <v>45913</v>
      </c>
      <c r="H589" s="15">
        <v>6000000</v>
      </c>
      <c r="I589" s="16">
        <v>24</v>
      </c>
      <c r="J589" s="17">
        <v>24</v>
      </c>
      <c r="K589" s="9" t="s">
        <v>9831</v>
      </c>
      <c r="L589" s="10" t="s">
        <v>16216</v>
      </c>
      <c r="M589" s="9" t="s">
        <v>9841</v>
      </c>
      <c r="N589" s="10" t="s">
        <v>17</v>
      </c>
      <c r="O589" s="15">
        <v>4307000</v>
      </c>
      <c r="P589" s="145">
        <v>317023</v>
      </c>
      <c r="Q589" s="9" t="s">
        <v>22189</v>
      </c>
      <c r="R589" s="146" t="s">
        <v>22718</v>
      </c>
      <c r="T589" s="92" t="s">
        <v>14009</v>
      </c>
      <c r="U589">
        <v>1</v>
      </c>
      <c r="V589">
        <f>VLOOKUP(T589,'Data Angt'!$A$5:$F$5810,6,FALSE)</f>
        <v>35</v>
      </c>
      <c r="W589" s="5" t="str">
        <f t="shared" si="9"/>
        <v>PRODUKTIF</v>
      </c>
      <c r="X589" s="5" t="str">
        <f>VLOOKUP(T589,'Data Angt'!$A$5:$H$5810,8,FALSE)</f>
        <v>Karyawan</v>
      </c>
      <c r="Y589" s="5" t="str">
        <f>VLOOKUP(T589,'Data Angt'!$A$5:$C$5808,3,FALSE)</f>
        <v>PBL</v>
      </c>
    </row>
    <row r="590" spans="1:25" x14ac:dyDescent="0.3">
      <c r="A590" s="8">
        <v>584</v>
      </c>
      <c r="B590" s="9" t="s">
        <v>12701</v>
      </c>
      <c r="C590" s="10" t="str">
        <f>VLOOKUP(B590,'Data Angt'!$A$5:$B$5809,2,FALSE)</f>
        <v>A4401</v>
      </c>
      <c r="D590" s="11" t="s">
        <v>9829</v>
      </c>
      <c r="E590" s="12" t="s">
        <v>16217</v>
      </c>
      <c r="F590" s="13">
        <v>45712</v>
      </c>
      <c r="G590" s="14">
        <v>45923</v>
      </c>
      <c r="H590" s="15">
        <v>2000000</v>
      </c>
      <c r="I590" s="16">
        <v>12</v>
      </c>
      <c r="J590" s="17">
        <v>24</v>
      </c>
      <c r="K590" s="9" t="s">
        <v>9831</v>
      </c>
      <c r="L590" s="10" t="s">
        <v>16218</v>
      </c>
      <c r="M590" s="9" t="s">
        <v>9847</v>
      </c>
      <c r="N590" s="10" t="s">
        <v>9828</v>
      </c>
      <c r="O590" s="15">
        <v>891100</v>
      </c>
      <c r="P590" s="145">
        <v>80811</v>
      </c>
      <c r="Q590" s="9"/>
      <c r="R590" s="146"/>
      <c r="T590" s="92" t="s">
        <v>14015</v>
      </c>
      <c r="U590">
        <v>1</v>
      </c>
      <c r="V590">
        <f>VLOOKUP(T590,'Data Angt'!$A$5:$F$5810,6,FALSE)</f>
        <v>39</v>
      </c>
      <c r="W590" s="5" t="str">
        <f t="shared" si="9"/>
        <v>PENDIDIKAN</v>
      </c>
      <c r="X590" s="5" t="str">
        <f>VLOOKUP(T590,'Data Angt'!$A$5:$H$5810,8,FALSE)</f>
        <v>Aparatur/Pejabat Negara</v>
      </c>
      <c r="Y590" s="5" t="str">
        <f>VLOOKUP(T590,'Data Angt'!$A$5:$C$5808,3,FALSE)</f>
        <v>PBL</v>
      </c>
    </row>
    <row r="591" spans="1:25" x14ac:dyDescent="0.3">
      <c r="A591" s="8">
        <v>585</v>
      </c>
      <c r="B591" s="9" t="s">
        <v>12746</v>
      </c>
      <c r="C591" s="10" t="str">
        <f>VLOOKUP(B591,'Data Angt'!$A$5:$B$5809,2,FALSE)</f>
        <v>A4419</v>
      </c>
      <c r="D591" s="11" t="s">
        <v>9829</v>
      </c>
      <c r="E591" s="12" t="s">
        <v>16219</v>
      </c>
      <c r="F591" s="13">
        <v>45800</v>
      </c>
      <c r="G591" s="14">
        <v>45923</v>
      </c>
      <c r="H591" s="15">
        <v>6000000</v>
      </c>
      <c r="I591" s="16">
        <v>18</v>
      </c>
      <c r="J591" s="17">
        <v>24</v>
      </c>
      <c r="K591" s="9" t="s">
        <v>9827</v>
      </c>
      <c r="L591" s="10" t="s">
        <v>16220</v>
      </c>
      <c r="M591" s="9" t="s">
        <v>9880</v>
      </c>
      <c r="N591" s="10" t="s">
        <v>9830</v>
      </c>
      <c r="O591" s="15">
        <v>4666400</v>
      </c>
      <c r="P591" s="145">
        <v>165037</v>
      </c>
      <c r="Q591" s="9" t="s">
        <v>22189</v>
      </c>
      <c r="R591" s="146" t="s">
        <v>22719</v>
      </c>
      <c r="T591" s="92" t="s">
        <v>14134</v>
      </c>
      <c r="U591">
        <v>1</v>
      </c>
      <c r="V591">
        <f>VLOOKUP(T591,'Data Angt'!$A$5:$F$5810,6,FALSE)</f>
        <v>53</v>
      </c>
      <c r="W591" s="5" t="str">
        <f t="shared" si="9"/>
        <v>PRODUKTIF</v>
      </c>
      <c r="X591" s="5" t="str">
        <f>VLOOKUP(T591,'Data Angt'!$A$5:$H$5810,8,FALSE)</f>
        <v>Wiraswasta</v>
      </c>
      <c r="Y591" s="5" t="str">
        <f>VLOOKUP(T591,'Data Angt'!$A$5:$C$5808,3,FALSE)</f>
        <v>PBL</v>
      </c>
    </row>
    <row r="592" spans="1:25" x14ac:dyDescent="0.3">
      <c r="A592" s="8">
        <v>586</v>
      </c>
      <c r="B592" s="9" t="s">
        <v>12782</v>
      </c>
      <c r="C592" s="10" t="str">
        <f>VLOOKUP(B592,'Data Angt'!$A$5:$B$5809,2,FALSE)</f>
        <v>A4434</v>
      </c>
      <c r="D592" s="11" t="s">
        <v>9895</v>
      </c>
      <c r="E592" s="12" t="s">
        <v>16221</v>
      </c>
      <c r="F592" s="13">
        <v>45730</v>
      </c>
      <c r="G592" s="14">
        <v>45908</v>
      </c>
      <c r="H592" s="15">
        <v>35000000</v>
      </c>
      <c r="I592" s="16">
        <v>36</v>
      </c>
      <c r="J592" s="17">
        <v>21</v>
      </c>
      <c r="K592" s="9" t="s">
        <v>9831</v>
      </c>
      <c r="L592" s="10" t="s">
        <v>16222</v>
      </c>
      <c r="M592" s="9" t="s">
        <v>9896</v>
      </c>
      <c r="N592" s="10" t="s">
        <v>9828</v>
      </c>
      <c r="O592" s="15">
        <v>30573300</v>
      </c>
      <c r="P592" s="145">
        <v>1307062</v>
      </c>
      <c r="Q592" s="9" t="s">
        <v>22189</v>
      </c>
      <c r="R592" s="146" t="s">
        <v>22720</v>
      </c>
      <c r="T592" s="92" t="s">
        <v>14137</v>
      </c>
      <c r="U592">
        <v>1</v>
      </c>
      <c r="V592">
        <f>VLOOKUP(T592,'Data Angt'!$A$5:$F$5810,6,FALSE)</f>
        <v>25</v>
      </c>
      <c r="W592" s="5" t="str">
        <f t="shared" si="9"/>
        <v>KONSUMTIF</v>
      </c>
      <c r="X592" s="5" t="str">
        <f>VLOOKUP(T592,'Data Angt'!$A$5:$H$5810,8,FALSE)</f>
        <v>Karyawan</v>
      </c>
      <c r="Y592" s="5" t="str">
        <f>VLOOKUP(T592,'Data Angt'!$A$5:$C$5808,3,FALSE)</f>
        <v>PBL</v>
      </c>
    </row>
    <row r="593" spans="1:25" x14ac:dyDescent="0.3">
      <c r="A593" s="8">
        <v>587</v>
      </c>
      <c r="B593" s="9" t="s">
        <v>12809</v>
      </c>
      <c r="C593" s="10" t="str">
        <f>VLOOKUP(B593,'Data Angt'!$A$5:$B$5809,2,FALSE)</f>
        <v>A4445</v>
      </c>
      <c r="D593" s="11" t="s">
        <v>9829</v>
      </c>
      <c r="E593" s="12" t="s">
        <v>22721</v>
      </c>
      <c r="F593" s="13">
        <v>45846</v>
      </c>
      <c r="G593" s="14">
        <v>45908</v>
      </c>
      <c r="H593" s="15">
        <v>15000000</v>
      </c>
      <c r="I593" s="16">
        <v>15</v>
      </c>
      <c r="J593" s="17">
        <v>24</v>
      </c>
      <c r="K593" s="9" t="s">
        <v>9831</v>
      </c>
      <c r="L593" s="10" t="s">
        <v>22722</v>
      </c>
      <c r="M593" s="9" t="s">
        <v>22723</v>
      </c>
      <c r="N593" s="10" t="s">
        <v>9830</v>
      </c>
      <c r="O593" s="15">
        <v>13247900</v>
      </c>
      <c r="P593" s="145">
        <v>218512</v>
      </c>
      <c r="Q593" s="9" t="s">
        <v>22276</v>
      </c>
      <c r="R593" s="146" t="s">
        <v>22724</v>
      </c>
      <c r="T593" s="92" t="s">
        <v>14162</v>
      </c>
      <c r="U593">
        <v>1</v>
      </c>
      <c r="V593">
        <f>VLOOKUP(T593,'Data Angt'!$A$5:$F$5810,6,FALSE)</f>
        <v>32</v>
      </c>
      <c r="W593" s="5" t="str">
        <f t="shared" si="9"/>
        <v>PENDIDIKAN</v>
      </c>
      <c r="X593" s="5">
        <f>VLOOKUP(T593,'Data Angt'!$A$5:$H$5810,8,FALSE)</f>
        <v>0</v>
      </c>
      <c r="Y593" s="5" t="str">
        <f>VLOOKUP(T593,'Data Angt'!$A$5:$C$5808,3,FALSE)</f>
        <v>PBL</v>
      </c>
    </row>
    <row r="594" spans="1:25" x14ac:dyDescent="0.3">
      <c r="A594" s="8">
        <v>588</v>
      </c>
      <c r="B594" s="9" t="s">
        <v>12811</v>
      </c>
      <c r="C594" s="10" t="str">
        <f>VLOOKUP(B594,'Data Angt'!$A$5:$B$5809,2,FALSE)</f>
        <v>A4446</v>
      </c>
      <c r="D594" s="11" t="s">
        <v>9829</v>
      </c>
      <c r="E594" s="12" t="s">
        <v>16223</v>
      </c>
      <c r="F594" s="13">
        <v>45800</v>
      </c>
      <c r="G594" s="14">
        <v>45924</v>
      </c>
      <c r="H594" s="15">
        <v>10000000</v>
      </c>
      <c r="I594" s="16">
        <v>10</v>
      </c>
      <c r="J594" s="17">
        <v>24</v>
      </c>
      <c r="K594" s="9" t="s">
        <v>9831</v>
      </c>
      <c r="L594" s="10" t="s">
        <v>16224</v>
      </c>
      <c r="M594" s="9" t="s">
        <v>16225</v>
      </c>
      <c r="N594" s="10" t="s">
        <v>17</v>
      </c>
      <c r="O594" s="15">
        <v>6236000</v>
      </c>
      <c r="P594" s="145">
        <v>258450</v>
      </c>
      <c r="Q594" s="9"/>
      <c r="R594" s="146"/>
      <c r="T594" s="92" t="s">
        <v>14165</v>
      </c>
      <c r="U594">
        <v>1</v>
      </c>
      <c r="V594">
        <f>VLOOKUP(T594,'Data Angt'!$A$5:$F$5810,6,FALSE)</f>
        <v>32</v>
      </c>
      <c r="W594" s="5" t="str">
        <f t="shared" si="9"/>
        <v>KESEJAHTERAAN</v>
      </c>
      <c r="X594" s="5" t="str">
        <f>VLOOKUP(T594,'Data Angt'!$A$5:$H$5810,8,FALSE)</f>
        <v>Wiraswasta</v>
      </c>
      <c r="Y594" s="5" t="str">
        <f>VLOOKUP(T594,'Data Angt'!$A$5:$C$5808,3,FALSE)</f>
        <v>PBL</v>
      </c>
    </row>
    <row r="595" spans="1:25" x14ac:dyDescent="0.3">
      <c r="A595" s="8">
        <v>589</v>
      </c>
      <c r="B595" s="9" t="s">
        <v>12822</v>
      </c>
      <c r="C595" s="10" t="str">
        <f>VLOOKUP(B595,'Data Angt'!$A$5:$B$5809,2,FALSE)</f>
        <v>A4452</v>
      </c>
      <c r="D595" s="11" t="s">
        <v>9829</v>
      </c>
      <c r="E595" s="12" t="s">
        <v>16226</v>
      </c>
      <c r="F595" s="13">
        <v>45355</v>
      </c>
      <c r="G595" s="14">
        <v>45910</v>
      </c>
      <c r="H595" s="15">
        <v>40000000</v>
      </c>
      <c r="I595" s="16">
        <v>36</v>
      </c>
      <c r="J595" s="17">
        <v>21</v>
      </c>
      <c r="K595" s="9" t="s">
        <v>9831</v>
      </c>
      <c r="L595" s="10" t="s">
        <v>16227</v>
      </c>
      <c r="M595" s="9" t="s">
        <v>16228</v>
      </c>
      <c r="N595" s="10" t="s">
        <v>17</v>
      </c>
      <c r="O595" s="15">
        <v>23115400</v>
      </c>
      <c r="P595" s="145">
        <v>3841195</v>
      </c>
      <c r="Q595" s="9" t="s">
        <v>22197</v>
      </c>
      <c r="R595" s="146" t="s">
        <v>22725</v>
      </c>
      <c r="T595" s="92" t="s">
        <v>14228</v>
      </c>
      <c r="U595">
        <v>1</v>
      </c>
      <c r="V595">
        <f>VLOOKUP(T595,'Data Angt'!$A$5:$F$5810,6,FALSE)</f>
        <v>20</v>
      </c>
      <c r="W595" s="5" t="str">
        <f t="shared" si="9"/>
        <v>KONSUMTIF</v>
      </c>
      <c r="X595" s="5" t="str">
        <f>VLOOKUP(T595,'Data Angt'!$A$5:$H$5810,8,FALSE)</f>
        <v>Karyawan</v>
      </c>
      <c r="Y595" s="5" t="str">
        <f>VLOOKUP(T595,'Data Angt'!$A$5:$C$5808,3,FALSE)</f>
        <v>PBL</v>
      </c>
    </row>
    <row r="596" spans="1:25" x14ac:dyDescent="0.3">
      <c r="A596" s="8">
        <v>590</v>
      </c>
      <c r="B596" s="9" t="s">
        <v>12829</v>
      </c>
      <c r="C596" s="10" t="str">
        <f>VLOOKUP(B596,'Data Angt'!$A$5:$B$5809,2,FALSE)</f>
        <v>A4455</v>
      </c>
      <c r="D596" s="11" t="s">
        <v>9829</v>
      </c>
      <c r="E596" s="12" t="s">
        <v>16229</v>
      </c>
      <c r="F596" s="13">
        <v>45808</v>
      </c>
      <c r="G596" s="14">
        <v>45916</v>
      </c>
      <c r="H596" s="15">
        <v>20000000</v>
      </c>
      <c r="I596" s="16">
        <v>24</v>
      </c>
      <c r="J596" s="17">
        <v>24</v>
      </c>
      <c r="K596" s="9" t="s">
        <v>9831</v>
      </c>
      <c r="L596" s="10" t="s">
        <v>16230</v>
      </c>
      <c r="M596" s="9" t="s">
        <v>16231</v>
      </c>
      <c r="N596" s="10" t="s">
        <v>17</v>
      </c>
      <c r="O596" s="15">
        <v>17290200</v>
      </c>
      <c r="P596" s="145">
        <v>570074</v>
      </c>
      <c r="Q596" s="9" t="s">
        <v>22189</v>
      </c>
      <c r="R596" s="146" t="s">
        <v>22726</v>
      </c>
      <c r="T596" s="92" t="s">
        <v>14279</v>
      </c>
      <c r="U596">
        <v>1</v>
      </c>
      <c r="V596">
        <f>VLOOKUP(T596,'Data Angt'!$A$5:$F$5810,6,FALSE)</f>
        <v>55</v>
      </c>
      <c r="W596" s="5" t="str">
        <f t="shared" si="9"/>
        <v>PRODUKTIF</v>
      </c>
      <c r="X596" s="5" t="str">
        <f>VLOOKUP(T596,'Data Angt'!$A$5:$H$5810,8,FALSE)</f>
        <v>Wiraswasta</v>
      </c>
      <c r="Y596" s="5" t="str">
        <f>VLOOKUP(T596,'Data Angt'!$A$5:$C$5808,3,FALSE)</f>
        <v>PBL</v>
      </c>
    </row>
    <row r="597" spans="1:25" x14ac:dyDescent="0.3">
      <c r="A597" s="8">
        <v>591</v>
      </c>
      <c r="B597" s="9" t="s">
        <v>12834</v>
      </c>
      <c r="C597" s="10" t="str">
        <f>VLOOKUP(B597,'Data Angt'!$A$5:$B$5809,2,FALSE)</f>
        <v>A4458</v>
      </c>
      <c r="D597" s="11" t="s">
        <v>9833</v>
      </c>
      <c r="E597" s="12" t="s">
        <v>16232</v>
      </c>
      <c r="F597" s="13">
        <v>45352</v>
      </c>
      <c r="G597" s="14">
        <v>45902</v>
      </c>
      <c r="H597" s="15">
        <v>25000000</v>
      </c>
      <c r="I597" s="16">
        <v>24</v>
      </c>
      <c r="J597" s="17">
        <v>21</v>
      </c>
      <c r="K597" s="9" t="s">
        <v>9831</v>
      </c>
      <c r="L597" s="10" t="s">
        <v>16233</v>
      </c>
      <c r="M597" s="9" t="s">
        <v>16234</v>
      </c>
      <c r="N597" s="10" t="s">
        <v>9834</v>
      </c>
      <c r="O597" s="15">
        <v>7256800</v>
      </c>
      <c r="P597" s="145">
        <v>2018021</v>
      </c>
      <c r="Q597" s="9" t="s">
        <v>22220</v>
      </c>
      <c r="R597" s="146" t="s">
        <v>22727</v>
      </c>
      <c r="T597" s="92" t="s">
        <v>14361</v>
      </c>
      <c r="U597">
        <v>1</v>
      </c>
      <c r="V597">
        <f>VLOOKUP(T597,'Data Angt'!$A$5:$F$5810,6,FALSE)</f>
        <v>70</v>
      </c>
      <c r="W597" s="5" t="str">
        <f t="shared" si="9"/>
        <v>KESEJAHTERAAN</v>
      </c>
      <c r="X597" s="5" t="str">
        <f>VLOOKUP(T597,'Data Angt'!$A$5:$H$5810,8,FALSE)</f>
        <v>Wiraswasta</v>
      </c>
      <c r="Y597" s="5" t="str">
        <f>VLOOKUP(T597,'Data Angt'!$A$5:$C$5808,3,FALSE)</f>
        <v>PBL</v>
      </c>
    </row>
    <row r="598" spans="1:25" x14ac:dyDescent="0.3">
      <c r="A598" s="8">
        <v>592</v>
      </c>
      <c r="B598" s="9" t="s">
        <v>12846</v>
      </c>
      <c r="C598" s="10" t="str">
        <f>VLOOKUP(B598,'Data Angt'!$A$5:$B$5809,2,FALSE)</f>
        <v>A4463</v>
      </c>
      <c r="D598" s="11" t="s">
        <v>9833</v>
      </c>
      <c r="E598" s="12" t="s">
        <v>16235</v>
      </c>
      <c r="F598" s="13">
        <v>45838</v>
      </c>
      <c r="G598" s="14">
        <v>45922</v>
      </c>
      <c r="H598" s="15">
        <v>2000000</v>
      </c>
      <c r="I598" s="16">
        <v>6</v>
      </c>
      <c r="J598" s="17">
        <v>24</v>
      </c>
      <c r="K598" s="9" t="s">
        <v>9831</v>
      </c>
      <c r="L598" s="10" t="s">
        <v>16236</v>
      </c>
      <c r="M598" s="9" t="s">
        <v>9862</v>
      </c>
      <c r="N598" s="10" t="s">
        <v>9834</v>
      </c>
      <c r="O598" s="15">
        <v>1029600</v>
      </c>
      <c r="P598" s="145">
        <v>37837</v>
      </c>
      <c r="Q598" s="9"/>
      <c r="R598" s="146"/>
      <c r="T598" s="92" t="s">
        <v>14368</v>
      </c>
      <c r="U598">
        <v>1</v>
      </c>
      <c r="V598">
        <f>VLOOKUP(T598,'Data Angt'!$A$5:$F$5810,6,FALSE)</f>
        <v>43</v>
      </c>
      <c r="W598" s="5" t="str">
        <f t="shared" si="9"/>
        <v>PENDIDIKAN</v>
      </c>
      <c r="X598" s="5" t="str">
        <f>VLOOKUP(T598,'Data Angt'!$A$5:$H$5810,8,FALSE)</f>
        <v>Karyawan</v>
      </c>
      <c r="Y598" s="5" t="str">
        <f>VLOOKUP(T598,'Data Angt'!$A$5:$C$5808,3,FALSE)</f>
        <v>PBL</v>
      </c>
    </row>
    <row r="599" spans="1:25" x14ac:dyDescent="0.3">
      <c r="A599" s="8">
        <v>593</v>
      </c>
      <c r="B599" s="9" t="s">
        <v>12864</v>
      </c>
      <c r="C599" s="10" t="str">
        <f>VLOOKUP(B599,'Data Angt'!$A$5:$B$5809,2,FALSE)</f>
        <v>A4471</v>
      </c>
      <c r="D599" s="11" t="s">
        <v>9829</v>
      </c>
      <c r="E599" s="12" t="s">
        <v>22728</v>
      </c>
      <c r="F599" s="13">
        <v>45861</v>
      </c>
      <c r="G599" s="14">
        <v>45903</v>
      </c>
      <c r="H599" s="15">
        <v>8000000</v>
      </c>
      <c r="I599" s="16">
        <v>16</v>
      </c>
      <c r="J599" s="17">
        <v>24</v>
      </c>
      <c r="K599" s="9" t="s">
        <v>9831</v>
      </c>
      <c r="L599" s="10" t="s">
        <v>22729</v>
      </c>
      <c r="M599" s="9" t="s">
        <v>9841</v>
      </c>
      <c r="N599" s="10" t="s">
        <v>17</v>
      </c>
      <c r="O599" s="15">
        <v>7132900</v>
      </c>
      <c r="P599" s="145">
        <v>116812</v>
      </c>
      <c r="Q599" s="9"/>
      <c r="R599" s="146"/>
      <c r="T599" s="92" t="s">
        <v>14390</v>
      </c>
      <c r="U599">
        <v>1</v>
      </c>
      <c r="V599">
        <f>VLOOKUP(T599,'Data Angt'!$A$5:$F$5810,6,FALSE)</f>
        <v>60</v>
      </c>
      <c r="W599" s="5" t="str">
        <f t="shared" si="9"/>
        <v>PRODUKTIF</v>
      </c>
      <c r="X599" s="5" t="str">
        <f>VLOOKUP(T599,'Data Angt'!$A$5:$H$5810,8,FALSE)</f>
        <v>Wiraswasta</v>
      </c>
      <c r="Y599" s="5" t="str">
        <f>VLOOKUP(T599,'Data Angt'!$A$5:$C$5808,3,FALSE)</f>
        <v>PBL</v>
      </c>
    </row>
    <row r="600" spans="1:25" x14ac:dyDescent="0.3">
      <c r="A600" s="8">
        <v>594</v>
      </c>
      <c r="B600" s="9" t="s">
        <v>12891</v>
      </c>
      <c r="C600" s="10" t="str">
        <f>VLOOKUP(B600,'Data Angt'!$A$5:$B$5809,2,FALSE)</f>
        <v>A4484</v>
      </c>
      <c r="D600" s="11" t="s">
        <v>9833</v>
      </c>
      <c r="E600" s="12" t="s">
        <v>16237</v>
      </c>
      <c r="F600" s="13">
        <v>45367</v>
      </c>
      <c r="G600" s="14">
        <v>45926</v>
      </c>
      <c r="H600" s="15">
        <v>8000000</v>
      </c>
      <c r="I600" s="16">
        <v>24</v>
      </c>
      <c r="J600" s="17">
        <v>24</v>
      </c>
      <c r="K600" s="9" t="s">
        <v>9831</v>
      </c>
      <c r="L600" s="10" t="s">
        <v>16238</v>
      </c>
      <c r="M600" s="9" t="s">
        <v>16239</v>
      </c>
      <c r="N600" s="10" t="s">
        <v>9834</v>
      </c>
      <c r="O600" s="15">
        <v>2745000</v>
      </c>
      <c r="P600" s="145">
        <v>746583</v>
      </c>
      <c r="Q600" s="9" t="s">
        <v>22189</v>
      </c>
      <c r="R600" s="146" t="s">
        <v>22730</v>
      </c>
      <c r="T600" s="92" t="s">
        <v>14393</v>
      </c>
      <c r="U600">
        <v>1</v>
      </c>
      <c r="V600">
        <f>VLOOKUP(T600,'Data Angt'!$A$5:$F$5810,6,FALSE)</f>
        <v>49</v>
      </c>
      <c r="W600" s="5" t="str">
        <f t="shared" si="9"/>
        <v>PRODUKTIF</v>
      </c>
      <c r="X600" s="5" t="str">
        <f>VLOOKUP(T600,'Data Angt'!$A$5:$H$5810,8,FALSE)</f>
        <v>Wiraswasta</v>
      </c>
      <c r="Y600" s="5" t="str">
        <f>VLOOKUP(T600,'Data Angt'!$A$5:$C$5808,3,FALSE)</f>
        <v>PBL</v>
      </c>
    </row>
    <row r="601" spans="1:25" x14ac:dyDescent="0.3">
      <c r="A601" s="8">
        <v>595</v>
      </c>
      <c r="B601" s="9" t="s">
        <v>12921</v>
      </c>
      <c r="C601" s="10" t="str">
        <f>VLOOKUP(B601,'Data Angt'!$A$5:$B$5809,2,FALSE)</f>
        <v>A4499</v>
      </c>
      <c r="D601" s="11" t="s">
        <v>9829</v>
      </c>
      <c r="E601" s="12" t="s">
        <v>16240</v>
      </c>
      <c r="F601" s="13">
        <v>45376</v>
      </c>
      <c r="G601" s="14">
        <v>45920</v>
      </c>
      <c r="H601" s="15">
        <v>25000000</v>
      </c>
      <c r="I601" s="16">
        <v>36</v>
      </c>
      <c r="J601" s="17">
        <v>21</v>
      </c>
      <c r="K601" s="9" t="s">
        <v>9831</v>
      </c>
      <c r="L601" s="10" t="s">
        <v>16241</v>
      </c>
      <c r="M601" s="9" t="s">
        <v>15774</v>
      </c>
      <c r="N601" s="10" t="s">
        <v>9830</v>
      </c>
      <c r="O601" s="15">
        <v>14436300</v>
      </c>
      <c r="P601" s="145">
        <v>2396433</v>
      </c>
      <c r="Q601" s="9" t="s">
        <v>22220</v>
      </c>
      <c r="R601" s="146" t="s">
        <v>22731</v>
      </c>
      <c r="T601" s="92" t="s">
        <v>14394</v>
      </c>
      <c r="U601">
        <v>1</v>
      </c>
      <c r="V601">
        <f>VLOOKUP(T601,'Data Angt'!$A$5:$F$5810,6,FALSE)</f>
        <v>51</v>
      </c>
      <c r="W601" s="5" t="str">
        <f t="shared" si="9"/>
        <v>PRODUKTIF</v>
      </c>
      <c r="X601" s="5" t="str">
        <f>VLOOKUP(T601,'Data Angt'!$A$5:$H$5810,8,FALSE)</f>
        <v>Wiraswasta</v>
      </c>
      <c r="Y601" s="5" t="str">
        <f>VLOOKUP(T601,'Data Angt'!$A$5:$C$5808,3,FALSE)</f>
        <v>PBL</v>
      </c>
    </row>
    <row r="602" spans="1:25" x14ac:dyDescent="0.3">
      <c r="A602" s="8">
        <v>596</v>
      </c>
      <c r="B602" s="9" t="s">
        <v>12971</v>
      </c>
      <c r="C602" s="10" t="str">
        <f>VLOOKUP(B602,'Data Angt'!$A$5:$B$5809,2,FALSE)</f>
        <v>A4522</v>
      </c>
      <c r="D602" s="11" t="s">
        <v>9833</v>
      </c>
      <c r="E602" s="12" t="s">
        <v>16242</v>
      </c>
      <c r="F602" s="13">
        <v>45429</v>
      </c>
      <c r="G602" s="14">
        <v>45838</v>
      </c>
      <c r="H602" s="15">
        <v>35000000</v>
      </c>
      <c r="I602" s="16">
        <v>18</v>
      </c>
      <c r="J602" s="17">
        <v>21</v>
      </c>
      <c r="K602" s="9" t="s">
        <v>9831</v>
      </c>
      <c r="L602" s="10" t="s">
        <v>16243</v>
      </c>
      <c r="M602" s="9" t="s">
        <v>16244</v>
      </c>
      <c r="N602" s="10" t="s">
        <v>9834</v>
      </c>
      <c r="O602" s="15">
        <v>16910300</v>
      </c>
      <c r="P602" s="145">
        <v>1779860</v>
      </c>
      <c r="Q602" s="9" t="s">
        <v>22248</v>
      </c>
      <c r="R602" s="146" t="s">
        <v>22732</v>
      </c>
      <c r="T602" s="92" t="s">
        <v>14397</v>
      </c>
      <c r="U602">
        <v>1</v>
      </c>
      <c r="V602">
        <f>VLOOKUP(T602,'Data Angt'!$A$5:$F$5810,6,FALSE)</f>
        <v>49</v>
      </c>
      <c r="W602" s="5" t="str">
        <f t="shared" si="9"/>
        <v>PRODUKTIF</v>
      </c>
      <c r="X602" s="5" t="str">
        <f>VLOOKUP(T602,'Data Angt'!$A$5:$H$5810,8,FALSE)</f>
        <v>Wiraswasta</v>
      </c>
      <c r="Y602" s="5" t="str">
        <f>VLOOKUP(T602,'Data Angt'!$A$5:$C$5808,3,FALSE)</f>
        <v>PBL</v>
      </c>
    </row>
    <row r="603" spans="1:25" x14ac:dyDescent="0.3">
      <c r="A603" s="8">
        <v>597</v>
      </c>
      <c r="B603" s="9" t="s">
        <v>13008</v>
      </c>
      <c r="C603" s="10" t="str">
        <f>VLOOKUP(B603,'Data Angt'!$A$5:$B$5809,2,FALSE)</f>
        <v>A4538</v>
      </c>
      <c r="D603" s="11" t="s">
        <v>9833</v>
      </c>
      <c r="E603" s="12" t="s">
        <v>16245</v>
      </c>
      <c r="F603" s="13">
        <v>45429</v>
      </c>
      <c r="G603" s="14">
        <v>45924</v>
      </c>
      <c r="H603" s="15">
        <v>22000000</v>
      </c>
      <c r="I603" s="16">
        <v>36</v>
      </c>
      <c r="J603" s="17">
        <v>24</v>
      </c>
      <c r="K603" s="9" t="s">
        <v>9831</v>
      </c>
      <c r="L603" s="10" t="s">
        <v>16246</v>
      </c>
      <c r="M603" s="9" t="s">
        <v>9862</v>
      </c>
      <c r="N603" s="10" t="s">
        <v>9834</v>
      </c>
      <c r="O603" s="15">
        <v>14112800</v>
      </c>
      <c r="P603" s="145">
        <v>2221496</v>
      </c>
      <c r="Q603" s="9" t="s">
        <v>22189</v>
      </c>
      <c r="R603" s="146" t="s">
        <v>22733</v>
      </c>
      <c r="T603" s="92" t="s">
        <v>14408</v>
      </c>
      <c r="U603">
        <v>1</v>
      </c>
      <c r="V603">
        <f>VLOOKUP(T603,'Data Angt'!$A$5:$F$5810,6,FALSE)</f>
        <v>23</v>
      </c>
      <c r="W603" s="5" t="str">
        <f t="shared" si="9"/>
        <v>PRODUKTIF</v>
      </c>
      <c r="X603" s="5" t="str">
        <f>VLOOKUP(T603,'Data Angt'!$A$5:$H$5810,8,FALSE)</f>
        <v>Karyawan</v>
      </c>
      <c r="Y603" s="5" t="str">
        <f>VLOOKUP(T603,'Data Angt'!$A$5:$C$5808,3,FALSE)</f>
        <v>PBL</v>
      </c>
    </row>
    <row r="604" spans="1:25" x14ac:dyDescent="0.3">
      <c r="A604" s="8">
        <v>598</v>
      </c>
      <c r="B604" s="9" t="s">
        <v>13018</v>
      </c>
      <c r="C604" s="10" t="str">
        <f>VLOOKUP(B604,'Data Angt'!$A$5:$B$5809,2,FALSE)</f>
        <v>A4543</v>
      </c>
      <c r="D604" s="11" t="s">
        <v>9833</v>
      </c>
      <c r="E604" s="12" t="s">
        <v>22734</v>
      </c>
      <c r="F604" s="13">
        <v>45876</v>
      </c>
      <c r="G604" s="14">
        <v>45908</v>
      </c>
      <c r="H604" s="15">
        <v>2000000</v>
      </c>
      <c r="I604" s="16">
        <v>8</v>
      </c>
      <c r="J604" s="17">
        <v>24</v>
      </c>
      <c r="K604" s="9" t="s">
        <v>9831</v>
      </c>
      <c r="L604" s="10" t="s">
        <v>22735</v>
      </c>
      <c r="M604" s="9" t="s">
        <v>22736</v>
      </c>
      <c r="N604" s="10" t="s">
        <v>9834</v>
      </c>
      <c r="O604" s="15">
        <v>1766900</v>
      </c>
      <c r="P604" s="145">
        <v>15000</v>
      </c>
      <c r="Q604" s="9"/>
      <c r="R604" s="146"/>
      <c r="T604" s="92" t="s">
        <v>14418</v>
      </c>
      <c r="U604">
        <v>1</v>
      </c>
      <c r="V604">
        <f>VLOOKUP(T604,'Data Angt'!$A$5:$F$5810,6,FALSE)</f>
        <v>53</v>
      </c>
      <c r="W604" s="5" t="str">
        <f t="shared" si="9"/>
        <v>KONSUMTIF</v>
      </c>
      <c r="X604" s="5" t="str">
        <f>VLOOKUP(T604,'Data Angt'!$A$5:$H$5810,8,FALSE)</f>
        <v>Aparatur/Pejabat Negara</v>
      </c>
      <c r="Y604" s="5" t="str">
        <f>VLOOKUP(T604,'Data Angt'!$A$5:$C$5808,3,FALSE)</f>
        <v>PBL</v>
      </c>
    </row>
    <row r="605" spans="1:25" x14ac:dyDescent="0.3">
      <c r="A605" s="8">
        <v>599</v>
      </c>
      <c r="B605" s="9" t="s">
        <v>13024</v>
      </c>
      <c r="C605" s="10" t="str">
        <f>VLOOKUP(B605,'Data Angt'!$A$5:$B$5809,2,FALSE)</f>
        <v>A4545</v>
      </c>
      <c r="D605" s="11" t="s">
        <v>9895</v>
      </c>
      <c r="E605" s="12" t="s">
        <v>22737</v>
      </c>
      <c r="F605" s="13">
        <v>45885</v>
      </c>
      <c r="G605" s="14">
        <v>45909</v>
      </c>
      <c r="H605" s="15">
        <v>3000000</v>
      </c>
      <c r="I605" s="16">
        <v>18</v>
      </c>
      <c r="J605" s="17">
        <v>24</v>
      </c>
      <c r="K605" s="9" t="s">
        <v>9827</v>
      </c>
      <c r="L605" s="10" t="s">
        <v>22738</v>
      </c>
      <c r="M605" s="9" t="s">
        <v>9896</v>
      </c>
      <c r="N605" s="10" t="s">
        <v>9828</v>
      </c>
      <c r="O605" s="15">
        <v>2833300</v>
      </c>
      <c r="P605" s="145">
        <v>22500</v>
      </c>
      <c r="Q605" s="9" t="s">
        <v>22189</v>
      </c>
      <c r="R605" s="146" t="s">
        <v>22739</v>
      </c>
      <c r="T605" s="92" t="s">
        <v>14436</v>
      </c>
      <c r="U605">
        <v>1</v>
      </c>
      <c r="V605">
        <f>VLOOKUP(T605,'Data Angt'!$A$5:$F$5810,6,FALSE)</f>
        <v>41</v>
      </c>
      <c r="W605" s="5" t="str">
        <f t="shared" si="9"/>
        <v>KONSUMTIF</v>
      </c>
      <c r="X605" s="5" t="str">
        <f>VLOOKUP(T605,'Data Angt'!$A$5:$H$5810,8,FALSE)</f>
        <v>Karyawan</v>
      </c>
      <c r="Y605" s="5" t="str">
        <f>VLOOKUP(T605,'Data Angt'!$A$5:$C$5808,3,FALSE)</f>
        <v>PBL</v>
      </c>
    </row>
    <row r="606" spans="1:25" x14ac:dyDescent="0.3">
      <c r="A606" s="8">
        <v>600</v>
      </c>
      <c r="B606" s="9" t="s">
        <v>13028</v>
      </c>
      <c r="C606" s="10" t="str">
        <f>VLOOKUP(B606,'Data Angt'!$A$5:$B$5809,2,FALSE)</f>
        <v>A4547</v>
      </c>
      <c r="D606" s="11" t="s">
        <v>9829</v>
      </c>
      <c r="E606" s="12" t="s">
        <v>22740</v>
      </c>
      <c r="F606" s="13">
        <v>45876</v>
      </c>
      <c r="G606" s="14">
        <v>45901</v>
      </c>
      <c r="H606" s="15">
        <v>2500000</v>
      </c>
      <c r="I606" s="16">
        <v>12</v>
      </c>
      <c r="J606" s="17">
        <v>24</v>
      </c>
      <c r="K606" s="9" t="s">
        <v>9827</v>
      </c>
      <c r="L606" s="10" t="s">
        <v>22741</v>
      </c>
      <c r="M606" s="9" t="s">
        <v>9838</v>
      </c>
      <c r="N606" s="10" t="s">
        <v>9830</v>
      </c>
      <c r="O606" s="15">
        <v>2291600</v>
      </c>
      <c r="P606" s="145">
        <v>18750</v>
      </c>
      <c r="Q606" s="9"/>
      <c r="R606" s="146"/>
      <c r="T606" s="92" t="s">
        <v>14443</v>
      </c>
      <c r="U606">
        <v>1</v>
      </c>
      <c r="V606">
        <f>VLOOKUP(T606,'Data Angt'!$A$5:$F$5810,6,FALSE)</f>
        <v>30</v>
      </c>
      <c r="W606" s="5" t="str">
        <f t="shared" si="9"/>
        <v>PENDIDIKAN</v>
      </c>
      <c r="X606" s="5" t="str">
        <f>VLOOKUP(T606,'Data Angt'!$A$5:$H$5810,8,FALSE)</f>
        <v>Tenaga Pengajar</v>
      </c>
      <c r="Y606" s="5" t="str">
        <f>VLOOKUP(T606,'Data Angt'!$A$5:$C$5808,3,FALSE)</f>
        <v>PBL</v>
      </c>
    </row>
    <row r="607" spans="1:25" x14ac:dyDescent="0.3">
      <c r="A607" s="8">
        <v>601</v>
      </c>
      <c r="B607" s="9" t="s">
        <v>13063</v>
      </c>
      <c r="C607" s="10" t="str">
        <f>VLOOKUP(B607,'Data Angt'!$A$5:$B$5809,2,FALSE)</f>
        <v>A4564</v>
      </c>
      <c r="D607" s="11" t="s">
        <v>9829</v>
      </c>
      <c r="E607" s="12" t="s">
        <v>16247</v>
      </c>
      <c r="F607" s="13">
        <v>45819</v>
      </c>
      <c r="G607" s="14">
        <v>45910</v>
      </c>
      <c r="H607" s="15">
        <v>5000000</v>
      </c>
      <c r="I607" s="16">
        <v>20</v>
      </c>
      <c r="J607" s="17">
        <v>24</v>
      </c>
      <c r="K607" s="9" t="s">
        <v>9831</v>
      </c>
      <c r="L607" s="10" t="s">
        <v>16248</v>
      </c>
      <c r="M607" s="9" t="s">
        <v>16249</v>
      </c>
      <c r="N607" s="10" t="s">
        <v>17</v>
      </c>
      <c r="O607" s="15">
        <v>4370200</v>
      </c>
      <c r="P607" s="145">
        <v>107849</v>
      </c>
      <c r="Q607" s="9"/>
      <c r="R607" s="146"/>
      <c r="T607" s="92" t="s">
        <v>14459</v>
      </c>
      <c r="U607">
        <v>1</v>
      </c>
      <c r="V607">
        <f>VLOOKUP(T607,'Data Angt'!$A$5:$F$5810,6,FALSE)</f>
        <v>41</v>
      </c>
      <c r="W607" s="5" t="str">
        <f t="shared" si="9"/>
        <v>KONSUMTIF</v>
      </c>
      <c r="X607" s="5" t="str">
        <f>VLOOKUP(T607,'Data Angt'!$A$5:$H$5810,8,FALSE)</f>
        <v>Wiraswasta</v>
      </c>
      <c r="Y607" s="5" t="str">
        <f>VLOOKUP(T607,'Data Angt'!$A$5:$C$5808,3,FALSE)</f>
        <v>PBL</v>
      </c>
    </row>
    <row r="608" spans="1:25" x14ac:dyDescent="0.3">
      <c r="A608" s="8">
        <v>602</v>
      </c>
      <c r="B608" s="9" t="s">
        <v>13076</v>
      </c>
      <c r="C608" s="10" t="str">
        <f>VLOOKUP(B608,'Data Angt'!$A$5:$B$5809,2,FALSE)</f>
        <v>A4572</v>
      </c>
      <c r="D608" s="11" t="s">
        <v>9829</v>
      </c>
      <c r="E608" s="12" t="s">
        <v>16250</v>
      </c>
      <c r="F608" s="13">
        <v>45533</v>
      </c>
      <c r="G608" s="14">
        <v>45920</v>
      </c>
      <c r="H608" s="15">
        <v>37000000</v>
      </c>
      <c r="I608" s="16">
        <v>36</v>
      </c>
      <c r="J608" s="17">
        <v>21</v>
      </c>
      <c r="K608" s="9" t="s">
        <v>9831</v>
      </c>
      <c r="L608" s="10" t="s">
        <v>16251</v>
      </c>
      <c r="M608" s="9" t="s">
        <v>9896</v>
      </c>
      <c r="N608" s="10" t="s">
        <v>9828</v>
      </c>
      <c r="O608" s="15">
        <v>26208900</v>
      </c>
      <c r="P608" s="145">
        <v>2749084</v>
      </c>
      <c r="Q608" s="9" t="s">
        <v>22189</v>
      </c>
      <c r="R608" s="146" t="s">
        <v>22742</v>
      </c>
      <c r="T608" s="92" t="s">
        <v>14464</v>
      </c>
      <c r="U608">
        <v>1</v>
      </c>
      <c r="V608">
        <f>VLOOKUP(T608,'Data Angt'!$A$5:$F$5810,6,FALSE)</f>
        <v>28</v>
      </c>
      <c r="W608" s="5" t="str">
        <f t="shared" si="9"/>
        <v>KESEJAHTERAAN</v>
      </c>
      <c r="X608" s="5" t="str">
        <f>VLOOKUP(T608,'Data Angt'!$A$5:$H$5810,8,FALSE)</f>
        <v>Karyawan</v>
      </c>
      <c r="Y608" s="5" t="str">
        <f>VLOOKUP(T608,'Data Angt'!$A$5:$C$5808,3,FALSE)</f>
        <v>PBL</v>
      </c>
    </row>
    <row r="609" spans="1:25" x14ac:dyDescent="0.3">
      <c r="A609" s="8">
        <v>603</v>
      </c>
      <c r="B609" s="9" t="s">
        <v>13078</v>
      </c>
      <c r="C609" s="10" t="str">
        <f>VLOOKUP(B609,'Data Angt'!$A$5:$B$5809,2,FALSE)</f>
        <v>A4574</v>
      </c>
      <c r="D609" s="11" t="s">
        <v>9829</v>
      </c>
      <c r="E609" s="12" t="s">
        <v>16252</v>
      </c>
      <c r="F609" s="13">
        <v>45463</v>
      </c>
      <c r="G609" s="14">
        <v>45908</v>
      </c>
      <c r="H609" s="15">
        <v>1500000000</v>
      </c>
      <c r="I609" s="16">
        <v>24</v>
      </c>
      <c r="J609" s="17">
        <v>10</v>
      </c>
      <c r="K609" s="9" t="s">
        <v>9867</v>
      </c>
      <c r="L609" s="10" t="s">
        <v>16253</v>
      </c>
      <c r="M609" s="9" t="s">
        <v>16254</v>
      </c>
      <c r="N609" s="10" t="s">
        <v>9830</v>
      </c>
      <c r="O609" s="15">
        <v>1500000000</v>
      </c>
      <c r="P609" s="145">
        <v>70312500</v>
      </c>
      <c r="Q609" s="9" t="s">
        <v>22743</v>
      </c>
      <c r="R609" s="146" t="s">
        <v>22744</v>
      </c>
      <c r="T609" s="92" t="s">
        <v>14467</v>
      </c>
      <c r="U609">
        <v>1</v>
      </c>
      <c r="V609">
        <f>VLOOKUP(T609,'Data Angt'!$A$5:$F$5810,6,FALSE)</f>
        <v>27</v>
      </c>
      <c r="W609" s="5" t="str">
        <f t="shared" si="9"/>
        <v>KESEJAHTERAAN</v>
      </c>
      <c r="X609" s="5" t="str">
        <f>VLOOKUP(T609,'Data Angt'!$A$5:$H$5810,8,FALSE)</f>
        <v>Karyawan</v>
      </c>
      <c r="Y609" s="5" t="str">
        <f>VLOOKUP(T609,'Data Angt'!$A$5:$C$5808,3,FALSE)</f>
        <v>PBL</v>
      </c>
    </row>
    <row r="610" spans="1:25" x14ac:dyDescent="0.3">
      <c r="A610" s="8">
        <v>604</v>
      </c>
      <c r="B610" s="9" t="s">
        <v>13156</v>
      </c>
      <c r="C610" s="10" t="str">
        <f>VLOOKUP(B610,'Data Angt'!$A$5:$B$5809,2,FALSE)</f>
        <v>A4608</v>
      </c>
      <c r="D610" s="11" t="s">
        <v>9833</v>
      </c>
      <c r="E610" s="12" t="s">
        <v>16255</v>
      </c>
      <c r="F610" s="13">
        <v>45822</v>
      </c>
      <c r="G610" s="14">
        <v>45904</v>
      </c>
      <c r="H610" s="15">
        <v>8000000</v>
      </c>
      <c r="I610" s="16">
        <v>12</v>
      </c>
      <c r="J610" s="17">
        <v>24</v>
      </c>
      <c r="K610" s="9" t="s">
        <v>9831</v>
      </c>
      <c r="L610" s="10" t="s">
        <v>16256</v>
      </c>
      <c r="M610" s="9" t="s">
        <v>16239</v>
      </c>
      <c r="N610" s="10" t="s">
        <v>9834</v>
      </c>
      <c r="O610" s="15">
        <v>6174600</v>
      </c>
      <c r="P610" s="145">
        <v>166537</v>
      </c>
      <c r="Q610" s="9" t="s">
        <v>22189</v>
      </c>
      <c r="R610" s="146" t="s">
        <v>22745</v>
      </c>
      <c r="T610" s="92" t="s">
        <v>14480</v>
      </c>
      <c r="U610">
        <v>1</v>
      </c>
      <c r="V610">
        <f>VLOOKUP(T610,'Data Angt'!$A$5:$F$5810,6,FALSE)</f>
        <v>51</v>
      </c>
      <c r="W610" s="5" t="str">
        <f t="shared" si="9"/>
        <v>KESEJAHTERAAN</v>
      </c>
      <c r="X610" s="5" t="str">
        <f>VLOOKUP(T610,'Data Angt'!$A$5:$H$5810,8,FALSE)</f>
        <v>Karyawan</v>
      </c>
      <c r="Y610" s="5" t="str">
        <f>VLOOKUP(T610,'Data Angt'!$A$5:$C$5808,3,FALSE)</f>
        <v>PBL</v>
      </c>
    </row>
    <row r="611" spans="1:25" x14ac:dyDescent="0.3">
      <c r="A611" s="8">
        <v>605</v>
      </c>
      <c r="B611" s="9" t="s">
        <v>13208</v>
      </c>
      <c r="C611" s="10" t="str">
        <f>VLOOKUP(B611,'Data Angt'!$A$5:$B$5809,2,FALSE)</f>
        <v>A4630</v>
      </c>
      <c r="D611" s="11" t="s">
        <v>9829</v>
      </c>
      <c r="E611" s="12" t="s">
        <v>16257</v>
      </c>
      <c r="F611" s="13">
        <v>45713</v>
      </c>
      <c r="G611" s="14">
        <v>45925</v>
      </c>
      <c r="H611" s="15">
        <v>3000000</v>
      </c>
      <c r="I611" s="16">
        <v>12</v>
      </c>
      <c r="J611" s="17">
        <v>24</v>
      </c>
      <c r="K611" s="9" t="s">
        <v>9831</v>
      </c>
      <c r="L611" s="10" t="s">
        <v>16258</v>
      </c>
      <c r="M611" s="9" t="s">
        <v>9838</v>
      </c>
      <c r="N611" s="10" t="s">
        <v>9830</v>
      </c>
      <c r="O611" s="15">
        <v>1337300</v>
      </c>
      <c r="P611" s="145">
        <v>121200</v>
      </c>
      <c r="Q611" s="9" t="s">
        <v>22189</v>
      </c>
      <c r="R611" s="146" t="s">
        <v>22746</v>
      </c>
      <c r="T611" s="92" t="s">
        <v>14484</v>
      </c>
      <c r="U611">
        <v>1</v>
      </c>
      <c r="V611">
        <f>VLOOKUP(T611,'Data Angt'!$A$5:$F$5810,6,FALSE)</f>
        <v>42</v>
      </c>
      <c r="W611" s="5" t="str">
        <f t="shared" si="9"/>
        <v>PRODUKTIF</v>
      </c>
      <c r="X611" s="5" t="str">
        <f>VLOOKUP(T611,'Data Angt'!$A$5:$H$5810,8,FALSE)</f>
        <v>Karyawan</v>
      </c>
      <c r="Y611" s="5" t="str">
        <f>VLOOKUP(T611,'Data Angt'!$A$5:$C$5808,3,FALSE)</f>
        <v>PBL</v>
      </c>
    </row>
    <row r="612" spans="1:25" x14ac:dyDescent="0.3">
      <c r="A612" s="8">
        <v>606</v>
      </c>
      <c r="B612" s="9" t="s">
        <v>13210</v>
      </c>
      <c r="C612" s="10" t="str">
        <f>VLOOKUP(B612,'Data Angt'!$A$5:$B$5809,2,FALSE)</f>
        <v>A4631</v>
      </c>
      <c r="D612" s="11" t="s">
        <v>9829</v>
      </c>
      <c r="E612" s="12" t="s">
        <v>22747</v>
      </c>
      <c r="F612" s="13">
        <v>45915</v>
      </c>
      <c r="G612" s="14">
        <v>45915</v>
      </c>
      <c r="H612" s="15">
        <v>4000000</v>
      </c>
      <c r="I612" s="16">
        <v>12</v>
      </c>
      <c r="J612" s="17">
        <v>24</v>
      </c>
      <c r="K612" s="9" t="s">
        <v>9831</v>
      </c>
      <c r="L612" s="10" t="s">
        <v>22748</v>
      </c>
      <c r="M612" s="9" t="s">
        <v>9838</v>
      </c>
      <c r="N612" s="10" t="s">
        <v>9830</v>
      </c>
      <c r="O612" s="15">
        <v>4000000</v>
      </c>
      <c r="P612" s="147">
        <v>0</v>
      </c>
      <c r="Q612" s="9" t="s">
        <v>22189</v>
      </c>
      <c r="R612" s="146" t="s">
        <v>22749</v>
      </c>
      <c r="T612" s="92" t="s">
        <v>14519</v>
      </c>
      <c r="U612">
        <v>1</v>
      </c>
      <c r="V612">
        <f>VLOOKUP(T612,'Data Angt'!$A$5:$F$5810,6,FALSE)</f>
        <v>52</v>
      </c>
      <c r="W612" s="5" t="str">
        <f t="shared" si="9"/>
        <v>KESEJAHTERAAN</v>
      </c>
      <c r="X612" s="5" t="str">
        <f>VLOOKUP(T612,'Data Angt'!$A$5:$H$5810,8,FALSE)</f>
        <v>Mengurus Rumah Tangga</v>
      </c>
      <c r="Y612" s="5" t="str">
        <f>VLOOKUP(T612,'Data Angt'!$A$5:$C$5808,3,FALSE)</f>
        <v>PBL</v>
      </c>
    </row>
    <row r="613" spans="1:25" x14ac:dyDescent="0.3">
      <c r="A613" s="8">
        <v>607</v>
      </c>
      <c r="B613" s="9" t="s">
        <v>13528</v>
      </c>
      <c r="C613" s="10" t="str">
        <f>VLOOKUP(B613,'Data Angt'!$A$5:$B$5809,2,FALSE)</f>
        <v>A4831</v>
      </c>
      <c r="D613" s="11" t="s">
        <v>9829</v>
      </c>
      <c r="E613" s="12" t="s">
        <v>16259</v>
      </c>
      <c r="F613" s="13">
        <v>45731</v>
      </c>
      <c r="G613" s="14">
        <v>45916</v>
      </c>
      <c r="H613" s="15">
        <v>8000000</v>
      </c>
      <c r="I613" s="16">
        <v>18</v>
      </c>
      <c r="J613" s="17">
        <v>24</v>
      </c>
      <c r="K613" s="9" t="s">
        <v>9831</v>
      </c>
      <c r="L613" s="10" t="s">
        <v>16260</v>
      </c>
      <c r="M613" s="9" t="s">
        <v>16261</v>
      </c>
      <c r="N613" s="10" t="s">
        <v>9828</v>
      </c>
      <c r="O613" s="15">
        <v>5643000</v>
      </c>
      <c r="P613" s="145">
        <v>316950</v>
      </c>
      <c r="Q613" s="9" t="s">
        <v>22189</v>
      </c>
      <c r="R613" s="146" t="s">
        <v>22750</v>
      </c>
      <c r="T613" s="92" t="s">
        <v>14521</v>
      </c>
      <c r="U613">
        <v>1</v>
      </c>
      <c r="V613">
        <f>VLOOKUP(T613,'Data Angt'!$A$5:$F$5810,6,FALSE)</f>
        <v>41</v>
      </c>
      <c r="W613" s="5" t="str">
        <f t="shared" si="9"/>
        <v>PRODUKTIF</v>
      </c>
      <c r="X613" s="5" t="str">
        <f>VLOOKUP(T613,'Data Angt'!$A$5:$H$5810,8,FALSE)</f>
        <v>Karyawan</v>
      </c>
      <c r="Y613" s="5" t="str">
        <f>VLOOKUP(T613,'Data Angt'!$A$5:$C$5808,3,FALSE)</f>
        <v>PBL</v>
      </c>
    </row>
    <row r="614" spans="1:25" x14ac:dyDescent="0.3">
      <c r="A614" s="8">
        <v>608</v>
      </c>
      <c r="B614" s="9" t="s">
        <v>13584</v>
      </c>
      <c r="C614" s="10" t="str">
        <f>VLOOKUP(B614,'Data Angt'!$A$5:$B$5809,2,FALSE)</f>
        <v>A4856</v>
      </c>
      <c r="D614" s="11" t="s">
        <v>9829</v>
      </c>
      <c r="E614" s="12" t="s">
        <v>22751</v>
      </c>
      <c r="F614" s="13">
        <v>45843</v>
      </c>
      <c r="G614" s="14">
        <v>45904</v>
      </c>
      <c r="H614" s="15">
        <v>20000000</v>
      </c>
      <c r="I614" s="16">
        <v>48</v>
      </c>
      <c r="J614" s="17">
        <v>24</v>
      </c>
      <c r="K614" s="9" t="s">
        <v>9831</v>
      </c>
      <c r="L614" s="10" t="s">
        <v>22752</v>
      </c>
      <c r="M614" s="9" t="s">
        <v>9964</v>
      </c>
      <c r="N614" s="10" t="s">
        <v>17</v>
      </c>
      <c r="O614" s="15">
        <v>19490800</v>
      </c>
      <c r="P614" s="145">
        <v>298125</v>
      </c>
      <c r="Q614" s="9"/>
      <c r="R614" s="146"/>
      <c r="T614" s="92" t="s">
        <v>14531</v>
      </c>
      <c r="U614">
        <v>1</v>
      </c>
      <c r="V614">
        <f>VLOOKUP(T614,'Data Angt'!$A$5:$F$5810,6,FALSE)</f>
        <v>53</v>
      </c>
      <c r="W614" s="5" t="str">
        <f t="shared" si="9"/>
        <v>PENDIDIKAN</v>
      </c>
      <c r="X614" s="5" t="str">
        <f>VLOOKUP(T614,'Data Angt'!$A$5:$H$5810,8,FALSE)</f>
        <v>Aparatur/Pejabat Negara</v>
      </c>
      <c r="Y614" s="5" t="str">
        <f>VLOOKUP(T614,'Data Angt'!$A$5:$C$5808,3,FALSE)</f>
        <v>PBL</v>
      </c>
    </row>
    <row r="615" spans="1:25" x14ac:dyDescent="0.3">
      <c r="A615" s="8">
        <v>609</v>
      </c>
      <c r="B615" s="9" t="s">
        <v>13628</v>
      </c>
      <c r="C615" s="10" t="str">
        <f>VLOOKUP(B615,'Data Angt'!$A$5:$B$5809,2,FALSE)</f>
        <v>A4875</v>
      </c>
      <c r="D615" s="11" t="s">
        <v>9833</v>
      </c>
      <c r="E615" s="12" t="s">
        <v>16262</v>
      </c>
      <c r="F615" s="13">
        <v>45618</v>
      </c>
      <c r="G615" s="14">
        <v>45929</v>
      </c>
      <c r="H615" s="15">
        <v>3000000</v>
      </c>
      <c r="I615" s="16">
        <v>18</v>
      </c>
      <c r="J615" s="17">
        <v>24</v>
      </c>
      <c r="K615" s="9" t="s">
        <v>9831</v>
      </c>
      <c r="L615" s="10" t="s">
        <v>16263</v>
      </c>
      <c r="M615" s="9" t="s">
        <v>9862</v>
      </c>
      <c r="N615" s="10" t="s">
        <v>9834</v>
      </c>
      <c r="O615" s="15">
        <v>1475000</v>
      </c>
      <c r="P615" s="145">
        <v>178873</v>
      </c>
      <c r="Q615" s="9" t="s">
        <v>22189</v>
      </c>
      <c r="R615" s="146" t="s">
        <v>22753</v>
      </c>
      <c r="T615" s="92" t="s">
        <v>14538</v>
      </c>
      <c r="U615">
        <v>1</v>
      </c>
      <c r="V615">
        <f>VLOOKUP(T615,'Data Angt'!$A$5:$F$5810,6,FALSE)</f>
        <v>30</v>
      </c>
      <c r="W615" s="5" t="str">
        <f t="shared" si="9"/>
        <v>PRODUKTIF</v>
      </c>
      <c r="X615" s="5" t="str">
        <f>VLOOKUP(T615,'Data Angt'!$A$5:$H$5810,8,FALSE)</f>
        <v>Karyawan</v>
      </c>
      <c r="Y615" s="5" t="str">
        <f>VLOOKUP(T615,'Data Angt'!$A$5:$C$5808,3,FALSE)</f>
        <v>PBL</v>
      </c>
    </row>
    <row r="616" spans="1:25" x14ac:dyDescent="0.3">
      <c r="A616" s="8">
        <v>610</v>
      </c>
      <c r="B616" s="9" t="s">
        <v>13630</v>
      </c>
      <c r="C616" s="10" t="str">
        <f>VLOOKUP(B616,'Data Angt'!$A$5:$B$5809,2,FALSE)</f>
        <v>A4876</v>
      </c>
      <c r="D616" s="11" t="s">
        <v>9829</v>
      </c>
      <c r="E616" s="12" t="s">
        <v>16264</v>
      </c>
      <c r="F616" s="13">
        <v>45520</v>
      </c>
      <c r="G616" s="14">
        <v>45916</v>
      </c>
      <c r="H616" s="15">
        <v>35000000</v>
      </c>
      <c r="I616" s="16">
        <v>36</v>
      </c>
      <c r="J616" s="17">
        <v>21</v>
      </c>
      <c r="K616" s="9" t="s">
        <v>9831</v>
      </c>
      <c r="L616" s="10" t="s">
        <v>16265</v>
      </c>
      <c r="M616" s="9" t="s">
        <v>9838</v>
      </c>
      <c r="N616" s="10" t="s">
        <v>9830</v>
      </c>
      <c r="O616" s="15">
        <v>24791500</v>
      </c>
      <c r="P616" s="145">
        <v>2600473</v>
      </c>
      <c r="Q616" s="9" t="s">
        <v>22189</v>
      </c>
      <c r="R616" s="146" t="s">
        <v>22754</v>
      </c>
      <c r="T616" s="92" t="s">
        <v>14614</v>
      </c>
      <c r="U616">
        <v>1</v>
      </c>
      <c r="V616">
        <f>VLOOKUP(T616,'Data Angt'!$A$5:$F$5810,6,FALSE)</f>
        <v>35</v>
      </c>
      <c r="W616" s="5">
        <f t="shared" si="9"/>
        <v>0</v>
      </c>
      <c r="X616" s="5" t="str">
        <f>VLOOKUP(T616,'Data Angt'!$A$5:$H$5810,8,FALSE)</f>
        <v>Karyawan</v>
      </c>
      <c r="Y616" s="5" t="str">
        <f>VLOOKUP(T616,'Data Angt'!$A$5:$C$5808,3,FALSE)</f>
        <v>PBL</v>
      </c>
    </row>
    <row r="617" spans="1:25" x14ac:dyDescent="0.3">
      <c r="A617" s="8">
        <v>611</v>
      </c>
      <c r="B617" s="9" t="s">
        <v>13643</v>
      </c>
      <c r="C617" s="10" t="str">
        <f>VLOOKUP(B617,'Data Angt'!$A$5:$B$5809,2,FALSE)</f>
        <v>A4882</v>
      </c>
      <c r="D617" s="11" t="s">
        <v>9833</v>
      </c>
      <c r="E617" s="12" t="s">
        <v>22755</v>
      </c>
      <c r="F617" s="13">
        <v>45863</v>
      </c>
      <c r="G617" s="14">
        <v>45920</v>
      </c>
      <c r="H617" s="15">
        <v>13000000</v>
      </c>
      <c r="I617" s="16">
        <v>24</v>
      </c>
      <c r="J617" s="17">
        <v>24</v>
      </c>
      <c r="K617" s="9" t="s">
        <v>9831</v>
      </c>
      <c r="L617" s="10" t="s">
        <v>22756</v>
      </c>
      <c r="M617" s="9" t="s">
        <v>22757</v>
      </c>
      <c r="N617" s="10" t="s">
        <v>9834</v>
      </c>
      <c r="O617" s="15">
        <v>12136700</v>
      </c>
      <c r="P617" s="145">
        <v>191812</v>
      </c>
      <c r="Q617" s="9" t="s">
        <v>22276</v>
      </c>
      <c r="R617" s="146" t="s">
        <v>22758</v>
      </c>
      <c r="T617" s="92" t="s">
        <v>14622</v>
      </c>
      <c r="U617">
        <v>1</v>
      </c>
      <c r="V617">
        <f>VLOOKUP(T617,'Data Angt'!$A$5:$F$5810,6,FALSE)</f>
        <v>39</v>
      </c>
      <c r="W617" s="5" t="str">
        <f t="shared" si="9"/>
        <v>PENDIDIKAN</v>
      </c>
      <c r="X617" s="5" t="str">
        <f>VLOOKUP(T617,'Data Angt'!$A$5:$H$5810,8,FALSE)</f>
        <v>Karyawan</v>
      </c>
      <c r="Y617" s="5" t="str">
        <f>VLOOKUP(T617,'Data Angt'!$A$5:$C$5808,3,FALSE)</f>
        <v>PBL</v>
      </c>
    </row>
    <row r="618" spans="1:25" x14ac:dyDescent="0.3">
      <c r="A618" s="8">
        <v>612</v>
      </c>
      <c r="B618" s="9" t="s">
        <v>13661</v>
      </c>
      <c r="C618" s="10" t="str">
        <f>VLOOKUP(B618,'Data Angt'!$A$5:$B$5809,2,FALSE)</f>
        <v>A4888</v>
      </c>
      <c r="D618" s="11" t="s">
        <v>9833</v>
      </c>
      <c r="E618" s="12" t="s">
        <v>22759</v>
      </c>
      <c r="F618" s="13">
        <v>45852</v>
      </c>
      <c r="G618" s="14">
        <v>45915</v>
      </c>
      <c r="H618" s="15">
        <v>1000000</v>
      </c>
      <c r="I618" s="16">
        <v>6</v>
      </c>
      <c r="J618" s="17">
        <v>24</v>
      </c>
      <c r="K618" s="9" t="s">
        <v>9831</v>
      </c>
      <c r="L618" s="10" t="s">
        <v>22760</v>
      </c>
      <c r="M618" s="9" t="s">
        <v>9977</v>
      </c>
      <c r="N618" s="10" t="s">
        <v>9834</v>
      </c>
      <c r="O618" s="15">
        <v>679700</v>
      </c>
      <c r="P618" s="145">
        <v>13837</v>
      </c>
      <c r="Q618" s="9"/>
      <c r="R618" s="146"/>
      <c r="T618" s="92" t="s">
        <v>14634</v>
      </c>
      <c r="U618">
        <v>1</v>
      </c>
      <c r="V618">
        <f>VLOOKUP(T618,'Data Angt'!$A$5:$F$5810,6,FALSE)</f>
        <v>57</v>
      </c>
      <c r="W618" s="5" t="str">
        <f t="shared" si="9"/>
        <v>PRODUKTIF</v>
      </c>
      <c r="X618" s="5" t="str">
        <f>VLOOKUP(T618,'Data Angt'!$A$5:$H$5810,8,FALSE)</f>
        <v>Petani/Pekebun/Nelayan</v>
      </c>
      <c r="Y618" s="5" t="str">
        <f>VLOOKUP(T618,'Data Angt'!$A$5:$C$5808,3,FALSE)</f>
        <v>PBL</v>
      </c>
    </row>
    <row r="619" spans="1:25" x14ac:dyDescent="0.3">
      <c r="A619" s="8">
        <v>613</v>
      </c>
      <c r="B619" s="9" t="s">
        <v>13682</v>
      </c>
      <c r="C619" s="10" t="str">
        <f>VLOOKUP(B619,'Data Angt'!$A$5:$B$5809,2,FALSE)</f>
        <v>A4897</v>
      </c>
      <c r="D619" s="11" t="s">
        <v>9829</v>
      </c>
      <c r="E619" s="12" t="s">
        <v>22761</v>
      </c>
      <c r="F619" s="13">
        <v>45918</v>
      </c>
      <c r="G619" s="14">
        <v>45918</v>
      </c>
      <c r="H619" s="15">
        <v>3000000</v>
      </c>
      <c r="I619" s="16">
        <v>10</v>
      </c>
      <c r="J619" s="17">
        <v>24</v>
      </c>
      <c r="K619" s="9" t="s">
        <v>9827</v>
      </c>
      <c r="L619" s="10" t="s">
        <v>22762</v>
      </c>
      <c r="M619" s="9" t="s">
        <v>22763</v>
      </c>
      <c r="N619" s="10" t="s">
        <v>9828</v>
      </c>
      <c r="O619" s="15">
        <v>3000000</v>
      </c>
      <c r="P619" s="147">
        <v>0</v>
      </c>
      <c r="Q619" s="9"/>
      <c r="R619" s="146"/>
      <c r="T619" s="92" t="s">
        <v>14653</v>
      </c>
      <c r="U619">
        <v>1</v>
      </c>
      <c r="V619">
        <f>VLOOKUP(T619,'Data Angt'!$A$5:$F$5810,6,FALSE)</f>
        <v>56</v>
      </c>
      <c r="W619" s="5" t="str">
        <f t="shared" si="9"/>
        <v>PENDIDIKAN</v>
      </c>
      <c r="X619" s="5" t="str">
        <f>VLOOKUP(T619,'Data Angt'!$A$5:$H$5810,8,FALSE)</f>
        <v>Karyawan</v>
      </c>
      <c r="Y619" s="5" t="str">
        <f>VLOOKUP(T619,'Data Angt'!$A$5:$C$5808,3,FALSE)</f>
        <v>PBL</v>
      </c>
    </row>
    <row r="620" spans="1:25" x14ac:dyDescent="0.3">
      <c r="A620" s="8">
        <v>614</v>
      </c>
      <c r="B620" s="9" t="s">
        <v>13693</v>
      </c>
      <c r="C620" s="10" t="str">
        <f>VLOOKUP(B620,'Data Angt'!$A$5:$B$5809,2,FALSE)</f>
        <v>A4902</v>
      </c>
      <c r="D620" s="11" t="s">
        <v>9833</v>
      </c>
      <c r="E620" s="12" t="s">
        <v>22764</v>
      </c>
      <c r="F620" s="13">
        <v>45899</v>
      </c>
      <c r="G620" s="14">
        <v>45926</v>
      </c>
      <c r="H620" s="15">
        <v>1000000</v>
      </c>
      <c r="I620" s="16">
        <v>4</v>
      </c>
      <c r="J620" s="17">
        <v>24</v>
      </c>
      <c r="K620" s="9" t="s">
        <v>9831</v>
      </c>
      <c r="L620" s="10" t="s">
        <v>22765</v>
      </c>
      <c r="M620" s="9" t="s">
        <v>17161</v>
      </c>
      <c r="N620" s="10" t="s">
        <v>9834</v>
      </c>
      <c r="O620" s="15">
        <v>757300</v>
      </c>
      <c r="P620" s="145">
        <v>7500</v>
      </c>
      <c r="Q620" s="9"/>
      <c r="R620" s="146"/>
      <c r="T620" s="92" t="s">
        <v>14664</v>
      </c>
      <c r="U620">
        <v>1</v>
      </c>
      <c r="V620">
        <f>VLOOKUP(T620,'Data Angt'!$A$5:$F$5810,6,FALSE)</f>
        <v>26</v>
      </c>
      <c r="W620" s="5" t="str">
        <f t="shared" si="9"/>
        <v>KESEJAHTERAAN</v>
      </c>
      <c r="X620" s="5" t="str">
        <f>VLOOKUP(T620,'Data Angt'!$A$5:$H$5810,8,FALSE)</f>
        <v>Karyawan</v>
      </c>
      <c r="Y620" s="5" t="str">
        <f>VLOOKUP(T620,'Data Angt'!$A$5:$C$5808,3,FALSE)</f>
        <v>PBL</v>
      </c>
    </row>
    <row r="621" spans="1:25" x14ac:dyDescent="0.3">
      <c r="A621" s="8">
        <v>615</v>
      </c>
      <c r="B621" s="9" t="s">
        <v>13697</v>
      </c>
      <c r="C621" s="10" t="str">
        <f>VLOOKUP(B621,'Data Angt'!$A$5:$B$5809,2,FALSE)</f>
        <v>A4904</v>
      </c>
      <c r="D621" s="11" t="s">
        <v>9829</v>
      </c>
      <c r="E621" s="12" t="s">
        <v>22766</v>
      </c>
      <c r="F621" s="13">
        <v>45874</v>
      </c>
      <c r="G621" s="14">
        <v>45908</v>
      </c>
      <c r="H621" s="15">
        <v>3800000</v>
      </c>
      <c r="I621" s="16">
        <v>5</v>
      </c>
      <c r="J621" s="17">
        <v>24</v>
      </c>
      <c r="K621" s="9" t="s">
        <v>9831</v>
      </c>
      <c r="L621" s="10" t="s">
        <v>22767</v>
      </c>
      <c r="M621" s="9" t="s">
        <v>15340</v>
      </c>
      <c r="N621" s="10" t="s">
        <v>9828</v>
      </c>
      <c r="O621" s="15">
        <v>3069700</v>
      </c>
      <c r="P621" s="145">
        <v>28500</v>
      </c>
      <c r="Q621" s="9"/>
      <c r="R621" s="146"/>
      <c r="T621" s="92" t="s">
        <v>14698</v>
      </c>
      <c r="U621">
        <v>1</v>
      </c>
      <c r="V621">
        <f>VLOOKUP(T621,'Data Angt'!$A$5:$F$5810,6,FALSE)</f>
        <v>29</v>
      </c>
      <c r="W621" s="5" t="str">
        <f t="shared" si="9"/>
        <v>KONSUMTIF</v>
      </c>
      <c r="X621" s="5" t="str">
        <f>VLOOKUP(T621,'Data Angt'!$A$5:$H$5810,8,FALSE)</f>
        <v>Karyawan</v>
      </c>
      <c r="Y621" s="5" t="str">
        <f>VLOOKUP(T621,'Data Angt'!$A$5:$C$5808,3,FALSE)</f>
        <v>PBL</v>
      </c>
    </row>
    <row r="622" spans="1:25" x14ac:dyDescent="0.3">
      <c r="A622" s="8">
        <v>616</v>
      </c>
      <c r="B622" s="9" t="s">
        <v>13716</v>
      </c>
      <c r="C622" s="10" t="str">
        <f>VLOOKUP(B622,'Data Angt'!$A$5:$B$5809,2,FALSE)</f>
        <v>A4912</v>
      </c>
      <c r="D622" s="11" t="s">
        <v>9833</v>
      </c>
      <c r="E622" s="12" t="s">
        <v>16266</v>
      </c>
      <c r="F622" s="13">
        <v>45597</v>
      </c>
      <c r="G622" s="14">
        <v>45902</v>
      </c>
      <c r="H622" s="15">
        <v>10000000</v>
      </c>
      <c r="I622" s="16">
        <v>12</v>
      </c>
      <c r="J622" s="17">
        <v>24</v>
      </c>
      <c r="K622" s="9" t="s">
        <v>9831</v>
      </c>
      <c r="L622" s="10" t="s">
        <v>16267</v>
      </c>
      <c r="M622" s="9" t="s">
        <v>10114</v>
      </c>
      <c r="N622" s="10" t="s">
        <v>9834</v>
      </c>
      <c r="O622" s="15">
        <v>3600800</v>
      </c>
      <c r="P622" s="145">
        <v>509474</v>
      </c>
      <c r="Q622" s="9" t="s">
        <v>22189</v>
      </c>
      <c r="R622" s="146" t="s">
        <v>22768</v>
      </c>
      <c r="T622" s="92" t="s">
        <v>14713</v>
      </c>
      <c r="U622">
        <v>1</v>
      </c>
      <c r="V622">
        <f>VLOOKUP(T622,'Data Angt'!$A$5:$F$5810,6,FALSE)</f>
        <v>43</v>
      </c>
      <c r="W622" s="5" t="str">
        <f t="shared" si="9"/>
        <v>PENDIDIKAN</v>
      </c>
      <c r="X622" s="5" t="str">
        <f>VLOOKUP(T622,'Data Angt'!$A$5:$H$5810,8,FALSE)</f>
        <v>Karyawan</v>
      </c>
      <c r="Y622" s="5" t="str">
        <f>VLOOKUP(T622,'Data Angt'!$A$5:$C$5808,3,FALSE)</f>
        <v>PBL</v>
      </c>
    </row>
    <row r="623" spans="1:25" x14ac:dyDescent="0.3">
      <c r="A623" s="8">
        <v>617</v>
      </c>
      <c r="B623" s="9" t="s">
        <v>13747</v>
      </c>
      <c r="C623" s="10" t="str">
        <f>VLOOKUP(B623,'Data Angt'!$A$5:$B$5809,2,FALSE)</f>
        <v>A4927</v>
      </c>
      <c r="D623" s="11" t="s">
        <v>9829</v>
      </c>
      <c r="E623" s="12" t="s">
        <v>16268</v>
      </c>
      <c r="F623" s="13">
        <v>45693</v>
      </c>
      <c r="G623" s="14">
        <v>45916</v>
      </c>
      <c r="H623" s="15">
        <v>2000000</v>
      </c>
      <c r="I623" s="16">
        <v>12</v>
      </c>
      <c r="J623" s="17">
        <v>24</v>
      </c>
      <c r="K623" s="9" t="s">
        <v>9831</v>
      </c>
      <c r="L623" s="10" t="s">
        <v>16269</v>
      </c>
      <c r="M623" s="9" t="s">
        <v>16270</v>
      </c>
      <c r="N623" s="10" t="s">
        <v>110</v>
      </c>
      <c r="O623" s="15">
        <v>891100</v>
      </c>
      <c r="P623" s="145">
        <v>80811</v>
      </c>
      <c r="Q623" s="9"/>
      <c r="R623" s="146"/>
      <c r="T623" s="92" t="s">
        <v>14733</v>
      </c>
      <c r="U623">
        <v>1</v>
      </c>
      <c r="V623">
        <f>VLOOKUP(T623,'Data Angt'!$A$5:$F$5810,6,FALSE)</f>
        <v>40</v>
      </c>
      <c r="W623" s="5" t="str">
        <f t="shared" si="9"/>
        <v>PENDIDIKAN</v>
      </c>
      <c r="X623" s="5" t="str">
        <f>VLOOKUP(T623,'Data Angt'!$A$5:$H$5810,8,FALSE)</f>
        <v>Karyawan</v>
      </c>
      <c r="Y623" s="5" t="str">
        <f>VLOOKUP(T623,'Data Angt'!$A$5:$C$5808,3,FALSE)</f>
        <v>PBL</v>
      </c>
    </row>
    <row r="624" spans="1:25" x14ac:dyDescent="0.3">
      <c r="A624" s="8">
        <v>618</v>
      </c>
      <c r="B624" s="9" t="s">
        <v>13754</v>
      </c>
      <c r="C624" s="10" t="str">
        <f>VLOOKUP(B624,'Data Angt'!$A$5:$B$5809,2,FALSE)</f>
        <v>A4930</v>
      </c>
      <c r="D624" s="11" t="s">
        <v>9881</v>
      </c>
      <c r="E624" s="12" t="s">
        <v>16271</v>
      </c>
      <c r="F624" s="13">
        <v>45611</v>
      </c>
      <c r="G624" s="14">
        <v>45915</v>
      </c>
      <c r="H624" s="15">
        <v>6500000</v>
      </c>
      <c r="I624" s="16">
        <v>12</v>
      </c>
      <c r="J624" s="17">
        <v>24</v>
      </c>
      <c r="K624" s="9" t="s">
        <v>9831</v>
      </c>
      <c r="L624" s="10" t="s">
        <v>16272</v>
      </c>
      <c r="M624" s="9" t="s">
        <v>16273</v>
      </c>
      <c r="N624" s="10" t="s">
        <v>9828</v>
      </c>
      <c r="O624" s="15">
        <v>1193300</v>
      </c>
      <c r="P624" s="145">
        <v>315110</v>
      </c>
      <c r="Q624" s="9" t="s">
        <v>22189</v>
      </c>
      <c r="R624" s="146" t="s">
        <v>22769</v>
      </c>
      <c r="T624" s="92" t="s">
        <v>14735</v>
      </c>
      <c r="U624">
        <v>1</v>
      </c>
      <c r="V624">
        <f>VLOOKUP(T624,'Data Angt'!$A$5:$F$5810,6,FALSE)</f>
        <v>32</v>
      </c>
      <c r="W624" s="5" t="str">
        <f t="shared" si="9"/>
        <v>KONSUMTIF</v>
      </c>
      <c r="X624" s="5" t="str">
        <f>VLOOKUP(T624,'Data Angt'!$A$5:$H$5810,8,FALSE)</f>
        <v>Karyawan</v>
      </c>
      <c r="Y624" s="5" t="str">
        <f>VLOOKUP(T624,'Data Angt'!$A$5:$C$5808,3,FALSE)</f>
        <v>PBL</v>
      </c>
    </row>
    <row r="625" spans="1:25" x14ac:dyDescent="0.3">
      <c r="A625" s="8">
        <v>619</v>
      </c>
      <c r="B625" s="9" t="s">
        <v>13785</v>
      </c>
      <c r="C625" s="10" t="str">
        <f>VLOOKUP(B625,'Data Angt'!$A$5:$B$5809,2,FALSE)</f>
        <v>A4945</v>
      </c>
      <c r="D625" s="11" t="s">
        <v>9829</v>
      </c>
      <c r="E625" s="12" t="s">
        <v>16274</v>
      </c>
      <c r="F625" s="13">
        <v>45645</v>
      </c>
      <c r="G625" s="14">
        <v>45919</v>
      </c>
      <c r="H625" s="15">
        <v>6000000</v>
      </c>
      <c r="I625" s="16">
        <v>24</v>
      </c>
      <c r="J625" s="17">
        <v>24</v>
      </c>
      <c r="K625" s="9" t="s">
        <v>9831</v>
      </c>
      <c r="L625" s="10" t="s">
        <v>16275</v>
      </c>
      <c r="M625" s="9" t="s">
        <v>9838</v>
      </c>
      <c r="N625" s="10" t="s">
        <v>9830</v>
      </c>
      <c r="O625" s="15">
        <v>4075900</v>
      </c>
      <c r="P625" s="145">
        <v>349348</v>
      </c>
      <c r="Q625" s="9" t="s">
        <v>22189</v>
      </c>
      <c r="R625" s="146" t="s">
        <v>22770</v>
      </c>
      <c r="T625" s="92" t="s">
        <v>14748</v>
      </c>
      <c r="U625">
        <v>1</v>
      </c>
      <c r="V625">
        <f>VLOOKUP(T625,'Data Angt'!$A$5:$F$5810,6,FALSE)</f>
        <v>23</v>
      </c>
      <c r="W625" s="5" t="str">
        <f t="shared" si="9"/>
        <v>KONSUMTIF</v>
      </c>
      <c r="X625" s="5" t="str">
        <f>VLOOKUP(T625,'Data Angt'!$A$5:$H$5810,8,FALSE)</f>
        <v>Karyawan</v>
      </c>
      <c r="Y625" s="5" t="str">
        <f>VLOOKUP(T625,'Data Angt'!$A$5:$C$5808,3,FALSE)</f>
        <v>PBL</v>
      </c>
    </row>
    <row r="626" spans="1:25" x14ac:dyDescent="0.3">
      <c r="A626" s="8">
        <v>620</v>
      </c>
      <c r="B626" s="9" t="s">
        <v>13788</v>
      </c>
      <c r="C626" s="10" t="str">
        <f>VLOOKUP(B626,'Data Angt'!$A$5:$B$5809,2,FALSE)</f>
        <v>A4946</v>
      </c>
      <c r="D626" s="11" t="s">
        <v>9829</v>
      </c>
      <c r="E626" s="12" t="s">
        <v>22771</v>
      </c>
      <c r="F626" s="13">
        <v>45909</v>
      </c>
      <c r="G626" s="14">
        <v>45909</v>
      </c>
      <c r="H626" s="15">
        <v>2000000</v>
      </c>
      <c r="I626" s="16">
        <v>10</v>
      </c>
      <c r="J626" s="17">
        <v>24</v>
      </c>
      <c r="K626" s="9" t="s">
        <v>9831</v>
      </c>
      <c r="L626" s="10" t="s">
        <v>22772</v>
      </c>
      <c r="M626" s="9" t="s">
        <v>10352</v>
      </c>
      <c r="N626" s="10" t="s">
        <v>9828</v>
      </c>
      <c r="O626" s="15">
        <v>2000000</v>
      </c>
      <c r="P626" s="147">
        <v>0</v>
      </c>
      <c r="Q626" s="9"/>
      <c r="R626" s="146"/>
      <c r="T626" s="92" t="s">
        <v>14762</v>
      </c>
      <c r="U626">
        <v>1</v>
      </c>
      <c r="V626">
        <f>VLOOKUP(T626,'Data Angt'!$A$5:$F$5810,6,FALSE)</f>
        <v>21</v>
      </c>
      <c r="W626" s="5" t="str">
        <f t="shared" si="9"/>
        <v>PRODUKTIF</v>
      </c>
      <c r="X626" s="5" t="str">
        <f>VLOOKUP(T626,'Data Angt'!$A$5:$H$5810,8,FALSE)</f>
        <v>Pelajar/Mahasiswa</v>
      </c>
      <c r="Y626" s="5" t="str">
        <f>VLOOKUP(T626,'Data Angt'!$A$5:$C$5808,3,FALSE)</f>
        <v>PBL</v>
      </c>
    </row>
    <row r="627" spans="1:25" x14ac:dyDescent="0.3">
      <c r="A627" s="8">
        <v>621</v>
      </c>
      <c r="B627" s="9" t="s">
        <v>13791</v>
      </c>
      <c r="C627" s="10" t="str">
        <f>VLOOKUP(B627,'Data Angt'!$A$5:$B$5809,2,FALSE)</f>
        <v>A4947</v>
      </c>
      <c r="D627" s="11" t="s">
        <v>9829</v>
      </c>
      <c r="E627" s="12" t="s">
        <v>16276</v>
      </c>
      <c r="F627" s="13">
        <v>45712</v>
      </c>
      <c r="G627" s="14">
        <v>45920</v>
      </c>
      <c r="H627" s="15">
        <v>35000000</v>
      </c>
      <c r="I627" s="16">
        <v>36</v>
      </c>
      <c r="J627" s="17">
        <v>21</v>
      </c>
      <c r="K627" s="9" t="s">
        <v>9831</v>
      </c>
      <c r="L627" s="10" t="s">
        <v>16277</v>
      </c>
      <c r="M627" s="9" t="s">
        <v>16278</v>
      </c>
      <c r="N627" s="10" t="s">
        <v>9834</v>
      </c>
      <c r="O627" s="15">
        <v>29789700</v>
      </c>
      <c r="P627" s="145">
        <v>1507724</v>
      </c>
      <c r="Q627" s="9" t="s">
        <v>22197</v>
      </c>
      <c r="R627" s="146" t="s">
        <v>22773</v>
      </c>
      <c r="T627" s="92" t="s">
        <v>14776</v>
      </c>
      <c r="U627">
        <v>1</v>
      </c>
      <c r="V627">
        <f>VLOOKUP(T627,'Data Angt'!$A$5:$F$5810,6,FALSE)</f>
        <v>20</v>
      </c>
      <c r="W627" s="5" t="str">
        <f t="shared" si="9"/>
        <v>KONSUMTIF</v>
      </c>
      <c r="X627" s="5" t="str">
        <f>VLOOKUP(T627,'Data Angt'!$A$5:$H$5810,8,FALSE)</f>
        <v>Karyawan</v>
      </c>
      <c r="Y627" s="5" t="str">
        <f>VLOOKUP(T627,'Data Angt'!$A$5:$C$5808,3,FALSE)</f>
        <v>PBL</v>
      </c>
    </row>
    <row r="628" spans="1:25" x14ac:dyDescent="0.3">
      <c r="A628" s="8">
        <v>622</v>
      </c>
      <c r="B628" s="9" t="s">
        <v>13808</v>
      </c>
      <c r="C628" s="10" t="str">
        <f>VLOOKUP(B628,'Data Angt'!$A$5:$B$5809,2,FALSE)</f>
        <v>A4957</v>
      </c>
      <c r="D628" s="11" t="s">
        <v>9833</v>
      </c>
      <c r="E628" s="12" t="s">
        <v>16279</v>
      </c>
      <c r="F628" s="13">
        <v>45821</v>
      </c>
      <c r="G628" s="14">
        <v>45913</v>
      </c>
      <c r="H628" s="15">
        <v>10000000</v>
      </c>
      <c r="I628" s="16">
        <v>12</v>
      </c>
      <c r="J628" s="17">
        <v>24</v>
      </c>
      <c r="K628" s="9" t="s">
        <v>9831</v>
      </c>
      <c r="L628" s="10" t="s">
        <v>16280</v>
      </c>
      <c r="M628" s="9" t="s">
        <v>9862</v>
      </c>
      <c r="N628" s="10" t="s">
        <v>9834</v>
      </c>
      <c r="O628" s="15">
        <v>7718200</v>
      </c>
      <c r="P628" s="145">
        <v>208124</v>
      </c>
      <c r="Q628" s="9"/>
      <c r="R628" s="146"/>
      <c r="T628" s="92" t="s">
        <v>14830</v>
      </c>
      <c r="U628">
        <v>1</v>
      </c>
      <c r="V628">
        <f>VLOOKUP(T628,'Data Angt'!$A$5:$F$5810,6,FALSE)</f>
        <v>39</v>
      </c>
      <c r="W628" s="5" t="str">
        <f t="shared" si="9"/>
        <v>PRODUKTIF</v>
      </c>
      <c r="X628" s="5" t="str">
        <f>VLOOKUP(T628,'Data Angt'!$A$5:$H$5810,8,FALSE)</f>
        <v>Wiraswasta</v>
      </c>
      <c r="Y628" s="5" t="str">
        <f>VLOOKUP(T628,'Data Angt'!$A$5:$C$5808,3,FALSE)</f>
        <v>PBL</v>
      </c>
    </row>
    <row r="629" spans="1:25" x14ac:dyDescent="0.3">
      <c r="A629" s="8">
        <v>623</v>
      </c>
      <c r="B629" s="9" t="s">
        <v>13831</v>
      </c>
      <c r="C629" s="10" t="str">
        <f>VLOOKUP(B629,'Data Angt'!$A$5:$B$5809,2,FALSE)</f>
        <v>A4969</v>
      </c>
      <c r="D629" s="11" t="s">
        <v>9829</v>
      </c>
      <c r="E629" s="12" t="s">
        <v>22774</v>
      </c>
      <c r="F629" s="13">
        <v>45903</v>
      </c>
      <c r="G629" s="14">
        <v>45903</v>
      </c>
      <c r="H629" s="15">
        <v>5000000</v>
      </c>
      <c r="I629" s="16">
        <v>7</v>
      </c>
      <c r="J629" s="17">
        <v>24</v>
      </c>
      <c r="K629" s="9" t="s">
        <v>9831</v>
      </c>
      <c r="L629" s="10" t="s">
        <v>22775</v>
      </c>
      <c r="M629" s="9" t="s">
        <v>9838</v>
      </c>
      <c r="N629" s="10" t="s">
        <v>9830</v>
      </c>
      <c r="O629" s="15">
        <v>5000000</v>
      </c>
      <c r="P629" s="147">
        <v>0</v>
      </c>
      <c r="Q629" s="9"/>
      <c r="R629" s="146"/>
      <c r="T629" s="92" t="s">
        <v>14861</v>
      </c>
      <c r="U629">
        <v>1</v>
      </c>
      <c r="V629">
        <f>VLOOKUP(T629,'Data Angt'!$A$5:$F$5810,6,FALSE)</f>
        <v>28</v>
      </c>
      <c r="W629" s="5" t="str">
        <f t="shared" si="9"/>
        <v>KONSUMTIF</v>
      </c>
      <c r="X629" s="5" t="str">
        <f>VLOOKUP(T629,'Data Angt'!$A$5:$H$5810,8,FALSE)</f>
        <v>Karyawan</v>
      </c>
      <c r="Y629" s="5" t="str">
        <f>VLOOKUP(T629,'Data Angt'!$A$5:$C$5808,3,FALSE)</f>
        <v>PBL</v>
      </c>
    </row>
    <row r="630" spans="1:25" x14ac:dyDescent="0.3">
      <c r="A630" s="8">
        <v>624</v>
      </c>
      <c r="B630" s="9" t="s">
        <v>13844</v>
      </c>
      <c r="C630" s="10" t="str">
        <f>VLOOKUP(B630,'Data Angt'!$A$5:$B$5809,2,FALSE)</f>
        <v>A4973</v>
      </c>
      <c r="D630" s="11" t="s">
        <v>9829</v>
      </c>
      <c r="E630" s="12" t="s">
        <v>16281</v>
      </c>
      <c r="F630" s="13">
        <v>45644</v>
      </c>
      <c r="G630" s="14">
        <v>45924</v>
      </c>
      <c r="H630" s="15">
        <v>8000000</v>
      </c>
      <c r="I630" s="16">
        <v>24</v>
      </c>
      <c r="J630" s="17">
        <v>24</v>
      </c>
      <c r="K630" s="9" t="s">
        <v>9831</v>
      </c>
      <c r="L630" s="10" t="s">
        <v>16282</v>
      </c>
      <c r="M630" s="9" t="s">
        <v>16283</v>
      </c>
      <c r="N630" s="10" t="s">
        <v>17</v>
      </c>
      <c r="O630" s="15">
        <v>5743200</v>
      </c>
      <c r="P630" s="145">
        <v>465786</v>
      </c>
      <c r="Q630" s="9" t="s">
        <v>22189</v>
      </c>
      <c r="R630" s="146" t="s">
        <v>22776</v>
      </c>
      <c r="T630" s="92" t="s">
        <v>14863</v>
      </c>
      <c r="U630">
        <v>1</v>
      </c>
      <c r="V630">
        <f>VLOOKUP(T630,'Data Angt'!$A$5:$F$5810,6,FALSE)</f>
        <v>28</v>
      </c>
      <c r="W630" s="5" t="str">
        <f t="shared" si="9"/>
        <v>KONSUMTIF</v>
      </c>
      <c r="X630" s="5" t="str">
        <f>VLOOKUP(T630,'Data Angt'!$A$5:$H$5810,8,FALSE)</f>
        <v>Karyawan</v>
      </c>
      <c r="Y630" s="5" t="str">
        <f>VLOOKUP(T630,'Data Angt'!$A$5:$C$5808,3,FALSE)</f>
        <v>PBL</v>
      </c>
    </row>
    <row r="631" spans="1:25" x14ac:dyDescent="0.3">
      <c r="A631" s="8">
        <v>625</v>
      </c>
      <c r="B631" s="9" t="s">
        <v>13885</v>
      </c>
      <c r="C631" s="10" t="str">
        <f>VLOOKUP(B631,'Data Angt'!$A$5:$B$5809,2,FALSE)</f>
        <v>A4993</v>
      </c>
      <c r="D631" s="11" t="s">
        <v>9833</v>
      </c>
      <c r="E631" s="12" t="s">
        <v>16284</v>
      </c>
      <c r="F631" s="13">
        <v>45679</v>
      </c>
      <c r="G631" s="14">
        <v>45909</v>
      </c>
      <c r="H631" s="15">
        <v>3500000</v>
      </c>
      <c r="I631" s="16">
        <v>12</v>
      </c>
      <c r="J631" s="17">
        <v>24</v>
      </c>
      <c r="K631" s="9" t="s">
        <v>9831</v>
      </c>
      <c r="L631" s="10" t="s">
        <v>16285</v>
      </c>
      <c r="M631" s="9" t="s">
        <v>9862</v>
      </c>
      <c r="N631" s="10" t="s">
        <v>9834</v>
      </c>
      <c r="O631" s="15">
        <v>1260100</v>
      </c>
      <c r="P631" s="145">
        <v>153035</v>
      </c>
      <c r="Q631" s="9" t="s">
        <v>22189</v>
      </c>
      <c r="R631" s="146" t="s">
        <v>22777</v>
      </c>
      <c r="T631" s="92" t="s">
        <v>14890</v>
      </c>
      <c r="U631">
        <v>1</v>
      </c>
      <c r="V631">
        <f>VLOOKUP(T631,'Data Angt'!$A$5:$F$5810,6,FALSE)</f>
        <v>54</v>
      </c>
      <c r="W631" s="5" t="str">
        <f t="shared" si="9"/>
        <v>KESEJAHTERAAN</v>
      </c>
      <c r="X631" s="5" t="str">
        <f>VLOOKUP(T631,'Data Angt'!$A$5:$H$5810,8,FALSE)</f>
        <v>Aparatur/Pejabat Negara</v>
      </c>
      <c r="Y631" s="5" t="str">
        <f>VLOOKUP(T631,'Data Angt'!$A$5:$C$5808,3,FALSE)</f>
        <v>PBL</v>
      </c>
    </row>
    <row r="632" spans="1:25" x14ac:dyDescent="0.3">
      <c r="A632" s="8">
        <v>626</v>
      </c>
      <c r="B632" s="9" t="s">
        <v>13888</v>
      </c>
      <c r="C632" s="10" t="str">
        <f>VLOOKUP(B632,'Data Angt'!$A$5:$B$5809,2,FALSE)</f>
        <v>A4995</v>
      </c>
      <c r="D632" s="11" t="s">
        <v>9829</v>
      </c>
      <c r="E632" s="12" t="s">
        <v>22778</v>
      </c>
      <c r="F632" s="13">
        <v>45903</v>
      </c>
      <c r="G632" s="14">
        <v>45904</v>
      </c>
      <c r="H632" s="15">
        <v>3500000</v>
      </c>
      <c r="I632" s="16">
        <v>6</v>
      </c>
      <c r="J632" s="17">
        <v>24</v>
      </c>
      <c r="K632" s="9" t="s">
        <v>9831</v>
      </c>
      <c r="L632" s="10" t="s">
        <v>22779</v>
      </c>
      <c r="M632" s="9" t="s">
        <v>9838</v>
      </c>
      <c r="N632" s="10" t="s">
        <v>9830</v>
      </c>
      <c r="O632" s="15">
        <v>3500000</v>
      </c>
      <c r="P632" s="147">
        <v>0</v>
      </c>
      <c r="Q632" s="9"/>
      <c r="R632" s="146"/>
      <c r="T632" s="92" t="s">
        <v>14893</v>
      </c>
      <c r="U632">
        <v>1</v>
      </c>
      <c r="V632">
        <f>VLOOKUP(T632,'Data Angt'!$A$5:$F$5810,6,FALSE)</f>
        <v>51</v>
      </c>
      <c r="W632" s="5" t="str">
        <f t="shared" si="9"/>
        <v>KESEJAHTERAAN</v>
      </c>
      <c r="X632" s="5" t="str">
        <f>VLOOKUP(T632,'Data Angt'!$A$5:$H$5810,8,FALSE)</f>
        <v>Karyawan</v>
      </c>
      <c r="Y632" s="5" t="str">
        <f>VLOOKUP(T632,'Data Angt'!$A$5:$C$5808,3,FALSE)</f>
        <v>PBL</v>
      </c>
    </row>
    <row r="633" spans="1:25" x14ac:dyDescent="0.3">
      <c r="A633" s="8">
        <v>627</v>
      </c>
      <c r="B633" s="9" t="s">
        <v>13917</v>
      </c>
      <c r="C633" s="10" t="str">
        <f>VLOOKUP(B633,'Data Angt'!$A$5:$B$5809,2,FALSE)</f>
        <v>A5007</v>
      </c>
      <c r="D633" s="11" t="s">
        <v>9833</v>
      </c>
      <c r="E633" s="12" t="s">
        <v>16286</v>
      </c>
      <c r="F633" s="13">
        <v>45600</v>
      </c>
      <c r="G633" s="14">
        <v>45917</v>
      </c>
      <c r="H633" s="15">
        <v>5000000</v>
      </c>
      <c r="I633" s="16">
        <v>18</v>
      </c>
      <c r="J633" s="17">
        <v>24</v>
      </c>
      <c r="K633" s="9" t="s">
        <v>9831</v>
      </c>
      <c r="L633" s="10" t="s">
        <v>16287</v>
      </c>
      <c r="M633" s="9" t="s">
        <v>9862</v>
      </c>
      <c r="N633" s="10" t="s">
        <v>9834</v>
      </c>
      <c r="O633" s="15">
        <v>2442700</v>
      </c>
      <c r="P633" s="145">
        <v>292011</v>
      </c>
      <c r="Q633" s="9" t="s">
        <v>22189</v>
      </c>
      <c r="R633" s="146" t="s">
        <v>22780</v>
      </c>
      <c r="T633" s="92" t="s">
        <v>14909</v>
      </c>
      <c r="U633">
        <v>1</v>
      </c>
      <c r="V633">
        <f>VLOOKUP(T633,'Data Angt'!$A$5:$F$5810,6,FALSE)</f>
        <v>30</v>
      </c>
      <c r="W633" s="5" t="str">
        <f t="shared" si="9"/>
        <v>KESEJAHTERAAN</v>
      </c>
      <c r="X633" s="5" t="str">
        <f>VLOOKUP(T633,'Data Angt'!$A$5:$H$5810,8,FALSE)</f>
        <v>Wiraswasta</v>
      </c>
      <c r="Y633" s="5" t="str">
        <f>VLOOKUP(T633,'Data Angt'!$A$5:$C$5808,3,FALSE)</f>
        <v>PBL</v>
      </c>
    </row>
    <row r="634" spans="1:25" x14ac:dyDescent="0.3">
      <c r="A634" s="8">
        <v>628</v>
      </c>
      <c r="B634" s="9" t="s">
        <v>13929</v>
      </c>
      <c r="C634" s="10" t="str">
        <f>VLOOKUP(B634,'Data Angt'!$A$5:$B$5809,2,FALSE)</f>
        <v>A5012</v>
      </c>
      <c r="D634" s="11" t="s">
        <v>9833</v>
      </c>
      <c r="E634" s="12" t="s">
        <v>16288</v>
      </c>
      <c r="F634" s="13">
        <v>45761</v>
      </c>
      <c r="G634" s="14">
        <v>45915</v>
      </c>
      <c r="H634" s="15">
        <v>5000000</v>
      </c>
      <c r="I634" s="16">
        <v>12</v>
      </c>
      <c r="J634" s="17">
        <v>24</v>
      </c>
      <c r="K634" s="9" t="s">
        <v>9831</v>
      </c>
      <c r="L634" s="10" t="s">
        <v>16289</v>
      </c>
      <c r="M634" s="9" t="s">
        <v>16290</v>
      </c>
      <c r="N634" s="10" t="s">
        <v>9834</v>
      </c>
      <c r="O634" s="15">
        <v>3060100</v>
      </c>
      <c r="P634" s="145">
        <v>159037</v>
      </c>
      <c r="Q634" s="9" t="s">
        <v>12090</v>
      </c>
      <c r="R634" s="146" t="s">
        <v>22781</v>
      </c>
      <c r="T634" s="92" t="s">
        <v>14925</v>
      </c>
      <c r="U634">
        <v>1</v>
      </c>
      <c r="V634">
        <f>VLOOKUP(T634,'Data Angt'!$A$5:$F$5810,6,FALSE)</f>
        <v>70</v>
      </c>
      <c r="W634" s="5" t="str">
        <f t="shared" si="9"/>
        <v>KONSUMTIF</v>
      </c>
      <c r="X634" s="5" t="str">
        <f>VLOOKUP(T634,'Data Angt'!$A$5:$H$5810,8,FALSE)</f>
        <v>Mengurus Rumah Tangga</v>
      </c>
      <c r="Y634" s="5" t="str">
        <f>VLOOKUP(T634,'Data Angt'!$A$5:$C$5808,3,FALSE)</f>
        <v>PBL</v>
      </c>
    </row>
    <row r="635" spans="1:25" x14ac:dyDescent="0.3">
      <c r="A635" s="8">
        <v>629</v>
      </c>
      <c r="B635" s="9" t="s">
        <v>13934</v>
      </c>
      <c r="C635" s="10" t="str">
        <f>VLOOKUP(B635,'Data Angt'!$A$5:$B$5809,2,FALSE)</f>
        <v>A5014</v>
      </c>
      <c r="D635" s="11" t="s">
        <v>9829</v>
      </c>
      <c r="E635" s="12" t="s">
        <v>16291</v>
      </c>
      <c r="F635" s="13">
        <v>45723</v>
      </c>
      <c r="G635" s="14">
        <v>45901</v>
      </c>
      <c r="H635" s="15">
        <v>3000000</v>
      </c>
      <c r="I635" s="16">
        <v>12</v>
      </c>
      <c r="J635" s="17">
        <v>24</v>
      </c>
      <c r="K635" s="9" t="s">
        <v>9831</v>
      </c>
      <c r="L635" s="10" t="s">
        <v>16292</v>
      </c>
      <c r="M635" s="9" t="s">
        <v>9880</v>
      </c>
      <c r="N635" s="10" t="s">
        <v>9830</v>
      </c>
      <c r="O635" s="15">
        <v>1589200</v>
      </c>
      <c r="P635" s="145">
        <v>109275</v>
      </c>
      <c r="Q635" s="9" t="s">
        <v>22189</v>
      </c>
      <c r="R635" s="146" t="s">
        <v>22782</v>
      </c>
      <c r="T635" s="92" t="s">
        <v>14928</v>
      </c>
      <c r="U635">
        <v>1</v>
      </c>
      <c r="V635">
        <f>VLOOKUP(T635,'Data Angt'!$A$5:$F$5810,6,FALSE)</f>
        <v>28</v>
      </c>
      <c r="W635" s="5" t="str">
        <f t="shared" si="9"/>
        <v>KONSUMTIF</v>
      </c>
      <c r="X635" s="5" t="str">
        <f>VLOOKUP(T635,'Data Angt'!$A$5:$H$5810,8,FALSE)</f>
        <v>Karyawan</v>
      </c>
      <c r="Y635" s="5" t="str">
        <f>VLOOKUP(T635,'Data Angt'!$A$5:$C$5808,3,FALSE)</f>
        <v>PBL</v>
      </c>
    </row>
    <row r="636" spans="1:25" x14ac:dyDescent="0.3">
      <c r="A636" s="8">
        <v>630</v>
      </c>
      <c r="B636" s="9" t="s">
        <v>13942</v>
      </c>
      <c r="C636" s="10" t="str">
        <f>VLOOKUP(B636,'Data Angt'!$A$5:$B$5809,2,FALSE)</f>
        <v>A5019</v>
      </c>
      <c r="D636" s="11" t="s">
        <v>9829</v>
      </c>
      <c r="E636" s="12" t="s">
        <v>16293</v>
      </c>
      <c r="F636" s="13">
        <v>45715</v>
      </c>
      <c r="G636" s="14">
        <v>45926</v>
      </c>
      <c r="H636" s="15">
        <v>2000000</v>
      </c>
      <c r="I636" s="16">
        <v>10</v>
      </c>
      <c r="J636" s="17">
        <v>24</v>
      </c>
      <c r="K636" s="9" t="s">
        <v>9827</v>
      </c>
      <c r="L636" s="10" t="s">
        <v>16294</v>
      </c>
      <c r="M636" s="9" t="s">
        <v>10642</v>
      </c>
      <c r="N636" s="10" t="s">
        <v>9828</v>
      </c>
      <c r="O636" s="15">
        <v>600000</v>
      </c>
      <c r="P636" s="145">
        <v>73500</v>
      </c>
      <c r="Q636" s="9"/>
      <c r="R636" s="146"/>
      <c r="T636" s="92" t="s">
        <v>14963</v>
      </c>
      <c r="U636">
        <v>1</v>
      </c>
      <c r="V636">
        <f>VLOOKUP(T636,'Data Angt'!$A$5:$F$5810,6,FALSE)</f>
        <v>52</v>
      </c>
      <c r="W636" s="5" t="str">
        <f t="shared" si="9"/>
        <v>KESEHATAN</v>
      </c>
      <c r="X636" s="5" t="str">
        <f>VLOOKUP(T636,'Data Angt'!$A$5:$H$5810,8,FALSE)</f>
        <v>Karyawan</v>
      </c>
      <c r="Y636" s="5" t="str">
        <f>VLOOKUP(T636,'Data Angt'!$A$5:$C$5808,3,FALSE)</f>
        <v>PBL</v>
      </c>
    </row>
    <row r="637" spans="1:25" x14ac:dyDescent="0.3">
      <c r="A637" s="8">
        <v>631</v>
      </c>
      <c r="B637" s="9" t="s">
        <v>13945</v>
      </c>
      <c r="C637" s="10" t="str">
        <f>VLOOKUP(B637,'Data Angt'!$A$5:$B$5809,2,FALSE)</f>
        <v>A5020</v>
      </c>
      <c r="D637" s="11" t="s">
        <v>9829</v>
      </c>
      <c r="E637" s="12" t="s">
        <v>22783</v>
      </c>
      <c r="F637" s="13">
        <v>45849</v>
      </c>
      <c r="G637" s="14">
        <v>45912</v>
      </c>
      <c r="H637" s="15">
        <v>2000000</v>
      </c>
      <c r="I637" s="16">
        <v>8</v>
      </c>
      <c r="J637" s="17">
        <v>24</v>
      </c>
      <c r="K637" s="9" t="s">
        <v>9831</v>
      </c>
      <c r="L637" s="10" t="s">
        <v>22784</v>
      </c>
      <c r="M637" s="9" t="s">
        <v>10008</v>
      </c>
      <c r="N637" s="10" t="s">
        <v>17</v>
      </c>
      <c r="O637" s="15">
        <v>1529200</v>
      </c>
      <c r="P637" s="145">
        <v>28275</v>
      </c>
      <c r="Q637" s="9"/>
      <c r="R637" s="146"/>
      <c r="T637" s="92" t="s">
        <v>14972</v>
      </c>
      <c r="U637">
        <v>1</v>
      </c>
      <c r="V637">
        <f>VLOOKUP(T637,'Data Angt'!$A$5:$F$5810,6,FALSE)</f>
        <v>22</v>
      </c>
      <c r="W637" s="5" t="str">
        <f t="shared" si="9"/>
        <v>KONSUMTIF</v>
      </c>
      <c r="X637" s="5" t="str">
        <f>VLOOKUP(T637,'Data Angt'!$A$5:$H$5810,8,FALSE)</f>
        <v>Karyawan</v>
      </c>
      <c r="Y637" s="5" t="str">
        <f>VLOOKUP(T637,'Data Angt'!$A$5:$C$5808,3,FALSE)</f>
        <v>PBL</v>
      </c>
    </row>
    <row r="638" spans="1:25" x14ac:dyDescent="0.3">
      <c r="A638" s="8">
        <v>632</v>
      </c>
      <c r="B638" s="9" t="s">
        <v>13951</v>
      </c>
      <c r="C638" s="10" t="str">
        <f>VLOOKUP(B638,'Data Angt'!$A$5:$B$5809,2,FALSE)</f>
        <v>A5022</v>
      </c>
      <c r="D638" s="11" t="s">
        <v>9829</v>
      </c>
      <c r="E638" s="12" t="s">
        <v>22785</v>
      </c>
      <c r="F638" s="13">
        <v>45870</v>
      </c>
      <c r="G638" s="14">
        <v>45909</v>
      </c>
      <c r="H638" s="15">
        <v>1700000</v>
      </c>
      <c r="I638" s="16">
        <v>8</v>
      </c>
      <c r="J638" s="17">
        <v>24</v>
      </c>
      <c r="K638" s="9" t="s">
        <v>9831</v>
      </c>
      <c r="L638" s="10" t="s">
        <v>22786</v>
      </c>
      <c r="M638" s="9" t="s">
        <v>22787</v>
      </c>
      <c r="N638" s="10" t="s">
        <v>17</v>
      </c>
      <c r="O638" s="15">
        <v>1501900</v>
      </c>
      <c r="P638" s="145">
        <v>12750</v>
      </c>
      <c r="Q638" s="9"/>
      <c r="R638" s="146"/>
      <c r="T638" s="92" t="s">
        <v>14979</v>
      </c>
      <c r="U638">
        <v>1</v>
      </c>
      <c r="V638">
        <f>VLOOKUP(T638,'Data Angt'!$A$5:$F$5810,6,FALSE)</f>
        <v>36</v>
      </c>
      <c r="W638" s="5" t="str">
        <f t="shared" si="9"/>
        <v>KONSUMTIF</v>
      </c>
      <c r="X638" s="5" t="str">
        <f>VLOOKUP(T638,'Data Angt'!$A$5:$H$5810,8,FALSE)</f>
        <v>Karyawan</v>
      </c>
      <c r="Y638" s="5" t="str">
        <f>VLOOKUP(T638,'Data Angt'!$A$5:$C$5808,3,FALSE)</f>
        <v>PBL</v>
      </c>
    </row>
    <row r="639" spans="1:25" x14ac:dyDescent="0.3">
      <c r="A639" s="8">
        <v>633</v>
      </c>
      <c r="B639" s="9" t="s">
        <v>13953</v>
      </c>
      <c r="C639" s="10" t="str">
        <f>VLOOKUP(B639,'Data Angt'!$A$5:$B$5809,2,FALSE)</f>
        <v>A5023</v>
      </c>
      <c r="D639" s="11" t="s">
        <v>9829</v>
      </c>
      <c r="E639" s="12" t="s">
        <v>22788</v>
      </c>
      <c r="F639" s="13">
        <v>45870</v>
      </c>
      <c r="G639" s="14">
        <v>45904</v>
      </c>
      <c r="H639" s="15">
        <v>1700000</v>
      </c>
      <c r="I639" s="16">
        <v>8</v>
      </c>
      <c r="J639" s="17">
        <v>24</v>
      </c>
      <c r="K639" s="9" t="s">
        <v>9831</v>
      </c>
      <c r="L639" s="10" t="s">
        <v>22789</v>
      </c>
      <c r="M639" s="9" t="s">
        <v>22790</v>
      </c>
      <c r="N639" s="10" t="s">
        <v>17</v>
      </c>
      <c r="O639" s="15">
        <v>1501900</v>
      </c>
      <c r="P639" s="145">
        <v>12750</v>
      </c>
      <c r="Q639" s="9"/>
      <c r="R639" s="146"/>
      <c r="T639" s="92" t="s">
        <v>14981</v>
      </c>
      <c r="U639">
        <v>1</v>
      </c>
      <c r="V639">
        <f>VLOOKUP(T639,'Data Angt'!$A$5:$F$5810,6,FALSE)</f>
        <v>33</v>
      </c>
      <c r="W639" s="5" t="str">
        <f t="shared" si="9"/>
        <v>PRODUKTIF</v>
      </c>
      <c r="X639" s="5" t="str">
        <f>VLOOKUP(T639,'Data Angt'!$A$5:$H$5810,8,FALSE)</f>
        <v>Wiraswasta</v>
      </c>
      <c r="Y639" s="5" t="str">
        <f>VLOOKUP(T639,'Data Angt'!$A$5:$C$5808,3,FALSE)</f>
        <v>PBL</v>
      </c>
    </row>
    <row r="640" spans="1:25" x14ac:dyDescent="0.3">
      <c r="A640" s="8">
        <v>634</v>
      </c>
      <c r="B640" s="9" t="s">
        <v>13957</v>
      </c>
      <c r="C640" s="10" t="str">
        <f>VLOOKUP(B640,'Data Angt'!$A$5:$B$5809,2,FALSE)</f>
        <v>A5025</v>
      </c>
      <c r="D640" s="11" t="s">
        <v>9833</v>
      </c>
      <c r="E640" s="12" t="s">
        <v>16295</v>
      </c>
      <c r="F640" s="13">
        <v>45803</v>
      </c>
      <c r="G640" s="14">
        <v>45904</v>
      </c>
      <c r="H640" s="15">
        <v>5000000</v>
      </c>
      <c r="I640" s="16">
        <v>12</v>
      </c>
      <c r="J640" s="17">
        <v>24</v>
      </c>
      <c r="K640" s="9" t="s">
        <v>9827</v>
      </c>
      <c r="L640" s="10" t="s">
        <v>16296</v>
      </c>
      <c r="M640" s="9" t="s">
        <v>9868</v>
      </c>
      <c r="N640" s="10" t="s">
        <v>9834</v>
      </c>
      <c r="O640" s="15">
        <v>3333200</v>
      </c>
      <c r="P640" s="145">
        <v>132225</v>
      </c>
      <c r="Q640" s="9" t="s">
        <v>22189</v>
      </c>
      <c r="R640" s="146" t="s">
        <v>22791</v>
      </c>
      <c r="T640" s="92" t="s">
        <v>15011</v>
      </c>
      <c r="U640">
        <v>1</v>
      </c>
      <c r="V640">
        <f>VLOOKUP(T640,'Data Angt'!$A$5:$F$5810,6,FALSE)</f>
        <v>33</v>
      </c>
      <c r="W640" s="5" t="str">
        <f t="shared" si="9"/>
        <v>PENDIDIKAN</v>
      </c>
      <c r="X640" s="5" t="str">
        <f>VLOOKUP(T640,'Data Angt'!$A$5:$H$5810,8,FALSE)</f>
        <v>Karyawan</v>
      </c>
      <c r="Y640" s="5" t="str">
        <f>VLOOKUP(T640,'Data Angt'!$A$5:$C$5808,3,FALSE)</f>
        <v>PBL</v>
      </c>
    </row>
    <row r="641" spans="1:25" x14ac:dyDescent="0.3">
      <c r="A641" s="8">
        <v>635</v>
      </c>
      <c r="B641" s="9" t="s">
        <v>13978</v>
      </c>
      <c r="C641" s="10" t="str">
        <f>VLOOKUP(B641,'Data Angt'!$A$5:$B$5809,2,FALSE)</f>
        <v>A5032</v>
      </c>
      <c r="D641" s="11" t="s">
        <v>9829</v>
      </c>
      <c r="E641" s="12" t="s">
        <v>16297</v>
      </c>
      <c r="F641" s="13">
        <v>45699</v>
      </c>
      <c r="G641" s="14">
        <v>45908</v>
      </c>
      <c r="H641" s="15">
        <v>5000000</v>
      </c>
      <c r="I641" s="16">
        <v>12</v>
      </c>
      <c r="J641" s="17">
        <v>24</v>
      </c>
      <c r="K641" s="9" t="s">
        <v>9831</v>
      </c>
      <c r="L641" s="10" t="s">
        <v>16298</v>
      </c>
      <c r="M641" s="9" t="s">
        <v>16299</v>
      </c>
      <c r="N641" s="10" t="s">
        <v>17</v>
      </c>
      <c r="O641" s="15">
        <v>2228800</v>
      </c>
      <c r="P641" s="145">
        <v>201899</v>
      </c>
      <c r="Q641" s="9" t="s">
        <v>22189</v>
      </c>
      <c r="R641" s="146" t="s">
        <v>22792</v>
      </c>
      <c r="T641" s="92" t="s">
        <v>15020</v>
      </c>
      <c r="U641">
        <v>1</v>
      </c>
      <c r="V641">
        <f>VLOOKUP(T641,'Data Angt'!$A$5:$F$5810,6,FALSE)</f>
        <v>50</v>
      </c>
      <c r="W641" s="5" t="str">
        <f t="shared" si="9"/>
        <v>PRODUKTIF</v>
      </c>
      <c r="X641" s="5" t="str">
        <f>VLOOKUP(T641,'Data Angt'!$A$5:$H$5810,8,FALSE)</f>
        <v>Wiraswasta</v>
      </c>
      <c r="Y641" s="5" t="str">
        <f>VLOOKUP(T641,'Data Angt'!$A$5:$C$5808,3,FALSE)</f>
        <v>PBL</v>
      </c>
    </row>
    <row r="642" spans="1:25" x14ac:dyDescent="0.3">
      <c r="A642" s="8">
        <v>636</v>
      </c>
      <c r="B642" s="9" t="s">
        <v>14002</v>
      </c>
      <c r="C642" s="10" t="str">
        <f>VLOOKUP(B642,'Data Angt'!$A$5:$B$5809,2,FALSE)</f>
        <v>A5042</v>
      </c>
      <c r="D642" s="11" t="s">
        <v>9829</v>
      </c>
      <c r="E642" s="12" t="s">
        <v>16300</v>
      </c>
      <c r="F642" s="13">
        <v>45787</v>
      </c>
      <c r="G642" s="14">
        <v>45911</v>
      </c>
      <c r="H642" s="15">
        <v>6200000</v>
      </c>
      <c r="I642" s="16">
        <v>10</v>
      </c>
      <c r="J642" s="17">
        <v>24</v>
      </c>
      <c r="K642" s="9" t="s">
        <v>9831</v>
      </c>
      <c r="L642" s="10" t="s">
        <v>16301</v>
      </c>
      <c r="M642" s="9" t="s">
        <v>16302</v>
      </c>
      <c r="N642" s="10" t="s">
        <v>17</v>
      </c>
      <c r="O642" s="15">
        <v>3866100</v>
      </c>
      <c r="P642" s="145">
        <v>160237</v>
      </c>
      <c r="Q642" s="9" t="s">
        <v>22189</v>
      </c>
      <c r="R642" s="146" t="s">
        <v>22793</v>
      </c>
      <c r="T642" s="92" t="s">
        <v>15028</v>
      </c>
      <c r="U642">
        <v>1</v>
      </c>
      <c r="V642">
        <f>VLOOKUP(T642,'Data Angt'!$A$5:$F$5810,6,FALSE)</f>
        <v>68</v>
      </c>
      <c r="W642" s="5" t="str">
        <f t="shared" si="9"/>
        <v>KESEJAHTERAAN</v>
      </c>
      <c r="X642" s="5" t="str">
        <f>VLOOKUP(T642,'Data Angt'!$A$5:$H$5810,8,FALSE)</f>
        <v>Wiraswasta</v>
      </c>
      <c r="Y642" s="5" t="str">
        <f>VLOOKUP(T642,'Data Angt'!$A$5:$C$5808,3,FALSE)</f>
        <v>PBL</v>
      </c>
    </row>
    <row r="643" spans="1:25" x14ac:dyDescent="0.3">
      <c r="A643" s="8">
        <v>637</v>
      </c>
      <c r="B643" s="9" t="s">
        <v>14009</v>
      </c>
      <c r="C643" s="10" t="str">
        <f>VLOOKUP(B643,'Data Angt'!$A$5:$B$5809,2,FALSE)</f>
        <v>A5046</v>
      </c>
      <c r="D643" s="11" t="s">
        <v>9833</v>
      </c>
      <c r="E643" s="12" t="s">
        <v>16303</v>
      </c>
      <c r="F643" s="13">
        <v>45821</v>
      </c>
      <c r="G643" s="14">
        <v>45913</v>
      </c>
      <c r="H643" s="15">
        <v>1000000</v>
      </c>
      <c r="I643" s="16">
        <v>10</v>
      </c>
      <c r="J643" s="17">
        <v>24</v>
      </c>
      <c r="K643" s="9" t="s">
        <v>9831</v>
      </c>
      <c r="L643" s="10" t="s">
        <v>16304</v>
      </c>
      <c r="M643" s="9" t="s">
        <v>16305</v>
      </c>
      <c r="N643" s="10" t="s">
        <v>9834</v>
      </c>
      <c r="O643" s="15">
        <v>720400</v>
      </c>
      <c r="P643" s="145">
        <v>20475</v>
      </c>
      <c r="Q643" s="9"/>
      <c r="R643" s="146"/>
      <c r="T643" s="92" t="s">
        <v>15063</v>
      </c>
      <c r="U643">
        <v>1</v>
      </c>
      <c r="V643">
        <f>VLOOKUP(T643,'Data Angt'!$A$5:$F$5810,6,FALSE)</f>
        <v>24</v>
      </c>
      <c r="W643" s="5" t="str">
        <f t="shared" si="9"/>
        <v>PRODUKTIF</v>
      </c>
      <c r="X643" s="5" t="str">
        <f>VLOOKUP(T643,'Data Angt'!$A$5:$H$5810,8,FALSE)</f>
        <v>Karyawan</v>
      </c>
      <c r="Y643" s="5" t="str">
        <f>VLOOKUP(T643,'Data Angt'!$A$5:$C$5808,3,FALSE)</f>
        <v>PBL</v>
      </c>
    </row>
    <row r="644" spans="1:25" x14ac:dyDescent="0.3">
      <c r="A644" s="8">
        <v>638</v>
      </c>
      <c r="B644" s="9" t="s">
        <v>14015</v>
      </c>
      <c r="C644" s="10" t="str">
        <f>VLOOKUP(B644,'Data Angt'!$A$5:$B$5809,2,FALSE)</f>
        <v>A5049</v>
      </c>
      <c r="D644" s="11" t="s">
        <v>9829</v>
      </c>
      <c r="E644" s="12" t="s">
        <v>22794</v>
      </c>
      <c r="F644" s="13">
        <v>45847</v>
      </c>
      <c r="G644" s="14">
        <v>45908</v>
      </c>
      <c r="H644" s="15">
        <v>3000000</v>
      </c>
      <c r="I644" s="16">
        <v>12</v>
      </c>
      <c r="J644" s="17">
        <v>24</v>
      </c>
      <c r="K644" s="9" t="s">
        <v>9831</v>
      </c>
      <c r="L644" s="10" t="s">
        <v>22795</v>
      </c>
      <c r="M644" s="9" t="s">
        <v>9964</v>
      </c>
      <c r="N644" s="10" t="s">
        <v>17</v>
      </c>
      <c r="O644" s="15">
        <v>2548200</v>
      </c>
      <c r="P644" s="145">
        <v>43350</v>
      </c>
      <c r="Q644" s="9"/>
      <c r="R644" s="146"/>
      <c r="T644" s="92" t="s">
        <v>15082</v>
      </c>
      <c r="U644">
        <v>1</v>
      </c>
      <c r="V644">
        <f>VLOOKUP(T644,'Data Angt'!$A$5:$F$5810,6,FALSE)</f>
        <v>33</v>
      </c>
      <c r="W644" s="5" t="str">
        <f t="shared" si="9"/>
        <v>PENDIDIKAN</v>
      </c>
      <c r="X644" s="5" t="str">
        <f>VLOOKUP(T644,'Data Angt'!$A$5:$H$5810,8,FALSE)</f>
        <v>Mengurus Rumah Tangga</v>
      </c>
      <c r="Y644" s="5" t="str">
        <f>VLOOKUP(T644,'Data Angt'!$A$5:$C$5808,3,FALSE)</f>
        <v>PBL</v>
      </c>
    </row>
    <row r="645" spans="1:25" x14ac:dyDescent="0.3">
      <c r="A645" s="8">
        <v>639</v>
      </c>
      <c r="B645" s="9" t="s">
        <v>14134</v>
      </c>
      <c r="C645" s="10" t="str">
        <f>VLOOKUP(B645,'Data Angt'!$A$5:$B$5809,2,FALSE)</f>
        <v>A5102</v>
      </c>
      <c r="D645" s="11" t="s">
        <v>9881</v>
      </c>
      <c r="E645" s="12" t="s">
        <v>16306</v>
      </c>
      <c r="F645" s="13">
        <v>45693</v>
      </c>
      <c r="G645" s="14">
        <v>45908</v>
      </c>
      <c r="H645" s="15">
        <v>2600000</v>
      </c>
      <c r="I645" s="16">
        <v>12</v>
      </c>
      <c r="J645" s="17">
        <v>12</v>
      </c>
      <c r="K645" s="9" t="s">
        <v>9831</v>
      </c>
      <c r="L645" s="10" t="s">
        <v>16307</v>
      </c>
      <c r="M645" s="9" t="s">
        <v>9835</v>
      </c>
      <c r="N645" s="10" t="s">
        <v>9834</v>
      </c>
      <c r="O645" s="15">
        <v>1120700</v>
      </c>
      <c r="P645" s="145">
        <v>51899</v>
      </c>
      <c r="Q645" s="9"/>
      <c r="R645" s="146"/>
      <c r="T645" s="92" t="s">
        <v>15097</v>
      </c>
      <c r="U645">
        <v>1</v>
      </c>
      <c r="V645">
        <f>VLOOKUP(T645,'Data Angt'!$A$5:$F$5810,6,FALSE)</f>
        <v>37</v>
      </c>
      <c r="W645" s="5" t="str">
        <f t="shared" si="9"/>
        <v>PRODUKTIF</v>
      </c>
      <c r="X645" s="5" t="str">
        <f>VLOOKUP(T645,'Data Angt'!$A$5:$H$5810,8,FALSE)</f>
        <v>Wiraswasta</v>
      </c>
      <c r="Y645" s="5" t="str">
        <f>VLOOKUP(T645,'Data Angt'!$A$5:$C$5808,3,FALSE)</f>
        <v>PBL</v>
      </c>
    </row>
    <row r="646" spans="1:25" x14ac:dyDescent="0.3">
      <c r="A646" s="8">
        <v>640</v>
      </c>
      <c r="B646" s="9" t="s">
        <v>14137</v>
      </c>
      <c r="C646" s="10" t="str">
        <f>VLOOKUP(B646,'Data Angt'!$A$5:$B$5809,2,FALSE)</f>
        <v>A5104</v>
      </c>
      <c r="D646" s="11" t="s">
        <v>9895</v>
      </c>
      <c r="E646" s="12" t="s">
        <v>16308</v>
      </c>
      <c r="F646" s="13">
        <v>45628</v>
      </c>
      <c r="G646" s="14">
        <v>45903</v>
      </c>
      <c r="H646" s="15">
        <v>15000000</v>
      </c>
      <c r="I646" s="16">
        <v>24</v>
      </c>
      <c r="J646" s="17">
        <v>24</v>
      </c>
      <c r="K646" s="9" t="s">
        <v>9831</v>
      </c>
      <c r="L646" s="10" t="s">
        <v>16309</v>
      </c>
      <c r="M646" s="9" t="s">
        <v>10076</v>
      </c>
      <c r="N646" s="10" t="s">
        <v>9828</v>
      </c>
      <c r="O646" s="15">
        <v>10190300</v>
      </c>
      <c r="P646" s="145">
        <v>873073</v>
      </c>
      <c r="Q646" s="9" t="s">
        <v>22189</v>
      </c>
      <c r="R646" s="146" t="s">
        <v>22796</v>
      </c>
      <c r="T646" s="92" t="s">
        <v>15115</v>
      </c>
      <c r="U646">
        <v>1</v>
      </c>
      <c r="V646">
        <f>VLOOKUP(T646,'Data Angt'!$A$5:$F$5810,6,FALSE)</f>
        <v>48</v>
      </c>
      <c r="W646" s="5" t="str">
        <f t="shared" si="9"/>
        <v>PRODUKTIF</v>
      </c>
      <c r="X646" s="5" t="str">
        <f>VLOOKUP(T646,'Data Angt'!$A$5:$H$5810,8,FALSE)</f>
        <v>Wiraswasta</v>
      </c>
      <c r="Y646" s="5" t="str">
        <f>VLOOKUP(T646,'Data Angt'!$A$5:$C$5808,3,FALSE)</f>
        <v>PBL</v>
      </c>
    </row>
    <row r="647" spans="1:25" x14ac:dyDescent="0.3">
      <c r="A647" s="8">
        <v>641</v>
      </c>
      <c r="B647" s="9" t="s">
        <v>14162</v>
      </c>
      <c r="C647" s="10" t="str">
        <f>VLOOKUP(B647,'Data Angt'!$A$5:$B$5809,2,FALSE)</f>
        <v>A5117</v>
      </c>
      <c r="D647" s="11" t="s">
        <v>9829</v>
      </c>
      <c r="E647" s="12" t="s">
        <v>22797</v>
      </c>
      <c r="F647" s="13">
        <v>45859</v>
      </c>
      <c r="G647" s="14">
        <v>45925</v>
      </c>
      <c r="H647" s="15">
        <v>2000000</v>
      </c>
      <c r="I647" s="16">
        <v>6</v>
      </c>
      <c r="J647" s="17">
        <v>24</v>
      </c>
      <c r="K647" s="9" t="s">
        <v>9831</v>
      </c>
      <c r="L647" s="10" t="s">
        <v>22798</v>
      </c>
      <c r="M647" s="9" t="s">
        <v>9841</v>
      </c>
      <c r="N647" s="10" t="s">
        <v>17</v>
      </c>
      <c r="O647" s="15">
        <v>1359500</v>
      </c>
      <c r="P647" s="145">
        <v>27637</v>
      </c>
      <c r="Q647" s="9"/>
      <c r="R647" s="146"/>
      <c r="T647" s="92" t="s">
        <v>15118</v>
      </c>
      <c r="U647">
        <v>1</v>
      </c>
      <c r="V647">
        <f>VLOOKUP(T647,'Data Angt'!$A$5:$F$5810,6,FALSE)</f>
        <v>21</v>
      </c>
      <c r="W647" s="5" t="str">
        <f t="shared" ref="W647:W710" si="10">VLOOKUP(T647,$B$7:$N$1869,13,FALSE)</f>
        <v>KESEJAHTERAAN</v>
      </c>
      <c r="X647" s="5" t="str">
        <f>VLOOKUP(T647,'Data Angt'!$A$5:$H$5810,8,FALSE)</f>
        <v>Karyawan</v>
      </c>
      <c r="Y647" s="5" t="str">
        <f>VLOOKUP(T647,'Data Angt'!$A$5:$C$5808,3,FALSE)</f>
        <v>PBL</v>
      </c>
    </row>
    <row r="648" spans="1:25" x14ac:dyDescent="0.3">
      <c r="A648" s="8">
        <v>642</v>
      </c>
      <c r="B648" s="9" t="s">
        <v>14165</v>
      </c>
      <c r="C648" s="10" t="str">
        <f>VLOOKUP(B648,'Data Angt'!$A$5:$B$5809,2,FALSE)</f>
        <v>A5119</v>
      </c>
      <c r="D648" s="11" t="s">
        <v>9829</v>
      </c>
      <c r="E648" s="12" t="s">
        <v>16310</v>
      </c>
      <c r="F648" s="13">
        <v>45706</v>
      </c>
      <c r="G648" s="14">
        <v>45916</v>
      </c>
      <c r="H648" s="15">
        <v>3000000</v>
      </c>
      <c r="I648" s="16">
        <v>12</v>
      </c>
      <c r="J648" s="17">
        <v>24</v>
      </c>
      <c r="K648" s="9" t="s">
        <v>9831</v>
      </c>
      <c r="L648" s="10" t="s">
        <v>16311</v>
      </c>
      <c r="M648" s="9" t="s">
        <v>10043</v>
      </c>
      <c r="N648" s="10" t="s">
        <v>9830</v>
      </c>
      <c r="O648" s="15">
        <v>1337300</v>
      </c>
      <c r="P648" s="145">
        <v>121200</v>
      </c>
      <c r="Q648" s="9" t="s">
        <v>22189</v>
      </c>
      <c r="R648" s="146" t="s">
        <v>22799</v>
      </c>
      <c r="T648" s="92" t="s">
        <v>15124</v>
      </c>
      <c r="U648">
        <v>1</v>
      </c>
      <c r="V648">
        <f>VLOOKUP(T648,'Data Angt'!$A$5:$F$5810,6,FALSE)</f>
        <v>49</v>
      </c>
      <c r="W648" s="5" t="str">
        <f t="shared" si="10"/>
        <v>PRODUKTIF</v>
      </c>
      <c r="X648" s="5" t="str">
        <f>VLOOKUP(T648,'Data Angt'!$A$5:$H$5810,8,FALSE)</f>
        <v>Wiraswasta</v>
      </c>
      <c r="Y648" s="5" t="str">
        <f>VLOOKUP(T648,'Data Angt'!$A$5:$C$5808,3,FALSE)</f>
        <v>PBL</v>
      </c>
    </row>
    <row r="649" spans="1:25" x14ac:dyDescent="0.3">
      <c r="A649" s="8">
        <v>643</v>
      </c>
      <c r="B649" s="9" t="s">
        <v>14228</v>
      </c>
      <c r="C649" s="10" t="str">
        <f>VLOOKUP(B649,'Data Angt'!$A$5:$B$5809,2,FALSE)</f>
        <v>A5147</v>
      </c>
      <c r="D649" s="11" t="s">
        <v>9895</v>
      </c>
      <c r="E649" s="12" t="s">
        <v>16312</v>
      </c>
      <c r="F649" s="13">
        <v>45640</v>
      </c>
      <c r="G649" s="14">
        <v>45915</v>
      </c>
      <c r="H649" s="15">
        <v>27000000</v>
      </c>
      <c r="I649" s="16">
        <v>24</v>
      </c>
      <c r="J649" s="17">
        <v>21</v>
      </c>
      <c r="K649" s="9" t="s">
        <v>9831</v>
      </c>
      <c r="L649" s="10" t="s">
        <v>16313</v>
      </c>
      <c r="M649" s="9" t="s">
        <v>16314</v>
      </c>
      <c r="N649" s="10" t="s">
        <v>9828</v>
      </c>
      <c r="O649" s="15">
        <v>18164700</v>
      </c>
      <c r="P649" s="145">
        <v>1369573</v>
      </c>
      <c r="Q649" s="9" t="s">
        <v>22189</v>
      </c>
      <c r="R649" s="146" t="s">
        <v>22800</v>
      </c>
      <c r="T649" s="92" t="s">
        <v>15127</v>
      </c>
      <c r="U649">
        <v>1</v>
      </c>
      <c r="V649">
        <f>VLOOKUP(T649,'Data Angt'!$A$5:$F$5810,6,FALSE)</f>
        <v>57</v>
      </c>
      <c r="W649" s="5" t="str">
        <f t="shared" si="10"/>
        <v>PRODUKTIF</v>
      </c>
      <c r="X649" s="5" t="str">
        <f>VLOOKUP(T649,'Data Angt'!$A$5:$H$5810,8,FALSE)</f>
        <v>Mengurus Rumah Tangga</v>
      </c>
      <c r="Y649" s="5" t="str">
        <f>VLOOKUP(T649,'Data Angt'!$A$5:$C$5808,3,FALSE)</f>
        <v>PBL</v>
      </c>
    </row>
    <row r="650" spans="1:25" x14ac:dyDescent="0.3">
      <c r="A650" s="8">
        <v>644</v>
      </c>
      <c r="B650" s="9" t="s">
        <v>14279</v>
      </c>
      <c r="C650" s="10" t="str">
        <f>VLOOKUP(B650,'Data Angt'!$A$5:$B$5809,2,FALSE)</f>
        <v>A5173</v>
      </c>
      <c r="D650" s="11" t="s">
        <v>9833</v>
      </c>
      <c r="E650" s="12" t="s">
        <v>22801</v>
      </c>
      <c r="F650" s="13">
        <v>45871</v>
      </c>
      <c r="G650" s="14">
        <v>45910</v>
      </c>
      <c r="H650" s="15">
        <v>1500000</v>
      </c>
      <c r="I650" s="16">
        <v>12</v>
      </c>
      <c r="J650" s="17">
        <v>24</v>
      </c>
      <c r="K650" s="9" t="s">
        <v>9831</v>
      </c>
      <c r="L650" s="10" t="s">
        <v>22802</v>
      </c>
      <c r="M650" s="9" t="s">
        <v>9967</v>
      </c>
      <c r="N650" s="10" t="s">
        <v>9834</v>
      </c>
      <c r="O650" s="15">
        <v>1388100</v>
      </c>
      <c r="P650" s="145">
        <v>11250</v>
      </c>
      <c r="Q650" s="9" t="s">
        <v>22220</v>
      </c>
      <c r="R650" s="146" t="s">
        <v>22803</v>
      </c>
      <c r="T650" s="92" t="s">
        <v>15128</v>
      </c>
      <c r="U650">
        <v>1</v>
      </c>
      <c r="V650">
        <f>VLOOKUP(T650,'Data Angt'!$A$5:$F$5810,6,FALSE)</f>
        <v>58</v>
      </c>
      <c r="W650" s="5" t="str">
        <f t="shared" si="10"/>
        <v>PRODUKTIF</v>
      </c>
      <c r="X650" s="5" t="str">
        <f>VLOOKUP(T650,'Data Angt'!$A$5:$H$5810,8,FALSE)</f>
        <v>Wiraswasta</v>
      </c>
      <c r="Y650" s="5" t="str">
        <f>VLOOKUP(T650,'Data Angt'!$A$5:$C$5808,3,FALSE)</f>
        <v>PBL</v>
      </c>
    </row>
    <row r="651" spans="1:25" x14ac:dyDescent="0.3">
      <c r="A651" s="8">
        <v>645</v>
      </c>
      <c r="B651" s="9" t="s">
        <v>14361</v>
      </c>
      <c r="C651" s="10" t="str">
        <f>VLOOKUP(B651,'Data Angt'!$A$5:$B$5809,2,FALSE)</f>
        <v>A5177</v>
      </c>
      <c r="D651" s="11" t="s">
        <v>9829</v>
      </c>
      <c r="E651" s="12" t="s">
        <v>16315</v>
      </c>
      <c r="F651" s="13">
        <v>45793</v>
      </c>
      <c r="G651" s="14">
        <v>45930</v>
      </c>
      <c r="H651" s="15">
        <v>25000000</v>
      </c>
      <c r="I651" s="16">
        <v>24</v>
      </c>
      <c r="J651" s="17">
        <v>21</v>
      </c>
      <c r="K651" s="9" t="s">
        <v>9831</v>
      </c>
      <c r="L651" s="10" t="s">
        <v>16316</v>
      </c>
      <c r="M651" s="9" t="s">
        <v>16317</v>
      </c>
      <c r="N651" s="10" t="s">
        <v>9830</v>
      </c>
      <c r="O651" s="15">
        <v>21521300</v>
      </c>
      <c r="P651" s="145">
        <v>622536</v>
      </c>
      <c r="Q651" s="9" t="s">
        <v>22220</v>
      </c>
      <c r="R651" s="146" t="s">
        <v>22804</v>
      </c>
      <c r="T651" s="92" t="s">
        <v>15130</v>
      </c>
      <c r="U651">
        <v>1</v>
      </c>
      <c r="V651">
        <f>VLOOKUP(T651,'Data Angt'!$A$5:$F$5810,6,FALSE)</f>
        <v>35</v>
      </c>
      <c r="W651" s="5" t="str">
        <f t="shared" si="10"/>
        <v>PRODUKTIF</v>
      </c>
      <c r="X651" s="5" t="str">
        <f>VLOOKUP(T651,'Data Angt'!$A$5:$H$5810,8,FALSE)</f>
        <v>Wiraswasta</v>
      </c>
      <c r="Y651" s="5" t="str">
        <f>VLOOKUP(T651,'Data Angt'!$A$5:$C$5808,3,FALSE)</f>
        <v>PBL</v>
      </c>
    </row>
    <row r="652" spans="1:25" x14ac:dyDescent="0.3">
      <c r="A652" s="8">
        <v>646</v>
      </c>
      <c r="B652" s="9" t="s">
        <v>14368</v>
      </c>
      <c r="C652" s="10" t="str">
        <f>VLOOKUP(B652,'Data Angt'!$A$5:$B$5809,2,FALSE)</f>
        <v>A5180</v>
      </c>
      <c r="D652" s="11" t="s">
        <v>9829</v>
      </c>
      <c r="E652" s="12" t="s">
        <v>22805</v>
      </c>
      <c r="F652" s="13">
        <v>45842</v>
      </c>
      <c r="G652" s="14">
        <v>45904</v>
      </c>
      <c r="H652" s="15">
        <v>7000000</v>
      </c>
      <c r="I652" s="16">
        <v>12</v>
      </c>
      <c r="J652" s="17">
        <v>24</v>
      </c>
      <c r="K652" s="9" t="s">
        <v>9831</v>
      </c>
      <c r="L652" s="10" t="s">
        <v>22806</v>
      </c>
      <c r="M652" s="9" t="s">
        <v>9832</v>
      </c>
      <c r="N652" s="10" t="s">
        <v>17</v>
      </c>
      <c r="O652" s="15">
        <v>5945600</v>
      </c>
      <c r="P652" s="145">
        <v>101100</v>
      </c>
      <c r="Q652" s="9" t="s">
        <v>22189</v>
      </c>
      <c r="R652" s="146" t="s">
        <v>22807</v>
      </c>
      <c r="T652" s="92" t="s">
        <v>15132</v>
      </c>
      <c r="U652">
        <v>1</v>
      </c>
      <c r="V652">
        <f>VLOOKUP(T652,'Data Angt'!$A$5:$F$5810,6,FALSE)</f>
        <v>27</v>
      </c>
      <c r="W652" s="5" t="str">
        <f t="shared" si="10"/>
        <v>PRODUKTIF</v>
      </c>
      <c r="X652" s="5" t="str">
        <f>VLOOKUP(T652,'Data Angt'!$A$5:$H$5810,8,FALSE)</f>
        <v>Mengurus Rumah Tangga</v>
      </c>
      <c r="Y652" s="5" t="str">
        <f>VLOOKUP(T652,'Data Angt'!$A$5:$C$5808,3,FALSE)</f>
        <v>PBL</v>
      </c>
    </row>
    <row r="653" spans="1:25" x14ac:dyDescent="0.3">
      <c r="A653" s="8">
        <v>647</v>
      </c>
      <c r="B653" s="9" t="s">
        <v>14390</v>
      </c>
      <c r="C653" s="10" t="str">
        <f>VLOOKUP(B653,'Data Angt'!$A$5:$B$5809,2,FALSE)</f>
        <v>A5189</v>
      </c>
      <c r="D653" s="11" t="s">
        <v>9833</v>
      </c>
      <c r="E653" s="12" t="s">
        <v>16318</v>
      </c>
      <c r="F653" s="13">
        <v>45785</v>
      </c>
      <c r="G653" s="14">
        <v>45922</v>
      </c>
      <c r="H653" s="15">
        <v>1500000</v>
      </c>
      <c r="I653" s="16">
        <v>5</v>
      </c>
      <c r="J653" s="17">
        <v>24</v>
      </c>
      <c r="K653" s="9" t="s">
        <v>9831</v>
      </c>
      <c r="L653" s="10" t="s">
        <v>16319</v>
      </c>
      <c r="M653" s="9" t="s">
        <v>9862</v>
      </c>
      <c r="N653" s="10" t="s">
        <v>9834</v>
      </c>
      <c r="O653" s="15">
        <v>917700</v>
      </c>
      <c r="P653" s="145">
        <v>34162</v>
      </c>
      <c r="Q653" s="9"/>
      <c r="R653" s="146"/>
      <c r="T653" s="92" t="s">
        <v>15135</v>
      </c>
      <c r="U653">
        <v>1</v>
      </c>
      <c r="V653">
        <f>VLOOKUP(T653,'Data Angt'!$A$5:$F$5810,6,FALSE)</f>
        <v>50</v>
      </c>
      <c r="W653" s="5" t="str">
        <f t="shared" si="10"/>
        <v>PRODUKTIF</v>
      </c>
      <c r="X653" s="5" t="str">
        <f>VLOOKUP(T653,'Data Angt'!$A$5:$H$5810,8,FALSE)</f>
        <v>Wiraswasta</v>
      </c>
      <c r="Y653" s="5" t="str">
        <f>VLOOKUP(T653,'Data Angt'!$A$5:$C$5808,3,FALSE)</f>
        <v>PBL</v>
      </c>
    </row>
    <row r="654" spans="1:25" x14ac:dyDescent="0.3">
      <c r="A654" s="8">
        <v>648</v>
      </c>
      <c r="B654" s="9" t="s">
        <v>14393</v>
      </c>
      <c r="C654" s="10" t="str">
        <f>VLOOKUP(B654,'Data Angt'!$A$5:$B$5809,2,FALSE)</f>
        <v>A5190</v>
      </c>
      <c r="D654" s="11" t="s">
        <v>9833</v>
      </c>
      <c r="E654" s="12" t="s">
        <v>16320</v>
      </c>
      <c r="F654" s="13">
        <v>45785</v>
      </c>
      <c r="G654" s="14">
        <v>45922</v>
      </c>
      <c r="H654" s="15">
        <v>1500000</v>
      </c>
      <c r="I654" s="16">
        <v>5</v>
      </c>
      <c r="J654" s="17">
        <v>24</v>
      </c>
      <c r="K654" s="9" t="s">
        <v>9831</v>
      </c>
      <c r="L654" s="10" t="s">
        <v>16321</v>
      </c>
      <c r="M654" s="9" t="s">
        <v>9862</v>
      </c>
      <c r="N654" s="10" t="s">
        <v>9834</v>
      </c>
      <c r="O654" s="15">
        <v>617800</v>
      </c>
      <c r="P654" s="145">
        <v>31912</v>
      </c>
      <c r="Q654" s="9"/>
      <c r="R654" s="146"/>
      <c r="T654" s="92" t="s">
        <v>15137</v>
      </c>
      <c r="U654">
        <v>1</v>
      </c>
      <c r="V654">
        <f>VLOOKUP(T654,'Data Angt'!$A$5:$F$5810,6,FALSE)</f>
        <v>40</v>
      </c>
      <c r="W654" s="5" t="str">
        <f t="shared" si="10"/>
        <v>PENDIDIKAN</v>
      </c>
      <c r="X654" s="5" t="str">
        <f>VLOOKUP(T654,'Data Angt'!$A$5:$H$5810,8,FALSE)</f>
        <v>Karyawan</v>
      </c>
      <c r="Y654" s="5" t="str">
        <f>VLOOKUP(T654,'Data Angt'!$A$5:$C$5808,3,FALSE)</f>
        <v>PBL</v>
      </c>
    </row>
    <row r="655" spans="1:25" x14ac:dyDescent="0.3">
      <c r="A655" s="8">
        <v>649</v>
      </c>
      <c r="B655" s="9" t="s">
        <v>14394</v>
      </c>
      <c r="C655" s="10" t="str">
        <f>VLOOKUP(B655,'Data Angt'!$A$5:$B$5809,2,FALSE)</f>
        <v>A5191</v>
      </c>
      <c r="D655" s="11" t="s">
        <v>9833</v>
      </c>
      <c r="E655" s="12" t="s">
        <v>16322</v>
      </c>
      <c r="F655" s="13">
        <v>45785</v>
      </c>
      <c r="G655" s="14">
        <v>45922</v>
      </c>
      <c r="H655" s="15">
        <v>1500000</v>
      </c>
      <c r="I655" s="16">
        <v>5</v>
      </c>
      <c r="J655" s="17">
        <v>24</v>
      </c>
      <c r="K655" s="9" t="s">
        <v>9831</v>
      </c>
      <c r="L655" s="10" t="s">
        <v>16323</v>
      </c>
      <c r="M655" s="9" t="s">
        <v>9862</v>
      </c>
      <c r="N655" s="10" t="s">
        <v>9834</v>
      </c>
      <c r="O655" s="15">
        <v>617800</v>
      </c>
      <c r="P655" s="145">
        <v>31912</v>
      </c>
      <c r="Q655" s="9"/>
      <c r="R655" s="146"/>
      <c r="T655" s="92" t="s">
        <v>15140</v>
      </c>
      <c r="U655">
        <v>1</v>
      </c>
      <c r="V655">
        <f>VLOOKUP(T655,'Data Angt'!$A$5:$F$5810,6,FALSE)</f>
        <v>35</v>
      </c>
      <c r="W655" s="5" t="str">
        <f t="shared" si="10"/>
        <v>PENDIDIKAN</v>
      </c>
      <c r="X655" s="5" t="str">
        <f>VLOOKUP(T655,'Data Angt'!$A$5:$H$5810,8,FALSE)</f>
        <v>Karyawan</v>
      </c>
      <c r="Y655" s="5" t="str">
        <f>VLOOKUP(T655,'Data Angt'!$A$5:$C$5808,3,FALSE)</f>
        <v>PBL</v>
      </c>
    </row>
    <row r="656" spans="1:25" x14ac:dyDescent="0.3">
      <c r="A656" s="8">
        <v>650</v>
      </c>
      <c r="B656" s="9" t="s">
        <v>14397</v>
      </c>
      <c r="C656" s="10" t="str">
        <f>VLOOKUP(B656,'Data Angt'!$A$5:$B$5809,2,FALSE)</f>
        <v>A5192</v>
      </c>
      <c r="D656" s="11" t="s">
        <v>9833</v>
      </c>
      <c r="E656" s="12" t="s">
        <v>16324</v>
      </c>
      <c r="F656" s="13">
        <v>45785</v>
      </c>
      <c r="G656" s="14">
        <v>45922</v>
      </c>
      <c r="H656" s="15">
        <v>1500000</v>
      </c>
      <c r="I656" s="16">
        <v>5</v>
      </c>
      <c r="J656" s="17">
        <v>24</v>
      </c>
      <c r="K656" s="9" t="s">
        <v>9831</v>
      </c>
      <c r="L656" s="10" t="s">
        <v>16325</v>
      </c>
      <c r="M656" s="9" t="s">
        <v>9862</v>
      </c>
      <c r="N656" s="10" t="s">
        <v>9834</v>
      </c>
      <c r="O656" s="15">
        <v>617800</v>
      </c>
      <c r="P656" s="145">
        <v>31912</v>
      </c>
      <c r="Q656" s="9"/>
      <c r="R656" s="146"/>
      <c r="T656" s="92" t="s">
        <v>15160</v>
      </c>
      <c r="U656">
        <v>1</v>
      </c>
      <c r="V656">
        <f>VLOOKUP(T656,'Data Angt'!$A$5:$F$5810,6,FALSE)</f>
        <v>55</v>
      </c>
      <c r="W656" s="5" t="str">
        <f t="shared" si="10"/>
        <v>PRODUKTIF</v>
      </c>
      <c r="X656" s="5" t="str">
        <f>VLOOKUP(T656,'Data Angt'!$A$5:$H$5810,8,FALSE)</f>
        <v>Wiraswasta</v>
      </c>
      <c r="Y656" s="5" t="str">
        <f>VLOOKUP(T656,'Data Angt'!$A$5:$C$5808,3,FALSE)</f>
        <v>PBL</v>
      </c>
    </row>
    <row r="657" spans="1:25" x14ac:dyDescent="0.3">
      <c r="A657" s="8">
        <v>651</v>
      </c>
      <c r="B657" s="9" t="s">
        <v>14408</v>
      </c>
      <c r="C657" s="10" t="str">
        <f>VLOOKUP(B657,'Data Angt'!$A$5:$B$5809,2,FALSE)</f>
        <v>A5197</v>
      </c>
      <c r="D657" s="11" t="s">
        <v>9829</v>
      </c>
      <c r="E657" s="12" t="s">
        <v>16326</v>
      </c>
      <c r="F657" s="13">
        <v>45681</v>
      </c>
      <c r="G657" s="14">
        <v>45903</v>
      </c>
      <c r="H657" s="15">
        <v>12000000</v>
      </c>
      <c r="I657" s="16">
        <v>10</v>
      </c>
      <c r="J657" s="17">
        <v>24</v>
      </c>
      <c r="K657" s="9" t="s">
        <v>9831</v>
      </c>
      <c r="L657" s="10" t="s">
        <v>16327</v>
      </c>
      <c r="M657" s="9" t="s">
        <v>10110</v>
      </c>
      <c r="N657" s="10" t="s">
        <v>9834</v>
      </c>
      <c r="O657" s="15">
        <v>2593500</v>
      </c>
      <c r="P657" s="145">
        <v>480561</v>
      </c>
      <c r="Q657" s="9" t="s">
        <v>22189</v>
      </c>
      <c r="R657" s="146" t="s">
        <v>22808</v>
      </c>
      <c r="T657" s="92" t="s">
        <v>15186</v>
      </c>
      <c r="U657">
        <v>1</v>
      </c>
      <c r="V657">
        <f>VLOOKUP(T657,'Data Angt'!$A$5:$F$5810,6,FALSE)</f>
        <v>51</v>
      </c>
      <c r="W657" s="5" t="str">
        <f t="shared" si="10"/>
        <v>PENDIDIKAN</v>
      </c>
      <c r="X657" s="5" t="str">
        <f>VLOOKUP(T657,'Data Angt'!$A$5:$H$5810,8,FALSE)</f>
        <v>Mengurus Rumah Tangga</v>
      </c>
      <c r="Y657" s="5" t="str">
        <f>VLOOKUP(T657,'Data Angt'!$A$5:$C$5808,3,FALSE)</f>
        <v>PBL</v>
      </c>
    </row>
    <row r="658" spans="1:25" x14ac:dyDescent="0.3">
      <c r="A658" s="8">
        <v>652</v>
      </c>
      <c r="B658" s="9" t="s">
        <v>14418</v>
      </c>
      <c r="C658" s="10" t="str">
        <f>VLOOKUP(B658,'Data Angt'!$A$5:$B$5809,2,FALSE)</f>
        <v>A5201</v>
      </c>
      <c r="D658" s="11" t="s">
        <v>9829</v>
      </c>
      <c r="E658" s="12" t="s">
        <v>16328</v>
      </c>
      <c r="F658" s="13">
        <v>45667</v>
      </c>
      <c r="G658" s="14">
        <v>45911</v>
      </c>
      <c r="H658" s="15">
        <v>3500000</v>
      </c>
      <c r="I658" s="16">
        <v>24</v>
      </c>
      <c r="J658" s="17">
        <v>24</v>
      </c>
      <c r="K658" s="9" t="s">
        <v>9831</v>
      </c>
      <c r="L658" s="10" t="s">
        <v>16329</v>
      </c>
      <c r="M658" s="9" t="s">
        <v>16330</v>
      </c>
      <c r="N658" s="10" t="s">
        <v>9828</v>
      </c>
      <c r="O658" s="15">
        <v>2512400</v>
      </c>
      <c r="P658" s="145">
        <v>184948</v>
      </c>
      <c r="Q658" s="9" t="s">
        <v>22189</v>
      </c>
      <c r="R658" s="146" t="s">
        <v>22809</v>
      </c>
      <c r="T658" s="92" t="s">
        <v>15191</v>
      </c>
      <c r="U658">
        <v>1</v>
      </c>
      <c r="V658">
        <f>VLOOKUP(T658,'Data Angt'!$A$5:$F$5810,6,FALSE)</f>
        <v>50</v>
      </c>
      <c r="W658" s="5" t="str">
        <f t="shared" si="10"/>
        <v>PRODUKTIF</v>
      </c>
      <c r="X658" s="5" t="str">
        <f>VLOOKUP(T658,'Data Angt'!$A$5:$H$5810,8,FALSE)</f>
        <v>Wiraswasta</v>
      </c>
      <c r="Y658" s="5" t="str">
        <f>VLOOKUP(T658,'Data Angt'!$A$5:$C$5808,3,FALSE)</f>
        <v>PBL</v>
      </c>
    </row>
    <row r="659" spans="1:25" x14ac:dyDescent="0.3">
      <c r="A659" s="8">
        <v>653</v>
      </c>
      <c r="B659" s="9" t="s">
        <v>14436</v>
      </c>
      <c r="C659" s="10" t="str">
        <f>VLOOKUP(B659,'Data Angt'!$A$5:$B$5809,2,FALSE)</f>
        <v>A5209</v>
      </c>
      <c r="D659" s="11" t="s">
        <v>9829</v>
      </c>
      <c r="E659" s="12" t="s">
        <v>16331</v>
      </c>
      <c r="F659" s="13">
        <v>45671</v>
      </c>
      <c r="G659" s="14">
        <v>45917</v>
      </c>
      <c r="H659" s="15">
        <v>5000000</v>
      </c>
      <c r="I659" s="16">
        <v>24</v>
      </c>
      <c r="J659" s="17">
        <v>24</v>
      </c>
      <c r="K659" s="9" t="s">
        <v>9831</v>
      </c>
      <c r="L659" s="10" t="s">
        <v>16332</v>
      </c>
      <c r="M659" s="9" t="s">
        <v>16333</v>
      </c>
      <c r="N659" s="10" t="s">
        <v>9828</v>
      </c>
      <c r="O659" s="15">
        <v>3589300</v>
      </c>
      <c r="P659" s="145">
        <v>264186</v>
      </c>
      <c r="Q659" s="9" t="s">
        <v>22189</v>
      </c>
      <c r="R659" s="146" t="s">
        <v>22810</v>
      </c>
      <c r="T659" s="92" t="s">
        <v>15195</v>
      </c>
      <c r="U659">
        <v>1</v>
      </c>
      <c r="V659">
        <f>VLOOKUP(T659,'Data Angt'!$A$5:$F$5810,6,FALSE)</f>
        <v>29</v>
      </c>
      <c r="W659" s="5" t="str">
        <f t="shared" si="10"/>
        <v>KESEJAHTERAAN</v>
      </c>
      <c r="X659" s="5" t="str">
        <f>VLOOKUP(T659,'Data Angt'!$A$5:$H$5810,8,FALSE)</f>
        <v>Tenaga Pengajar</v>
      </c>
      <c r="Y659" s="5" t="str">
        <f>VLOOKUP(T659,'Data Angt'!$A$5:$C$5808,3,FALSE)</f>
        <v>PBL</v>
      </c>
    </row>
    <row r="660" spans="1:25" x14ac:dyDescent="0.3">
      <c r="A660" s="8">
        <v>654</v>
      </c>
      <c r="B660" s="9" t="s">
        <v>14443</v>
      </c>
      <c r="C660" s="10" t="str">
        <f>VLOOKUP(B660,'Data Angt'!$A$5:$B$5809,2,FALSE)</f>
        <v>A5212</v>
      </c>
      <c r="D660" s="11" t="s">
        <v>9829</v>
      </c>
      <c r="E660" s="12" t="s">
        <v>16334</v>
      </c>
      <c r="F660" s="13">
        <v>45672</v>
      </c>
      <c r="G660" s="14">
        <v>45929</v>
      </c>
      <c r="H660" s="15">
        <v>4500000</v>
      </c>
      <c r="I660" s="16">
        <v>12</v>
      </c>
      <c r="J660" s="17">
        <v>24</v>
      </c>
      <c r="K660" s="9" t="s">
        <v>9831</v>
      </c>
      <c r="L660" s="10" t="s">
        <v>16335</v>
      </c>
      <c r="M660" s="9" t="s">
        <v>16336</v>
      </c>
      <c r="N660" s="10" t="s">
        <v>17</v>
      </c>
      <c r="O660" s="15">
        <v>1627500</v>
      </c>
      <c r="P660" s="145">
        <v>199610</v>
      </c>
      <c r="Q660" s="9"/>
      <c r="R660" s="146"/>
      <c r="T660" s="92" t="s">
        <v>15203</v>
      </c>
      <c r="U660">
        <v>1</v>
      </c>
      <c r="V660">
        <f>VLOOKUP(T660,'Data Angt'!$A$5:$F$5810,6,FALSE)</f>
        <v>26</v>
      </c>
      <c r="W660" s="5" t="str">
        <f t="shared" si="10"/>
        <v>KESEHATAN</v>
      </c>
      <c r="X660" s="5" t="str">
        <f>VLOOKUP(T660,'Data Angt'!$A$5:$H$5810,8,FALSE)</f>
        <v>Karyawan</v>
      </c>
      <c r="Y660" s="5" t="str">
        <f>VLOOKUP(T660,'Data Angt'!$A$5:$C$5808,3,FALSE)</f>
        <v>PBL</v>
      </c>
    </row>
    <row r="661" spans="1:25" x14ac:dyDescent="0.3">
      <c r="A661" s="8">
        <v>655</v>
      </c>
      <c r="B661" s="9" t="s">
        <v>14459</v>
      </c>
      <c r="C661" s="10" t="str">
        <f>VLOOKUP(B661,'Data Angt'!$A$5:$B$5809,2,FALSE)</f>
        <v>A5218</v>
      </c>
      <c r="D661" s="11" t="s">
        <v>9829</v>
      </c>
      <c r="E661" s="12" t="s">
        <v>16337</v>
      </c>
      <c r="F661" s="13">
        <v>45782</v>
      </c>
      <c r="G661" s="14">
        <v>45904</v>
      </c>
      <c r="H661" s="15">
        <v>2000000</v>
      </c>
      <c r="I661" s="16">
        <v>6</v>
      </c>
      <c r="J661" s="17">
        <v>24</v>
      </c>
      <c r="K661" s="9" t="s">
        <v>9831</v>
      </c>
      <c r="L661" s="10" t="s">
        <v>16338</v>
      </c>
      <c r="M661" s="9" t="s">
        <v>16339</v>
      </c>
      <c r="N661" s="10" t="s">
        <v>9828</v>
      </c>
      <c r="O661" s="15">
        <v>693100</v>
      </c>
      <c r="P661" s="145">
        <v>45562</v>
      </c>
      <c r="Q661" s="9"/>
      <c r="R661" s="146"/>
      <c r="T661" s="92" t="s">
        <v>15205</v>
      </c>
      <c r="U661">
        <v>1</v>
      </c>
      <c r="V661">
        <f>VLOOKUP(T661,'Data Angt'!$A$5:$F$5810,6,FALSE)</f>
        <v>21</v>
      </c>
      <c r="W661" s="5" t="str">
        <f t="shared" si="10"/>
        <v>KONSUMTIF</v>
      </c>
      <c r="X661" s="5" t="str">
        <f>VLOOKUP(T661,'Data Angt'!$A$5:$H$5810,8,FALSE)</f>
        <v>Karyawan</v>
      </c>
      <c r="Y661" s="5" t="str">
        <f>VLOOKUP(T661,'Data Angt'!$A$5:$C$5808,3,FALSE)</f>
        <v>PBL</v>
      </c>
    </row>
    <row r="662" spans="1:25" x14ac:dyDescent="0.3">
      <c r="A662" s="8">
        <v>656</v>
      </c>
      <c r="B662" s="9" t="s">
        <v>14464</v>
      </c>
      <c r="C662" s="10" t="str">
        <f>VLOOKUP(B662,'Data Angt'!$A$5:$B$5809,2,FALSE)</f>
        <v>A5221</v>
      </c>
      <c r="D662" s="11" t="s">
        <v>9829</v>
      </c>
      <c r="E662" s="12" t="s">
        <v>16340</v>
      </c>
      <c r="F662" s="13">
        <v>45681</v>
      </c>
      <c r="G662" s="14">
        <v>45919</v>
      </c>
      <c r="H662" s="15">
        <v>5000000</v>
      </c>
      <c r="I662" s="16">
        <v>12</v>
      </c>
      <c r="J662" s="17">
        <v>24</v>
      </c>
      <c r="K662" s="9" t="s">
        <v>9831</v>
      </c>
      <c r="L662" s="10" t="s">
        <v>16341</v>
      </c>
      <c r="M662" s="9" t="s">
        <v>10149</v>
      </c>
      <c r="N662" s="10" t="s">
        <v>9830</v>
      </c>
      <c r="O662" s="15">
        <v>2228800</v>
      </c>
      <c r="P662" s="145">
        <v>201899</v>
      </c>
      <c r="Q662" s="9" t="s">
        <v>22189</v>
      </c>
      <c r="R662" s="146" t="s">
        <v>22811</v>
      </c>
      <c r="T662" s="92" t="s">
        <v>15207</v>
      </c>
      <c r="U662">
        <v>1</v>
      </c>
      <c r="V662">
        <f>VLOOKUP(T662,'Data Angt'!$A$5:$F$5810,6,FALSE)</f>
        <v>28</v>
      </c>
      <c r="W662" s="5" t="str">
        <f t="shared" si="10"/>
        <v>KESEHATAN</v>
      </c>
      <c r="X662" s="5" t="str">
        <f>VLOOKUP(T662,'Data Angt'!$A$5:$H$5810,8,FALSE)</f>
        <v>Karyawan</v>
      </c>
      <c r="Y662" s="5" t="str">
        <f>VLOOKUP(T662,'Data Angt'!$A$5:$C$5808,3,FALSE)</f>
        <v>PBL</v>
      </c>
    </row>
    <row r="663" spans="1:25" x14ac:dyDescent="0.3">
      <c r="A663" s="8">
        <v>657</v>
      </c>
      <c r="B663" s="9" t="s">
        <v>14467</v>
      </c>
      <c r="C663" s="10" t="str">
        <f>VLOOKUP(B663,'Data Angt'!$A$5:$B$5809,2,FALSE)</f>
        <v>A5222</v>
      </c>
      <c r="D663" s="11" t="s">
        <v>9829</v>
      </c>
      <c r="E663" s="12" t="s">
        <v>16342</v>
      </c>
      <c r="F663" s="13">
        <v>45677</v>
      </c>
      <c r="G663" s="14">
        <v>45925</v>
      </c>
      <c r="H663" s="15">
        <v>4000000</v>
      </c>
      <c r="I663" s="16">
        <v>24</v>
      </c>
      <c r="J663" s="17">
        <v>24</v>
      </c>
      <c r="K663" s="9" t="s">
        <v>9831</v>
      </c>
      <c r="L663" s="10" t="s">
        <v>16343</v>
      </c>
      <c r="M663" s="9" t="s">
        <v>15801</v>
      </c>
      <c r="N663" s="10" t="s">
        <v>9830</v>
      </c>
      <c r="O663" s="15">
        <v>2871700</v>
      </c>
      <c r="P663" s="145">
        <v>211386</v>
      </c>
      <c r="Q663" s="9" t="s">
        <v>22189</v>
      </c>
      <c r="R663" s="146" t="s">
        <v>22812</v>
      </c>
      <c r="T663" s="92" t="s">
        <v>15212</v>
      </c>
      <c r="U663">
        <v>1</v>
      </c>
      <c r="V663">
        <f>VLOOKUP(T663,'Data Angt'!$A$5:$F$5810,6,FALSE)</f>
        <v>42</v>
      </c>
      <c r="W663" s="5" t="str">
        <f t="shared" si="10"/>
        <v>KONSUMTIF</v>
      </c>
      <c r="X663" s="5" t="str">
        <f>VLOOKUP(T663,'Data Angt'!$A$5:$H$5810,8,FALSE)</f>
        <v>Wiraswasta</v>
      </c>
      <c r="Y663" s="5" t="str">
        <f>VLOOKUP(T663,'Data Angt'!$A$5:$C$5808,3,FALSE)</f>
        <v>PBL</v>
      </c>
    </row>
    <row r="664" spans="1:25" x14ac:dyDescent="0.3">
      <c r="A664" s="8">
        <v>658</v>
      </c>
      <c r="B664" s="9" t="s">
        <v>14480</v>
      </c>
      <c r="C664" s="10" t="str">
        <f>VLOOKUP(B664,'Data Angt'!$A$5:$B$5809,2,FALSE)</f>
        <v>A5228</v>
      </c>
      <c r="D664" s="11" t="s">
        <v>9829</v>
      </c>
      <c r="E664" s="12" t="s">
        <v>16344</v>
      </c>
      <c r="F664" s="13">
        <v>45680</v>
      </c>
      <c r="G664" s="14">
        <v>45925</v>
      </c>
      <c r="H664" s="15">
        <v>10000000</v>
      </c>
      <c r="I664" s="16">
        <v>24</v>
      </c>
      <c r="J664" s="17">
        <v>24</v>
      </c>
      <c r="K664" s="9" t="s">
        <v>9831</v>
      </c>
      <c r="L664" s="10" t="s">
        <v>16345</v>
      </c>
      <c r="M664" s="9" t="s">
        <v>9838</v>
      </c>
      <c r="N664" s="10" t="s">
        <v>9830</v>
      </c>
      <c r="O664" s="15">
        <v>7178300</v>
      </c>
      <c r="P664" s="145">
        <v>528261</v>
      </c>
      <c r="Q664" s="9"/>
      <c r="R664" s="146"/>
      <c r="T664" s="92" t="s">
        <v>15237</v>
      </c>
      <c r="U664">
        <v>1</v>
      </c>
      <c r="V664">
        <f>VLOOKUP(T664,'Data Angt'!$A$5:$F$5810,6,FALSE)</f>
        <v>21</v>
      </c>
      <c r="W664" s="5" t="str">
        <f t="shared" si="10"/>
        <v>KONSUMTIF</v>
      </c>
      <c r="X664" s="5" t="str">
        <f>VLOOKUP(T664,'Data Angt'!$A$5:$H$5810,8,FALSE)</f>
        <v>Karyawan</v>
      </c>
      <c r="Y664" s="5" t="str">
        <f>VLOOKUP(T664,'Data Angt'!$A$5:$C$5808,3,FALSE)</f>
        <v>PBL</v>
      </c>
    </row>
    <row r="665" spans="1:25" x14ac:dyDescent="0.3">
      <c r="A665" s="8">
        <v>659</v>
      </c>
      <c r="B665" s="9" t="s">
        <v>14484</v>
      </c>
      <c r="C665" s="10" t="str">
        <f>VLOOKUP(B665,'Data Angt'!$A$5:$B$5809,2,FALSE)</f>
        <v>A5230</v>
      </c>
      <c r="D665" s="11" t="s">
        <v>9833</v>
      </c>
      <c r="E665" s="12" t="s">
        <v>16346</v>
      </c>
      <c r="F665" s="13">
        <v>45681</v>
      </c>
      <c r="G665" s="14">
        <v>45922</v>
      </c>
      <c r="H665" s="15">
        <v>5000000</v>
      </c>
      <c r="I665" s="16">
        <v>20</v>
      </c>
      <c r="J665" s="17">
        <v>24</v>
      </c>
      <c r="K665" s="9" t="s">
        <v>9831</v>
      </c>
      <c r="L665" s="10" t="s">
        <v>16347</v>
      </c>
      <c r="M665" s="9" t="s">
        <v>9862</v>
      </c>
      <c r="N665" s="10" t="s">
        <v>9834</v>
      </c>
      <c r="O665" s="15">
        <v>3470300</v>
      </c>
      <c r="P665" s="145">
        <v>229085</v>
      </c>
      <c r="Q665" s="9" t="s">
        <v>22189</v>
      </c>
      <c r="R665" s="146" t="s">
        <v>22813</v>
      </c>
      <c r="T665" s="92" t="s">
        <v>15255</v>
      </c>
      <c r="U665">
        <v>1</v>
      </c>
      <c r="V665">
        <f>VLOOKUP(T665,'Data Angt'!$A$5:$F$5810,6,FALSE)</f>
        <v>29</v>
      </c>
      <c r="W665" s="5" t="str">
        <f t="shared" si="10"/>
        <v>KONSUMTIF</v>
      </c>
      <c r="X665" s="5" t="str">
        <f>VLOOKUP(T665,'Data Angt'!$A$5:$H$5810,8,FALSE)</f>
        <v>Karyawan</v>
      </c>
      <c r="Y665" s="5" t="str">
        <f>VLOOKUP(T665,'Data Angt'!$A$5:$C$5808,3,FALSE)</f>
        <v>PBL</v>
      </c>
    </row>
    <row r="666" spans="1:25" x14ac:dyDescent="0.3">
      <c r="A666" s="8">
        <v>660</v>
      </c>
      <c r="B666" s="9" t="s">
        <v>14519</v>
      </c>
      <c r="C666" s="10" t="str">
        <f>VLOOKUP(B666,'Data Angt'!$A$5:$B$5809,2,FALSE)</f>
        <v>A5245</v>
      </c>
      <c r="D666" s="11" t="s">
        <v>9829</v>
      </c>
      <c r="E666" s="12" t="s">
        <v>16348</v>
      </c>
      <c r="F666" s="13">
        <v>45706</v>
      </c>
      <c r="G666" s="14">
        <v>45918</v>
      </c>
      <c r="H666" s="15">
        <v>15000000</v>
      </c>
      <c r="I666" s="16">
        <v>12</v>
      </c>
      <c r="J666" s="17">
        <v>24</v>
      </c>
      <c r="K666" s="9" t="s">
        <v>9831</v>
      </c>
      <c r="L666" s="10" t="s">
        <v>16349</v>
      </c>
      <c r="M666" s="9" t="s">
        <v>10149</v>
      </c>
      <c r="N666" s="10" t="s">
        <v>9830</v>
      </c>
      <c r="O666" s="15">
        <v>6686000</v>
      </c>
      <c r="P666" s="145">
        <v>605548</v>
      </c>
      <c r="Q666" s="9" t="s">
        <v>22197</v>
      </c>
      <c r="R666" s="146" t="s">
        <v>22814</v>
      </c>
      <c r="T666" s="92" t="s">
        <v>15267</v>
      </c>
      <c r="U666">
        <v>1</v>
      </c>
      <c r="V666">
        <f>VLOOKUP(T666,'Data Angt'!$A$5:$F$5810,6,FALSE)</f>
        <v>42</v>
      </c>
      <c r="W666" s="5" t="str">
        <f t="shared" si="10"/>
        <v>KONSUMTIF</v>
      </c>
      <c r="X666" s="5" t="str">
        <f>VLOOKUP(T666,'Data Angt'!$A$5:$H$5810,8,FALSE)</f>
        <v>Mengurus Rumah Tangga</v>
      </c>
      <c r="Y666" s="5" t="str">
        <f>VLOOKUP(T666,'Data Angt'!$A$5:$C$5808,3,FALSE)</f>
        <v>PBL</v>
      </c>
    </row>
    <row r="667" spans="1:25" x14ac:dyDescent="0.3">
      <c r="A667" s="8">
        <v>661</v>
      </c>
      <c r="B667" s="9" t="s">
        <v>14521</v>
      </c>
      <c r="C667" s="10" t="str">
        <f>VLOOKUP(B667,'Data Angt'!$A$5:$B$5809,2,FALSE)</f>
        <v>A5246</v>
      </c>
      <c r="D667" s="11" t="s">
        <v>9833</v>
      </c>
      <c r="E667" s="12" t="s">
        <v>22815</v>
      </c>
      <c r="F667" s="13">
        <v>45882</v>
      </c>
      <c r="G667" s="14">
        <v>45915</v>
      </c>
      <c r="H667" s="15">
        <v>150000000</v>
      </c>
      <c r="I667" s="16">
        <v>30</v>
      </c>
      <c r="J667" s="17">
        <v>21</v>
      </c>
      <c r="K667" s="9" t="s">
        <v>9831</v>
      </c>
      <c r="L667" s="10" t="s">
        <v>22816</v>
      </c>
      <c r="M667" s="9" t="s">
        <v>22817</v>
      </c>
      <c r="N667" s="10" t="s">
        <v>9834</v>
      </c>
      <c r="O667" s="15">
        <v>146155500</v>
      </c>
      <c r="P667" s="145">
        <v>984375</v>
      </c>
      <c r="Q667" s="9" t="s">
        <v>22197</v>
      </c>
      <c r="R667" s="146" t="s">
        <v>22818</v>
      </c>
      <c r="T667" s="92" t="s">
        <v>15288</v>
      </c>
      <c r="U667">
        <v>1</v>
      </c>
      <c r="V667">
        <f>VLOOKUP(T667,'Data Angt'!$A$5:$F$5810,6,FALSE)</f>
        <v>38</v>
      </c>
      <c r="W667" s="5" t="str">
        <f t="shared" si="10"/>
        <v>PRODUKTIF</v>
      </c>
      <c r="X667" s="5" t="str">
        <f>VLOOKUP(T667,'Data Angt'!$A$5:$H$5810,8,FALSE)</f>
        <v>Karyawan</v>
      </c>
      <c r="Y667" s="5" t="str">
        <f>VLOOKUP(T667,'Data Angt'!$A$5:$C$5808,3,FALSE)</f>
        <v>PBL</v>
      </c>
    </row>
    <row r="668" spans="1:25" x14ac:dyDescent="0.3">
      <c r="A668" s="8">
        <v>662</v>
      </c>
      <c r="B668" s="9" t="s">
        <v>14531</v>
      </c>
      <c r="C668" s="10" t="str">
        <f>VLOOKUP(B668,'Data Angt'!$A$5:$B$5809,2,FALSE)</f>
        <v>A5250</v>
      </c>
      <c r="D668" s="11" t="s">
        <v>9829</v>
      </c>
      <c r="E668" s="12" t="s">
        <v>16350</v>
      </c>
      <c r="F668" s="13">
        <v>45813</v>
      </c>
      <c r="G668" s="14">
        <v>45908</v>
      </c>
      <c r="H668" s="15">
        <v>5000000</v>
      </c>
      <c r="I668" s="16">
        <v>12</v>
      </c>
      <c r="J668" s="17">
        <v>24</v>
      </c>
      <c r="K668" s="9" t="s">
        <v>9827</v>
      </c>
      <c r="L668" s="10" t="s">
        <v>16351</v>
      </c>
      <c r="M668" s="9" t="s">
        <v>9841</v>
      </c>
      <c r="N668" s="10" t="s">
        <v>17</v>
      </c>
      <c r="O668" s="15">
        <v>3749900</v>
      </c>
      <c r="P668" s="145">
        <v>103162</v>
      </c>
      <c r="Q668" s="9"/>
      <c r="R668" s="146"/>
      <c r="T668" s="92" t="s">
        <v>15291</v>
      </c>
      <c r="U668">
        <v>1</v>
      </c>
      <c r="V668">
        <f>VLOOKUP(T668,'Data Angt'!$A$5:$F$5810,6,FALSE)</f>
        <v>20</v>
      </c>
      <c r="W668" s="5" t="str">
        <f t="shared" si="10"/>
        <v>KONSUMTIF</v>
      </c>
      <c r="X668" s="5" t="str">
        <f>VLOOKUP(T668,'Data Angt'!$A$5:$H$5810,8,FALSE)</f>
        <v>Pelajar/Mahasiswa</v>
      </c>
      <c r="Y668" s="5" t="str">
        <f>VLOOKUP(T668,'Data Angt'!$A$5:$C$5808,3,FALSE)</f>
        <v>PBL</v>
      </c>
    </row>
    <row r="669" spans="1:25" x14ac:dyDescent="0.3">
      <c r="A669" s="8">
        <v>663</v>
      </c>
      <c r="B669" s="9" t="s">
        <v>14538</v>
      </c>
      <c r="C669" s="10" t="str">
        <f>VLOOKUP(B669,'Data Angt'!$A$5:$B$5809,2,FALSE)</f>
        <v>A5253</v>
      </c>
      <c r="D669" s="11" t="s">
        <v>9833</v>
      </c>
      <c r="E669" s="12" t="s">
        <v>16352</v>
      </c>
      <c r="F669" s="13">
        <v>45813</v>
      </c>
      <c r="G669" s="14">
        <v>45901</v>
      </c>
      <c r="H669" s="15">
        <v>2000000</v>
      </c>
      <c r="I669" s="16">
        <v>10</v>
      </c>
      <c r="J669" s="17">
        <v>24</v>
      </c>
      <c r="K669" s="9" t="s">
        <v>9831</v>
      </c>
      <c r="L669" s="10" t="s">
        <v>16353</v>
      </c>
      <c r="M669" s="9" t="s">
        <v>16354</v>
      </c>
      <c r="N669" s="10" t="s">
        <v>9834</v>
      </c>
      <c r="O669" s="15">
        <v>1441000</v>
      </c>
      <c r="P669" s="145">
        <v>40912</v>
      </c>
      <c r="Q669" s="9"/>
      <c r="R669" s="146"/>
      <c r="T669" s="92" t="s">
        <v>15311</v>
      </c>
      <c r="U669">
        <v>1</v>
      </c>
      <c r="V669">
        <f>VLOOKUP(T669,'Data Angt'!$A$5:$F$5810,6,FALSE)</f>
        <v>19</v>
      </c>
      <c r="W669" s="5" t="str">
        <f t="shared" si="10"/>
        <v>KONSUMTIF</v>
      </c>
      <c r="X669" s="5" t="str">
        <f>VLOOKUP(T669,'Data Angt'!$A$5:$H$5810,8,FALSE)</f>
        <v>Pelajar/Mahasiswa</v>
      </c>
      <c r="Y669" s="5" t="str">
        <f>VLOOKUP(T669,'Data Angt'!$A$5:$C$5808,3,FALSE)</f>
        <v>PBL</v>
      </c>
    </row>
    <row r="670" spans="1:25" x14ac:dyDescent="0.3">
      <c r="A670" s="8">
        <v>664</v>
      </c>
      <c r="B670" s="9" t="s">
        <v>14614</v>
      </c>
      <c r="C670" s="10" t="str">
        <f>VLOOKUP(B670,'Data Angt'!$A$5:$B$5809,2,FALSE)</f>
        <v>A5284</v>
      </c>
      <c r="D670" s="11" t="s">
        <v>9829</v>
      </c>
      <c r="E670" s="12" t="s">
        <v>22819</v>
      </c>
      <c r="F670" s="13">
        <v>45847</v>
      </c>
      <c r="G670" s="14">
        <v>45909</v>
      </c>
      <c r="H670" s="15">
        <v>1200000</v>
      </c>
      <c r="I670" s="16">
        <v>12</v>
      </c>
      <c r="J670" s="17">
        <v>24</v>
      </c>
      <c r="K670" s="9" t="s">
        <v>9831</v>
      </c>
      <c r="L670" s="10" t="s">
        <v>22820</v>
      </c>
      <c r="M670" s="9" t="s">
        <v>9841</v>
      </c>
      <c r="N670" s="10"/>
      <c r="O670" s="15">
        <v>1019300</v>
      </c>
      <c r="P670" s="145">
        <v>17362</v>
      </c>
      <c r="Q670" s="9"/>
      <c r="R670" s="146"/>
      <c r="T670" s="92" t="s">
        <v>15320</v>
      </c>
      <c r="U670">
        <v>1</v>
      </c>
      <c r="V670">
        <f>VLOOKUP(T670,'Data Angt'!$A$5:$F$5810,6,FALSE)</f>
        <v>50</v>
      </c>
      <c r="W670" s="5" t="str">
        <f t="shared" si="10"/>
        <v>PRODUKTIF</v>
      </c>
      <c r="X670" s="5" t="str">
        <f>VLOOKUP(T670,'Data Angt'!$A$5:$H$5810,8,FALSE)</f>
        <v>Mengurus Rumah Tangga</v>
      </c>
      <c r="Y670" s="5" t="str">
        <f>VLOOKUP(T670,'Data Angt'!$A$5:$C$5808,3,FALSE)</f>
        <v>PBL</v>
      </c>
    </row>
    <row r="671" spans="1:25" x14ac:dyDescent="0.3">
      <c r="A671" s="8">
        <v>665</v>
      </c>
      <c r="B671" s="9" t="s">
        <v>14622</v>
      </c>
      <c r="C671" s="10" t="str">
        <f>VLOOKUP(B671,'Data Angt'!$A$5:$B$5809,2,FALSE)</f>
        <v>A5288</v>
      </c>
      <c r="D671" s="11" t="s">
        <v>9829</v>
      </c>
      <c r="E671" s="12" t="s">
        <v>16355</v>
      </c>
      <c r="F671" s="13">
        <v>45698</v>
      </c>
      <c r="G671" s="14">
        <v>45908</v>
      </c>
      <c r="H671" s="15">
        <v>5000000</v>
      </c>
      <c r="I671" s="16">
        <v>12</v>
      </c>
      <c r="J671" s="17">
        <v>24</v>
      </c>
      <c r="K671" s="9" t="s">
        <v>9831</v>
      </c>
      <c r="L671" s="10" t="s">
        <v>16356</v>
      </c>
      <c r="M671" s="9" t="s">
        <v>16249</v>
      </c>
      <c r="N671" s="10" t="s">
        <v>17</v>
      </c>
      <c r="O671" s="15">
        <v>2228800</v>
      </c>
      <c r="P671" s="145">
        <v>201899</v>
      </c>
      <c r="Q671" s="9" t="s">
        <v>22189</v>
      </c>
      <c r="R671" s="146" t="s">
        <v>22821</v>
      </c>
      <c r="T671" s="92" t="s">
        <v>15329</v>
      </c>
      <c r="U671">
        <v>1</v>
      </c>
      <c r="V671">
        <f>VLOOKUP(T671,'Data Angt'!$A$5:$F$5810,6,FALSE)</f>
        <v>50</v>
      </c>
      <c r="W671" s="5" t="str">
        <f t="shared" si="10"/>
        <v>PRODUKTIF</v>
      </c>
      <c r="X671" s="5" t="str">
        <f>VLOOKUP(T671,'Data Angt'!$A$5:$H$5810,8,FALSE)</f>
        <v>Wiraswasta</v>
      </c>
      <c r="Y671" s="5" t="str">
        <f>VLOOKUP(T671,'Data Angt'!$A$5:$C$5808,3,FALSE)</f>
        <v>PBL</v>
      </c>
    </row>
    <row r="672" spans="1:25" x14ac:dyDescent="0.3">
      <c r="A672" s="8">
        <v>666</v>
      </c>
      <c r="B672" s="9" t="s">
        <v>14634</v>
      </c>
      <c r="C672" s="10" t="str">
        <f>VLOOKUP(B672,'Data Angt'!$A$5:$B$5809,2,FALSE)</f>
        <v>A5293</v>
      </c>
      <c r="D672" s="11" t="s">
        <v>9833</v>
      </c>
      <c r="E672" s="12" t="s">
        <v>22822</v>
      </c>
      <c r="F672" s="13">
        <v>45922</v>
      </c>
      <c r="G672" s="14">
        <v>45922</v>
      </c>
      <c r="H672" s="15">
        <v>15000000</v>
      </c>
      <c r="I672" s="16">
        <v>24</v>
      </c>
      <c r="J672" s="17">
        <v>24</v>
      </c>
      <c r="K672" s="9" t="s">
        <v>9831</v>
      </c>
      <c r="L672" s="10" t="s">
        <v>22823</v>
      </c>
      <c r="M672" s="9" t="s">
        <v>15480</v>
      </c>
      <c r="N672" s="10" t="s">
        <v>9834</v>
      </c>
      <c r="O672" s="15">
        <v>15000000</v>
      </c>
      <c r="P672" s="147">
        <v>0</v>
      </c>
      <c r="Q672" s="9" t="s">
        <v>22189</v>
      </c>
      <c r="R672" s="146" t="s">
        <v>22824</v>
      </c>
      <c r="T672" s="92" t="s">
        <v>18865</v>
      </c>
      <c r="U672">
        <v>1</v>
      </c>
      <c r="V672">
        <f>VLOOKUP(T672,'Data Angt'!$A$5:$F$5810,6,FALSE)</f>
        <v>34</v>
      </c>
      <c r="W672" s="5" t="str">
        <f t="shared" si="10"/>
        <v>KESEJAHTERAAN</v>
      </c>
      <c r="X672" s="5" t="str">
        <f>VLOOKUP(T672,'Data Angt'!$A$5:$H$5810,8,FALSE)</f>
        <v>Karyawan</v>
      </c>
      <c r="Y672" s="5" t="str">
        <f>VLOOKUP(T672,'Data Angt'!$A$5:$C$5808,3,FALSE)</f>
        <v>PBL</v>
      </c>
    </row>
    <row r="673" spans="1:25" x14ac:dyDescent="0.3">
      <c r="A673" s="8">
        <v>667</v>
      </c>
      <c r="B673" s="9" t="s">
        <v>14653</v>
      </c>
      <c r="C673" s="10" t="str">
        <f>VLOOKUP(B673,'Data Angt'!$A$5:$B$5809,2,FALSE)</f>
        <v>A5301</v>
      </c>
      <c r="D673" s="11" t="s">
        <v>9829</v>
      </c>
      <c r="E673" s="12" t="s">
        <v>22825</v>
      </c>
      <c r="F673" s="13">
        <v>45894</v>
      </c>
      <c r="G673" s="14">
        <v>45927</v>
      </c>
      <c r="H673" s="15">
        <v>10000000</v>
      </c>
      <c r="I673" s="16">
        <v>10</v>
      </c>
      <c r="J673" s="17">
        <v>24</v>
      </c>
      <c r="K673" s="9" t="s">
        <v>9831</v>
      </c>
      <c r="L673" s="10" t="s">
        <v>22826</v>
      </c>
      <c r="M673" s="9" t="s">
        <v>9832</v>
      </c>
      <c r="N673" s="10" t="s">
        <v>17</v>
      </c>
      <c r="O673" s="15">
        <v>9086700</v>
      </c>
      <c r="P673" s="145">
        <v>75000</v>
      </c>
      <c r="Q673" s="9" t="s">
        <v>22189</v>
      </c>
      <c r="R673" s="146" t="s">
        <v>22827</v>
      </c>
      <c r="T673" s="92" t="s">
        <v>18938</v>
      </c>
      <c r="U673">
        <v>1</v>
      </c>
      <c r="V673">
        <f>VLOOKUP(T673,'Data Angt'!$A$5:$F$5810,6,FALSE)</f>
        <v>30</v>
      </c>
      <c r="W673" s="5" t="str">
        <f t="shared" si="10"/>
        <v>PRODUKTIF</v>
      </c>
      <c r="X673" s="5" t="str">
        <f>VLOOKUP(T673,'Data Angt'!$A$5:$H$5810,8,FALSE)</f>
        <v>Wiraswasta</v>
      </c>
      <c r="Y673" s="5" t="str">
        <f>VLOOKUP(T673,'Data Angt'!$A$5:$C$5808,3,FALSE)</f>
        <v>PBL</v>
      </c>
    </row>
    <row r="674" spans="1:25" x14ac:dyDescent="0.3">
      <c r="A674" s="8">
        <v>668</v>
      </c>
      <c r="B674" s="9" t="s">
        <v>14664</v>
      </c>
      <c r="C674" s="10" t="str">
        <f>VLOOKUP(B674,'Data Angt'!$A$5:$B$5809,2,FALSE)</f>
        <v>A5306</v>
      </c>
      <c r="D674" s="11" t="s">
        <v>9829</v>
      </c>
      <c r="E674" s="12" t="s">
        <v>22828</v>
      </c>
      <c r="F674" s="13">
        <v>45882</v>
      </c>
      <c r="G674" s="14">
        <v>45911</v>
      </c>
      <c r="H674" s="15">
        <v>4000000</v>
      </c>
      <c r="I674" s="16">
        <v>12</v>
      </c>
      <c r="J674" s="17">
        <v>24</v>
      </c>
      <c r="K674" s="9" t="s">
        <v>9831</v>
      </c>
      <c r="L674" s="10" t="s">
        <v>22829</v>
      </c>
      <c r="M674" s="9" t="s">
        <v>9838</v>
      </c>
      <c r="N674" s="10" t="s">
        <v>9830</v>
      </c>
      <c r="O674" s="15">
        <v>3701700</v>
      </c>
      <c r="P674" s="145">
        <v>30000</v>
      </c>
      <c r="Q674" s="9"/>
      <c r="R674" s="146"/>
      <c r="T674" s="92" t="s">
        <v>19035</v>
      </c>
      <c r="U674">
        <v>1</v>
      </c>
      <c r="V674">
        <f>VLOOKUP(T674,'Data Angt'!$A$5:$F$5810,6,FALSE)</f>
        <v>26</v>
      </c>
      <c r="W674" s="5" t="str">
        <f t="shared" si="10"/>
        <v>PRODUKTIF</v>
      </c>
      <c r="X674" s="5" t="str">
        <f>VLOOKUP(T674,'Data Angt'!$A$5:$H$5810,8,FALSE)</f>
        <v>Karyawan</v>
      </c>
      <c r="Y674" s="5" t="str">
        <f>VLOOKUP(T674,'Data Angt'!$A$5:$C$5808,3,FALSE)</f>
        <v>PBL</v>
      </c>
    </row>
    <row r="675" spans="1:25" x14ac:dyDescent="0.3">
      <c r="A675" s="8">
        <v>669</v>
      </c>
      <c r="B675" s="9" t="s">
        <v>14698</v>
      </c>
      <c r="C675" s="10" t="str">
        <f>VLOOKUP(B675,'Data Angt'!$A$5:$B$5809,2,FALSE)</f>
        <v>A5321</v>
      </c>
      <c r="D675" s="11" t="s">
        <v>9829</v>
      </c>
      <c r="E675" s="12" t="s">
        <v>16357</v>
      </c>
      <c r="F675" s="13">
        <v>45710</v>
      </c>
      <c r="G675" s="14">
        <v>45920</v>
      </c>
      <c r="H675" s="15">
        <v>35415400</v>
      </c>
      <c r="I675" s="16">
        <v>36</v>
      </c>
      <c r="J675" s="17">
        <v>21</v>
      </c>
      <c r="K675" s="9" t="s">
        <v>9831</v>
      </c>
      <c r="L675" s="10" t="s">
        <v>16358</v>
      </c>
      <c r="M675" s="9" t="s">
        <v>16359</v>
      </c>
      <c r="N675" s="10" t="s">
        <v>9828</v>
      </c>
      <c r="O675" s="15">
        <v>30143600</v>
      </c>
      <c r="P675" s="145">
        <v>1525611</v>
      </c>
      <c r="Q675" s="9" t="s">
        <v>22575</v>
      </c>
      <c r="R675" s="146" t="s">
        <v>22830</v>
      </c>
      <c r="T675" s="92" t="s">
        <v>19039</v>
      </c>
      <c r="U675">
        <v>1</v>
      </c>
      <c r="V675">
        <f>VLOOKUP(T675,'Data Angt'!$A$5:$F$5810,6,FALSE)</f>
        <v>43</v>
      </c>
      <c r="W675" s="5" t="str">
        <f t="shared" si="10"/>
        <v>KONSUMTIF</v>
      </c>
      <c r="X675" s="5" t="str">
        <f>VLOOKUP(T675,'Data Angt'!$A$5:$H$5810,8,FALSE)</f>
        <v>Lain-Lain</v>
      </c>
      <c r="Y675" s="5" t="str">
        <f>VLOOKUP(T675,'Data Angt'!$A$5:$C$5808,3,FALSE)</f>
        <v>PBL</v>
      </c>
    </row>
    <row r="676" spans="1:25" x14ac:dyDescent="0.3">
      <c r="A676" s="8">
        <v>670</v>
      </c>
      <c r="B676" s="9" t="s">
        <v>14713</v>
      </c>
      <c r="C676" s="10" t="str">
        <f>VLOOKUP(B676,'Data Angt'!$A$5:$B$5809,2,FALSE)</f>
        <v>A5327</v>
      </c>
      <c r="D676" s="11" t="s">
        <v>9829</v>
      </c>
      <c r="E676" s="12" t="s">
        <v>22831</v>
      </c>
      <c r="F676" s="13">
        <v>45881</v>
      </c>
      <c r="G676" s="14">
        <v>45910</v>
      </c>
      <c r="H676" s="15">
        <v>2000000</v>
      </c>
      <c r="I676" s="16">
        <v>10</v>
      </c>
      <c r="J676" s="17">
        <v>24</v>
      </c>
      <c r="K676" s="9" t="s">
        <v>9831</v>
      </c>
      <c r="L676" s="10" t="s">
        <v>22832</v>
      </c>
      <c r="M676" s="9" t="s">
        <v>9854</v>
      </c>
      <c r="N676" s="10" t="s">
        <v>17</v>
      </c>
      <c r="O676" s="15">
        <v>1817300</v>
      </c>
      <c r="P676" s="145">
        <v>15000</v>
      </c>
      <c r="Q676" s="9"/>
      <c r="R676" s="146"/>
      <c r="T676" s="92" t="s">
        <v>19220</v>
      </c>
      <c r="U676">
        <v>1</v>
      </c>
      <c r="V676">
        <f>VLOOKUP(T676,'Data Angt'!$A$5:$F$5810,6,FALSE)</f>
        <v>29</v>
      </c>
      <c r="W676" s="5" t="str">
        <f t="shared" si="10"/>
        <v>PRODUKTIF</v>
      </c>
      <c r="X676" s="5" t="str">
        <f>VLOOKUP(T676,'Data Angt'!$A$5:$H$5810,8,FALSE)</f>
        <v>Karyawan</v>
      </c>
      <c r="Y676" s="5" t="str">
        <f>VLOOKUP(T676,'Data Angt'!$A$5:$C$5808,3,FALSE)</f>
        <v>PBL</v>
      </c>
    </row>
    <row r="677" spans="1:25" x14ac:dyDescent="0.3">
      <c r="A677" s="8">
        <v>671</v>
      </c>
      <c r="B677" s="9" t="s">
        <v>14733</v>
      </c>
      <c r="C677" s="10" t="str">
        <f>VLOOKUP(B677,'Data Angt'!$A$5:$B$5809,2,FALSE)</f>
        <v>A5336</v>
      </c>
      <c r="D677" s="11" t="s">
        <v>9829</v>
      </c>
      <c r="E677" s="12" t="s">
        <v>16360</v>
      </c>
      <c r="F677" s="13">
        <v>45706</v>
      </c>
      <c r="G677" s="14">
        <v>45930</v>
      </c>
      <c r="H677" s="15">
        <v>2000000</v>
      </c>
      <c r="I677" s="16">
        <v>10</v>
      </c>
      <c r="J677" s="17">
        <v>24</v>
      </c>
      <c r="K677" s="9" t="s">
        <v>9831</v>
      </c>
      <c r="L677" s="10" t="s">
        <v>16361</v>
      </c>
      <c r="M677" s="9" t="s">
        <v>9964</v>
      </c>
      <c r="N677" s="10" t="s">
        <v>17</v>
      </c>
      <c r="O677" s="15">
        <v>847800</v>
      </c>
      <c r="P677" s="145">
        <v>78374</v>
      </c>
      <c r="Q677" s="9"/>
      <c r="R677" s="146"/>
      <c r="T677" s="92" t="s">
        <v>19252</v>
      </c>
      <c r="U677">
        <v>1</v>
      </c>
      <c r="V677">
        <f>VLOOKUP(T677,'Data Angt'!$A$5:$F$5810,6,FALSE)</f>
        <v>21</v>
      </c>
      <c r="W677" s="5" t="str">
        <f t="shared" si="10"/>
        <v>KESEJAHTERAAN</v>
      </c>
      <c r="X677" s="5" t="str">
        <f>VLOOKUP(T677,'Data Angt'!$A$5:$H$5810,8,FALSE)</f>
        <v>Karyawan</v>
      </c>
      <c r="Y677" s="5" t="str">
        <f>VLOOKUP(T677,'Data Angt'!$A$5:$C$5808,3,FALSE)</f>
        <v>PBL</v>
      </c>
    </row>
    <row r="678" spans="1:25" x14ac:dyDescent="0.3">
      <c r="A678" s="8">
        <v>672</v>
      </c>
      <c r="B678" s="9" t="s">
        <v>14735</v>
      </c>
      <c r="C678" s="10" t="str">
        <f>VLOOKUP(B678,'Data Angt'!$A$5:$B$5809,2,FALSE)</f>
        <v>A5337</v>
      </c>
      <c r="D678" s="11" t="s">
        <v>9829</v>
      </c>
      <c r="E678" s="12" t="s">
        <v>16362</v>
      </c>
      <c r="F678" s="13">
        <v>45743</v>
      </c>
      <c r="G678" s="14">
        <v>45917</v>
      </c>
      <c r="H678" s="15">
        <v>13000000</v>
      </c>
      <c r="I678" s="16">
        <v>24</v>
      </c>
      <c r="J678" s="17">
        <v>24</v>
      </c>
      <c r="K678" s="9" t="s">
        <v>9831</v>
      </c>
      <c r="L678" s="10" t="s">
        <v>16363</v>
      </c>
      <c r="M678" s="9" t="s">
        <v>10076</v>
      </c>
      <c r="N678" s="10" t="s">
        <v>9828</v>
      </c>
      <c r="O678" s="15">
        <v>10304200</v>
      </c>
      <c r="P678" s="145">
        <v>535724</v>
      </c>
      <c r="Q678" s="9" t="s">
        <v>22189</v>
      </c>
      <c r="R678" s="146" t="s">
        <v>22833</v>
      </c>
      <c r="T678" s="92" t="s">
        <v>16426</v>
      </c>
      <c r="U678">
        <v>1</v>
      </c>
      <c r="V678" t="e">
        <f>VLOOKUP(T678,'Data Angt'!$A$5:$F$5810,6,FALSE)</f>
        <v>#N/A</v>
      </c>
      <c r="W678" s="5" t="str">
        <f t="shared" si="10"/>
        <v>PRODUKTIF</v>
      </c>
      <c r="X678" s="5" t="e">
        <f>VLOOKUP(T678,'Data Angt'!$A$5:$H$5810,8,FALSE)</f>
        <v>#N/A</v>
      </c>
      <c r="Y678" s="5" t="e">
        <f>VLOOKUP(T678,'Data Angt'!$A$5:$C$5808,3,FALSE)</f>
        <v>#N/A</v>
      </c>
    </row>
    <row r="679" spans="1:25" x14ac:dyDescent="0.3">
      <c r="A679" s="8">
        <v>673</v>
      </c>
      <c r="B679" s="9" t="s">
        <v>14748</v>
      </c>
      <c r="C679" s="10" t="str">
        <f>VLOOKUP(B679,'Data Angt'!$A$5:$B$5809,2,FALSE)</f>
        <v>A5342</v>
      </c>
      <c r="D679" s="11" t="s">
        <v>9829</v>
      </c>
      <c r="E679" s="12" t="s">
        <v>16364</v>
      </c>
      <c r="F679" s="13">
        <v>45707</v>
      </c>
      <c r="G679" s="14">
        <v>45930</v>
      </c>
      <c r="H679" s="15">
        <v>2000000</v>
      </c>
      <c r="I679" s="16">
        <v>10</v>
      </c>
      <c r="J679" s="17">
        <v>24</v>
      </c>
      <c r="K679" s="9" t="s">
        <v>9831</v>
      </c>
      <c r="L679" s="10" t="s">
        <v>16365</v>
      </c>
      <c r="M679" s="9" t="s">
        <v>16330</v>
      </c>
      <c r="N679" s="10" t="s">
        <v>9828</v>
      </c>
      <c r="O679" s="15">
        <v>642100</v>
      </c>
      <c r="P679" s="145">
        <v>75374</v>
      </c>
      <c r="Q679" s="9"/>
      <c r="R679" s="146"/>
      <c r="T679" s="92" t="s">
        <v>455</v>
      </c>
      <c r="U679">
        <v>1</v>
      </c>
      <c r="V679">
        <f>VLOOKUP(T679,'Data Angt'!$A$5:$F$5810,6,FALSE)</f>
        <v>65</v>
      </c>
      <c r="W679" s="5" t="str">
        <f t="shared" si="10"/>
        <v>KONSUMTIF</v>
      </c>
      <c r="X679" s="5" t="str">
        <f>VLOOKUP(T679,'Data Angt'!$A$5:$H$5810,8,FALSE)</f>
        <v>Pensiunan</v>
      </c>
      <c r="Y679" s="5" t="str">
        <f>VLOOKUP(T679,'Data Angt'!$A$5:$C$5808,3,FALSE)</f>
        <v>KRK</v>
      </c>
    </row>
    <row r="680" spans="1:25" x14ac:dyDescent="0.3">
      <c r="A680" s="8">
        <v>674</v>
      </c>
      <c r="B680" s="9" t="s">
        <v>14762</v>
      </c>
      <c r="C680" s="10" t="str">
        <f>VLOOKUP(B680,'Data Angt'!$A$5:$B$5809,2,FALSE)</f>
        <v>A5349</v>
      </c>
      <c r="D680" s="11" t="s">
        <v>9833</v>
      </c>
      <c r="E680" s="12" t="s">
        <v>22834</v>
      </c>
      <c r="F680" s="13">
        <v>45920</v>
      </c>
      <c r="G680" s="14">
        <v>45920</v>
      </c>
      <c r="H680" s="15">
        <v>3000000</v>
      </c>
      <c r="I680" s="16">
        <v>12</v>
      </c>
      <c r="J680" s="17">
        <v>24</v>
      </c>
      <c r="K680" s="9" t="s">
        <v>9831</v>
      </c>
      <c r="L680" s="10" t="s">
        <v>22835</v>
      </c>
      <c r="M680" s="9" t="s">
        <v>9962</v>
      </c>
      <c r="N680" s="10" t="s">
        <v>9834</v>
      </c>
      <c r="O680" s="15">
        <v>3000000</v>
      </c>
      <c r="P680" s="147">
        <v>0</v>
      </c>
      <c r="Q680" s="9"/>
      <c r="R680" s="146"/>
      <c r="T680" s="92" t="s">
        <v>458</v>
      </c>
      <c r="U680">
        <v>1</v>
      </c>
      <c r="V680">
        <f>VLOOKUP(T680,'Data Angt'!$A$5:$F$5810,6,FALSE)</f>
        <v>68</v>
      </c>
      <c r="W680" s="5" t="str">
        <f t="shared" si="10"/>
        <v>KONSUMTIF</v>
      </c>
      <c r="X680" s="5" t="str">
        <f>VLOOKUP(T680,'Data Angt'!$A$5:$H$5810,8,FALSE)</f>
        <v>Pensiunan</v>
      </c>
      <c r="Y680" s="5" t="str">
        <f>VLOOKUP(T680,'Data Angt'!$A$5:$C$5808,3,FALSE)</f>
        <v>KRK</v>
      </c>
    </row>
    <row r="681" spans="1:25" x14ac:dyDescent="0.3">
      <c r="A681" s="8">
        <v>675</v>
      </c>
      <c r="B681" s="9" t="s">
        <v>14776</v>
      </c>
      <c r="C681" s="10" t="str">
        <f>VLOOKUP(B681,'Data Angt'!$A$5:$B$5809,2,FALSE)</f>
        <v>A5356</v>
      </c>
      <c r="D681" s="11" t="s">
        <v>9895</v>
      </c>
      <c r="E681" s="12" t="s">
        <v>16366</v>
      </c>
      <c r="F681" s="13">
        <v>45720</v>
      </c>
      <c r="G681" s="14">
        <v>45908</v>
      </c>
      <c r="H681" s="15">
        <v>20500000</v>
      </c>
      <c r="I681" s="16">
        <v>36</v>
      </c>
      <c r="J681" s="17">
        <v>24</v>
      </c>
      <c r="K681" s="9" t="s">
        <v>9831</v>
      </c>
      <c r="L681" s="10" t="s">
        <v>16367</v>
      </c>
      <c r="M681" s="9" t="s">
        <v>10544</v>
      </c>
      <c r="N681" s="10" t="s">
        <v>9828</v>
      </c>
      <c r="O681" s="15">
        <v>18012900</v>
      </c>
      <c r="P681" s="145">
        <v>877011</v>
      </c>
      <c r="Q681" s="9"/>
      <c r="R681" s="146"/>
      <c r="T681" s="92" t="s">
        <v>461</v>
      </c>
      <c r="U681">
        <v>1</v>
      </c>
      <c r="V681">
        <f>VLOOKUP(T681,'Data Angt'!$A$5:$F$5810,6,FALSE)</f>
        <v>65</v>
      </c>
      <c r="W681" s="5" t="str">
        <f t="shared" si="10"/>
        <v>KESEJAHTERAAN</v>
      </c>
      <c r="X681" s="5" t="str">
        <f>VLOOKUP(T681,'Data Angt'!$A$5:$H$5810,8,FALSE)</f>
        <v>Pensiunan</v>
      </c>
      <c r="Y681" s="5" t="str">
        <f>VLOOKUP(T681,'Data Angt'!$A$5:$C$5808,3,FALSE)</f>
        <v>KRK</v>
      </c>
    </row>
    <row r="682" spans="1:25" x14ac:dyDescent="0.3">
      <c r="A682" s="8">
        <v>676</v>
      </c>
      <c r="B682" s="9" t="s">
        <v>14830</v>
      </c>
      <c r="C682" s="10" t="str">
        <f>VLOOKUP(B682,'Data Angt'!$A$5:$B$5809,2,FALSE)</f>
        <v>A5382</v>
      </c>
      <c r="D682" s="11" t="s">
        <v>9833</v>
      </c>
      <c r="E682" s="12" t="s">
        <v>16368</v>
      </c>
      <c r="F682" s="13">
        <v>45713</v>
      </c>
      <c r="G682" s="14">
        <v>45922</v>
      </c>
      <c r="H682" s="15">
        <v>15000000</v>
      </c>
      <c r="I682" s="16">
        <v>24</v>
      </c>
      <c r="J682" s="17">
        <v>24</v>
      </c>
      <c r="K682" s="9" t="s">
        <v>9831</v>
      </c>
      <c r="L682" s="10" t="s">
        <v>16369</v>
      </c>
      <c r="M682" s="9" t="s">
        <v>10213</v>
      </c>
      <c r="N682" s="10" t="s">
        <v>9834</v>
      </c>
      <c r="O682" s="15">
        <v>11334400</v>
      </c>
      <c r="P682" s="145">
        <v>707286</v>
      </c>
      <c r="Q682" s="9" t="s">
        <v>22189</v>
      </c>
      <c r="R682" s="146" t="s">
        <v>22836</v>
      </c>
      <c r="T682" s="92" t="s">
        <v>479</v>
      </c>
      <c r="U682">
        <v>1</v>
      </c>
      <c r="V682">
        <f>VLOOKUP(T682,'Data Angt'!$A$5:$F$5810,6,FALSE)</f>
        <v>51</v>
      </c>
      <c r="W682" s="5" t="str">
        <f t="shared" si="10"/>
        <v>KONSUMTIF</v>
      </c>
      <c r="X682" s="5" t="str">
        <f>VLOOKUP(T682,'Data Angt'!$A$5:$H$5810,8,FALSE)</f>
        <v>Karyawan</v>
      </c>
      <c r="Y682" s="5" t="str">
        <f>VLOOKUP(T682,'Data Angt'!$A$5:$C$5808,3,FALSE)</f>
        <v>KRK</v>
      </c>
    </row>
    <row r="683" spans="1:25" x14ac:dyDescent="0.3">
      <c r="A683" s="8">
        <v>677</v>
      </c>
      <c r="B683" s="9" t="s">
        <v>14861</v>
      </c>
      <c r="C683" s="10" t="str">
        <f>VLOOKUP(B683,'Data Angt'!$A$5:$B$5809,2,FALSE)</f>
        <v>A5395</v>
      </c>
      <c r="D683" s="11" t="s">
        <v>9829</v>
      </c>
      <c r="E683" s="12" t="s">
        <v>22837</v>
      </c>
      <c r="F683" s="13">
        <v>45894</v>
      </c>
      <c r="G683" s="14">
        <v>45927</v>
      </c>
      <c r="H683" s="15">
        <v>4000000</v>
      </c>
      <c r="I683" s="16">
        <v>10</v>
      </c>
      <c r="J683" s="17">
        <v>24</v>
      </c>
      <c r="K683" s="9" t="s">
        <v>9831</v>
      </c>
      <c r="L683" s="10" t="s">
        <v>22838</v>
      </c>
      <c r="M683" s="9" t="s">
        <v>10365</v>
      </c>
      <c r="N683" s="10" t="s">
        <v>9828</v>
      </c>
      <c r="O683" s="15">
        <v>3634600</v>
      </c>
      <c r="P683" s="145">
        <v>30000</v>
      </c>
      <c r="Q683" s="9"/>
      <c r="R683" s="146"/>
      <c r="T683" s="92" t="s">
        <v>514</v>
      </c>
      <c r="U683">
        <v>1</v>
      </c>
      <c r="V683">
        <f>VLOOKUP(T683,'Data Angt'!$A$5:$F$5810,6,FALSE)</f>
        <v>64</v>
      </c>
      <c r="W683" s="5" t="str">
        <f t="shared" si="10"/>
        <v>KONSUMTIF</v>
      </c>
      <c r="X683" s="5" t="str">
        <f>VLOOKUP(T683,'Data Angt'!$A$5:$H$5810,8,FALSE)</f>
        <v>Pensiunan</v>
      </c>
      <c r="Y683" s="5" t="str">
        <f>VLOOKUP(T683,'Data Angt'!$A$5:$C$5808,3,FALSE)</f>
        <v>KRK</v>
      </c>
    </row>
    <row r="684" spans="1:25" x14ac:dyDescent="0.3">
      <c r="A684" s="8">
        <v>678</v>
      </c>
      <c r="B684" s="9" t="s">
        <v>14863</v>
      </c>
      <c r="C684" s="10" t="str">
        <f>VLOOKUP(B684,'Data Angt'!$A$5:$B$5809,2,FALSE)</f>
        <v>A5396</v>
      </c>
      <c r="D684" s="11" t="s">
        <v>9829</v>
      </c>
      <c r="E684" s="12" t="s">
        <v>16370</v>
      </c>
      <c r="F684" s="13">
        <v>45715</v>
      </c>
      <c r="G684" s="14">
        <v>45929</v>
      </c>
      <c r="H684" s="15">
        <v>2000000</v>
      </c>
      <c r="I684" s="16">
        <v>10</v>
      </c>
      <c r="J684" s="17">
        <v>24</v>
      </c>
      <c r="K684" s="9" t="s">
        <v>9831</v>
      </c>
      <c r="L684" s="10" t="s">
        <v>16371</v>
      </c>
      <c r="M684" s="9" t="s">
        <v>10462</v>
      </c>
      <c r="N684" s="10" t="s">
        <v>9828</v>
      </c>
      <c r="O684" s="15">
        <v>642100</v>
      </c>
      <c r="P684" s="145">
        <v>75374</v>
      </c>
      <c r="Q684" s="9"/>
      <c r="R684" s="146"/>
      <c r="T684" s="92" t="s">
        <v>538</v>
      </c>
      <c r="U684">
        <v>1</v>
      </c>
      <c r="V684">
        <f>VLOOKUP(T684,'Data Angt'!$A$5:$F$5810,6,FALSE)</f>
        <v>61</v>
      </c>
      <c r="W684" s="5">
        <f t="shared" si="10"/>
        <v>0</v>
      </c>
      <c r="X684" s="5" t="str">
        <f>VLOOKUP(T684,'Data Angt'!$A$5:$H$5810,8,FALSE)</f>
        <v>Petani/Pekebun/Nelayan</v>
      </c>
      <c r="Y684" s="5" t="str">
        <f>VLOOKUP(T684,'Data Angt'!$A$5:$C$5808,3,FALSE)</f>
        <v>KRK</v>
      </c>
    </row>
    <row r="685" spans="1:25" x14ac:dyDescent="0.3">
      <c r="A685" s="8">
        <v>679</v>
      </c>
      <c r="B685" s="9" t="s">
        <v>14890</v>
      </c>
      <c r="C685" s="10" t="str">
        <f>VLOOKUP(B685,'Data Angt'!$A$5:$B$5809,2,FALSE)</f>
        <v>A5408</v>
      </c>
      <c r="D685" s="11" t="s">
        <v>9829</v>
      </c>
      <c r="E685" s="12" t="s">
        <v>22839</v>
      </c>
      <c r="F685" s="13">
        <v>45929</v>
      </c>
      <c r="G685" s="14">
        <v>45929</v>
      </c>
      <c r="H685" s="15">
        <v>10000000</v>
      </c>
      <c r="I685" s="16">
        <v>12</v>
      </c>
      <c r="J685" s="17">
        <v>24</v>
      </c>
      <c r="K685" s="9" t="s">
        <v>9831</v>
      </c>
      <c r="L685" s="10" t="s">
        <v>22840</v>
      </c>
      <c r="M685" s="9" t="s">
        <v>22841</v>
      </c>
      <c r="N685" s="10" t="s">
        <v>9830</v>
      </c>
      <c r="O685" s="15">
        <v>10000000</v>
      </c>
      <c r="P685" s="147">
        <v>0</v>
      </c>
      <c r="Q685" s="9"/>
      <c r="R685" s="146"/>
      <c r="T685" s="92" t="s">
        <v>691</v>
      </c>
      <c r="U685">
        <v>1</v>
      </c>
      <c r="V685">
        <f>VLOOKUP(T685,'Data Angt'!$A$5:$F$5810,6,FALSE)</f>
        <v>62</v>
      </c>
      <c r="W685" s="5" t="str">
        <f t="shared" si="10"/>
        <v>KONSUMTIF</v>
      </c>
      <c r="X685" s="5" t="str">
        <f>VLOOKUP(T685,'Data Angt'!$A$5:$H$5810,8,FALSE)</f>
        <v>Pensiunan</v>
      </c>
      <c r="Y685" s="5" t="str">
        <f>VLOOKUP(T685,'Data Angt'!$A$5:$C$5808,3,FALSE)</f>
        <v>KRK</v>
      </c>
    </row>
    <row r="686" spans="1:25" x14ac:dyDescent="0.3">
      <c r="A686" s="8">
        <v>680</v>
      </c>
      <c r="B686" s="9" t="s">
        <v>14893</v>
      </c>
      <c r="C686" s="10" t="str">
        <f>VLOOKUP(B686,'Data Angt'!$A$5:$B$5809,2,FALSE)</f>
        <v>A5409</v>
      </c>
      <c r="D686" s="11" t="s">
        <v>9829</v>
      </c>
      <c r="E686" s="12" t="s">
        <v>16372</v>
      </c>
      <c r="F686" s="13">
        <v>45721</v>
      </c>
      <c r="G686" s="14">
        <v>45902</v>
      </c>
      <c r="H686" s="15">
        <v>5000000</v>
      </c>
      <c r="I686" s="16">
        <v>12</v>
      </c>
      <c r="J686" s="17">
        <v>24</v>
      </c>
      <c r="K686" s="9" t="s">
        <v>9831</v>
      </c>
      <c r="L686" s="10" t="s">
        <v>16373</v>
      </c>
      <c r="M686" s="9" t="s">
        <v>9849</v>
      </c>
      <c r="N686" s="10" t="s">
        <v>9830</v>
      </c>
      <c r="O686" s="15">
        <v>2648600</v>
      </c>
      <c r="P686" s="145">
        <v>182024</v>
      </c>
      <c r="Q686" s="9" t="s">
        <v>22240</v>
      </c>
      <c r="R686" s="146" t="s">
        <v>22842</v>
      </c>
      <c r="T686" s="92" t="s">
        <v>714</v>
      </c>
      <c r="U686">
        <v>1</v>
      </c>
      <c r="V686">
        <f>VLOOKUP(T686,'Data Angt'!$A$5:$F$5810,6,FALSE)</f>
        <v>51</v>
      </c>
      <c r="W686" s="5" t="str">
        <f t="shared" si="10"/>
        <v>PRODUKTIF</v>
      </c>
      <c r="X686" s="5" t="str">
        <f>VLOOKUP(T686,'Data Angt'!$A$5:$H$5810,8,FALSE)</f>
        <v>Wiraswasta</v>
      </c>
      <c r="Y686" s="5" t="str">
        <f>VLOOKUP(T686,'Data Angt'!$A$5:$C$5808,3,FALSE)</f>
        <v>KRK</v>
      </c>
    </row>
    <row r="687" spans="1:25" x14ac:dyDescent="0.3">
      <c r="A687" s="8">
        <v>681</v>
      </c>
      <c r="B687" s="9" t="s">
        <v>14909</v>
      </c>
      <c r="C687" s="10" t="str">
        <f>VLOOKUP(B687,'Data Angt'!$A$5:$B$5809,2,FALSE)</f>
        <v>A5416</v>
      </c>
      <c r="D687" s="11" t="s">
        <v>9829</v>
      </c>
      <c r="E687" s="12" t="s">
        <v>16374</v>
      </c>
      <c r="F687" s="13">
        <v>45793</v>
      </c>
      <c r="G687" s="14">
        <v>45919</v>
      </c>
      <c r="H687" s="15">
        <v>5000000</v>
      </c>
      <c r="I687" s="16">
        <v>12</v>
      </c>
      <c r="J687" s="17">
        <v>24</v>
      </c>
      <c r="K687" s="9" t="s">
        <v>9831</v>
      </c>
      <c r="L687" s="10" t="s">
        <v>16375</v>
      </c>
      <c r="M687" s="9" t="s">
        <v>9838</v>
      </c>
      <c r="N687" s="10" t="s">
        <v>9830</v>
      </c>
      <c r="O687" s="15">
        <v>3463600</v>
      </c>
      <c r="P687" s="145">
        <v>133050</v>
      </c>
      <c r="Q687" s="9"/>
      <c r="R687" s="146"/>
      <c r="T687" s="92" t="s">
        <v>771</v>
      </c>
      <c r="U687">
        <v>1</v>
      </c>
      <c r="V687">
        <f>VLOOKUP(T687,'Data Angt'!$A$5:$F$5810,6,FALSE)</f>
        <v>62</v>
      </c>
      <c r="W687" s="5">
        <f t="shared" si="10"/>
        <v>0</v>
      </c>
      <c r="X687" s="5" t="str">
        <f>VLOOKUP(T687,'Data Angt'!$A$5:$H$5810,8,FALSE)</f>
        <v>Wiraswasta</v>
      </c>
      <c r="Y687" s="5" t="str">
        <f>VLOOKUP(T687,'Data Angt'!$A$5:$C$5808,3,FALSE)</f>
        <v>KRK</v>
      </c>
    </row>
    <row r="688" spans="1:25" x14ac:dyDescent="0.3">
      <c r="A688" s="8">
        <v>682</v>
      </c>
      <c r="B688" s="9" t="s">
        <v>14925</v>
      </c>
      <c r="C688" s="10" t="str">
        <f>VLOOKUP(B688,'Data Angt'!$A$5:$B$5809,2,FALSE)</f>
        <v>A5422</v>
      </c>
      <c r="D688" s="11" t="s">
        <v>9829</v>
      </c>
      <c r="E688" s="12" t="s">
        <v>22843</v>
      </c>
      <c r="F688" s="13">
        <v>45842</v>
      </c>
      <c r="G688" s="14">
        <v>45903</v>
      </c>
      <c r="H688" s="15">
        <v>3000000</v>
      </c>
      <c r="I688" s="16">
        <v>5</v>
      </c>
      <c r="J688" s="17">
        <v>24</v>
      </c>
      <c r="K688" s="9" t="s">
        <v>9831</v>
      </c>
      <c r="L688" s="10" t="s">
        <v>22844</v>
      </c>
      <c r="M688" s="9" t="s">
        <v>22845</v>
      </c>
      <c r="N688" s="10" t="s">
        <v>9828</v>
      </c>
      <c r="O688" s="15">
        <v>1835500</v>
      </c>
      <c r="P688" s="145">
        <v>40687</v>
      </c>
      <c r="Q688" s="9"/>
      <c r="R688" s="146"/>
      <c r="T688" s="92" t="s">
        <v>836</v>
      </c>
      <c r="U688">
        <v>1</v>
      </c>
      <c r="V688">
        <f>VLOOKUP(T688,'Data Angt'!$A$5:$F$5810,6,FALSE)</f>
        <v>56</v>
      </c>
      <c r="W688" s="5" t="str">
        <f t="shared" si="10"/>
        <v>PRODUKTIF</v>
      </c>
      <c r="X688" s="5" t="str">
        <f>VLOOKUP(T688,'Data Angt'!$A$5:$H$5810,8,FALSE)</f>
        <v>Wiraswasta</v>
      </c>
      <c r="Y688" s="5" t="str">
        <f>VLOOKUP(T688,'Data Angt'!$A$5:$C$5808,3,FALSE)</f>
        <v>KRK</v>
      </c>
    </row>
    <row r="689" spans="1:25" x14ac:dyDescent="0.3">
      <c r="A689" s="8">
        <v>683</v>
      </c>
      <c r="B689" s="9" t="s">
        <v>14928</v>
      </c>
      <c r="C689" s="10" t="str">
        <f>VLOOKUP(B689,'Data Angt'!$A$5:$B$5809,2,FALSE)</f>
        <v>A5424</v>
      </c>
      <c r="D689" s="11" t="s">
        <v>9829</v>
      </c>
      <c r="E689" s="12" t="s">
        <v>16376</v>
      </c>
      <c r="F689" s="13">
        <v>45726</v>
      </c>
      <c r="G689" s="14">
        <v>45909</v>
      </c>
      <c r="H689" s="15">
        <v>2000000</v>
      </c>
      <c r="I689" s="16">
        <v>10</v>
      </c>
      <c r="J689" s="17">
        <v>24</v>
      </c>
      <c r="K689" s="9" t="s">
        <v>9831</v>
      </c>
      <c r="L689" s="10" t="s">
        <v>16377</v>
      </c>
      <c r="M689" s="9" t="s">
        <v>15398</v>
      </c>
      <c r="N689" s="10" t="s">
        <v>9828</v>
      </c>
      <c r="O689" s="15">
        <v>847800</v>
      </c>
      <c r="P689" s="145">
        <v>68999</v>
      </c>
      <c r="Q689" s="9"/>
      <c r="R689" s="146"/>
      <c r="T689" s="92" t="s">
        <v>950</v>
      </c>
      <c r="U689">
        <v>1</v>
      </c>
      <c r="V689">
        <f>VLOOKUP(T689,'Data Angt'!$A$5:$F$5810,6,FALSE)</f>
        <v>55</v>
      </c>
      <c r="W689" s="5">
        <f t="shared" si="10"/>
        <v>0</v>
      </c>
      <c r="X689" s="5" t="str">
        <f>VLOOKUP(T689,'Data Angt'!$A$5:$H$5810,8,FALSE)</f>
        <v>Wiraswasta</v>
      </c>
      <c r="Y689" s="5" t="str">
        <f>VLOOKUP(T689,'Data Angt'!$A$5:$C$5808,3,FALSE)</f>
        <v>KRK</v>
      </c>
    </row>
    <row r="690" spans="1:25" x14ac:dyDescent="0.3">
      <c r="A690" s="8">
        <v>684</v>
      </c>
      <c r="B690" s="9" t="s">
        <v>14963</v>
      </c>
      <c r="C690" s="10" t="str">
        <f>VLOOKUP(B690,'Data Angt'!$A$5:$B$5809,2,FALSE)</f>
        <v>A5442</v>
      </c>
      <c r="D690" s="11" t="s">
        <v>9829</v>
      </c>
      <c r="E690" s="12" t="s">
        <v>16378</v>
      </c>
      <c r="F690" s="13">
        <v>45825</v>
      </c>
      <c r="G690" s="14">
        <v>45911</v>
      </c>
      <c r="H690" s="15">
        <v>10000000</v>
      </c>
      <c r="I690" s="16">
        <v>18</v>
      </c>
      <c r="J690" s="17">
        <v>24</v>
      </c>
      <c r="K690" s="9" t="s">
        <v>9831</v>
      </c>
      <c r="L690" s="10" t="s">
        <v>16379</v>
      </c>
      <c r="M690" s="9" t="s">
        <v>16380</v>
      </c>
      <c r="N690" s="10" t="s">
        <v>110</v>
      </c>
      <c r="O690" s="15">
        <v>8570600</v>
      </c>
      <c r="P690" s="145">
        <v>214462</v>
      </c>
      <c r="Q690" s="9"/>
      <c r="R690" s="146"/>
      <c r="T690" s="92" t="s">
        <v>1032</v>
      </c>
      <c r="U690">
        <v>1</v>
      </c>
      <c r="V690">
        <f>VLOOKUP(T690,'Data Angt'!$A$5:$F$5810,6,FALSE)</f>
        <v>52</v>
      </c>
      <c r="W690" s="5">
        <f t="shared" si="10"/>
        <v>0</v>
      </c>
      <c r="X690" s="5" t="str">
        <f>VLOOKUP(T690,'Data Angt'!$A$5:$H$5810,8,FALSE)</f>
        <v>Wiraswasta</v>
      </c>
      <c r="Y690" s="5" t="str">
        <f>VLOOKUP(T690,'Data Angt'!$A$5:$C$5808,3,FALSE)</f>
        <v>KRK</v>
      </c>
    </row>
    <row r="691" spans="1:25" x14ac:dyDescent="0.3">
      <c r="A691" s="8">
        <v>685</v>
      </c>
      <c r="B691" s="9" t="s">
        <v>14972</v>
      </c>
      <c r="C691" s="10" t="str">
        <f>VLOOKUP(B691,'Data Angt'!$A$5:$B$5809,2,FALSE)</f>
        <v>A5446</v>
      </c>
      <c r="D691" s="11" t="s">
        <v>9895</v>
      </c>
      <c r="E691" s="12" t="s">
        <v>16381</v>
      </c>
      <c r="F691" s="13">
        <v>45737</v>
      </c>
      <c r="G691" s="14">
        <v>45913</v>
      </c>
      <c r="H691" s="15">
        <v>44000000</v>
      </c>
      <c r="I691" s="16">
        <v>48</v>
      </c>
      <c r="J691" s="17">
        <v>21</v>
      </c>
      <c r="K691" s="9" t="s">
        <v>9831</v>
      </c>
      <c r="L691" s="10" t="s">
        <v>16382</v>
      </c>
      <c r="M691" s="9" t="s">
        <v>10076</v>
      </c>
      <c r="N691" s="10" t="s">
        <v>9828</v>
      </c>
      <c r="O691" s="15">
        <v>40286100</v>
      </c>
      <c r="P691" s="145">
        <v>1672911</v>
      </c>
      <c r="Q691" s="9" t="s">
        <v>22220</v>
      </c>
      <c r="R691" s="146" t="s">
        <v>22846</v>
      </c>
      <c r="T691" s="92" t="s">
        <v>1075</v>
      </c>
      <c r="U691">
        <v>1</v>
      </c>
      <c r="V691">
        <f>VLOOKUP(T691,'Data Angt'!$A$5:$F$5810,6,FALSE)</f>
        <v>63</v>
      </c>
      <c r="W691" s="5" t="str">
        <f t="shared" si="10"/>
        <v>PRODUKTIF</v>
      </c>
      <c r="X691" s="5" t="str">
        <f>VLOOKUP(T691,'Data Angt'!$A$5:$H$5810,8,FALSE)</f>
        <v>Tenaga Pengajar</v>
      </c>
      <c r="Y691" s="5" t="str">
        <f>VLOOKUP(T691,'Data Angt'!$A$5:$C$5808,3,FALSE)</f>
        <v>KRK</v>
      </c>
    </row>
    <row r="692" spans="1:25" x14ac:dyDescent="0.3">
      <c r="A692" s="8">
        <v>686</v>
      </c>
      <c r="B692" s="9" t="s">
        <v>14979</v>
      </c>
      <c r="C692" s="10" t="str">
        <f>VLOOKUP(B692,'Data Angt'!$A$5:$B$5809,2,FALSE)</f>
        <v>A5449</v>
      </c>
      <c r="D692" s="11" t="s">
        <v>9829</v>
      </c>
      <c r="E692" s="12" t="s">
        <v>16383</v>
      </c>
      <c r="F692" s="13">
        <v>45738</v>
      </c>
      <c r="G692" s="14">
        <v>45925</v>
      </c>
      <c r="H692" s="15">
        <v>5000000</v>
      </c>
      <c r="I692" s="16">
        <v>12</v>
      </c>
      <c r="J692" s="17">
        <v>24</v>
      </c>
      <c r="K692" s="9" t="s">
        <v>9831</v>
      </c>
      <c r="L692" s="10" t="s">
        <v>16384</v>
      </c>
      <c r="M692" s="9" t="s">
        <v>10009</v>
      </c>
      <c r="N692" s="10" t="s">
        <v>9828</v>
      </c>
      <c r="O692" s="15">
        <v>2648600</v>
      </c>
      <c r="P692" s="145">
        <v>182024</v>
      </c>
      <c r="Q692" s="9" t="s">
        <v>22189</v>
      </c>
      <c r="R692" s="146" t="s">
        <v>22847</v>
      </c>
      <c r="T692" s="92" t="s">
        <v>1082</v>
      </c>
      <c r="U692">
        <v>2</v>
      </c>
      <c r="V692">
        <f>VLOOKUP(T692,'Data Angt'!$A$5:$F$5810,6,FALSE)</f>
        <v>70</v>
      </c>
      <c r="W692" s="5" t="str">
        <f t="shared" si="10"/>
        <v>KONSUMTIF</v>
      </c>
      <c r="X692" s="5" t="str">
        <f>VLOOKUP(T692,'Data Angt'!$A$5:$H$5810,8,FALSE)</f>
        <v>Pensiunan</v>
      </c>
      <c r="Y692" s="5" t="str">
        <f>VLOOKUP(T692,'Data Angt'!$A$5:$C$5808,3,FALSE)</f>
        <v>KRK</v>
      </c>
    </row>
    <row r="693" spans="1:25" x14ac:dyDescent="0.3">
      <c r="A693" s="8">
        <v>687</v>
      </c>
      <c r="B693" s="9" t="s">
        <v>14981</v>
      </c>
      <c r="C693" s="10" t="str">
        <f>VLOOKUP(B693,'Data Angt'!$A$5:$B$5809,2,FALSE)</f>
        <v>A5450</v>
      </c>
      <c r="D693" s="11" t="s">
        <v>9833</v>
      </c>
      <c r="E693" s="12" t="s">
        <v>16385</v>
      </c>
      <c r="F693" s="13">
        <v>45740</v>
      </c>
      <c r="G693" s="14">
        <v>45902</v>
      </c>
      <c r="H693" s="15">
        <v>3000000</v>
      </c>
      <c r="I693" s="16">
        <v>12</v>
      </c>
      <c r="J693" s="17">
        <v>24</v>
      </c>
      <c r="K693" s="9" t="s">
        <v>9831</v>
      </c>
      <c r="L693" s="10" t="s">
        <v>16386</v>
      </c>
      <c r="M693" s="9" t="s">
        <v>9862</v>
      </c>
      <c r="N693" s="10" t="s">
        <v>9834</v>
      </c>
      <c r="O693" s="15">
        <v>1589200</v>
      </c>
      <c r="P693" s="145">
        <v>109275</v>
      </c>
      <c r="Q693" s="9" t="s">
        <v>22240</v>
      </c>
      <c r="R693" s="146" t="s">
        <v>22848</v>
      </c>
      <c r="T693" s="92" t="s">
        <v>1089</v>
      </c>
      <c r="U693">
        <v>1</v>
      </c>
      <c r="V693">
        <f>VLOOKUP(T693,'Data Angt'!$A$5:$F$5810,6,FALSE)</f>
        <v>48</v>
      </c>
      <c r="W693" s="5">
        <f t="shared" si="10"/>
        <v>0</v>
      </c>
      <c r="X693" s="5" t="str">
        <f>VLOOKUP(T693,'Data Angt'!$A$5:$H$5810,8,FALSE)</f>
        <v>Mengurus Rumah Tangga</v>
      </c>
      <c r="Y693" s="5" t="str">
        <f>VLOOKUP(T693,'Data Angt'!$A$5:$C$5808,3,FALSE)</f>
        <v>KRK</v>
      </c>
    </row>
    <row r="694" spans="1:25" x14ac:dyDescent="0.3">
      <c r="A694" s="8">
        <v>688</v>
      </c>
      <c r="B694" s="9" t="s">
        <v>15011</v>
      </c>
      <c r="C694" s="10" t="str">
        <f>VLOOKUP(B694,'Data Angt'!$A$5:$B$5809,2,FALSE)</f>
        <v>A5465</v>
      </c>
      <c r="D694" s="11" t="s">
        <v>9829</v>
      </c>
      <c r="E694" s="12" t="s">
        <v>22849</v>
      </c>
      <c r="F694" s="13">
        <v>45874</v>
      </c>
      <c r="G694" s="14">
        <v>45908</v>
      </c>
      <c r="H694" s="15">
        <v>3000000</v>
      </c>
      <c r="I694" s="16">
        <v>6</v>
      </c>
      <c r="J694" s="17">
        <v>24</v>
      </c>
      <c r="K694" s="9" t="s">
        <v>9831</v>
      </c>
      <c r="L694" s="10" t="s">
        <v>22850</v>
      </c>
      <c r="M694" s="9" t="s">
        <v>10008</v>
      </c>
      <c r="N694" s="10" t="s">
        <v>17</v>
      </c>
      <c r="O694" s="15">
        <v>2524400</v>
      </c>
      <c r="P694" s="145">
        <v>22500</v>
      </c>
      <c r="Q694" s="9"/>
      <c r="R694" s="146"/>
      <c r="T694" s="92" t="s">
        <v>1092</v>
      </c>
      <c r="U694">
        <v>1</v>
      </c>
      <c r="V694">
        <f>VLOOKUP(T694,'Data Angt'!$A$5:$F$5810,6,FALSE)</f>
        <v>58</v>
      </c>
      <c r="W694" s="5" t="str">
        <f t="shared" si="10"/>
        <v>KONSUMTIF</v>
      </c>
      <c r="X694" s="5" t="str">
        <f>VLOOKUP(T694,'Data Angt'!$A$5:$H$5810,8,FALSE)</f>
        <v>Aparatur/Pejabat Negara</v>
      </c>
      <c r="Y694" s="5" t="str">
        <f>VLOOKUP(T694,'Data Angt'!$A$5:$C$5808,3,FALSE)</f>
        <v>KRK</v>
      </c>
    </row>
    <row r="695" spans="1:25" x14ac:dyDescent="0.3">
      <c r="A695" s="8">
        <v>689</v>
      </c>
      <c r="B695" s="9" t="s">
        <v>15020</v>
      </c>
      <c r="C695" s="10" t="str">
        <f>VLOOKUP(B695,'Data Angt'!$A$5:$B$5809,2,FALSE)</f>
        <v>A5469</v>
      </c>
      <c r="D695" s="11" t="s">
        <v>9833</v>
      </c>
      <c r="E695" s="12" t="s">
        <v>22851</v>
      </c>
      <c r="F695" s="13">
        <v>45856</v>
      </c>
      <c r="G695" s="14">
        <v>45910</v>
      </c>
      <c r="H695" s="15">
        <v>15000000</v>
      </c>
      <c r="I695" s="16">
        <v>24</v>
      </c>
      <c r="J695" s="17">
        <v>24</v>
      </c>
      <c r="K695" s="9" t="s">
        <v>9831</v>
      </c>
      <c r="L695" s="10" t="s">
        <v>22852</v>
      </c>
      <c r="M695" s="9" t="s">
        <v>9962</v>
      </c>
      <c r="N695" s="10" t="s">
        <v>9834</v>
      </c>
      <c r="O695" s="15">
        <v>14004000</v>
      </c>
      <c r="P695" s="145">
        <v>221325</v>
      </c>
      <c r="Q695" s="9" t="s">
        <v>22575</v>
      </c>
      <c r="R695" s="146" t="s">
        <v>22853</v>
      </c>
      <c r="T695" s="92" t="s">
        <v>1104</v>
      </c>
      <c r="U695">
        <v>1</v>
      </c>
      <c r="V695">
        <f>VLOOKUP(T695,'Data Angt'!$A$5:$F$5810,6,FALSE)</f>
        <v>56</v>
      </c>
      <c r="W695" s="5" t="str">
        <f t="shared" si="10"/>
        <v>KONSUMTIF</v>
      </c>
      <c r="X695" s="5" t="str">
        <f>VLOOKUP(T695,'Data Angt'!$A$5:$H$5810,8,FALSE)</f>
        <v>Tenaga Pengajar</v>
      </c>
      <c r="Y695" s="5" t="str">
        <f>VLOOKUP(T695,'Data Angt'!$A$5:$C$5808,3,FALSE)</f>
        <v>KRK</v>
      </c>
    </row>
    <row r="696" spans="1:25" x14ac:dyDescent="0.3">
      <c r="A696" s="8">
        <v>690</v>
      </c>
      <c r="B696" s="9" t="s">
        <v>15028</v>
      </c>
      <c r="C696" s="10" t="str">
        <f>VLOOKUP(B696,'Data Angt'!$A$5:$B$5809,2,FALSE)</f>
        <v>A5472</v>
      </c>
      <c r="D696" s="11" t="s">
        <v>9829</v>
      </c>
      <c r="E696" s="12" t="s">
        <v>16387</v>
      </c>
      <c r="F696" s="13">
        <v>45769</v>
      </c>
      <c r="G696" s="14">
        <v>45924</v>
      </c>
      <c r="H696" s="15">
        <v>1000000</v>
      </c>
      <c r="I696" s="16">
        <v>10</v>
      </c>
      <c r="J696" s="17">
        <v>24</v>
      </c>
      <c r="K696" s="9" t="s">
        <v>9831</v>
      </c>
      <c r="L696" s="10" t="s">
        <v>16388</v>
      </c>
      <c r="M696" s="9" t="s">
        <v>2150</v>
      </c>
      <c r="N696" s="10" t="s">
        <v>9830</v>
      </c>
      <c r="O696" s="15">
        <v>524600</v>
      </c>
      <c r="P696" s="145">
        <v>30599</v>
      </c>
      <c r="Q696" s="9"/>
      <c r="R696" s="146"/>
      <c r="T696" s="92" t="s">
        <v>1146</v>
      </c>
      <c r="U696">
        <v>1</v>
      </c>
      <c r="V696">
        <f>VLOOKUP(T696,'Data Angt'!$A$5:$F$5810,6,FALSE)</f>
        <v>64</v>
      </c>
      <c r="W696" s="5" t="str">
        <f t="shared" si="10"/>
        <v>PRODUKTIF</v>
      </c>
      <c r="X696" s="5" t="str">
        <f>VLOOKUP(T696,'Data Angt'!$A$5:$H$5810,8,FALSE)</f>
        <v>Wiraswasta</v>
      </c>
      <c r="Y696" s="5" t="str">
        <f>VLOOKUP(T696,'Data Angt'!$A$5:$C$5808,3,FALSE)</f>
        <v>KRK</v>
      </c>
    </row>
    <row r="697" spans="1:25" x14ac:dyDescent="0.3">
      <c r="A697" s="8">
        <v>691</v>
      </c>
      <c r="B697" s="9" t="s">
        <v>15063</v>
      </c>
      <c r="C697" s="10" t="str">
        <f>VLOOKUP(B697,'Data Angt'!$A$5:$B$5809,2,FALSE)</f>
        <v>A5488</v>
      </c>
      <c r="D697" s="11" t="s">
        <v>9833</v>
      </c>
      <c r="E697" s="12" t="s">
        <v>22854</v>
      </c>
      <c r="F697" s="13">
        <v>45870</v>
      </c>
      <c r="G697" s="14">
        <v>45925</v>
      </c>
      <c r="H697" s="15">
        <v>1000000</v>
      </c>
      <c r="I697" s="16">
        <v>3</v>
      </c>
      <c r="J697" s="17">
        <v>24</v>
      </c>
      <c r="K697" s="9" t="s">
        <v>9831</v>
      </c>
      <c r="L697" s="10" t="s">
        <v>22855</v>
      </c>
      <c r="M697" s="9" t="s">
        <v>22856</v>
      </c>
      <c r="N697" s="10" t="s">
        <v>9834</v>
      </c>
      <c r="O697" s="15">
        <v>673200</v>
      </c>
      <c r="P697" s="145">
        <v>7500</v>
      </c>
      <c r="Q697" s="9"/>
      <c r="R697" s="146"/>
      <c r="T697" s="92" t="s">
        <v>1149</v>
      </c>
      <c r="U697">
        <v>1</v>
      </c>
      <c r="V697">
        <f>VLOOKUP(T697,'Data Angt'!$A$5:$F$5810,6,FALSE)</f>
        <v>58</v>
      </c>
      <c r="W697" s="5">
        <f t="shared" si="10"/>
        <v>0</v>
      </c>
      <c r="X697" s="5" t="str">
        <f>VLOOKUP(T697,'Data Angt'!$A$5:$H$5810,8,FALSE)</f>
        <v>Mengurus Rumah Tangga</v>
      </c>
      <c r="Y697" s="5" t="str">
        <f>VLOOKUP(T697,'Data Angt'!$A$5:$C$5808,3,FALSE)</f>
        <v>KRK</v>
      </c>
    </row>
    <row r="698" spans="1:25" x14ac:dyDescent="0.3">
      <c r="A698" s="8">
        <v>692</v>
      </c>
      <c r="B698" s="9" t="s">
        <v>15082</v>
      </c>
      <c r="C698" s="10" t="str">
        <f>VLOOKUP(B698,'Data Angt'!$A$5:$B$5809,2,FALSE)</f>
        <v>A5495</v>
      </c>
      <c r="D698" s="11" t="s">
        <v>9829</v>
      </c>
      <c r="E698" s="12" t="s">
        <v>22857</v>
      </c>
      <c r="F698" s="13">
        <v>45878</v>
      </c>
      <c r="G698" s="14">
        <v>45901</v>
      </c>
      <c r="H698" s="15">
        <v>1000000</v>
      </c>
      <c r="I698" s="16">
        <v>6</v>
      </c>
      <c r="J698" s="17">
        <v>24</v>
      </c>
      <c r="K698" s="9" t="s">
        <v>9831</v>
      </c>
      <c r="L698" s="10" t="s">
        <v>22858</v>
      </c>
      <c r="M698" s="9" t="s">
        <v>9841</v>
      </c>
      <c r="N698" s="10" t="s">
        <v>17</v>
      </c>
      <c r="O698" s="15">
        <v>841400</v>
      </c>
      <c r="P698" s="145">
        <v>7500</v>
      </c>
      <c r="Q698" s="9"/>
      <c r="R698" s="146"/>
      <c r="T698" s="92" t="s">
        <v>1164</v>
      </c>
      <c r="U698">
        <v>1</v>
      </c>
      <c r="V698">
        <f>VLOOKUP(T698,'Data Angt'!$A$5:$F$5810,6,FALSE)</f>
        <v>70</v>
      </c>
      <c r="W698" s="5">
        <f t="shared" si="10"/>
        <v>0</v>
      </c>
      <c r="X698" s="5" t="str">
        <f>VLOOKUP(T698,'Data Angt'!$A$5:$H$5810,8,FALSE)</f>
        <v>Pensiunan</v>
      </c>
      <c r="Y698" s="5" t="str">
        <f>VLOOKUP(T698,'Data Angt'!$A$5:$C$5808,3,FALSE)</f>
        <v>KRK</v>
      </c>
    </row>
    <row r="699" spans="1:25" x14ac:dyDescent="0.3">
      <c r="A699" s="8">
        <v>693</v>
      </c>
      <c r="B699" s="9" t="s">
        <v>15097</v>
      </c>
      <c r="C699" s="10" t="str">
        <f>VLOOKUP(B699,'Data Angt'!$A$5:$B$5809,2,FALSE)</f>
        <v>A5503</v>
      </c>
      <c r="D699" s="11" t="s">
        <v>9833</v>
      </c>
      <c r="E699" s="12" t="s">
        <v>22859</v>
      </c>
      <c r="F699" s="13">
        <v>45875</v>
      </c>
      <c r="G699" s="14">
        <v>45908</v>
      </c>
      <c r="H699" s="15">
        <v>1000000</v>
      </c>
      <c r="I699" s="16">
        <v>10</v>
      </c>
      <c r="J699" s="17">
        <v>24</v>
      </c>
      <c r="K699" s="9" t="s">
        <v>9831</v>
      </c>
      <c r="L699" s="10" t="s">
        <v>22860</v>
      </c>
      <c r="M699" s="9" t="s">
        <v>9862</v>
      </c>
      <c r="N699" s="10" t="s">
        <v>9834</v>
      </c>
      <c r="O699" s="15">
        <v>908600</v>
      </c>
      <c r="P699" s="145">
        <v>7500</v>
      </c>
      <c r="Q699" s="9"/>
      <c r="R699" s="146"/>
      <c r="T699" s="92" t="s">
        <v>1176</v>
      </c>
      <c r="U699">
        <v>1</v>
      </c>
      <c r="V699">
        <f>VLOOKUP(T699,'Data Angt'!$A$5:$F$5810,6,FALSE)</f>
        <v>56</v>
      </c>
      <c r="W699" s="5" t="str">
        <f t="shared" si="10"/>
        <v>PENDIDIKAN</v>
      </c>
      <c r="X699" s="5" t="str">
        <f>VLOOKUP(T699,'Data Angt'!$A$5:$H$5810,8,FALSE)</f>
        <v>Tenaga Pengajar</v>
      </c>
      <c r="Y699" s="5" t="str">
        <f>VLOOKUP(T699,'Data Angt'!$A$5:$C$5808,3,FALSE)</f>
        <v>KRK</v>
      </c>
    </row>
    <row r="700" spans="1:25" x14ac:dyDescent="0.3">
      <c r="A700" s="8">
        <v>694</v>
      </c>
      <c r="B700" s="9" t="s">
        <v>15115</v>
      </c>
      <c r="C700" s="10" t="str">
        <f>VLOOKUP(B700,'Data Angt'!$A$5:$B$5809,2,FALSE)</f>
        <v>A5512</v>
      </c>
      <c r="D700" s="11" t="s">
        <v>9833</v>
      </c>
      <c r="E700" s="12" t="s">
        <v>16389</v>
      </c>
      <c r="F700" s="13">
        <v>45785</v>
      </c>
      <c r="G700" s="14">
        <v>45922</v>
      </c>
      <c r="H700" s="15">
        <v>1000000</v>
      </c>
      <c r="I700" s="16">
        <v>5</v>
      </c>
      <c r="J700" s="17">
        <v>24</v>
      </c>
      <c r="K700" s="9" t="s">
        <v>9831</v>
      </c>
      <c r="L700" s="10" t="s">
        <v>16390</v>
      </c>
      <c r="M700" s="9" t="s">
        <v>9862</v>
      </c>
      <c r="N700" s="10" t="s">
        <v>9834</v>
      </c>
      <c r="O700" s="15">
        <v>411900</v>
      </c>
      <c r="P700" s="145">
        <v>21299</v>
      </c>
      <c r="Q700" s="9"/>
      <c r="R700" s="146"/>
      <c r="T700" s="92" t="s">
        <v>1228</v>
      </c>
      <c r="U700">
        <v>1</v>
      </c>
      <c r="V700">
        <f>VLOOKUP(T700,'Data Angt'!$A$5:$F$5810,6,FALSE)</f>
        <v>63</v>
      </c>
      <c r="W700" s="5" t="str">
        <f t="shared" si="10"/>
        <v>PRODUKTIF</v>
      </c>
      <c r="X700" s="5" t="str">
        <f>VLOOKUP(T700,'Data Angt'!$A$5:$H$5810,8,FALSE)</f>
        <v>Pensiunan</v>
      </c>
      <c r="Y700" s="5" t="str">
        <f>VLOOKUP(T700,'Data Angt'!$A$5:$C$5808,3,FALSE)</f>
        <v>KRK</v>
      </c>
    </row>
    <row r="701" spans="1:25" x14ac:dyDescent="0.3">
      <c r="A701" s="8">
        <v>695</v>
      </c>
      <c r="B701" s="9" t="s">
        <v>15118</v>
      </c>
      <c r="C701" s="10" t="str">
        <f>VLOOKUP(B701,'Data Angt'!$A$5:$B$5809,2,FALSE)</f>
        <v>A5513</v>
      </c>
      <c r="D701" s="11" t="s">
        <v>9829</v>
      </c>
      <c r="E701" s="12" t="s">
        <v>16391</v>
      </c>
      <c r="F701" s="13">
        <v>45785</v>
      </c>
      <c r="G701" s="14">
        <v>45908</v>
      </c>
      <c r="H701" s="15">
        <v>40000000</v>
      </c>
      <c r="I701" s="16">
        <v>30</v>
      </c>
      <c r="J701" s="17">
        <v>21</v>
      </c>
      <c r="K701" s="9" t="s">
        <v>9831</v>
      </c>
      <c r="L701" s="10" t="s">
        <v>16392</v>
      </c>
      <c r="M701" s="9" t="s">
        <v>15774</v>
      </c>
      <c r="N701" s="10" t="s">
        <v>9830</v>
      </c>
      <c r="O701" s="15">
        <v>35790500</v>
      </c>
      <c r="P701" s="145">
        <v>1009236</v>
      </c>
      <c r="Q701" s="9"/>
      <c r="R701" s="146"/>
      <c r="T701" s="92" t="s">
        <v>1249</v>
      </c>
      <c r="U701">
        <v>1</v>
      </c>
      <c r="V701">
        <f>VLOOKUP(T701,'Data Angt'!$A$5:$F$5810,6,FALSE)</f>
        <v>52</v>
      </c>
      <c r="W701" s="5" t="str">
        <f t="shared" si="10"/>
        <v>PRODUKTIF</v>
      </c>
      <c r="X701" s="5" t="str">
        <f>VLOOKUP(T701,'Data Angt'!$A$5:$H$5810,8,FALSE)</f>
        <v>Wiraswasta</v>
      </c>
      <c r="Y701" s="5" t="str">
        <f>VLOOKUP(T701,'Data Angt'!$A$5:$C$5808,3,FALSE)</f>
        <v>KRK</v>
      </c>
    </row>
    <row r="702" spans="1:25" x14ac:dyDescent="0.3">
      <c r="A702" s="8">
        <v>696</v>
      </c>
      <c r="B702" s="9" t="s">
        <v>15124</v>
      </c>
      <c r="C702" s="10" t="str">
        <f>VLOOKUP(B702,'Data Angt'!$A$5:$B$5809,2,FALSE)</f>
        <v>A5515</v>
      </c>
      <c r="D702" s="11" t="s">
        <v>9833</v>
      </c>
      <c r="E702" s="12" t="s">
        <v>16393</v>
      </c>
      <c r="F702" s="13">
        <v>45787</v>
      </c>
      <c r="G702" s="14">
        <v>45922</v>
      </c>
      <c r="H702" s="15">
        <v>1000000</v>
      </c>
      <c r="I702" s="16">
        <v>5</v>
      </c>
      <c r="J702" s="17">
        <v>24</v>
      </c>
      <c r="K702" s="9" t="s">
        <v>9831</v>
      </c>
      <c r="L702" s="10" t="s">
        <v>16394</v>
      </c>
      <c r="M702" s="9" t="s">
        <v>9977</v>
      </c>
      <c r="N702" s="10" t="s">
        <v>9834</v>
      </c>
      <c r="O702" s="15">
        <v>411900</v>
      </c>
      <c r="P702" s="145">
        <v>21299</v>
      </c>
      <c r="Q702" s="9"/>
      <c r="R702" s="146"/>
      <c r="T702" s="92" t="s">
        <v>1258</v>
      </c>
      <c r="U702">
        <v>1</v>
      </c>
      <c r="V702">
        <f>VLOOKUP(T702,'Data Angt'!$A$5:$F$5810,6,FALSE)</f>
        <v>71</v>
      </c>
      <c r="W702" s="5">
        <f t="shared" si="10"/>
        <v>0</v>
      </c>
      <c r="X702" s="5" t="str">
        <f>VLOOKUP(T702,'Data Angt'!$A$5:$H$5810,8,FALSE)</f>
        <v>Wiraswasta</v>
      </c>
      <c r="Y702" s="5" t="str">
        <f>VLOOKUP(T702,'Data Angt'!$A$5:$C$5808,3,FALSE)</f>
        <v>KRK</v>
      </c>
    </row>
    <row r="703" spans="1:25" x14ac:dyDescent="0.3">
      <c r="A703" s="8">
        <v>697</v>
      </c>
      <c r="B703" s="9" t="s">
        <v>15127</v>
      </c>
      <c r="C703" s="10" t="str">
        <f>VLOOKUP(B703,'Data Angt'!$A$5:$B$5809,2,FALSE)</f>
        <v>A5516</v>
      </c>
      <c r="D703" s="11" t="s">
        <v>9833</v>
      </c>
      <c r="E703" s="12" t="s">
        <v>16395</v>
      </c>
      <c r="F703" s="13">
        <v>45787</v>
      </c>
      <c r="G703" s="14">
        <v>45922</v>
      </c>
      <c r="H703" s="15">
        <v>1000000</v>
      </c>
      <c r="I703" s="16">
        <v>5</v>
      </c>
      <c r="J703" s="17">
        <v>24</v>
      </c>
      <c r="K703" s="9" t="s">
        <v>9831</v>
      </c>
      <c r="L703" s="10" t="s">
        <v>16396</v>
      </c>
      <c r="M703" s="9" t="s">
        <v>9977</v>
      </c>
      <c r="N703" s="10" t="s">
        <v>9834</v>
      </c>
      <c r="O703" s="15">
        <v>411900</v>
      </c>
      <c r="P703" s="145">
        <v>21299</v>
      </c>
      <c r="Q703" s="9"/>
      <c r="R703" s="146"/>
      <c r="T703" s="92" t="s">
        <v>1369</v>
      </c>
      <c r="U703">
        <v>2</v>
      </c>
      <c r="V703">
        <f>VLOOKUP(T703,'Data Angt'!$A$5:$F$5810,6,FALSE)</f>
        <v>60</v>
      </c>
      <c r="W703" s="5" t="str">
        <f t="shared" si="10"/>
        <v>PRODUKTIF</v>
      </c>
      <c r="X703" s="5" t="str">
        <f>VLOOKUP(T703,'Data Angt'!$A$5:$H$5810,8,FALSE)</f>
        <v>Wiraswasta</v>
      </c>
      <c r="Y703" s="5" t="str">
        <f>VLOOKUP(T703,'Data Angt'!$A$5:$C$5808,3,FALSE)</f>
        <v>KRK</v>
      </c>
    </row>
    <row r="704" spans="1:25" x14ac:dyDescent="0.3">
      <c r="A704" s="8">
        <v>698</v>
      </c>
      <c r="B704" s="9" t="s">
        <v>15128</v>
      </c>
      <c r="C704" s="10" t="str">
        <f>VLOOKUP(B704,'Data Angt'!$A$5:$B$5809,2,FALSE)</f>
        <v>A5517</v>
      </c>
      <c r="D704" s="11" t="s">
        <v>9833</v>
      </c>
      <c r="E704" s="12" t="s">
        <v>16397</v>
      </c>
      <c r="F704" s="13">
        <v>45787</v>
      </c>
      <c r="G704" s="14">
        <v>45922</v>
      </c>
      <c r="H704" s="15">
        <v>1000000</v>
      </c>
      <c r="I704" s="16">
        <v>5</v>
      </c>
      <c r="J704" s="17">
        <v>24</v>
      </c>
      <c r="K704" s="9" t="s">
        <v>9831</v>
      </c>
      <c r="L704" s="10" t="s">
        <v>16398</v>
      </c>
      <c r="M704" s="9" t="s">
        <v>9977</v>
      </c>
      <c r="N704" s="10" t="s">
        <v>9834</v>
      </c>
      <c r="O704" s="15">
        <v>411900</v>
      </c>
      <c r="P704" s="145">
        <v>21299</v>
      </c>
      <c r="Q704" s="9"/>
      <c r="R704" s="146"/>
      <c r="T704" s="92" t="s">
        <v>1477</v>
      </c>
      <c r="U704">
        <v>1</v>
      </c>
      <c r="V704">
        <f>VLOOKUP(T704,'Data Angt'!$A$5:$F$5810,6,FALSE)</f>
        <v>50</v>
      </c>
      <c r="W704" s="5" t="str">
        <f t="shared" si="10"/>
        <v>PRODUKTIF</v>
      </c>
      <c r="X704" s="5" t="str">
        <f>VLOOKUP(T704,'Data Angt'!$A$5:$H$5810,8,FALSE)</f>
        <v>Wiraswasta</v>
      </c>
      <c r="Y704" s="5" t="str">
        <f>VLOOKUP(T704,'Data Angt'!$A$5:$C$5808,3,FALSE)</f>
        <v>KRK</v>
      </c>
    </row>
    <row r="705" spans="1:25" x14ac:dyDescent="0.3">
      <c r="A705" s="8">
        <v>699</v>
      </c>
      <c r="B705" s="9" t="s">
        <v>15130</v>
      </c>
      <c r="C705" s="10" t="str">
        <f>VLOOKUP(B705,'Data Angt'!$A$5:$B$5809,2,FALSE)</f>
        <v>A5518</v>
      </c>
      <c r="D705" s="11" t="s">
        <v>9833</v>
      </c>
      <c r="E705" s="12" t="s">
        <v>16399</v>
      </c>
      <c r="F705" s="13">
        <v>45787</v>
      </c>
      <c r="G705" s="14">
        <v>45922</v>
      </c>
      <c r="H705" s="15">
        <v>1000000</v>
      </c>
      <c r="I705" s="16">
        <v>5</v>
      </c>
      <c r="J705" s="17">
        <v>24</v>
      </c>
      <c r="K705" s="9" t="s">
        <v>9831</v>
      </c>
      <c r="L705" s="10" t="s">
        <v>16400</v>
      </c>
      <c r="M705" s="9" t="s">
        <v>9977</v>
      </c>
      <c r="N705" s="10" t="s">
        <v>9834</v>
      </c>
      <c r="O705" s="15">
        <v>411900</v>
      </c>
      <c r="P705" s="145">
        <v>21299</v>
      </c>
      <c r="Q705" s="9"/>
      <c r="R705" s="146"/>
      <c r="T705" s="92" t="s">
        <v>1512</v>
      </c>
      <c r="U705">
        <v>1</v>
      </c>
      <c r="V705">
        <f>VLOOKUP(T705,'Data Angt'!$A$5:$F$5810,6,FALSE)</f>
        <v>65</v>
      </c>
      <c r="W705" s="5" t="str">
        <f t="shared" si="10"/>
        <v>KESEJAHTERAAN</v>
      </c>
      <c r="X705" s="5" t="str">
        <f>VLOOKUP(T705,'Data Angt'!$A$5:$H$5810,8,FALSE)</f>
        <v>Wiraswasta</v>
      </c>
      <c r="Y705" s="5" t="str">
        <f>VLOOKUP(T705,'Data Angt'!$A$5:$C$5808,3,FALSE)</f>
        <v>KRK</v>
      </c>
    </row>
    <row r="706" spans="1:25" x14ac:dyDescent="0.3">
      <c r="A706" s="8">
        <v>700</v>
      </c>
      <c r="B706" s="9" t="s">
        <v>15132</v>
      </c>
      <c r="C706" s="10" t="str">
        <f>VLOOKUP(B706,'Data Angt'!$A$5:$B$5809,2,FALSE)</f>
        <v>A5519</v>
      </c>
      <c r="D706" s="11" t="s">
        <v>9833</v>
      </c>
      <c r="E706" s="12" t="s">
        <v>16401</v>
      </c>
      <c r="F706" s="13">
        <v>45787</v>
      </c>
      <c r="G706" s="14">
        <v>45922</v>
      </c>
      <c r="H706" s="15">
        <v>1000000</v>
      </c>
      <c r="I706" s="16">
        <v>5</v>
      </c>
      <c r="J706" s="17">
        <v>24</v>
      </c>
      <c r="K706" s="9" t="s">
        <v>9831</v>
      </c>
      <c r="L706" s="10" t="s">
        <v>16402</v>
      </c>
      <c r="M706" s="9" t="s">
        <v>9977</v>
      </c>
      <c r="N706" s="10" t="s">
        <v>9834</v>
      </c>
      <c r="O706" s="15">
        <v>411900</v>
      </c>
      <c r="P706" s="145">
        <v>21299</v>
      </c>
      <c r="Q706" s="9"/>
      <c r="R706" s="146"/>
      <c r="T706" s="92" t="s">
        <v>1590</v>
      </c>
      <c r="U706">
        <v>1</v>
      </c>
      <c r="V706">
        <f>VLOOKUP(T706,'Data Angt'!$A$5:$F$5810,6,FALSE)</f>
        <v>56</v>
      </c>
      <c r="W706" s="5" t="str">
        <f t="shared" si="10"/>
        <v>KESEJAHTERAAN</v>
      </c>
      <c r="X706" s="5" t="str">
        <f>VLOOKUP(T706,'Data Angt'!$A$5:$H$5810,8,FALSE)</f>
        <v>Wiraswasta</v>
      </c>
      <c r="Y706" s="5" t="str">
        <f>VLOOKUP(T706,'Data Angt'!$A$5:$C$5808,3,FALSE)</f>
        <v>KRK</v>
      </c>
    </row>
    <row r="707" spans="1:25" x14ac:dyDescent="0.3">
      <c r="A707" s="8">
        <v>701</v>
      </c>
      <c r="B707" s="9" t="s">
        <v>15135</v>
      </c>
      <c r="C707" s="10" t="str">
        <f>VLOOKUP(B707,'Data Angt'!$A$5:$B$5809,2,FALSE)</f>
        <v>A5521</v>
      </c>
      <c r="D707" s="11" t="s">
        <v>9833</v>
      </c>
      <c r="E707" s="12" t="s">
        <v>16403</v>
      </c>
      <c r="F707" s="13">
        <v>45798</v>
      </c>
      <c r="G707" s="14">
        <v>45929</v>
      </c>
      <c r="H707" s="15">
        <v>15000000</v>
      </c>
      <c r="I707" s="16">
        <v>12</v>
      </c>
      <c r="J707" s="17">
        <v>24</v>
      </c>
      <c r="K707" s="9" t="s">
        <v>9831</v>
      </c>
      <c r="L707" s="10" t="s">
        <v>16404</v>
      </c>
      <c r="M707" s="9" t="s">
        <v>16405</v>
      </c>
      <c r="N707" s="10" t="s">
        <v>9834</v>
      </c>
      <c r="O707" s="15">
        <v>10390600</v>
      </c>
      <c r="P707" s="145">
        <v>399074</v>
      </c>
      <c r="Q707" s="9" t="s">
        <v>22189</v>
      </c>
      <c r="R707" s="146" t="s">
        <v>22861</v>
      </c>
      <c r="T707" s="92" t="s">
        <v>1594</v>
      </c>
      <c r="U707">
        <v>1</v>
      </c>
      <c r="V707">
        <f>VLOOKUP(T707,'Data Angt'!$A$5:$F$5810,6,FALSE)</f>
        <v>50</v>
      </c>
      <c r="W707" s="5" t="str">
        <f t="shared" si="10"/>
        <v>PRODUKTIF</v>
      </c>
      <c r="X707" s="5" t="str">
        <f>VLOOKUP(T707,'Data Angt'!$A$5:$H$5810,8,FALSE)</f>
        <v>Wiraswasta</v>
      </c>
      <c r="Y707" s="5" t="str">
        <f>VLOOKUP(T707,'Data Angt'!$A$5:$C$5808,3,FALSE)</f>
        <v>KRK</v>
      </c>
    </row>
    <row r="708" spans="1:25" x14ac:dyDescent="0.3">
      <c r="A708" s="8">
        <v>702</v>
      </c>
      <c r="B708" s="9" t="s">
        <v>15137</v>
      </c>
      <c r="C708" s="10" t="str">
        <f>VLOOKUP(B708,'Data Angt'!$A$5:$B$5809,2,FALSE)</f>
        <v>A5522</v>
      </c>
      <c r="D708" s="11" t="s">
        <v>9829</v>
      </c>
      <c r="E708" s="12" t="s">
        <v>16406</v>
      </c>
      <c r="F708" s="13">
        <v>45791</v>
      </c>
      <c r="G708" s="14">
        <v>45908</v>
      </c>
      <c r="H708" s="15">
        <v>1000000</v>
      </c>
      <c r="I708" s="16">
        <v>10</v>
      </c>
      <c r="J708" s="17">
        <v>24</v>
      </c>
      <c r="K708" s="9" t="s">
        <v>9831</v>
      </c>
      <c r="L708" s="10" t="s">
        <v>16407</v>
      </c>
      <c r="M708" s="9" t="s">
        <v>9841</v>
      </c>
      <c r="N708" s="10" t="s">
        <v>17</v>
      </c>
      <c r="O708" s="15">
        <v>623500</v>
      </c>
      <c r="P708" s="145">
        <v>25912</v>
      </c>
      <c r="Q708" s="9"/>
      <c r="R708" s="146"/>
      <c r="T708" s="92" t="s">
        <v>1892</v>
      </c>
      <c r="U708">
        <v>1</v>
      </c>
      <c r="V708">
        <f>VLOOKUP(T708,'Data Angt'!$A$5:$F$5810,6,FALSE)</f>
        <v>49</v>
      </c>
      <c r="W708" s="5">
        <f t="shared" si="10"/>
        <v>0</v>
      </c>
      <c r="X708" s="5" t="str">
        <f>VLOOKUP(T708,'Data Angt'!$A$5:$H$5810,8,FALSE)</f>
        <v>Karyawan</v>
      </c>
      <c r="Y708" s="5" t="str">
        <f>VLOOKUP(T708,'Data Angt'!$A$5:$C$5808,3,FALSE)</f>
        <v>KRK</v>
      </c>
    </row>
    <row r="709" spans="1:25" x14ac:dyDescent="0.3">
      <c r="A709" s="8">
        <v>703</v>
      </c>
      <c r="B709" s="9" t="s">
        <v>15140</v>
      </c>
      <c r="C709" s="10" t="str">
        <f>VLOOKUP(B709,'Data Angt'!$A$5:$B$5809,2,FALSE)</f>
        <v>A5523</v>
      </c>
      <c r="D709" s="11" t="s">
        <v>9829</v>
      </c>
      <c r="E709" s="12" t="s">
        <v>16408</v>
      </c>
      <c r="F709" s="13">
        <v>45791</v>
      </c>
      <c r="G709" s="14">
        <v>45910</v>
      </c>
      <c r="H709" s="15">
        <v>1000000</v>
      </c>
      <c r="I709" s="16">
        <v>10</v>
      </c>
      <c r="J709" s="17">
        <v>24</v>
      </c>
      <c r="K709" s="9" t="s">
        <v>9831</v>
      </c>
      <c r="L709" s="10" t="s">
        <v>16409</v>
      </c>
      <c r="M709" s="9" t="s">
        <v>9854</v>
      </c>
      <c r="N709" s="10" t="s">
        <v>17</v>
      </c>
      <c r="O709" s="15">
        <v>623500</v>
      </c>
      <c r="P709" s="145">
        <v>25912</v>
      </c>
      <c r="Q709" s="9"/>
      <c r="R709" s="146"/>
      <c r="T709" s="92" t="s">
        <v>1940</v>
      </c>
      <c r="U709">
        <v>2</v>
      </c>
      <c r="V709">
        <f>VLOOKUP(T709,'Data Angt'!$A$5:$F$5810,6,FALSE)</f>
        <v>46</v>
      </c>
      <c r="W709" s="5" t="str">
        <f t="shared" si="10"/>
        <v>PRODUKTIF</v>
      </c>
      <c r="X709" s="5" t="str">
        <f>VLOOKUP(T709,'Data Angt'!$A$5:$H$5810,8,FALSE)</f>
        <v>Wiraswasta</v>
      </c>
      <c r="Y709" s="5" t="str">
        <f>VLOOKUP(T709,'Data Angt'!$A$5:$C$5808,3,FALSE)</f>
        <v>KRK</v>
      </c>
    </row>
    <row r="710" spans="1:25" x14ac:dyDescent="0.3">
      <c r="A710" s="8">
        <v>704</v>
      </c>
      <c r="B710" s="9" t="s">
        <v>15160</v>
      </c>
      <c r="C710" s="10" t="str">
        <f>VLOOKUP(B710,'Data Angt'!$A$5:$B$5809,2,FALSE)</f>
        <v>A5533</v>
      </c>
      <c r="D710" s="11" t="s">
        <v>9833</v>
      </c>
      <c r="E710" s="12" t="s">
        <v>22862</v>
      </c>
      <c r="F710" s="13">
        <v>45890</v>
      </c>
      <c r="G710" s="14">
        <v>45923</v>
      </c>
      <c r="H710" s="15">
        <v>600000</v>
      </c>
      <c r="I710" s="16">
        <v>4</v>
      </c>
      <c r="J710" s="17">
        <v>24</v>
      </c>
      <c r="K710" s="9" t="s">
        <v>9831</v>
      </c>
      <c r="L710" s="10" t="s">
        <v>22863</v>
      </c>
      <c r="M710" s="9" t="s">
        <v>9977</v>
      </c>
      <c r="N710" s="10" t="s">
        <v>9834</v>
      </c>
      <c r="O710" s="15">
        <v>454400</v>
      </c>
      <c r="P710" s="145">
        <v>4500</v>
      </c>
      <c r="Q710" s="9"/>
      <c r="R710" s="146"/>
      <c r="T710" s="92" t="s">
        <v>2044</v>
      </c>
      <c r="U710">
        <v>2</v>
      </c>
      <c r="V710">
        <f>VLOOKUP(T710,'Data Angt'!$A$5:$F$5810,6,FALSE)</f>
        <v>62</v>
      </c>
      <c r="W710" s="5" t="str">
        <f t="shared" si="10"/>
        <v>PRODUKTIF</v>
      </c>
      <c r="X710" s="5" t="str">
        <f>VLOOKUP(T710,'Data Angt'!$A$5:$H$5810,8,FALSE)</f>
        <v>Lain-Lain</v>
      </c>
      <c r="Y710" s="5" t="str">
        <f>VLOOKUP(T710,'Data Angt'!$A$5:$C$5808,3,FALSE)</f>
        <v>KRK</v>
      </c>
    </row>
    <row r="711" spans="1:25" x14ac:dyDescent="0.3">
      <c r="A711" s="8">
        <v>705</v>
      </c>
      <c r="B711" s="9" t="s">
        <v>15186</v>
      </c>
      <c r="C711" s="10" t="str">
        <f>VLOOKUP(B711,'Data Angt'!$A$5:$B$5809,2,FALSE)</f>
        <v>A5543</v>
      </c>
      <c r="D711" s="11" t="s">
        <v>9829</v>
      </c>
      <c r="E711" s="12" t="s">
        <v>22864</v>
      </c>
      <c r="F711" s="13">
        <v>45852</v>
      </c>
      <c r="G711" s="14">
        <v>45919</v>
      </c>
      <c r="H711" s="15">
        <v>9000000</v>
      </c>
      <c r="I711" s="16">
        <v>24</v>
      </c>
      <c r="J711" s="17">
        <v>24</v>
      </c>
      <c r="K711" s="9" t="s">
        <v>9831</v>
      </c>
      <c r="L711" s="10" t="s">
        <v>22865</v>
      </c>
      <c r="M711" s="9" t="s">
        <v>9854</v>
      </c>
      <c r="N711" s="10" t="s">
        <v>17</v>
      </c>
      <c r="O711" s="15">
        <v>8402300</v>
      </c>
      <c r="P711" s="145">
        <v>132787</v>
      </c>
      <c r="Q711" s="9" t="s">
        <v>22189</v>
      </c>
      <c r="R711" s="146" t="s">
        <v>22866</v>
      </c>
      <c r="T711" s="92" t="s">
        <v>2103</v>
      </c>
      <c r="U711">
        <v>1</v>
      </c>
      <c r="V711">
        <f>VLOOKUP(T711,'Data Angt'!$A$5:$F$5810,6,FALSE)</f>
        <v>71</v>
      </c>
      <c r="W711" s="5" t="str">
        <f t="shared" ref="W711:W774" si="11">VLOOKUP(T711,$B$7:$N$1869,13,FALSE)</f>
        <v>PRODUKTIF</v>
      </c>
      <c r="X711" s="5" t="str">
        <f>VLOOKUP(T711,'Data Angt'!$A$5:$H$5810,8,FALSE)</f>
        <v>Pensiunan</v>
      </c>
      <c r="Y711" s="5" t="str">
        <f>VLOOKUP(T711,'Data Angt'!$A$5:$C$5808,3,FALSE)</f>
        <v>KRK</v>
      </c>
    </row>
    <row r="712" spans="1:25" x14ac:dyDescent="0.3">
      <c r="A712" s="8">
        <v>706</v>
      </c>
      <c r="B712" s="9" t="s">
        <v>15191</v>
      </c>
      <c r="C712" s="10" t="str">
        <f>VLOOKUP(B712,'Data Angt'!$A$5:$B$5809,2,FALSE)</f>
        <v>A5546</v>
      </c>
      <c r="D712" s="11" t="s">
        <v>9833</v>
      </c>
      <c r="E712" s="12" t="s">
        <v>16410</v>
      </c>
      <c r="F712" s="13">
        <v>45805</v>
      </c>
      <c r="G712" s="14">
        <v>45901</v>
      </c>
      <c r="H712" s="15">
        <v>1500000</v>
      </c>
      <c r="I712" s="16">
        <v>3</v>
      </c>
      <c r="J712" s="17">
        <v>24</v>
      </c>
      <c r="K712" s="9" t="s">
        <v>9831</v>
      </c>
      <c r="L712" s="10" t="s">
        <v>16411</v>
      </c>
      <c r="M712" s="9" t="s">
        <v>9862</v>
      </c>
      <c r="N712" s="10" t="s">
        <v>9834</v>
      </c>
      <c r="O712" s="15">
        <v>1009800</v>
      </c>
      <c r="P712" s="145">
        <v>45000</v>
      </c>
      <c r="Q712" s="9"/>
      <c r="R712" s="146"/>
      <c r="T712" s="92" t="s">
        <v>2116</v>
      </c>
      <c r="U712">
        <v>1</v>
      </c>
      <c r="V712">
        <f>VLOOKUP(T712,'Data Angt'!$A$5:$F$5810,6,FALSE)</f>
        <v>57</v>
      </c>
      <c r="W712" s="5" t="str">
        <f t="shared" si="11"/>
        <v>PRODUKTIF</v>
      </c>
      <c r="X712" s="5" t="str">
        <f>VLOOKUP(T712,'Data Angt'!$A$5:$H$5810,8,FALSE)</f>
        <v>Mengurus Rumah Tangga</v>
      </c>
      <c r="Y712" s="5" t="str">
        <f>VLOOKUP(T712,'Data Angt'!$A$5:$C$5808,3,FALSE)</f>
        <v>KRK</v>
      </c>
    </row>
    <row r="713" spans="1:25" x14ac:dyDescent="0.3">
      <c r="A713" s="8">
        <v>707</v>
      </c>
      <c r="B713" s="9" t="s">
        <v>15195</v>
      </c>
      <c r="C713" s="10" t="str">
        <f>VLOOKUP(B713,'Data Angt'!$A$5:$B$5809,2,FALSE)</f>
        <v>A5548</v>
      </c>
      <c r="D713" s="11" t="s">
        <v>9829</v>
      </c>
      <c r="E713" s="12" t="s">
        <v>16412</v>
      </c>
      <c r="F713" s="13">
        <v>45801</v>
      </c>
      <c r="G713" s="14">
        <v>45929</v>
      </c>
      <c r="H713" s="15">
        <v>2000000</v>
      </c>
      <c r="I713" s="16">
        <v>12</v>
      </c>
      <c r="J713" s="17">
        <v>24</v>
      </c>
      <c r="K713" s="9" t="s">
        <v>9831</v>
      </c>
      <c r="L713" s="10" t="s">
        <v>16413</v>
      </c>
      <c r="M713" s="9" t="s">
        <v>9886</v>
      </c>
      <c r="N713" s="10" t="s">
        <v>9830</v>
      </c>
      <c r="O713" s="15">
        <v>1385200</v>
      </c>
      <c r="P713" s="145">
        <v>53249</v>
      </c>
      <c r="Q713" s="9"/>
      <c r="R713" s="146"/>
      <c r="T713" s="92" t="s">
        <v>2376</v>
      </c>
      <c r="U713">
        <v>1</v>
      </c>
      <c r="V713">
        <f>VLOOKUP(T713,'Data Angt'!$A$5:$F$5810,6,FALSE)</f>
        <v>53</v>
      </c>
      <c r="W713" s="5" t="str">
        <f t="shared" si="11"/>
        <v>PRODUKTIF</v>
      </c>
      <c r="X713" s="5" t="str">
        <f>VLOOKUP(T713,'Data Angt'!$A$5:$H$5810,8,FALSE)</f>
        <v>Wiraswasta</v>
      </c>
      <c r="Y713" s="5" t="str">
        <f>VLOOKUP(T713,'Data Angt'!$A$5:$C$5808,3,FALSE)</f>
        <v>KRK</v>
      </c>
    </row>
    <row r="714" spans="1:25" x14ac:dyDescent="0.3">
      <c r="A714" s="8">
        <v>708</v>
      </c>
      <c r="B714" s="9" t="s">
        <v>15203</v>
      </c>
      <c r="C714" s="10" t="str">
        <f>VLOOKUP(B714,'Data Angt'!$A$5:$B$5809,2,FALSE)</f>
        <v>A5551</v>
      </c>
      <c r="D714" s="11" t="s">
        <v>9829</v>
      </c>
      <c r="E714" s="12" t="s">
        <v>22867</v>
      </c>
      <c r="F714" s="13">
        <v>45883</v>
      </c>
      <c r="G714" s="14">
        <v>45927</v>
      </c>
      <c r="H714" s="15">
        <v>2500000</v>
      </c>
      <c r="I714" s="16">
        <v>10</v>
      </c>
      <c r="J714" s="17">
        <v>24</v>
      </c>
      <c r="K714" s="9" t="s">
        <v>9831</v>
      </c>
      <c r="L714" s="10" t="s">
        <v>22868</v>
      </c>
      <c r="M714" s="9" t="s">
        <v>22869</v>
      </c>
      <c r="N714" s="10" t="s">
        <v>110</v>
      </c>
      <c r="O714" s="15">
        <v>2271600</v>
      </c>
      <c r="P714" s="145">
        <v>18750</v>
      </c>
      <c r="Q714" s="9"/>
      <c r="R714" s="146"/>
      <c r="T714" s="92" t="s">
        <v>2395</v>
      </c>
      <c r="U714">
        <v>1</v>
      </c>
      <c r="V714">
        <f>VLOOKUP(T714,'Data Angt'!$A$5:$F$5810,6,FALSE)</f>
        <v>37</v>
      </c>
      <c r="W714" s="5" t="str">
        <f t="shared" si="11"/>
        <v>KESEJAHTERAAN</v>
      </c>
      <c r="X714" s="5" t="str">
        <f>VLOOKUP(T714,'Data Angt'!$A$5:$H$5810,8,FALSE)</f>
        <v>Wiraswasta</v>
      </c>
      <c r="Y714" s="5" t="str">
        <f>VLOOKUP(T714,'Data Angt'!$A$5:$C$5808,3,FALSE)</f>
        <v>KRK</v>
      </c>
    </row>
    <row r="715" spans="1:25" x14ac:dyDescent="0.3">
      <c r="A715" s="8">
        <v>709</v>
      </c>
      <c r="B715" s="9" t="s">
        <v>15205</v>
      </c>
      <c r="C715" s="10" t="str">
        <f>VLOOKUP(B715,'Data Angt'!$A$5:$B$5809,2,FALSE)</f>
        <v>A5552</v>
      </c>
      <c r="D715" s="11" t="s">
        <v>9829</v>
      </c>
      <c r="E715" s="12" t="s">
        <v>16414</v>
      </c>
      <c r="F715" s="13">
        <v>45804</v>
      </c>
      <c r="G715" s="14">
        <v>45927</v>
      </c>
      <c r="H715" s="15">
        <v>2000000</v>
      </c>
      <c r="I715" s="16">
        <v>10</v>
      </c>
      <c r="J715" s="17">
        <v>24</v>
      </c>
      <c r="K715" s="9" t="s">
        <v>9831</v>
      </c>
      <c r="L715" s="10" t="s">
        <v>16415</v>
      </c>
      <c r="M715" s="9" t="s">
        <v>10352</v>
      </c>
      <c r="N715" s="10" t="s">
        <v>9828</v>
      </c>
      <c r="O715" s="15">
        <v>1247200</v>
      </c>
      <c r="P715" s="145">
        <v>51749</v>
      </c>
      <c r="Q715" s="9"/>
      <c r="R715" s="146"/>
      <c r="T715" s="92" t="s">
        <v>2408</v>
      </c>
      <c r="U715">
        <v>1</v>
      </c>
      <c r="V715">
        <f>VLOOKUP(T715,'Data Angt'!$A$5:$F$5810,6,FALSE)</f>
        <v>49</v>
      </c>
      <c r="W715" s="5">
        <f t="shared" si="11"/>
        <v>0</v>
      </c>
      <c r="X715" s="5" t="str">
        <f>VLOOKUP(T715,'Data Angt'!$A$5:$H$5810,8,FALSE)</f>
        <v>Mengurus Rumah Tangga</v>
      </c>
      <c r="Y715" s="5" t="str">
        <f>VLOOKUP(T715,'Data Angt'!$A$5:$C$5808,3,FALSE)</f>
        <v>KRK</v>
      </c>
    </row>
    <row r="716" spans="1:25" x14ac:dyDescent="0.3">
      <c r="A716" s="8">
        <v>710</v>
      </c>
      <c r="B716" s="9" t="s">
        <v>15207</v>
      </c>
      <c r="C716" s="10" t="str">
        <f>VLOOKUP(B716,'Data Angt'!$A$5:$B$5809,2,FALSE)</f>
        <v>A5553</v>
      </c>
      <c r="D716" s="11" t="s">
        <v>9829</v>
      </c>
      <c r="E716" s="12" t="s">
        <v>22870</v>
      </c>
      <c r="F716" s="13">
        <v>45887</v>
      </c>
      <c r="G716" s="14">
        <v>45926</v>
      </c>
      <c r="H716" s="15">
        <v>2500000</v>
      </c>
      <c r="I716" s="16">
        <v>10</v>
      </c>
      <c r="J716" s="17">
        <v>24</v>
      </c>
      <c r="K716" s="9" t="s">
        <v>9831</v>
      </c>
      <c r="L716" s="10" t="s">
        <v>22871</v>
      </c>
      <c r="M716" s="9" t="s">
        <v>22872</v>
      </c>
      <c r="N716" s="10" t="s">
        <v>110</v>
      </c>
      <c r="O716" s="15">
        <v>2271600</v>
      </c>
      <c r="P716" s="145">
        <v>18750</v>
      </c>
      <c r="Q716" s="9"/>
      <c r="R716" s="146"/>
      <c r="T716" s="92" t="s">
        <v>2420</v>
      </c>
      <c r="U716">
        <v>1</v>
      </c>
      <c r="V716">
        <f>VLOOKUP(T716,'Data Angt'!$A$5:$F$5810,6,FALSE)</f>
        <v>49</v>
      </c>
      <c r="W716" s="5" t="str">
        <f t="shared" si="11"/>
        <v>PRODUKTIF</v>
      </c>
      <c r="X716" s="5" t="str">
        <f>VLOOKUP(T716,'Data Angt'!$A$5:$H$5810,8,FALSE)</f>
        <v>Wiraswasta</v>
      </c>
      <c r="Y716" s="5" t="str">
        <f>VLOOKUP(T716,'Data Angt'!$A$5:$C$5808,3,FALSE)</f>
        <v>KRK</v>
      </c>
    </row>
    <row r="717" spans="1:25" x14ac:dyDescent="0.3">
      <c r="A717" s="8">
        <v>711</v>
      </c>
      <c r="B717" s="9" t="s">
        <v>15212</v>
      </c>
      <c r="C717" s="10" t="str">
        <f>VLOOKUP(B717,'Data Angt'!$A$5:$B$5809,2,FALSE)</f>
        <v>A5555</v>
      </c>
      <c r="D717" s="11" t="s">
        <v>9829</v>
      </c>
      <c r="E717" s="12" t="s">
        <v>22873</v>
      </c>
      <c r="F717" s="13">
        <v>45876</v>
      </c>
      <c r="G717" s="14">
        <v>45901</v>
      </c>
      <c r="H717" s="15">
        <v>2500000</v>
      </c>
      <c r="I717" s="16">
        <v>6</v>
      </c>
      <c r="J717" s="17">
        <v>24</v>
      </c>
      <c r="K717" s="9" t="s">
        <v>9831</v>
      </c>
      <c r="L717" s="10" t="s">
        <v>22874</v>
      </c>
      <c r="M717" s="9" t="s">
        <v>22875</v>
      </c>
      <c r="N717" s="10" t="s">
        <v>9828</v>
      </c>
      <c r="O717" s="15">
        <v>2103600</v>
      </c>
      <c r="P717" s="145">
        <v>18750</v>
      </c>
      <c r="Q717" s="9"/>
      <c r="R717" s="146"/>
      <c r="T717" s="92" t="s">
        <v>2637</v>
      </c>
      <c r="U717">
        <v>1</v>
      </c>
      <c r="V717">
        <f>VLOOKUP(T717,'Data Angt'!$A$5:$F$5810,6,FALSE)</f>
        <v>42</v>
      </c>
      <c r="W717" s="5" t="str">
        <f t="shared" si="11"/>
        <v>PRODUKTIF</v>
      </c>
      <c r="X717" s="5" t="str">
        <f>VLOOKUP(T717,'Data Angt'!$A$5:$H$5810,8,FALSE)</f>
        <v>Karyawan</v>
      </c>
      <c r="Y717" s="5" t="str">
        <f>VLOOKUP(T717,'Data Angt'!$A$5:$C$5808,3,FALSE)</f>
        <v>KRK</v>
      </c>
    </row>
    <row r="718" spans="1:25" x14ac:dyDescent="0.3">
      <c r="A718" s="8">
        <v>712</v>
      </c>
      <c r="B718" s="9" t="s">
        <v>15237</v>
      </c>
      <c r="C718" s="10" t="str">
        <f>VLOOKUP(B718,'Data Angt'!$A$5:$B$5809,2,FALSE)</f>
        <v>A5565</v>
      </c>
      <c r="D718" s="11" t="s">
        <v>9829</v>
      </c>
      <c r="E718" s="12" t="s">
        <v>16416</v>
      </c>
      <c r="F718" s="13">
        <v>45812</v>
      </c>
      <c r="G718" s="14">
        <v>45904</v>
      </c>
      <c r="H718" s="15">
        <v>2000000</v>
      </c>
      <c r="I718" s="16">
        <v>12</v>
      </c>
      <c r="J718" s="17">
        <v>24</v>
      </c>
      <c r="K718" s="9" t="s">
        <v>9831</v>
      </c>
      <c r="L718" s="10" t="s">
        <v>16417</v>
      </c>
      <c r="M718" s="9" t="s">
        <v>9959</v>
      </c>
      <c r="N718" s="10" t="s">
        <v>9828</v>
      </c>
      <c r="O718" s="15">
        <v>1543500</v>
      </c>
      <c r="P718" s="145">
        <v>41662</v>
      </c>
      <c r="Q718" s="9"/>
      <c r="R718" s="146"/>
      <c r="T718" s="92" t="s">
        <v>2650</v>
      </c>
      <c r="U718">
        <v>1</v>
      </c>
      <c r="V718">
        <f>VLOOKUP(T718,'Data Angt'!$A$5:$F$5810,6,FALSE)</f>
        <v>57</v>
      </c>
      <c r="W718" s="5">
        <f t="shared" si="11"/>
        <v>0</v>
      </c>
      <c r="X718" s="5" t="str">
        <f>VLOOKUP(T718,'Data Angt'!$A$5:$H$5810,8,FALSE)</f>
        <v>Karyawan</v>
      </c>
      <c r="Y718" s="5" t="str">
        <f>VLOOKUP(T718,'Data Angt'!$A$5:$C$5808,3,FALSE)</f>
        <v>KRK</v>
      </c>
    </row>
    <row r="719" spans="1:25" x14ac:dyDescent="0.3">
      <c r="A719" s="8">
        <v>713</v>
      </c>
      <c r="B719" s="9" t="s">
        <v>15255</v>
      </c>
      <c r="C719" s="10" t="str">
        <f>VLOOKUP(B719,'Data Angt'!$A$5:$B$5809,2,FALSE)</f>
        <v>A5573</v>
      </c>
      <c r="D719" s="11" t="s">
        <v>9829</v>
      </c>
      <c r="E719" s="12" t="s">
        <v>22876</v>
      </c>
      <c r="F719" s="13">
        <v>45925</v>
      </c>
      <c r="G719" s="14">
        <v>45925</v>
      </c>
      <c r="H719" s="15">
        <v>3000000</v>
      </c>
      <c r="I719" s="16">
        <v>12</v>
      </c>
      <c r="J719" s="17">
        <v>24</v>
      </c>
      <c r="K719" s="9" t="s">
        <v>9831</v>
      </c>
      <c r="L719" s="10" t="s">
        <v>22877</v>
      </c>
      <c r="M719" s="9" t="s">
        <v>16011</v>
      </c>
      <c r="N719" s="10" t="s">
        <v>9828</v>
      </c>
      <c r="O719" s="15">
        <v>3000000</v>
      </c>
      <c r="P719" s="147">
        <v>0</v>
      </c>
      <c r="Q719" s="9"/>
      <c r="R719" s="146"/>
      <c r="T719" s="92" t="s">
        <v>2654</v>
      </c>
      <c r="U719">
        <v>1</v>
      </c>
      <c r="V719">
        <f>VLOOKUP(T719,'Data Angt'!$A$5:$F$5810,6,FALSE)</f>
        <v>42</v>
      </c>
      <c r="W719" s="5" t="str">
        <f t="shared" si="11"/>
        <v>PENDIDIKAN</v>
      </c>
      <c r="X719" s="5" t="str">
        <f>VLOOKUP(T719,'Data Angt'!$A$5:$H$5810,8,FALSE)</f>
        <v>Tenaga Pengajar</v>
      </c>
      <c r="Y719" s="5" t="str">
        <f>VLOOKUP(T719,'Data Angt'!$A$5:$C$5808,3,FALSE)</f>
        <v>KRK</v>
      </c>
    </row>
    <row r="720" spans="1:25" x14ac:dyDescent="0.3">
      <c r="A720" s="8">
        <v>714</v>
      </c>
      <c r="B720" s="9" t="s">
        <v>15267</v>
      </c>
      <c r="C720" s="10" t="str">
        <f>VLOOKUP(B720,'Data Angt'!$A$5:$B$5809,2,FALSE)</f>
        <v>A5581</v>
      </c>
      <c r="D720" s="11" t="s">
        <v>9829</v>
      </c>
      <c r="E720" s="12" t="s">
        <v>16418</v>
      </c>
      <c r="F720" s="13">
        <v>45821</v>
      </c>
      <c r="G720" s="14">
        <v>45913</v>
      </c>
      <c r="H720" s="15">
        <v>3500000</v>
      </c>
      <c r="I720" s="16">
        <v>6</v>
      </c>
      <c r="J720" s="17">
        <v>24</v>
      </c>
      <c r="K720" s="9" t="s">
        <v>9831</v>
      </c>
      <c r="L720" s="10" t="s">
        <v>16419</v>
      </c>
      <c r="M720" s="9" t="s">
        <v>16420</v>
      </c>
      <c r="N720" s="10" t="s">
        <v>9828</v>
      </c>
      <c r="O720" s="15">
        <v>1801900</v>
      </c>
      <c r="P720" s="145">
        <v>66225</v>
      </c>
      <c r="Q720" s="9"/>
      <c r="R720" s="146"/>
      <c r="T720" s="92" t="s">
        <v>2750</v>
      </c>
      <c r="U720">
        <v>1</v>
      </c>
      <c r="V720">
        <f>VLOOKUP(T720,'Data Angt'!$A$5:$F$5810,6,FALSE)</f>
        <v>53</v>
      </c>
      <c r="W720" s="5" t="str">
        <f t="shared" si="11"/>
        <v>KONSUMTIF</v>
      </c>
      <c r="X720" s="5" t="str">
        <f>VLOOKUP(T720,'Data Angt'!$A$5:$H$5810,8,FALSE)</f>
        <v>Mengurus Rumah Tangga</v>
      </c>
      <c r="Y720" s="5" t="str">
        <f>VLOOKUP(T720,'Data Angt'!$A$5:$C$5808,3,FALSE)</f>
        <v>KRK</v>
      </c>
    </row>
    <row r="721" spans="1:25" x14ac:dyDescent="0.3">
      <c r="A721" s="8">
        <v>715</v>
      </c>
      <c r="B721" s="9" t="s">
        <v>15288</v>
      </c>
      <c r="C721" s="10" t="str">
        <f>VLOOKUP(B721,'Data Angt'!$A$5:$B$5809,2,FALSE)</f>
        <v>A5592</v>
      </c>
      <c r="D721" s="11" t="s">
        <v>9833</v>
      </c>
      <c r="E721" s="12" t="s">
        <v>16421</v>
      </c>
      <c r="F721" s="13">
        <v>45834</v>
      </c>
      <c r="G721" s="14">
        <v>45908</v>
      </c>
      <c r="H721" s="15">
        <v>3600000</v>
      </c>
      <c r="I721" s="16">
        <v>8</v>
      </c>
      <c r="J721" s="17">
        <v>24</v>
      </c>
      <c r="K721" s="9" t="s">
        <v>9831</v>
      </c>
      <c r="L721" s="10" t="s">
        <v>16422</v>
      </c>
      <c r="M721" s="9" t="s">
        <v>16423</v>
      </c>
      <c r="N721" s="10" t="s">
        <v>9834</v>
      </c>
      <c r="O721" s="15">
        <v>2316300</v>
      </c>
      <c r="P721" s="145">
        <v>71549</v>
      </c>
      <c r="Q721" s="9"/>
      <c r="R721" s="146"/>
      <c r="T721" s="92" t="s">
        <v>12229</v>
      </c>
      <c r="U721">
        <v>1</v>
      </c>
      <c r="V721">
        <f>VLOOKUP(T721,'Data Angt'!$A$5:$F$5810,6,FALSE)</f>
        <v>43</v>
      </c>
      <c r="W721" s="5" t="str">
        <f t="shared" si="11"/>
        <v>PENDIDIKAN</v>
      </c>
      <c r="X721" s="5" t="str">
        <f>VLOOKUP(T721,'Data Angt'!$A$5:$H$5810,8,FALSE)</f>
        <v>Aparatur/Pejabat Negara</v>
      </c>
      <c r="Y721" s="5" t="str">
        <f>VLOOKUP(T721,'Data Angt'!$A$5:$C$5808,3,FALSE)</f>
        <v>KRK</v>
      </c>
    </row>
    <row r="722" spans="1:25" x14ac:dyDescent="0.3">
      <c r="A722" s="8">
        <v>716</v>
      </c>
      <c r="B722" s="9" t="s">
        <v>15291</v>
      </c>
      <c r="C722" s="10" t="str">
        <f>VLOOKUP(B722,'Data Angt'!$A$5:$B$5809,2,FALSE)</f>
        <v>A5593</v>
      </c>
      <c r="D722" s="11" t="s">
        <v>9895</v>
      </c>
      <c r="E722" s="12" t="s">
        <v>16424</v>
      </c>
      <c r="F722" s="13">
        <v>45831</v>
      </c>
      <c r="G722" s="14">
        <v>45923</v>
      </c>
      <c r="H722" s="15">
        <v>38500000</v>
      </c>
      <c r="I722" s="16">
        <v>36</v>
      </c>
      <c r="J722" s="17">
        <v>21</v>
      </c>
      <c r="K722" s="9" t="s">
        <v>9831</v>
      </c>
      <c r="L722" s="10" t="s">
        <v>16425</v>
      </c>
      <c r="M722" s="9" t="s">
        <v>9896</v>
      </c>
      <c r="N722" s="10" t="s">
        <v>9828</v>
      </c>
      <c r="O722" s="15">
        <v>36128900</v>
      </c>
      <c r="P722" s="145">
        <v>742650</v>
      </c>
      <c r="Q722" s="9" t="s">
        <v>22276</v>
      </c>
      <c r="R722" s="146" t="s">
        <v>22878</v>
      </c>
      <c r="T722" s="92" t="s">
        <v>2782</v>
      </c>
      <c r="U722">
        <v>2</v>
      </c>
      <c r="V722">
        <f>VLOOKUP(T722,'Data Angt'!$A$5:$F$5810,6,FALSE)</f>
        <v>44</v>
      </c>
      <c r="W722" s="5" t="str">
        <f t="shared" si="11"/>
        <v>PRODUKTIF</v>
      </c>
      <c r="X722" s="5" t="str">
        <f>VLOOKUP(T722,'Data Angt'!$A$5:$H$5810,8,FALSE)</f>
        <v>Karyawan</v>
      </c>
      <c r="Y722" s="5" t="str">
        <f>VLOOKUP(T722,'Data Angt'!$A$5:$C$5808,3,FALSE)</f>
        <v>KRK</v>
      </c>
    </row>
    <row r="723" spans="1:25" x14ac:dyDescent="0.3">
      <c r="A723" s="8">
        <v>717</v>
      </c>
      <c r="B723" s="9" t="s">
        <v>15311</v>
      </c>
      <c r="C723" s="10" t="str">
        <f>VLOOKUP(B723,'Data Angt'!$A$5:$B$5809,2,FALSE)</f>
        <v>A5601</v>
      </c>
      <c r="D723" s="11" t="s">
        <v>9829</v>
      </c>
      <c r="E723" s="12" t="s">
        <v>22879</v>
      </c>
      <c r="F723" s="13">
        <v>45841</v>
      </c>
      <c r="G723" s="14">
        <v>45903</v>
      </c>
      <c r="H723" s="15">
        <v>5000000</v>
      </c>
      <c r="I723" s="16">
        <v>12</v>
      </c>
      <c r="J723" s="17">
        <v>24</v>
      </c>
      <c r="K723" s="9" t="s">
        <v>9831</v>
      </c>
      <c r="L723" s="10" t="s">
        <v>22880</v>
      </c>
      <c r="M723" s="9" t="s">
        <v>9835</v>
      </c>
      <c r="N723" s="10" t="s">
        <v>9828</v>
      </c>
      <c r="O723" s="15">
        <v>4247000</v>
      </c>
      <c r="P723" s="145">
        <v>72225</v>
      </c>
      <c r="Q723" s="9"/>
      <c r="R723" s="146"/>
      <c r="T723" s="92" t="s">
        <v>2789</v>
      </c>
      <c r="U723">
        <v>2</v>
      </c>
      <c r="V723">
        <f>VLOOKUP(T723,'Data Angt'!$A$5:$F$5810,6,FALSE)</f>
        <v>49</v>
      </c>
      <c r="W723" s="5" t="str">
        <f t="shared" si="11"/>
        <v>PRODUKTIF</v>
      </c>
      <c r="X723" s="5" t="str">
        <f>VLOOKUP(T723,'Data Angt'!$A$5:$H$5810,8,FALSE)</f>
        <v>Wiraswasta</v>
      </c>
      <c r="Y723" s="5" t="str">
        <f>VLOOKUP(T723,'Data Angt'!$A$5:$C$5808,3,FALSE)</f>
        <v>KRK</v>
      </c>
    </row>
    <row r="724" spans="1:25" x14ac:dyDescent="0.3">
      <c r="A724" s="8">
        <v>718</v>
      </c>
      <c r="B724" s="9" t="s">
        <v>15320</v>
      </c>
      <c r="C724" s="10" t="str">
        <f>VLOOKUP(B724,'Data Angt'!$A$5:$B$5809,2,FALSE)</f>
        <v>A5605</v>
      </c>
      <c r="D724" s="11" t="s">
        <v>9833</v>
      </c>
      <c r="E724" s="12" t="s">
        <v>22881</v>
      </c>
      <c r="F724" s="13">
        <v>45869</v>
      </c>
      <c r="G724" s="14">
        <v>45926</v>
      </c>
      <c r="H724" s="15">
        <v>1250000</v>
      </c>
      <c r="I724" s="16">
        <v>6</v>
      </c>
      <c r="J724" s="17">
        <v>24</v>
      </c>
      <c r="K724" s="9" t="s">
        <v>9831</v>
      </c>
      <c r="L724" s="10" t="s">
        <v>22882</v>
      </c>
      <c r="M724" s="9" t="s">
        <v>22883</v>
      </c>
      <c r="N724" s="10" t="s">
        <v>9834</v>
      </c>
      <c r="O724" s="15">
        <v>849700</v>
      </c>
      <c r="P724" s="145">
        <v>17287</v>
      </c>
      <c r="Q724" s="9"/>
      <c r="R724" s="146"/>
      <c r="T724" s="92" t="s">
        <v>2945</v>
      </c>
      <c r="U724">
        <v>1</v>
      </c>
      <c r="V724">
        <f>VLOOKUP(T724,'Data Angt'!$A$5:$F$5810,6,FALSE)</f>
        <v>45</v>
      </c>
      <c r="W724" s="5" t="str">
        <f t="shared" si="11"/>
        <v>PRODUKTIF</v>
      </c>
      <c r="X724" s="5" t="str">
        <f>VLOOKUP(T724,'Data Angt'!$A$5:$H$5810,8,FALSE)</f>
        <v>Wiraswasta</v>
      </c>
      <c r="Y724" s="5" t="str">
        <f>VLOOKUP(T724,'Data Angt'!$A$5:$C$5808,3,FALSE)</f>
        <v>KRK</v>
      </c>
    </row>
    <row r="725" spans="1:25" x14ac:dyDescent="0.3">
      <c r="A725" s="8">
        <v>719</v>
      </c>
      <c r="B725" s="9" t="s">
        <v>15329</v>
      </c>
      <c r="C725" s="10" t="str">
        <f>VLOOKUP(B725,'Data Angt'!$A$5:$B$5809,2,FALSE)</f>
        <v>A5609</v>
      </c>
      <c r="D725" s="11" t="s">
        <v>9833</v>
      </c>
      <c r="E725" s="12" t="s">
        <v>22884</v>
      </c>
      <c r="F725" s="13">
        <v>45867</v>
      </c>
      <c r="G725" s="14">
        <v>45926</v>
      </c>
      <c r="H725" s="15">
        <v>2000000</v>
      </c>
      <c r="I725" s="16">
        <v>5</v>
      </c>
      <c r="J725" s="17">
        <v>24</v>
      </c>
      <c r="K725" s="9" t="s">
        <v>9831</v>
      </c>
      <c r="L725" s="10" t="s">
        <v>22885</v>
      </c>
      <c r="M725" s="9" t="s">
        <v>9977</v>
      </c>
      <c r="N725" s="10" t="s">
        <v>9834</v>
      </c>
      <c r="O725" s="15">
        <v>1223600</v>
      </c>
      <c r="P725" s="145">
        <v>27150</v>
      </c>
      <c r="Q725" s="9"/>
      <c r="R725" s="146"/>
      <c r="T725" s="92" t="s">
        <v>2953</v>
      </c>
      <c r="U725">
        <v>2</v>
      </c>
      <c r="V725">
        <f>VLOOKUP(T725,'Data Angt'!$A$5:$F$5810,6,FALSE)</f>
        <v>53</v>
      </c>
      <c r="W725" s="5" t="str">
        <f t="shared" si="11"/>
        <v>PRODUKTIF</v>
      </c>
      <c r="X725" s="5" t="str">
        <f>VLOOKUP(T725,'Data Angt'!$A$5:$H$5810,8,FALSE)</f>
        <v>Tenaga Pengajar</v>
      </c>
      <c r="Y725" s="5" t="str">
        <f>VLOOKUP(T725,'Data Angt'!$A$5:$C$5808,3,FALSE)</f>
        <v>KRK</v>
      </c>
    </row>
    <row r="726" spans="1:25" x14ac:dyDescent="0.3">
      <c r="A726" s="8">
        <v>720</v>
      </c>
      <c r="B726" s="9" t="s">
        <v>18865</v>
      </c>
      <c r="C726" s="10" t="str">
        <f>VLOOKUP(B726,'Data Angt'!$A$5:$B$5809,2,FALSE)</f>
        <v>A5612</v>
      </c>
      <c r="D726" s="11" t="s">
        <v>9829</v>
      </c>
      <c r="E726" s="12" t="s">
        <v>22886</v>
      </c>
      <c r="F726" s="13">
        <v>45845</v>
      </c>
      <c r="G726" s="14">
        <v>45903</v>
      </c>
      <c r="H726" s="15">
        <v>10000000</v>
      </c>
      <c r="I726" s="16">
        <v>18</v>
      </c>
      <c r="J726" s="17">
        <v>24</v>
      </c>
      <c r="K726" s="9" t="s">
        <v>9831</v>
      </c>
      <c r="L726" s="10" t="s">
        <v>22887</v>
      </c>
      <c r="M726" s="9" t="s">
        <v>9838</v>
      </c>
      <c r="N726" s="10" t="s">
        <v>9830</v>
      </c>
      <c r="O726" s="15">
        <v>9056500</v>
      </c>
      <c r="P726" s="145">
        <v>146512</v>
      </c>
      <c r="Q726" s="9"/>
      <c r="R726" s="146"/>
      <c r="T726" s="92" t="s">
        <v>3026</v>
      </c>
      <c r="U726">
        <v>1</v>
      </c>
      <c r="V726">
        <f>VLOOKUP(T726,'Data Angt'!$A$5:$F$5810,6,FALSE)</f>
        <v>48</v>
      </c>
      <c r="W726" s="5" t="str">
        <f t="shared" si="11"/>
        <v>PRODUKTIF</v>
      </c>
      <c r="X726" s="5" t="str">
        <f>VLOOKUP(T726,'Data Angt'!$A$5:$H$5810,8,FALSE)</f>
        <v>Wiraswasta</v>
      </c>
      <c r="Y726" s="5" t="str">
        <f>VLOOKUP(T726,'Data Angt'!$A$5:$C$5808,3,FALSE)</f>
        <v>KRK</v>
      </c>
    </row>
    <row r="727" spans="1:25" x14ac:dyDescent="0.3">
      <c r="A727" s="8">
        <v>721</v>
      </c>
      <c r="B727" s="9" t="s">
        <v>18938</v>
      </c>
      <c r="C727" s="10" t="str">
        <f>VLOOKUP(B727,'Data Angt'!$A$5:$B$5809,2,FALSE)</f>
        <v>A5643</v>
      </c>
      <c r="D727" s="11" t="s">
        <v>9833</v>
      </c>
      <c r="E727" s="12" t="s">
        <v>22888</v>
      </c>
      <c r="F727" s="13">
        <v>45888</v>
      </c>
      <c r="G727" s="14">
        <v>45917</v>
      </c>
      <c r="H727" s="15">
        <v>1000000</v>
      </c>
      <c r="I727" s="16">
        <v>3</v>
      </c>
      <c r="J727" s="17">
        <v>24</v>
      </c>
      <c r="K727" s="9" t="s">
        <v>9831</v>
      </c>
      <c r="L727" s="10" t="s">
        <v>22889</v>
      </c>
      <c r="M727" s="9" t="s">
        <v>9962</v>
      </c>
      <c r="N727" s="10" t="s">
        <v>9834</v>
      </c>
      <c r="O727" s="15">
        <v>673200</v>
      </c>
      <c r="P727" s="145">
        <v>7500</v>
      </c>
      <c r="Q727" s="9"/>
      <c r="R727" s="146"/>
      <c r="T727" s="92" t="s">
        <v>3027</v>
      </c>
      <c r="U727">
        <v>2</v>
      </c>
      <c r="V727">
        <f>VLOOKUP(T727,'Data Angt'!$A$5:$F$5810,6,FALSE)</f>
        <v>37</v>
      </c>
      <c r="W727" s="5" t="str">
        <f t="shared" si="11"/>
        <v>PRODUKTIF</v>
      </c>
      <c r="X727" s="5" t="str">
        <f>VLOOKUP(T727,'Data Angt'!$A$5:$H$5810,8,FALSE)</f>
        <v>Lain-Lain</v>
      </c>
      <c r="Y727" s="5" t="str">
        <f>VLOOKUP(T727,'Data Angt'!$A$5:$C$5808,3,FALSE)</f>
        <v>KRK</v>
      </c>
    </row>
    <row r="728" spans="1:25" x14ac:dyDescent="0.3">
      <c r="A728" s="8">
        <v>722</v>
      </c>
      <c r="B728" s="9" t="s">
        <v>19035</v>
      </c>
      <c r="C728" s="10" t="str">
        <f>VLOOKUP(B728,'Data Angt'!$A$5:$B$5809,2,FALSE)</f>
        <v>A5688</v>
      </c>
      <c r="D728" s="11" t="s">
        <v>9833</v>
      </c>
      <c r="E728" s="12" t="s">
        <v>22890</v>
      </c>
      <c r="F728" s="13">
        <v>45876</v>
      </c>
      <c r="G728" s="14">
        <v>45930</v>
      </c>
      <c r="H728" s="15">
        <v>3000000</v>
      </c>
      <c r="I728" s="16">
        <v>6</v>
      </c>
      <c r="J728" s="17">
        <v>24</v>
      </c>
      <c r="K728" s="9" t="s">
        <v>9831</v>
      </c>
      <c r="L728" s="10" t="s">
        <v>22891</v>
      </c>
      <c r="M728" s="9" t="s">
        <v>16706</v>
      </c>
      <c r="N728" s="10" t="s">
        <v>9834</v>
      </c>
      <c r="O728" s="15">
        <v>2524400</v>
      </c>
      <c r="P728" s="145">
        <v>22500</v>
      </c>
      <c r="Q728" s="9"/>
      <c r="R728" s="146"/>
      <c r="T728" s="92" t="s">
        <v>3080</v>
      </c>
      <c r="U728">
        <v>1</v>
      </c>
      <c r="V728">
        <f>VLOOKUP(T728,'Data Angt'!$A$5:$F$5810,6,FALSE)</f>
        <v>34</v>
      </c>
      <c r="W728" s="5" t="str">
        <f t="shared" si="11"/>
        <v>PRODUKTIF</v>
      </c>
      <c r="X728" s="5" t="str">
        <f>VLOOKUP(T728,'Data Angt'!$A$5:$H$5810,8,FALSE)</f>
        <v>Wiraswasta</v>
      </c>
      <c r="Y728" s="5" t="str">
        <f>VLOOKUP(T728,'Data Angt'!$A$5:$C$5808,3,FALSE)</f>
        <v>KRK</v>
      </c>
    </row>
    <row r="729" spans="1:25" x14ac:dyDescent="0.3">
      <c r="A729" s="8">
        <v>723</v>
      </c>
      <c r="B729" s="9" t="s">
        <v>19039</v>
      </c>
      <c r="C729" s="10" t="str">
        <f>VLOOKUP(B729,'Data Angt'!$A$5:$B$5809,2,FALSE)</f>
        <v>A5690</v>
      </c>
      <c r="D729" s="11" t="s">
        <v>9829</v>
      </c>
      <c r="E729" s="12" t="s">
        <v>22892</v>
      </c>
      <c r="F729" s="13">
        <v>45883</v>
      </c>
      <c r="G729" s="14">
        <v>45913</v>
      </c>
      <c r="H729" s="15">
        <v>5000000</v>
      </c>
      <c r="I729" s="16">
        <v>12</v>
      </c>
      <c r="J729" s="17">
        <v>24</v>
      </c>
      <c r="K729" s="9" t="s">
        <v>9831</v>
      </c>
      <c r="L729" s="10" t="s">
        <v>22893</v>
      </c>
      <c r="M729" s="9" t="s">
        <v>22894</v>
      </c>
      <c r="N729" s="10" t="s">
        <v>9828</v>
      </c>
      <c r="O729" s="15">
        <v>4627200</v>
      </c>
      <c r="P729" s="145">
        <v>37500</v>
      </c>
      <c r="Q729" s="9" t="s">
        <v>22189</v>
      </c>
      <c r="R729" s="146" t="s">
        <v>22895</v>
      </c>
      <c r="T729" s="92" t="s">
        <v>3192</v>
      </c>
      <c r="U729">
        <v>2</v>
      </c>
      <c r="V729">
        <f>VLOOKUP(T729,'Data Angt'!$A$5:$F$5810,6,FALSE)</f>
        <v>50</v>
      </c>
      <c r="W729" s="5" t="str">
        <f t="shared" si="11"/>
        <v>PRODUKTIF</v>
      </c>
      <c r="X729" s="5" t="str">
        <f>VLOOKUP(T729,'Data Angt'!$A$5:$H$5810,8,FALSE)</f>
        <v>Wiraswasta</v>
      </c>
      <c r="Y729" s="5" t="str">
        <f>VLOOKUP(T729,'Data Angt'!$A$5:$C$5808,3,FALSE)</f>
        <v>KRK</v>
      </c>
    </row>
    <row r="730" spans="1:25" x14ac:dyDescent="0.3">
      <c r="A730" s="8">
        <v>724</v>
      </c>
      <c r="B730" s="9" t="s">
        <v>19220</v>
      </c>
      <c r="C730" s="10" t="str">
        <f>VLOOKUP(B730,'Data Angt'!$A$5:$B$5809,2,FALSE)</f>
        <v>A5773</v>
      </c>
      <c r="D730" s="11" t="s">
        <v>9833</v>
      </c>
      <c r="E730" s="12" t="s">
        <v>22896</v>
      </c>
      <c r="F730" s="13">
        <v>45910</v>
      </c>
      <c r="G730" s="14">
        <v>45910</v>
      </c>
      <c r="H730" s="15">
        <v>2000000</v>
      </c>
      <c r="I730" s="16">
        <v>10</v>
      </c>
      <c r="J730" s="17">
        <v>24</v>
      </c>
      <c r="K730" s="9" t="s">
        <v>9831</v>
      </c>
      <c r="L730" s="10" t="s">
        <v>22897</v>
      </c>
      <c r="M730" s="9" t="s">
        <v>22898</v>
      </c>
      <c r="N730" s="10" t="s">
        <v>9834</v>
      </c>
      <c r="O730" s="15">
        <v>2000000</v>
      </c>
      <c r="P730" s="147">
        <v>0</v>
      </c>
      <c r="Q730" s="9"/>
      <c r="R730" s="146"/>
      <c r="T730" s="92" t="s">
        <v>3222</v>
      </c>
      <c r="U730">
        <v>1</v>
      </c>
      <c r="V730">
        <f>VLOOKUP(T730,'Data Angt'!$A$5:$F$5810,6,FALSE)</f>
        <v>41</v>
      </c>
      <c r="W730" s="5" t="str">
        <f t="shared" si="11"/>
        <v>KONSUMTIF</v>
      </c>
      <c r="X730" s="5" t="str">
        <f>VLOOKUP(T730,'Data Angt'!$A$5:$H$5810,8,FALSE)</f>
        <v>Karyawan</v>
      </c>
      <c r="Y730" s="5" t="str">
        <f>VLOOKUP(T730,'Data Angt'!$A$5:$C$5808,3,FALSE)</f>
        <v>KRK</v>
      </c>
    </row>
    <row r="731" spans="1:25" x14ac:dyDescent="0.3">
      <c r="A731" s="8">
        <v>725</v>
      </c>
      <c r="B731" s="9" t="s">
        <v>19252</v>
      </c>
      <c r="C731" s="10" t="str">
        <f>VLOOKUP(B731,'Data Angt'!$A$5:$B$5809,2,FALSE)</f>
        <v>A5786</v>
      </c>
      <c r="D731" s="11" t="s">
        <v>9829</v>
      </c>
      <c r="E731" s="12" t="s">
        <v>22899</v>
      </c>
      <c r="F731" s="13">
        <v>45920</v>
      </c>
      <c r="G731" s="14">
        <v>45920</v>
      </c>
      <c r="H731" s="15">
        <v>3000000</v>
      </c>
      <c r="I731" s="16">
        <v>6</v>
      </c>
      <c r="J731" s="17">
        <v>24</v>
      </c>
      <c r="K731" s="9" t="s">
        <v>9831</v>
      </c>
      <c r="L731" s="10" t="s">
        <v>22900</v>
      </c>
      <c r="M731" s="9" t="s">
        <v>9838</v>
      </c>
      <c r="N731" s="10" t="s">
        <v>9830</v>
      </c>
      <c r="O731" s="15">
        <v>3000000</v>
      </c>
      <c r="P731" s="147">
        <v>0</v>
      </c>
      <c r="Q731" s="9"/>
      <c r="R731" s="146"/>
      <c r="T731" s="92" t="s">
        <v>3224</v>
      </c>
      <c r="U731">
        <v>1</v>
      </c>
      <c r="V731">
        <f>VLOOKUP(T731,'Data Angt'!$A$5:$F$5810,6,FALSE)</f>
        <v>38</v>
      </c>
      <c r="W731" s="5" t="str">
        <f t="shared" si="11"/>
        <v>PRODUKTIF</v>
      </c>
      <c r="X731" s="5" t="str">
        <f>VLOOKUP(T731,'Data Angt'!$A$5:$H$5810,8,FALSE)</f>
        <v>Karyawan</v>
      </c>
      <c r="Y731" s="5" t="str">
        <f>VLOOKUP(T731,'Data Angt'!$A$5:$C$5808,3,FALSE)</f>
        <v>KRK</v>
      </c>
    </row>
    <row r="732" spans="1:25" x14ac:dyDescent="0.3">
      <c r="A732" s="8">
        <v>726</v>
      </c>
      <c r="B732" s="9" t="s">
        <v>16426</v>
      </c>
      <c r="C732" s="10" t="e">
        <f>VLOOKUP(B732,'Data Angt'!$A$5:$B$5809,2,FALSE)</f>
        <v>#N/A</v>
      </c>
      <c r="D732" s="11" t="s">
        <v>9833</v>
      </c>
      <c r="E732" s="12" t="s">
        <v>16427</v>
      </c>
      <c r="F732" s="13">
        <v>45764</v>
      </c>
      <c r="G732" s="14">
        <v>45917</v>
      </c>
      <c r="H732" s="15">
        <v>2500000000</v>
      </c>
      <c r="I732" s="16">
        <v>70</v>
      </c>
      <c r="J732" s="17">
        <v>6</v>
      </c>
      <c r="K732" s="9" t="s">
        <v>9831</v>
      </c>
      <c r="L732" s="10" t="s">
        <v>16428</v>
      </c>
      <c r="M732" s="9" t="s">
        <v>16429</v>
      </c>
      <c r="N732" s="10" t="s">
        <v>9834</v>
      </c>
      <c r="O732" s="15">
        <v>2348914400</v>
      </c>
      <c r="P732" s="145">
        <v>22873836</v>
      </c>
      <c r="Q732" s="9"/>
      <c r="R732" s="146"/>
      <c r="T732" s="92" t="s">
        <v>3271</v>
      </c>
      <c r="U732">
        <v>1</v>
      </c>
      <c r="V732">
        <f>VLOOKUP(T732,'Data Angt'!$A$5:$F$5810,6,FALSE)</f>
        <v>55</v>
      </c>
      <c r="W732" s="5" t="str">
        <f t="shared" si="11"/>
        <v>PENDIDIKAN</v>
      </c>
      <c r="X732" s="5" t="str">
        <f>VLOOKUP(T732,'Data Angt'!$A$5:$H$5810,8,FALSE)</f>
        <v>Tenaga Pengajar</v>
      </c>
      <c r="Y732" s="5" t="str">
        <f>VLOOKUP(T732,'Data Angt'!$A$5:$C$5808,3,FALSE)</f>
        <v>KRK</v>
      </c>
    </row>
    <row r="733" spans="1:25" x14ac:dyDescent="0.3">
      <c r="A733" s="8">
        <v>727</v>
      </c>
      <c r="B733" s="9" t="s">
        <v>455</v>
      </c>
      <c r="C733" s="10" t="str">
        <f>VLOOKUP(B733,'Data Angt'!$A$5:$B$5809,2,FALSE)</f>
        <v>A160</v>
      </c>
      <c r="D733" s="11" t="s">
        <v>9829</v>
      </c>
      <c r="E733" s="12" t="s">
        <v>16430</v>
      </c>
      <c r="F733" s="13">
        <v>45710</v>
      </c>
      <c r="G733" s="14">
        <v>45922</v>
      </c>
      <c r="H733" s="15">
        <v>10000000</v>
      </c>
      <c r="I733" s="16">
        <v>36</v>
      </c>
      <c r="J733" s="17">
        <v>24</v>
      </c>
      <c r="K733" s="9" t="s">
        <v>9831</v>
      </c>
      <c r="L733" s="10" t="s">
        <v>16431</v>
      </c>
      <c r="M733" s="9" t="s">
        <v>16432</v>
      </c>
      <c r="N733" s="10" t="s">
        <v>9828</v>
      </c>
      <c r="O733" s="15">
        <v>8570000</v>
      </c>
      <c r="P733" s="145">
        <v>493799</v>
      </c>
      <c r="Q733" s="9"/>
      <c r="R733" s="146"/>
      <c r="T733" s="92" t="s">
        <v>3349</v>
      </c>
      <c r="U733">
        <v>1</v>
      </c>
      <c r="V733">
        <f>VLOOKUP(T733,'Data Angt'!$A$5:$F$5810,6,FALSE)</f>
        <v>43</v>
      </c>
      <c r="W733" s="5" t="str">
        <f t="shared" si="11"/>
        <v>PRODUKTIF</v>
      </c>
      <c r="X733" s="5" t="str">
        <f>VLOOKUP(T733,'Data Angt'!$A$5:$H$5810,8,FALSE)</f>
        <v>Tenaga Pengajar</v>
      </c>
      <c r="Y733" s="5" t="str">
        <f>VLOOKUP(T733,'Data Angt'!$A$5:$C$5808,3,FALSE)</f>
        <v>KRK</v>
      </c>
    </row>
    <row r="734" spans="1:25" x14ac:dyDescent="0.3">
      <c r="A734" s="8">
        <v>728</v>
      </c>
      <c r="B734" s="9" t="s">
        <v>458</v>
      </c>
      <c r="C734" s="10" t="str">
        <f>VLOOKUP(B734,'Data Angt'!$A$5:$B$5809,2,FALSE)</f>
        <v>A161</v>
      </c>
      <c r="D734" s="11" t="s">
        <v>9829</v>
      </c>
      <c r="E734" s="12" t="s">
        <v>10218</v>
      </c>
      <c r="F734" s="13">
        <v>44968</v>
      </c>
      <c r="G734" s="14">
        <v>45908</v>
      </c>
      <c r="H734" s="15">
        <v>15000000</v>
      </c>
      <c r="I734" s="16">
        <v>48</v>
      </c>
      <c r="J734" s="17">
        <v>24</v>
      </c>
      <c r="K734" s="9" t="s">
        <v>9831</v>
      </c>
      <c r="L734" s="10" t="s">
        <v>10219</v>
      </c>
      <c r="M734" s="9" t="s">
        <v>10220</v>
      </c>
      <c r="N734" s="10" t="s">
        <v>9828</v>
      </c>
      <c r="O734" s="15">
        <v>6988100</v>
      </c>
      <c r="P734" s="145">
        <v>2681319</v>
      </c>
      <c r="Q734" s="9"/>
      <c r="R734" s="146"/>
      <c r="T734" s="92" t="s">
        <v>3355</v>
      </c>
      <c r="U734">
        <v>1</v>
      </c>
      <c r="V734">
        <f>VLOOKUP(T734,'Data Angt'!$A$5:$F$5810,6,FALSE)</f>
        <v>56</v>
      </c>
      <c r="W734" s="5" t="str">
        <f t="shared" si="11"/>
        <v>KONSUMTIF</v>
      </c>
      <c r="X734" s="5" t="str">
        <f>VLOOKUP(T734,'Data Angt'!$A$5:$H$5810,8,FALSE)</f>
        <v>Wiraswasta</v>
      </c>
      <c r="Y734" s="5" t="str">
        <f>VLOOKUP(T734,'Data Angt'!$A$5:$C$5808,3,FALSE)</f>
        <v>KRK</v>
      </c>
    </row>
    <row r="735" spans="1:25" x14ac:dyDescent="0.3">
      <c r="A735" s="8">
        <v>729</v>
      </c>
      <c r="B735" s="9" t="s">
        <v>461</v>
      </c>
      <c r="C735" s="10" t="str">
        <f>VLOOKUP(B735,'Data Angt'!$A$5:$B$5809,2,FALSE)</f>
        <v>A162</v>
      </c>
      <c r="D735" s="11" t="s">
        <v>9842</v>
      </c>
      <c r="E735" s="12" t="s">
        <v>10221</v>
      </c>
      <c r="F735" s="13">
        <v>44081</v>
      </c>
      <c r="G735" s="14">
        <v>45908</v>
      </c>
      <c r="H735" s="15">
        <v>125000000</v>
      </c>
      <c r="I735" s="16">
        <v>120</v>
      </c>
      <c r="J735" s="17">
        <v>11.4</v>
      </c>
      <c r="K735" s="9" t="s">
        <v>9831</v>
      </c>
      <c r="L735" s="10" t="s">
        <v>10222</v>
      </c>
      <c r="M735" s="9" t="s">
        <v>10082</v>
      </c>
      <c r="N735" s="10" t="s">
        <v>9830</v>
      </c>
      <c r="O735" s="15">
        <v>79771300</v>
      </c>
      <c r="P735" s="145">
        <v>22420973</v>
      </c>
      <c r="Q735" s="9"/>
      <c r="R735" s="146"/>
      <c r="T735" s="92" t="s">
        <v>3383</v>
      </c>
      <c r="U735">
        <v>1</v>
      </c>
      <c r="V735">
        <f>VLOOKUP(T735,'Data Angt'!$A$5:$F$5810,6,FALSE)</f>
        <v>60</v>
      </c>
      <c r="W735" s="5" t="str">
        <f t="shared" si="11"/>
        <v>PRODUKTIF</v>
      </c>
      <c r="X735" s="5" t="str">
        <f>VLOOKUP(T735,'Data Angt'!$A$5:$H$5810,8,FALSE)</f>
        <v>Wiraswasta</v>
      </c>
      <c r="Y735" s="5" t="str">
        <f>VLOOKUP(T735,'Data Angt'!$A$5:$C$5808,3,FALSE)</f>
        <v>KRK</v>
      </c>
    </row>
    <row r="736" spans="1:25" x14ac:dyDescent="0.3">
      <c r="A736" s="8">
        <v>730</v>
      </c>
      <c r="B736" s="9" t="s">
        <v>479</v>
      </c>
      <c r="C736" s="10" t="str">
        <f>VLOOKUP(B736,'Data Angt'!$A$5:$B$5809,2,FALSE)</f>
        <v>A169</v>
      </c>
      <c r="D736" s="11" t="s">
        <v>9829</v>
      </c>
      <c r="E736" s="12" t="s">
        <v>10223</v>
      </c>
      <c r="F736" s="13">
        <v>45259</v>
      </c>
      <c r="G736" s="14">
        <v>45908</v>
      </c>
      <c r="H736" s="15">
        <v>11000000</v>
      </c>
      <c r="I736" s="16">
        <v>24</v>
      </c>
      <c r="J736" s="17">
        <v>11.64</v>
      </c>
      <c r="K736" s="9" t="s">
        <v>9831</v>
      </c>
      <c r="L736" s="10" t="s">
        <v>10224</v>
      </c>
      <c r="M736" s="9" t="s">
        <v>10225</v>
      </c>
      <c r="N736" s="10" t="s">
        <v>9828</v>
      </c>
      <c r="O736" s="15">
        <v>1017300</v>
      </c>
      <c r="P736" s="145">
        <v>513482</v>
      </c>
      <c r="Q736" s="9"/>
      <c r="R736" s="146"/>
      <c r="T736" s="92" t="s">
        <v>3441</v>
      </c>
      <c r="U736">
        <v>1</v>
      </c>
      <c r="V736">
        <f>VLOOKUP(T736,'Data Angt'!$A$5:$F$5810,6,FALSE)</f>
        <v>54</v>
      </c>
      <c r="W736" s="5" t="str">
        <f t="shared" si="11"/>
        <v>PRODUKTIF</v>
      </c>
      <c r="X736" s="5" t="str">
        <f>VLOOKUP(T736,'Data Angt'!$A$5:$H$5810,8,FALSE)</f>
        <v>Petani/Pekebun/Nelayan</v>
      </c>
      <c r="Y736" s="5" t="str">
        <f>VLOOKUP(T736,'Data Angt'!$A$5:$C$5808,3,FALSE)</f>
        <v>KRK</v>
      </c>
    </row>
    <row r="737" spans="1:25" x14ac:dyDescent="0.3">
      <c r="A737" s="8">
        <v>731</v>
      </c>
      <c r="B737" s="9" t="s">
        <v>514</v>
      </c>
      <c r="C737" s="10" t="str">
        <f>VLOOKUP(B737,'Data Angt'!$A$5:$B$5809,2,FALSE)</f>
        <v>A184</v>
      </c>
      <c r="D737" s="11" t="s">
        <v>9829</v>
      </c>
      <c r="E737" s="12" t="s">
        <v>16433</v>
      </c>
      <c r="F737" s="13">
        <v>45596</v>
      </c>
      <c r="G737" s="14">
        <v>45929</v>
      </c>
      <c r="H737" s="15">
        <v>6000000</v>
      </c>
      <c r="I737" s="16">
        <v>12</v>
      </c>
      <c r="J737" s="17">
        <v>11.88</v>
      </c>
      <c r="K737" s="9" t="s">
        <v>9831</v>
      </c>
      <c r="L737" s="10" t="s">
        <v>16434</v>
      </c>
      <c r="M737" s="9" t="s">
        <v>10352</v>
      </c>
      <c r="N737" s="10" t="s">
        <v>9828</v>
      </c>
      <c r="O737" s="15">
        <v>527500</v>
      </c>
      <c r="P737" s="145">
        <v>145611</v>
      </c>
      <c r="Q737" s="9"/>
      <c r="R737" s="146"/>
      <c r="T737" s="92" t="s">
        <v>3468</v>
      </c>
      <c r="U737">
        <v>1</v>
      </c>
      <c r="V737">
        <f>VLOOKUP(T737,'Data Angt'!$A$5:$F$5810,6,FALSE)</f>
        <v>58</v>
      </c>
      <c r="W737" s="5" t="str">
        <f t="shared" si="11"/>
        <v>PRODUKTIF</v>
      </c>
      <c r="X737" s="5" t="str">
        <f>VLOOKUP(T737,'Data Angt'!$A$5:$H$5810,8,FALSE)</f>
        <v>Wiraswasta</v>
      </c>
      <c r="Y737" s="5" t="str">
        <f>VLOOKUP(T737,'Data Angt'!$A$5:$C$5808,3,FALSE)</f>
        <v>KRK</v>
      </c>
    </row>
    <row r="738" spans="1:25" x14ac:dyDescent="0.3">
      <c r="A738" s="8">
        <v>732</v>
      </c>
      <c r="B738" s="9" t="s">
        <v>538</v>
      </c>
      <c r="C738" s="10" t="str">
        <f>VLOOKUP(B738,'Data Angt'!$A$5:$B$5809,2,FALSE)</f>
        <v>A194</v>
      </c>
      <c r="D738" s="11" t="s">
        <v>9829</v>
      </c>
      <c r="E738" s="12" t="s">
        <v>10226</v>
      </c>
      <c r="F738" s="13">
        <v>40773</v>
      </c>
      <c r="G738" s="14">
        <v>45808</v>
      </c>
      <c r="H738" s="15">
        <v>100000000</v>
      </c>
      <c r="I738" s="16">
        <v>60</v>
      </c>
      <c r="J738" s="17">
        <v>21</v>
      </c>
      <c r="K738" s="9" t="s">
        <v>9827</v>
      </c>
      <c r="L738" s="10"/>
      <c r="M738" s="9"/>
      <c r="N738" s="10"/>
      <c r="O738" s="15">
        <v>63332600</v>
      </c>
      <c r="P738" s="145">
        <v>9525046</v>
      </c>
      <c r="Q738" s="9"/>
      <c r="R738" s="146"/>
      <c r="T738" s="92" t="s">
        <v>3568</v>
      </c>
      <c r="U738">
        <v>2</v>
      </c>
      <c r="V738">
        <f>VLOOKUP(T738,'Data Angt'!$A$5:$F$5810,6,FALSE)</f>
        <v>59</v>
      </c>
      <c r="W738" s="5">
        <f t="shared" si="11"/>
        <v>0</v>
      </c>
      <c r="X738" s="5" t="str">
        <f>VLOOKUP(T738,'Data Angt'!$A$5:$H$5810,8,FALSE)</f>
        <v>Wiraswasta</v>
      </c>
      <c r="Y738" s="5" t="str">
        <f>VLOOKUP(T738,'Data Angt'!$A$5:$C$5808,3,FALSE)</f>
        <v>KRK</v>
      </c>
    </row>
    <row r="739" spans="1:25" x14ac:dyDescent="0.3">
      <c r="A739" s="8">
        <v>733</v>
      </c>
      <c r="B739" s="9" t="s">
        <v>691</v>
      </c>
      <c r="C739" s="10" t="str">
        <f>VLOOKUP(B739,'Data Angt'!$A$5:$B$5809,2,FALSE)</f>
        <v>A256</v>
      </c>
      <c r="D739" s="11" t="s">
        <v>9829</v>
      </c>
      <c r="E739" s="12" t="s">
        <v>16435</v>
      </c>
      <c r="F739" s="13">
        <v>45496</v>
      </c>
      <c r="G739" s="14">
        <v>45923</v>
      </c>
      <c r="H739" s="15">
        <v>15000000</v>
      </c>
      <c r="I739" s="16">
        <v>24</v>
      </c>
      <c r="J739" s="17">
        <v>24</v>
      </c>
      <c r="K739" s="9" t="s">
        <v>9831</v>
      </c>
      <c r="L739" s="10" t="s">
        <v>16436</v>
      </c>
      <c r="M739" s="9" t="s">
        <v>9915</v>
      </c>
      <c r="N739" s="10" t="s">
        <v>9828</v>
      </c>
      <c r="O739" s="15">
        <v>7761800</v>
      </c>
      <c r="P739" s="145">
        <v>1219609</v>
      </c>
      <c r="Q739" s="9" t="s">
        <v>22901</v>
      </c>
      <c r="R739" s="146" t="s">
        <v>22902</v>
      </c>
      <c r="T739" s="92" t="s">
        <v>3609</v>
      </c>
      <c r="U739">
        <v>1</v>
      </c>
      <c r="V739">
        <f>VLOOKUP(T739,'Data Angt'!$A$5:$F$5810,6,FALSE)</f>
        <v>39</v>
      </c>
      <c r="W739" s="5" t="str">
        <f t="shared" si="11"/>
        <v>PENDIDIKAN</v>
      </c>
      <c r="X739" s="5" t="str">
        <f>VLOOKUP(T739,'Data Angt'!$A$5:$H$5810,8,FALSE)</f>
        <v>Tenaga Pengajar</v>
      </c>
      <c r="Y739" s="5" t="str">
        <f>VLOOKUP(T739,'Data Angt'!$A$5:$C$5808,3,FALSE)</f>
        <v>KRK</v>
      </c>
    </row>
    <row r="740" spans="1:25" x14ac:dyDescent="0.3">
      <c r="A740" s="8">
        <v>734</v>
      </c>
      <c r="B740" s="9" t="s">
        <v>714</v>
      </c>
      <c r="C740" s="10" t="str">
        <f>VLOOKUP(B740,'Data Angt'!$A$5:$B$5809,2,FALSE)</f>
        <v>A265</v>
      </c>
      <c r="D740" s="11" t="s">
        <v>9833</v>
      </c>
      <c r="E740" s="12" t="s">
        <v>16437</v>
      </c>
      <c r="F740" s="13">
        <v>45359</v>
      </c>
      <c r="G740" s="14">
        <v>45911</v>
      </c>
      <c r="H740" s="15">
        <v>25000000</v>
      </c>
      <c r="I740" s="16">
        <v>48</v>
      </c>
      <c r="J740" s="17">
        <v>21</v>
      </c>
      <c r="K740" s="9" t="s">
        <v>9831</v>
      </c>
      <c r="L740" s="10" t="s">
        <v>16438</v>
      </c>
      <c r="M740" s="9" t="s">
        <v>9862</v>
      </c>
      <c r="N740" s="10" t="s">
        <v>9834</v>
      </c>
      <c r="O740" s="15">
        <v>17956900</v>
      </c>
      <c r="P740" s="145">
        <v>2584683</v>
      </c>
      <c r="Q740" s="9"/>
      <c r="R740" s="146"/>
      <c r="T740" s="92" t="s">
        <v>3647</v>
      </c>
      <c r="U740">
        <v>1</v>
      </c>
      <c r="V740">
        <f>VLOOKUP(T740,'Data Angt'!$A$5:$F$5810,6,FALSE)</f>
        <v>61</v>
      </c>
      <c r="W740" s="5" t="str">
        <f t="shared" si="11"/>
        <v>PRODUKTIF</v>
      </c>
      <c r="X740" s="5" t="str">
        <f>VLOOKUP(T740,'Data Angt'!$A$5:$H$5810,8,FALSE)</f>
        <v>Petani/Pekebun/Nelayan</v>
      </c>
      <c r="Y740" s="5" t="str">
        <f>VLOOKUP(T740,'Data Angt'!$A$5:$C$5808,3,FALSE)</f>
        <v>KRK</v>
      </c>
    </row>
    <row r="741" spans="1:25" x14ac:dyDescent="0.3">
      <c r="A741" s="8">
        <v>735</v>
      </c>
      <c r="B741" s="9" t="s">
        <v>714</v>
      </c>
      <c r="C741" s="10" t="str">
        <f>VLOOKUP(B741,'Data Angt'!$A$5:$B$5809,2,FALSE)</f>
        <v>A265</v>
      </c>
      <c r="D741" s="11" t="s">
        <v>9826</v>
      </c>
      <c r="E741" s="12" t="s">
        <v>22903</v>
      </c>
      <c r="F741" s="13">
        <v>45856</v>
      </c>
      <c r="G741" s="14">
        <v>45922</v>
      </c>
      <c r="H741" s="15">
        <v>2000000</v>
      </c>
      <c r="I741" s="16">
        <v>12</v>
      </c>
      <c r="J741" s="17">
        <v>24</v>
      </c>
      <c r="K741" s="9" t="s">
        <v>9831</v>
      </c>
      <c r="L741" s="10" t="s">
        <v>22904</v>
      </c>
      <c r="M741" s="9" t="s">
        <v>9862</v>
      </c>
      <c r="N741" s="10" t="s">
        <v>9834</v>
      </c>
      <c r="O741" s="15">
        <v>1698700</v>
      </c>
      <c r="P741" s="145">
        <v>28912</v>
      </c>
      <c r="Q741" s="9"/>
      <c r="R741" s="146"/>
      <c r="T741" s="92" t="s">
        <v>3698</v>
      </c>
      <c r="U741">
        <v>2</v>
      </c>
      <c r="V741">
        <f>VLOOKUP(T741,'Data Angt'!$A$5:$F$5810,6,FALSE)</f>
        <v>46</v>
      </c>
      <c r="W741" s="5" t="str">
        <f t="shared" si="11"/>
        <v>KONSUMTIF</v>
      </c>
      <c r="X741" s="5" t="str">
        <f>VLOOKUP(T741,'Data Angt'!$A$5:$H$5810,8,FALSE)</f>
        <v>Wiraswasta</v>
      </c>
      <c r="Y741" s="5" t="str">
        <f>VLOOKUP(T741,'Data Angt'!$A$5:$C$5808,3,FALSE)</f>
        <v>KRK</v>
      </c>
    </row>
    <row r="742" spans="1:25" x14ac:dyDescent="0.3">
      <c r="A742" s="8">
        <v>736</v>
      </c>
      <c r="B742" s="9" t="s">
        <v>771</v>
      </c>
      <c r="C742" s="10" t="str">
        <f>VLOOKUP(B742,'Data Angt'!$A$5:$B$5809,2,FALSE)</f>
        <v>A286</v>
      </c>
      <c r="D742" s="11" t="s">
        <v>9829</v>
      </c>
      <c r="E742" s="12" t="s">
        <v>10227</v>
      </c>
      <c r="F742" s="13">
        <v>41710</v>
      </c>
      <c r="G742" s="14">
        <v>44251</v>
      </c>
      <c r="H742" s="15">
        <v>50000000</v>
      </c>
      <c r="I742" s="16">
        <v>36</v>
      </c>
      <c r="J742" s="17">
        <v>21</v>
      </c>
      <c r="K742" s="9" t="s">
        <v>9827</v>
      </c>
      <c r="L742" s="10"/>
      <c r="M742" s="9"/>
      <c r="N742" s="10"/>
      <c r="O742" s="15">
        <v>45833300</v>
      </c>
      <c r="P742" s="145">
        <v>902362</v>
      </c>
      <c r="Q742" s="9"/>
      <c r="R742" s="146"/>
      <c r="T742" s="92" t="s">
        <v>3771</v>
      </c>
      <c r="U742">
        <v>1</v>
      </c>
      <c r="V742">
        <f>VLOOKUP(T742,'Data Angt'!$A$5:$F$5810,6,FALSE)</f>
        <v>38</v>
      </c>
      <c r="W742" s="5" t="str">
        <f t="shared" si="11"/>
        <v>PRODUKTIF</v>
      </c>
      <c r="X742" s="5" t="str">
        <f>VLOOKUP(T742,'Data Angt'!$A$5:$H$5810,8,FALSE)</f>
        <v>Tenaga Pengajar</v>
      </c>
      <c r="Y742" s="5" t="str">
        <f>VLOOKUP(T742,'Data Angt'!$A$5:$C$5808,3,FALSE)</f>
        <v>KRK</v>
      </c>
    </row>
    <row r="743" spans="1:25" x14ac:dyDescent="0.3">
      <c r="A743" s="8">
        <v>737</v>
      </c>
      <c r="B743" s="9" t="s">
        <v>836</v>
      </c>
      <c r="C743" s="10" t="str">
        <f>VLOOKUP(B743,'Data Angt'!$A$5:$B$5809,2,FALSE)</f>
        <v>A312</v>
      </c>
      <c r="D743" s="11" t="s">
        <v>9833</v>
      </c>
      <c r="E743" s="12" t="s">
        <v>10228</v>
      </c>
      <c r="F743" s="13">
        <v>43546</v>
      </c>
      <c r="G743" s="14">
        <v>44439</v>
      </c>
      <c r="H743" s="15">
        <v>20000000</v>
      </c>
      <c r="I743" s="16">
        <v>48</v>
      </c>
      <c r="J743" s="17">
        <v>24</v>
      </c>
      <c r="K743" s="9" t="s">
        <v>9831</v>
      </c>
      <c r="L743" s="10" t="s">
        <v>10229</v>
      </c>
      <c r="M743" s="9" t="s">
        <v>10230</v>
      </c>
      <c r="N743" s="10" t="s">
        <v>9834</v>
      </c>
      <c r="O743" s="15">
        <v>13126700</v>
      </c>
      <c r="P743" s="145">
        <v>3109119</v>
      </c>
      <c r="Q743" s="9" t="s">
        <v>22905</v>
      </c>
      <c r="R743" s="146" t="s">
        <v>22906</v>
      </c>
      <c r="T743" s="92" t="s">
        <v>3863</v>
      </c>
      <c r="U743">
        <v>2</v>
      </c>
      <c r="V743">
        <f>VLOOKUP(T743,'Data Angt'!$A$5:$F$5810,6,FALSE)</f>
        <v>56</v>
      </c>
      <c r="W743" s="5" t="str">
        <f t="shared" si="11"/>
        <v>KONSUMTIF</v>
      </c>
      <c r="X743" s="5" t="str">
        <f>VLOOKUP(T743,'Data Angt'!$A$5:$H$5810,8,FALSE)</f>
        <v>Karyawan</v>
      </c>
      <c r="Y743" s="5" t="str">
        <f>VLOOKUP(T743,'Data Angt'!$A$5:$C$5808,3,FALSE)</f>
        <v>KRK</v>
      </c>
    </row>
    <row r="744" spans="1:25" x14ac:dyDescent="0.3">
      <c r="A744" s="8">
        <v>738</v>
      </c>
      <c r="B744" s="9" t="s">
        <v>950</v>
      </c>
      <c r="C744" s="10" t="str">
        <f>VLOOKUP(B744,'Data Angt'!$A$5:$B$5809,2,FALSE)</f>
        <v>A363</v>
      </c>
      <c r="D744" s="11" t="s">
        <v>10089</v>
      </c>
      <c r="E744" s="12" t="s">
        <v>10231</v>
      </c>
      <c r="F744" s="13">
        <v>42584</v>
      </c>
      <c r="G744" s="14">
        <v>44251</v>
      </c>
      <c r="H744" s="15">
        <v>30000000</v>
      </c>
      <c r="I744" s="16">
        <v>36</v>
      </c>
      <c r="J744" s="17">
        <v>21</v>
      </c>
      <c r="K744" s="9" t="s">
        <v>9827</v>
      </c>
      <c r="L744" s="10"/>
      <c r="M744" s="9"/>
      <c r="N744" s="10"/>
      <c r="O744" s="15">
        <v>24999600</v>
      </c>
      <c r="P744" s="145">
        <v>2970462</v>
      </c>
      <c r="Q744" s="9"/>
      <c r="R744" s="146"/>
      <c r="T744" s="92" t="s">
        <v>3909</v>
      </c>
      <c r="U744">
        <v>2</v>
      </c>
      <c r="V744">
        <f>VLOOKUP(T744,'Data Angt'!$A$5:$F$5810,6,FALSE)</f>
        <v>58</v>
      </c>
      <c r="W744" s="5" t="str">
        <f t="shared" si="11"/>
        <v>PRODUKTIF</v>
      </c>
      <c r="X744" s="5" t="str">
        <f>VLOOKUP(T744,'Data Angt'!$A$5:$H$5810,8,FALSE)</f>
        <v>Aparatur/Pejabat Negara</v>
      </c>
      <c r="Y744" s="5" t="str">
        <f>VLOOKUP(T744,'Data Angt'!$A$5:$C$5808,3,FALSE)</f>
        <v>KRK</v>
      </c>
    </row>
    <row r="745" spans="1:25" x14ac:dyDescent="0.3">
      <c r="A745" s="8">
        <v>739</v>
      </c>
      <c r="B745" s="9" t="s">
        <v>1032</v>
      </c>
      <c r="C745" s="10" t="str">
        <f>VLOOKUP(B745,'Data Angt'!$A$5:$B$5809,2,FALSE)</f>
        <v>A394</v>
      </c>
      <c r="D745" s="11" t="s">
        <v>9833</v>
      </c>
      <c r="E745" s="12" t="s">
        <v>10233</v>
      </c>
      <c r="F745" s="13">
        <v>44091</v>
      </c>
      <c r="G745" s="14">
        <v>45898</v>
      </c>
      <c r="H745" s="15">
        <v>80000000</v>
      </c>
      <c r="I745" s="16">
        <v>60</v>
      </c>
      <c r="J745" s="17">
        <v>21</v>
      </c>
      <c r="K745" s="9" t="s">
        <v>9827</v>
      </c>
      <c r="L745" s="10" t="s">
        <v>10234</v>
      </c>
      <c r="M745" s="9"/>
      <c r="N745" s="10"/>
      <c r="O745" s="15">
        <v>3996200</v>
      </c>
      <c r="P745" s="145">
        <v>16310318</v>
      </c>
      <c r="Q745" s="9"/>
      <c r="R745" s="146"/>
      <c r="T745" s="92" t="s">
        <v>3969</v>
      </c>
      <c r="U745">
        <v>1</v>
      </c>
      <c r="V745">
        <f>VLOOKUP(T745,'Data Angt'!$A$5:$F$5810,6,FALSE)</f>
        <v>47</v>
      </c>
      <c r="W745" s="5" t="str">
        <f t="shared" si="11"/>
        <v>PENDIDIKAN</v>
      </c>
      <c r="X745" s="5" t="str">
        <f>VLOOKUP(T745,'Data Angt'!$A$5:$H$5810,8,FALSE)</f>
        <v>Wiraswasta</v>
      </c>
      <c r="Y745" s="5" t="str">
        <f>VLOOKUP(T745,'Data Angt'!$A$5:$C$5808,3,FALSE)</f>
        <v>KRK</v>
      </c>
    </row>
    <row r="746" spans="1:25" x14ac:dyDescent="0.3">
      <c r="A746" s="8">
        <v>740</v>
      </c>
      <c r="B746" s="9" t="s">
        <v>1075</v>
      </c>
      <c r="C746" s="10" t="str">
        <f>VLOOKUP(B746,'Data Angt'!$A$5:$B$5809,2,FALSE)</f>
        <v>A415</v>
      </c>
      <c r="D746" s="11" t="s">
        <v>9829</v>
      </c>
      <c r="E746" s="12" t="s">
        <v>22907</v>
      </c>
      <c r="F746" s="13">
        <v>45849</v>
      </c>
      <c r="G746" s="14">
        <v>45909</v>
      </c>
      <c r="H746" s="15">
        <v>15000000</v>
      </c>
      <c r="I746" s="16">
        <v>18</v>
      </c>
      <c r="J746" s="17">
        <v>24</v>
      </c>
      <c r="K746" s="9" t="s">
        <v>9831</v>
      </c>
      <c r="L746" s="10" t="s">
        <v>22908</v>
      </c>
      <c r="M746" s="9" t="s">
        <v>9862</v>
      </c>
      <c r="N746" s="10" t="s">
        <v>9834</v>
      </c>
      <c r="O746" s="15">
        <v>13584800</v>
      </c>
      <c r="P746" s="145">
        <v>219750</v>
      </c>
      <c r="Q746" s="9" t="s">
        <v>22901</v>
      </c>
      <c r="R746" s="146" t="s">
        <v>22909</v>
      </c>
      <c r="T746" s="92" t="s">
        <v>3991</v>
      </c>
      <c r="U746">
        <v>1</v>
      </c>
      <c r="V746">
        <f>VLOOKUP(T746,'Data Angt'!$A$5:$F$5810,6,FALSE)</f>
        <v>48</v>
      </c>
      <c r="W746" s="5" t="str">
        <f t="shared" si="11"/>
        <v>KONSUMTIF</v>
      </c>
      <c r="X746" s="5" t="str">
        <f>VLOOKUP(T746,'Data Angt'!$A$5:$H$5810,8,FALSE)</f>
        <v>Karyawan</v>
      </c>
      <c r="Y746" s="5" t="str">
        <f>VLOOKUP(T746,'Data Angt'!$A$5:$C$5808,3,FALSE)</f>
        <v>KRK</v>
      </c>
    </row>
    <row r="747" spans="1:25" x14ac:dyDescent="0.3">
      <c r="A747" s="8">
        <v>741</v>
      </c>
      <c r="B747" s="9" t="s">
        <v>1082</v>
      </c>
      <c r="C747" s="10" t="str">
        <f>VLOOKUP(B747,'Data Angt'!$A$5:$B$5809,2,FALSE)</f>
        <v>A418</v>
      </c>
      <c r="D747" s="11" t="s">
        <v>9829</v>
      </c>
      <c r="E747" s="12" t="s">
        <v>10235</v>
      </c>
      <c r="F747" s="13">
        <v>45083</v>
      </c>
      <c r="G747" s="14">
        <v>45908</v>
      </c>
      <c r="H747" s="15">
        <v>15000000</v>
      </c>
      <c r="I747" s="16">
        <v>48</v>
      </c>
      <c r="J747" s="17">
        <v>24</v>
      </c>
      <c r="K747" s="9" t="s">
        <v>9831</v>
      </c>
      <c r="L747" s="10" t="s">
        <v>10236</v>
      </c>
      <c r="M747" s="9" t="s">
        <v>10237</v>
      </c>
      <c r="N747" s="10" t="s">
        <v>9828</v>
      </c>
      <c r="O747" s="15">
        <v>8318000</v>
      </c>
      <c r="P747" s="145">
        <v>2446382</v>
      </c>
      <c r="Q747" s="9"/>
      <c r="R747" s="146"/>
      <c r="T747" s="92" t="s">
        <v>4002</v>
      </c>
      <c r="U747">
        <v>1</v>
      </c>
      <c r="V747">
        <f>VLOOKUP(T747,'Data Angt'!$A$5:$F$5810,6,FALSE)</f>
        <v>55</v>
      </c>
      <c r="W747" s="5" t="str">
        <f t="shared" si="11"/>
        <v>KESEJAHTERAAN</v>
      </c>
      <c r="X747" s="5" t="str">
        <f>VLOOKUP(T747,'Data Angt'!$A$5:$H$5810,8,FALSE)</f>
        <v>Tenaga Pengajar</v>
      </c>
      <c r="Y747" s="5" t="str">
        <f>VLOOKUP(T747,'Data Angt'!$A$5:$C$5808,3,FALSE)</f>
        <v>KRK</v>
      </c>
    </row>
    <row r="748" spans="1:25" x14ac:dyDescent="0.3">
      <c r="A748" s="8">
        <v>742</v>
      </c>
      <c r="B748" s="9" t="s">
        <v>1089</v>
      </c>
      <c r="C748" s="10" t="str">
        <f>VLOOKUP(B748,'Data Angt'!$A$5:$B$5809,2,FALSE)</f>
        <v>A421</v>
      </c>
      <c r="D748" s="11" t="s">
        <v>9829</v>
      </c>
      <c r="E748" s="12" t="s">
        <v>10238</v>
      </c>
      <c r="F748" s="13">
        <v>40329</v>
      </c>
      <c r="G748" s="14">
        <v>44251</v>
      </c>
      <c r="H748" s="15">
        <v>49850000</v>
      </c>
      <c r="I748" s="16">
        <v>60</v>
      </c>
      <c r="J748" s="17">
        <v>24</v>
      </c>
      <c r="K748" s="9" t="s">
        <v>9827</v>
      </c>
      <c r="L748" s="10"/>
      <c r="M748" s="9"/>
      <c r="N748" s="10"/>
      <c r="O748" s="15">
        <v>48776400</v>
      </c>
      <c r="P748" s="145">
        <v>1186650</v>
      </c>
      <c r="Q748" s="9"/>
      <c r="R748" s="146"/>
      <c r="T748" s="92" t="s">
        <v>4064</v>
      </c>
      <c r="U748">
        <v>1</v>
      </c>
      <c r="V748">
        <f>VLOOKUP(T748,'Data Angt'!$A$5:$F$5810,6,FALSE)</f>
        <v>56</v>
      </c>
      <c r="W748" s="5" t="str">
        <f t="shared" si="11"/>
        <v>PRODUKTIF</v>
      </c>
      <c r="X748" s="5" t="str">
        <f>VLOOKUP(T748,'Data Angt'!$A$5:$H$5810,8,FALSE)</f>
        <v>Tenaga Pengajar</v>
      </c>
      <c r="Y748" s="5" t="str">
        <f>VLOOKUP(T748,'Data Angt'!$A$5:$C$5808,3,FALSE)</f>
        <v>KRK</v>
      </c>
    </row>
    <row r="749" spans="1:25" x14ac:dyDescent="0.3">
      <c r="A749" s="8">
        <v>743</v>
      </c>
      <c r="B749" s="9" t="s">
        <v>1092</v>
      </c>
      <c r="C749" s="10" t="str">
        <f>VLOOKUP(B749,'Data Angt'!$A$5:$B$5809,2,FALSE)</f>
        <v>A422</v>
      </c>
      <c r="D749" s="11" t="s">
        <v>9829</v>
      </c>
      <c r="E749" s="12" t="s">
        <v>10239</v>
      </c>
      <c r="F749" s="13">
        <v>45195</v>
      </c>
      <c r="G749" s="14">
        <v>45363</v>
      </c>
      <c r="H749" s="15">
        <v>354670000</v>
      </c>
      <c r="I749" s="16">
        <v>30</v>
      </c>
      <c r="J749" s="17">
        <v>21</v>
      </c>
      <c r="K749" s="9" t="s">
        <v>9827</v>
      </c>
      <c r="L749" s="10" t="s">
        <v>10240</v>
      </c>
      <c r="M749" s="9" t="s">
        <v>10241</v>
      </c>
      <c r="N749" s="10" t="s">
        <v>9828</v>
      </c>
      <c r="O749" s="15">
        <v>342847600</v>
      </c>
      <c r="P749" s="145">
        <v>5420887</v>
      </c>
      <c r="Q749" s="9" t="s">
        <v>22910</v>
      </c>
      <c r="R749" s="146" t="s">
        <v>22911</v>
      </c>
      <c r="T749" s="92" t="s">
        <v>4065</v>
      </c>
      <c r="U749">
        <v>1</v>
      </c>
      <c r="V749">
        <f>VLOOKUP(T749,'Data Angt'!$A$5:$F$5810,6,FALSE)</f>
        <v>64</v>
      </c>
      <c r="W749" s="5" t="str">
        <f t="shared" si="11"/>
        <v>KONSUMTIF</v>
      </c>
      <c r="X749" s="5" t="str">
        <f>VLOOKUP(T749,'Data Angt'!$A$5:$H$5810,8,FALSE)</f>
        <v>Pensiunan</v>
      </c>
      <c r="Y749" s="5" t="str">
        <f>VLOOKUP(T749,'Data Angt'!$A$5:$C$5808,3,FALSE)</f>
        <v>KRK</v>
      </c>
    </row>
    <row r="750" spans="1:25" x14ac:dyDescent="0.3">
      <c r="A750" s="8">
        <v>744</v>
      </c>
      <c r="B750" s="9" t="s">
        <v>1104</v>
      </c>
      <c r="C750" s="10" t="str">
        <f>VLOOKUP(B750,'Data Angt'!$A$5:$B$5809,2,FALSE)</f>
        <v>A428</v>
      </c>
      <c r="D750" s="11" t="s">
        <v>9829</v>
      </c>
      <c r="E750" s="12" t="s">
        <v>16439</v>
      </c>
      <c r="F750" s="13">
        <v>45339</v>
      </c>
      <c r="G750" s="14">
        <v>45917</v>
      </c>
      <c r="H750" s="15">
        <v>17000000</v>
      </c>
      <c r="I750" s="16">
        <v>36</v>
      </c>
      <c r="J750" s="17">
        <v>11.4</v>
      </c>
      <c r="K750" s="9" t="s">
        <v>9831</v>
      </c>
      <c r="L750" s="10" t="s">
        <v>16440</v>
      </c>
      <c r="M750" s="9" t="s">
        <v>9861</v>
      </c>
      <c r="N750" s="10" t="s">
        <v>9828</v>
      </c>
      <c r="O750" s="15">
        <v>8750300</v>
      </c>
      <c r="P750" s="145">
        <v>894930</v>
      </c>
      <c r="Q750" s="9"/>
      <c r="R750" s="146"/>
      <c r="T750" s="92" t="s">
        <v>4070</v>
      </c>
      <c r="U750">
        <v>1</v>
      </c>
      <c r="V750">
        <f>VLOOKUP(T750,'Data Angt'!$A$5:$F$5810,6,FALSE)</f>
        <v>47</v>
      </c>
      <c r="W750" s="5" t="str">
        <f t="shared" si="11"/>
        <v>PENDIDIKAN</v>
      </c>
      <c r="X750" s="5" t="str">
        <f>VLOOKUP(T750,'Data Angt'!$A$5:$H$5810,8,FALSE)</f>
        <v>Tenaga Pengajar</v>
      </c>
      <c r="Y750" s="5" t="str">
        <f>VLOOKUP(T750,'Data Angt'!$A$5:$C$5808,3,FALSE)</f>
        <v>KRK</v>
      </c>
    </row>
    <row r="751" spans="1:25" x14ac:dyDescent="0.3">
      <c r="A751" s="8">
        <v>745</v>
      </c>
      <c r="B751" s="9" t="s">
        <v>1146</v>
      </c>
      <c r="C751" s="10" t="str">
        <f>VLOOKUP(B751,'Data Angt'!$A$5:$B$5809,2,FALSE)</f>
        <v>A447</v>
      </c>
      <c r="D751" s="11" t="s">
        <v>9833</v>
      </c>
      <c r="E751" s="12" t="s">
        <v>16441</v>
      </c>
      <c r="F751" s="13">
        <v>45637</v>
      </c>
      <c r="G751" s="14">
        <v>45927</v>
      </c>
      <c r="H751" s="15">
        <v>40000000</v>
      </c>
      <c r="I751" s="16">
        <v>36</v>
      </c>
      <c r="J751" s="17">
        <v>21</v>
      </c>
      <c r="K751" s="9" t="s">
        <v>9827</v>
      </c>
      <c r="L751" s="10" t="s">
        <v>16442</v>
      </c>
      <c r="M751" s="9" t="s">
        <v>16443</v>
      </c>
      <c r="N751" s="10" t="s">
        <v>9834</v>
      </c>
      <c r="O751" s="15">
        <v>29999200</v>
      </c>
      <c r="P751" s="145">
        <v>2100148</v>
      </c>
      <c r="Q751" s="9" t="s">
        <v>22901</v>
      </c>
      <c r="R751" s="146" t="s">
        <v>22912</v>
      </c>
      <c r="T751" s="92" t="s">
        <v>4103</v>
      </c>
      <c r="U751">
        <v>1</v>
      </c>
      <c r="V751">
        <f>VLOOKUP(T751,'Data Angt'!$A$5:$F$5810,6,FALSE)</f>
        <v>41</v>
      </c>
      <c r="W751" s="5" t="str">
        <f t="shared" si="11"/>
        <v>KONSUMTIF</v>
      </c>
      <c r="X751" s="5" t="str">
        <f>VLOOKUP(T751,'Data Angt'!$A$5:$H$5810,8,FALSE)</f>
        <v>Wiraswasta</v>
      </c>
      <c r="Y751" s="5" t="str">
        <f>VLOOKUP(T751,'Data Angt'!$A$5:$C$5808,3,FALSE)</f>
        <v>KRK</v>
      </c>
    </row>
    <row r="752" spans="1:25" x14ac:dyDescent="0.3">
      <c r="A752" s="8">
        <v>746</v>
      </c>
      <c r="B752" s="9" t="s">
        <v>1149</v>
      </c>
      <c r="C752" s="10" t="str">
        <f>VLOOKUP(B752,'Data Angt'!$A$5:$B$5809,2,FALSE)</f>
        <v>A448</v>
      </c>
      <c r="D752" s="11" t="s">
        <v>9829</v>
      </c>
      <c r="E752" s="12" t="s">
        <v>10243</v>
      </c>
      <c r="F752" s="13">
        <v>39177</v>
      </c>
      <c r="G752" s="14">
        <v>42369</v>
      </c>
      <c r="H752" s="15">
        <v>100000000</v>
      </c>
      <c r="I752" s="16">
        <v>60</v>
      </c>
      <c r="J752" s="17">
        <v>21</v>
      </c>
      <c r="K752" s="9" t="s">
        <v>9827</v>
      </c>
      <c r="L752" s="10"/>
      <c r="M752" s="9"/>
      <c r="N752" s="10"/>
      <c r="O752" s="15">
        <v>81300000</v>
      </c>
      <c r="P752" s="147">
        <v>0</v>
      </c>
      <c r="Q752" s="9"/>
      <c r="R752" s="146"/>
      <c r="T752" s="92" t="s">
        <v>4166</v>
      </c>
      <c r="U752">
        <v>1</v>
      </c>
      <c r="V752">
        <f>VLOOKUP(T752,'Data Angt'!$A$5:$F$5810,6,FALSE)</f>
        <v>25</v>
      </c>
      <c r="W752" s="5" t="str">
        <f t="shared" si="11"/>
        <v>PRODUKTIF</v>
      </c>
      <c r="X752" s="5" t="str">
        <f>VLOOKUP(T752,'Data Angt'!$A$5:$H$5810,8,FALSE)</f>
        <v>Karyawan</v>
      </c>
      <c r="Y752" s="5" t="str">
        <f>VLOOKUP(T752,'Data Angt'!$A$5:$C$5808,3,FALSE)</f>
        <v>KRK</v>
      </c>
    </row>
    <row r="753" spans="1:25" x14ac:dyDescent="0.3">
      <c r="A753" s="8">
        <v>747</v>
      </c>
      <c r="B753" s="9" t="s">
        <v>1164</v>
      </c>
      <c r="C753" s="10" t="str">
        <f>VLOOKUP(B753,'Data Angt'!$A$5:$B$5809,2,FALSE)</f>
        <v>A455</v>
      </c>
      <c r="D753" s="11" t="s">
        <v>9829</v>
      </c>
      <c r="E753" s="12" t="s">
        <v>10244</v>
      </c>
      <c r="F753" s="13">
        <v>41936</v>
      </c>
      <c r="G753" s="14">
        <v>44251</v>
      </c>
      <c r="H753" s="15">
        <v>30000000</v>
      </c>
      <c r="I753" s="16">
        <v>36</v>
      </c>
      <c r="J753" s="17">
        <v>21</v>
      </c>
      <c r="K753" s="9" t="s">
        <v>9827</v>
      </c>
      <c r="L753" s="10"/>
      <c r="M753" s="9"/>
      <c r="N753" s="10"/>
      <c r="O753" s="15">
        <v>20000100</v>
      </c>
      <c r="P753" s="145">
        <v>4811586</v>
      </c>
      <c r="Q753" s="9"/>
      <c r="R753" s="146"/>
      <c r="T753" s="92" t="s">
        <v>4251</v>
      </c>
      <c r="U753">
        <v>1</v>
      </c>
      <c r="V753">
        <f>VLOOKUP(T753,'Data Angt'!$A$5:$F$5810,6,FALSE)</f>
        <v>48</v>
      </c>
      <c r="W753" s="5" t="str">
        <f t="shared" si="11"/>
        <v>PENDIDIKAN</v>
      </c>
      <c r="X753" s="5" t="str">
        <f>VLOOKUP(T753,'Data Angt'!$A$5:$H$5810,8,FALSE)</f>
        <v>Tenaga Medis</v>
      </c>
      <c r="Y753" s="5" t="str">
        <f>VLOOKUP(T753,'Data Angt'!$A$5:$C$5808,3,FALSE)</f>
        <v>KRK</v>
      </c>
    </row>
    <row r="754" spans="1:25" x14ac:dyDescent="0.3">
      <c r="A754" s="8">
        <v>748</v>
      </c>
      <c r="B754" s="9" t="s">
        <v>1176</v>
      </c>
      <c r="C754" s="10" t="str">
        <f>VLOOKUP(B754,'Data Angt'!$A$5:$B$5809,2,FALSE)</f>
        <v>A460</v>
      </c>
      <c r="D754" s="11" t="s">
        <v>9829</v>
      </c>
      <c r="E754" s="12" t="s">
        <v>16444</v>
      </c>
      <c r="F754" s="13">
        <v>45357</v>
      </c>
      <c r="G754" s="14">
        <v>45908</v>
      </c>
      <c r="H754" s="15">
        <v>6000000</v>
      </c>
      <c r="I754" s="16">
        <v>24</v>
      </c>
      <c r="J754" s="17">
        <v>11.64</v>
      </c>
      <c r="K754" s="9" t="s">
        <v>9831</v>
      </c>
      <c r="L754" s="10" t="s">
        <v>16445</v>
      </c>
      <c r="M754" s="9" t="s">
        <v>9832</v>
      </c>
      <c r="N754" s="10" t="s">
        <v>17</v>
      </c>
      <c r="O754" s="15">
        <v>1632200</v>
      </c>
      <c r="P754" s="145">
        <v>262196</v>
      </c>
      <c r="Q754" s="9"/>
      <c r="R754" s="146"/>
      <c r="T754" s="92" t="s">
        <v>4303</v>
      </c>
      <c r="U754">
        <v>2</v>
      </c>
      <c r="V754">
        <f>VLOOKUP(T754,'Data Angt'!$A$5:$F$5810,6,FALSE)</f>
        <v>56</v>
      </c>
      <c r="W754" s="5" t="str">
        <f t="shared" si="11"/>
        <v>KESEJAHTERAAN</v>
      </c>
      <c r="X754" s="5" t="str">
        <f>VLOOKUP(T754,'Data Angt'!$A$5:$H$5810,8,FALSE)</f>
        <v>Aparatur/Pejabat Negara</v>
      </c>
      <c r="Y754" s="5" t="str">
        <f>VLOOKUP(T754,'Data Angt'!$A$5:$C$5808,3,FALSE)</f>
        <v>KRK</v>
      </c>
    </row>
    <row r="755" spans="1:25" x14ac:dyDescent="0.3">
      <c r="A755" s="8">
        <v>749</v>
      </c>
      <c r="B755" s="9" t="s">
        <v>1176</v>
      </c>
      <c r="C755" s="10" t="str">
        <f>VLOOKUP(B755,'Data Angt'!$A$5:$B$5809,2,FALSE)</f>
        <v>A460</v>
      </c>
      <c r="D755" s="11" t="s">
        <v>9829</v>
      </c>
      <c r="E755" s="12" t="s">
        <v>10245</v>
      </c>
      <c r="F755" s="13">
        <v>44974</v>
      </c>
      <c r="G755" s="14">
        <v>45918</v>
      </c>
      <c r="H755" s="15">
        <v>75000000</v>
      </c>
      <c r="I755" s="16">
        <v>48</v>
      </c>
      <c r="J755" s="17">
        <v>21</v>
      </c>
      <c r="K755" s="9" t="s">
        <v>9831</v>
      </c>
      <c r="L755" s="10" t="s">
        <v>10246</v>
      </c>
      <c r="M755" s="9" t="s">
        <v>10127</v>
      </c>
      <c r="N755" s="10" t="s">
        <v>17</v>
      </c>
      <c r="O755" s="15">
        <v>33895000</v>
      </c>
      <c r="P755" s="145">
        <v>11584682</v>
      </c>
      <c r="Q755" s="9" t="s">
        <v>22913</v>
      </c>
      <c r="R755" s="146" t="s">
        <v>22914</v>
      </c>
      <c r="T755" s="92" t="s">
        <v>4321</v>
      </c>
      <c r="U755">
        <v>1</v>
      </c>
      <c r="V755">
        <f>VLOOKUP(T755,'Data Angt'!$A$5:$F$5810,6,FALSE)</f>
        <v>34</v>
      </c>
      <c r="W755" s="5" t="str">
        <f t="shared" si="11"/>
        <v>PRODUKTIF</v>
      </c>
      <c r="X755" s="5" t="str">
        <f>VLOOKUP(T755,'Data Angt'!$A$5:$H$5810,8,FALSE)</f>
        <v>Wiraswasta</v>
      </c>
      <c r="Y755" s="5" t="str">
        <f>VLOOKUP(T755,'Data Angt'!$A$5:$C$5808,3,FALSE)</f>
        <v>KRK</v>
      </c>
    </row>
    <row r="756" spans="1:25" x14ac:dyDescent="0.3">
      <c r="A756" s="8">
        <v>750</v>
      </c>
      <c r="B756" s="9" t="s">
        <v>1228</v>
      </c>
      <c r="C756" s="10" t="str">
        <f>VLOOKUP(B756,'Data Angt'!$A$5:$B$5809,2,FALSE)</f>
        <v>A478</v>
      </c>
      <c r="D756" s="11" t="s">
        <v>9833</v>
      </c>
      <c r="E756" s="12" t="s">
        <v>10247</v>
      </c>
      <c r="F756" s="13">
        <v>45273</v>
      </c>
      <c r="G756" s="14">
        <v>45913</v>
      </c>
      <c r="H756" s="15">
        <v>15000000</v>
      </c>
      <c r="I756" s="16">
        <v>24</v>
      </c>
      <c r="J756" s="17">
        <v>11.64</v>
      </c>
      <c r="K756" s="9" t="s">
        <v>9831</v>
      </c>
      <c r="L756" s="10" t="s">
        <v>10248</v>
      </c>
      <c r="M756" s="9" t="s">
        <v>10249</v>
      </c>
      <c r="N756" s="10" t="s">
        <v>9834</v>
      </c>
      <c r="O756" s="15">
        <v>2071000</v>
      </c>
      <c r="P756" s="145">
        <v>692470</v>
      </c>
      <c r="Q756" s="9"/>
      <c r="R756" s="146"/>
      <c r="T756" s="92" t="s">
        <v>4352</v>
      </c>
      <c r="U756">
        <v>2</v>
      </c>
      <c r="V756">
        <f>VLOOKUP(T756,'Data Angt'!$A$5:$F$5810,6,FALSE)</f>
        <v>56</v>
      </c>
      <c r="W756" s="5">
        <f t="shared" si="11"/>
        <v>0</v>
      </c>
      <c r="X756" s="5">
        <f>VLOOKUP(T756,'Data Angt'!$A$5:$H$5810,8,FALSE)</f>
        <v>0</v>
      </c>
      <c r="Y756" s="5" t="str">
        <f>VLOOKUP(T756,'Data Angt'!$A$5:$C$5808,3,FALSE)</f>
        <v>KRK</v>
      </c>
    </row>
    <row r="757" spans="1:25" x14ac:dyDescent="0.3">
      <c r="A757" s="8">
        <v>751</v>
      </c>
      <c r="B757" s="9" t="s">
        <v>1249</v>
      </c>
      <c r="C757" s="10" t="str">
        <f>VLOOKUP(B757,'Data Angt'!$A$5:$B$5809,2,FALSE)</f>
        <v>A486</v>
      </c>
      <c r="D757" s="11" t="s">
        <v>9833</v>
      </c>
      <c r="E757" s="12" t="s">
        <v>16446</v>
      </c>
      <c r="F757" s="13">
        <v>45451</v>
      </c>
      <c r="G757" s="14">
        <v>45908</v>
      </c>
      <c r="H757" s="15">
        <v>15000000</v>
      </c>
      <c r="I757" s="16">
        <v>24</v>
      </c>
      <c r="J757" s="17">
        <v>11.64</v>
      </c>
      <c r="K757" s="9" t="s">
        <v>9831</v>
      </c>
      <c r="L757" s="10" t="s">
        <v>16447</v>
      </c>
      <c r="M757" s="9" t="s">
        <v>16448</v>
      </c>
      <c r="N757" s="10" t="s">
        <v>9834</v>
      </c>
      <c r="O757" s="15">
        <v>6036200</v>
      </c>
      <c r="P757" s="145">
        <v>596321</v>
      </c>
      <c r="Q757" s="9" t="s">
        <v>22915</v>
      </c>
      <c r="R757" s="146" t="s">
        <v>22916</v>
      </c>
      <c r="T757" s="92" t="s">
        <v>4401</v>
      </c>
      <c r="U757">
        <v>1</v>
      </c>
      <c r="V757">
        <f>VLOOKUP(T757,'Data Angt'!$A$5:$F$5810,6,FALSE)</f>
        <v>36</v>
      </c>
      <c r="W757" s="5" t="str">
        <f t="shared" si="11"/>
        <v>KONSUMTIF</v>
      </c>
      <c r="X757" s="5" t="str">
        <f>VLOOKUP(T757,'Data Angt'!$A$5:$H$5810,8,FALSE)</f>
        <v>Karyawan</v>
      </c>
      <c r="Y757" s="5" t="str">
        <f>VLOOKUP(T757,'Data Angt'!$A$5:$C$5808,3,FALSE)</f>
        <v>KRK</v>
      </c>
    </row>
    <row r="758" spans="1:25" x14ac:dyDescent="0.3">
      <c r="A758" s="8">
        <v>752</v>
      </c>
      <c r="B758" s="9" t="s">
        <v>1258</v>
      </c>
      <c r="C758" s="10" t="str">
        <f>VLOOKUP(B758,'Data Angt'!$A$5:$B$5809,2,FALSE)</f>
        <v>A490</v>
      </c>
      <c r="D758" s="11" t="s">
        <v>9829</v>
      </c>
      <c r="E758" s="12" t="s">
        <v>10251</v>
      </c>
      <c r="F758" s="13">
        <v>41478</v>
      </c>
      <c r="G758" s="14">
        <v>44251</v>
      </c>
      <c r="H758" s="15">
        <v>40000000</v>
      </c>
      <c r="I758" s="16">
        <v>24</v>
      </c>
      <c r="J758" s="17">
        <v>24</v>
      </c>
      <c r="K758" s="9" t="s">
        <v>9827</v>
      </c>
      <c r="L758" s="10"/>
      <c r="M758" s="9"/>
      <c r="N758" s="10"/>
      <c r="O758" s="15">
        <v>24933400</v>
      </c>
      <c r="P758" s="145">
        <v>374112</v>
      </c>
      <c r="Q758" s="9"/>
      <c r="R758" s="146"/>
      <c r="T758" s="92" t="s">
        <v>4427</v>
      </c>
      <c r="U758">
        <v>1</v>
      </c>
      <c r="V758">
        <f>VLOOKUP(T758,'Data Angt'!$A$5:$F$5810,6,FALSE)</f>
        <v>44</v>
      </c>
      <c r="W758" s="5" t="str">
        <f t="shared" si="11"/>
        <v>PRODUKTIF</v>
      </c>
      <c r="X758" s="5" t="str">
        <f>VLOOKUP(T758,'Data Angt'!$A$5:$H$5810,8,FALSE)</f>
        <v>Tenaga Pengajar</v>
      </c>
      <c r="Y758" s="5" t="str">
        <f>VLOOKUP(T758,'Data Angt'!$A$5:$C$5808,3,FALSE)</f>
        <v>KRK</v>
      </c>
    </row>
    <row r="759" spans="1:25" x14ac:dyDescent="0.3">
      <c r="A759" s="8">
        <v>753</v>
      </c>
      <c r="B759" s="9" t="s">
        <v>1369</v>
      </c>
      <c r="C759" s="10" t="str">
        <f>VLOOKUP(B759,'Data Angt'!$A$5:$B$5809,2,FALSE)</f>
        <v>A536</v>
      </c>
      <c r="D759" s="11" t="s">
        <v>9833</v>
      </c>
      <c r="E759" s="12" t="s">
        <v>16449</v>
      </c>
      <c r="F759" s="13">
        <v>45513</v>
      </c>
      <c r="G759" s="14">
        <v>45904</v>
      </c>
      <c r="H759" s="15">
        <v>4000000</v>
      </c>
      <c r="I759" s="16">
        <v>24</v>
      </c>
      <c r="J759" s="17">
        <v>11.64</v>
      </c>
      <c r="K759" s="9" t="s">
        <v>9831</v>
      </c>
      <c r="L759" s="10" t="s">
        <v>16450</v>
      </c>
      <c r="M759" s="9" t="s">
        <v>9961</v>
      </c>
      <c r="N759" s="10" t="s">
        <v>9834</v>
      </c>
      <c r="O759" s="15">
        <v>1948200</v>
      </c>
      <c r="P759" s="145">
        <v>145610</v>
      </c>
      <c r="Q759" s="9"/>
      <c r="R759" s="146"/>
      <c r="T759" s="92" t="s">
        <v>4463</v>
      </c>
      <c r="U759">
        <v>1</v>
      </c>
      <c r="V759">
        <f>VLOOKUP(T759,'Data Angt'!$A$5:$F$5810,6,FALSE)</f>
        <v>53</v>
      </c>
      <c r="W759" s="5" t="str">
        <f t="shared" si="11"/>
        <v>PRODUKTIF</v>
      </c>
      <c r="X759" s="5" t="str">
        <f>VLOOKUP(T759,'Data Angt'!$A$5:$H$5810,8,FALSE)</f>
        <v>Wiraswasta</v>
      </c>
      <c r="Y759" s="5" t="str">
        <f>VLOOKUP(T759,'Data Angt'!$A$5:$C$5808,3,FALSE)</f>
        <v>KRK</v>
      </c>
    </row>
    <row r="760" spans="1:25" x14ac:dyDescent="0.3">
      <c r="A760" s="8">
        <v>754</v>
      </c>
      <c r="B760" s="9" t="s">
        <v>1477</v>
      </c>
      <c r="C760" s="10" t="str">
        <f>VLOOKUP(B760,'Data Angt'!$A$5:$B$5809,2,FALSE)</f>
        <v>A581</v>
      </c>
      <c r="D760" s="11" t="s">
        <v>9842</v>
      </c>
      <c r="E760" s="12" t="s">
        <v>16451</v>
      </c>
      <c r="F760" s="13">
        <v>45478</v>
      </c>
      <c r="G760" s="14">
        <v>45908</v>
      </c>
      <c r="H760" s="15">
        <v>2000000000</v>
      </c>
      <c r="I760" s="16">
        <v>60</v>
      </c>
      <c r="J760" s="17">
        <v>11.4</v>
      </c>
      <c r="K760" s="9" t="s">
        <v>9831</v>
      </c>
      <c r="L760" s="10" t="s">
        <v>16452</v>
      </c>
      <c r="M760" s="9" t="s">
        <v>16453</v>
      </c>
      <c r="N760" s="10" t="s">
        <v>9834</v>
      </c>
      <c r="O760" s="15">
        <v>1629259800</v>
      </c>
      <c r="P760" s="145">
        <v>91368145</v>
      </c>
      <c r="Q760" s="9" t="s">
        <v>22917</v>
      </c>
      <c r="R760" s="146" t="s">
        <v>22918</v>
      </c>
      <c r="T760" s="92" t="s">
        <v>4603</v>
      </c>
      <c r="U760">
        <v>1</v>
      </c>
      <c r="V760">
        <f>VLOOKUP(T760,'Data Angt'!$A$5:$F$5810,6,FALSE)</f>
        <v>54</v>
      </c>
      <c r="W760" s="5">
        <f t="shared" si="11"/>
        <v>0</v>
      </c>
      <c r="X760" s="5" t="str">
        <f>VLOOKUP(T760,'Data Angt'!$A$5:$H$5810,8,FALSE)</f>
        <v>Petani/Pekebun/Nelayan</v>
      </c>
      <c r="Y760" s="5" t="str">
        <f>VLOOKUP(T760,'Data Angt'!$A$5:$C$5808,3,FALSE)</f>
        <v>KRK</v>
      </c>
    </row>
    <row r="761" spans="1:25" x14ac:dyDescent="0.3">
      <c r="A761" s="8">
        <v>755</v>
      </c>
      <c r="B761" s="9" t="s">
        <v>1512</v>
      </c>
      <c r="C761" s="10" t="str">
        <f>VLOOKUP(B761,'Data Angt'!$A$5:$B$5809,2,FALSE)</f>
        <v>A598</v>
      </c>
      <c r="D761" s="11" t="s">
        <v>9829</v>
      </c>
      <c r="E761" s="12" t="s">
        <v>22919</v>
      </c>
      <c r="F761" s="13">
        <v>45882</v>
      </c>
      <c r="G761" s="14">
        <v>45909</v>
      </c>
      <c r="H761" s="15">
        <v>3000000</v>
      </c>
      <c r="I761" s="16">
        <v>12</v>
      </c>
      <c r="J761" s="17">
        <v>24</v>
      </c>
      <c r="K761" s="9" t="s">
        <v>9827</v>
      </c>
      <c r="L761" s="10" t="s">
        <v>22920</v>
      </c>
      <c r="M761" s="9" t="s">
        <v>22921</v>
      </c>
      <c r="N761" s="10" t="s">
        <v>9830</v>
      </c>
      <c r="O761" s="15">
        <v>2750000</v>
      </c>
      <c r="P761" s="145">
        <v>22500</v>
      </c>
      <c r="Q761" s="9"/>
      <c r="R761" s="146"/>
      <c r="T761" s="92" t="s">
        <v>4637</v>
      </c>
      <c r="U761">
        <v>1</v>
      </c>
      <c r="V761">
        <f>VLOOKUP(T761,'Data Angt'!$A$5:$F$5810,6,FALSE)</f>
        <v>45</v>
      </c>
      <c r="W761" s="5" t="str">
        <f t="shared" si="11"/>
        <v>PRODUKTIF</v>
      </c>
      <c r="X761" s="5" t="str">
        <f>VLOOKUP(T761,'Data Angt'!$A$5:$H$5810,8,FALSE)</f>
        <v>Karyawan</v>
      </c>
      <c r="Y761" s="5" t="str">
        <f>VLOOKUP(T761,'Data Angt'!$A$5:$C$5808,3,FALSE)</f>
        <v>KRK</v>
      </c>
    </row>
    <row r="762" spans="1:25" x14ac:dyDescent="0.3">
      <c r="A762" s="8">
        <v>756</v>
      </c>
      <c r="B762" s="9" t="s">
        <v>1590</v>
      </c>
      <c r="C762" s="10" t="str">
        <f>VLOOKUP(B762,'Data Angt'!$A$5:$B$5809,2,FALSE)</f>
        <v>A630</v>
      </c>
      <c r="D762" s="11" t="s">
        <v>9842</v>
      </c>
      <c r="E762" s="12" t="s">
        <v>10252</v>
      </c>
      <c r="F762" s="13">
        <v>44095</v>
      </c>
      <c r="G762" s="14">
        <v>44469</v>
      </c>
      <c r="H762" s="15">
        <v>100000000</v>
      </c>
      <c r="I762" s="16">
        <v>36</v>
      </c>
      <c r="J762" s="17">
        <v>11.4</v>
      </c>
      <c r="K762" s="9" t="s">
        <v>9831</v>
      </c>
      <c r="L762" s="10" t="s">
        <v>10253</v>
      </c>
      <c r="M762" s="9" t="s">
        <v>10254</v>
      </c>
      <c r="N762" s="10" t="s">
        <v>9830</v>
      </c>
      <c r="O762" s="15">
        <v>80621800</v>
      </c>
      <c r="P762" s="145">
        <v>3760873</v>
      </c>
      <c r="Q762" s="9"/>
      <c r="R762" s="146"/>
      <c r="T762" s="92" t="s">
        <v>4645</v>
      </c>
      <c r="U762">
        <v>1</v>
      </c>
      <c r="V762">
        <f>VLOOKUP(T762,'Data Angt'!$A$5:$F$5810,6,FALSE)</f>
        <v>44</v>
      </c>
      <c r="W762" s="5" t="str">
        <f t="shared" si="11"/>
        <v>KONSUMTIF</v>
      </c>
      <c r="X762" s="5" t="str">
        <f>VLOOKUP(T762,'Data Angt'!$A$5:$H$5810,8,FALSE)</f>
        <v>Karyawan</v>
      </c>
      <c r="Y762" s="5" t="str">
        <f>VLOOKUP(T762,'Data Angt'!$A$5:$C$5808,3,FALSE)</f>
        <v>KRK</v>
      </c>
    </row>
    <row r="763" spans="1:25" x14ac:dyDescent="0.3">
      <c r="A763" s="8">
        <v>757</v>
      </c>
      <c r="B763" s="9" t="s">
        <v>1594</v>
      </c>
      <c r="C763" s="10" t="str">
        <f>VLOOKUP(B763,'Data Angt'!$A$5:$B$5809,2,FALSE)</f>
        <v>A632</v>
      </c>
      <c r="D763" s="11" t="s">
        <v>9833</v>
      </c>
      <c r="E763" s="12" t="s">
        <v>22922</v>
      </c>
      <c r="F763" s="13">
        <v>45915</v>
      </c>
      <c r="G763" s="14">
        <v>45915</v>
      </c>
      <c r="H763" s="15">
        <v>20000000</v>
      </c>
      <c r="I763" s="16">
        <v>24</v>
      </c>
      <c r="J763" s="17">
        <v>24</v>
      </c>
      <c r="K763" s="9" t="s">
        <v>9831</v>
      </c>
      <c r="L763" s="10" t="s">
        <v>22923</v>
      </c>
      <c r="M763" s="9" t="s">
        <v>22924</v>
      </c>
      <c r="N763" s="10" t="s">
        <v>9834</v>
      </c>
      <c r="O763" s="15">
        <v>20000000</v>
      </c>
      <c r="P763" s="147">
        <v>0</v>
      </c>
      <c r="Q763" s="9"/>
      <c r="R763" s="146"/>
      <c r="T763" s="92" t="s">
        <v>4748</v>
      </c>
      <c r="U763">
        <v>2</v>
      </c>
      <c r="V763">
        <f>VLOOKUP(T763,'Data Angt'!$A$5:$F$5810,6,FALSE)</f>
        <v>43</v>
      </c>
      <c r="W763" s="5" t="str">
        <f t="shared" si="11"/>
        <v>PRODUKTIF</v>
      </c>
      <c r="X763" s="5" t="str">
        <f>VLOOKUP(T763,'Data Angt'!$A$5:$H$5810,8,FALSE)</f>
        <v>Karyawan</v>
      </c>
      <c r="Y763" s="5" t="str">
        <f>VLOOKUP(T763,'Data Angt'!$A$5:$C$5808,3,FALSE)</f>
        <v>KRK</v>
      </c>
    </row>
    <row r="764" spans="1:25" x14ac:dyDescent="0.3">
      <c r="A764" s="8">
        <v>758</v>
      </c>
      <c r="B764" s="9" t="s">
        <v>1892</v>
      </c>
      <c r="C764" s="10" t="str">
        <f>VLOOKUP(B764,'Data Angt'!$A$5:$B$5809,2,FALSE)</f>
        <v>A765</v>
      </c>
      <c r="D764" s="11" t="s">
        <v>9829</v>
      </c>
      <c r="E764" s="12" t="s">
        <v>10256</v>
      </c>
      <c r="F764" s="13">
        <v>39777</v>
      </c>
      <c r="G764" s="14">
        <v>42733</v>
      </c>
      <c r="H764" s="15">
        <v>100000000</v>
      </c>
      <c r="I764" s="16">
        <v>60</v>
      </c>
      <c r="J764" s="17">
        <v>21</v>
      </c>
      <c r="K764" s="9" t="s">
        <v>9827</v>
      </c>
      <c r="L764" s="10"/>
      <c r="M764" s="9"/>
      <c r="N764" s="10"/>
      <c r="O764" s="15">
        <v>88100000</v>
      </c>
      <c r="P764" s="145">
        <v>1321600</v>
      </c>
      <c r="Q764" s="9"/>
      <c r="R764" s="146"/>
      <c r="T764" s="92" t="s">
        <v>4752</v>
      </c>
      <c r="U764">
        <v>2</v>
      </c>
      <c r="V764">
        <f>VLOOKUP(T764,'Data Angt'!$A$5:$F$5810,6,FALSE)</f>
        <v>50</v>
      </c>
      <c r="W764" s="5" t="str">
        <f t="shared" si="11"/>
        <v>PENDIDIKAN</v>
      </c>
      <c r="X764" s="5" t="str">
        <f>VLOOKUP(T764,'Data Angt'!$A$5:$H$5810,8,FALSE)</f>
        <v>Wiraswasta</v>
      </c>
      <c r="Y764" s="5" t="str">
        <f>VLOOKUP(T764,'Data Angt'!$A$5:$C$5808,3,FALSE)</f>
        <v>KRK</v>
      </c>
    </row>
    <row r="765" spans="1:25" x14ac:dyDescent="0.3">
      <c r="A765" s="8">
        <v>759</v>
      </c>
      <c r="B765" s="9" t="s">
        <v>1940</v>
      </c>
      <c r="C765" s="10" t="str">
        <f>VLOOKUP(B765,'Data Angt'!$A$5:$B$5809,2,FALSE)</f>
        <v>A786</v>
      </c>
      <c r="D765" s="11" t="s">
        <v>9833</v>
      </c>
      <c r="E765" s="12" t="s">
        <v>10258</v>
      </c>
      <c r="F765" s="13">
        <v>44468</v>
      </c>
      <c r="G765" s="14">
        <v>45441</v>
      </c>
      <c r="H765" s="15">
        <v>200000000</v>
      </c>
      <c r="I765" s="16">
        <v>60</v>
      </c>
      <c r="J765" s="17">
        <v>21</v>
      </c>
      <c r="K765" s="9" t="s">
        <v>9827</v>
      </c>
      <c r="L765" s="10" t="s">
        <v>10259</v>
      </c>
      <c r="M765" s="9" t="s">
        <v>10260</v>
      </c>
      <c r="N765" s="10" t="s">
        <v>9834</v>
      </c>
      <c r="O765" s="15">
        <v>103331400</v>
      </c>
      <c r="P765" s="145">
        <v>29947270</v>
      </c>
      <c r="Q765" s="9" t="s">
        <v>22925</v>
      </c>
      <c r="R765" s="146" t="s">
        <v>22926</v>
      </c>
      <c r="T765" s="92" t="s">
        <v>4865</v>
      </c>
      <c r="U765">
        <v>1</v>
      </c>
      <c r="V765">
        <f>VLOOKUP(T765,'Data Angt'!$A$5:$F$5810,6,FALSE)</f>
        <v>61</v>
      </c>
      <c r="W765" s="5">
        <f t="shared" si="11"/>
        <v>0</v>
      </c>
      <c r="X765" s="5" t="str">
        <f>VLOOKUP(T765,'Data Angt'!$A$5:$H$5810,8,FALSE)</f>
        <v>Wiraswasta</v>
      </c>
      <c r="Y765" s="5" t="str">
        <f>VLOOKUP(T765,'Data Angt'!$A$5:$C$5808,3,FALSE)</f>
        <v>KRK</v>
      </c>
    </row>
    <row r="766" spans="1:25" x14ac:dyDescent="0.3">
      <c r="A766" s="8">
        <v>760</v>
      </c>
      <c r="B766" s="9" t="s">
        <v>2044</v>
      </c>
      <c r="C766" s="10" t="str">
        <f>VLOOKUP(B766,'Data Angt'!$A$5:$B$5809,2,FALSE)</f>
        <v>A840</v>
      </c>
      <c r="D766" s="11" t="s">
        <v>9833</v>
      </c>
      <c r="E766" s="12" t="s">
        <v>16454</v>
      </c>
      <c r="F766" s="13">
        <v>45575</v>
      </c>
      <c r="G766" s="14">
        <v>45902</v>
      </c>
      <c r="H766" s="15">
        <v>6000000</v>
      </c>
      <c r="I766" s="16">
        <v>24</v>
      </c>
      <c r="J766" s="17">
        <v>24</v>
      </c>
      <c r="K766" s="9" t="s">
        <v>9831</v>
      </c>
      <c r="L766" s="10" t="s">
        <v>16455</v>
      </c>
      <c r="M766" s="9" t="s">
        <v>16456</v>
      </c>
      <c r="N766" s="10" t="s">
        <v>9834</v>
      </c>
      <c r="O766" s="15">
        <v>3599800</v>
      </c>
      <c r="P766" s="145">
        <v>408785</v>
      </c>
      <c r="Q766" s="9"/>
      <c r="R766" s="146"/>
      <c r="T766" s="92" t="s">
        <v>4945</v>
      </c>
      <c r="U766">
        <v>1</v>
      </c>
      <c r="V766">
        <f>VLOOKUP(T766,'Data Angt'!$A$5:$F$5810,6,FALSE)</f>
        <v>39</v>
      </c>
      <c r="W766" s="5" t="str">
        <f t="shared" si="11"/>
        <v>KONSUMTIF</v>
      </c>
      <c r="X766" s="5" t="str">
        <f>VLOOKUP(T766,'Data Angt'!$A$5:$H$5810,8,FALSE)</f>
        <v>Wiraswasta</v>
      </c>
      <c r="Y766" s="5" t="str">
        <f>VLOOKUP(T766,'Data Angt'!$A$5:$C$5808,3,FALSE)</f>
        <v>KRK</v>
      </c>
    </row>
    <row r="767" spans="1:25" x14ac:dyDescent="0.3">
      <c r="A767" s="8">
        <v>761</v>
      </c>
      <c r="B767" s="9" t="s">
        <v>2103</v>
      </c>
      <c r="C767" s="10" t="str">
        <f>VLOOKUP(B767,'Data Angt'!$A$5:$B$5809,2,FALSE)</f>
        <v>A864</v>
      </c>
      <c r="D767" s="11" t="s">
        <v>9833</v>
      </c>
      <c r="E767" s="12" t="s">
        <v>16457</v>
      </c>
      <c r="F767" s="13">
        <v>45447</v>
      </c>
      <c r="G767" s="14">
        <v>45908</v>
      </c>
      <c r="H767" s="15">
        <v>15000000</v>
      </c>
      <c r="I767" s="16">
        <v>36</v>
      </c>
      <c r="J767" s="17">
        <v>11.4</v>
      </c>
      <c r="K767" s="9" t="s">
        <v>9831</v>
      </c>
      <c r="L767" s="10" t="s">
        <v>16458</v>
      </c>
      <c r="M767" s="9" t="s">
        <v>16459</v>
      </c>
      <c r="N767" s="10" t="s">
        <v>9834</v>
      </c>
      <c r="O767" s="15">
        <v>9362500</v>
      </c>
      <c r="P767" s="145">
        <v>664684</v>
      </c>
      <c r="Q767" s="9"/>
      <c r="R767" s="146"/>
      <c r="T767" s="92" t="s">
        <v>5105</v>
      </c>
      <c r="U767">
        <v>1</v>
      </c>
      <c r="V767">
        <f>VLOOKUP(T767,'Data Angt'!$A$5:$F$5810,6,FALSE)</f>
        <v>46</v>
      </c>
      <c r="W767" s="5" t="str">
        <f t="shared" si="11"/>
        <v>KONSUMTIF</v>
      </c>
      <c r="X767" s="5" t="str">
        <f>VLOOKUP(T767,'Data Angt'!$A$5:$H$5810,8,FALSE)</f>
        <v>Karyawan</v>
      </c>
      <c r="Y767" s="5" t="str">
        <f>VLOOKUP(T767,'Data Angt'!$A$5:$C$5808,3,FALSE)</f>
        <v>KRK</v>
      </c>
    </row>
    <row r="768" spans="1:25" x14ac:dyDescent="0.3">
      <c r="A768" s="8">
        <v>762</v>
      </c>
      <c r="B768" s="9" t="s">
        <v>2103</v>
      </c>
      <c r="C768" s="10" t="str">
        <f>VLOOKUP(B768,'Data Angt'!$A$5:$B$5809,2,FALSE)</f>
        <v>A864</v>
      </c>
      <c r="D768" s="11" t="s">
        <v>9829</v>
      </c>
      <c r="E768" s="12" t="s">
        <v>16460</v>
      </c>
      <c r="F768" s="13">
        <v>45639</v>
      </c>
      <c r="G768" s="14">
        <v>45913</v>
      </c>
      <c r="H768" s="15">
        <v>65000000</v>
      </c>
      <c r="I768" s="16">
        <v>48</v>
      </c>
      <c r="J768" s="17">
        <v>21</v>
      </c>
      <c r="K768" s="9" t="s">
        <v>9831</v>
      </c>
      <c r="L768" s="10" t="s">
        <v>16461</v>
      </c>
      <c r="M768" s="9" t="s">
        <v>16462</v>
      </c>
      <c r="N768" s="10" t="s">
        <v>110</v>
      </c>
      <c r="O768" s="15">
        <v>56548000</v>
      </c>
      <c r="P768" s="145">
        <v>3623698</v>
      </c>
      <c r="Q768" s="9" t="s">
        <v>22927</v>
      </c>
      <c r="R768" s="146" t="s">
        <v>22928</v>
      </c>
      <c r="T768" s="92" t="s">
        <v>5323</v>
      </c>
      <c r="U768">
        <v>1</v>
      </c>
      <c r="V768">
        <f>VLOOKUP(T768,'Data Angt'!$A$5:$F$5810,6,FALSE)</f>
        <v>44</v>
      </c>
      <c r="W768" s="5" t="str">
        <f t="shared" si="11"/>
        <v>PRODUKTIF</v>
      </c>
      <c r="X768" s="5" t="str">
        <f>VLOOKUP(T768,'Data Angt'!$A$5:$H$5810,8,FALSE)</f>
        <v>Wiraswasta</v>
      </c>
      <c r="Y768" s="5" t="str">
        <f>VLOOKUP(T768,'Data Angt'!$A$5:$C$5808,3,FALSE)</f>
        <v>KRK</v>
      </c>
    </row>
    <row r="769" spans="1:25" x14ac:dyDescent="0.3">
      <c r="A769" s="8">
        <v>763</v>
      </c>
      <c r="B769" s="9" t="s">
        <v>2116</v>
      </c>
      <c r="C769" s="10" t="str">
        <f>VLOOKUP(B769,'Data Angt'!$A$5:$B$5809,2,FALSE)</f>
        <v>A870</v>
      </c>
      <c r="D769" s="11" t="s">
        <v>9833</v>
      </c>
      <c r="E769" s="12" t="s">
        <v>16463</v>
      </c>
      <c r="F769" s="13">
        <v>45770</v>
      </c>
      <c r="G769" s="14">
        <v>45925</v>
      </c>
      <c r="H769" s="15">
        <v>49000000</v>
      </c>
      <c r="I769" s="16">
        <v>48</v>
      </c>
      <c r="J769" s="17">
        <v>21</v>
      </c>
      <c r="K769" s="9" t="s">
        <v>9831</v>
      </c>
      <c r="L769" s="10" t="s">
        <v>16464</v>
      </c>
      <c r="M769" s="9" t="s">
        <v>16465</v>
      </c>
      <c r="N769" s="10" t="s">
        <v>9834</v>
      </c>
      <c r="O769" s="15">
        <v>45583200</v>
      </c>
      <c r="P769" s="145">
        <v>1563823</v>
      </c>
      <c r="Q769" s="9" t="s">
        <v>22910</v>
      </c>
      <c r="R769" s="146" t="s">
        <v>22929</v>
      </c>
      <c r="T769" s="92" t="s">
        <v>5413</v>
      </c>
      <c r="U769">
        <v>1</v>
      </c>
      <c r="V769">
        <f>VLOOKUP(T769,'Data Angt'!$A$5:$F$5810,6,FALSE)</f>
        <v>47</v>
      </c>
      <c r="W769" s="5" t="str">
        <f t="shared" si="11"/>
        <v>PRODUKTIF</v>
      </c>
      <c r="X769" s="5" t="str">
        <f>VLOOKUP(T769,'Data Angt'!$A$5:$H$5810,8,FALSE)</f>
        <v>Wiraswasta</v>
      </c>
      <c r="Y769" s="5" t="str">
        <f>VLOOKUP(T769,'Data Angt'!$A$5:$C$5808,3,FALSE)</f>
        <v>KRK</v>
      </c>
    </row>
    <row r="770" spans="1:25" x14ac:dyDescent="0.3">
      <c r="A770" s="8">
        <v>764</v>
      </c>
      <c r="B770" s="9" t="s">
        <v>2376</v>
      </c>
      <c r="C770" s="10" t="str">
        <f>VLOOKUP(B770,'Data Angt'!$A$5:$B$5809,2,FALSE)</f>
        <v>A988</v>
      </c>
      <c r="D770" s="11" t="s">
        <v>9833</v>
      </c>
      <c r="E770" s="12" t="s">
        <v>10261</v>
      </c>
      <c r="F770" s="13">
        <v>43728</v>
      </c>
      <c r="G770" s="14">
        <v>44804</v>
      </c>
      <c r="H770" s="15">
        <v>125000000</v>
      </c>
      <c r="I770" s="16">
        <v>48</v>
      </c>
      <c r="J770" s="17">
        <v>21</v>
      </c>
      <c r="K770" s="9" t="s">
        <v>9831</v>
      </c>
      <c r="L770" s="10" t="s">
        <v>10262</v>
      </c>
      <c r="M770" s="9" t="s">
        <v>10263</v>
      </c>
      <c r="N770" s="10" t="s">
        <v>9834</v>
      </c>
      <c r="O770" s="15">
        <v>108745700</v>
      </c>
      <c r="P770" s="145">
        <v>23463852</v>
      </c>
      <c r="Q770" s="9" t="s">
        <v>22930</v>
      </c>
      <c r="R770" s="146" t="s">
        <v>22931</v>
      </c>
      <c r="T770" s="92" t="s">
        <v>5439</v>
      </c>
      <c r="U770">
        <v>1</v>
      </c>
      <c r="V770">
        <f>VLOOKUP(T770,'Data Angt'!$A$5:$F$5810,6,FALSE)</f>
        <v>38</v>
      </c>
      <c r="W770" s="5" t="str">
        <f t="shared" si="11"/>
        <v>KONSUMTIF</v>
      </c>
      <c r="X770" s="5" t="str">
        <f>VLOOKUP(T770,'Data Angt'!$A$5:$H$5810,8,FALSE)</f>
        <v>Tenaga Pengajar</v>
      </c>
      <c r="Y770" s="5" t="str">
        <f>VLOOKUP(T770,'Data Angt'!$A$5:$C$5808,3,FALSE)</f>
        <v>KRK</v>
      </c>
    </row>
    <row r="771" spans="1:25" x14ac:dyDescent="0.3">
      <c r="A771" s="8">
        <v>765</v>
      </c>
      <c r="B771" s="9" t="s">
        <v>2395</v>
      </c>
      <c r="C771" s="10" t="str">
        <f>VLOOKUP(B771,'Data Angt'!$A$5:$B$5809,2,FALSE)</f>
        <v>A997</v>
      </c>
      <c r="D771" s="11" t="s">
        <v>9842</v>
      </c>
      <c r="E771" s="12" t="s">
        <v>16466</v>
      </c>
      <c r="F771" s="13">
        <v>45680</v>
      </c>
      <c r="G771" s="14">
        <v>45925</v>
      </c>
      <c r="H771" s="15">
        <v>500000000</v>
      </c>
      <c r="I771" s="16">
        <v>24</v>
      </c>
      <c r="J771" s="17">
        <v>11.4</v>
      </c>
      <c r="K771" s="9" t="s">
        <v>9831</v>
      </c>
      <c r="L771" s="10" t="s">
        <v>16467</v>
      </c>
      <c r="M771" s="9" t="s">
        <v>16468</v>
      </c>
      <c r="N771" s="10" t="s">
        <v>9830</v>
      </c>
      <c r="O771" s="15">
        <v>345769600</v>
      </c>
      <c r="P771" s="145">
        <v>12354297</v>
      </c>
      <c r="Q771" s="9" t="s">
        <v>22932</v>
      </c>
      <c r="R771" s="146" t="s">
        <v>22933</v>
      </c>
      <c r="T771" s="92" t="s">
        <v>5532</v>
      </c>
      <c r="U771">
        <v>1</v>
      </c>
      <c r="V771">
        <f>VLOOKUP(T771,'Data Angt'!$A$5:$F$5810,6,FALSE)</f>
        <v>39</v>
      </c>
      <c r="W771" s="5" t="str">
        <f t="shared" si="11"/>
        <v>PRODUKTIF</v>
      </c>
      <c r="X771" s="5" t="str">
        <f>VLOOKUP(T771,'Data Angt'!$A$5:$H$5810,8,FALSE)</f>
        <v>Tenaga Pengajar</v>
      </c>
      <c r="Y771" s="5" t="str">
        <f>VLOOKUP(T771,'Data Angt'!$A$5:$C$5808,3,FALSE)</f>
        <v>KRK</v>
      </c>
    </row>
    <row r="772" spans="1:25" x14ac:dyDescent="0.3">
      <c r="A772" s="8">
        <v>766</v>
      </c>
      <c r="B772" s="9" t="s">
        <v>2408</v>
      </c>
      <c r="C772" s="10" t="str">
        <f>VLOOKUP(B772,'Data Angt'!$A$5:$B$5809,2,FALSE)</f>
        <v>A1003</v>
      </c>
      <c r="D772" s="11" t="s">
        <v>10089</v>
      </c>
      <c r="E772" s="12" t="s">
        <v>10264</v>
      </c>
      <c r="F772" s="13">
        <v>42527</v>
      </c>
      <c r="G772" s="14">
        <v>44253</v>
      </c>
      <c r="H772" s="15">
        <v>35000000</v>
      </c>
      <c r="I772" s="16">
        <v>6</v>
      </c>
      <c r="J772" s="17">
        <v>21</v>
      </c>
      <c r="K772" s="9" t="s">
        <v>9827</v>
      </c>
      <c r="L772" s="10"/>
      <c r="M772" s="9"/>
      <c r="N772" s="10"/>
      <c r="O772" s="15">
        <v>4000000</v>
      </c>
      <c r="P772" s="145">
        <v>4234197</v>
      </c>
      <c r="Q772" s="9"/>
      <c r="R772" s="146"/>
      <c r="T772" s="92" t="s">
        <v>5579</v>
      </c>
      <c r="U772">
        <v>1</v>
      </c>
      <c r="V772">
        <f>VLOOKUP(T772,'Data Angt'!$A$5:$F$5810,6,FALSE)</f>
        <v>34</v>
      </c>
      <c r="W772" s="5" t="str">
        <f t="shared" si="11"/>
        <v>KONSUMTIF</v>
      </c>
      <c r="X772" s="5" t="str">
        <f>VLOOKUP(T772,'Data Angt'!$A$5:$H$5810,8,FALSE)</f>
        <v>Tenaga Pengajar</v>
      </c>
      <c r="Y772" s="5" t="str">
        <f>VLOOKUP(T772,'Data Angt'!$A$5:$C$5808,3,FALSE)</f>
        <v>KRK</v>
      </c>
    </row>
    <row r="773" spans="1:25" x14ac:dyDescent="0.3">
      <c r="A773" s="8">
        <v>767</v>
      </c>
      <c r="B773" s="9" t="s">
        <v>2420</v>
      </c>
      <c r="C773" s="10" t="str">
        <f>VLOOKUP(B773,'Data Angt'!$A$5:$B$5809,2,FALSE)</f>
        <v>A1007</v>
      </c>
      <c r="D773" s="11" t="s">
        <v>9833</v>
      </c>
      <c r="E773" s="12" t="s">
        <v>10265</v>
      </c>
      <c r="F773" s="13">
        <v>44578</v>
      </c>
      <c r="G773" s="14">
        <v>45929</v>
      </c>
      <c r="H773" s="15">
        <v>200000000</v>
      </c>
      <c r="I773" s="16">
        <v>48</v>
      </c>
      <c r="J773" s="17">
        <v>21</v>
      </c>
      <c r="K773" s="9" t="s">
        <v>9831</v>
      </c>
      <c r="L773" s="10" t="s">
        <v>10266</v>
      </c>
      <c r="M773" s="9" t="s">
        <v>10267</v>
      </c>
      <c r="N773" s="10" t="s">
        <v>9834</v>
      </c>
      <c r="O773" s="15">
        <v>23724700</v>
      </c>
      <c r="P773" s="145">
        <v>36084552</v>
      </c>
      <c r="Q773" s="9"/>
      <c r="R773" s="146"/>
      <c r="T773" s="92" t="s">
        <v>5588</v>
      </c>
      <c r="U773">
        <v>1</v>
      </c>
      <c r="V773">
        <f>VLOOKUP(T773,'Data Angt'!$A$5:$F$5810,6,FALSE)</f>
        <v>39</v>
      </c>
      <c r="W773" s="5" t="str">
        <f t="shared" si="11"/>
        <v>KONSUMTIF</v>
      </c>
      <c r="X773" s="5" t="str">
        <f>VLOOKUP(T773,'Data Angt'!$A$5:$H$5810,8,FALSE)</f>
        <v>Karyawan</v>
      </c>
      <c r="Y773" s="5" t="str">
        <f>VLOOKUP(T773,'Data Angt'!$A$5:$C$5808,3,FALSE)</f>
        <v>KRK</v>
      </c>
    </row>
    <row r="774" spans="1:25" x14ac:dyDescent="0.3">
      <c r="A774" s="8">
        <v>768</v>
      </c>
      <c r="B774" s="9" t="s">
        <v>2637</v>
      </c>
      <c r="C774" s="10" t="str">
        <f>VLOOKUP(B774,'Data Angt'!$A$5:$B$5809,2,FALSE)</f>
        <v>A1103</v>
      </c>
      <c r="D774" s="11" t="s">
        <v>9826</v>
      </c>
      <c r="E774" s="12" t="s">
        <v>16472</v>
      </c>
      <c r="F774" s="13">
        <v>45567</v>
      </c>
      <c r="G774" s="14">
        <v>45903</v>
      </c>
      <c r="H774" s="15">
        <v>5000000</v>
      </c>
      <c r="I774" s="16">
        <v>12</v>
      </c>
      <c r="J774" s="17">
        <v>24</v>
      </c>
      <c r="K774" s="9" t="s">
        <v>9831</v>
      </c>
      <c r="L774" s="10" t="s">
        <v>16473</v>
      </c>
      <c r="M774" s="9" t="s">
        <v>16456</v>
      </c>
      <c r="N774" s="10" t="s">
        <v>9834</v>
      </c>
      <c r="O774" s="15">
        <v>464000</v>
      </c>
      <c r="P774" s="145">
        <v>249298</v>
      </c>
      <c r="Q774" s="9"/>
      <c r="R774" s="146"/>
      <c r="T774" s="92" t="s">
        <v>5666</v>
      </c>
      <c r="U774">
        <v>1</v>
      </c>
      <c r="V774">
        <f>VLOOKUP(T774,'Data Angt'!$A$5:$F$5810,6,FALSE)</f>
        <v>43</v>
      </c>
      <c r="W774" s="5" t="str">
        <f t="shared" si="11"/>
        <v>PENDIDIKAN</v>
      </c>
      <c r="X774" s="5" t="str">
        <f>VLOOKUP(T774,'Data Angt'!$A$5:$H$5810,8,FALSE)</f>
        <v>Karyawan</v>
      </c>
      <c r="Y774" s="5" t="str">
        <f>VLOOKUP(T774,'Data Angt'!$A$5:$C$5808,3,FALSE)</f>
        <v>KRK</v>
      </c>
    </row>
    <row r="775" spans="1:25" x14ac:dyDescent="0.3">
      <c r="A775" s="8">
        <v>769</v>
      </c>
      <c r="B775" s="9" t="s">
        <v>2637</v>
      </c>
      <c r="C775" s="10" t="str">
        <f>VLOOKUP(B775,'Data Angt'!$A$5:$B$5809,2,FALSE)</f>
        <v>A1103</v>
      </c>
      <c r="D775" s="11" t="s">
        <v>9829</v>
      </c>
      <c r="E775" s="12" t="s">
        <v>16469</v>
      </c>
      <c r="F775" s="13">
        <v>45358</v>
      </c>
      <c r="G775" s="14">
        <v>45903</v>
      </c>
      <c r="H775" s="15">
        <v>30000000</v>
      </c>
      <c r="I775" s="16">
        <v>36</v>
      </c>
      <c r="J775" s="17">
        <v>21</v>
      </c>
      <c r="K775" s="9" t="s">
        <v>9831</v>
      </c>
      <c r="L775" s="10" t="s">
        <v>16470</v>
      </c>
      <c r="M775" s="9" t="s">
        <v>16471</v>
      </c>
      <c r="N775" s="10" t="s">
        <v>9828</v>
      </c>
      <c r="O775" s="15">
        <v>17323400</v>
      </c>
      <c r="P775" s="145">
        <v>2875796</v>
      </c>
      <c r="Q775" s="9" t="s">
        <v>22934</v>
      </c>
      <c r="R775" s="146" t="s">
        <v>22935</v>
      </c>
      <c r="T775" s="92" t="s">
        <v>5955</v>
      </c>
      <c r="U775">
        <v>1</v>
      </c>
      <c r="V775">
        <f>VLOOKUP(T775,'Data Angt'!$A$5:$F$5810,6,FALSE)</f>
        <v>48</v>
      </c>
      <c r="W775" s="5" t="str">
        <f t="shared" ref="W775:W838" si="12">VLOOKUP(T775,$B$7:$N$1869,13,FALSE)</f>
        <v>PRODUKTIF</v>
      </c>
      <c r="X775" s="5" t="str">
        <f>VLOOKUP(T775,'Data Angt'!$A$5:$H$5810,8,FALSE)</f>
        <v>Karyawan</v>
      </c>
      <c r="Y775" s="5" t="str">
        <f>VLOOKUP(T775,'Data Angt'!$A$5:$C$5808,3,FALSE)</f>
        <v>KRK</v>
      </c>
    </row>
    <row r="776" spans="1:25" x14ac:dyDescent="0.3">
      <c r="A776" s="8">
        <v>770</v>
      </c>
      <c r="B776" s="9" t="s">
        <v>2650</v>
      </c>
      <c r="C776" s="10" t="str">
        <f>VLOOKUP(B776,'Data Angt'!$A$5:$B$5809,2,FALSE)</f>
        <v>A1108</v>
      </c>
      <c r="D776" s="11" t="s">
        <v>9833</v>
      </c>
      <c r="E776" s="12" t="s">
        <v>16474</v>
      </c>
      <c r="F776" s="13">
        <v>45720</v>
      </c>
      <c r="G776" s="14">
        <v>45902</v>
      </c>
      <c r="H776" s="15">
        <v>10000000</v>
      </c>
      <c r="I776" s="16">
        <v>12</v>
      </c>
      <c r="J776" s="17">
        <v>24</v>
      </c>
      <c r="K776" s="9" t="s">
        <v>9831</v>
      </c>
      <c r="L776" s="10" t="s">
        <v>16475</v>
      </c>
      <c r="M776" s="9"/>
      <c r="N776" s="10"/>
      <c r="O776" s="15">
        <v>5296800</v>
      </c>
      <c r="P776" s="145">
        <v>363899</v>
      </c>
      <c r="Q776" s="9" t="s">
        <v>22254</v>
      </c>
      <c r="R776" s="146" t="s">
        <v>22936</v>
      </c>
      <c r="T776" s="92" t="s">
        <v>5960</v>
      </c>
      <c r="U776">
        <v>1</v>
      </c>
      <c r="V776">
        <f>VLOOKUP(T776,'Data Angt'!$A$5:$F$5810,6,FALSE)</f>
        <v>59</v>
      </c>
      <c r="W776" s="5" t="str">
        <f t="shared" si="12"/>
        <v>KESEJAHTERAAN</v>
      </c>
      <c r="X776" s="5" t="str">
        <f>VLOOKUP(T776,'Data Angt'!$A$5:$H$5810,8,FALSE)</f>
        <v>Wiraswasta</v>
      </c>
      <c r="Y776" s="5" t="str">
        <f>VLOOKUP(T776,'Data Angt'!$A$5:$C$5808,3,FALSE)</f>
        <v>KRK</v>
      </c>
    </row>
    <row r="777" spans="1:25" x14ac:dyDescent="0.3">
      <c r="A777" s="8">
        <v>771</v>
      </c>
      <c r="B777" s="9" t="s">
        <v>2650</v>
      </c>
      <c r="C777" s="10" t="str">
        <f>VLOOKUP(B777,'Data Angt'!$A$5:$B$5809,2,FALSE)</f>
        <v>A1108</v>
      </c>
      <c r="D777" s="11" t="s">
        <v>9826</v>
      </c>
      <c r="E777" s="12" t="s">
        <v>16476</v>
      </c>
      <c r="F777" s="13">
        <v>45811</v>
      </c>
      <c r="G777" s="14">
        <v>45902</v>
      </c>
      <c r="H777" s="15">
        <v>5000000</v>
      </c>
      <c r="I777" s="16">
        <v>10</v>
      </c>
      <c r="J777" s="17">
        <v>24</v>
      </c>
      <c r="K777" s="9" t="s">
        <v>9831</v>
      </c>
      <c r="L777" s="10" t="s">
        <v>16477</v>
      </c>
      <c r="M777" s="9" t="s">
        <v>9862</v>
      </c>
      <c r="N777" s="10" t="s">
        <v>9834</v>
      </c>
      <c r="O777" s="15">
        <v>3602400</v>
      </c>
      <c r="P777" s="145">
        <v>102187</v>
      </c>
      <c r="Q777" s="9"/>
      <c r="R777" s="146"/>
      <c r="T777" s="92" t="s">
        <v>6053</v>
      </c>
      <c r="U777">
        <v>1</v>
      </c>
      <c r="V777">
        <f>VLOOKUP(T777,'Data Angt'!$A$5:$F$5810,6,FALSE)</f>
        <v>39</v>
      </c>
      <c r="W777" s="5">
        <f t="shared" si="12"/>
        <v>0</v>
      </c>
      <c r="X777" s="5" t="str">
        <f>VLOOKUP(T777,'Data Angt'!$A$5:$H$5810,8,FALSE)</f>
        <v>Karyawan</v>
      </c>
      <c r="Y777" s="5" t="str">
        <f>VLOOKUP(T777,'Data Angt'!$A$5:$C$5808,3,FALSE)</f>
        <v>KRK</v>
      </c>
    </row>
    <row r="778" spans="1:25" x14ac:dyDescent="0.3">
      <c r="A778" s="8">
        <v>772</v>
      </c>
      <c r="B778" s="9" t="s">
        <v>2654</v>
      </c>
      <c r="C778" s="10" t="str">
        <f>VLOOKUP(B778,'Data Angt'!$A$5:$B$5809,2,FALSE)</f>
        <v>A1110</v>
      </c>
      <c r="D778" s="11" t="s">
        <v>9829</v>
      </c>
      <c r="E778" s="12" t="s">
        <v>22937</v>
      </c>
      <c r="F778" s="13">
        <v>45850</v>
      </c>
      <c r="G778" s="14">
        <v>45912</v>
      </c>
      <c r="H778" s="15">
        <v>3000000</v>
      </c>
      <c r="I778" s="16">
        <v>12</v>
      </c>
      <c r="J778" s="17">
        <v>24</v>
      </c>
      <c r="K778" s="9" t="s">
        <v>9831</v>
      </c>
      <c r="L778" s="10" t="s">
        <v>22938</v>
      </c>
      <c r="M778" s="9" t="s">
        <v>22411</v>
      </c>
      <c r="N778" s="10" t="s">
        <v>17</v>
      </c>
      <c r="O778" s="15">
        <v>2548200</v>
      </c>
      <c r="P778" s="145">
        <v>43350</v>
      </c>
      <c r="Q778" s="9"/>
      <c r="R778" s="146"/>
      <c r="T778" s="92" t="s">
        <v>6095</v>
      </c>
      <c r="U778">
        <v>1</v>
      </c>
      <c r="V778">
        <f>VLOOKUP(T778,'Data Angt'!$A$5:$F$5810,6,FALSE)</f>
        <v>42</v>
      </c>
      <c r="W778" s="5" t="str">
        <f t="shared" si="12"/>
        <v>KONSUMTIF</v>
      </c>
      <c r="X778" s="5" t="str">
        <f>VLOOKUP(T778,'Data Angt'!$A$5:$H$5810,8,FALSE)</f>
        <v>Karyawan</v>
      </c>
      <c r="Y778" s="5" t="str">
        <f>VLOOKUP(T778,'Data Angt'!$A$5:$C$5808,3,FALSE)</f>
        <v>KRK</v>
      </c>
    </row>
    <row r="779" spans="1:25" x14ac:dyDescent="0.3">
      <c r="A779" s="8">
        <v>773</v>
      </c>
      <c r="B779" s="9" t="s">
        <v>2750</v>
      </c>
      <c r="C779" s="10" t="str">
        <f>VLOOKUP(B779,'Data Angt'!$A$5:$B$5809,2,FALSE)</f>
        <v>A1153</v>
      </c>
      <c r="D779" s="11" t="s">
        <v>9829</v>
      </c>
      <c r="E779" s="12" t="s">
        <v>16478</v>
      </c>
      <c r="F779" s="13">
        <v>45342</v>
      </c>
      <c r="G779" s="14">
        <v>45920</v>
      </c>
      <c r="H779" s="15">
        <v>9000000</v>
      </c>
      <c r="I779" s="16">
        <v>36</v>
      </c>
      <c r="J779" s="17">
        <v>11.4</v>
      </c>
      <c r="K779" s="9" t="s">
        <v>9831</v>
      </c>
      <c r="L779" s="10" t="s">
        <v>16479</v>
      </c>
      <c r="M779" s="9" t="s">
        <v>9861</v>
      </c>
      <c r="N779" s="10" t="s">
        <v>9828</v>
      </c>
      <c r="O779" s="15">
        <v>4631800</v>
      </c>
      <c r="P779" s="145">
        <v>473771</v>
      </c>
      <c r="Q779" s="9"/>
      <c r="R779" s="146"/>
      <c r="T779" s="92" t="s">
        <v>6100</v>
      </c>
      <c r="U779">
        <v>1</v>
      </c>
      <c r="V779">
        <f>VLOOKUP(T779,'Data Angt'!$A$5:$F$5810,6,FALSE)</f>
        <v>45</v>
      </c>
      <c r="W779" s="5" t="str">
        <f t="shared" si="12"/>
        <v>KONSUMTIF</v>
      </c>
      <c r="X779" s="5" t="str">
        <f>VLOOKUP(T779,'Data Angt'!$A$5:$H$5810,8,FALSE)</f>
        <v>Wiraswasta</v>
      </c>
      <c r="Y779" s="5" t="str">
        <f>VLOOKUP(T779,'Data Angt'!$A$5:$C$5808,3,FALSE)</f>
        <v>KRK</v>
      </c>
    </row>
    <row r="780" spans="1:25" x14ac:dyDescent="0.3">
      <c r="A780" s="8">
        <v>774</v>
      </c>
      <c r="B780" s="9" t="s">
        <v>12229</v>
      </c>
      <c r="C780" s="10" t="str">
        <f>VLOOKUP(B780,'Data Angt'!$A$5:$B$5809,2,FALSE)</f>
        <v>A1159</v>
      </c>
      <c r="D780" s="11" t="s">
        <v>9829</v>
      </c>
      <c r="E780" s="12" t="s">
        <v>16480</v>
      </c>
      <c r="F780" s="13">
        <v>45488</v>
      </c>
      <c r="G780" s="14">
        <v>45919</v>
      </c>
      <c r="H780" s="15">
        <v>5000000</v>
      </c>
      <c r="I780" s="16">
        <v>24</v>
      </c>
      <c r="J780" s="17">
        <v>11.64</v>
      </c>
      <c r="K780" s="9" t="s">
        <v>9831</v>
      </c>
      <c r="L780" s="10" t="s">
        <v>16481</v>
      </c>
      <c r="M780" s="9" t="s">
        <v>9990</v>
      </c>
      <c r="N780" s="10" t="s">
        <v>17</v>
      </c>
      <c r="O780" s="15">
        <v>2224400</v>
      </c>
      <c r="P780" s="145">
        <v>190794</v>
      </c>
      <c r="Q780" s="9"/>
      <c r="R780" s="146"/>
      <c r="T780" s="92" t="s">
        <v>6192</v>
      </c>
      <c r="U780">
        <v>2</v>
      </c>
      <c r="V780">
        <f>VLOOKUP(T780,'Data Angt'!$A$5:$F$5810,6,FALSE)</f>
        <v>45</v>
      </c>
      <c r="W780" s="5" t="str">
        <f t="shared" si="12"/>
        <v>KESEJAHTERAAN</v>
      </c>
      <c r="X780" s="5" t="str">
        <f>VLOOKUP(T780,'Data Angt'!$A$5:$H$5810,8,FALSE)</f>
        <v>Tenaga Medis</v>
      </c>
      <c r="Y780" s="5" t="str">
        <f>VLOOKUP(T780,'Data Angt'!$A$5:$C$5808,3,FALSE)</f>
        <v>KRK</v>
      </c>
    </row>
    <row r="781" spans="1:25" x14ac:dyDescent="0.3">
      <c r="A781" s="8">
        <v>775</v>
      </c>
      <c r="B781" s="9" t="s">
        <v>2782</v>
      </c>
      <c r="C781" s="10" t="str">
        <f>VLOOKUP(B781,'Data Angt'!$A$5:$B$5809,2,FALSE)</f>
        <v>A1169</v>
      </c>
      <c r="D781" s="11" t="s">
        <v>9833</v>
      </c>
      <c r="E781" s="12" t="s">
        <v>10269</v>
      </c>
      <c r="F781" s="13">
        <v>43595</v>
      </c>
      <c r="G781" s="14">
        <v>45624</v>
      </c>
      <c r="H781" s="15">
        <v>44500000</v>
      </c>
      <c r="I781" s="16">
        <v>60</v>
      </c>
      <c r="J781" s="17">
        <v>21</v>
      </c>
      <c r="K781" s="9" t="s">
        <v>9831</v>
      </c>
      <c r="L781" s="10" t="s">
        <v>10270</v>
      </c>
      <c r="M781" s="9" t="s">
        <v>9839</v>
      </c>
      <c r="N781" s="10" t="s">
        <v>9834</v>
      </c>
      <c r="O781" s="15">
        <v>31310600</v>
      </c>
      <c r="P781" s="145">
        <v>6602660</v>
      </c>
      <c r="Q781" s="9" t="s">
        <v>22646</v>
      </c>
      <c r="R781" s="146" t="s">
        <v>22939</v>
      </c>
      <c r="T781" s="92" t="s">
        <v>6231</v>
      </c>
      <c r="U781">
        <v>2</v>
      </c>
      <c r="V781">
        <f>VLOOKUP(T781,'Data Angt'!$A$5:$F$5810,6,FALSE)</f>
        <v>32</v>
      </c>
      <c r="W781" s="5" t="str">
        <f t="shared" si="12"/>
        <v>KONSUMTIF</v>
      </c>
      <c r="X781" s="5" t="str">
        <f>VLOOKUP(T781,'Data Angt'!$A$5:$H$5810,8,FALSE)</f>
        <v>Karyawan</v>
      </c>
      <c r="Y781" s="5" t="str">
        <f>VLOOKUP(T781,'Data Angt'!$A$5:$C$5808,3,FALSE)</f>
        <v>KRK</v>
      </c>
    </row>
    <row r="782" spans="1:25" x14ac:dyDescent="0.3">
      <c r="A782" s="8">
        <v>776</v>
      </c>
      <c r="B782" s="9" t="s">
        <v>2789</v>
      </c>
      <c r="C782" s="10" t="str">
        <f>VLOOKUP(B782,'Data Angt'!$A$5:$B$5809,2,FALSE)</f>
        <v>A1172</v>
      </c>
      <c r="D782" s="11" t="s">
        <v>9833</v>
      </c>
      <c r="E782" s="12" t="s">
        <v>16482</v>
      </c>
      <c r="F782" s="13">
        <v>45780</v>
      </c>
      <c r="G782" s="14">
        <v>45903</v>
      </c>
      <c r="H782" s="15">
        <v>15000000</v>
      </c>
      <c r="I782" s="16">
        <v>24</v>
      </c>
      <c r="J782" s="17">
        <v>24</v>
      </c>
      <c r="K782" s="9" t="s">
        <v>9827</v>
      </c>
      <c r="L782" s="10" t="s">
        <v>16483</v>
      </c>
      <c r="M782" s="9" t="s">
        <v>9862</v>
      </c>
      <c r="N782" s="10" t="s">
        <v>9834</v>
      </c>
      <c r="O782" s="15">
        <v>12500000</v>
      </c>
      <c r="P782" s="145">
        <v>421874</v>
      </c>
      <c r="Q782" s="9" t="s">
        <v>22901</v>
      </c>
      <c r="R782" s="146" t="s">
        <v>22940</v>
      </c>
      <c r="T782" s="92" t="s">
        <v>6337</v>
      </c>
      <c r="U782">
        <v>1</v>
      </c>
      <c r="V782">
        <f>VLOOKUP(T782,'Data Angt'!$A$5:$F$5810,6,FALSE)</f>
        <v>58</v>
      </c>
      <c r="W782" s="5" t="str">
        <f t="shared" si="12"/>
        <v>PRODUKTIF</v>
      </c>
      <c r="X782" s="5" t="str">
        <f>VLOOKUP(T782,'Data Angt'!$A$5:$H$5810,8,FALSE)</f>
        <v>Karyawan</v>
      </c>
      <c r="Y782" s="5" t="str">
        <f>VLOOKUP(T782,'Data Angt'!$A$5:$C$5808,3,FALSE)</f>
        <v>KRK</v>
      </c>
    </row>
    <row r="783" spans="1:25" x14ac:dyDescent="0.3">
      <c r="A783" s="8">
        <v>777</v>
      </c>
      <c r="B783" s="9" t="s">
        <v>2945</v>
      </c>
      <c r="C783" s="10" t="str">
        <f>VLOOKUP(B783,'Data Angt'!$A$5:$B$5809,2,FALSE)</f>
        <v>A1245</v>
      </c>
      <c r="D783" s="11" t="s">
        <v>9833</v>
      </c>
      <c r="E783" s="12" t="s">
        <v>10271</v>
      </c>
      <c r="F783" s="13">
        <v>43675</v>
      </c>
      <c r="G783" s="14">
        <v>44680</v>
      </c>
      <c r="H783" s="15">
        <v>125000000</v>
      </c>
      <c r="I783" s="16">
        <v>48</v>
      </c>
      <c r="J783" s="17">
        <v>21</v>
      </c>
      <c r="K783" s="9" t="s">
        <v>9831</v>
      </c>
      <c r="L783" s="10" t="s">
        <v>10272</v>
      </c>
      <c r="M783" s="9" t="s">
        <v>10273</v>
      </c>
      <c r="N783" s="10" t="s">
        <v>9834</v>
      </c>
      <c r="O783" s="15">
        <v>94227200</v>
      </c>
      <c r="P783" s="145">
        <v>22192981</v>
      </c>
      <c r="Q783" s="9"/>
      <c r="R783" s="146"/>
      <c r="T783" s="92" t="s">
        <v>6431</v>
      </c>
      <c r="U783">
        <v>1</v>
      </c>
      <c r="V783">
        <f>VLOOKUP(T783,'Data Angt'!$A$5:$F$5810,6,FALSE)</f>
        <v>50</v>
      </c>
      <c r="W783" s="5" t="str">
        <f t="shared" si="12"/>
        <v>KONSUMTIF</v>
      </c>
      <c r="X783" s="5" t="str">
        <f>VLOOKUP(T783,'Data Angt'!$A$5:$H$5810,8,FALSE)</f>
        <v>Karyawan</v>
      </c>
      <c r="Y783" s="5" t="str">
        <f>VLOOKUP(T783,'Data Angt'!$A$5:$C$5808,3,FALSE)</f>
        <v>KRK</v>
      </c>
    </row>
    <row r="784" spans="1:25" x14ac:dyDescent="0.3">
      <c r="A784" s="8">
        <v>778</v>
      </c>
      <c r="B784" s="9" t="s">
        <v>2953</v>
      </c>
      <c r="C784" s="10" t="str">
        <f>VLOOKUP(B784,'Data Angt'!$A$5:$B$5809,2,FALSE)</f>
        <v>A1248</v>
      </c>
      <c r="D784" s="11" t="s">
        <v>9833</v>
      </c>
      <c r="E784" s="12" t="s">
        <v>10274</v>
      </c>
      <c r="F784" s="13">
        <v>44945</v>
      </c>
      <c r="G784" s="14">
        <v>45500</v>
      </c>
      <c r="H784" s="15">
        <v>100000000</v>
      </c>
      <c r="I784" s="16">
        <v>60</v>
      </c>
      <c r="J784" s="17">
        <v>21</v>
      </c>
      <c r="K784" s="9" t="s">
        <v>9831</v>
      </c>
      <c r="L784" s="10" t="s">
        <v>10275</v>
      </c>
      <c r="M784" s="9" t="s">
        <v>10276</v>
      </c>
      <c r="N784" s="10" t="s">
        <v>9834</v>
      </c>
      <c r="O784" s="15">
        <v>81273500</v>
      </c>
      <c r="P784" s="145">
        <v>10757846</v>
      </c>
      <c r="Q784" s="9" t="s">
        <v>22575</v>
      </c>
      <c r="R784" s="146" t="s">
        <v>22941</v>
      </c>
      <c r="T784" s="92" t="s">
        <v>6505</v>
      </c>
      <c r="U784">
        <v>1</v>
      </c>
      <c r="V784">
        <f>VLOOKUP(T784,'Data Angt'!$A$5:$F$5810,6,FALSE)</f>
        <v>43</v>
      </c>
      <c r="W784" s="5" t="str">
        <f t="shared" si="12"/>
        <v>KONSUMTIF</v>
      </c>
      <c r="X784" s="5">
        <f>VLOOKUP(T784,'Data Angt'!$A$5:$H$5810,8,FALSE)</f>
        <v>0</v>
      </c>
      <c r="Y784" s="5" t="str">
        <f>VLOOKUP(T784,'Data Angt'!$A$5:$C$5808,3,FALSE)</f>
        <v>KRK</v>
      </c>
    </row>
    <row r="785" spans="1:25" x14ac:dyDescent="0.3">
      <c r="A785" s="8">
        <v>779</v>
      </c>
      <c r="B785" s="9" t="s">
        <v>3026</v>
      </c>
      <c r="C785" s="10" t="str">
        <f>VLOOKUP(B785,'Data Angt'!$A$5:$B$5809,2,FALSE)</f>
        <v>A1280</v>
      </c>
      <c r="D785" s="11" t="s">
        <v>9833</v>
      </c>
      <c r="E785" s="12" t="s">
        <v>16484</v>
      </c>
      <c r="F785" s="13">
        <v>45712</v>
      </c>
      <c r="G785" s="14">
        <v>45918</v>
      </c>
      <c r="H785" s="15">
        <v>10000000</v>
      </c>
      <c r="I785" s="16">
        <v>12</v>
      </c>
      <c r="J785" s="17">
        <v>24</v>
      </c>
      <c r="K785" s="9" t="s">
        <v>9831</v>
      </c>
      <c r="L785" s="10" t="s">
        <v>16485</v>
      </c>
      <c r="M785" s="9" t="s">
        <v>16486</v>
      </c>
      <c r="N785" s="10" t="s">
        <v>9834</v>
      </c>
      <c r="O785" s="15">
        <v>4457200</v>
      </c>
      <c r="P785" s="145">
        <v>403649</v>
      </c>
      <c r="Q785" s="9"/>
      <c r="R785" s="146"/>
      <c r="T785" s="92" t="s">
        <v>6659</v>
      </c>
      <c r="U785">
        <v>1</v>
      </c>
      <c r="V785">
        <f>VLOOKUP(T785,'Data Angt'!$A$5:$F$5810,6,FALSE)</f>
        <v>35</v>
      </c>
      <c r="W785" s="5" t="str">
        <f t="shared" si="12"/>
        <v>KONSUMTIF</v>
      </c>
      <c r="X785" s="5" t="str">
        <f>VLOOKUP(T785,'Data Angt'!$A$5:$H$5810,8,FALSE)</f>
        <v>Karyawan</v>
      </c>
      <c r="Y785" s="5" t="str">
        <f>VLOOKUP(T785,'Data Angt'!$A$5:$C$5808,3,FALSE)</f>
        <v>KRK</v>
      </c>
    </row>
    <row r="786" spans="1:25" x14ac:dyDescent="0.3">
      <c r="A786" s="8">
        <v>780</v>
      </c>
      <c r="B786" s="9" t="s">
        <v>3027</v>
      </c>
      <c r="C786" s="10" t="str">
        <f>VLOOKUP(B786,'Data Angt'!$A$5:$B$5809,2,FALSE)</f>
        <v>A1281</v>
      </c>
      <c r="D786" s="11" t="s">
        <v>9833</v>
      </c>
      <c r="E786" s="12" t="s">
        <v>16487</v>
      </c>
      <c r="F786" s="13">
        <v>45482</v>
      </c>
      <c r="G786" s="14">
        <v>45912</v>
      </c>
      <c r="H786" s="15">
        <v>5000000</v>
      </c>
      <c r="I786" s="16">
        <v>24</v>
      </c>
      <c r="J786" s="17">
        <v>24</v>
      </c>
      <c r="K786" s="9" t="s">
        <v>9827</v>
      </c>
      <c r="L786" s="10" t="s">
        <v>16488</v>
      </c>
      <c r="M786" s="9" t="s">
        <v>16489</v>
      </c>
      <c r="N786" s="10" t="s">
        <v>9834</v>
      </c>
      <c r="O786" s="15">
        <v>2082400</v>
      </c>
      <c r="P786" s="145">
        <v>382984</v>
      </c>
      <c r="Q786" s="9"/>
      <c r="R786" s="146"/>
      <c r="T786" s="92" t="s">
        <v>6717</v>
      </c>
      <c r="U786">
        <v>2</v>
      </c>
      <c r="V786">
        <f>VLOOKUP(T786,'Data Angt'!$A$5:$F$5810,6,FALSE)</f>
        <v>56</v>
      </c>
      <c r="W786" s="5" t="str">
        <f t="shared" si="12"/>
        <v>PRODUKTIF</v>
      </c>
      <c r="X786" s="5" t="str">
        <f>VLOOKUP(T786,'Data Angt'!$A$5:$H$5810,8,FALSE)</f>
        <v>Karyawan</v>
      </c>
      <c r="Y786" s="5" t="str">
        <f>VLOOKUP(T786,'Data Angt'!$A$5:$C$5808,3,FALSE)</f>
        <v>KRK</v>
      </c>
    </row>
    <row r="787" spans="1:25" x14ac:dyDescent="0.3">
      <c r="A787" s="8">
        <v>781</v>
      </c>
      <c r="B787" s="9" t="s">
        <v>3080</v>
      </c>
      <c r="C787" s="10" t="str">
        <f>VLOOKUP(B787,'Data Angt'!$A$5:$B$5809,2,FALSE)</f>
        <v>A1304</v>
      </c>
      <c r="D787" s="11" t="s">
        <v>9833</v>
      </c>
      <c r="E787" s="12" t="s">
        <v>16490</v>
      </c>
      <c r="F787" s="13">
        <v>45502</v>
      </c>
      <c r="G787" s="14">
        <v>45929</v>
      </c>
      <c r="H787" s="15">
        <v>4000000</v>
      </c>
      <c r="I787" s="16">
        <v>24</v>
      </c>
      <c r="J787" s="17">
        <v>11.64</v>
      </c>
      <c r="K787" s="9" t="s">
        <v>9831</v>
      </c>
      <c r="L787" s="10" t="s">
        <v>16491</v>
      </c>
      <c r="M787" s="9" t="s">
        <v>16492</v>
      </c>
      <c r="N787" s="10" t="s">
        <v>9834</v>
      </c>
      <c r="O787" s="15">
        <v>1779400</v>
      </c>
      <c r="P787" s="145">
        <v>152697</v>
      </c>
      <c r="Q787" s="9"/>
      <c r="R787" s="146"/>
      <c r="T787" s="92" t="s">
        <v>6731</v>
      </c>
      <c r="U787">
        <v>1</v>
      </c>
      <c r="V787">
        <f>VLOOKUP(T787,'Data Angt'!$A$5:$F$5810,6,FALSE)</f>
        <v>35</v>
      </c>
      <c r="W787" s="5" t="str">
        <f t="shared" si="12"/>
        <v>KONSUMTIF</v>
      </c>
      <c r="X787" s="5" t="str">
        <f>VLOOKUP(T787,'Data Angt'!$A$5:$H$5810,8,FALSE)</f>
        <v>Mengurus Rumah Tangga</v>
      </c>
      <c r="Y787" s="5" t="str">
        <f>VLOOKUP(T787,'Data Angt'!$A$5:$C$5808,3,FALSE)</f>
        <v>KRK</v>
      </c>
    </row>
    <row r="788" spans="1:25" x14ac:dyDescent="0.3">
      <c r="A788" s="8">
        <v>782</v>
      </c>
      <c r="B788" s="9" t="s">
        <v>3192</v>
      </c>
      <c r="C788" s="10" t="str">
        <f>VLOOKUP(B788,'Data Angt'!$A$5:$B$5809,2,FALSE)</f>
        <v>A1353</v>
      </c>
      <c r="D788" s="11" t="s">
        <v>9833</v>
      </c>
      <c r="E788" s="12" t="s">
        <v>16493</v>
      </c>
      <c r="F788" s="13">
        <v>45440</v>
      </c>
      <c r="G788" s="14">
        <v>45929</v>
      </c>
      <c r="H788" s="15">
        <v>4500000</v>
      </c>
      <c r="I788" s="16">
        <v>24</v>
      </c>
      <c r="J788" s="17">
        <v>24</v>
      </c>
      <c r="K788" s="9" t="s">
        <v>9827</v>
      </c>
      <c r="L788" s="10" t="s">
        <v>16494</v>
      </c>
      <c r="M788" s="9" t="s">
        <v>10487</v>
      </c>
      <c r="N788" s="10" t="s">
        <v>9834</v>
      </c>
      <c r="O788" s="15">
        <v>1500000</v>
      </c>
      <c r="P788" s="145">
        <v>371396</v>
      </c>
      <c r="Q788" s="9"/>
      <c r="R788" s="146"/>
      <c r="T788" s="92" t="s">
        <v>6745</v>
      </c>
      <c r="U788">
        <v>1</v>
      </c>
      <c r="V788">
        <f>VLOOKUP(T788,'Data Angt'!$A$5:$F$5810,6,FALSE)</f>
        <v>43</v>
      </c>
      <c r="W788" s="5" t="str">
        <f t="shared" si="12"/>
        <v>KESEJAHTERAAN</v>
      </c>
      <c r="X788" s="5" t="str">
        <f>VLOOKUP(T788,'Data Angt'!$A$5:$H$5810,8,FALSE)</f>
        <v>Karyawan</v>
      </c>
      <c r="Y788" s="5" t="str">
        <f>VLOOKUP(T788,'Data Angt'!$A$5:$C$5808,3,FALSE)</f>
        <v>KRK</v>
      </c>
    </row>
    <row r="789" spans="1:25" x14ac:dyDescent="0.3">
      <c r="A789" s="8">
        <v>783</v>
      </c>
      <c r="B789" s="9" t="s">
        <v>3222</v>
      </c>
      <c r="C789" s="10" t="str">
        <f>VLOOKUP(B789,'Data Angt'!$A$5:$B$5809,2,FALSE)</f>
        <v>A1367</v>
      </c>
      <c r="D789" s="11" t="s">
        <v>9826</v>
      </c>
      <c r="E789" s="12" t="s">
        <v>16495</v>
      </c>
      <c r="F789" s="13">
        <v>45803</v>
      </c>
      <c r="G789" s="14">
        <v>45925</v>
      </c>
      <c r="H789" s="15">
        <v>5000000</v>
      </c>
      <c r="I789" s="16">
        <v>10</v>
      </c>
      <c r="J789" s="17">
        <v>24</v>
      </c>
      <c r="K789" s="9" t="s">
        <v>9827</v>
      </c>
      <c r="L789" s="10" t="s">
        <v>16496</v>
      </c>
      <c r="M789" s="9" t="s">
        <v>10352</v>
      </c>
      <c r="N789" s="10" t="s">
        <v>9828</v>
      </c>
      <c r="O789" s="15">
        <v>3000000</v>
      </c>
      <c r="P789" s="145">
        <v>127500</v>
      </c>
      <c r="Q789" s="9"/>
      <c r="R789" s="146"/>
      <c r="T789" s="92" t="s">
        <v>6760</v>
      </c>
      <c r="U789">
        <v>1</v>
      </c>
      <c r="V789">
        <f>VLOOKUP(T789,'Data Angt'!$A$5:$F$5810,6,FALSE)</f>
        <v>46</v>
      </c>
      <c r="W789" s="5" t="str">
        <f t="shared" si="12"/>
        <v>PRODUKTIF</v>
      </c>
      <c r="X789" s="5" t="str">
        <f>VLOOKUP(T789,'Data Angt'!$A$5:$H$5810,8,FALSE)</f>
        <v>Wiraswasta</v>
      </c>
      <c r="Y789" s="5" t="str">
        <f>VLOOKUP(T789,'Data Angt'!$A$5:$C$5808,3,FALSE)</f>
        <v>KRK</v>
      </c>
    </row>
    <row r="790" spans="1:25" x14ac:dyDescent="0.3">
      <c r="A790" s="8">
        <v>784</v>
      </c>
      <c r="B790" s="9" t="s">
        <v>3222</v>
      </c>
      <c r="C790" s="10" t="str">
        <f>VLOOKUP(B790,'Data Angt'!$A$5:$B$5809,2,FALSE)</f>
        <v>A1367</v>
      </c>
      <c r="D790" s="11" t="s">
        <v>9829</v>
      </c>
      <c r="E790" s="12" t="s">
        <v>10278</v>
      </c>
      <c r="F790" s="13">
        <v>44950</v>
      </c>
      <c r="G790" s="14">
        <v>45924</v>
      </c>
      <c r="H790" s="15">
        <v>45000000</v>
      </c>
      <c r="I790" s="16">
        <v>48</v>
      </c>
      <c r="J790" s="17">
        <v>21</v>
      </c>
      <c r="K790" s="9" t="s">
        <v>9831</v>
      </c>
      <c r="L790" s="10" t="s">
        <v>10279</v>
      </c>
      <c r="M790" s="9" t="s">
        <v>9865</v>
      </c>
      <c r="N790" s="10" t="s">
        <v>9828</v>
      </c>
      <c r="O790" s="15">
        <v>20337600</v>
      </c>
      <c r="P790" s="145">
        <v>7104443</v>
      </c>
      <c r="Q790" s="9"/>
      <c r="R790" s="146"/>
      <c r="T790" s="92" t="s">
        <v>6769</v>
      </c>
      <c r="U790">
        <v>1</v>
      </c>
      <c r="V790">
        <f>VLOOKUP(T790,'Data Angt'!$A$5:$F$5810,6,FALSE)</f>
        <v>28</v>
      </c>
      <c r="W790" s="5" t="str">
        <f t="shared" si="12"/>
        <v>KONSUMTIF</v>
      </c>
      <c r="X790" s="5" t="str">
        <f>VLOOKUP(T790,'Data Angt'!$A$5:$H$5810,8,FALSE)</f>
        <v>Tenaga Pengajar</v>
      </c>
      <c r="Y790" s="5" t="str">
        <f>VLOOKUP(T790,'Data Angt'!$A$5:$C$5808,3,FALSE)</f>
        <v>KRK</v>
      </c>
    </row>
    <row r="791" spans="1:25" x14ac:dyDescent="0.3">
      <c r="A791" s="8">
        <v>785</v>
      </c>
      <c r="B791" s="9" t="s">
        <v>3224</v>
      </c>
      <c r="C791" s="10" t="str">
        <f>VLOOKUP(B791,'Data Angt'!$A$5:$B$5809,2,FALSE)</f>
        <v>A1368</v>
      </c>
      <c r="D791" s="11" t="s">
        <v>9833</v>
      </c>
      <c r="E791" s="12" t="s">
        <v>10280</v>
      </c>
      <c r="F791" s="13">
        <v>44580</v>
      </c>
      <c r="G791" s="14">
        <v>44879</v>
      </c>
      <c r="H791" s="15">
        <v>70000000</v>
      </c>
      <c r="I791" s="16">
        <v>48</v>
      </c>
      <c r="J791" s="17">
        <v>21</v>
      </c>
      <c r="K791" s="9" t="s">
        <v>9831</v>
      </c>
      <c r="L791" s="10" t="s">
        <v>10281</v>
      </c>
      <c r="M791" s="9" t="s">
        <v>10282</v>
      </c>
      <c r="N791" s="10" t="s">
        <v>9834</v>
      </c>
      <c r="O791" s="15">
        <v>60898200</v>
      </c>
      <c r="P791" s="145">
        <v>3902473</v>
      </c>
      <c r="Q791" s="9"/>
      <c r="R791" s="146"/>
      <c r="T791" s="92" t="s">
        <v>6793</v>
      </c>
      <c r="U791">
        <v>1</v>
      </c>
      <c r="V791">
        <f>VLOOKUP(T791,'Data Angt'!$A$5:$F$5810,6,FALSE)</f>
        <v>42</v>
      </c>
      <c r="W791" s="5" t="str">
        <f t="shared" si="12"/>
        <v>PENDIDIKAN</v>
      </c>
      <c r="X791" s="5" t="str">
        <f>VLOOKUP(T791,'Data Angt'!$A$5:$H$5810,8,FALSE)</f>
        <v>Mengurus Rumah Tangga</v>
      </c>
      <c r="Y791" s="5" t="str">
        <f>VLOOKUP(T791,'Data Angt'!$A$5:$C$5808,3,FALSE)</f>
        <v>KRK</v>
      </c>
    </row>
    <row r="792" spans="1:25" x14ac:dyDescent="0.3">
      <c r="A792" s="8">
        <v>786</v>
      </c>
      <c r="B792" s="9" t="s">
        <v>3224</v>
      </c>
      <c r="C792" s="10" t="str">
        <f>VLOOKUP(B792,'Data Angt'!$A$5:$B$5809,2,FALSE)</f>
        <v>A1368</v>
      </c>
      <c r="D792" s="11" t="s">
        <v>9826</v>
      </c>
      <c r="E792" s="12" t="s">
        <v>10283</v>
      </c>
      <c r="F792" s="13">
        <v>44818</v>
      </c>
      <c r="G792" s="14">
        <v>45152</v>
      </c>
      <c r="H792" s="15">
        <v>5000000</v>
      </c>
      <c r="I792" s="16">
        <v>12</v>
      </c>
      <c r="J792" s="17">
        <v>24</v>
      </c>
      <c r="K792" s="9" t="s">
        <v>9831</v>
      </c>
      <c r="L792" s="10" t="s">
        <v>10284</v>
      </c>
      <c r="M792" s="9" t="s">
        <v>10285</v>
      </c>
      <c r="N792" s="10" t="s">
        <v>9834</v>
      </c>
      <c r="O792" s="15">
        <v>3060100</v>
      </c>
      <c r="P792" s="145">
        <v>190949</v>
      </c>
      <c r="Q792" s="9"/>
      <c r="R792" s="146"/>
      <c r="T792" s="92" t="s">
        <v>6808</v>
      </c>
      <c r="U792">
        <v>1</v>
      </c>
      <c r="V792">
        <f>VLOOKUP(T792,'Data Angt'!$A$5:$F$5810,6,FALSE)</f>
        <v>45</v>
      </c>
      <c r="W792" s="5" t="str">
        <f t="shared" si="12"/>
        <v>PRODUKTIF</v>
      </c>
      <c r="X792" s="5" t="str">
        <f>VLOOKUP(T792,'Data Angt'!$A$5:$H$5810,8,FALSE)</f>
        <v>Wiraswasta</v>
      </c>
      <c r="Y792" s="5" t="str">
        <f>VLOOKUP(T792,'Data Angt'!$A$5:$C$5808,3,FALSE)</f>
        <v>KRK</v>
      </c>
    </row>
    <row r="793" spans="1:25" x14ac:dyDescent="0.3">
      <c r="A793" s="8">
        <v>787</v>
      </c>
      <c r="B793" s="9" t="s">
        <v>3271</v>
      </c>
      <c r="C793" s="10" t="str">
        <f>VLOOKUP(B793,'Data Angt'!$A$5:$B$5809,2,FALSE)</f>
        <v>A1388</v>
      </c>
      <c r="D793" s="11" t="s">
        <v>9829</v>
      </c>
      <c r="E793" s="12" t="s">
        <v>16497</v>
      </c>
      <c r="F793" s="13">
        <v>45724</v>
      </c>
      <c r="G793" s="14">
        <v>45908</v>
      </c>
      <c r="H793" s="15">
        <v>30000000</v>
      </c>
      <c r="I793" s="16">
        <v>30</v>
      </c>
      <c r="J793" s="17">
        <v>21</v>
      </c>
      <c r="K793" s="9" t="s">
        <v>9827</v>
      </c>
      <c r="L793" s="10" t="s">
        <v>16498</v>
      </c>
      <c r="M793" s="9" t="s">
        <v>10652</v>
      </c>
      <c r="N793" s="10" t="s">
        <v>17</v>
      </c>
      <c r="O793" s="15">
        <v>24000000</v>
      </c>
      <c r="P793" s="145">
        <v>1082811</v>
      </c>
      <c r="Q793" s="9" t="s">
        <v>22942</v>
      </c>
      <c r="R793" s="146" t="s">
        <v>22943</v>
      </c>
      <c r="T793" s="92" t="s">
        <v>6813</v>
      </c>
      <c r="U793">
        <v>1</v>
      </c>
      <c r="V793">
        <f>VLOOKUP(T793,'Data Angt'!$A$5:$F$5810,6,FALSE)</f>
        <v>40</v>
      </c>
      <c r="W793" s="5" t="str">
        <f t="shared" si="12"/>
        <v>KONSUMTIF</v>
      </c>
      <c r="X793" s="5" t="str">
        <f>VLOOKUP(T793,'Data Angt'!$A$5:$H$5810,8,FALSE)</f>
        <v>Mengurus Rumah Tangga</v>
      </c>
      <c r="Y793" s="5" t="str">
        <f>VLOOKUP(T793,'Data Angt'!$A$5:$C$5808,3,FALSE)</f>
        <v>KRK</v>
      </c>
    </row>
    <row r="794" spans="1:25" x14ac:dyDescent="0.3">
      <c r="A794" s="8">
        <v>788</v>
      </c>
      <c r="B794" s="9" t="s">
        <v>3349</v>
      </c>
      <c r="C794" s="10" t="str">
        <f>VLOOKUP(B794,'Data Angt'!$A$5:$B$5809,2,FALSE)</f>
        <v>A1423</v>
      </c>
      <c r="D794" s="11" t="s">
        <v>9833</v>
      </c>
      <c r="E794" s="12" t="s">
        <v>16499</v>
      </c>
      <c r="F794" s="13">
        <v>45730</v>
      </c>
      <c r="G794" s="14">
        <v>45917</v>
      </c>
      <c r="H794" s="15">
        <v>11000000</v>
      </c>
      <c r="I794" s="16">
        <v>24</v>
      </c>
      <c r="J794" s="17">
        <v>24</v>
      </c>
      <c r="K794" s="9" t="s">
        <v>9831</v>
      </c>
      <c r="L794" s="10" t="s">
        <v>16500</v>
      </c>
      <c r="M794" s="9" t="s">
        <v>9862</v>
      </c>
      <c r="N794" s="10" t="s">
        <v>9834</v>
      </c>
      <c r="O794" s="15">
        <v>8719100</v>
      </c>
      <c r="P794" s="145">
        <v>453262</v>
      </c>
      <c r="Q794" s="9" t="s">
        <v>22254</v>
      </c>
      <c r="R794" s="146" t="s">
        <v>22944</v>
      </c>
      <c r="T794" s="92" t="s">
        <v>6842</v>
      </c>
      <c r="U794">
        <v>1</v>
      </c>
      <c r="V794">
        <f>VLOOKUP(T794,'Data Angt'!$A$5:$F$5810,6,FALSE)</f>
        <v>56</v>
      </c>
      <c r="W794" s="5" t="str">
        <f t="shared" si="12"/>
        <v>PRODUKTIF</v>
      </c>
      <c r="X794" s="5" t="str">
        <f>VLOOKUP(T794,'Data Angt'!$A$5:$H$5810,8,FALSE)</f>
        <v>Wiraswasta</v>
      </c>
      <c r="Y794" s="5" t="str">
        <f>VLOOKUP(T794,'Data Angt'!$A$5:$C$5808,3,FALSE)</f>
        <v>KRK</v>
      </c>
    </row>
    <row r="795" spans="1:25" x14ac:dyDescent="0.3">
      <c r="A795" s="8">
        <v>789</v>
      </c>
      <c r="B795" s="9" t="s">
        <v>3349</v>
      </c>
      <c r="C795" s="10" t="str">
        <f>VLOOKUP(B795,'Data Angt'!$A$5:$B$5809,2,FALSE)</f>
        <v>A1423</v>
      </c>
      <c r="D795" s="11" t="s">
        <v>9826</v>
      </c>
      <c r="E795" s="12" t="s">
        <v>16501</v>
      </c>
      <c r="F795" s="13">
        <v>45820</v>
      </c>
      <c r="G795" s="14">
        <v>45912</v>
      </c>
      <c r="H795" s="15">
        <v>5000000</v>
      </c>
      <c r="I795" s="16">
        <v>12</v>
      </c>
      <c r="J795" s="17">
        <v>24</v>
      </c>
      <c r="K795" s="9" t="s">
        <v>9831</v>
      </c>
      <c r="L795" s="10" t="s">
        <v>16502</v>
      </c>
      <c r="M795" s="9" t="s">
        <v>9862</v>
      </c>
      <c r="N795" s="10" t="s">
        <v>9834</v>
      </c>
      <c r="O795" s="15">
        <v>3859200</v>
      </c>
      <c r="P795" s="145">
        <v>104100</v>
      </c>
      <c r="Q795" s="9"/>
      <c r="R795" s="146"/>
      <c r="T795" s="92" t="s">
        <v>6861</v>
      </c>
      <c r="U795">
        <v>2</v>
      </c>
      <c r="V795">
        <f>VLOOKUP(T795,'Data Angt'!$A$5:$F$5810,6,FALSE)</f>
        <v>42</v>
      </c>
      <c r="W795" s="5" t="str">
        <f t="shared" si="12"/>
        <v>KESEJAHTERAAN</v>
      </c>
      <c r="X795" s="5" t="str">
        <f>VLOOKUP(T795,'Data Angt'!$A$5:$H$5810,8,FALSE)</f>
        <v>Tenaga Pengajar</v>
      </c>
      <c r="Y795" s="5" t="str">
        <f>VLOOKUP(T795,'Data Angt'!$A$5:$C$5808,3,FALSE)</f>
        <v>KRK</v>
      </c>
    </row>
    <row r="796" spans="1:25" x14ac:dyDescent="0.3">
      <c r="A796" s="8">
        <v>790</v>
      </c>
      <c r="B796" s="9" t="s">
        <v>3355</v>
      </c>
      <c r="C796" s="10" t="str">
        <f>VLOOKUP(B796,'Data Angt'!$A$5:$B$5809,2,FALSE)</f>
        <v>A1426</v>
      </c>
      <c r="D796" s="11" t="s">
        <v>9829</v>
      </c>
      <c r="E796" s="12" t="s">
        <v>10286</v>
      </c>
      <c r="F796" s="13">
        <v>43428</v>
      </c>
      <c r="G796" s="14">
        <v>45926</v>
      </c>
      <c r="H796" s="15">
        <v>150000000</v>
      </c>
      <c r="I796" s="16">
        <v>60</v>
      </c>
      <c r="J796" s="17">
        <v>21</v>
      </c>
      <c r="K796" s="9" t="s">
        <v>9831</v>
      </c>
      <c r="L796" s="10" t="s">
        <v>10287</v>
      </c>
      <c r="M796" s="9" t="s">
        <v>10288</v>
      </c>
      <c r="N796" s="10" t="s">
        <v>9828</v>
      </c>
      <c r="O796" s="15">
        <v>24220500</v>
      </c>
      <c r="P796" s="145">
        <v>39429586</v>
      </c>
      <c r="Q796" s="9"/>
      <c r="R796" s="146"/>
      <c r="T796" s="92" t="s">
        <v>6867</v>
      </c>
      <c r="U796">
        <v>1</v>
      </c>
      <c r="V796">
        <f>VLOOKUP(T796,'Data Angt'!$A$5:$F$5810,6,FALSE)</f>
        <v>39</v>
      </c>
      <c r="W796" s="5" t="str">
        <f t="shared" si="12"/>
        <v>PRODUKTIF</v>
      </c>
      <c r="X796" s="5" t="str">
        <f>VLOOKUP(T796,'Data Angt'!$A$5:$H$5810,8,FALSE)</f>
        <v>Wiraswasta</v>
      </c>
      <c r="Y796" s="5" t="str">
        <f>VLOOKUP(T796,'Data Angt'!$A$5:$C$5808,3,FALSE)</f>
        <v>KRK</v>
      </c>
    </row>
    <row r="797" spans="1:25" x14ac:dyDescent="0.3">
      <c r="A797" s="8">
        <v>791</v>
      </c>
      <c r="B797" s="9" t="s">
        <v>3383</v>
      </c>
      <c r="C797" s="10" t="str">
        <f>VLOOKUP(B797,'Data Angt'!$A$5:$B$5809,2,FALSE)</f>
        <v>A1437</v>
      </c>
      <c r="D797" s="11" t="s">
        <v>9833</v>
      </c>
      <c r="E797" s="12" t="s">
        <v>16503</v>
      </c>
      <c r="F797" s="13">
        <v>45772</v>
      </c>
      <c r="G797" s="14">
        <v>45927</v>
      </c>
      <c r="H797" s="15">
        <v>35000000</v>
      </c>
      <c r="I797" s="16">
        <v>48</v>
      </c>
      <c r="J797" s="17">
        <v>21</v>
      </c>
      <c r="K797" s="9" t="s">
        <v>9827</v>
      </c>
      <c r="L797" s="10" t="s">
        <v>16504</v>
      </c>
      <c r="M797" s="9" t="s">
        <v>16456</v>
      </c>
      <c r="N797" s="10" t="s">
        <v>9834</v>
      </c>
      <c r="O797" s="15">
        <v>31354000</v>
      </c>
      <c r="P797" s="145">
        <v>1100661</v>
      </c>
      <c r="Q797" s="9" t="s">
        <v>22575</v>
      </c>
      <c r="R797" s="146" t="s">
        <v>22945</v>
      </c>
      <c r="T797" s="92" t="s">
        <v>6876</v>
      </c>
      <c r="U797">
        <v>1</v>
      </c>
      <c r="V797">
        <f>VLOOKUP(T797,'Data Angt'!$A$5:$F$5810,6,FALSE)</f>
        <v>30</v>
      </c>
      <c r="W797" s="5" t="str">
        <f t="shared" si="12"/>
        <v>PRODUKTIF</v>
      </c>
      <c r="X797" s="5" t="str">
        <f>VLOOKUP(T797,'Data Angt'!$A$5:$H$5810,8,FALSE)</f>
        <v>Mengurus Rumah Tangga</v>
      </c>
      <c r="Y797" s="5" t="str">
        <f>VLOOKUP(T797,'Data Angt'!$A$5:$C$5808,3,FALSE)</f>
        <v>KRK</v>
      </c>
    </row>
    <row r="798" spans="1:25" x14ac:dyDescent="0.3">
      <c r="A798" s="8">
        <v>792</v>
      </c>
      <c r="B798" s="9" t="s">
        <v>3383</v>
      </c>
      <c r="C798" s="10" t="str">
        <f>VLOOKUP(B798,'Data Angt'!$A$5:$B$5809,2,FALSE)</f>
        <v>A1437</v>
      </c>
      <c r="D798" s="11" t="s">
        <v>9829</v>
      </c>
      <c r="E798" s="12" t="s">
        <v>16505</v>
      </c>
      <c r="F798" s="13">
        <v>45644</v>
      </c>
      <c r="G798" s="14">
        <v>45912</v>
      </c>
      <c r="H798" s="15">
        <v>5000000</v>
      </c>
      <c r="I798" s="16">
        <v>12</v>
      </c>
      <c r="J798" s="17">
        <v>11.88</v>
      </c>
      <c r="K798" s="9" t="s">
        <v>9831</v>
      </c>
      <c r="L798" s="10" t="s">
        <v>16506</v>
      </c>
      <c r="M798" s="9" t="s">
        <v>16456</v>
      </c>
      <c r="N798" s="10" t="s">
        <v>9834</v>
      </c>
      <c r="O798" s="15">
        <v>1305900</v>
      </c>
      <c r="P798" s="145">
        <v>113210</v>
      </c>
      <c r="Q798" s="9"/>
      <c r="R798" s="146"/>
      <c r="T798" s="92" t="s">
        <v>12456</v>
      </c>
      <c r="U798">
        <v>1</v>
      </c>
      <c r="V798">
        <f>VLOOKUP(T798,'Data Angt'!$A$5:$F$5810,6,FALSE)</f>
        <v>41</v>
      </c>
      <c r="W798" s="5" t="str">
        <f t="shared" si="12"/>
        <v>PRODUKTIF</v>
      </c>
      <c r="X798" s="5" t="str">
        <f>VLOOKUP(T798,'Data Angt'!$A$5:$H$5810,8,FALSE)</f>
        <v>Wiraswasta</v>
      </c>
      <c r="Y798" s="5" t="str">
        <f>VLOOKUP(T798,'Data Angt'!$A$5:$C$5808,3,FALSE)</f>
        <v>KRK</v>
      </c>
    </row>
    <row r="799" spans="1:25" x14ac:dyDescent="0.3">
      <c r="A799" s="8">
        <v>793</v>
      </c>
      <c r="B799" s="9" t="s">
        <v>3441</v>
      </c>
      <c r="C799" s="10" t="str">
        <f>VLOOKUP(B799,'Data Angt'!$A$5:$B$5809,2,FALSE)</f>
        <v>A1467</v>
      </c>
      <c r="D799" s="11" t="s">
        <v>9833</v>
      </c>
      <c r="E799" s="12" t="s">
        <v>16507</v>
      </c>
      <c r="F799" s="13">
        <v>45801</v>
      </c>
      <c r="G799" s="14">
        <v>45925</v>
      </c>
      <c r="H799" s="15">
        <v>7000000</v>
      </c>
      <c r="I799" s="16">
        <v>10</v>
      </c>
      <c r="J799" s="17">
        <v>24</v>
      </c>
      <c r="K799" s="9" t="s">
        <v>9831</v>
      </c>
      <c r="L799" s="10" t="s">
        <v>16508</v>
      </c>
      <c r="M799" s="9" t="s">
        <v>16456</v>
      </c>
      <c r="N799" s="10" t="s">
        <v>9834</v>
      </c>
      <c r="O799" s="15">
        <v>4365200</v>
      </c>
      <c r="P799" s="145">
        <v>180899</v>
      </c>
      <c r="Q799" s="9"/>
      <c r="R799" s="146"/>
      <c r="T799" s="92" t="s">
        <v>6970</v>
      </c>
      <c r="U799">
        <v>2</v>
      </c>
      <c r="V799">
        <f>VLOOKUP(T799,'Data Angt'!$A$5:$F$5810,6,FALSE)</f>
        <v>47</v>
      </c>
      <c r="W799" s="5" t="str">
        <f t="shared" si="12"/>
        <v>KONSUMTIF</v>
      </c>
      <c r="X799" s="5" t="str">
        <f>VLOOKUP(T799,'Data Angt'!$A$5:$H$5810,8,FALSE)</f>
        <v>Mengurus Rumah Tangga</v>
      </c>
      <c r="Y799" s="5" t="str">
        <f>VLOOKUP(T799,'Data Angt'!$A$5:$C$5808,3,FALSE)</f>
        <v>KRK</v>
      </c>
    </row>
    <row r="800" spans="1:25" x14ac:dyDescent="0.3">
      <c r="A800" s="8">
        <v>794</v>
      </c>
      <c r="B800" s="9" t="s">
        <v>3468</v>
      </c>
      <c r="C800" s="10" t="str">
        <f>VLOOKUP(B800,'Data Angt'!$A$5:$B$5809,2,FALSE)</f>
        <v>A1479</v>
      </c>
      <c r="D800" s="11" t="s">
        <v>9833</v>
      </c>
      <c r="E800" s="12" t="s">
        <v>16511</v>
      </c>
      <c r="F800" s="13">
        <v>45422</v>
      </c>
      <c r="G800" s="14">
        <v>45903</v>
      </c>
      <c r="H800" s="15">
        <v>12000000</v>
      </c>
      <c r="I800" s="16">
        <v>36</v>
      </c>
      <c r="J800" s="17">
        <v>24</v>
      </c>
      <c r="K800" s="9" t="s">
        <v>9831</v>
      </c>
      <c r="L800" s="10" t="s">
        <v>16512</v>
      </c>
      <c r="M800" s="9" t="s">
        <v>16513</v>
      </c>
      <c r="N800" s="10" t="s">
        <v>9834</v>
      </c>
      <c r="O800" s="15">
        <v>7698500</v>
      </c>
      <c r="P800" s="145">
        <v>1211733</v>
      </c>
      <c r="Q800" s="9" t="s">
        <v>22946</v>
      </c>
      <c r="R800" s="146" t="s">
        <v>22947</v>
      </c>
      <c r="T800" s="92" t="s">
        <v>6990</v>
      </c>
      <c r="U800">
        <v>1</v>
      </c>
      <c r="V800">
        <f>VLOOKUP(T800,'Data Angt'!$A$5:$F$5810,6,FALSE)</f>
        <v>50</v>
      </c>
      <c r="W800" s="5" t="str">
        <f t="shared" si="12"/>
        <v>PENDIDIKAN</v>
      </c>
      <c r="X800" s="5" t="str">
        <f>VLOOKUP(T800,'Data Angt'!$A$5:$H$5810,8,FALSE)</f>
        <v>Tenaga Pengajar</v>
      </c>
      <c r="Y800" s="5" t="str">
        <f>VLOOKUP(T800,'Data Angt'!$A$5:$C$5808,3,FALSE)</f>
        <v>KRK</v>
      </c>
    </row>
    <row r="801" spans="1:25" x14ac:dyDescent="0.3">
      <c r="A801" s="8">
        <v>795</v>
      </c>
      <c r="B801" s="9" t="s">
        <v>3468</v>
      </c>
      <c r="C801" s="10" t="str">
        <f>VLOOKUP(B801,'Data Angt'!$A$5:$B$5809,2,FALSE)</f>
        <v>A1479</v>
      </c>
      <c r="D801" s="11" t="s">
        <v>9829</v>
      </c>
      <c r="E801" s="12" t="s">
        <v>16509</v>
      </c>
      <c r="F801" s="13">
        <v>45770</v>
      </c>
      <c r="G801" s="14">
        <v>45903</v>
      </c>
      <c r="H801" s="15">
        <v>5000000</v>
      </c>
      <c r="I801" s="16">
        <v>12</v>
      </c>
      <c r="J801" s="17">
        <v>11.88</v>
      </c>
      <c r="K801" s="9" t="s">
        <v>9831</v>
      </c>
      <c r="L801" s="10" t="s">
        <v>16510</v>
      </c>
      <c r="M801" s="9" t="s">
        <v>10714</v>
      </c>
      <c r="N801" s="10" t="s">
        <v>9834</v>
      </c>
      <c r="O801" s="15">
        <v>2988200</v>
      </c>
      <c r="P801" s="145">
        <v>78073</v>
      </c>
      <c r="Q801" s="9"/>
      <c r="R801" s="146"/>
      <c r="T801" s="92" t="s">
        <v>7064</v>
      </c>
      <c r="U801">
        <v>2</v>
      </c>
      <c r="V801">
        <f>VLOOKUP(T801,'Data Angt'!$A$5:$F$5810,6,FALSE)</f>
        <v>28</v>
      </c>
      <c r="W801" s="5" t="str">
        <f t="shared" si="12"/>
        <v>PRODUKTIF</v>
      </c>
      <c r="X801" s="5" t="str">
        <f>VLOOKUP(T801,'Data Angt'!$A$5:$H$5810,8,FALSE)</f>
        <v>Wiraswasta</v>
      </c>
      <c r="Y801" s="5" t="str">
        <f>VLOOKUP(T801,'Data Angt'!$A$5:$C$5808,3,FALSE)</f>
        <v>KRK</v>
      </c>
    </row>
    <row r="802" spans="1:25" x14ac:dyDescent="0.3">
      <c r="A802" s="8">
        <v>796</v>
      </c>
      <c r="B802" s="9" t="s">
        <v>3568</v>
      </c>
      <c r="C802" s="10" t="str">
        <f>VLOOKUP(B802,'Data Angt'!$A$5:$B$5809,2,FALSE)</f>
        <v>A1523</v>
      </c>
      <c r="D802" s="11" t="s">
        <v>9829</v>
      </c>
      <c r="E802" s="12" t="s">
        <v>10290</v>
      </c>
      <c r="F802" s="13">
        <v>43012</v>
      </c>
      <c r="G802" s="14">
        <v>44804</v>
      </c>
      <c r="H802" s="15">
        <v>35000000</v>
      </c>
      <c r="I802" s="16">
        <v>48</v>
      </c>
      <c r="J802" s="17">
        <v>11.88</v>
      </c>
      <c r="K802" s="9" t="s">
        <v>9867</v>
      </c>
      <c r="L802" s="10"/>
      <c r="M802" s="9"/>
      <c r="N802" s="10"/>
      <c r="O802" s="15">
        <v>26249600</v>
      </c>
      <c r="P802" s="145">
        <v>3213932</v>
      </c>
      <c r="Q802" s="9"/>
      <c r="R802" s="146"/>
      <c r="T802" s="92" t="s">
        <v>7105</v>
      </c>
      <c r="U802">
        <v>1</v>
      </c>
      <c r="V802">
        <f>VLOOKUP(T802,'Data Angt'!$A$5:$F$5810,6,FALSE)</f>
        <v>54</v>
      </c>
      <c r="W802" s="5" t="str">
        <f t="shared" si="12"/>
        <v>PRODUKTIF</v>
      </c>
      <c r="X802" s="5" t="str">
        <f>VLOOKUP(T802,'Data Angt'!$A$5:$H$5810,8,FALSE)</f>
        <v>Wiraswasta</v>
      </c>
      <c r="Y802" s="5" t="str">
        <f>VLOOKUP(T802,'Data Angt'!$A$5:$C$5808,3,FALSE)</f>
        <v>KRK</v>
      </c>
    </row>
    <row r="803" spans="1:25" x14ac:dyDescent="0.3">
      <c r="A803" s="8">
        <v>797</v>
      </c>
      <c r="B803" s="9" t="s">
        <v>3609</v>
      </c>
      <c r="C803" s="10" t="str">
        <f>VLOOKUP(B803,'Data Angt'!$A$5:$B$5809,2,FALSE)</f>
        <v>A1545</v>
      </c>
      <c r="D803" s="11" t="s">
        <v>9829</v>
      </c>
      <c r="E803" s="12" t="s">
        <v>16514</v>
      </c>
      <c r="F803" s="13">
        <v>45555</v>
      </c>
      <c r="G803" s="14">
        <v>45923</v>
      </c>
      <c r="H803" s="15">
        <v>40000000</v>
      </c>
      <c r="I803" s="16">
        <v>48</v>
      </c>
      <c r="J803" s="17">
        <v>21</v>
      </c>
      <c r="K803" s="9" t="s">
        <v>9831</v>
      </c>
      <c r="L803" s="10" t="s">
        <v>16515</v>
      </c>
      <c r="M803" s="9" t="s">
        <v>9832</v>
      </c>
      <c r="N803" s="10" t="s">
        <v>17</v>
      </c>
      <c r="O803" s="15">
        <v>32876200</v>
      </c>
      <c r="P803" s="145">
        <v>2902723</v>
      </c>
      <c r="Q803" s="9" t="s">
        <v>22927</v>
      </c>
      <c r="R803" s="146" t="s">
        <v>22948</v>
      </c>
      <c r="T803" s="92" t="s">
        <v>7182</v>
      </c>
      <c r="U803">
        <v>1</v>
      </c>
      <c r="V803">
        <f>VLOOKUP(T803,'Data Angt'!$A$5:$F$5810,6,FALSE)</f>
        <v>31</v>
      </c>
      <c r="W803" s="5" t="str">
        <f t="shared" si="12"/>
        <v>KONSUMTIF</v>
      </c>
      <c r="X803" s="5" t="str">
        <f>VLOOKUP(T803,'Data Angt'!$A$5:$H$5810,8,FALSE)</f>
        <v>Karyawan</v>
      </c>
      <c r="Y803" s="5" t="str">
        <f>VLOOKUP(T803,'Data Angt'!$A$5:$C$5808,3,FALSE)</f>
        <v>KRK</v>
      </c>
    </row>
    <row r="804" spans="1:25" x14ac:dyDescent="0.3">
      <c r="A804" s="8">
        <v>798</v>
      </c>
      <c r="B804" s="9" t="s">
        <v>3647</v>
      </c>
      <c r="C804" s="10" t="str">
        <f>VLOOKUP(B804,'Data Angt'!$A$5:$B$5809,2,FALSE)</f>
        <v>A1565</v>
      </c>
      <c r="D804" s="11" t="s">
        <v>9833</v>
      </c>
      <c r="E804" s="12" t="s">
        <v>22949</v>
      </c>
      <c r="F804" s="13">
        <v>45868</v>
      </c>
      <c r="G804" s="14">
        <v>45929</v>
      </c>
      <c r="H804" s="15">
        <v>1500000</v>
      </c>
      <c r="I804" s="16">
        <v>12</v>
      </c>
      <c r="J804" s="17">
        <v>24</v>
      </c>
      <c r="K804" s="9" t="s">
        <v>9831</v>
      </c>
      <c r="L804" s="10" t="s">
        <v>22950</v>
      </c>
      <c r="M804" s="9" t="s">
        <v>16456</v>
      </c>
      <c r="N804" s="10" t="s">
        <v>9834</v>
      </c>
      <c r="O804" s="15">
        <v>1274000</v>
      </c>
      <c r="P804" s="145">
        <v>21675</v>
      </c>
      <c r="Q804" s="9"/>
      <c r="R804" s="146"/>
      <c r="T804" s="92" t="s">
        <v>7197</v>
      </c>
      <c r="U804">
        <v>1</v>
      </c>
      <c r="V804">
        <f>VLOOKUP(T804,'Data Angt'!$A$5:$F$5810,6,FALSE)</f>
        <v>50</v>
      </c>
      <c r="W804" s="5" t="str">
        <f t="shared" si="12"/>
        <v>PRODUKTIF</v>
      </c>
      <c r="X804" s="5" t="str">
        <f>VLOOKUP(T804,'Data Angt'!$A$5:$H$5810,8,FALSE)</f>
        <v>Petani/Pekebun/Nelayan</v>
      </c>
      <c r="Y804" s="5" t="str">
        <f>VLOOKUP(T804,'Data Angt'!$A$5:$C$5808,3,FALSE)</f>
        <v>KRK</v>
      </c>
    </row>
    <row r="805" spans="1:25" x14ac:dyDescent="0.3">
      <c r="A805" s="8">
        <v>799</v>
      </c>
      <c r="B805" s="9" t="s">
        <v>3698</v>
      </c>
      <c r="C805" s="10" t="str">
        <f>VLOOKUP(B805,'Data Angt'!$A$5:$B$5809,2,FALSE)</f>
        <v>A1589</v>
      </c>
      <c r="D805" s="11" t="s">
        <v>9829</v>
      </c>
      <c r="E805" s="12" t="s">
        <v>16516</v>
      </c>
      <c r="F805" s="13">
        <v>45482</v>
      </c>
      <c r="G805" s="14">
        <v>45910</v>
      </c>
      <c r="H805" s="15">
        <v>6000000</v>
      </c>
      <c r="I805" s="16">
        <v>24</v>
      </c>
      <c r="J805" s="17">
        <v>24</v>
      </c>
      <c r="K805" s="9" t="s">
        <v>9831</v>
      </c>
      <c r="L805" s="10" t="s">
        <v>16517</v>
      </c>
      <c r="M805" s="9" t="s">
        <v>9838</v>
      </c>
      <c r="N805" s="10" t="s">
        <v>9828</v>
      </c>
      <c r="O805" s="15">
        <v>2849100</v>
      </c>
      <c r="P805" s="145">
        <v>484234</v>
      </c>
      <c r="Q805" s="9" t="s">
        <v>22901</v>
      </c>
      <c r="R805" s="146" t="s">
        <v>22951</v>
      </c>
      <c r="T805" s="92" t="s">
        <v>7207</v>
      </c>
      <c r="U805">
        <v>1</v>
      </c>
      <c r="V805">
        <f>VLOOKUP(T805,'Data Angt'!$A$5:$F$5810,6,FALSE)</f>
        <v>57</v>
      </c>
      <c r="W805" s="5" t="str">
        <f t="shared" si="12"/>
        <v>KONSUMTIF</v>
      </c>
      <c r="X805" s="5" t="str">
        <f>VLOOKUP(T805,'Data Angt'!$A$5:$H$5810,8,FALSE)</f>
        <v>Tenaga Pengajar</v>
      </c>
      <c r="Y805" s="5" t="str">
        <f>VLOOKUP(T805,'Data Angt'!$A$5:$C$5808,3,FALSE)</f>
        <v>KRK</v>
      </c>
    </row>
    <row r="806" spans="1:25" x14ac:dyDescent="0.3">
      <c r="A806" s="8">
        <v>800</v>
      </c>
      <c r="B806" s="9" t="s">
        <v>3771</v>
      </c>
      <c r="C806" s="10" t="str">
        <f>VLOOKUP(B806,'Data Angt'!$A$5:$B$5809,2,FALSE)</f>
        <v>A1623</v>
      </c>
      <c r="D806" s="11" t="s">
        <v>9833</v>
      </c>
      <c r="E806" s="12" t="s">
        <v>16518</v>
      </c>
      <c r="F806" s="13">
        <v>45422</v>
      </c>
      <c r="G806" s="14">
        <v>45910</v>
      </c>
      <c r="H806" s="15">
        <v>8000000</v>
      </c>
      <c r="I806" s="16">
        <v>36</v>
      </c>
      <c r="J806" s="17">
        <v>24</v>
      </c>
      <c r="K806" s="9" t="s">
        <v>9831</v>
      </c>
      <c r="L806" s="10" t="s">
        <v>16519</v>
      </c>
      <c r="M806" s="9" t="s">
        <v>16108</v>
      </c>
      <c r="N806" s="10" t="s">
        <v>9834</v>
      </c>
      <c r="O806" s="15">
        <v>5132200</v>
      </c>
      <c r="P806" s="145">
        <v>807974</v>
      </c>
      <c r="Q806" s="9" t="s">
        <v>22952</v>
      </c>
      <c r="R806" s="146" t="s">
        <v>22953</v>
      </c>
      <c r="T806" s="92" t="s">
        <v>7291</v>
      </c>
      <c r="U806">
        <v>1</v>
      </c>
      <c r="V806">
        <f>VLOOKUP(T806,'Data Angt'!$A$5:$F$5810,6,FALSE)</f>
        <v>34</v>
      </c>
      <c r="W806" s="5" t="str">
        <f t="shared" si="12"/>
        <v>KONSUMTIF</v>
      </c>
      <c r="X806" s="5" t="str">
        <f>VLOOKUP(T806,'Data Angt'!$A$5:$H$5810,8,FALSE)</f>
        <v>Mengurus Rumah Tangga</v>
      </c>
      <c r="Y806" s="5" t="str">
        <f>VLOOKUP(T806,'Data Angt'!$A$5:$C$5808,3,FALSE)</f>
        <v>KRK</v>
      </c>
    </row>
    <row r="807" spans="1:25" x14ac:dyDescent="0.3">
      <c r="A807" s="8">
        <v>801</v>
      </c>
      <c r="B807" s="9" t="s">
        <v>3863</v>
      </c>
      <c r="C807" s="10" t="str">
        <f>VLOOKUP(B807,'Data Angt'!$A$5:$B$5809,2,FALSE)</f>
        <v>A1668</v>
      </c>
      <c r="D807" s="11" t="s">
        <v>9829</v>
      </c>
      <c r="E807" s="12" t="s">
        <v>22954</v>
      </c>
      <c r="F807" s="13">
        <v>45842</v>
      </c>
      <c r="G807" s="14">
        <v>45901</v>
      </c>
      <c r="H807" s="15">
        <v>7000000</v>
      </c>
      <c r="I807" s="16">
        <v>24</v>
      </c>
      <c r="J807" s="17">
        <v>24</v>
      </c>
      <c r="K807" s="9" t="s">
        <v>9831</v>
      </c>
      <c r="L807" s="10" t="s">
        <v>22955</v>
      </c>
      <c r="M807" s="9" t="s">
        <v>10352</v>
      </c>
      <c r="N807" s="10" t="s">
        <v>9828</v>
      </c>
      <c r="O807" s="15">
        <v>6535200</v>
      </c>
      <c r="P807" s="145">
        <v>103275</v>
      </c>
      <c r="Q807" s="9" t="s">
        <v>22254</v>
      </c>
      <c r="R807" s="146" t="s">
        <v>22956</v>
      </c>
      <c r="T807" s="92" t="s">
        <v>7358</v>
      </c>
      <c r="U807">
        <v>1</v>
      </c>
      <c r="V807">
        <f>VLOOKUP(T807,'Data Angt'!$A$5:$F$5810,6,FALSE)</f>
        <v>52</v>
      </c>
      <c r="W807" s="5" t="str">
        <f t="shared" si="12"/>
        <v>PRODUKTIF</v>
      </c>
      <c r="X807" s="5" t="str">
        <f>VLOOKUP(T807,'Data Angt'!$A$5:$H$5810,8,FALSE)</f>
        <v>Aparatur/Pejabat Negara</v>
      </c>
      <c r="Y807" s="5" t="str">
        <f>VLOOKUP(T807,'Data Angt'!$A$5:$C$5808,3,FALSE)</f>
        <v>KRK</v>
      </c>
    </row>
    <row r="808" spans="1:25" x14ac:dyDescent="0.3">
      <c r="A808" s="8">
        <v>802</v>
      </c>
      <c r="B808" s="9" t="s">
        <v>3909</v>
      </c>
      <c r="C808" s="10" t="str">
        <f>VLOOKUP(B808,'Data Angt'!$A$5:$B$5809,2,FALSE)</f>
        <v>A1691</v>
      </c>
      <c r="D808" s="11" t="s">
        <v>9833</v>
      </c>
      <c r="E808" s="12" t="s">
        <v>10291</v>
      </c>
      <c r="F808" s="13">
        <v>44659</v>
      </c>
      <c r="G808" s="14">
        <v>45833</v>
      </c>
      <c r="H808" s="15">
        <v>50000000</v>
      </c>
      <c r="I808" s="16">
        <v>48</v>
      </c>
      <c r="J808" s="17">
        <v>21</v>
      </c>
      <c r="K808" s="9" t="s">
        <v>9831</v>
      </c>
      <c r="L808" s="10" t="s">
        <v>10292</v>
      </c>
      <c r="M808" s="9" t="s">
        <v>10293</v>
      </c>
      <c r="N808" s="10" t="s">
        <v>9834</v>
      </c>
      <c r="O808" s="15">
        <v>40267100</v>
      </c>
      <c r="P808" s="145">
        <v>5140647</v>
      </c>
      <c r="Q808" s="9"/>
      <c r="R808" s="146"/>
      <c r="T808" s="92" t="s">
        <v>7362</v>
      </c>
      <c r="U808">
        <v>1</v>
      </c>
      <c r="V808">
        <f>VLOOKUP(T808,'Data Angt'!$A$5:$F$5810,6,FALSE)</f>
        <v>20</v>
      </c>
      <c r="W808" s="5" t="str">
        <f t="shared" si="12"/>
        <v>PRODUKTIF</v>
      </c>
      <c r="X808" s="5" t="str">
        <f>VLOOKUP(T808,'Data Angt'!$A$5:$H$5810,8,FALSE)</f>
        <v>Pelajar/Mahasiswa</v>
      </c>
      <c r="Y808" s="5" t="str">
        <f>VLOOKUP(T808,'Data Angt'!$A$5:$C$5808,3,FALSE)</f>
        <v>KRK</v>
      </c>
    </row>
    <row r="809" spans="1:25" x14ac:dyDescent="0.3">
      <c r="A809" s="8">
        <v>803</v>
      </c>
      <c r="B809" s="9" t="s">
        <v>3969</v>
      </c>
      <c r="C809" s="10" t="str">
        <f>VLOOKUP(B809,'Data Angt'!$A$5:$B$5809,2,FALSE)</f>
        <v>A1714</v>
      </c>
      <c r="D809" s="11" t="s">
        <v>9829</v>
      </c>
      <c r="E809" s="12" t="s">
        <v>16520</v>
      </c>
      <c r="F809" s="13">
        <v>45569</v>
      </c>
      <c r="G809" s="14">
        <v>45929</v>
      </c>
      <c r="H809" s="15">
        <v>4000000</v>
      </c>
      <c r="I809" s="16">
        <v>18</v>
      </c>
      <c r="J809" s="17">
        <v>24</v>
      </c>
      <c r="K809" s="9" t="s">
        <v>9831</v>
      </c>
      <c r="L809" s="10" t="s">
        <v>16521</v>
      </c>
      <c r="M809" s="9" t="s">
        <v>9984</v>
      </c>
      <c r="N809" s="10" t="s">
        <v>17</v>
      </c>
      <c r="O809" s="15">
        <v>1726200</v>
      </c>
      <c r="P809" s="145">
        <v>248285</v>
      </c>
      <c r="Q809" s="9"/>
      <c r="R809" s="146"/>
      <c r="T809" s="92" t="s">
        <v>7426</v>
      </c>
      <c r="U809">
        <v>1</v>
      </c>
      <c r="V809">
        <f>VLOOKUP(T809,'Data Angt'!$A$5:$F$5810,6,FALSE)</f>
        <v>40</v>
      </c>
      <c r="W809" s="5" t="str">
        <f t="shared" si="12"/>
        <v>KESEJAHTERAAN</v>
      </c>
      <c r="X809" s="5" t="str">
        <f>VLOOKUP(T809,'Data Angt'!$A$5:$H$5810,8,FALSE)</f>
        <v>Karyawan</v>
      </c>
      <c r="Y809" s="5" t="str">
        <f>VLOOKUP(T809,'Data Angt'!$A$5:$C$5808,3,FALSE)</f>
        <v>KRK</v>
      </c>
    </row>
    <row r="810" spans="1:25" x14ac:dyDescent="0.3">
      <c r="A810" s="8">
        <v>804</v>
      </c>
      <c r="B810" s="9" t="s">
        <v>3991</v>
      </c>
      <c r="C810" s="10" t="str">
        <f>VLOOKUP(B810,'Data Angt'!$A$5:$B$5809,2,FALSE)</f>
        <v>A1725</v>
      </c>
      <c r="D810" s="11" t="s">
        <v>9829</v>
      </c>
      <c r="E810" s="12" t="s">
        <v>16522</v>
      </c>
      <c r="F810" s="13">
        <v>45598</v>
      </c>
      <c r="G810" s="14">
        <v>45901</v>
      </c>
      <c r="H810" s="15">
        <v>3000000</v>
      </c>
      <c r="I810" s="16">
        <v>12</v>
      </c>
      <c r="J810" s="17">
        <v>11.88</v>
      </c>
      <c r="K810" s="9" t="s">
        <v>9831</v>
      </c>
      <c r="L810" s="10" t="s">
        <v>16523</v>
      </c>
      <c r="M810" s="9" t="s">
        <v>10352</v>
      </c>
      <c r="N810" s="10" t="s">
        <v>9828</v>
      </c>
      <c r="O810" s="15">
        <v>525100</v>
      </c>
      <c r="P810" s="145">
        <v>70910</v>
      </c>
      <c r="Q810" s="9"/>
      <c r="R810" s="146"/>
      <c r="T810" s="92" t="s">
        <v>7433</v>
      </c>
      <c r="U810">
        <v>1</v>
      </c>
      <c r="V810">
        <f>VLOOKUP(T810,'Data Angt'!$A$5:$F$5810,6,FALSE)</f>
        <v>66</v>
      </c>
      <c r="W810" s="5" t="str">
        <f t="shared" si="12"/>
        <v>PRODUKTIF</v>
      </c>
      <c r="X810" s="5" t="str">
        <f>VLOOKUP(T810,'Data Angt'!$A$5:$H$5810,8,FALSE)</f>
        <v>Aparatur/Pejabat Negara</v>
      </c>
      <c r="Y810" s="5" t="str">
        <f>VLOOKUP(T810,'Data Angt'!$A$5:$C$5808,3,FALSE)</f>
        <v>KRK</v>
      </c>
    </row>
    <row r="811" spans="1:25" x14ac:dyDescent="0.3">
      <c r="A811" s="8">
        <v>805</v>
      </c>
      <c r="B811" s="9" t="s">
        <v>3991</v>
      </c>
      <c r="C811" s="10" t="str">
        <f>VLOOKUP(B811,'Data Angt'!$A$5:$B$5809,2,FALSE)</f>
        <v>A1725</v>
      </c>
      <c r="D811" s="11" t="s">
        <v>9829</v>
      </c>
      <c r="E811" s="12" t="s">
        <v>10294</v>
      </c>
      <c r="F811" s="13">
        <v>44594</v>
      </c>
      <c r="G811" s="14">
        <v>45894</v>
      </c>
      <c r="H811" s="15">
        <v>90000000</v>
      </c>
      <c r="I811" s="16">
        <v>48</v>
      </c>
      <c r="J811" s="17">
        <v>21</v>
      </c>
      <c r="K811" s="9" t="s">
        <v>9831</v>
      </c>
      <c r="L811" s="10" t="s">
        <v>10295</v>
      </c>
      <c r="M811" s="9" t="s">
        <v>10296</v>
      </c>
      <c r="N811" s="10" t="s">
        <v>9828</v>
      </c>
      <c r="O811" s="15">
        <v>38599400</v>
      </c>
      <c r="P811" s="145">
        <v>15691493</v>
      </c>
      <c r="Q811" s="9" t="s">
        <v>22957</v>
      </c>
      <c r="R811" s="146" t="s">
        <v>22958</v>
      </c>
      <c r="T811" s="92" t="s">
        <v>7507</v>
      </c>
      <c r="U811">
        <v>1</v>
      </c>
      <c r="V811">
        <f>VLOOKUP(T811,'Data Angt'!$A$5:$F$5810,6,FALSE)</f>
        <v>48</v>
      </c>
      <c r="W811" s="5" t="str">
        <f t="shared" si="12"/>
        <v>KONSUMTIF</v>
      </c>
      <c r="X811" s="5" t="str">
        <f>VLOOKUP(T811,'Data Angt'!$A$5:$H$5810,8,FALSE)</f>
        <v>Karyawan</v>
      </c>
      <c r="Y811" s="5" t="str">
        <f>VLOOKUP(T811,'Data Angt'!$A$5:$C$5808,3,FALSE)</f>
        <v>KRK</v>
      </c>
    </row>
    <row r="812" spans="1:25" x14ac:dyDescent="0.3">
      <c r="A812" s="8">
        <v>806</v>
      </c>
      <c r="B812" s="9" t="s">
        <v>4002</v>
      </c>
      <c r="C812" s="10" t="str">
        <f>VLOOKUP(B812,'Data Angt'!$A$5:$B$5809,2,FALSE)</f>
        <v>A1731</v>
      </c>
      <c r="D812" s="11" t="s">
        <v>9842</v>
      </c>
      <c r="E812" s="12" t="s">
        <v>10297</v>
      </c>
      <c r="F812" s="13">
        <v>44186</v>
      </c>
      <c r="G812" s="14">
        <v>45104</v>
      </c>
      <c r="H812" s="15">
        <v>203160000</v>
      </c>
      <c r="I812" s="16">
        <v>120</v>
      </c>
      <c r="J812" s="17">
        <v>9.6</v>
      </c>
      <c r="K812" s="9" t="s">
        <v>9831</v>
      </c>
      <c r="L812" s="10" t="s">
        <v>10298</v>
      </c>
      <c r="M812" s="9" t="s">
        <v>10299</v>
      </c>
      <c r="N812" s="10" t="s">
        <v>9830</v>
      </c>
      <c r="O812" s="15">
        <v>180075600</v>
      </c>
      <c r="P812" s="145">
        <v>12133345</v>
      </c>
      <c r="Q812" s="9"/>
      <c r="R812" s="146"/>
      <c r="T812" s="92" t="s">
        <v>7511</v>
      </c>
      <c r="U812">
        <v>1</v>
      </c>
      <c r="V812">
        <f>VLOOKUP(T812,'Data Angt'!$A$5:$F$5810,6,FALSE)</f>
        <v>32</v>
      </c>
      <c r="W812" s="5" t="str">
        <f t="shared" si="12"/>
        <v>KONSUMTIF</v>
      </c>
      <c r="X812" s="5" t="str">
        <f>VLOOKUP(T812,'Data Angt'!$A$5:$H$5810,8,FALSE)</f>
        <v>Karyawan</v>
      </c>
      <c r="Y812" s="5" t="str">
        <f>VLOOKUP(T812,'Data Angt'!$A$5:$C$5808,3,FALSE)</f>
        <v>KRK</v>
      </c>
    </row>
    <row r="813" spans="1:25" x14ac:dyDescent="0.3">
      <c r="A813" s="8">
        <v>807</v>
      </c>
      <c r="B813" s="9" t="s">
        <v>4064</v>
      </c>
      <c r="C813" s="10" t="str">
        <f>VLOOKUP(B813,'Data Angt'!$A$5:$B$5809,2,FALSE)</f>
        <v>A1762</v>
      </c>
      <c r="D813" s="11" t="s">
        <v>9833</v>
      </c>
      <c r="E813" s="12" t="s">
        <v>16527</v>
      </c>
      <c r="F813" s="13">
        <v>45591</v>
      </c>
      <c r="G813" s="14">
        <v>45924</v>
      </c>
      <c r="H813" s="15">
        <v>15000000</v>
      </c>
      <c r="I813" s="16">
        <v>48</v>
      </c>
      <c r="J813" s="17">
        <v>24</v>
      </c>
      <c r="K813" s="9" t="s">
        <v>9831</v>
      </c>
      <c r="L813" s="10" t="s">
        <v>16528</v>
      </c>
      <c r="M813" s="9" t="s">
        <v>10000</v>
      </c>
      <c r="N813" s="10" t="s">
        <v>9834</v>
      </c>
      <c r="O813" s="15">
        <v>12699500</v>
      </c>
      <c r="P813" s="145">
        <v>1154848</v>
      </c>
      <c r="Q813" s="9"/>
      <c r="R813" s="146"/>
      <c r="T813" s="92" t="s">
        <v>7595</v>
      </c>
      <c r="U813">
        <v>1</v>
      </c>
      <c r="V813">
        <f>VLOOKUP(T813,'Data Angt'!$A$5:$F$5810,6,FALSE)</f>
        <v>51</v>
      </c>
      <c r="W813" s="5" t="str">
        <f t="shared" si="12"/>
        <v>PENDIDIKAN</v>
      </c>
      <c r="X813" s="5" t="str">
        <f>VLOOKUP(T813,'Data Angt'!$A$5:$H$5810,8,FALSE)</f>
        <v>Karyawan</v>
      </c>
      <c r="Y813" s="5" t="str">
        <f>VLOOKUP(T813,'Data Angt'!$A$5:$C$5808,3,FALSE)</f>
        <v>KRK</v>
      </c>
    </row>
    <row r="814" spans="1:25" x14ac:dyDescent="0.3">
      <c r="A814" s="8">
        <v>808</v>
      </c>
      <c r="B814" s="9" t="s">
        <v>4064</v>
      </c>
      <c r="C814" s="10" t="str">
        <f>VLOOKUP(B814,'Data Angt'!$A$5:$B$5809,2,FALSE)</f>
        <v>A1762</v>
      </c>
      <c r="D814" s="11" t="s">
        <v>9826</v>
      </c>
      <c r="E814" s="12" t="s">
        <v>16524</v>
      </c>
      <c r="F814" s="13">
        <v>45731</v>
      </c>
      <c r="G814" s="14">
        <v>45916</v>
      </c>
      <c r="H814" s="15">
        <v>5000000</v>
      </c>
      <c r="I814" s="16">
        <v>12</v>
      </c>
      <c r="J814" s="17">
        <v>24</v>
      </c>
      <c r="K814" s="9" t="s">
        <v>9831</v>
      </c>
      <c r="L814" s="10" t="s">
        <v>16525</v>
      </c>
      <c r="M814" s="9" t="s">
        <v>16526</v>
      </c>
      <c r="N814" s="10" t="s">
        <v>9834</v>
      </c>
      <c r="O814" s="15">
        <v>2648600</v>
      </c>
      <c r="P814" s="145">
        <v>182024</v>
      </c>
      <c r="Q814" s="9"/>
      <c r="R814" s="146"/>
      <c r="T814" s="92" t="s">
        <v>7766</v>
      </c>
      <c r="U814">
        <v>1</v>
      </c>
      <c r="V814">
        <f>VLOOKUP(T814,'Data Angt'!$A$5:$F$5810,6,FALSE)</f>
        <v>45</v>
      </c>
      <c r="W814" s="5" t="str">
        <f t="shared" si="12"/>
        <v>KESEJAHTERAAN</v>
      </c>
      <c r="X814" s="5" t="str">
        <f>VLOOKUP(T814,'Data Angt'!$A$5:$H$5810,8,FALSE)</f>
        <v>Mengurus Rumah Tangga</v>
      </c>
      <c r="Y814" s="5" t="str">
        <f>VLOOKUP(T814,'Data Angt'!$A$5:$C$5808,3,FALSE)</f>
        <v>KRK</v>
      </c>
    </row>
    <row r="815" spans="1:25" x14ac:dyDescent="0.3">
      <c r="A815" s="8">
        <v>809</v>
      </c>
      <c r="B815" s="9" t="s">
        <v>4065</v>
      </c>
      <c r="C815" s="10" t="str">
        <f>VLOOKUP(B815,'Data Angt'!$A$5:$B$5809,2,FALSE)</f>
        <v>A1763</v>
      </c>
      <c r="D815" s="11" t="s">
        <v>9829</v>
      </c>
      <c r="E815" s="12" t="s">
        <v>16529</v>
      </c>
      <c r="F815" s="13">
        <v>45832</v>
      </c>
      <c r="G815" s="14">
        <v>45920</v>
      </c>
      <c r="H815" s="15">
        <v>5000000</v>
      </c>
      <c r="I815" s="16">
        <v>10</v>
      </c>
      <c r="J815" s="17">
        <v>24</v>
      </c>
      <c r="K815" s="9" t="s">
        <v>9827</v>
      </c>
      <c r="L815" s="10" t="s">
        <v>16530</v>
      </c>
      <c r="M815" s="9" t="s">
        <v>10352</v>
      </c>
      <c r="N815" s="10" t="s">
        <v>9828</v>
      </c>
      <c r="O815" s="15">
        <v>3500000</v>
      </c>
      <c r="P815" s="145">
        <v>101250</v>
      </c>
      <c r="Q815" s="9" t="s">
        <v>22959</v>
      </c>
      <c r="R815" s="146" t="s">
        <v>22960</v>
      </c>
      <c r="T815" s="92" t="s">
        <v>7791</v>
      </c>
      <c r="U815">
        <v>1</v>
      </c>
      <c r="V815">
        <f>VLOOKUP(T815,'Data Angt'!$A$5:$F$5810,6,FALSE)</f>
        <v>37</v>
      </c>
      <c r="W815" s="5" t="str">
        <f t="shared" si="12"/>
        <v>KESEJAHTERAAN</v>
      </c>
      <c r="X815" s="5" t="str">
        <f>VLOOKUP(T815,'Data Angt'!$A$5:$H$5810,8,FALSE)</f>
        <v>Wiraswasta</v>
      </c>
      <c r="Y815" s="5" t="str">
        <f>VLOOKUP(T815,'Data Angt'!$A$5:$C$5808,3,FALSE)</f>
        <v>KRK</v>
      </c>
    </row>
    <row r="816" spans="1:25" x14ac:dyDescent="0.3">
      <c r="A816" s="8">
        <v>810</v>
      </c>
      <c r="B816" s="9" t="s">
        <v>4070</v>
      </c>
      <c r="C816" s="10" t="str">
        <f>VLOOKUP(B816,'Data Angt'!$A$5:$B$5809,2,FALSE)</f>
        <v>A1765</v>
      </c>
      <c r="D816" s="11" t="s">
        <v>9826</v>
      </c>
      <c r="E816" s="12" t="s">
        <v>16531</v>
      </c>
      <c r="F816" s="13">
        <v>45646</v>
      </c>
      <c r="G816" s="14">
        <v>45903</v>
      </c>
      <c r="H816" s="15">
        <v>4000000</v>
      </c>
      <c r="I816" s="16">
        <v>12</v>
      </c>
      <c r="J816" s="17">
        <v>24</v>
      </c>
      <c r="K816" s="9" t="s">
        <v>9831</v>
      </c>
      <c r="L816" s="10" t="s">
        <v>16532</v>
      </c>
      <c r="M816" s="9" t="s">
        <v>16533</v>
      </c>
      <c r="N816" s="10" t="s">
        <v>17</v>
      </c>
      <c r="O816" s="15">
        <v>1090700</v>
      </c>
      <c r="P816" s="145">
        <v>185773</v>
      </c>
      <c r="Q816" s="9"/>
      <c r="R816" s="146"/>
      <c r="T816" s="92" t="s">
        <v>7856</v>
      </c>
      <c r="U816">
        <v>1</v>
      </c>
      <c r="V816">
        <f>VLOOKUP(T816,'Data Angt'!$A$5:$F$5810,6,FALSE)</f>
        <v>28</v>
      </c>
      <c r="W816" s="5" t="str">
        <f t="shared" si="12"/>
        <v>PRODUKTIF</v>
      </c>
      <c r="X816" s="5" t="str">
        <f>VLOOKUP(T816,'Data Angt'!$A$5:$H$5810,8,FALSE)</f>
        <v>Lain-Lain</v>
      </c>
      <c r="Y816" s="5" t="str">
        <f>VLOOKUP(T816,'Data Angt'!$A$5:$C$5808,3,FALSE)</f>
        <v>KRK</v>
      </c>
    </row>
    <row r="817" spans="1:25" x14ac:dyDescent="0.3">
      <c r="A817" s="8">
        <v>811</v>
      </c>
      <c r="B817" s="9" t="s">
        <v>4070</v>
      </c>
      <c r="C817" s="10" t="str">
        <f>VLOOKUP(B817,'Data Angt'!$A$5:$B$5809,2,FALSE)</f>
        <v>A1765</v>
      </c>
      <c r="D817" s="11" t="s">
        <v>9829</v>
      </c>
      <c r="E817" s="12" t="s">
        <v>10300</v>
      </c>
      <c r="F817" s="13">
        <v>45233</v>
      </c>
      <c r="G817" s="14">
        <v>45903</v>
      </c>
      <c r="H817" s="15">
        <v>20000000</v>
      </c>
      <c r="I817" s="16">
        <v>36</v>
      </c>
      <c r="J817" s="17">
        <v>24</v>
      </c>
      <c r="K817" s="9" t="s">
        <v>9831</v>
      </c>
      <c r="L817" s="10" t="s">
        <v>10301</v>
      </c>
      <c r="M817" s="9" t="s">
        <v>9896</v>
      </c>
      <c r="N817" s="10" t="s">
        <v>9828</v>
      </c>
      <c r="O817" s="15">
        <v>9499300</v>
      </c>
      <c r="P817" s="145">
        <v>2536006</v>
      </c>
      <c r="Q817" s="9" t="s">
        <v>22526</v>
      </c>
      <c r="R817" s="146" t="s">
        <v>22961</v>
      </c>
      <c r="T817" s="92" t="s">
        <v>7872</v>
      </c>
      <c r="U817">
        <v>1</v>
      </c>
      <c r="V817">
        <f>VLOOKUP(T817,'Data Angt'!$A$5:$F$5810,6,FALSE)</f>
        <v>44</v>
      </c>
      <c r="W817" s="5" t="str">
        <f t="shared" si="12"/>
        <v>KONSUMTIF</v>
      </c>
      <c r="X817" s="5" t="str">
        <f>VLOOKUP(T817,'Data Angt'!$A$5:$H$5810,8,FALSE)</f>
        <v>Karyawan</v>
      </c>
      <c r="Y817" s="5" t="str">
        <f>VLOOKUP(T817,'Data Angt'!$A$5:$C$5808,3,FALSE)</f>
        <v>KRK</v>
      </c>
    </row>
    <row r="818" spans="1:25" x14ac:dyDescent="0.3">
      <c r="A818" s="8">
        <v>812</v>
      </c>
      <c r="B818" s="9" t="s">
        <v>4103</v>
      </c>
      <c r="C818" s="10" t="str">
        <f>VLOOKUP(B818,'Data Angt'!$A$5:$B$5809,2,FALSE)</f>
        <v>A1781</v>
      </c>
      <c r="D818" s="11" t="s">
        <v>9842</v>
      </c>
      <c r="E818" s="12" t="s">
        <v>10302</v>
      </c>
      <c r="F818" s="13">
        <v>44671</v>
      </c>
      <c r="G818" s="14">
        <v>45924</v>
      </c>
      <c r="H818" s="15">
        <v>120000000</v>
      </c>
      <c r="I818" s="16">
        <v>84</v>
      </c>
      <c r="J818" s="17">
        <v>11.4</v>
      </c>
      <c r="K818" s="9" t="s">
        <v>9831</v>
      </c>
      <c r="L818" s="10" t="s">
        <v>10303</v>
      </c>
      <c r="M818" s="9"/>
      <c r="N818" s="10" t="s">
        <v>9828</v>
      </c>
      <c r="O818" s="15">
        <v>73142600</v>
      </c>
      <c r="P818" s="145">
        <v>14410002</v>
      </c>
      <c r="Q818" s="9"/>
      <c r="R818" s="146"/>
      <c r="T818" s="92" t="s">
        <v>7909</v>
      </c>
      <c r="U818">
        <v>1</v>
      </c>
      <c r="V818">
        <f>VLOOKUP(T818,'Data Angt'!$A$5:$F$5810,6,FALSE)</f>
        <v>63</v>
      </c>
      <c r="W818" s="5" t="str">
        <f t="shared" si="12"/>
        <v>PRODUKTIF</v>
      </c>
      <c r="X818" s="5" t="str">
        <f>VLOOKUP(T818,'Data Angt'!$A$5:$H$5810,8,FALSE)</f>
        <v>Wiraswasta</v>
      </c>
      <c r="Y818" s="5" t="str">
        <f>VLOOKUP(T818,'Data Angt'!$A$5:$C$5808,3,FALSE)</f>
        <v>KRK</v>
      </c>
    </row>
    <row r="819" spans="1:25" x14ac:dyDescent="0.3">
      <c r="A819" s="8">
        <v>813</v>
      </c>
      <c r="B819" s="9" t="s">
        <v>4103</v>
      </c>
      <c r="C819" s="10" t="str">
        <f>VLOOKUP(B819,'Data Angt'!$A$5:$B$5809,2,FALSE)</f>
        <v>A1781</v>
      </c>
      <c r="D819" s="11" t="s">
        <v>9833</v>
      </c>
      <c r="E819" s="12" t="s">
        <v>16534</v>
      </c>
      <c r="F819" s="13">
        <v>45834</v>
      </c>
      <c r="G819" s="14">
        <v>45924</v>
      </c>
      <c r="H819" s="15">
        <v>10000000</v>
      </c>
      <c r="I819" s="16">
        <v>12</v>
      </c>
      <c r="J819" s="17">
        <v>11.88</v>
      </c>
      <c r="K819" s="9" t="s">
        <v>9831</v>
      </c>
      <c r="L819" s="10" t="s">
        <v>16535</v>
      </c>
      <c r="M819" s="9" t="s">
        <v>16536</v>
      </c>
      <c r="N819" s="10" t="s">
        <v>9834</v>
      </c>
      <c r="O819" s="15">
        <v>7609600</v>
      </c>
      <c r="P819" s="145">
        <v>102600</v>
      </c>
      <c r="Q819" s="9"/>
      <c r="R819" s="146"/>
      <c r="T819" s="92" t="s">
        <v>7914</v>
      </c>
      <c r="U819">
        <v>1</v>
      </c>
      <c r="V819">
        <f>VLOOKUP(T819,'Data Angt'!$A$5:$F$5810,6,FALSE)</f>
        <v>68</v>
      </c>
      <c r="W819" s="5" t="str">
        <f t="shared" si="12"/>
        <v>PRODUKTIF</v>
      </c>
      <c r="X819" s="5" t="str">
        <f>VLOOKUP(T819,'Data Angt'!$A$5:$H$5810,8,FALSE)</f>
        <v>Wiraswasta</v>
      </c>
      <c r="Y819" s="5" t="str">
        <f>VLOOKUP(T819,'Data Angt'!$A$5:$C$5808,3,FALSE)</f>
        <v>KRK</v>
      </c>
    </row>
    <row r="820" spans="1:25" x14ac:dyDescent="0.3">
      <c r="A820" s="8">
        <v>814</v>
      </c>
      <c r="B820" s="9" t="s">
        <v>4166</v>
      </c>
      <c r="C820" s="10" t="str">
        <f>VLOOKUP(B820,'Data Angt'!$A$5:$B$5809,2,FALSE)</f>
        <v>A1807</v>
      </c>
      <c r="D820" s="11" t="s">
        <v>9833</v>
      </c>
      <c r="E820" s="12" t="s">
        <v>10304</v>
      </c>
      <c r="F820" s="13">
        <v>45246</v>
      </c>
      <c r="G820" s="14">
        <v>45917</v>
      </c>
      <c r="H820" s="15">
        <v>9000000</v>
      </c>
      <c r="I820" s="16">
        <v>24</v>
      </c>
      <c r="J820" s="17">
        <v>24</v>
      </c>
      <c r="K820" s="9" t="s">
        <v>9831</v>
      </c>
      <c r="L820" s="10" t="s">
        <v>10305</v>
      </c>
      <c r="M820" s="9" t="s">
        <v>10306</v>
      </c>
      <c r="N820" s="10" t="s">
        <v>9834</v>
      </c>
      <c r="O820" s="15">
        <v>923600</v>
      </c>
      <c r="P820" s="145">
        <v>897517</v>
      </c>
      <c r="Q820" s="9" t="s">
        <v>22901</v>
      </c>
      <c r="R820" s="146" t="s">
        <v>22962</v>
      </c>
      <c r="T820" s="92" t="s">
        <v>7916</v>
      </c>
      <c r="U820">
        <v>1</v>
      </c>
      <c r="V820">
        <f>VLOOKUP(T820,'Data Angt'!$A$5:$F$5810,6,FALSE)</f>
        <v>42</v>
      </c>
      <c r="W820" s="5" t="str">
        <f t="shared" si="12"/>
        <v>KONSUMTIF</v>
      </c>
      <c r="X820" s="5" t="str">
        <f>VLOOKUP(T820,'Data Angt'!$A$5:$H$5810,8,FALSE)</f>
        <v>Tenaga Pengajar</v>
      </c>
      <c r="Y820" s="5" t="str">
        <f>VLOOKUP(T820,'Data Angt'!$A$5:$C$5808,3,FALSE)</f>
        <v>KRK</v>
      </c>
    </row>
    <row r="821" spans="1:25" x14ac:dyDescent="0.3">
      <c r="A821" s="8">
        <v>815</v>
      </c>
      <c r="B821" s="9" t="s">
        <v>4251</v>
      </c>
      <c r="C821" s="10" t="str">
        <f>VLOOKUP(B821,'Data Angt'!$A$5:$B$5809,2,FALSE)</f>
        <v>A1842</v>
      </c>
      <c r="D821" s="11" t="s">
        <v>9829</v>
      </c>
      <c r="E821" s="12" t="s">
        <v>16537</v>
      </c>
      <c r="F821" s="13">
        <v>45621</v>
      </c>
      <c r="G821" s="14">
        <v>45912</v>
      </c>
      <c r="H821" s="15">
        <v>25000000</v>
      </c>
      <c r="I821" s="16">
        <v>36</v>
      </c>
      <c r="J821" s="17">
        <v>21</v>
      </c>
      <c r="K821" s="9" t="s">
        <v>9831</v>
      </c>
      <c r="L821" s="10" t="s">
        <v>16538</v>
      </c>
      <c r="M821" s="9" t="s">
        <v>10008</v>
      </c>
      <c r="N821" s="10" t="s">
        <v>17</v>
      </c>
      <c r="O821" s="15">
        <v>19540000</v>
      </c>
      <c r="P821" s="145">
        <v>1484622</v>
      </c>
      <c r="Q821" s="9" t="s">
        <v>22910</v>
      </c>
      <c r="R821" s="146" t="s">
        <v>22963</v>
      </c>
      <c r="T821" s="92" t="s">
        <v>7962</v>
      </c>
      <c r="U821">
        <v>1</v>
      </c>
      <c r="V821">
        <f>VLOOKUP(T821,'Data Angt'!$A$5:$F$5810,6,FALSE)</f>
        <v>44</v>
      </c>
      <c r="W821" s="5" t="str">
        <f t="shared" si="12"/>
        <v>PRODUKTIF</v>
      </c>
      <c r="X821" s="5" t="str">
        <f>VLOOKUP(T821,'Data Angt'!$A$5:$H$5810,8,FALSE)</f>
        <v>Aparatur/Pejabat Negara</v>
      </c>
      <c r="Y821" s="5" t="str">
        <f>VLOOKUP(T821,'Data Angt'!$A$5:$C$5808,3,FALSE)</f>
        <v>KRK</v>
      </c>
    </row>
    <row r="822" spans="1:25" x14ac:dyDescent="0.3">
      <c r="A822" s="8">
        <v>816</v>
      </c>
      <c r="B822" s="9" t="s">
        <v>4303</v>
      </c>
      <c r="C822" s="10" t="str">
        <f>VLOOKUP(B822,'Data Angt'!$A$5:$B$5809,2,FALSE)</f>
        <v>A1865</v>
      </c>
      <c r="D822" s="11" t="s">
        <v>9829</v>
      </c>
      <c r="E822" s="12" t="s">
        <v>10307</v>
      </c>
      <c r="F822" s="13">
        <v>43941</v>
      </c>
      <c r="G822" s="14">
        <v>44742</v>
      </c>
      <c r="H822" s="15">
        <v>30000000</v>
      </c>
      <c r="I822" s="16">
        <v>60</v>
      </c>
      <c r="J822" s="17">
        <v>21</v>
      </c>
      <c r="K822" s="9" t="s">
        <v>9827</v>
      </c>
      <c r="L822" s="10" t="s">
        <v>10308</v>
      </c>
      <c r="M822" s="9" t="s">
        <v>10309</v>
      </c>
      <c r="N822" s="10" t="s">
        <v>9830</v>
      </c>
      <c r="O822" s="15">
        <v>19500000</v>
      </c>
      <c r="P822" s="145">
        <v>3593132</v>
      </c>
      <c r="Q822" s="9"/>
      <c r="R822" s="146"/>
      <c r="T822" s="92" t="s">
        <v>8045</v>
      </c>
      <c r="U822">
        <v>1</v>
      </c>
      <c r="V822">
        <f>VLOOKUP(T822,'Data Angt'!$A$5:$F$5810,6,FALSE)</f>
        <v>27</v>
      </c>
      <c r="W822" s="5" t="str">
        <f t="shared" si="12"/>
        <v>PRODUKTIF</v>
      </c>
      <c r="X822" s="5">
        <f>VLOOKUP(T822,'Data Angt'!$A$5:$H$5810,8,FALSE)</f>
        <v>0</v>
      </c>
      <c r="Y822" s="5" t="str">
        <f>VLOOKUP(T822,'Data Angt'!$A$5:$C$5808,3,FALSE)</f>
        <v>KRK</v>
      </c>
    </row>
    <row r="823" spans="1:25" x14ac:dyDescent="0.3">
      <c r="A823" s="8">
        <v>817</v>
      </c>
      <c r="B823" s="9" t="s">
        <v>4321</v>
      </c>
      <c r="C823" s="10" t="str">
        <f>VLOOKUP(B823,'Data Angt'!$A$5:$B$5809,2,FALSE)</f>
        <v>A1873</v>
      </c>
      <c r="D823" s="11" t="s">
        <v>9833</v>
      </c>
      <c r="E823" s="12" t="s">
        <v>16539</v>
      </c>
      <c r="F823" s="13">
        <v>45813</v>
      </c>
      <c r="G823" s="14">
        <v>45930</v>
      </c>
      <c r="H823" s="15">
        <v>6000000</v>
      </c>
      <c r="I823" s="16">
        <v>12</v>
      </c>
      <c r="J823" s="17">
        <v>24</v>
      </c>
      <c r="K823" s="9" t="s">
        <v>9827</v>
      </c>
      <c r="L823" s="10" t="s">
        <v>16540</v>
      </c>
      <c r="M823" s="9" t="s">
        <v>9862</v>
      </c>
      <c r="N823" s="10" t="s">
        <v>9834</v>
      </c>
      <c r="O823" s="15">
        <v>4500000</v>
      </c>
      <c r="P823" s="145">
        <v>123750</v>
      </c>
      <c r="Q823" s="9" t="s">
        <v>22901</v>
      </c>
      <c r="R823" s="146" t="s">
        <v>22964</v>
      </c>
      <c r="T823" s="92" t="s">
        <v>8117</v>
      </c>
      <c r="U823">
        <v>1</v>
      </c>
      <c r="V823">
        <f>VLOOKUP(T823,'Data Angt'!$A$5:$F$5810,6,FALSE)</f>
        <v>36</v>
      </c>
      <c r="W823" s="5" t="str">
        <f t="shared" si="12"/>
        <v>PRODUKTIF</v>
      </c>
      <c r="X823" s="5">
        <f>VLOOKUP(T823,'Data Angt'!$A$5:$H$5810,8,FALSE)</f>
        <v>0</v>
      </c>
      <c r="Y823" s="5" t="str">
        <f>VLOOKUP(T823,'Data Angt'!$A$5:$C$5808,3,FALSE)</f>
        <v>KRK</v>
      </c>
    </row>
    <row r="824" spans="1:25" x14ac:dyDescent="0.3">
      <c r="A824" s="8">
        <v>818</v>
      </c>
      <c r="B824" s="9" t="s">
        <v>4352</v>
      </c>
      <c r="C824" s="10" t="str">
        <f>VLOOKUP(B824,'Data Angt'!$A$5:$B$5809,2,FALSE)</f>
        <v>A1890</v>
      </c>
      <c r="D824" s="11" t="s">
        <v>9829</v>
      </c>
      <c r="E824" s="12" t="s">
        <v>10310</v>
      </c>
      <c r="F824" s="13">
        <v>43165</v>
      </c>
      <c r="G824" s="14">
        <v>44251</v>
      </c>
      <c r="H824" s="15">
        <v>30000000</v>
      </c>
      <c r="I824" s="16">
        <v>36</v>
      </c>
      <c r="J824" s="17">
        <v>21</v>
      </c>
      <c r="K824" s="9" t="s">
        <v>9827</v>
      </c>
      <c r="L824" s="10"/>
      <c r="M824" s="9"/>
      <c r="N824" s="10"/>
      <c r="O824" s="15">
        <v>25833000</v>
      </c>
      <c r="P824" s="145">
        <v>1624272</v>
      </c>
      <c r="Q824" s="9"/>
      <c r="R824" s="146"/>
      <c r="T824" s="92" t="s">
        <v>8130</v>
      </c>
      <c r="U824">
        <v>1</v>
      </c>
      <c r="V824">
        <f>VLOOKUP(T824,'Data Angt'!$A$5:$F$5810,6,FALSE)</f>
        <v>56</v>
      </c>
      <c r="W824" s="5" t="str">
        <f t="shared" si="12"/>
        <v>PRODUKTIF</v>
      </c>
      <c r="X824" s="5" t="str">
        <f>VLOOKUP(T824,'Data Angt'!$A$5:$H$5810,8,FALSE)</f>
        <v>Lain-Lain</v>
      </c>
      <c r="Y824" s="5" t="str">
        <f>VLOOKUP(T824,'Data Angt'!$A$5:$C$5808,3,FALSE)</f>
        <v>KRK</v>
      </c>
    </row>
    <row r="825" spans="1:25" x14ac:dyDescent="0.3">
      <c r="A825" s="8">
        <v>819</v>
      </c>
      <c r="B825" s="9" t="s">
        <v>4401</v>
      </c>
      <c r="C825" s="10" t="str">
        <f>VLOOKUP(B825,'Data Angt'!$A$5:$B$5809,2,FALSE)</f>
        <v>A1911</v>
      </c>
      <c r="D825" s="11" t="s">
        <v>9829</v>
      </c>
      <c r="E825" s="12" t="s">
        <v>10311</v>
      </c>
      <c r="F825" s="13">
        <v>44580</v>
      </c>
      <c r="G825" s="14">
        <v>44846</v>
      </c>
      <c r="H825" s="15">
        <v>150000000</v>
      </c>
      <c r="I825" s="16">
        <v>48</v>
      </c>
      <c r="J825" s="17">
        <v>21</v>
      </c>
      <c r="K825" s="9" t="s">
        <v>9831</v>
      </c>
      <c r="L825" s="10" t="s">
        <v>10312</v>
      </c>
      <c r="M825" s="9" t="s">
        <v>9838</v>
      </c>
      <c r="N825" s="10" t="s">
        <v>9828</v>
      </c>
      <c r="O825" s="15">
        <v>132815900</v>
      </c>
      <c r="P825" s="145">
        <v>8362272</v>
      </c>
      <c r="Q825" s="9"/>
      <c r="R825" s="146"/>
      <c r="T825" s="92" t="s">
        <v>8135</v>
      </c>
      <c r="U825">
        <v>1</v>
      </c>
      <c r="V825">
        <f>VLOOKUP(T825,'Data Angt'!$A$5:$F$5810,6,FALSE)</f>
        <v>45</v>
      </c>
      <c r="W825" s="5" t="str">
        <f t="shared" si="12"/>
        <v>PRODUKTIF</v>
      </c>
      <c r="X825" s="5" t="str">
        <f>VLOOKUP(T825,'Data Angt'!$A$5:$H$5810,8,FALSE)</f>
        <v>Karyawan</v>
      </c>
      <c r="Y825" s="5" t="str">
        <f>VLOOKUP(T825,'Data Angt'!$A$5:$C$5808,3,FALSE)</f>
        <v>KRK</v>
      </c>
    </row>
    <row r="826" spans="1:25" x14ac:dyDescent="0.3">
      <c r="A826" s="8">
        <v>820</v>
      </c>
      <c r="B826" s="9" t="s">
        <v>4427</v>
      </c>
      <c r="C826" s="10" t="str">
        <f>VLOOKUP(B826,'Data Angt'!$A$5:$B$5809,2,FALSE)</f>
        <v>A1926</v>
      </c>
      <c r="D826" s="11" t="s">
        <v>9829</v>
      </c>
      <c r="E826" s="12" t="s">
        <v>10313</v>
      </c>
      <c r="F826" s="13">
        <v>44421</v>
      </c>
      <c r="G826" s="14">
        <v>45253</v>
      </c>
      <c r="H826" s="15">
        <v>200000000</v>
      </c>
      <c r="I826" s="16">
        <v>36</v>
      </c>
      <c r="J826" s="17">
        <v>21</v>
      </c>
      <c r="K826" s="9" t="s">
        <v>9831</v>
      </c>
      <c r="L826" s="10" t="s">
        <v>10314</v>
      </c>
      <c r="M826" s="9" t="s">
        <v>10315</v>
      </c>
      <c r="N826" s="10" t="s">
        <v>9834</v>
      </c>
      <c r="O826" s="15">
        <v>183431100</v>
      </c>
      <c r="P826" s="145">
        <v>8784373</v>
      </c>
      <c r="Q826" s="9"/>
      <c r="R826" s="146"/>
      <c r="T826" s="92" t="s">
        <v>12544</v>
      </c>
      <c r="U826">
        <v>1</v>
      </c>
      <c r="V826">
        <f>VLOOKUP(T826,'Data Angt'!$A$5:$F$5810,6,FALSE)</f>
        <v>37</v>
      </c>
      <c r="W826" s="5" t="str">
        <f t="shared" si="12"/>
        <v>KESEJAHTERAAN</v>
      </c>
      <c r="X826" s="5" t="str">
        <f>VLOOKUP(T826,'Data Angt'!$A$5:$H$5810,8,FALSE)</f>
        <v>Mengurus Rumah Tangga</v>
      </c>
      <c r="Y826" s="5" t="str">
        <f>VLOOKUP(T826,'Data Angt'!$A$5:$C$5808,3,FALSE)</f>
        <v>KRK</v>
      </c>
    </row>
    <row r="827" spans="1:25" x14ac:dyDescent="0.3">
      <c r="A827" s="8">
        <v>821</v>
      </c>
      <c r="B827" s="9" t="s">
        <v>4463</v>
      </c>
      <c r="C827" s="10" t="str">
        <f>VLOOKUP(B827,'Data Angt'!$A$5:$B$5809,2,FALSE)</f>
        <v>A1943</v>
      </c>
      <c r="D827" s="11" t="s">
        <v>9829</v>
      </c>
      <c r="E827" s="12" t="s">
        <v>16541</v>
      </c>
      <c r="F827" s="13">
        <v>45364</v>
      </c>
      <c r="G827" s="14">
        <v>45913</v>
      </c>
      <c r="H827" s="15">
        <v>6000000</v>
      </c>
      <c r="I827" s="16">
        <v>24</v>
      </c>
      <c r="J827" s="17">
        <v>11.64</v>
      </c>
      <c r="K827" s="9" t="s">
        <v>9831</v>
      </c>
      <c r="L827" s="10" t="s">
        <v>16542</v>
      </c>
      <c r="M827" s="9" t="s">
        <v>16543</v>
      </c>
      <c r="N827" s="10" t="s">
        <v>9834</v>
      </c>
      <c r="O827" s="15">
        <v>1632200</v>
      </c>
      <c r="P827" s="145">
        <v>262196</v>
      </c>
      <c r="Q827" s="9"/>
      <c r="R827" s="146"/>
      <c r="T827" s="92" t="s">
        <v>8318</v>
      </c>
      <c r="U827">
        <v>1</v>
      </c>
      <c r="V827">
        <f>VLOOKUP(T827,'Data Angt'!$A$5:$F$5810,6,FALSE)</f>
        <v>29</v>
      </c>
      <c r="W827" s="5" t="str">
        <f t="shared" si="12"/>
        <v>KONSUMTIF</v>
      </c>
      <c r="X827" s="5" t="str">
        <f>VLOOKUP(T827,'Data Angt'!$A$5:$H$5810,8,FALSE)</f>
        <v>Karyawan</v>
      </c>
      <c r="Y827" s="5" t="str">
        <f>VLOOKUP(T827,'Data Angt'!$A$5:$C$5808,3,FALSE)</f>
        <v>KRK</v>
      </c>
    </row>
    <row r="828" spans="1:25" x14ac:dyDescent="0.3">
      <c r="A828" s="8">
        <v>822</v>
      </c>
      <c r="B828" s="9" t="s">
        <v>4603</v>
      </c>
      <c r="C828" s="10" t="str">
        <f>VLOOKUP(B828,'Data Angt'!$A$5:$B$5809,2,FALSE)</f>
        <v>A2011</v>
      </c>
      <c r="D828" s="11" t="s">
        <v>9829</v>
      </c>
      <c r="E828" s="12" t="s">
        <v>10316</v>
      </c>
      <c r="F828" s="13">
        <v>43186</v>
      </c>
      <c r="G828" s="14">
        <v>44251</v>
      </c>
      <c r="H828" s="15">
        <v>8000000</v>
      </c>
      <c r="I828" s="16">
        <v>36</v>
      </c>
      <c r="J828" s="17">
        <v>24</v>
      </c>
      <c r="K828" s="9" t="s">
        <v>9827</v>
      </c>
      <c r="L828" s="10"/>
      <c r="M828" s="9"/>
      <c r="N828" s="10"/>
      <c r="O828" s="15">
        <v>5332400</v>
      </c>
      <c r="P828" s="145">
        <v>733498</v>
      </c>
      <c r="Q828" s="9"/>
      <c r="R828" s="146"/>
      <c r="T828" s="92" t="s">
        <v>8398</v>
      </c>
      <c r="U828">
        <v>1</v>
      </c>
      <c r="V828">
        <f>VLOOKUP(T828,'Data Angt'!$A$5:$F$5810,6,FALSE)</f>
        <v>26</v>
      </c>
      <c r="W828" s="5" t="str">
        <f t="shared" si="12"/>
        <v>PRODUKTIF</v>
      </c>
      <c r="X828" s="5" t="str">
        <f>VLOOKUP(T828,'Data Angt'!$A$5:$H$5810,8,FALSE)</f>
        <v>Karyawan</v>
      </c>
      <c r="Y828" s="5" t="str">
        <f>VLOOKUP(T828,'Data Angt'!$A$5:$C$5808,3,FALSE)</f>
        <v>KRK</v>
      </c>
    </row>
    <row r="829" spans="1:25" x14ac:dyDescent="0.3">
      <c r="A829" s="8">
        <v>823</v>
      </c>
      <c r="B829" s="9" t="s">
        <v>4637</v>
      </c>
      <c r="C829" s="10" t="str">
        <f>VLOOKUP(B829,'Data Angt'!$A$5:$B$5809,2,FALSE)</f>
        <v>A2024</v>
      </c>
      <c r="D829" s="11" t="s">
        <v>9833</v>
      </c>
      <c r="E829" s="12" t="s">
        <v>10317</v>
      </c>
      <c r="F829" s="13">
        <v>43346</v>
      </c>
      <c r="G829" s="14">
        <v>43638</v>
      </c>
      <c r="H829" s="15">
        <v>30000000</v>
      </c>
      <c r="I829" s="16">
        <v>24</v>
      </c>
      <c r="J829" s="17">
        <v>21</v>
      </c>
      <c r="K829" s="9" t="s">
        <v>9827</v>
      </c>
      <c r="L829" s="10" t="s">
        <v>10318</v>
      </c>
      <c r="M829" s="9" t="s">
        <v>10319</v>
      </c>
      <c r="N829" s="10" t="s">
        <v>9834</v>
      </c>
      <c r="O829" s="15">
        <v>18750000</v>
      </c>
      <c r="P829" s="145">
        <v>1484886</v>
      </c>
      <c r="Q829" s="9" t="s">
        <v>22189</v>
      </c>
      <c r="R829" s="146" t="s">
        <v>22965</v>
      </c>
      <c r="T829" s="92" t="s">
        <v>8509</v>
      </c>
      <c r="U829">
        <v>1</v>
      </c>
      <c r="V829">
        <f>VLOOKUP(T829,'Data Angt'!$A$5:$F$5810,6,FALSE)</f>
        <v>45</v>
      </c>
      <c r="W829" s="5" t="str">
        <f t="shared" si="12"/>
        <v>KONSUMTIF</v>
      </c>
      <c r="X829" s="5" t="str">
        <f>VLOOKUP(T829,'Data Angt'!$A$5:$H$5810,8,FALSE)</f>
        <v>Lain-Lain</v>
      </c>
      <c r="Y829" s="5" t="str">
        <f>VLOOKUP(T829,'Data Angt'!$A$5:$C$5808,3,FALSE)</f>
        <v>KRK</v>
      </c>
    </row>
    <row r="830" spans="1:25" x14ac:dyDescent="0.3">
      <c r="A830" s="8">
        <v>824</v>
      </c>
      <c r="B830" s="9" t="s">
        <v>4637</v>
      </c>
      <c r="C830" s="10" t="str">
        <f>VLOOKUP(B830,'Data Angt'!$A$5:$B$5809,2,FALSE)</f>
        <v>A2024</v>
      </c>
      <c r="D830" s="11" t="s">
        <v>9826</v>
      </c>
      <c r="E830" s="12" t="s">
        <v>10320</v>
      </c>
      <c r="F830" s="13">
        <v>43500</v>
      </c>
      <c r="G830" s="14">
        <v>44251</v>
      </c>
      <c r="H830" s="15">
        <v>3000000</v>
      </c>
      <c r="I830" s="16">
        <v>12</v>
      </c>
      <c r="J830" s="17">
        <v>24</v>
      </c>
      <c r="K830" s="9" t="s">
        <v>9827</v>
      </c>
      <c r="L830" s="10" t="s">
        <v>10321</v>
      </c>
      <c r="M830" s="9" t="s">
        <v>10322</v>
      </c>
      <c r="N830" s="10" t="s">
        <v>9834</v>
      </c>
      <c r="O830" s="15">
        <v>1500000</v>
      </c>
      <c r="P830" s="145">
        <v>185625</v>
      </c>
      <c r="Q830" s="9"/>
      <c r="R830" s="146"/>
      <c r="T830" s="92" t="s">
        <v>8534</v>
      </c>
      <c r="U830">
        <v>1</v>
      </c>
      <c r="V830">
        <f>VLOOKUP(T830,'Data Angt'!$A$5:$F$5810,6,FALSE)</f>
        <v>25</v>
      </c>
      <c r="W830" s="5" t="str">
        <f t="shared" si="12"/>
        <v>KONSUMTIF</v>
      </c>
      <c r="X830" s="5" t="str">
        <f>VLOOKUP(T830,'Data Angt'!$A$5:$H$5810,8,FALSE)</f>
        <v>Karyawan</v>
      </c>
      <c r="Y830" s="5" t="str">
        <f>VLOOKUP(T830,'Data Angt'!$A$5:$C$5808,3,FALSE)</f>
        <v>KRK</v>
      </c>
    </row>
    <row r="831" spans="1:25" x14ac:dyDescent="0.3">
      <c r="A831" s="8">
        <v>825</v>
      </c>
      <c r="B831" s="9" t="s">
        <v>4645</v>
      </c>
      <c r="C831" s="10" t="str">
        <f>VLOOKUP(B831,'Data Angt'!$A$5:$B$5809,2,FALSE)</f>
        <v>A2028</v>
      </c>
      <c r="D831" s="11" t="s">
        <v>9829</v>
      </c>
      <c r="E831" s="12" t="s">
        <v>10323</v>
      </c>
      <c r="F831" s="13">
        <v>44214</v>
      </c>
      <c r="G831" s="14">
        <v>45699</v>
      </c>
      <c r="H831" s="15">
        <v>85000000</v>
      </c>
      <c r="I831" s="16">
        <v>48</v>
      </c>
      <c r="J831" s="17">
        <v>21</v>
      </c>
      <c r="K831" s="9" t="s">
        <v>9831</v>
      </c>
      <c r="L831" s="10" t="s">
        <v>10324</v>
      </c>
      <c r="M831" s="9" t="s">
        <v>10325</v>
      </c>
      <c r="N831" s="10" t="s">
        <v>9828</v>
      </c>
      <c r="O831" s="15">
        <v>56252900</v>
      </c>
      <c r="P831" s="145">
        <v>11956382</v>
      </c>
      <c r="Q831" s="9" t="s">
        <v>22575</v>
      </c>
      <c r="R831" s="146" t="s">
        <v>22966</v>
      </c>
      <c r="T831" s="92" t="s">
        <v>8563</v>
      </c>
      <c r="U831">
        <v>1</v>
      </c>
      <c r="V831">
        <f>VLOOKUP(T831,'Data Angt'!$A$5:$F$5810,6,FALSE)</f>
        <v>50</v>
      </c>
      <c r="W831" s="5" t="str">
        <f t="shared" si="12"/>
        <v>PRODUKTIF</v>
      </c>
      <c r="X831" s="5" t="str">
        <f>VLOOKUP(T831,'Data Angt'!$A$5:$H$5810,8,FALSE)</f>
        <v>Belum/Tidak Bekerja</v>
      </c>
      <c r="Y831" s="5" t="str">
        <f>VLOOKUP(T831,'Data Angt'!$A$5:$C$5808,3,FALSE)</f>
        <v>KRK</v>
      </c>
    </row>
    <row r="832" spans="1:25" x14ac:dyDescent="0.3">
      <c r="A832" s="8">
        <v>826</v>
      </c>
      <c r="B832" s="9" t="s">
        <v>4748</v>
      </c>
      <c r="C832" s="10" t="str">
        <f>VLOOKUP(B832,'Data Angt'!$A$5:$B$5809,2,FALSE)</f>
        <v>A2075</v>
      </c>
      <c r="D832" s="11" t="s">
        <v>9826</v>
      </c>
      <c r="E832" s="12" t="s">
        <v>16544</v>
      </c>
      <c r="F832" s="13">
        <v>45821</v>
      </c>
      <c r="G832" s="14">
        <v>45915</v>
      </c>
      <c r="H832" s="15">
        <v>5000000</v>
      </c>
      <c r="I832" s="16">
        <v>10</v>
      </c>
      <c r="J832" s="17">
        <v>24</v>
      </c>
      <c r="K832" s="9" t="s">
        <v>9831</v>
      </c>
      <c r="L832" s="10" t="s">
        <v>16545</v>
      </c>
      <c r="M832" s="9" t="s">
        <v>9862</v>
      </c>
      <c r="N832" s="10" t="s">
        <v>9834</v>
      </c>
      <c r="O832" s="15">
        <v>3602400</v>
      </c>
      <c r="P832" s="145">
        <v>102187</v>
      </c>
      <c r="Q832" s="9"/>
      <c r="R832" s="146"/>
      <c r="T832" s="92" t="s">
        <v>8572</v>
      </c>
      <c r="U832">
        <v>1</v>
      </c>
      <c r="V832">
        <f>VLOOKUP(T832,'Data Angt'!$A$5:$F$5810,6,FALSE)</f>
        <v>25</v>
      </c>
      <c r="W832" s="5" t="str">
        <f t="shared" si="12"/>
        <v>KESEJAHTERAAN</v>
      </c>
      <c r="X832" s="5" t="str">
        <f>VLOOKUP(T832,'Data Angt'!$A$5:$H$5810,8,FALSE)</f>
        <v>Karyawan</v>
      </c>
      <c r="Y832" s="5" t="str">
        <f>VLOOKUP(T832,'Data Angt'!$A$5:$C$5808,3,FALSE)</f>
        <v>KRK</v>
      </c>
    </row>
    <row r="833" spans="1:25" x14ac:dyDescent="0.3">
      <c r="A833" s="8">
        <v>827</v>
      </c>
      <c r="B833" s="9" t="s">
        <v>4748</v>
      </c>
      <c r="C833" s="10" t="str">
        <f>VLOOKUP(B833,'Data Angt'!$A$5:$B$5809,2,FALSE)</f>
        <v>A2075</v>
      </c>
      <c r="D833" s="11" t="s">
        <v>9829</v>
      </c>
      <c r="E833" s="12" t="s">
        <v>22967</v>
      </c>
      <c r="F833" s="13">
        <v>45877</v>
      </c>
      <c r="G833" s="14">
        <v>45904</v>
      </c>
      <c r="H833" s="15">
        <v>15000000</v>
      </c>
      <c r="I833" s="16">
        <v>30</v>
      </c>
      <c r="J833" s="17">
        <v>24</v>
      </c>
      <c r="K833" s="9" t="s">
        <v>9831</v>
      </c>
      <c r="L833" s="10" t="s">
        <v>22968</v>
      </c>
      <c r="M833" s="9" t="s">
        <v>10352</v>
      </c>
      <c r="N833" s="10" t="s">
        <v>9828</v>
      </c>
      <c r="O833" s="15">
        <v>14630200</v>
      </c>
      <c r="P833" s="145">
        <v>112500</v>
      </c>
      <c r="Q833" s="9" t="s">
        <v>22946</v>
      </c>
      <c r="R833" s="146" t="s">
        <v>22969</v>
      </c>
      <c r="T833" s="92" t="s">
        <v>8666</v>
      </c>
      <c r="U833">
        <v>1</v>
      </c>
      <c r="V833">
        <f>VLOOKUP(T833,'Data Angt'!$A$5:$F$5810,6,FALSE)</f>
        <v>42</v>
      </c>
      <c r="W833" s="5" t="str">
        <f t="shared" si="12"/>
        <v>PRODUKTIF</v>
      </c>
      <c r="X833" s="5" t="str">
        <f>VLOOKUP(T833,'Data Angt'!$A$5:$H$5810,8,FALSE)</f>
        <v>Wiraswasta</v>
      </c>
      <c r="Y833" s="5" t="str">
        <f>VLOOKUP(T833,'Data Angt'!$A$5:$C$5808,3,FALSE)</f>
        <v>KRK</v>
      </c>
    </row>
    <row r="834" spans="1:25" x14ac:dyDescent="0.3">
      <c r="A834" s="8">
        <v>828</v>
      </c>
      <c r="B834" s="9" t="s">
        <v>4752</v>
      </c>
      <c r="C834" s="10" t="str">
        <f>VLOOKUP(B834,'Data Angt'!$A$5:$B$5809,2,FALSE)</f>
        <v>A2078</v>
      </c>
      <c r="D834" s="11" t="s">
        <v>9829</v>
      </c>
      <c r="E834" s="12" t="s">
        <v>16546</v>
      </c>
      <c r="F834" s="13">
        <v>45457</v>
      </c>
      <c r="G834" s="14">
        <v>45908</v>
      </c>
      <c r="H834" s="15">
        <v>5000000</v>
      </c>
      <c r="I834" s="16">
        <v>24</v>
      </c>
      <c r="J834" s="17">
        <v>11.64</v>
      </c>
      <c r="K834" s="9" t="s">
        <v>9831</v>
      </c>
      <c r="L834" s="10" t="s">
        <v>16547</v>
      </c>
      <c r="M834" s="9" t="s">
        <v>9832</v>
      </c>
      <c r="N834" s="10" t="s">
        <v>17</v>
      </c>
      <c r="O834" s="15">
        <v>2011400</v>
      </c>
      <c r="P834" s="145">
        <v>198894</v>
      </c>
      <c r="Q834" s="9"/>
      <c r="R834" s="146"/>
      <c r="T834" s="92" t="s">
        <v>8688</v>
      </c>
      <c r="U834">
        <v>1</v>
      </c>
      <c r="V834">
        <f>VLOOKUP(T834,'Data Angt'!$A$5:$F$5810,6,FALSE)</f>
        <v>61</v>
      </c>
      <c r="W834" s="5" t="str">
        <f t="shared" si="12"/>
        <v>KONSUMTIF</v>
      </c>
      <c r="X834" s="5" t="str">
        <f>VLOOKUP(T834,'Data Angt'!$A$5:$H$5810,8,FALSE)</f>
        <v>Wiraswasta</v>
      </c>
      <c r="Y834" s="5" t="str">
        <f>VLOOKUP(T834,'Data Angt'!$A$5:$C$5808,3,FALSE)</f>
        <v>KRK</v>
      </c>
    </row>
    <row r="835" spans="1:25" x14ac:dyDescent="0.3">
      <c r="A835" s="8">
        <v>829</v>
      </c>
      <c r="B835" s="9" t="s">
        <v>4865</v>
      </c>
      <c r="C835" s="10" t="str">
        <f>VLOOKUP(B835,'Data Angt'!$A$5:$B$5809,2,FALSE)</f>
        <v>A2130</v>
      </c>
      <c r="D835" s="11" t="s">
        <v>10089</v>
      </c>
      <c r="E835" s="12" t="s">
        <v>10326</v>
      </c>
      <c r="F835" s="13">
        <v>42451</v>
      </c>
      <c r="G835" s="14">
        <v>44251</v>
      </c>
      <c r="H835" s="15">
        <v>100000000</v>
      </c>
      <c r="I835" s="16">
        <v>48</v>
      </c>
      <c r="J835" s="17">
        <v>21</v>
      </c>
      <c r="K835" s="9" t="s">
        <v>9831</v>
      </c>
      <c r="L835" s="10"/>
      <c r="M835" s="9"/>
      <c r="N835" s="10"/>
      <c r="O835" s="15">
        <v>27538800</v>
      </c>
      <c r="P835" s="145">
        <v>24799008</v>
      </c>
      <c r="Q835" s="9"/>
      <c r="R835" s="146"/>
      <c r="T835" s="92" t="s">
        <v>8694</v>
      </c>
      <c r="U835">
        <v>1</v>
      </c>
      <c r="V835">
        <f>VLOOKUP(T835,'Data Angt'!$A$5:$F$5810,6,FALSE)</f>
        <v>44</v>
      </c>
      <c r="W835" s="5" t="str">
        <f t="shared" si="12"/>
        <v>PRODUKTIF</v>
      </c>
      <c r="X835" s="5" t="str">
        <f>VLOOKUP(T835,'Data Angt'!$A$5:$H$5810,8,FALSE)</f>
        <v>Petani/Pekebun/Nelayan</v>
      </c>
      <c r="Y835" s="5" t="str">
        <f>VLOOKUP(T835,'Data Angt'!$A$5:$C$5808,3,FALSE)</f>
        <v>KRK</v>
      </c>
    </row>
    <row r="836" spans="1:25" x14ac:dyDescent="0.3">
      <c r="A836" s="8">
        <v>830</v>
      </c>
      <c r="B836" s="9" t="s">
        <v>4945</v>
      </c>
      <c r="C836" s="10" t="str">
        <f>VLOOKUP(B836,'Data Angt'!$A$5:$B$5809,2,FALSE)</f>
        <v>A2166</v>
      </c>
      <c r="D836" s="11" t="s">
        <v>9829</v>
      </c>
      <c r="E836" s="12" t="s">
        <v>16548</v>
      </c>
      <c r="F836" s="13">
        <v>45803</v>
      </c>
      <c r="G836" s="14">
        <v>45929</v>
      </c>
      <c r="H836" s="15">
        <v>20000000</v>
      </c>
      <c r="I836" s="16">
        <v>30</v>
      </c>
      <c r="J836" s="17">
        <v>24</v>
      </c>
      <c r="K836" s="9" t="s">
        <v>9827</v>
      </c>
      <c r="L836" s="10" t="s">
        <v>16549</v>
      </c>
      <c r="M836" s="9" t="s">
        <v>10352</v>
      </c>
      <c r="N836" s="10" t="s">
        <v>9828</v>
      </c>
      <c r="O836" s="15">
        <v>17333200</v>
      </c>
      <c r="P836" s="145">
        <v>575024</v>
      </c>
      <c r="Q836" s="9" t="s">
        <v>22910</v>
      </c>
      <c r="R836" s="146" t="s">
        <v>22970</v>
      </c>
      <c r="T836" s="92" t="s">
        <v>8706</v>
      </c>
      <c r="U836">
        <v>1</v>
      </c>
      <c r="V836">
        <f>VLOOKUP(T836,'Data Angt'!$A$5:$F$5810,6,FALSE)</f>
        <v>39</v>
      </c>
      <c r="W836" s="5" t="str">
        <f t="shared" si="12"/>
        <v>KONSUMTIF</v>
      </c>
      <c r="X836" s="5" t="str">
        <f>VLOOKUP(T836,'Data Angt'!$A$5:$H$5810,8,FALSE)</f>
        <v>Wiraswasta</v>
      </c>
      <c r="Y836" s="5" t="str">
        <f>VLOOKUP(T836,'Data Angt'!$A$5:$C$5808,3,FALSE)</f>
        <v>KRK</v>
      </c>
    </row>
    <row r="837" spans="1:25" x14ac:dyDescent="0.3">
      <c r="A837" s="8">
        <v>831</v>
      </c>
      <c r="B837" s="9" t="s">
        <v>5105</v>
      </c>
      <c r="C837" s="10" t="str">
        <f>VLOOKUP(B837,'Data Angt'!$A$5:$B$5809,2,FALSE)</f>
        <v>A2243</v>
      </c>
      <c r="D837" s="11" t="s">
        <v>9829</v>
      </c>
      <c r="E837" s="12" t="s">
        <v>16550</v>
      </c>
      <c r="F837" s="13">
        <v>45512</v>
      </c>
      <c r="G837" s="14">
        <v>45908</v>
      </c>
      <c r="H837" s="15">
        <v>6000000</v>
      </c>
      <c r="I837" s="16">
        <v>30</v>
      </c>
      <c r="J837" s="17">
        <v>24</v>
      </c>
      <c r="K837" s="9" t="s">
        <v>9827</v>
      </c>
      <c r="L837" s="10" t="s">
        <v>16551</v>
      </c>
      <c r="M837" s="9" t="s">
        <v>10352</v>
      </c>
      <c r="N837" s="10" t="s">
        <v>9828</v>
      </c>
      <c r="O837" s="15">
        <v>3400000</v>
      </c>
      <c r="P837" s="145">
        <v>468000</v>
      </c>
      <c r="Q837" s="9"/>
      <c r="R837" s="146"/>
      <c r="T837" s="92" t="s">
        <v>8720</v>
      </c>
      <c r="U837">
        <v>1</v>
      </c>
      <c r="V837">
        <f>VLOOKUP(T837,'Data Angt'!$A$5:$F$5810,6,FALSE)</f>
        <v>64</v>
      </c>
      <c r="W837" s="5" t="str">
        <f t="shared" si="12"/>
        <v>KESEJAHTERAAN</v>
      </c>
      <c r="X837" s="5">
        <f>VLOOKUP(T837,'Data Angt'!$A$5:$H$5810,8,FALSE)</f>
        <v>0</v>
      </c>
      <c r="Y837" s="5" t="str">
        <f>VLOOKUP(T837,'Data Angt'!$A$5:$C$5808,3,FALSE)</f>
        <v>KRK</v>
      </c>
    </row>
    <row r="838" spans="1:25" x14ac:dyDescent="0.3">
      <c r="A838" s="8">
        <v>832</v>
      </c>
      <c r="B838" s="9" t="s">
        <v>5323</v>
      </c>
      <c r="C838" s="10" t="str">
        <f>VLOOKUP(B838,'Data Angt'!$A$5:$B$5809,2,FALSE)</f>
        <v>A2344</v>
      </c>
      <c r="D838" s="11" t="s">
        <v>9833</v>
      </c>
      <c r="E838" s="12" t="s">
        <v>22971</v>
      </c>
      <c r="F838" s="13">
        <v>45902</v>
      </c>
      <c r="G838" s="14">
        <v>45902</v>
      </c>
      <c r="H838" s="15">
        <v>10000000</v>
      </c>
      <c r="I838" s="16">
        <v>6</v>
      </c>
      <c r="J838" s="17">
        <v>24</v>
      </c>
      <c r="K838" s="9" t="s">
        <v>9831</v>
      </c>
      <c r="L838" s="10" t="s">
        <v>22972</v>
      </c>
      <c r="M838" s="9" t="s">
        <v>16456</v>
      </c>
      <c r="N838" s="10" t="s">
        <v>9834</v>
      </c>
      <c r="O838" s="15">
        <v>10000000</v>
      </c>
      <c r="P838" s="147">
        <v>0</v>
      </c>
      <c r="Q838" s="9" t="s">
        <v>22973</v>
      </c>
      <c r="R838" s="146" t="s">
        <v>22974</v>
      </c>
      <c r="T838" s="92" t="s">
        <v>8736</v>
      </c>
      <c r="U838">
        <v>1</v>
      </c>
      <c r="V838">
        <f>VLOOKUP(T838,'Data Angt'!$A$5:$F$5810,6,FALSE)</f>
        <v>24</v>
      </c>
      <c r="W838" s="5" t="str">
        <f t="shared" si="12"/>
        <v>KESEJAHTERAAN</v>
      </c>
      <c r="X838" s="5" t="str">
        <f>VLOOKUP(T838,'Data Angt'!$A$5:$H$5810,8,FALSE)</f>
        <v>Mengurus Rumah Tangga</v>
      </c>
      <c r="Y838" s="5" t="str">
        <f>VLOOKUP(T838,'Data Angt'!$A$5:$C$5808,3,FALSE)</f>
        <v>KRK</v>
      </c>
    </row>
    <row r="839" spans="1:25" x14ac:dyDescent="0.3">
      <c r="A839" s="8">
        <v>833</v>
      </c>
      <c r="B839" s="9" t="s">
        <v>5413</v>
      </c>
      <c r="C839" s="10" t="str">
        <f>VLOOKUP(B839,'Data Angt'!$A$5:$B$5809,2,FALSE)</f>
        <v>A2388</v>
      </c>
      <c r="D839" s="11" t="s">
        <v>9833</v>
      </c>
      <c r="E839" s="12" t="s">
        <v>16552</v>
      </c>
      <c r="F839" s="13">
        <v>45315</v>
      </c>
      <c r="G839" s="14">
        <v>45742</v>
      </c>
      <c r="H839" s="15">
        <v>50000000</v>
      </c>
      <c r="I839" s="16">
        <v>48</v>
      </c>
      <c r="J839" s="17">
        <v>21</v>
      </c>
      <c r="K839" s="9" t="s">
        <v>9827</v>
      </c>
      <c r="L839" s="10" t="s">
        <v>16553</v>
      </c>
      <c r="M839" s="9" t="s">
        <v>16554</v>
      </c>
      <c r="N839" s="10" t="s">
        <v>9834</v>
      </c>
      <c r="O839" s="15">
        <v>45833200</v>
      </c>
      <c r="P839" s="145">
        <v>1271550</v>
      </c>
      <c r="Q839" s="9" t="s">
        <v>22975</v>
      </c>
      <c r="R839" s="146" t="s">
        <v>22976</v>
      </c>
      <c r="T839" s="92" t="s">
        <v>8739</v>
      </c>
      <c r="U839">
        <v>1</v>
      </c>
      <c r="V839">
        <f>VLOOKUP(T839,'Data Angt'!$A$5:$F$5810,6,FALSE)</f>
        <v>39</v>
      </c>
      <c r="W839" s="5" t="str">
        <f t="shared" ref="W839:W902" si="13">VLOOKUP(T839,$B$7:$N$1869,13,FALSE)</f>
        <v>PRODUKTIF</v>
      </c>
      <c r="X839" s="5" t="str">
        <f>VLOOKUP(T839,'Data Angt'!$A$5:$H$5810,8,FALSE)</f>
        <v>Karyawan</v>
      </c>
      <c r="Y839" s="5" t="str">
        <f>VLOOKUP(T839,'Data Angt'!$A$5:$C$5808,3,FALSE)</f>
        <v>KRK</v>
      </c>
    </row>
    <row r="840" spans="1:25" x14ac:dyDescent="0.3">
      <c r="A840" s="8">
        <v>834</v>
      </c>
      <c r="B840" s="9" t="s">
        <v>5439</v>
      </c>
      <c r="C840" s="10" t="str">
        <f>VLOOKUP(B840,'Data Angt'!$A$5:$B$5809,2,FALSE)</f>
        <v>A2401</v>
      </c>
      <c r="D840" s="11" t="s">
        <v>9826</v>
      </c>
      <c r="E840" s="12" t="s">
        <v>10327</v>
      </c>
      <c r="F840" s="13">
        <v>44166</v>
      </c>
      <c r="G840" s="14">
        <v>44436</v>
      </c>
      <c r="H840" s="15">
        <v>5000000</v>
      </c>
      <c r="I840" s="16">
        <v>12</v>
      </c>
      <c r="J840" s="17">
        <v>24</v>
      </c>
      <c r="K840" s="9" t="s">
        <v>9831</v>
      </c>
      <c r="L840" s="10" t="s">
        <v>10328</v>
      </c>
      <c r="M840" s="9" t="s">
        <v>10329</v>
      </c>
      <c r="N840" s="10" t="s">
        <v>9828</v>
      </c>
      <c r="O840" s="15">
        <v>3060100</v>
      </c>
      <c r="P840" s="145">
        <v>242925</v>
      </c>
      <c r="Q840" s="9"/>
      <c r="R840" s="146"/>
      <c r="T840" s="92" t="s">
        <v>8741</v>
      </c>
      <c r="U840">
        <v>1</v>
      </c>
      <c r="V840">
        <f>VLOOKUP(T840,'Data Angt'!$A$5:$F$5810,6,FALSE)</f>
        <v>51</v>
      </c>
      <c r="W840" s="5" t="str">
        <f t="shared" si="13"/>
        <v>KONSUMTIF</v>
      </c>
      <c r="X840" s="5" t="str">
        <f>VLOOKUP(T840,'Data Angt'!$A$5:$H$5810,8,FALSE)</f>
        <v>Lain-Lain</v>
      </c>
      <c r="Y840" s="5" t="str">
        <f>VLOOKUP(T840,'Data Angt'!$A$5:$C$5808,3,FALSE)</f>
        <v>KRK</v>
      </c>
    </row>
    <row r="841" spans="1:25" x14ac:dyDescent="0.3">
      <c r="A841" s="8">
        <v>835</v>
      </c>
      <c r="B841" s="9" t="s">
        <v>5439</v>
      </c>
      <c r="C841" s="10" t="str">
        <f>VLOOKUP(B841,'Data Angt'!$A$5:$B$5809,2,FALSE)</f>
        <v>A2401</v>
      </c>
      <c r="D841" s="11" t="s">
        <v>9829</v>
      </c>
      <c r="E841" s="12" t="s">
        <v>10330</v>
      </c>
      <c r="F841" s="13">
        <v>43596</v>
      </c>
      <c r="G841" s="14">
        <v>44436</v>
      </c>
      <c r="H841" s="15">
        <v>35000000</v>
      </c>
      <c r="I841" s="16">
        <v>60</v>
      </c>
      <c r="J841" s="17">
        <v>21</v>
      </c>
      <c r="K841" s="9" t="s">
        <v>9827</v>
      </c>
      <c r="L841" s="10" t="s">
        <v>10331</v>
      </c>
      <c r="M841" s="9" t="s">
        <v>10332</v>
      </c>
      <c r="N841" s="10" t="s">
        <v>9828</v>
      </c>
      <c r="O841" s="15">
        <v>22165200</v>
      </c>
      <c r="P841" s="145">
        <v>4750982</v>
      </c>
      <c r="Q841" s="9" t="s">
        <v>22977</v>
      </c>
      <c r="R841" s="146" t="s">
        <v>22978</v>
      </c>
      <c r="T841" s="92" t="s">
        <v>8778</v>
      </c>
      <c r="U841">
        <v>1</v>
      </c>
      <c r="V841">
        <f>VLOOKUP(T841,'Data Angt'!$A$5:$F$5810,6,FALSE)</f>
        <v>39</v>
      </c>
      <c r="W841" s="5" t="str">
        <f t="shared" si="13"/>
        <v>PRODUKTIF</v>
      </c>
      <c r="X841" s="5" t="str">
        <f>VLOOKUP(T841,'Data Angt'!$A$5:$H$5810,8,FALSE)</f>
        <v>Wiraswasta</v>
      </c>
      <c r="Y841" s="5" t="str">
        <f>VLOOKUP(T841,'Data Angt'!$A$5:$C$5808,3,FALSE)</f>
        <v>KRK</v>
      </c>
    </row>
    <row r="842" spans="1:25" x14ac:dyDescent="0.3">
      <c r="A842" s="8">
        <v>836</v>
      </c>
      <c r="B842" s="9" t="s">
        <v>5532</v>
      </c>
      <c r="C842" s="10" t="str">
        <f>VLOOKUP(B842,'Data Angt'!$A$5:$B$5809,2,FALSE)</f>
        <v>A2443</v>
      </c>
      <c r="D842" s="11" t="s">
        <v>9833</v>
      </c>
      <c r="E842" s="12" t="s">
        <v>10333</v>
      </c>
      <c r="F842" s="13">
        <v>43598</v>
      </c>
      <c r="G842" s="14">
        <v>44251</v>
      </c>
      <c r="H842" s="15">
        <v>30000000</v>
      </c>
      <c r="I842" s="16">
        <v>36</v>
      </c>
      <c r="J842" s="17">
        <v>21</v>
      </c>
      <c r="K842" s="9" t="s">
        <v>9827</v>
      </c>
      <c r="L842" s="10" t="s">
        <v>10334</v>
      </c>
      <c r="M842" s="9" t="s">
        <v>10335</v>
      </c>
      <c r="N842" s="10" t="s">
        <v>9834</v>
      </c>
      <c r="O842" s="15">
        <v>20832600</v>
      </c>
      <c r="P842" s="145">
        <v>2001747</v>
      </c>
      <c r="Q842" s="9" t="s">
        <v>22979</v>
      </c>
      <c r="R842" s="146" t="s">
        <v>22980</v>
      </c>
      <c r="T842" s="92" t="s">
        <v>8796</v>
      </c>
      <c r="U842">
        <v>1</v>
      </c>
      <c r="V842">
        <f>VLOOKUP(T842,'Data Angt'!$A$5:$F$5810,6,FALSE)</f>
        <v>28</v>
      </c>
      <c r="W842" s="5" t="str">
        <f t="shared" si="13"/>
        <v>PRODUKTIF</v>
      </c>
      <c r="X842" s="5" t="str">
        <f>VLOOKUP(T842,'Data Angt'!$A$5:$H$5810,8,FALSE)</f>
        <v>Karyawan</v>
      </c>
      <c r="Y842" s="5" t="str">
        <f>VLOOKUP(T842,'Data Angt'!$A$5:$C$5808,3,FALSE)</f>
        <v>KRK</v>
      </c>
    </row>
    <row r="843" spans="1:25" x14ac:dyDescent="0.3">
      <c r="A843" s="8">
        <v>837</v>
      </c>
      <c r="B843" s="9" t="s">
        <v>5579</v>
      </c>
      <c r="C843" s="10" t="str">
        <f>VLOOKUP(B843,'Data Angt'!$A$5:$B$5809,2,FALSE)</f>
        <v>A2464</v>
      </c>
      <c r="D843" s="11" t="s">
        <v>9829</v>
      </c>
      <c r="E843" s="12" t="s">
        <v>16555</v>
      </c>
      <c r="F843" s="13">
        <v>45695</v>
      </c>
      <c r="G843" s="14">
        <v>45909</v>
      </c>
      <c r="H843" s="15">
        <v>3700000</v>
      </c>
      <c r="I843" s="16">
        <v>18</v>
      </c>
      <c r="J843" s="17">
        <v>24</v>
      </c>
      <c r="K843" s="9" t="s">
        <v>9831</v>
      </c>
      <c r="L843" s="10" t="s">
        <v>16556</v>
      </c>
      <c r="M843" s="9" t="s">
        <v>10352</v>
      </c>
      <c r="N843" s="10" t="s">
        <v>9828</v>
      </c>
      <c r="O843" s="15">
        <v>2415800</v>
      </c>
      <c r="P843" s="145">
        <v>166273</v>
      </c>
      <c r="Q843" s="9"/>
      <c r="R843" s="146"/>
      <c r="T843" s="92" t="s">
        <v>8806</v>
      </c>
      <c r="U843">
        <v>1</v>
      </c>
      <c r="V843">
        <f>VLOOKUP(T843,'Data Angt'!$A$5:$F$5810,6,FALSE)</f>
        <v>47</v>
      </c>
      <c r="W843" s="5" t="str">
        <f t="shared" si="13"/>
        <v>PENDIDIKAN</v>
      </c>
      <c r="X843" s="5" t="str">
        <f>VLOOKUP(T843,'Data Angt'!$A$5:$H$5810,8,FALSE)</f>
        <v>Belum/Tidak Bekerja</v>
      </c>
      <c r="Y843" s="5" t="str">
        <f>VLOOKUP(T843,'Data Angt'!$A$5:$C$5808,3,FALSE)</f>
        <v>KRK</v>
      </c>
    </row>
    <row r="844" spans="1:25" x14ac:dyDescent="0.3">
      <c r="A844" s="8">
        <v>838</v>
      </c>
      <c r="B844" s="9" t="s">
        <v>5588</v>
      </c>
      <c r="C844" s="10" t="str">
        <f>VLOOKUP(B844,'Data Angt'!$A$5:$B$5809,2,FALSE)</f>
        <v>A2468</v>
      </c>
      <c r="D844" s="11" t="s">
        <v>9829</v>
      </c>
      <c r="E844" s="12" t="s">
        <v>10336</v>
      </c>
      <c r="F844" s="13">
        <v>43241</v>
      </c>
      <c r="G844" s="14">
        <v>44804</v>
      </c>
      <c r="H844" s="15">
        <v>18500000</v>
      </c>
      <c r="I844" s="16">
        <v>48</v>
      </c>
      <c r="J844" s="17">
        <v>24</v>
      </c>
      <c r="K844" s="9" t="s">
        <v>9831</v>
      </c>
      <c r="L844" s="10" t="s">
        <v>10336</v>
      </c>
      <c r="M844" s="9" t="s">
        <v>9896</v>
      </c>
      <c r="N844" s="10" t="s">
        <v>9828</v>
      </c>
      <c r="O844" s="15">
        <v>12417400</v>
      </c>
      <c r="P844" s="145">
        <v>4657909</v>
      </c>
      <c r="Q844" s="9" t="s">
        <v>22981</v>
      </c>
      <c r="R844" s="146" t="s">
        <v>22982</v>
      </c>
      <c r="T844" s="92" t="s">
        <v>8943</v>
      </c>
      <c r="U844">
        <v>1</v>
      </c>
      <c r="V844">
        <f>VLOOKUP(T844,'Data Angt'!$A$5:$F$5810,6,FALSE)</f>
        <v>35</v>
      </c>
      <c r="W844" s="5" t="str">
        <f t="shared" si="13"/>
        <v>PRODUKTIF</v>
      </c>
      <c r="X844" s="5" t="str">
        <f>VLOOKUP(T844,'Data Angt'!$A$5:$H$5810,8,FALSE)</f>
        <v>Lain-Lain</v>
      </c>
      <c r="Y844" s="5" t="str">
        <f>VLOOKUP(T844,'Data Angt'!$A$5:$C$5808,3,FALSE)</f>
        <v>KRK</v>
      </c>
    </row>
    <row r="845" spans="1:25" x14ac:dyDescent="0.3">
      <c r="A845" s="8">
        <v>839</v>
      </c>
      <c r="B845" s="9" t="s">
        <v>5666</v>
      </c>
      <c r="C845" s="10" t="str">
        <f>VLOOKUP(B845,'Data Angt'!$A$5:$B$5809,2,FALSE)</f>
        <v>A2500</v>
      </c>
      <c r="D845" s="11" t="s">
        <v>9829</v>
      </c>
      <c r="E845" s="12" t="s">
        <v>22983</v>
      </c>
      <c r="F845" s="13">
        <v>45853</v>
      </c>
      <c r="G845" s="14">
        <v>45912</v>
      </c>
      <c r="H845" s="15">
        <v>3000000</v>
      </c>
      <c r="I845" s="16">
        <v>24</v>
      </c>
      <c r="J845" s="17">
        <v>11.64</v>
      </c>
      <c r="K845" s="9" t="s">
        <v>9831</v>
      </c>
      <c r="L845" s="10" t="s">
        <v>22984</v>
      </c>
      <c r="M845" s="9" t="s">
        <v>9866</v>
      </c>
      <c r="N845" s="10" t="s">
        <v>17</v>
      </c>
      <c r="O845" s="15">
        <v>2775600</v>
      </c>
      <c r="P845" s="145">
        <v>21449</v>
      </c>
      <c r="Q845" s="9"/>
      <c r="R845" s="146"/>
      <c r="T845" s="92" t="s">
        <v>8954</v>
      </c>
      <c r="U845">
        <v>1</v>
      </c>
      <c r="V845">
        <f>VLOOKUP(T845,'Data Angt'!$A$5:$F$5810,6,FALSE)</f>
        <v>34</v>
      </c>
      <c r="W845" s="5" t="str">
        <f t="shared" si="13"/>
        <v>KONSUMTIF</v>
      </c>
      <c r="X845" s="5" t="str">
        <f>VLOOKUP(T845,'Data Angt'!$A$5:$H$5810,8,FALSE)</f>
        <v>Karyawan</v>
      </c>
      <c r="Y845" s="5" t="str">
        <f>VLOOKUP(T845,'Data Angt'!$A$5:$C$5808,3,FALSE)</f>
        <v>KRK</v>
      </c>
    </row>
    <row r="846" spans="1:25" x14ac:dyDescent="0.3">
      <c r="A846" s="8">
        <v>840</v>
      </c>
      <c r="B846" s="9" t="s">
        <v>5955</v>
      </c>
      <c r="C846" s="10" t="str">
        <f>VLOOKUP(B846,'Data Angt'!$A$5:$B$5809,2,FALSE)</f>
        <v>A2628</v>
      </c>
      <c r="D846" s="11" t="s">
        <v>9833</v>
      </c>
      <c r="E846" s="12" t="s">
        <v>16557</v>
      </c>
      <c r="F846" s="13">
        <v>45680</v>
      </c>
      <c r="G846" s="14">
        <v>45912</v>
      </c>
      <c r="H846" s="15">
        <v>25000000</v>
      </c>
      <c r="I846" s="16">
        <v>24</v>
      </c>
      <c r="J846" s="17">
        <v>21</v>
      </c>
      <c r="K846" s="9" t="s">
        <v>9827</v>
      </c>
      <c r="L846" s="10" t="s">
        <v>16558</v>
      </c>
      <c r="M846" s="9" t="s">
        <v>16559</v>
      </c>
      <c r="N846" s="10" t="s">
        <v>9834</v>
      </c>
      <c r="O846" s="15">
        <v>16666400</v>
      </c>
      <c r="P846" s="145">
        <v>1121210</v>
      </c>
      <c r="Q846" s="9" t="s">
        <v>22985</v>
      </c>
      <c r="R846" s="146" t="s">
        <v>22986</v>
      </c>
      <c r="T846" s="92" t="s">
        <v>9056</v>
      </c>
      <c r="U846">
        <v>2</v>
      </c>
      <c r="V846">
        <f>VLOOKUP(T846,'Data Angt'!$A$5:$F$5810,6,FALSE)</f>
        <v>52</v>
      </c>
      <c r="W846" s="5" t="str">
        <f t="shared" si="13"/>
        <v>PENDIDIKAN</v>
      </c>
      <c r="X846" s="5" t="str">
        <f>VLOOKUP(T846,'Data Angt'!$A$5:$H$5810,8,FALSE)</f>
        <v>Karyawan</v>
      </c>
      <c r="Y846" s="5" t="str">
        <f>VLOOKUP(T846,'Data Angt'!$A$5:$C$5808,3,FALSE)</f>
        <v>KRK</v>
      </c>
    </row>
    <row r="847" spans="1:25" x14ac:dyDescent="0.3">
      <c r="A847" s="8">
        <v>841</v>
      </c>
      <c r="B847" s="9" t="s">
        <v>5960</v>
      </c>
      <c r="C847" s="10" t="str">
        <f>VLOOKUP(B847,'Data Angt'!$A$5:$B$5809,2,FALSE)</f>
        <v>A2631</v>
      </c>
      <c r="D847" s="11" t="s">
        <v>9895</v>
      </c>
      <c r="E847" s="12" t="s">
        <v>22987</v>
      </c>
      <c r="F847" s="13">
        <v>45840</v>
      </c>
      <c r="G847" s="14">
        <v>45904</v>
      </c>
      <c r="H847" s="15">
        <v>20000000</v>
      </c>
      <c r="I847" s="16">
        <v>24</v>
      </c>
      <c r="J847" s="17">
        <v>24</v>
      </c>
      <c r="K847" s="9" t="s">
        <v>9831</v>
      </c>
      <c r="L847" s="10" t="s">
        <v>22988</v>
      </c>
      <c r="M847" s="9" t="s">
        <v>9896</v>
      </c>
      <c r="N847" s="10" t="s">
        <v>9830</v>
      </c>
      <c r="O847" s="15">
        <v>18671900</v>
      </c>
      <c r="P847" s="145">
        <v>295087</v>
      </c>
      <c r="Q847" s="9" t="s">
        <v>22901</v>
      </c>
      <c r="R847" s="146" t="s">
        <v>22989</v>
      </c>
      <c r="T847" s="92" t="s">
        <v>9105</v>
      </c>
      <c r="U847">
        <v>1</v>
      </c>
      <c r="V847">
        <f>VLOOKUP(T847,'Data Angt'!$A$5:$F$5810,6,FALSE)</f>
        <v>27</v>
      </c>
      <c r="W847" s="5" t="str">
        <f t="shared" si="13"/>
        <v>PRODUKTIF</v>
      </c>
      <c r="X847" s="5" t="str">
        <f>VLOOKUP(T847,'Data Angt'!$A$5:$H$5810,8,FALSE)</f>
        <v>Karyawan</v>
      </c>
      <c r="Y847" s="5" t="str">
        <f>VLOOKUP(T847,'Data Angt'!$A$5:$C$5808,3,FALSE)</f>
        <v>KRK</v>
      </c>
    </row>
    <row r="848" spans="1:25" x14ac:dyDescent="0.3">
      <c r="A848" s="8">
        <v>842</v>
      </c>
      <c r="B848" s="9" t="s">
        <v>6053</v>
      </c>
      <c r="C848" s="10" t="str">
        <f>VLOOKUP(B848,'Data Angt'!$A$5:$B$5809,2,FALSE)</f>
        <v>A2677</v>
      </c>
      <c r="D848" s="11" t="s">
        <v>10089</v>
      </c>
      <c r="E848" s="12" t="s">
        <v>10337</v>
      </c>
      <c r="F848" s="13">
        <v>42958</v>
      </c>
      <c r="G848" s="14">
        <v>44251</v>
      </c>
      <c r="H848" s="15">
        <v>40000000</v>
      </c>
      <c r="I848" s="16">
        <v>36</v>
      </c>
      <c r="J848" s="17">
        <v>11.88</v>
      </c>
      <c r="K848" s="9" t="s">
        <v>9867</v>
      </c>
      <c r="L848" s="10"/>
      <c r="M848" s="9"/>
      <c r="N848" s="10"/>
      <c r="O848" s="15">
        <v>28888000</v>
      </c>
      <c r="P848" s="145">
        <v>2991000</v>
      </c>
      <c r="Q848" s="9"/>
      <c r="R848" s="146"/>
      <c r="T848" s="92" t="s">
        <v>9152</v>
      </c>
      <c r="U848">
        <v>1</v>
      </c>
      <c r="V848">
        <f>VLOOKUP(T848,'Data Angt'!$A$5:$F$5810,6,FALSE)</f>
        <v>44</v>
      </c>
      <c r="W848" s="5" t="str">
        <f t="shared" si="13"/>
        <v>PRODUKTIF</v>
      </c>
      <c r="X848" s="5" t="str">
        <f>VLOOKUP(T848,'Data Angt'!$A$5:$H$5810,8,FALSE)</f>
        <v>Mengurus Rumah Tangga</v>
      </c>
      <c r="Y848" s="5" t="str">
        <f>VLOOKUP(T848,'Data Angt'!$A$5:$C$5808,3,FALSE)</f>
        <v>KRK</v>
      </c>
    </row>
    <row r="849" spans="1:25" x14ac:dyDescent="0.3">
      <c r="A849" s="8">
        <v>843</v>
      </c>
      <c r="B849" s="9" t="s">
        <v>6095</v>
      </c>
      <c r="C849" s="10" t="str">
        <f>VLOOKUP(B849,'Data Angt'!$A$5:$B$5809,2,FALSE)</f>
        <v>A2698</v>
      </c>
      <c r="D849" s="11" t="s">
        <v>9829</v>
      </c>
      <c r="E849" s="12" t="s">
        <v>10338</v>
      </c>
      <c r="F849" s="13">
        <v>44512</v>
      </c>
      <c r="G849" s="14">
        <v>44613</v>
      </c>
      <c r="H849" s="15">
        <v>8000000</v>
      </c>
      <c r="I849" s="16">
        <v>24</v>
      </c>
      <c r="J849" s="17">
        <v>24</v>
      </c>
      <c r="K849" s="9" t="s">
        <v>9827</v>
      </c>
      <c r="L849" s="10" t="s">
        <v>10339</v>
      </c>
      <c r="M849" s="9" t="s">
        <v>10340</v>
      </c>
      <c r="N849" s="10" t="s">
        <v>9828</v>
      </c>
      <c r="O849" s="15">
        <v>7333200</v>
      </c>
      <c r="P849" s="145">
        <v>175050</v>
      </c>
      <c r="Q849" s="9"/>
      <c r="R849" s="146"/>
      <c r="T849" s="92" t="s">
        <v>9347</v>
      </c>
      <c r="U849">
        <v>1</v>
      </c>
      <c r="V849">
        <f>VLOOKUP(T849,'Data Angt'!$A$5:$F$5810,6,FALSE)</f>
        <v>37</v>
      </c>
      <c r="W849" s="5" t="str">
        <f t="shared" si="13"/>
        <v>PENDIDIKAN</v>
      </c>
      <c r="X849" s="5" t="str">
        <f>VLOOKUP(T849,'Data Angt'!$A$5:$H$5810,8,FALSE)</f>
        <v>Karyawan</v>
      </c>
      <c r="Y849" s="5" t="str">
        <f>VLOOKUP(T849,'Data Angt'!$A$5:$C$5808,3,FALSE)</f>
        <v>KRK</v>
      </c>
    </row>
    <row r="850" spans="1:25" x14ac:dyDescent="0.3">
      <c r="A850" s="8">
        <v>844</v>
      </c>
      <c r="B850" s="9" t="s">
        <v>6100</v>
      </c>
      <c r="C850" s="10" t="str">
        <f>VLOOKUP(B850,'Data Angt'!$A$5:$B$5809,2,FALSE)</f>
        <v>A2700</v>
      </c>
      <c r="D850" s="11" t="s">
        <v>9829</v>
      </c>
      <c r="E850" s="12" t="s">
        <v>10341</v>
      </c>
      <c r="F850" s="13">
        <v>44098</v>
      </c>
      <c r="G850" s="14">
        <v>44439</v>
      </c>
      <c r="H850" s="15">
        <v>15000000</v>
      </c>
      <c r="I850" s="16">
        <v>36</v>
      </c>
      <c r="J850" s="17">
        <v>24</v>
      </c>
      <c r="K850" s="9" t="s">
        <v>9831</v>
      </c>
      <c r="L850" s="10" t="s">
        <v>10342</v>
      </c>
      <c r="M850" s="9" t="s">
        <v>10343</v>
      </c>
      <c r="N850" s="10" t="s">
        <v>9828</v>
      </c>
      <c r="O850" s="15">
        <v>14711500</v>
      </c>
      <c r="P850" s="145">
        <v>1003948</v>
      </c>
      <c r="Q850" s="9"/>
      <c r="R850" s="146"/>
      <c r="T850" s="92" t="s">
        <v>9364</v>
      </c>
      <c r="U850">
        <v>1</v>
      </c>
      <c r="V850">
        <f>VLOOKUP(T850,'Data Angt'!$A$5:$F$5810,6,FALSE)</f>
        <v>48</v>
      </c>
      <c r="W850" s="5" t="str">
        <f t="shared" si="13"/>
        <v>PRODUKTIF</v>
      </c>
      <c r="X850" s="5" t="str">
        <f>VLOOKUP(T850,'Data Angt'!$A$5:$H$5810,8,FALSE)</f>
        <v>Aparatur/Pejabat Negara</v>
      </c>
      <c r="Y850" s="5" t="str">
        <f>VLOOKUP(T850,'Data Angt'!$A$5:$C$5808,3,FALSE)</f>
        <v>KRK</v>
      </c>
    </row>
    <row r="851" spans="1:25" x14ac:dyDescent="0.3">
      <c r="A851" s="8">
        <v>845</v>
      </c>
      <c r="B851" s="9" t="s">
        <v>6192</v>
      </c>
      <c r="C851" s="10" t="str">
        <f>VLOOKUP(B851,'Data Angt'!$A$5:$B$5809,2,FALSE)</f>
        <v>A2743</v>
      </c>
      <c r="D851" s="11" t="s">
        <v>9829</v>
      </c>
      <c r="E851" s="12" t="s">
        <v>16560</v>
      </c>
      <c r="F851" s="13">
        <v>45779</v>
      </c>
      <c r="G851" s="14">
        <v>45901</v>
      </c>
      <c r="H851" s="15">
        <v>25000000</v>
      </c>
      <c r="I851" s="16">
        <v>48</v>
      </c>
      <c r="J851" s="17">
        <v>21</v>
      </c>
      <c r="K851" s="9" t="s">
        <v>9831</v>
      </c>
      <c r="L851" s="10" t="s">
        <v>16561</v>
      </c>
      <c r="M851" s="9" t="s">
        <v>9838</v>
      </c>
      <c r="N851" s="10" t="s">
        <v>9830</v>
      </c>
      <c r="O851" s="15">
        <v>23617700</v>
      </c>
      <c r="P851" s="145">
        <v>642936</v>
      </c>
      <c r="Q851" s="9" t="s">
        <v>22985</v>
      </c>
      <c r="R851" s="146" t="s">
        <v>22990</v>
      </c>
      <c r="T851" s="92" t="s">
        <v>9444</v>
      </c>
      <c r="U851">
        <v>1</v>
      </c>
      <c r="V851">
        <f>VLOOKUP(T851,'Data Angt'!$A$5:$F$5810,6,FALSE)</f>
        <v>31</v>
      </c>
      <c r="W851" s="5" t="str">
        <f t="shared" si="13"/>
        <v>PRODUKTIF</v>
      </c>
      <c r="X851" s="5" t="str">
        <f>VLOOKUP(T851,'Data Angt'!$A$5:$H$5810,8,FALSE)</f>
        <v>Karyawan</v>
      </c>
      <c r="Y851" s="5" t="str">
        <f>VLOOKUP(T851,'Data Angt'!$A$5:$C$5808,3,FALSE)</f>
        <v>KRK</v>
      </c>
    </row>
    <row r="852" spans="1:25" x14ac:dyDescent="0.3">
      <c r="A852" s="8">
        <v>846</v>
      </c>
      <c r="B852" s="9" t="s">
        <v>6231</v>
      </c>
      <c r="C852" s="10" t="str">
        <f>VLOOKUP(B852,'Data Angt'!$A$5:$B$5809,2,FALSE)</f>
        <v>A2761</v>
      </c>
      <c r="D852" s="11" t="s">
        <v>9829</v>
      </c>
      <c r="E852" s="12" t="s">
        <v>16562</v>
      </c>
      <c r="F852" s="13">
        <v>45707</v>
      </c>
      <c r="G852" s="14">
        <v>45916</v>
      </c>
      <c r="H852" s="15">
        <v>5000000</v>
      </c>
      <c r="I852" s="16">
        <v>24</v>
      </c>
      <c r="J852" s="17">
        <v>24</v>
      </c>
      <c r="K852" s="9" t="s">
        <v>9831</v>
      </c>
      <c r="L852" s="10" t="s">
        <v>16563</v>
      </c>
      <c r="M852" s="9" t="s">
        <v>9838</v>
      </c>
      <c r="N852" s="10" t="s">
        <v>9828</v>
      </c>
      <c r="O852" s="15">
        <v>3778100</v>
      </c>
      <c r="P852" s="145">
        <v>235836</v>
      </c>
      <c r="Q852" s="9" t="s">
        <v>22901</v>
      </c>
      <c r="R852" s="146" t="s">
        <v>22991</v>
      </c>
      <c r="T852" s="92" t="s">
        <v>12644</v>
      </c>
      <c r="U852">
        <v>1</v>
      </c>
      <c r="V852">
        <f>VLOOKUP(T852,'Data Angt'!$A$5:$F$5810,6,FALSE)</f>
        <v>42</v>
      </c>
      <c r="W852" s="5" t="str">
        <f t="shared" si="13"/>
        <v>KONSUMTIF</v>
      </c>
      <c r="X852" s="5" t="str">
        <f>VLOOKUP(T852,'Data Angt'!$A$5:$H$5810,8,FALSE)</f>
        <v>Karyawan</v>
      </c>
      <c r="Y852" s="5" t="str">
        <f>VLOOKUP(T852,'Data Angt'!$A$5:$C$5808,3,FALSE)</f>
        <v>KRK</v>
      </c>
    </row>
    <row r="853" spans="1:25" x14ac:dyDescent="0.3">
      <c r="A853" s="8">
        <v>847</v>
      </c>
      <c r="B853" s="9" t="s">
        <v>6337</v>
      </c>
      <c r="C853" s="10" t="str">
        <f>VLOOKUP(B853,'Data Angt'!$A$5:$B$5809,2,FALSE)</f>
        <v>A2809</v>
      </c>
      <c r="D853" s="11" t="s">
        <v>9833</v>
      </c>
      <c r="E853" s="12" t="s">
        <v>16564</v>
      </c>
      <c r="F853" s="13">
        <v>45580</v>
      </c>
      <c r="G853" s="14">
        <v>45912</v>
      </c>
      <c r="H853" s="15">
        <v>25000000</v>
      </c>
      <c r="I853" s="16">
        <v>36</v>
      </c>
      <c r="J853" s="17">
        <v>21</v>
      </c>
      <c r="K853" s="9" t="s">
        <v>9831</v>
      </c>
      <c r="L853" s="10" t="s">
        <v>16565</v>
      </c>
      <c r="M853" s="9" t="s">
        <v>16566</v>
      </c>
      <c r="N853" s="10" t="s">
        <v>9834</v>
      </c>
      <c r="O853" s="15">
        <v>18940100</v>
      </c>
      <c r="P853" s="145">
        <v>1612872</v>
      </c>
      <c r="Q853" s="9" t="s">
        <v>22927</v>
      </c>
      <c r="R853" s="146" t="s">
        <v>22992</v>
      </c>
      <c r="T853" s="92" t="s">
        <v>12655</v>
      </c>
      <c r="U853">
        <v>1</v>
      </c>
      <c r="V853">
        <f>VLOOKUP(T853,'Data Angt'!$A$5:$F$5810,6,FALSE)</f>
        <v>56</v>
      </c>
      <c r="W853" s="5" t="str">
        <f t="shared" si="13"/>
        <v>PRODUKTIF</v>
      </c>
      <c r="X853" s="5" t="str">
        <f>VLOOKUP(T853,'Data Angt'!$A$5:$H$5810,8,FALSE)</f>
        <v>Tenaga Pengajar</v>
      </c>
      <c r="Y853" s="5" t="str">
        <f>VLOOKUP(T853,'Data Angt'!$A$5:$C$5808,3,FALSE)</f>
        <v>KRK</v>
      </c>
    </row>
    <row r="854" spans="1:25" x14ac:dyDescent="0.3">
      <c r="A854" s="8">
        <v>848</v>
      </c>
      <c r="B854" s="9" t="s">
        <v>6431</v>
      </c>
      <c r="C854" s="10" t="str">
        <f>VLOOKUP(B854,'Data Angt'!$A$5:$B$5809,2,FALSE)</f>
        <v>A2853</v>
      </c>
      <c r="D854" s="11" t="s">
        <v>9829</v>
      </c>
      <c r="E854" s="12" t="s">
        <v>10344</v>
      </c>
      <c r="F854" s="13">
        <v>44578</v>
      </c>
      <c r="G854" s="14">
        <v>45282</v>
      </c>
      <c r="H854" s="15">
        <v>45000000</v>
      </c>
      <c r="I854" s="16">
        <v>48</v>
      </c>
      <c r="J854" s="17">
        <v>21</v>
      </c>
      <c r="K854" s="9" t="s">
        <v>9831</v>
      </c>
      <c r="L854" s="10" t="s">
        <v>10345</v>
      </c>
      <c r="M854" s="9" t="s">
        <v>10346</v>
      </c>
      <c r="N854" s="10" t="s">
        <v>9828</v>
      </c>
      <c r="O854" s="15">
        <v>31480400</v>
      </c>
      <c r="P854" s="145">
        <v>4903421</v>
      </c>
      <c r="Q854" s="9"/>
      <c r="R854" s="146"/>
      <c r="T854" s="92" t="s">
        <v>12681</v>
      </c>
      <c r="U854">
        <v>2</v>
      </c>
      <c r="V854">
        <f>VLOOKUP(T854,'Data Angt'!$A$5:$F$5810,6,FALSE)</f>
        <v>47</v>
      </c>
      <c r="W854" s="5" t="str">
        <f t="shared" si="13"/>
        <v>PENDIDIKAN</v>
      </c>
      <c r="X854" s="5" t="str">
        <f>VLOOKUP(T854,'Data Angt'!$A$5:$H$5810,8,FALSE)</f>
        <v>Aparatur/Pejabat Negara</v>
      </c>
      <c r="Y854" s="5" t="str">
        <f>VLOOKUP(T854,'Data Angt'!$A$5:$C$5808,3,FALSE)</f>
        <v>KRK</v>
      </c>
    </row>
    <row r="855" spans="1:25" x14ac:dyDescent="0.3">
      <c r="A855" s="8">
        <v>849</v>
      </c>
      <c r="B855" s="9" t="s">
        <v>6505</v>
      </c>
      <c r="C855" s="10" t="str">
        <f>VLOOKUP(B855,'Data Angt'!$A$5:$B$5809,2,FALSE)</f>
        <v>A2888</v>
      </c>
      <c r="D855" s="11" t="s">
        <v>9829</v>
      </c>
      <c r="E855" s="12" t="s">
        <v>10347</v>
      </c>
      <c r="F855" s="13">
        <v>43297</v>
      </c>
      <c r="G855" s="14">
        <v>44251</v>
      </c>
      <c r="H855" s="15">
        <v>15000000</v>
      </c>
      <c r="I855" s="16">
        <v>36</v>
      </c>
      <c r="J855" s="17">
        <v>24</v>
      </c>
      <c r="K855" s="9" t="s">
        <v>9831</v>
      </c>
      <c r="L855" s="10" t="s">
        <v>10347</v>
      </c>
      <c r="M855" s="9" t="s">
        <v>10348</v>
      </c>
      <c r="N855" s="10" t="s">
        <v>9828</v>
      </c>
      <c r="O855" s="15">
        <v>4322200</v>
      </c>
      <c r="P855" s="145">
        <v>2293718</v>
      </c>
      <c r="Q855" s="9" t="s">
        <v>22993</v>
      </c>
      <c r="R855" s="146" t="s">
        <v>22994</v>
      </c>
      <c r="T855" s="92" t="s">
        <v>12706</v>
      </c>
      <c r="U855">
        <v>1</v>
      </c>
      <c r="V855">
        <f>VLOOKUP(T855,'Data Angt'!$A$5:$F$5810,6,FALSE)</f>
        <v>44</v>
      </c>
      <c r="W855" s="5" t="str">
        <f t="shared" si="13"/>
        <v>KESEJAHTERAAN</v>
      </c>
      <c r="X855" s="5" t="str">
        <f>VLOOKUP(T855,'Data Angt'!$A$5:$H$5810,8,FALSE)</f>
        <v>Karyawan</v>
      </c>
      <c r="Y855" s="5" t="str">
        <f>VLOOKUP(T855,'Data Angt'!$A$5:$C$5808,3,FALSE)</f>
        <v>KRK</v>
      </c>
    </row>
    <row r="856" spans="1:25" x14ac:dyDescent="0.3">
      <c r="A856" s="8">
        <v>850</v>
      </c>
      <c r="B856" s="9" t="s">
        <v>6659</v>
      </c>
      <c r="C856" s="10" t="str">
        <f>VLOOKUP(B856,'Data Angt'!$A$5:$B$5809,2,FALSE)</f>
        <v>A2958</v>
      </c>
      <c r="D856" s="11" t="s">
        <v>9829</v>
      </c>
      <c r="E856" s="12" t="s">
        <v>10349</v>
      </c>
      <c r="F856" s="13">
        <v>45157</v>
      </c>
      <c r="G856" s="14">
        <v>45903</v>
      </c>
      <c r="H856" s="15">
        <v>35000000</v>
      </c>
      <c r="I856" s="16">
        <v>36</v>
      </c>
      <c r="J856" s="17">
        <v>21</v>
      </c>
      <c r="K856" s="9" t="s">
        <v>9831</v>
      </c>
      <c r="L856" s="10" t="s">
        <v>10350</v>
      </c>
      <c r="M856" s="9" t="s">
        <v>10351</v>
      </c>
      <c r="N856" s="10" t="s">
        <v>9828</v>
      </c>
      <c r="O856" s="15">
        <v>13090000</v>
      </c>
      <c r="P856" s="145">
        <v>4146557</v>
      </c>
      <c r="Q856" s="9" t="s">
        <v>22431</v>
      </c>
      <c r="R856" s="146" t="s">
        <v>22995</v>
      </c>
      <c r="T856" s="92" t="s">
        <v>12752</v>
      </c>
      <c r="U856">
        <v>2</v>
      </c>
      <c r="V856">
        <f>VLOOKUP(T856,'Data Angt'!$A$5:$F$5810,6,FALSE)</f>
        <v>45</v>
      </c>
      <c r="W856" s="5" t="str">
        <f t="shared" si="13"/>
        <v>KONSUMTIF</v>
      </c>
      <c r="X856" s="5" t="str">
        <f>VLOOKUP(T856,'Data Angt'!$A$5:$H$5810,8,FALSE)</f>
        <v>Lain-Lain</v>
      </c>
      <c r="Y856" s="5" t="str">
        <f>VLOOKUP(T856,'Data Angt'!$A$5:$C$5808,3,FALSE)</f>
        <v>KRK</v>
      </c>
    </row>
    <row r="857" spans="1:25" x14ac:dyDescent="0.3">
      <c r="A857" s="8">
        <v>851</v>
      </c>
      <c r="B857" s="9" t="s">
        <v>6659</v>
      </c>
      <c r="C857" s="10" t="str">
        <f>VLOOKUP(B857,'Data Angt'!$A$5:$B$5809,2,FALSE)</f>
        <v>A2958</v>
      </c>
      <c r="D857" s="11" t="s">
        <v>9826</v>
      </c>
      <c r="E857" s="12" t="s">
        <v>22996</v>
      </c>
      <c r="F857" s="13">
        <v>45876</v>
      </c>
      <c r="G857" s="14">
        <v>45903</v>
      </c>
      <c r="H857" s="15">
        <v>5000000</v>
      </c>
      <c r="I857" s="16">
        <v>10</v>
      </c>
      <c r="J857" s="17">
        <v>24</v>
      </c>
      <c r="K857" s="9" t="s">
        <v>9831</v>
      </c>
      <c r="L857" s="10" t="s">
        <v>22997</v>
      </c>
      <c r="M857" s="9" t="s">
        <v>9862</v>
      </c>
      <c r="N857" s="10" t="s">
        <v>9834</v>
      </c>
      <c r="O857" s="15">
        <v>4543300</v>
      </c>
      <c r="P857" s="145">
        <v>37500</v>
      </c>
      <c r="Q857" s="9"/>
      <c r="R857" s="146"/>
      <c r="T857" s="92" t="s">
        <v>12775</v>
      </c>
      <c r="U857">
        <v>1</v>
      </c>
      <c r="V857">
        <f>VLOOKUP(T857,'Data Angt'!$A$5:$F$5810,6,FALSE)</f>
        <v>37</v>
      </c>
      <c r="W857" s="5" t="str">
        <f t="shared" si="13"/>
        <v>PRODUKTIF</v>
      </c>
      <c r="X857" s="5" t="str">
        <f>VLOOKUP(T857,'Data Angt'!$A$5:$H$5810,8,FALSE)</f>
        <v>Tenaga Pengajar</v>
      </c>
      <c r="Y857" s="5" t="str">
        <f>VLOOKUP(T857,'Data Angt'!$A$5:$C$5808,3,FALSE)</f>
        <v>KRK</v>
      </c>
    </row>
    <row r="858" spans="1:25" x14ac:dyDescent="0.3">
      <c r="A858" s="8">
        <v>852</v>
      </c>
      <c r="B858" s="9" t="s">
        <v>6717</v>
      </c>
      <c r="C858" s="10" t="str">
        <f>VLOOKUP(B858,'Data Angt'!$A$5:$B$5809,2,FALSE)</f>
        <v>A2988</v>
      </c>
      <c r="D858" s="11" t="s">
        <v>9833</v>
      </c>
      <c r="E858" s="12" t="s">
        <v>10353</v>
      </c>
      <c r="F858" s="13">
        <v>44988</v>
      </c>
      <c r="G858" s="14">
        <v>45904</v>
      </c>
      <c r="H858" s="15">
        <v>30000000</v>
      </c>
      <c r="I858" s="16">
        <v>36</v>
      </c>
      <c r="J858" s="17">
        <v>21</v>
      </c>
      <c r="K858" s="9" t="s">
        <v>9827</v>
      </c>
      <c r="L858" s="10" t="s">
        <v>10354</v>
      </c>
      <c r="M858" s="9" t="s">
        <v>10355</v>
      </c>
      <c r="N858" s="10" t="s">
        <v>9834</v>
      </c>
      <c r="O858" s="15">
        <v>4998000</v>
      </c>
      <c r="P858" s="145">
        <v>3527729</v>
      </c>
      <c r="Q858" s="9" t="s">
        <v>22927</v>
      </c>
      <c r="R858" s="146" t="s">
        <v>22998</v>
      </c>
      <c r="T858" s="92" t="s">
        <v>12816</v>
      </c>
      <c r="U858">
        <v>1</v>
      </c>
      <c r="V858">
        <f>VLOOKUP(T858,'Data Angt'!$A$5:$F$5810,6,FALSE)</f>
        <v>39</v>
      </c>
      <c r="W858" s="5" t="str">
        <f t="shared" si="13"/>
        <v>PENDIDIKAN</v>
      </c>
      <c r="X858" s="5" t="str">
        <f>VLOOKUP(T858,'Data Angt'!$A$5:$H$5810,8,FALSE)</f>
        <v>Tenaga Pengajar</v>
      </c>
      <c r="Y858" s="5" t="str">
        <f>VLOOKUP(T858,'Data Angt'!$A$5:$C$5808,3,FALSE)</f>
        <v>KRK</v>
      </c>
    </row>
    <row r="859" spans="1:25" x14ac:dyDescent="0.3">
      <c r="A859" s="8">
        <v>853</v>
      </c>
      <c r="B859" s="9" t="s">
        <v>6731</v>
      </c>
      <c r="C859" s="10" t="str">
        <f>VLOOKUP(B859,'Data Angt'!$A$5:$B$5809,2,FALSE)</f>
        <v>A2994</v>
      </c>
      <c r="D859" s="11" t="s">
        <v>9829</v>
      </c>
      <c r="E859" s="12" t="s">
        <v>10356</v>
      </c>
      <c r="F859" s="13">
        <v>45274</v>
      </c>
      <c r="G859" s="14">
        <v>45903</v>
      </c>
      <c r="H859" s="15">
        <v>10000000</v>
      </c>
      <c r="I859" s="16">
        <v>24</v>
      </c>
      <c r="J859" s="17">
        <v>24</v>
      </c>
      <c r="K859" s="9" t="s">
        <v>9831</v>
      </c>
      <c r="L859" s="10" t="s">
        <v>10357</v>
      </c>
      <c r="M859" s="9" t="s">
        <v>10358</v>
      </c>
      <c r="N859" s="10" t="s">
        <v>9828</v>
      </c>
      <c r="O859" s="15">
        <v>1523700</v>
      </c>
      <c r="P859" s="145">
        <v>985681</v>
      </c>
      <c r="Q859" s="9"/>
      <c r="R859" s="146"/>
      <c r="T859" s="92" t="s">
        <v>12818</v>
      </c>
      <c r="U859">
        <v>2</v>
      </c>
      <c r="V859">
        <f>VLOOKUP(T859,'Data Angt'!$A$5:$F$5810,6,FALSE)</f>
        <v>45</v>
      </c>
      <c r="W859" s="5" t="str">
        <f t="shared" si="13"/>
        <v>PENDIDIKAN</v>
      </c>
      <c r="X859" s="5" t="str">
        <f>VLOOKUP(T859,'Data Angt'!$A$5:$H$5810,8,FALSE)</f>
        <v>Tenaga Pengajar</v>
      </c>
      <c r="Y859" s="5" t="str">
        <f>VLOOKUP(T859,'Data Angt'!$A$5:$C$5808,3,FALSE)</f>
        <v>KRK</v>
      </c>
    </row>
    <row r="860" spans="1:25" x14ac:dyDescent="0.3">
      <c r="A860" s="8">
        <v>854</v>
      </c>
      <c r="B860" s="9" t="s">
        <v>6745</v>
      </c>
      <c r="C860" s="10" t="str">
        <f>VLOOKUP(B860,'Data Angt'!$A$5:$B$5809,2,FALSE)</f>
        <v>A3000</v>
      </c>
      <c r="D860" s="11" t="s">
        <v>9829</v>
      </c>
      <c r="E860" s="12" t="s">
        <v>22999</v>
      </c>
      <c r="F860" s="13">
        <v>45927</v>
      </c>
      <c r="G860" s="14">
        <v>45927</v>
      </c>
      <c r="H860" s="15">
        <v>1500000</v>
      </c>
      <c r="I860" s="16">
        <v>12</v>
      </c>
      <c r="J860" s="17">
        <v>24</v>
      </c>
      <c r="K860" s="9" t="s">
        <v>9831</v>
      </c>
      <c r="L860" s="10" t="s">
        <v>23000</v>
      </c>
      <c r="M860" s="9" t="s">
        <v>9838</v>
      </c>
      <c r="N860" s="10" t="s">
        <v>9830</v>
      </c>
      <c r="O860" s="15">
        <v>1500000</v>
      </c>
      <c r="P860" s="147">
        <v>0</v>
      </c>
      <c r="Q860" s="9"/>
      <c r="R860" s="146"/>
      <c r="T860" s="92" t="s">
        <v>12857</v>
      </c>
      <c r="U860">
        <v>1</v>
      </c>
      <c r="V860">
        <f>VLOOKUP(T860,'Data Angt'!$A$5:$F$5810,6,FALSE)</f>
        <v>60</v>
      </c>
      <c r="W860" s="5" t="str">
        <f t="shared" si="13"/>
        <v>PRODUKTIF</v>
      </c>
      <c r="X860" s="5" t="str">
        <f>VLOOKUP(T860,'Data Angt'!$A$5:$H$5810,8,FALSE)</f>
        <v>Pensiunan</v>
      </c>
      <c r="Y860" s="5" t="str">
        <f>VLOOKUP(T860,'Data Angt'!$A$5:$C$5808,3,FALSE)</f>
        <v>KRK</v>
      </c>
    </row>
    <row r="861" spans="1:25" x14ac:dyDescent="0.3">
      <c r="A861" s="8">
        <v>855</v>
      </c>
      <c r="B861" s="9" t="s">
        <v>6760</v>
      </c>
      <c r="C861" s="10" t="str">
        <f>VLOOKUP(B861,'Data Angt'!$A$5:$B$5809,2,FALSE)</f>
        <v>A3007</v>
      </c>
      <c r="D861" s="11" t="s">
        <v>9833</v>
      </c>
      <c r="E861" s="12" t="s">
        <v>23001</v>
      </c>
      <c r="F861" s="13">
        <v>45892</v>
      </c>
      <c r="G861" s="14">
        <v>45930</v>
      </c>
      <c r="H861" s="15">
        <v>6000000</v>
      </c>
      <c r="I861" s="16">
        <v>12</v>
      </c>
      <c r="J861" s="17">
        <v>24</v>
      </c>
      <c r="K861" s="9" t="s">
        <v>9831</v>
      </c>
      <c r="L861" s="10" t="s">
        <v>23002</v>
      </c>
      <c r="M861" s="9" t="s">
        <v>9862</v>
      </c>
      <c r="N861" s="10" t="s">
        <v>9834</v>
      </c>
      <c r="O861" s="15">
        <v>5552600</v>
      </c>
      <c r="P861" s="145">
        <v>45000</v>
      </c>
      <c r="Q861" s="9"/>
      <c r="R861" s="146"/>
      <c r="T861" s="92" t="s">
        <v>12885</v>
      </c>
      <c r="U861">
        <v>1</v>
      </c>
      <c r="V861">
        <f>VLOOKUP(T861,'Data Angt'!$A$5:$F$5810,6,FALSE)</f>
        <v>51</v>
      </c>
      <c r="W861" s="5" t="str">
        <f t="shared" si="13"/>
        <v>KONSUMTIF</v>
      </c>
      <c r="X861" s="5" t="str">
        <f>VLOOKUP(T861,'Data Angt'!$A$5:$H$5810,8,FALSE)</f>
        <v>Karyawan</v>
      </c>
      <c r="Y861" s="5" t="str">
        <f>VLOOKUP(T861,'Data Angt'!$A$5:$C$5808,3,FALSE)</f>
        <v>KRK</v>
      </c>
    </row>
    <row r="862" spans="1:25" x14ac:dyDescent="0.3">
      <c r="A862" s="8">
        <v>856</v>
      </c>
      <c r="B862" s="9" t="s">
        <v>6769</v>
      </c>
      <c r="C862" s="10" t="str">
        <f>VLOOKUP(B862,'Data Angt'!$A$5:$B$5809,2,FALSE)</f>
        <v>A3012</v>
      </c>
      <c r="D862" s="11" t="s">
        <v>9829</v>
      </c>
      <c r="E862" s="12" t="s">
        <v>16567</v>
      </c>
      <c r="F862" s="13">
        <v>45425</v>
      </c>
      <c r="G862" s="14">
        <v>45902</v>
      </c>
      <c r="H862" s="15">
        <v>8000000</v>
      </c>
      <c r="I862" s="16">
        <v>30</v>
      </c>
      <c r="J862" s="17">
        <v>24</v>
      </c>
      <c r="K862" s="9" t="s">
        <v>9831</v>
      </c>
      <c r="L862" s="10" t="s">
        <v>16568</v>
      </c>
      <c r="M862" s="9" t="s">
        <v>10352</v>
      </c>
      <c r="N862" s="10" t="s">
        <v>9828</v>
      </c>
      <c r="O862" s="15">
        <v>4325400</v>
      </c>
      <c r="P862" s="145">
        <v>765221</v>
      </c>
      <c r="Q862" s="9" t="s">
        <v>22901</v>
      </c>
      <c r="R862" s="146" t="s">
        <v>23003</v>
      </c>
      <c r="T862" s="92" t="s">
        <v>12900</v>
      </c>
      <c r="U862">
        <v>1</v>
      </c>
      <c r="V862">
        <f>VLOOKUP(T862,'Data Angt'!$A$5:$F$5810,6,FALSE)</f>
        <v>26</v>
      </c>
      <c r="W862" s="5" t="str">
        <f t="shared" si="13"/>
        <v>PRODUKTIF</v>
      </c>
      <c r="X862" s="5" t="str">
        <f>VLOOKUP(T862,'Data Angt'!$A$5:$H$5810,8,FALSE)</f>
        <v>Karyawan</v>
      </c>
      <c r="Y862" s="5" t="str">
        <f>VLOOKUP(T862,'Data Angt'!$A$5:$C$5808,3,FALSE)</f>
        <v>KRK</v>
      </c>
    </row>
    <row r="863" spans="1:25" x14ac:dyDescent="0.3">
      <c r="A863" s="8">
        <v>857</v>
      </c>
      <c r="B863" s="9" t="s">
        <v>6793</v>
      </c>
      <c r="C863" s="10" t="str">
        <f>VLOOKUP(B863,'Data Angt'!$A$5:$B$5809,2,FALSE)</f>
        <v>A3023</v>
      </c>
      <c r="D863" s="11" t="s">
        <v>9829</v>
      </c>
      <c r="E863" s="12" t="s">
        <v>16569</v>
      </c>
      <c r="F863" s="13">
        <v>45489</v>
      </c>
      <c r="G863" s="14">
        <v>45901</v>
      </c>
      <c r="H863" s="15">
        <v>6000000</v>
      </c>
      <c r="I863" s="16">
        <v>24</v>
      </c>
      <c r="J863" s="17">
        <v>24</v>
      </c>
      <c r="K863" s="9" t="s">
        <v>9831</v>
      </c>
      <c r="L863" s="10" t="s">
        <v>16570</v>
      </c>
      <c r="M863" s="9" t="s">
        <v>9854</v>
      </c>
      <c r="N863" s="10" t="s">
        <v>17</v>
      </c>
      <c r="O863" s="15">
        <v>2849100</v>
      </c>
      <c r="P863" s="145">
        <v>484234</v>
      </c>
      <c r="Q863" s="9" t="s">
        <v>22959</v>
      </c>
      <c r="R863" s="146" t="s">
        <v>23004</v>
      </c>
      <c r="T863" s="92" t="s">
        <v>12905</v>
      </c>
      <c r="U863">
        <v>1</v>
      </c>
      <c r="V863">
        <f>VLOOKUP(T863,'Data Angt'!$A$5:$F$5810,6,FALSE)</f>
        <v>40</v>
      </c>
      <c r="W863" s="5" t="str">
        <f t="shared" si="13"/>
        <v>PRODUKTIF</v>
      </c>
      <c r="X863" s="5" t="str">
        <f>VLOOKUP(T863,'Data Angt'!$A$5:$H$5810,8,FALSE)</f>
        <v>Tenaga Pengajar</v>
      </c>
      <c r="Y863" s="5" t="str">
        <f>VLOOKUP(T863,'Data Angt'!$A$5:$C$5808,3,FALSE)</f>
        <v>KRK</v>
      </c>
    </row>
    <row r="864" spans="1:25" x14ac:dyDescent="0.3">
      <c r="A864" s="8">
        <v>858</v>
      </c>
      <c r="B864" s="9" t="s">
        <v>6808</v>
      </c>
      <c r="C864" s="10" t="str">
        <f>VLOOKUP(B864,'Data Angt'!$A$5:$B$5809,2,FALSE)</f>
        <v>A3030</v>
      </c>
      <c r="D864" s="11" t="s">
        <v>9833</v>
      </c>
      <c r="E864" s="12" t="s">
        <v>16573</v>
      </c>
      <c r="F864" s="13">
        <v>45355</v>
      </c>
      <c r="G864" s="14">
        <v>45783</v>
      </c>
      <c r="H864" s="15">
        <v>20000000</v>
      </c>
      <c r="I864" s="16">
        <v>36</v>
      </c>
      <c r="J864" s="17">
        <v>24</v>
      </c>
      <c r="K864" s="9" t="s">
        <v>9831</v>
      </c>
      <c r="L864" s="10" t="s">
        <v>16574</v>
      </c>
      <c r="M864" s="9" t="s">
        <v>15611</v>
      </c>
      <c r="N864" s="10" t="s">
        <v>9834</v>
      </c>
      <c r="O864" s="15">
        <v>14840900</v>
      </c>
      <c r="P864" s="145">
        <v>1599822</v>
      </c>
      <c r="Q864" s="9" t="s">
        <v>22946</v>
      </c>
      <c r="R864" s="146" t="s">
        <v>23005</v>
      </c>
      <c r="T864" s="92" t="s">
        <v>12914</v>
      </c>
      <c r="U864">
        <v>1</v>
      </c>
      <c r="V864">
        <f>VLOOKUP(T864,'Data Angt'!$A$5:$F$5810,6,FALSE)</f>
        <v>28</v>
      </c>
      <c r="W864" s="5" t="str">
        <f t="shared" si="13"/>
        <v>KONSUMTIF</v>
      </c>
      <c r="X864" s="5" t="str">
        <f>VLOOKUP(T864,'Data Angt'!$A$5:$H$5810,8,FALSE)</f>
        <v>Karyawan</v>
      </c>
      <c r="Y864" s="5" t="str">
        <f>VLOOKUP(T864,'Data Angt'!$A$5:$C$5808,3,FALSE)</f>
        <v>KRK</v>
      </c>
    </row>
    <row r="865" spans="1:25" x14ac:dyDescent="0.3">
      <c r="A865" s="8">
        <v>859</v>
      </c>
      <c r="B865" s="9" t="s">
        <v>6808</v>
      </c>
      <c r="C865" s="10" t="str">
        <f>VLOOKUP(B865,'Data Angt'!$A$5:$B$5809,2,FALSE)</f>
        <v>A3030</v>
      </c>
      <c r="D865" s="11" t="s">
        <v>9829</v>
      </c>
      <c r="E865" s="12" t="s">
        <v>16571</v>
      </c>
      <c r="F865" s="13">
        <v>45633</v>
      </c>
      <c r="G865" s="14">
        <v>45783</v>
      </c>
      <c r="H865" s="15">
        <v>2700000</v>
      </c>
      <c r="I865" s="16">
        <v>12</v>
      </c>
      <c r="J865" s="17">
        <v>11.88</v>
      </c>
      <c r="K865" s="9" t="s">
        <v>9831</v>
      </c>
      <c r="L865" s="10" t="s">
        <v>16572</v>
      </c>
      <c r="M865" s="9" t="s">
        <v>10352</v>
      </c>
      <c r="N865" s="10" t="s">
        <v>9828</v>
      </c>
      <c r="O865" s="15">
        <v>1835200</v>
      </c>
      <c r="P865" s="145">
        <v>43837</v>
      </c>
      <c r="Q865" s="9"/>
      <c r="R865" s="146"/>
      <c r="T865" s="92" t="s">
        <v>12929</v>
      </c>
      <c r="U865">
        <v>1</v>
      </c>
      <c r="V865">
        <f>VLOOKUP(T865,'Data Angt'!$A$5:$F$5810,6,FALSE)</f>
        <v>47</v>
      </c>
      <c r="W865" s="5" t="str">
        <f t="shared" si="13"/>
        <v>PENDIDIKAN</v>
      </c>
      <c r="X865" s="5" t="str">
        <f>VLOOKUP(T865,'Data Angt'!$A$5:$H$5810,8,FALSE)</f>
        <v>Wiraswasta</v>
      </c>
      <c r="Y865" s="5" t="str">
        <f>VLOOKUP(T865,'Data Angt'!$A$5:$C$5808,3,FALSE)</f>
        <v>KRK</v>
      </c>
    </row>
    <row r="866" spans="1:25" x14ac:dyDescent="0.3">
      <c r="A866" s="8">
        <v>860</v>
      </c>
      <c r="B866" s="9" t="s">
        <v>6813</v>
      </c>
      <c r="C866" s="10" t="str">
        <f>VLOOKUP(B866,'Data Angt'!$A$5:$B$5809,2,FALSE)</f>
        <v>A3033</v>
      </c>
      <c r="D866" s="11" t="s">
        <v>9829</v>
      </c>
      <c r="E866" s="12" t="s">
        <v>23006</v>
      </c>
      <c r="F866" s="13">
        <v>45897</v>
      </c>
      <c r="G866" s="14">
        <v>45902</v>
      </c>
      <c r="H866" s="15">
        <v>3000000</v>
      </c>
      <c r="I866" s="16">
        <v>12</v>
      </c>
      <c r="J866" s="17">
        <v>24</v>
      </c>
      <c r="K866" s="9" t="s">
        <v>9831</v>
      </c>
      <c r="L866" s="10" t="s">
        <v>23007</v>
      </c>
      <c r="M866" s="9" t="s">
        <v>23008</v>
      </c>
      <c r="N866" s="10" t="s">
        <v>9828</v>
      </c>
      <c r="O866" s="15">
        <v>2776300</v>
      </c>
      <c r="P866" s="145">
        <v>22500</v>
      </c>
      <c r="Q866" s="9"/>
      <c r="R866" s="146"/>
      <c r="T866" s="92" t="s">
        <v>12954</v>
      </c>
      <c r="U866">
        <v>1</v>
      </c>
      <c r="V866">
        <f>VLOOKUP(T866,'Data Angt'!$A$5:$F$5810,6,FALSE)</f>
        <v>61</v>
      </c>
      <c r="W866" s="5" t="str">
        <f t="shared" si="13"/>
        <v>PRODUKTIF</v>
      </c>
      <c r="X866" s="5" t="str">
        <f>VLOOKUP(T866,'Data Angt'!$A$5:$H$5810,8,FALSE)</f>
        <v>Aparatur/Pejabat Negara</v>
      </c>
      <c r="Y866" s="5" t="str">
        <f>VLOOKUP(T866,'Data Angt'!$A$5:$C$5808,3,FALSE)</f>
        <v>KRK</v>
      </c>
    </row>
    <row r="867" spans="1:25" x14ac:dyDescent="0.3">
      <c r="A867" s="8">
        <v>861</v>
      </c>
      <c r="B867" s="9" t="s">
        <v>6842</v>
      </c>
      <c r="C867" s="10" t="str">
        <f>VLOOKUP(B867,'Data Angt'!$A$5:$B$5809,2,FALSE)</f>
        <v>A3050</v>
      </c>
      <c r="D867" s="11" t="s">
        <v>9833</v>
      </c>
      <c r="E867" s="12" t="s">
        <v>16575</v>
      </c>
      <c r="F867" s="13">
        <v>45644</v>
      </c>
      <c r="G867" s="14">
        <v>45922</v>
      </c>
      <c r="H867" s="15">
        <v>8500000</v>
      </c>
      <c r="I867" s="16">
        <v>36</v>
      </c>
      <c r="J867" s="17">
        <v>24</v>
      </c>
      <c r="K867" s="9" t="s">
        <v>9827</v>
      </c>
      <c r="L867" s="10" t="s">
        <v>16576</v>
      </c>
      <c r="M867" s="9" t="s">
        <v>16577</v>
      </c>
      <c r="N867" s="10" t="s">
        <v>9834</v>
      </c>
      <c r="O867" s="15">
        <v>6374200</v>
      </c>
      <c r="P867" s="145">
        <v>510148</v>
      </c>
      <c r="Q867" s="9" t="s">
        <v>22901</v>
      </c>
      <c r="R867" s="146" t="s">
        <v>23009</v>
      </c>
      <c r="T867" s="92" t="s">
        <v>12966</v>
      </c>
      <c r="U867">
        <v>1</v>
      </c>
      <c r="V867">
        <f>VLOOKUP(T867,'Data Angt'!$A$5:$F$5810,6,FALSE)</f>
        <v>28</v>
      </c>
      <c r="W867" s="5" t="str">
        <f t="shared" si="13"/>
        <v>PRODUKTIF</v>
      </c>
      <c r="X867" s="5" t="str">
        <f>VLOOKUP(T867,'Data Angt'!$A$5:$H$5810,8,FALSE)</f>
        <v>Karyawan</v>
      </c>
      <c r="Y867" s="5" t="str">
        <f>VLOOKUP(T867,'Data Angt'!$A$5:$C$5808,3,FALSE)</f>
        <v>KRK</v>
      </c>
    </row>
    <row r="868" spans="1:25" x14ac:dyDescent="0.3">
      <c r="A868" s="8">
        <v>862</v>
      </c>
      <c r="B868" s="9" t="s">
        <v>6861</v>
      </c>
      <c r="C868" s="10" t="str">
        <f>VLOOKUP(B868,'Data Angt'!$A$5:$B$5809,2,FALSE)</f>
        <v>A3061</v>
      </c>
      <c r="D868" s="11" t="s">
        <v>9842</v>
      </c>
      <c r="E868" s="12" t="s">
        <v>10360</v>
      </c>
      <c r="F868" s="13">
        <v>45282</v>
      </c>
      <c r="G868" s="14">
        <v>45910</v>
      </c>
      <c r="H868" s="15">
        <v>200000000</v>
      </c>
      <c r="I868" s="16">
        <v>156</v>
      </c>
      <c r="J868" s="17">
        <v>11.4</v>
      </c>
      <c r="K868" s="9" t="s">
        <v>9831</v>
      </c>
      <c r="L868" s="10" t="s">
        <v>10361</v>
      </c>
      <c r="M868" s="9" t="s">
        <v>10082</v>
      </c>
      <c r="N868" s="10" t="s">
        <v>9830</v>
      </c>
      <c r="O868" s="15">
        <v>186968300</v>
      </c>
      <c r="P868" s="145">
        <v>14514744</v>
      </c>
      <c r="Q868" s="9"/>
      <c r="R868" s="146"/>
      <c r="T868" s="92" t="s">
        <v>13005</v>
      </c>
      <c r="U868">
        <v>1</v>
      </c>
      <c r="V868">
        <f>VLOOKUP(T868,'Data Angt'!$A$5:$F$5810,6,FALSE)</f>
        <v>37</v>
      </c>
      <c r="W868" s="5" t="str">
        <f t="shared" si="13"/>
        <v>KONSUMTIF</v>
      </c>
      <c r="X868" s="5" t="str">
        <f>VLOOKUP(T868,'Data Angt'!$A$5:$H$5810,8,FALSE)</f>
        <v>Wiraswasta</v>
      </c>
      <c r="Y868" s="5" t="str">
        <f>VLOOKUP(T868,'Data Angt'!$A$5:$C$5808,3,FALSE)</f>
        <v>KRK</v>
      </c>
    </row>
    <row r="869" spans="1:25" x14ac:dyDescent="0.3">
      <c r="A869" s="8">
        <v>863</v>
      </c>
      <c r="B869" s="9" t="s">
        <v>6867</v>
      </c>
      <c r="C869" s="10" t="str">
        <f>VLOOKUP(B869,'Data Angt'!$A$5:$B$5809,2,FALSE)</f>
        <v>A3063</v>
      </c>
      <c r="D869" s="11" t="s">
        <v>9833</v>
      </c>
      <c r="E869" s="12" t="s">
        <v>10362</v>
      </c>
      <c r="F869" s="13">
        <v>44302</v>
      </c>
      <c r="G869" s="14">
        <v>44434</v>
      </c>
      <c r="H869" s="15">
        <v>80000000</v>
      </c>
      <c r="I869" s="16">
        <v>36</v>
      </c>
      <c r="J869" s="17">
        <v>21</v>
      </c>
      <c r="K869" s="9" t="s">
        <v>9831</v>
      </c>
      <c r="L869" s="10" t="s">
        <v>10363</v>
      </c>
      <c r="M869" s="9" t="s">
        <v>10364</v>
      </c>
      <c r="N869" s="10" t="s">
        <v>9834</v>
      </c>
      <c r="O869" s="15">
        <v>73372300</v>
      </c>
      <c r="P869" s="145">
        <v>2035762</v>
      </c>
      <c r="Q869" s="9"/>
      <c r="R869" s="146"/>
      <c r="T869" s="92" t="s">
        <v>13044</v>
      </c>
      <c r="U869">
        <v>1</v>
      </c>
      <c r="V869">
        <f>VLOOKUP(T869,'Data Angt'!$A$5:$F$5810,6,FALSE)</f>
        <v>29</v>
      </c>
      <c r="W869" s="5" t="str">
        <f t="shared" si="13"/>
        <v>PRODUKTIF</v>
      </c>
      <c r="X869" s="5" t="str">
        <f>VLOOKUP(T869,'Data Angt'!$A$5:$H$5810,8,FALSE)</f>
        <v>Mengurus Rumah Tangga</v>
      </c>
      <c r="Y869" s="5" t="str">
        <f>VLOOKUP(T869,'Data Angt'!$A$5:$C$5808,3,FALSE)</f>
        <v>KRK</v>
      </c>
    </row>
    <row r="870" spans="1:25" x14ac:dyDescent="0.3">
      <c r="A870" s="8">
        <v>864</v>
      </c>
      <c r="B870" s="9" t="s">
        <v>6876</v>
      </c>
      <c r="C870" s="10" t="str">
        <f>VLOOKUP(B870,'Data Angt'!$A$5:$B$5809,2,FALSE)</f>
        <v>A3068</v>
      </c>
      <c r="D870" s="11" t="s">
        <v>9833</v>
      </c>
      <c r="E870" s="12" t="s">
        <v>16578</v>
      </c>
      <c r="F870" s="13">
        <v>45335</v>
      </c>
      <c r="G870" s="14">
        <v>45925</v>
      </c>
      <c r="H870" s="15">
        <v>15000000</v>
      </c>
      <c r="I870" s="16">
        <v>36</v>
      </c>
      <c r="J870" s="17">
        <v>24</v>
      </c>
      <c r="K870" s="9" t="s">
        <v>9831</v>
      </c>
      <c r="L870" s="10" t="s">
        <v>16579</v>
      </c>
      <c r="M870" s="9" t="s">
        <v>16580</v>
      </c>
      <c r="N870" s="10" t="s">
        <v>9834</v>
      </c>
      <c r="O870" s="15">
        <v>8411700</v>
      </c>
      <c r="P870" s="145">
        <v>1722445</v>
      </c>
      <c r="Q870" s="9" t="s">
        <v>22927</v>
      </c>
      <c r="R870" s="146" t="s">
        <v>23010</v>
      </c>
      <c r="T870" s="92" t="s">
        <v>13089</v>
      </c>
      <c r="U870">
        <v>1</v>
      </c>
      <c r="V870">
        <f>VLOOKUP(T870,'Data Angt'!$A$5:$F$5810,6,FALSE)</f>
        <v>38</v>
      </c>
      <c r="W870" s="5" t="str">
        <f t="shared" si="13"/>
        <v>PENDIDIKAN</v>
      </c>
      <c r="X870" s="5" t="str">
        <f>VLOOKUP(T870,'Data Angt'!$A$5:$H$5810,8,FALSE)</f>
        <v>Tenaga Pengajar</v>
      </c>
      <c r="Y870" s="5" t="str">
        <f>VLOOKUP(T870,'Data Angt'!$A$5:$C$5808,3,FALSE)</f>
        <v>KRK</v>
      </c>
    </row>
    <row r="871" spans="1:25" x14ac:dyDescent="0.3">
      <c r="A871" s="8">
        <v>865</v>
      </c>
      <c r="B871" s="9" t="s">
        <v>12456</v>
      </c>
      <c r="C871" s="10" t="str">
        <f>VLOOKUP(B871,'Data Angt'!$A$5:$B$5809,2,FALSE)</f>
        <v>A3071</v>
      </c>
      <c r="D871" s="11" t="s">
        <v>9833</v>
      </c>
      <c r="E871" s="12" t="s">
        <v>16581</v>
      </c>
      <c r="F871" s="13">
        <v>45772</v>
      </c>
      <c r="G871" s="14">
        <v>45925</v>
      </c>
      <c r="H871" s="15">
        <v>10000000</v>
      </c>
      <c r="I871" s="16">
        <v>12</v>
      </c>
      <c r="J871" s="17">
        <v>24</v>
      </c>
      <c r="K871" s="9" t="s">
        <v>9831</v>
      </c>
      <c r="L871" s="10" t="s">
        <v>16582</v>
      </c>
      <c r="M871" s="9" t="s">
        <v>9862</v>
      </c>
      <c r="N871" s="10" t="s">
        <v>9834</v>
      </c>
      <c r="O871" s="15">
        <v>6120000</v>
      </c>
      <c r="P871" s="145">
        <v>317999</v>
      </c>
      <c r="Q871" s="9" t="s">
        <v>22901</v>
      </c>
      <c r="R871" s="146" t="s">
        <v>23011</v>
      </c>
      <c r="T871" s="92" t="s">
        <v>13138</v>
      </c>
      <c r="U871">
        <v>1</v>
      </c>
      <c r="V871">
        <f>VLOOKUP(T871,'Data Angt'!$A$5:$F$5810,6,FALSE)</f>
        <v>30</v>
      </c>
      <c r="W871" s="5" t="str">
        <f t="shared" si="13"/>
        <v>PRODUKTIF</v>
      </c>
      <c r="X871" s="5" t="str">
        <f>VLOOKUP(T871,'Data Angt'!$A$5:$H$5810,8,FALSE)</f>
        <v>Karyawan</v>
      </c>
      <c r="Y871" s="5" t="str">
        <f>VLOOKUP(T871,'Data Angt'!$A$5:$C$5808,3,FALSE)</f>
        <v>KRK</v>
      </c>
    </row>
    <row r="872" spans="1:25" x14ac:dyDescent="0.3">
      <c r="A872" s="8">
        <v>866</v>
      </c>
      <c r="B872" s="9" t="s">
        <v>6970</v>
      </c>
      <c r="C872" s="10" t="str">
        <f>VLOOKUP(B872,'Data Angt'!$A$5:$B$5809,2,FALSE)</f>
        <v>A3118</v>
      </c>
      <c r="D872" s="11" t="s">
        <v>9829</v>
      </c>
      <c r="E872" s="12" t="s">
        <v>23012</v>
      </c>
      <c r="F872" s="13">
        <v>45878</v>
      </c>
      <c r="G872" s="14">
        <v>45910</v>
      </c>
      <c r="H872" s="15">
        <v>4000000</v>
      </c>
      <c r="I872" s="16">
        <v>12</v>
      </c>
      <c r="J872" s="17">
        <v>11.88</v>
      </c>
      <c r="K872" s="9" t="s">
        <v>9831</v>
      </c>
      <c r="L872" s="10" t="s">
        <v>23013</v>
      </c>
      <c r="M872" s="9" t="s">
        <v>10352</v>
      </c>
      <c r="N872" s="10" t="s">
        <v>9828</v>
      </c>
      <c r="O872" s="15">
        <v>3684400</v>
      </c>
      <c r="P872" s="145">
        <v>14850</v>
      </c>
      <c r="Q872" s="9"/>
      <c r="R872" s="146"/>
      <c r="T872" s="92" t="s">
        <v>13174</v>
      </c>
      <c r="U872">
        <v>1</v>
      </c>
      <c r="V872">
        <f>VLOOKUP(T872,'Data Angt'!$A$5:$F$5810,6,FALSE)</f>
        <v>32</v>
      </c>
      <c r="W872" s="5" t="str">
        <f t="shared" si="13"/>
        <v>KONSUMTIF</v>
      </c>
      <c r="X872" s="5" t="str">
        <f>VLOOKUP(T872,'Data Angt'!$A$5:$H$5810,8,FALSE)</f>
        <v>Wiraswasta</v>
      </c>
      <c r="Y872" s="5" t="str">
        <f>VLOOKUP(T872,'Data Angt'!$A$5:$C$5808,3,FALSE)</f>
        <v>KRK</v>
      </c>
    </row>
    <row r="873" spans="1:25" x14ac:dyDescent="0.3">
      <c r="A873" s="8">
        <v>867</v>
      </c>
      <c r="B873" s="9" t="s">
        <v>6990</v>
      </c>
      <c r="C873" s="10" t="str">
        <f>VLOOKUP(B873,'Data Angt'!$A$5:$B$5809,2,FALSE)</f>
        <v>A3128</v>
      </c>
      <c r="D873" s="11" t="s">
        <v>9829</v>
      </c>
      <c r="E873" s="12" t="s">
        <v>16583</v>
      </c>
      <c r="F873" s="13">
        <v>45792</v>
      </c>
      <c r="G873" s="14">
        <v>45915</v>
      </c>
      <c r="H873" s="15">
        <v>30000000</v>
      </c>
      <c r="I873" s="16">
        <v>48</v>
      </c>
      <c r="J873" s="17">
        <v>21</v>
      </c>
      <c r="K873" s="9" t="s">
        <v>9831</v>
      </c>
      <c r="L873" s="10" t="s">
        <v>16584</v>
      </c>
      <c r="M873" s="9" t="s">
        <v>9854</v>
      </c>
      <c r="N873" s="10" t="s">
        <v>17</v>
      </c>
      <c r="O873" s="15">
        <v>28341300</v>
      </c>
      <c r="P873" s="145">
        <v>771487</v>
      </c>
      <c r="Q873" s="9" t="s">
        <v>22910</v>
      </c>
      <c r="R873" s="146" t="s">
        <v>23014</v>
      </c>
      <c r="T873" s="92" t="s">
        <v>13214</v>
      </c>
      <c r="U873">
        <v>1</v>
      </c>
      <c r="V873">
        <f>VLOOKUP(T873,'Data Angt'!$A$5:$F$5810,6,FALSE)</f>
        <v>41</v>
      </c>
      <c r="W873" s="5" t="str">
        <f t="shared" si="13"/>
        <v>KONSUMTIF</v>
      </c>
      <c r="X873" s="5" t="str">
        <f>VLOOKUP(T873,'Data Angt'!$A$5:$H$5810,8,FALSE)</f>
        <v>Tenaga Pengajar</v>
      </c>
      <c r="Y873" s="5" t="str">
        <f>VLOOKUP(T873,'Data Angt'!$A$5:$C$5808,3,FALSE)</f>
        <v>KRK</v>
      </c>
    </row>
    <row r="874" spans="1:25" x14ac:dyDescent="0.3">
      <c r="A874" s="8">
        <v>868</v>
      </c>
      <c r="B874" s="9" t="s">
        <v>7064</v>
      </c>
      <c r="C874" s="10" t="str">
        <f>VLOOKUP(B874,'Data Angt'!$A$5:$B$5809,2,FALSE)</f>
        <v>A3158</v>
      </c>
      <c r="D874" s="11" t="s">
        <v>9833</v>
      </c>
      <c r="E874" s="12" t="s">
        <v>10366</v>
      </c>
      <c r="F874" s="13">
        <v>44973</v>
      </c>
      <c r="G874" s="14">
        <v>45917</v>
      </c>
      <c r="H874" s="15">
        <v>15000000</v>
      </c>
      <c r="I874" s="16">
        <v>36</v>
      </c>
      <c r="J874" s="17">
        <v>24</v>
      </c>
      <c r="K874" s="9" t="s">
        <v>9831</v>
      </c>
      <c r="L874" s="10" t="s">
        <v>10367</v>
      </c>
      <c r="M874" s="9" t="s">
        <v>10368</v>
      </c>
      <c r="N874" s="10" t="s">
        <v>9834</v>
      </c>
      <c r="O874" s="15">
        <v>2775700</v>
      </c>
      <c r="P874" s="145">
        <v>2257191</v>
      </c>
      <c r="Q874" s="9" t="s">
        <v>22901</v>
      </c>
      <c r="R874" s="146" t="s">
        <v>23015</v>
      </c>
      <c r="T874" s="92" t="s">
        <v>13531</v>
      </c>
      <c r="U874">
        <v>1</v>
      </c>
      <c r="V874">
        <f>VLOOKUP(T874,'Data Angt'!$A$5:$F$5810,6,FALSE)</f>
        <v>58</v>
      </c>
      <c r="W874" s="5" t="str">
        <f t="shared" si="13"/>
        <v>PRODUKTIF</v>
      </c>
      <c r="X874" s="5" t="str">
        <f>VLOOKUP(T874,'Data Angt'!$A$5:$H$5810,8,FALSE)</f>
        <v>Wiraswasta</v>
      </c>
      <c r="Y874" s="5" t="str">
        <f>VLOOKUP(T874,'Data Angt'!$A$5:$C$5808,3,FALSE)</f>
        <v>KRK</v>
      </c>
    </row>
    <row r="875" spans="1:25" x14ac:dyDescent="0.3">
      <c r="A875" s="8">
        <v>869</v>
      </c>
      <c r="B875" s="9" t="s">
        <v>7105</v>
      </c>
      <c r="C875" s="10" t="str">
        <f>VLOOKUP(B875,'Data Angt'!$A$5:$B$5809,2,FALSE)</f>
        <v>A3179</v>
      </c>
      <c r="D875" s="11" t="s">
        <v>9833</v>
      </c>
      <c r="E875" s="12" t="s">
        <v>10369</v>
      </c>
      <c r="F875" s="13">
        <v>44678</v>
      </c>
      <c r="G875" s="14">
        <v>44769</v>
      </c>
      <c r="H875" s="15">
        <v>4000000</v>
      </c>
      <c r="I875" s="16">
        <v>12</v>
      </c>
      <c r="J875" s="17">
        <v>24</v>
      </c>
      <c r="K875" s="9" t="s">
        <v>9831</v>
      </c>
      <c r="L875" s="10" t="s">
        <v>10370</v>
      </c>
      <c r="M875" s="9" t="s">
        <v>10371</v>
      </c>
      <c r="N875" s="10" t="s">
        <v>9834</v>
      </c>
      <c r="O875" s="15">
        <v>3397500</v>
      </c>
      <c r="P875" s="145">
        <v>57787</v>
      </c>
      <c r="Q875" s="9"/>
      <c r="R875" s="146"/>
      <c r="T875" s="92" t="s">
        <v>13540</v>
      </c>
      <c r="U875">
        <v>1</v>
      </c>
      <c r="V875">
        <f>VLOOKUP(T875,'Data Angt'!$A$5:$F$5810,6,FALSE)</f>
        <v>28</v>
      </c>
      <c r="W875" s="5" t="str">
        <f t="shared" si="13"/>
        <v>KONSUMTIF</v>
      </c>
      <c r="X875" s="5" t="str">
        <f>VLOOKUP(T875,'Data Angt'!$A$5:$H$5810,8,FALSE)</f>
        <v>Karyawan</v>
      </c>
      <c r="Y875" s="5" t="str">
        <f>VLOOKUP(T875,'Data Angt'!$A$5:$C$5808,3,FALSE)</f>
        <v>KRK</v>
      </c>
    </row>
    <row r="876" spans="1:25" x14ac:dyDescent="0.3">
      <c r="A876" s="8">
        <v>870</v>
      </c>
      <c r="B876" s="9" t="s">
        <v>7182</v>
      </c>
      <c r="C876" s="10" t="str">
        <f>VLOOKUP(B876,'Data Angt'!$A$5:$B$5809,2,FALSE)</f>
        <v>A3212</v>
      </c>
      <c r="D876" s="11" t="s">
        <v>9829</v>
      </c>
      <c r="E876" s="12" t="s">
        <v>16588</v>
      </c>
      <c r="F876" s="13">
        <v>45552</v>
      </c>
      <c r="G876" s="14">
        <v>45910</v>
      </c>
      <c r="H876" s="15">
        <v>4300000</v>
      </c>
      <c r="I876" s="16">
        <v>24</v>
      </c>
      <c r="J876" s="17">
        <v>11.64</v>
      </c>
      <c r="K876" s="9" t="s">
        <v>9831</v>
      </c>
      <c r="L876" s="10" t="s">
        <v>16589</v>
      </c>
      <c r="M876" s="9" t="s">
        <v>16590</v>
      </c>
      <c r="N876" s="10" t="s">
        <v>9828</v>
      </c>
      <c r="O876" s="15">
        <v>2275000</v>
      </c>
      <c r="P876" s="145">
        <v>148273</v>
      </c>
      <c r="Q876" s="9"/>
      <c r="R876" s="146"/>
      <c r="T876" s="92" t="s">
        <v>13550</v>
      </c>
      <c r="U876">
        <v>1</v>
      </c>
      <c r="V876">
        <f>VLOOKUP(T876,'Data Angt'!$A$5:$F$5810,6,FALSE)</f>
        <v>56</v>
      </c>
      <c r="W876" s="5" t="str">
        <f t="shared" si="13"/>
        <v>PRODUKTIF</v>
      </c>
      <c r="X876" s="5" t="str">
        <f>VLOOKUP(T876,'Data Angt'!$A$5:$H$5810,8,FALSE)</f>
        <v>Wiraswasta</v>
      </c>
      <c r="Y876" s="5" t="str">
        <f>VLOOKUP(T876,'Data Angt'!$A$5:$C$5808,3,FALSE)</f>
        <v>KRK</v>
      </c>
    </row>
    <row r="877" spans="1:25" x14ac:dyDescent="0.3">
      <c r="A877" s="8">
        <v>871</v>
      </c>
      <c r="B877" s="9" t="s">
        <v>7182</v>
      </c>
      <c r="C877" s="10" t="str">
        <f>VLOOKUP(B877,'Data Angt'!$A$5:$B$5809,2,FALSE)</f>
        <v>A3212</v>
      </c>
      <c r="D877" s="11" t="s">
        <v>9833</v>
      </c>
      <c r="E877" s="12" t="s">
        <v>16585</v>
      </c>
      <c r="F877" s="13">
        <v>45344</v>
      </c>
      <c r="G877" s="14">
        <v>45910</v>
      </c>
      <c r="H877" s="15">
        <v>15000000</v>
      </c>
      <c r="I877" s="16">
        <v>36</v>
      </c>
      <c r="J877" s="17">
        <v>24</v>
      </c>
      <c r="K877" s="9" t="s">
        <v>9831</v>
      </c>
      <c r="L877" s="10" t="s">
        <v>16586</v>
      </c>
      <c r="M877" s="9" t="s">
        <v>16587</v>
      </c>
      <c r="N877" s="10" t="s">
        <v>9834</v>
      </c>
      <c r="O877" s="15">
        <v>8411700</v>
      </c>
      <c r="P877" s="145">
        <v>1722445</v>
      </c>
      <c r="Q877" s="9" t="s">
        <v>23016</v>
      </c>
      <c r="R877" s="146" t="s">
        <v>23017</v>
      </c>
      <c r="T877" s="92" t="s">
        <v>13587</v>
      </c>
      <c r="U877">
        <v>1</v>
      </c>
      <c r="V877">
        <f>VLOOKUP(T877,'Data Angt'!$A$5:$F$5810,6,FALSE)</f>
        <v>30</v>
      </c>
      <c r="W877" s="5" t="str">
        <f t="shared" si="13"/>
        <v>KONSUMTIF</v>
      </c>
      <c r="X877" s="5" t="str">
        <f>VLOOKUP(T877,'Data Angt'!$A$5:$H$5810,8,FALSE)</f>
        <v>Lain-Lain</v>
      </c>
      <c r="Y877" s="5" t="str">
        <f>VLOOKUP(T877,'Data Angt'!$A$5:$C$5808,3,FALSE)</f>
        <v>KRK</v>
      </c>
    </row>
    <row r="878" spans="1:25" x14ac:dyDescent="0.3">
      <c r="A878" s="8">
        <v>872</v>
      </c>
      <c r="B878" s="9" t="s">
        <v>7197</v>
      </c>
      <c r="C878" s="10" t="str">
        <f>VLOOKUP(B878,'Data Angt'!$A$5:$B$5809,2,FALSE)</f>
        <v>A3218</v>
      </c>
      <c r="D878" s="11" t="s">
        <v>9833</v>
      </c>
      <c r="E878" s="12" t="s">
        <v>16591</v>
      </c>
      <c r="F878" s="13">
        <v>45674</v>
      </c>
      <c r="G878" s="14">
        <v>45916</v>
      </c>
      <c r="H878" s="15">
        <v>10000000</v>
      </c>
      <c r="I878" s="16">
        <v>24</v>
      </c>
      <c r="J878" s="17">
        <v>24</v>
      </c>
      <c r="K878" s="9" t="s">
        <v>9831</v>
      </c>
      <c r="L878" s="10" t="s">
        <v>16592</v>
      </c>
      <c r="M878" s="9" t="s">
        <v>16593</v>
      </c>
      <c r="N878" s="10" t="s">
        <v>9834</v>
      </c>
      <c r="O878" s="15">
        <v>7178300</v>
      </c>
      <c r="P878" s="145">
        <v>528261</v>
      </c>
      <c r="Q878" s="9" t="s">
        <v>22254</v>
      </c>
      <c r="R878" s="146" t="s">
        <v>23018</v>
      </c>
      <c r="T878" s="92" t="s">
        <v>13616</v>
      </c>
      <c r="U878">
        <v>1</v>
      </c>
      <c r="V878">
        <f>VLOOKUP(T878,'Data Angt'!$A$5:$F$5810,6,FALSE)</f>
        <v>26</v>
      </c>
      <c r="W878" s="5" t="str">
        <f t="shared" si="13"/>
        <v>PRODUKTIF</v>
      </c>
      <c r="X878" s="5" t="str">
        <f>VLOOKUP(T878,'Data Angt'!$A$5:$H$5810,8,FALSE)</f>
        <v>Karyawan</v>
      </c>
      <c r="Y878" s="5" t="str">
        <f>VLOOKUP(T878,'Data Angt'!$A$5:$C$5808,3,FALSE)</f>
        <v>KRK</v>
      </c>
    </row>
    <row r="879" spans="1:25" x14ac:dyDescent="0.3">
      <c r="A879" s="8">
        <v>873</v>
      </c>
      <c r="B879" s="9" t="s">
        <v>7207</v>
      </c>
      <c r="C879" s="10" t="str">
        <f>VLOOKUP(B879,'Data Angt'!$A$5:$B$5809,2,FALSE)</f>
        <v>A3222</v>
      </c>
      <c r="D879" s="11" t="s">
        <v>9829</v>
      </c>
      <c r="E879" s="12" t="s">
        <v>16594</v>
      </c>
      <c r="F879" s="13">
        <v>45813</v>
      </c>
      <c r="G879" s="14">
        <v>45902</v>
      </c>
      <c r="H879" s="15">
        <v>3000000</v>
      </c>
      <c r="I879" s="16">
        <v>10</v>
      </c>
      <c r="J879" s="17">
        <v>24</v>
      </c>
      <c r="K879" s="9" t="s">
        <v>9831</v>
      </c>
      <c r="L879" s="10" t="s">
        <v>16595</v>
      </c>
      <c r="M879" s="9" t="s">
        <v>10352</v>
      </c>
      <c r="N879" s="10" t="s">
        <v>9828</v>
      </c>
      <c r="O879" s="15">
        <v>2161600</v>
      </c>
      <c r="P879" s="145">
        <v>61350</v>
      </c>
      <c r="Q879" s="9"/>
      <c r="R879" s="146"/>
      <c r="T879" s="92" t="s">
        <v>13635</v>
      </c>
      <c r="U879">
        <v>1</v>
      </c>
      <c r="V879">
        <f>VLOOKUP(T879,'Data Angt'!$A$5:$F$5810,6,FALSE)</f>
        <v>49</v>
      </c>
      <c r="W879" s="5" t="str">
        <f t="shared" si="13"/>
        <v>PRODUKTIF</v>
      </c>
      <c r="X879" s="5" t="str">
        <f>VLOOKUP(T879,'Data Angt'!$A$5:$H$5810,8,FALSE)</f>
        <v>Tenaga Pengajar</v>
      </c>
      <c r="Y879" s="5" t="str">
        <f>VLOOKUP(T879,'Data Angt'!$A$5:$C$5808,3,FALSE)</f>
        <v>KRK</v>
      </c>
    </row>
    <row r="880" spans="1:25" x14ac:dyDescent="0.3">
      <c r="A880" s="8">
        <v>874</v>
      </c>
      <c r="B880" s="9" t="s">
        <v>7291</v>
      </c>
      <c r="C880" s="10" t="str">
        <f>VLOOKUP(B880,'Data Angt'!$A$5:$B$5809,2,FALSE)</f>
        <v>A3263</v>
      </c>
      <c r="D880" s="11" t="s">
        <v>9829</v>
      </c>
      <c r="E880" s="12" t="s">
        <v>16596</v>
      </c>
      <c r="F880" s="13">
        <v>45580</v>
      </c>
      <c r="G880" s="14">
        <v>45915</v>
      </c>
      <c r="H880" s="15">
        <v>5000000</v>
      </c>
      <c r="I880" s="16">
        <v>18</v>
      </c>
      <c r="J880" s="17">
        <v>24</v>
      </c>
      <c r="K880" s="9" t="s">
        <v>9827</v>
      </c>
      <c r="L880" s="10" t="s">
        <v>16597</v>
      </c>
      <c r="M880" s="9" t="s">
        <v>9849</v>
      </c>
      <c r="N880" s="10" t="s">
        <v>9828</v>
      </c>
      <c r="O880" s="15">
        <v>1944200</v>
      </c>
      <c r="P880" s="145">
        <v>298085</v>
      </c>
      <c r="Q880" s="9"/>
      <c r="R880" s="146"/>
      <c r="T880" s="92" t="s">
        <v>13649</v>
      </c>
      <c r="U880">
        <v>1</v>
      </c>
      <c r="V880">
        <f>VLOOKUP(T880,'Data Angt'!$A$5:$F$5810,6,FALSE)</f>
        <v>42</v>
      </c>
      <c r="W880" s="5" t="str">
        <f t="shared" si="13"/>
        <v>KONSUMTIF</v>
      </c>
      <c r="X880" s="5" t="str">
        <f>VLOOKUP(T880,'Data Angt'!$A$5:$H$5810,8,FALSE)</f>
        <v>Wiraswasta</v>
      </c>
      <c r="Y880" s="5" t="str">
        <f>VLOOKUP(T880,'Data Angt'!$A$5:$C$5808,3,FALSE)</f>
        <v>KRK</v>
      </c>
    </row>
    <row r="881" spans="1:25" x14ac:dyDescent="0.3">
      <c r="A881" s="8">
        <v>875</v>
      </c>
      <c r="B881" s="9" t="s">
        <v>7358</v>
      </c>
      <c r="C881" s="10" t="str">
        <f>VLOOKUP(B881,'Data Angt'!$A$5:$B$5809,2,FALSE)</f>
        <v>A3291</v>
      </c>
      <c r="D881" s="11" t="s">
        <v>9826</v>
      </c>
      <c r="E881" s="12" t="s">
        <v>16598</v>
      </c>
      <c r="F881" s="13">
        <v>45713</v>
      </c>
      <c r="G881" s="14">
        <v>45920</v>
      </c>
      <c r="H881" s="15">
        <v>5000000</v>
      </c>
      <c r="I881" s="16">
        <v>12</v>
      </c>
      <c r="J881" s="17">
        <v>24</v>
      </c>
      <c r="K881" s="9" t="s">
        <v>9831</v>
      </c>
      <c r="L881" s="10" t="s">
        <v>16599</v>
      </c>
      <c r="M881" s="9" t="s">
        <v>16600</v>
      </c>
      <c r="N881" s="10" t="s">
        <v>9834</v>
      </c>
      <c r="O881" s="15">
        <v>2228800</v>
      </c>
      <c r="P881" s="145">
        <v>201899</v>
      </c>
      <c r="Q881" s="9"/>
      <c r="R881" s="146"/>
      <c r="T881" s="92" t="s">
        <v>13668</v>
      </c>
      <c r="U881">
        <v>1</v>
      </c>
      <c r="V881">
        <f>VLOOKUP(T881,'Data Angt'!$A$5:$F$5810,6,FALSE)</f>
        <v>50</v>
      </c>
      <c r="W881" s="5" t="str">
        <f t="shared" si="13"/>
        <v>PRODUKTIF</v>
      </c>
      <c r="X881" s="5" t="str">
        <f>VLOOKUP(T881,'Data Angt'!$A$5:$H$5810,8,FALSE)</f>
        <v>Wiraswasta</v>
      </c>
      <c r="Y881" s="5" t="str">
        <f>VLOOKUP(T881,'Data Angt'!$A$5:$C$5808,3,FALSE)</f>
        <v>KRK</v>
      </c>
    </row>
    <row r="882" spans="1:25" x14ac:dyDescent="0.3">
      <c r="A882" s="8">
        <v>876</v>
      </c>
      <c r="B882" s="9" t="s">
        <v>7358</v>
      </c>
      <c r="C882" s="10" t="str">
        <f>VLOOKUP(B882,'Data Angt'!$A$5:$B$5809,2,FALSE)</f>
        <v>A3291</v>
      </c>
      <c r="D882" s="11" t="s">
        <v>9829</v>
      </c>
      <c r="E882" s="12" t="s">
        <v>16601</v>
      </c>
      <c r="F882" s="13">
        <v>45527</v>
      </c>
      <c r="G882" s="14">
        <v>45930</v>
      </c>
      <c r="H882" s="15">
        <v>20000000</v>
      </c>
      <c r="I882" s="16">
        <v>24</v>
      </c>
      <c r="J882" s="17">
        <v>24</v>
      </c>
      <c r="K882" s="9" t="s">
        <v>9827</v>
      </c>
      <c r="L882" s="10" t="s">
        <v>16602</v>
      </c>
      <c r="M882" s="9" t="s">
        <v>9838</v>
      </c>
      <c r="N882" s="10" t="s">
        <v>17</v>
      </c>
      <c r="O882" s="15">
        <v>9165800</v>
      </c>
      <c r="P882" s="145">
        <v>1462648</v>
      </c>
      <c r="Q882" s="9" t="s">
        <v>22901</v>
      </c>
      <c r="R882" s="146" t="s">
        <v>23019</v>
      </c>
      <c r="T882" s="92" t="s">
        <v>13673</v>
      </c>
      <c r="U882">
        <v>1</v>
      </c>
      <c r="V882">
        <f>VLOOKUP(T882,'Data Angt'!$A$5:$F$5810,6,FALSE)</f>
        <v>29</v>
      </c>
      <c r="W882" s="5">
        <f t="shared" si="13"/>
        <v>0</v>
      </c>
      <c r="X882" s="5" t="str">
        <f>VLOOKUP(T882,'Data Angt'!$A$5:$H$5810,8,FALSE)</f>
        <v>Wiraswasta</v>
      </c>
      <c r="Y882" s="5" t="str">
        <f>VLOOKUP(T882,'Data Angt'!$A$5:$C$5808,3,FALSE)</f>
        <v>KRK</v>
      </c>
    </row>
    <row r="883" spans="1:25" x14ac:dyDescent="0.3">
      <c r="A883" s="8">
        <v>877</v>
      </c>
      <c r="B883" s="9" t="s">
        <v>7362</v>
      </c>
      <c r="C883" s="10" t="str">
        <f>VLOOKUP(B883,'Data Angt'!$A$5:$B$5809,2,FALSE)</f>
        <v>A3292</v>
      </c>
      <c r="D883" s="11" t="s">
        <v>9833</v>
      </c>
      <c r="E883" s="12" t="s">
        <v>16603</v>
      </c>
      <c r="F883" s="13">
        <v>45785</v>
      </c>
      <c r="G883" s="14">
        <v>45908</v>
      </c>
      <c r="H883" s="15">
        <v>15000000</v>
      </c>
      <c r="I883" s="16">
        <v>10</v>
      </c>
      <c r="J883" s="17">
        <v>24</v>
      </c>
      <c r="K883" s="9" t="s">
        <v>9827</v>
      </c>
      <c r="L883" s="10" t="s">
        <v>16604</v>
      </c>
      <c r="M883" s="9" t="s">
        <v>9862</v>
      </c>
      <c r="N883" s="10" t="s">
        <v>9834</v>
      </c>
      <c r="O883" s="15">
        <v>9000000</v>
      </c>
      <c r="P883" s="145">
        <v>382500</v>
      </c>
      <c r="Q883" s="9" t="s">
        <v>23020</v>
      </c>
      <c r="R883" s="146" t="s">
        <v>23021</v>
      </c>
      <c r="T883" s="92" t="s">
        <v>13757</v>
      </c>
      <c r="U883">
        <v>1</v>
      </c>
      <c r="V883">
        <f>VLOOKUP(T883,'Data Angt'!$A$5:$F$5810,6,FALSE)</f>
        <v>40</v>
      </c>
      <c r="W883" s="5" t="str">
        <f t="shared" si="13"/>
        <v>PRODUKTIF</v>
      </c>
      <c r="X883" s="5" t="str">
        <f>VLOOKUP(T883,'Data Angt'!$A$5:$H$5810,8,FALSE)</f>
        <v>Karyawan</v>
      </c>
      <c r="Y883" s="5" t="str">
        <f>VLOOKUP(T883,'Data Angt'!$A$5:$C$5808,3,FALSE)</f>
        <v>KRK</v>
      </c>
    </row>
    <row r="884" spans="1:25" x14ac:dyDescent="0.3">
      <c r="A884" s="8">
        <v>878</v>
      </c>
      <c r="B884" s="9" t="s">
        <v>7426</v>
      </c>
      <c r="C884" s="10" t="str">
        <f>VLOOKUP(B884,'Data Angt'!$A$5:$B$5809,2,FALSE)</f>
        <v>A3322</v>
      </c>
      <c r="D884" s="11" t="s">
        <v>9826</v>
      </c>
      <c r="E884" s="12" t="s">
        <v>23022</v>
      </c>
      <c r="F884" s="13">
        <v>45876</v>
      </c>
      <c r="G884" s="14">
        <v>45908</v>
      </c>
      <c r="H884" s="15">
        <v>5000000</v>
      </c>
      <c r="I884" s="16">
        <v>12</v>
      </c>
      <c r="J884" s="17">
        <v>24</v>
      </c>
      <c r="K884" s="9" t="s">
        <v>9831</v>
      </c>
      <c r="L884" s="10" t="s">
        <v>23023</v>
      </c>
      <c r="M884" s="9" t="s">
        <v>9838</v>
      </c>
      <c r="N884" s="10" t="s">
        <v>9830</v>
      </c>
      <c r="O884" s="15">
        <v>4627200</v>
      </c>
      <c r="P884" s="145">
        <v>37500</v>
      </c>
      <c r="Q884" s="9"/>
      <c r="R884" s="146"/>
      <c r="T884" s="92" t="s">
        <v>13851</v>
      </c>
      <c r="U884">
        <v>1</v>
      </c>
      <c r="V884">
        <f>VLOOKUP(T884,'Data Angt'!$A$5:$F$5810,6,FALSE)</f>
        <v>38</v>
      </c>
      <c r="W884" s="5" t="str">
        <f t="shared" si="13"/>
        <v>KESEJAHTERAAN</v>
      </c>
      <c r="X884" s="5" t="str">
        <f>VLOOKUP(T884,'Data Angt'!$A$5:$H$5810,8,FALSE)</f>
        <v>Mengurus Rumah Tangga</v>
      </c>
      <c r="Y884" s="5" t="str">
        <f>VLOOKUP(T884,'Data Angt'!$A$5:$C$5808,3,FALSE)</f>
        <v>KRK</v>
      </c>
    </row>
    <row r="885" spans="1:25" x14ac:dyDescent="0.3">
      <c r="A885" s="8">
        <v>879</v>
      </c>
      <c r="B885" s="9" t="s">
        <v>7426</v>
      </c>
      <c r="C885" s="10" t="str">
        <f>VLOOKUP(B885,'Data Angt'!$A$5:$B$5809,2,FALSE)</f>
        <v>A3322</v>
      </c>
      <c r="D885" s="11" t="s">
        <v>9829</v>
      </c>
      <c r="E885" s="12" t="s">
        <v>16605</v>
      </c>
      <c r="F885" s="13">
        <v>45493</v>
      </c>
      <c r="G885" s="14">
        <v>45908</v>
      </c>
      <c r="H885" s="15">
        <v>15000000</v>
      </c>
      <c r="I885" s="16">
        <v>24</v>
      </c>
      <c r="J885" s="17">
        <v>24</v>
      </c>
      <c r="K885" s="9" t="s">
        <v>9831</v>
      </c>
      <c r="L885" s="10" t="s">
        <v>16606</v>
      </c>
      <c r="M885" s="9" t="s">
        <v>9854</v>
      </c>
      <c r="N885" s="10" t="s">
        <v>17</v>
      </c>
      <c r="O885" s="15">
        <v>7124000</v>
      </c>
      <c r="P885" s="145">
        <v>1210271</v>
      </c>
      <c r="Q885" s="9" t="s">
        <v>22254</v>
      </c>
      <c r="R885" s="146" t="s">
        <v>23024</v>
      </c>
      <c r="T885" s="92" t="s">
        <v>13864</v>
      </c>
      <c r="U885">
        <v>1</v>
      </c>
      <c r="V885">
        <f>VLOOKUP(T885,'Data Angt'!$A$5:$F$5810,6,FALSE)</f>
        <v>48</v>
      </c>
      <c r="W885" s="5" t="str">
        <f t="shared" si="13"/>
        <v>PRODUKTIF</v>
      </c>
      <c r="X885" s="5" t="str">
        <f>VLOOKUP(T885,'Data Angt'!$A$5:$H$5810,8,FALSE)</f>
        <v>Wiraswasta</v>
      </c>
      <c r="Y885" s="5" t="str">
        <f>VLOOKUP(T885,'Data Angt'!$A$5:$C$5808,3,FALSE)</f>
        <v>KRK</v>
      </c>
    </row>
    <row r="886" spans="1:25" x14ac:dyDescent="0.3">
      <c r="A886" s="8">
        <v>880</v>
      </c>
      <c r="B886" s="9" t="s">
        <v>7433</v>
      </c>
      <c r="C886" s="10" t="str">
        <f>VLOOKUP(B886,'Data Angt'!$A$5:$B$5809,2,FALSE)</f>
        <v>A3325</v>
      </c>
      <c r="D886" s="11" t="s">
        <v>9833</v>
      </c>
      <c r="E886" s="12" t="s">
        <v>16607</v>
      </c>
      <c r="F886" s="13">
        <v>45591</v>
      </c>
      <c r="G886" s="14">
        <v>45916</v>
      </c>
      <c r="H886" s="15">
        <v>15000000</v>
      </c>
      <c r="I886" s="16">
        <v>48</v>
      </c>
      <c r="J886" s="17">
        <v>24</v>
      </c>
      <c r="K886" s="9" t="s">
        <v>9831</v>
      </c>
      <c r="L886" s="10" t="s">
        <v>16608</v>
      </c>
      <c r="M886" s="9" t="s">
        <v>16609</v>
      </c>
      <c r="N886" s="10" t="s">
        <v>9834</v>
      </c>
      <c r="O886" s="15">
        <v>12699500</v>
      </c>
      <c r="P886" s="145">
        <v>1154848</v>
      </c>
      <c r="Q886" s="9" t="s">
        <v>22254</v>
      </c>
      <c r="R886" s="146" t="s">
        <v>23025</v>
      </c>
      <c r="T886" s="92" t="s">
        <v>13995</v>
      </c>
      <c r="U886">
        <v>1</v>
      </c>
      <c r="V886">
        <f>VLOOKUP(T886,'Data Angt'!$A$5:$F$5810,6,FALSE)</f>
        <v>19</v>
      </c>
      <c r="W886" s="5" t="str">
        <f t="shared" si="13"/>
        <v>PRODUKTIF</v>
      </c>
      <c r="X886" s="5" t="str">
        <f>VLOOKUP(T886,'Data Angt'!$A$5:$H$5810,8,FALSE)</f>
        <v>Pelajar/Mahasiswa</v>
      </c>
      <c r="Y886" s="5" t="str">
        <f>VLOOKUP(T886,'Data Angt'!$A$5:$C$5808,3,FALSE)</f>
        <v>KRK</v>
      </c>
    </row>
    <row r="887" spans="1:25" x14ac:dyDescent="0.3">
      <c r="A887" s="8">
        <v>881</v>
      </c>
      <c r="B887" s="9" t="s">
        <v>7507</v>
      </c>
      <c r="C887" s="10" t="str">
        <f>VLOOKUP(B887,'Data Angt'!$A$5:$B$5809,2,FALSE)</f>
        <v>A3361</v>
      </c>
      <c r="D887" s="11" t="s">
        <v>9829</v>
      </c>
      <c r="E887" s="12" t="s">
        <v>10372</v>
      </c>
      <c r="F887" s="13">
        <v>44539</v>
      </c>
      <c r="G887" s="14">
        <v>45908</v>
      </c>
      <c r="H887" s="15">
        <v>45000000</v>
      </c>
      <c r="I887" s="16">
        <v>48</v>
      </c>
      <c r="J887" s="17">
        <v>21</v>
      </c>
      <c r="K887" s="9" t="s">
        <v>9831</v>
      </c>
      <c r="L887" s="10" t="s">
        <v>10373</v>
      </c>
      <c r="M887" s="9" t="s">
        <v>10268</v>
      </c>
      <c r="N887" s="10" t="s">
        <v>9828</v>
      </c>
      <c r="O887" s="15">
        <v>12682100</v>
      </c>
      <c r="P887" s="145">
        <v>7738154</v>
      </c>
      <c r="Q887" s="9"/>
      <c r="R887" s="146"/>
      <c r="T887" s="92" t="s">
        <v>14032</v>
      </c>
      <c r="U887">
        <v>1</v>
      </c>
      <c r="V887">
        <f>VLOOKUP(T887,'Data Angt'!$A$5:$F$5810,6,FALSE)</f>
        <v>42</v>
      </c>
      <c r="W887" s="5" t="str">
        <f t="shared" si="13"/>
        <v>PRODUKTIF</v>
      </c>
      <c r="X887" s="5" t="str">
        <f>VLOOKUP(T887,'Data Angt'!$A$5:$H$5810,8,FALSE)</f>
        <v>Karyawan</v>
      </c>
      <c r="Y887" s="5" t="str">
        <f>VLOOKUP(T887,'Data Angt'!$A$5:$C$5808,3,FALSE)</f>
        <v>KRK</v>
      </c>
    </row>
    <row r="888" spans="1:25" x14ac:dyDescent="0.3">
      <c r="A888" s="8">
        <v>882</v>
      </c>
      <c r="B888" s="9" t="s">
        <v>7511</v>
      </c>
      <c r="C888" s="10" t="str">
        <f>VLOOKUP(B888,'Data Angt'!$A$5:$B$5809,2,FALSE)</f>
        <v>A3363</v>
      </c>
      <c r="D888" s="11" t="s">
        <v>9829</v>
      </c>
      <c r="E888" s="12" t="s">
        <v>23026</v>
      </c>
      <c r="F888" s="13">
        <v>45911</v>
      </c>
      <c r="G888" s="14">
        <v>45911</v>
      </c>
      <c r="H888" s="15">
        <v>3000000</v>
      </c>
      <c r="I888" s="16">
        <v>10</v>
      </c>
      <c r="J888" s="17">
        <v>24</v>
      </c>
      <c r="K888" s="9" t="s">
        <v>9831</v>
      </c>
      <c r="L888" s="10" t="s">
        <v>23027</v>
      </c>
      <c r="M888" s="9" t="s">
        <v>10352</v>
      </c>
      <c r="N888" s="10" t="s">
        <v>9828</v>
      </c>
      <c r="O888" s="15">
        <v>3000000</v>
      </c>
      <c r="P888" s="147">
        <v>0</v>
      </c>
      <c r="Q888" s="9"/>
      <c r="R888" s="146"/>
      <c r="T888" s="92" t="s">
        <v>14064</v>
      </c>
      <c r="U888">
        <v>1</v>
      </c>
      <c r="V888">
        <f>VLOOKUP(T888,'Data Angt'!$A$5:$F$5810,6,FALSE)</f>
        <v>49</v>
      </c>
      <c r="W888" s="5" t="str">
        <f t="shared" si="13"/>
        <v>PENDIDIKAN</v>
      </c>
      <c r="X888" s="5" t="str">
        <f>VLOOKUP(T888,'Data Angt'!$A$5:$H$5810,8,FALSE)</f>
        <v>Karyawan</v>
      </c>
      <c r="Y888" s="5" t="str">
        <f>VLOOKUP(T888,'Data Angt'!$A$5:$C$5808,3,FALSE)</f>
        <v>KRK</v>
      </c>
    </row>
    <row r="889" spans="1:25" x14ac:dyDescent="0.3">
      <c r="A889" s="8">
        <v>883</v>
      </c>
      <c r="B889" s="9" t="s">
        <v>7595</v>
      </c>
      <c r="C889" s="10" t="str">
        <f>VLOOKUP(B889,'Data Angt'!$A$5:$B$5809,2,FALSE)</f>
        <v>A3402</v>
      </c>
      <c r="D889" s="11" t="s">
        <v>9829</v>
      </c>
      <c r="E889" s="12" t="s">
        <v>16610</v>
      </c>
      <c r="F889" s="13">
        <v>45334</v>
      </c>
      <c r="G889" s="14">
        <v>45910</v>
      </c>
      <c r="H889" s="15">
        <v>26000000</v>
      </c>
      <c r="I889" s="16">
        <v>36</v>
      </c>
      <c r="J889" s="17">
        <v>21</v>
      </c>
      <c r="K889" s="9" t="s">
        <v>9831</v>
      </c>
      <c r="L889" s="10" t="s">
        <v>16611</v>
      </c>
      <c r="M889" s="9" t="s">
        <v>9854</v>
      </c>
      <c r="N889" s="10" t="s">
        <v>17</v>
      </c>
      <c r="O889" s="15">
        <v>14296500</v>
      </c>
      <c r="P889" s="145">
        <v>2590833</v>
      </c>
      <c r="Q889" s="9" t="s">
        <v>22946</v>
      </c>
      <c r="R889" s="146" t="s">
        <v>23028</v>
      </c>
      <c r="T889" s="92" t="s">
        <v>14069</v>
      </c>
      <c r="U889">
        <v>1</v>
      </c>
      <c r="V889">
        <f>VLOOKUP(T889,'Data Angt'!$A$5:$F$5810,6,FALSE)</f>
        <v>32</v>
      </c>
      <c r="W889" s="5" t="str">
        <f t="shared" si="13"/>
        <v>PRODUKTIF</v>
      </c>
      <c r="X889" s="5" t="str">
        <f>VLOOKUP(T889,'Data Angt'!$A$5:$H$5810,8,FALSE)</f>
        <v>Wiraswasta</v>
      </c>
      <c r="Y889" s="5" t="str">
        <f>VLOOKUP(T889,'Data Angt'!$A$5:$C$5808,3,FALSE)</f>
        <v>KRK</v>
      </c>
    </row>
    <row r="890" spans="1:25" x14ac:dyDescent="0.3">
      <c r="A890" s="8">
        <v>884</v>
      </c>
      <c r="B890" s="9" t="s">
        <v>7766</v>
      </c>
      <c r="C890" s="10" t="str">
        <f>VLOOKUP(B890,'Data Angt'!$A$5:$B$5809,2,FALSE)</f>
        <v>A3488</v>
      </c>
      <c r="D890" s="11" t="s">
        <v>9895</v>
      </c>
      <c r="E890" s="12" t="s">
        <v>16612</v>
      </c>
      <c r="F890" s="13">
        <v>45603</v>
      </c>
      <c r="G890" s="14">
        <v>45908</v>
      </c>
      <c r="H890" s="15">
        <v>10500000</v>
      </c>
      <c r="I890" s="16">
        <v>36</v>
      </c>
      <c r="J890" s="17">
        <v>24</v>
      </c>
      <c r="K890" s="9" t="s">
        <v>9831</v>
      </c>
      <c r="L890" s="10" t="s">
        <v>16613</v>
      </c>
      <c r="M890" s="9" t="s">
        <v>9896</v>
      </c>
      <c r="N890" s="10" t="s">
        <v>9830</v>
      </c>
      <c r="O890" s="15">
        <v>8288600</v>
      </c>
      <c r="P890" s="145">
        <v>715724</v>
      </c>
      <c r="Q890" s="9" t="s">
        <v>22901</v>
      </c>
      <c r="R890" s="146" t="s">
        <v>23029</v>
      </c>
      <c r="T890" s="92" t="s">
        <v>14076</v>
      </c>
      <c r="U890">
        <v>1</v>
      </c>
      <c r="V890">
        <f>VLOOKUP(T890,'Data Angt'!$A$5:$F$5810,6,FALSE)</f>
        <v>23</v>
      </c>
      <c r="W890" s="5" t="str">
        <f t="shared" si="13"/>
        <v>KESEJAHTERAAN</v>
      </c>
      <c r="X890" s="5" t="str">
        <f>VLOOKUP(T890,'Data Angt'!$A$5:$H$5810,8,FALSE)</f>
        <v>Karyawan</v>
      </c>
      <c r="Y890" s="5" t="str">
        <f>VLOOKUP(T890,'Data Angt'!$A$5:$C$5808,3,FALSE)</f>
        <v>KRK</v>
      </c>
    </row>
    <row r="891" spans="1:25" x14ac:dyDescent="0.3">
      <c r="A891" s="8">
        <v>885</v>
      </c>
      <c r="B891" s="9" t="s">
        <v>7791</v>
      </c>
      <c r="C891" s="10" t="str">
        <f>VLOOKUP(B891,'Data Angt'!$A$5:$B$5809,2,FALSE)</f>
        <v>A3501</v>
      </c>
      <c r="D891" s="11" t="s">
        <v>9829</v>
      </c>
      <c r="E891" s="12" t="s">
        <v>16614</v>
      </c>
      <c r="F891" s="13">
        <v>45687</v>
      </c>
      <c r="G891" s="14">
        <v>45920</v>
      </c>
      <c r="H891" s="15">
        <v>50000000</v>
      </c>
      <c r="I891" s="16">
        <v>36</v>
      </c>
      <c r="J891" s="17">
        <v>21</v>
      </c>
      <c r="K891" s="9" t="s">
        <v>9831</v>
      </c>
      <c r="L891" s="10" t="s">
        <v>16615</v>
      </c>
      <c r="M891" s="9" t="s">
        <v>16616</v>
      </c>
      <c r="N891" s="10" t="s">
        <v>9830</v>
      </c>
      <c r="O891" s="15">
        <v>41418000</v>
      </c>
      <c r="P891" s="145">
        <v>2433150</v>
      </c>
      <c r="Q891" s="9" t="s">
        <v>22946</v>
      </c>
      <c r="R891" s="146" t="s">
        <v>23030</v>
      </c>
      <c r="T891" s="92" t="s">
        <v>14104</v>
      </c>
      <c r="U891">
        <v>1</v>
      </c>
      <c r="V891">
        <f>VLOOKUP(T891,'Data Angt'!$A$5:$F$5810,6,FALSE)</f>
        <v>65</v>
      </c>
      <c r="W891" s="5" t="str">
        <f t="shared" si="13"/>
        <v>PRODUKTIF</v>
      </c>
      <c r="X891" s="5" t="str">
        <f>VLOOKUP(T891,'Data Angt'!$A$5:$H$5810,8,FALSE)</f>
        <v>Karyawan</v>
      </c>
      <c r="Y891" s="5" t="str">
        <f>VLOOKUP(T891,'Data Angt'!$A$5:$C$5808,3,FALSE)</f>
        <v>KRK</v>
      </c>
    </row>
    <row r="892" spans="1:25" x14ac:dyDescent="0.3">
      <c r="A892" s="8">
        <v>886</v>
      </c>
      <c r="B892" s="9" t="s">
        <v>7856</v>
      </c>
      <c r="C892" s="10" t="str">
        <f>VLOOKUP(B892,'Data Angt'!$A$5:$B$5809,2,FALSE)</f>
        <v>A3532</v>
      </c>
      <c r="D892" s="11" t="s">
        <v>9833</v>
      </c>
      <c r="E892" s="12" t="s">
        <v>10374</v>
      </c>
      <c r="F892" s="13">
        <v>44303</v>
      </c>
      <c r="G892" s="14">
        <v>44804</v>
      </c>
      <c r="H892" s="15">
        <v>25000000</v>
      </c>
      <c r="I892" s="16">
        <v>20</v>
      </c>
      <c r="J892" s="17">
        <v>21</v>
      </c>
      <c r="K892" s="9" t="s">
        <v>9831</v>
      </c>
      <c r="L892" s="10" t="s">
        <v>10375</v>
      </c>
      <c r="M892" s="9" t="s">
        <v>10376</v>
      </c>
      <c r="N892" s="10" t="s">
        <v>9834</v>
      </c>
      <c r="O892" s="15">
        <v>19538400</v>
      </c>
      <c r="P892" s="145">
        <v>1134711</v>
      </c>
      <c r="Q892" s="9"/>
      <c r="R892" s="146"/>
      <c r="T892" s="92" t="s">
        <v>14120</v>
      </c>
      <c r="U892">
        <v>1</v>
      </c>
      <c r="V892">
        <f>VLOOKUP(T892,'Data Angt'!$A$5:$F$5810,6,FALSE)</f>
        <v>25</v>
      </c>
      <c r="W892" s="5" t="str">
        <f t="shared" si="13"/>
        <v>KONSUMTIF</v>
      </c>
      <c r="X892" s="5" t="str">
        <f>VLOOKUP(T892,'Data Angt'!$A$5:$H$5810,8,FALSE)</f>
        <v>Lain-Lain</v>
      </c>
      <c r="Y892" s="5" t="str">
        <f>VLOOKUP(T892,'Data Angt'!$A$5:$C$5808,3,FALSE)</f>
        <v>KRK</v>
      </c>
    </row>
    <row r="893" spans="1:25" x14ac:dyDescent="0.3">
      <c r="A893" s="8">
        <v>887</v>
      </c>
      <c r="B893" s="9" t="s">
        <v>7872</v>
      </c>
      <c r="C893" s="10" t="str">
        <f>VLOOKUP(B893,'Data Angt'!$A$5:$B$5809,2,FALSE)</f>
        <v>A3539</v>
      </c>
      <c r="D893" s="11" t="s">
        <v>9829</v>
      </c>
      <c r="E893" s="12" t="s">
        <v>16617</v>
      </c>
      <c r="F893" s="13">
        <v>45420</v>
      </c>
      <c r="G893" s="14">
        <v>45917</v>
      </c>
      <c r="H893" s="15">
        <v>7000000</v>
      </c>
      <c r="I893" s="16">
        <v>18</v>
      </c>
      <c r="J893" s="17">
        <v>24</v>
      </c>
      <c r="K893" s="9" t="s">
        <v>9831</v>
      </c>
      <c r="L893" s="10" t="s">
        <v>16618</v>
      </c>
      <c r="M893" s="9" t="s">
        <v>16619</v>
      </c>
      <c r="N893" s="10" t="s">
        <v>9828</v>
      </c>
      <c r="O893" s="15">
        <v>1345600</v>
      </c>
      <c r="P893" s="145">
        <v>532161</v>
      </c>
      <c r="Q893" s="9" t="s">
        <v>22901</v>
      </c>
      <c r="R893" s="146" t="s">
        <v>23031</v>
      </c>
      <c r="T893" s="92" t="s">
        <v>14150</v>
      </c>
      <c r="U893">
        <v>1</v>
      </c>
      <c r="V893">
        <f>VLOOKUP(T893,'Data Angt'!$A$5:$F$5810,6,FALSE)</f>
        <v>43</v>
      </c>
      <c r="W893" s="5" t="str">
        <f t="shared" si="13"/>
        <v>PRODUKTIF</v>
      </c>
      <c r="X893" s="5" t="str">
        <f>VLOOKUP(T893,'Data Angt'!$A$5:$H$5810,8,FALSE)</f>
        <v>Karyawan</v>
      </c>
      <c r="Y893" s="5" t="str">
        <f>VLOOKUP(T893,'Data Angt'!$A$5:$C$5808,3,FALSE)</f>
        <v>KRK</v>
      </c>
    </row>
    <row r="894" spans="1:25" x14ac:dyDescent="0.3">
      <c r="A894" s="8">
        <v>888</v>
      </c>
      <c r="B894" s="9" t="s">
        <v>7909</v>
      </c>
      <c r="C894" s="10" t="str">
        <f>VLOOKUP(B894,'Data Angt'!$A$5:$B$5809,2,FALSE)</f>
        <v>A3563</v>
      </c>
      <c r="D894" s="11" t="s">
        <v>9833</v>
      </c>
      <c r="E894" s="12" t="s">
        <v>10377</v>
      </c>
      <c r="F894" s="13">
        <v>44706</v>
      </c>
      <c r="G894" s="14">
        <v>45930</v>
      </c>
      <c r="H894" s="15">
        <v>35000000</v>
      </c>
      <c r="I894" s="16">
        <v>36</v>
      </c>
      <c r="J894" s="17">
        <v>21</v>
      </c>
      <c r="K894" s="9" t="s">
        <v>9831</v>
      </c>
      <c r="L894" s="10" t="s">
        <v>10378</v>
      </c>
      <c r="M894" s="9" t="s">
        <v>10242</v>
      </c>
      <c r="N894" s="10" t="s">
        <v>9834</v>
      </c>
      <c r="O894" s="15">
        <v>18577900</v>
      </c>
      <c r="P894" s="145">
        <v>4467333</v>
      </c>
      <c r="Q894" s="9" t="s">
        <v>22975</v>
      </c>
      <c r="R894" s="146" t="s">
        <v>23032</v>
      </c>
      <c r="T894" s="92" t="s">
        <v>14153</v>
      </c>
      <c r="U894">
        <v>1</v>
      </c>
      <c r="V894">
        <f>VLOOKUP(T894,'Data Angt'!$A$5:$F$5810,6,FALSE)</f>
        <v>47</v>
      </c>
      <c r="W894" s="5" t="str">
        <f t="shared" si="13"/>
        <v>PRODUKTIF</v>
      </c>
      <c r="X894" s="5" t="str">
        <f>VLOOKUP(T894,'Data Angt'!$A$5:$H$5810,8,FALSE)</f>
        <v>Karyawan</v>
      </c>
      <c r="Y894" s="5" t="str">
        <f>VLOOKUP(T894,'Data Angt'!$A$5:$C$5808,3,FALSE)</f>
        <v>KRK</v>
      </c>
    </row>
    <row r="895" spans="1:25" x14ac:dyDescent="0.3">
      <c r="A895" s="8">
        <v>889</v>
      </c>
      <c r="B895" s="9" t="s">
        <v>7914</v>
      </c>
      <c r="C895" s="10" t="str">
        <f>VLOOKUP(B895,'Data Angt'!$A$5:$B$5809,2,FALSE)</f>
        <v>A3566</v>
      </c>
      <c r="D895" s="11" t="s">
        <v>9833</v>
      </c>
      <c r="E895" s="12" t="s">
        <v>10379</v>
      </c>
      <c r="F895" s="13">
        <v>44729</v>
      </c>
      <c r="G895" s="14">
        <v>45902</v>
      </c>
      <c r="H895" s="15">
        <v>100000000</v>
      </c>
      <c r="I895" s="16">
        <v>36</v>
      </c>
      <c r="J895" s="17">
        <v>21</v>
      </c>
      <c r="K895" s="9" t="s">
        <v>9831</v>
      </c>
      <c r="L895" s="10" t="s">
        <v>10380</v>
      </c>
      <c r="M895" s="9" t="s">
        <v>10277</v>
      </c>
      <c r="N895" s="10" t="s">
        <v>9834</v>
      </c>
      <c r="O895" s="15">
        <v>54446400</v>
      </c>
      <c r="P895" s="145">
        <v>13337545</v>
      </c>
      <c r="Q895" s="9"/>
      <c r="R895" s="146"/>
      <c r="T895" s="92" t="s">
        <v>14156</v>
      </c>
      <c r="U895">
        <v>1</v>
      </c>
      <c r="V895">
        <f>VLOOKUP(T895,'Data Angt'!$A$5:$F$5810,6,FALSE)</f>
        <v>47</v>
      </c>
      <c r="W895" s="5" t="str">
        <f t="shared" si="13"/>
        <v>PRODUKTIF</v>
      </c>
      <c r="X895" s="5" t="str">
        <f>VLOOKUP(T895,'Data Angt'!$A$5:$H$5810,8,FALSE)</f>
        <v>Karyawan</v>
      </c>
      <c r="Y895" s="5" t="str">
        <f>VLOOKUP(T895,'Data Angt'!$A$5:$C$5808,3,FALSE)</f>
        <v>KRK</v>
      </c>
    </row>
    <row r="896" spans="1:25" x14ac:dyDescent="0.3">
      <c r="A896" s="8">
        <v>890</v>
      </c>
      <c r="B896" s="9" t="s">
        <v>7916</v>
      </c>
      <c r="C896" s="10" t="str">
        <f>VLOOKUP(B896,'Data Angt'!$A$5:$B$5809,2,FALSE)</f>
        <v>A3568</v>
      </c>
      <c r="D896" s="11" t="s">
        <v>9881</v>
      </c>
      <c r="E896" s="12" t="s">
        <v>16620</v>
      </c>
      <c r="F896" s="13">
        <v>45701</v>
      </c>
      <c r="G896" s="14">
        <v>45913</v>
      </c>
      <c r="H896" s="15">
        <v>3500000</v>
      </c>
      <c r="I896" s="16">
        <v>12</v>
      </c>
      <c r="J896" s="17">
        <v>12</v>
      </c>
      <c r="K896" s="9" t="s">
        <v>9831</v>
      </c>
      <c r="L896" s="10" t="s">
        <v>16621</v>
      </c>
      <c r="M896" s="9" t="s">
        <v>9835</v>
      </c>
      <c r="N896" s="10" t="s">
        <v>9828</v>
      </c>
      <c r="O896" s="15">
        <v>1509400</v>
      </c>
      <c r="P896" s="145">
        <v>69898</v>
      </c>
      <c r="Q896" s="9"/>
      <c r="R896" s="146"/>
      <c r="T896" s="92" t="s">
        <v>14158</v>
      </c>
      <c r="U896">
        <v>1</v>
      </c>
      <c r="V896">
        <f>VLOOKUP(T896,'Data Angt'!$A$5:$F$5810,6,FALSE)</f>
        <v>39</v>
      </c>
      <c r="W896" s="5" t="str">
        <f t="shared" si="13"/>
        <v>PRODUKTIF</v>
      </c>
      <c r="X896" s="5" t="str">
        <f>VLOOKUP(T896,'Data Angt'!$A$5:$H$5810,8,FALSE)</f>
        <v>Karyawan</v>
      </c>
      <c r="Y896" s="5" t="str">
        <f>VLOOKUP(T896,'Data Angt'!$A$5:$C$5808,3,FALSE)</f>
        <v>KRK</v>
      </c>
    </row>
    <row r="897" spans="1:25" x14ac:dyDescent="0.3">
      <c r="A897" s="8">
        <v>891</v>
      </c>
      <c r="B897" s="9" t="s">
        <v>7962</v>
      </c>
      <c r="C897" s="10" t="str">
        <f>VLOOKUP(B897,'Data Angt'!$A$5:$B$5809,2,FALSE)</f>
        <v>A3589</v>
      </c>
      <c r="D897" s="11" t="s">
        <v>9833</v>
      </c>
      <c r="E897" s="12" t="s">
        <v>10381</v>
      </c>
      <c r="F897" s="13">
        <v>44756</v>
      </c>
      <c r="G897" s="14">
        <v>45930</v>
      </c>
      <c r="H897" s="15">
        <v>115000000</v>
      </c>
      <c r="I897" s="16">
        <v>48</v>
      </c>
      <c r="J897" s="17">
        <v>21</v>
      </c>
      <c r="K897" s="9" t="s">
        <v>9831</v>
      </c>
      <c r="L897" s="10" t="s">
        <v>10382</v>
      </c>
      <c r="M897" s="9" t="s">
        <v>10250</v>
      </c>
      <c r="N897" s="10" t="s">
        <v>9834</v>
      </c>
      <c r="O897" s="15">
        <v>92613400</v>
      </c>
      <c r="P897" s="145">
        <v>11191084</v>
      </c>
      <c r="Q897" s="9" t="s">
        <v>23033</v>
      </c>
      <c r="R897" s="146" t="s">
        <v>23034</v>
      </c>
      <c r="T897" s="92" t="s">
        <v>14160</v>
      </c>
      <c r="U897">
        <v>1</v>
      </c>
      <c r="V897">
        <f>VLOOKUP(T897,'Data Angt'!$A$5:$F$5810,6,FALSE)</f>
        <v>65</v>
      </c>
      <c r="W897" s="5" t="str">
        <f t="shared" si="13"/>
        <v>PRODUKTIF</v>
      </c>
      <c r="X897" s="5" t="str">
        <f>VLOOKUP(T897,'Data Angt'!$A$5:$H$5810,8,FALSE)</f>
        <v>Karyawan</v>
      </c>
      <c r="Y897" s="5" t="str">
        <f>VLOOKUP(T897,'Data Angt'!$A$5:$C$5808,3,FALSE)</f>
        <v>KRK</v>
      </c>
    </row>
    <row r="898" spans="1:25" x14ac:dyDescent="0.3">
      <c r="A898" s="8">
        <v>892</v>
      </c>
      <c r="B898" s="9" t="s">
        <v>8045</v>
      </c>
      <c r="C898" s="10" t="str">
        <f>VLOOKUP(B898,'Data Angt'!$A$5:$B$5809,2,FALSE)</f>
        <v>A3633</v>
      </c>
      <c r="D898" s="11" t="s">
        <v>9833</v>
      </c>
      <c r="E898" s="12" t="s">
        <v>10383</v>
      </c>
      <c r="F898" s="13">
        <v>44231</v>
      </c>
      <c r="G898" s="14">
        <v>44804</v>
      </c>
      <c r="H898" s="15">
        <v>5000000</v>
      </c>
      <c r="I898" s="16">
        <v>18</v>
      </c>
      <c r="J898" s="17">
        <v>24</v>
      </c>
      <c r="K898" s="9" t="s">
        <v>9831</v>
      </c>
      <c r="L898" s="10" t="s">
        <v>10384</v>
      </c>
      <c r="M898" s="9" t="s">
        <v>10385</v>
      </c>
      <c r="N898" s="10" t="s">
        <v>9834</v>
      </c>
      <c r="O898" s="15">
        <v>3789400</v>
      </c>
      <c r="P898" s="145">
        <v>323025</v>
      </c>
      <c r="Q898" s="9" t="s">
        <v>22254</v>
      </c>
      <c r="R898" s="146" t="s">
        <v>23035</v>
      </c>
      <c r="T898" s="92" t="s">
        <v>14161</v>
      </c>
      <c r="U898">
        <v>1</v>
      </c>
      <c r="V898">
        <f>VLOOKUP(T898,'Data Angt'!$A$5:$F$5810,6,FALSE)</f>
        <v>47</v>
      </c>
      <c r="W898" s="5" t="str">
        <f t="shared" si="13"/>
        <v>PRODUKTIF</v>
      </c>
      <c r="X898" s="5" t="str">
        <f>VLOOKUP(T898,'Data Angt'!$A$5:$H$5810,8,FALSE)</f>
        <v>Karyawan</v>
      </c>
      <c r="Y898" s="5" t="str">
        <f>VLOOKUP(T898,'Data Angt'!$A$5:$C$5808,3,FALSE)</f>
        <v>KRK</v>
      </c>
    </row>
    <row r="899" spans="1:25" x14ac:dyDescent="0.3">
      <c r="A899" s="8">
        <v>893</v>
      </c>
      <c r="B899" s="9" t="s">
        <v>8117</v>
      </c>
      <c r="C899" s="10" t="str">
        <f>VLOOKUP(B899,'Data Angt'!$A$5:$B$5809,2,FALSE)</f>
        <v>A3673</v>
      </c>
      <c r="D899" s="11" t="s">
        <v>9833</v>
      </c>
      <c r="E899" s="12" t="s">
        <v>10386</v>
      </c>
      <c r="F899" s="13">
        <v>44235</v>
      </c>
      <c r="G899" s="14">
        <v>45379</v>
      </c>
      <c r="H899" s="15">
        <v>35000000</v>
      </c>
      <c r="I899" s="16">
        <v>48</v>
      </c>
      <c r="J899" s="17">
        <v>21</v>
      </c>
      <c r="K899" s="9" t="s">
        <v>9831</v>
      </c>
      <c r="L899" s="10" t="s">
        <v>10387</v>
      </c>
      <c r="M899" s="9" t="s">
        <v>10388</v>
      </c>
      <c r="N899" s="10" t="s">
        <v>9834</v>
      </c>
      <c r="O899" s="15">
        <v>26069800</v>
      </c>
      <c r="P899" s="145">
        <v>3854021</v>
      </c>
      <c r="Q899" s="9" t="s">
        <v>22925</v>
      </c>
      <c r="R899" s="146" t="s">
        <v>23036</v>
      </c>
      <c r="T899" s="92" t="s">
        <v>14179</v>
      </c>
      <c r="U899">
        <v>1</v>
      </c>
      <c r="V899">
        <f>VLOOKUP(T899,'Data Angt'!$A$5:$F$5810,6,FALSE)</f>
        <v>41</v>
      </c>
      <c r="W899" s="5" t="str">
        <f t="shared" si="13"/>
        <v>KESEHATAN</v>
      </c>
      <c r="X899" s="5" t="str">
        <f>VLOOKUP(T899,'Data Angt'!$A$5:$H$5810,8,FALSE)</f>
        <v>Lain-Lain</v>
      </c>
      <c r="Y899" s="5" t="str">
        <f>VLOOKUP(T899,'Data Angt'!$A$5:$C$5808,3,FALSE)</f>
        <v>KRK</v>
      </c>
    </row>
    <row r="900" spans="1:25" x14ac:dyDescent="0.3">
      <c r="A900" s="8">
        <v>894</v>
      </c>
      <c r="B900" s="9" t="s">
        <v>8130</v>
      </c>
      <c r="C900" s="10" t="str">
        <f>VLOOKUP(B900,'Data Angt'!$A$5:$B$5809,2,FALSE)</f>
        <v>A3680</v>
      </c>
      <c r="D900" s="11" t="s">
        <v>9833</v>
      </c>
      <c r="E900" s="12" t="s">
        <v>16622</v>
      </c>
      <c r="F900" s="13">
        <v>45827</v>
      </c>
      <c r="G900" s="14">
        <v>45918</v>
      </c>
      <c r="H900" s="15">
        <v>10000000</v>
      </c>
      <c r="I900" s="16">
        <v>12</v>
      </c>
      <c r="J900" s="17">
        <v>24</v>
      </c>
      <c r="K900" s="9" t="s">
        <v>9831</v>
      </c>
      <c r="L900" s="10" t="s">
        <v>16623</v>
      </c>
      <c r="M900" s="9" t="s">
        <v>10242</v>
      </c>
      <c r="N900" s="10" t="s">
        <v>9834</v>
      </c>
      <c r="O900" s="15">
        <v>7718200</v>
      </c>
      <c r="P900" s="145">
        <v>208124</v>
      </c>
      <c r="Q900" s="9" t="s">
        <v>22946</v>
      </c>
      <c r="R900" s="146" t="s">
        <v>23037</v>
      </c>
      <c r="T900" s="92" t="s">
        <v>14190</v>
      </c>
      <c r="U900">
        <v>1</v>
      </c>
      <c r="V900">
        <f>VLOOKUP(T900,'Data Angt'!$A$5:$F$5810,6,FALSE)</f>
        <v>45</v>
      </c>
      <c r="W900" s="5" t="str">
        <f t="shared" si="13"/>
        <v>KONSUMTIF</v>
      </c>
      <c r="X900" s="5" t="str">
        <f>VLOOKUP(T900,'Data Angt'!$A$5:$H$5810,8,FALSE)</f>
        <v>Mengurus Rumah Tangga</v>
      </c>
      <c r="Y900" s="5" t="str">
        <f>VLOOKUP(T900,'Data Angt'!$A$5:$C$5808,3,FALSE)</f>
        <v>KRK</v>
      </c>
    </row>
    <row r="901" spans="1:25" x14ac:dyDescent="0.3">
      <c r="A901" s="8">
        <v>895</v>
      </c>
      <c r="B901" s="9" t="s">
        <v>8135</v>
      </c>
      <c r="C901" s="10" t="str">
        <f>VLOOKUP(B901,'Data Angt'!$A$5:$B$5809,2,FALSE)</f>
        <v>A3682</v>
      </c>
      <c r="D901" s="11" t="s">
        <v>9833</v>
      </c>
      <c r="E901" s="12" t="s">
        <v>16624</v>
      </c>
      <c r="F901" s="13">
        <v>45528</v>
      </c>
      <c r="G901" s="14">
        <v>45912</v>
      </c>
      <c r="H901" s="15">
        <v>10000000</v>
      </c>
      <c r="I901" s="16">
        <v>36</v>
      </c>
      <c r="J901" s="17">
        <v>24</v>
      </c>
      <c r="K901" s="9" t="s">
        <v>9831</v>
      </c>
      <c r="L901" s="10" t="s">
        <v>16625</v>
      </c>
      <c r="M901" s="9" t="s">
        <v>16626</v>
      </c>
      <c r="N901" s="10" t="s">
        <v>9834</v>
      </c>
      <c r="O901" s="15">
        <v>7176000</v>
      </c>
      <c r="P901" s="145">
        <v>853948</v>
      </c>
      <c r="Q901" s="9"/>
      <c r="R901" s="146"/>
      <c r="T901" s="92" t="s">
        <v>14199</v>
      </c>
      <c r="U901">
        <v>1</v>
      </c>
      <c r="V901">
        <f>VLOOKUP(T901,'Data Angt'!$A$5:$F$5810,6,FALSE)</f>
        <v>38</v>
      </c>
      <c r="W901" s="5" t="str">
        <f t="shared" si="13"/>
        <v>PRODUKTIF</v>
      </c>
      <c r="X901" s="5" t="str">
        <f>VLOOKUP(T901,'Data Angt'!$A$5:$H$5810,8,FALSE)</f>
        <v>Wiraswasta</v>
      </c>
      <c r="Y901" s="5" t="str">
        <f>VLOOKUP(T901,'Data Angt'!$A$5:$C$5808,3,FALSE)</f>
        <v>KRK</v>
      </c>
    </row>
    <row r="902" spans="1:25" x14ac:dyDescent="0.3">
      <c r="A902" s="8">
        <v>896</v>
      </c>
      <c r="B902" s="9" t="s">
        <v>12544</v>
      </c>
      <c r="C902" s="10" t="str">
        <f>VLOOKUP(B902,'Data Angt'!$A$5:$B$5809,2,FALSE)</f>
        <v>A3683</v>
      </c>
      <c r="D902" s="11" t="s">
        <v>9829</v>
      </c>
      <c r="E902" s="12" t="s">
        <v>23038</v>
      </c>
      <c r="F902" s="13">
        <v>45873</v>
      </c>
      <c r="G902" s="14">
        <v>45904</v>
      </c>
      <c r="H902" s="15">
        <v>3000000</v>
      </c>
      <c r="I902" s="16">
        <v>36</v>
      </c>
      <c r="J902" s="17">
        <v>24</v>
      </c>
      <c r="K902" s="9" t="s">
        <v>9831</v>
      </c>
      <c r="L902" s="10" t="s">
        <v>23039</v>
      </c>
      <c r="M902" s="9" t="s">
        <v>9838</v>
      </c>
      <c r="N902" s="10" t="s">
        <v>9830</v>
      </c>
      <c r="O902" s="15">
        <v>2942300</v>
      </c>
      <c r="P902" s="145">
        <v>22500</v>
      </c>
      <c r="Q902" s="9"/>
      <c r="R902" s="146"/>
      <c r="T902" s="92" t="s">
        <v>14230</v>
      </c>
      <c r="U902">
        <v>1</v>
      </c>
      <c r="V902">
        <f>VLOOKUP(T902,'Data Angt'!$A$5:$F$5810,6,FALSE)</f>
        <v>45</v>
      </c>
      <c r="W902" s="5" t="str">
        <f t="shared" si="13"/>
        <v>KONSUMTIF</v>
      </c>
      <c r="X902" s="5" t="str">
        <f>VLOOKUP(T902,'Data Angt'!$A$5:$H$5810,8,FALSE)</f>
        <v>Karyawan</v>
      </c>
      <c r="Y902" s="5" t="str">
        <f>VLOOKUP(T902,'Data Angt'!$A$5:$C$5808,3,FALSE)</f>
        <v>KRK</v>
      </c>
    </row>
    <row r="903" spans="1:25" x14ac:dyDescent="0.3">
      <c r="A903" s="8">
        <v>897</v>
      </c>
      <c r="B903" s="9" t="s">
        <v>8318</v>
      </c>
      <c r="C903" s="10" t="str">
        <f>VLOOKUP(B903,'Data Angt'!$A$5:$B$5809,2,FALSE)</f>
        <v>A3771</v>
      </c>
      <c r="D903" s="11" t="s">
        <v>9829</v>
      </c>
      <c r="E903" s="12" t="s">
        <v>16627</v>
      </c>
      <c r="F903" s="13">
        <v>45299</v>
      </c>
      <c r="G903" s="14">
        <v>45908</v>
      </c>
      <c r="H903" s="15">
        <v>8000000</v>
      </c>
      <c r="I903" s="16">
        <v>24</v>
      </c>
      <c r="J903" s="17">
        <v>24</v>
      </c>
      <c r="K903" s="9" t="s">
        <v>9831</v>
      </c>
      <c r="L903" s="10" t="s">
        <v>16628</v>
      </c>
      <c r="M903" s="9" t="s">
        <v>9838</v>
      </c>
      <c r="N903" s="10" t="s">
        <v>9828</v>
      </c>
      <c r="O903" s="15">
        <v>1611000</v>
      </c>
      <c r="P903" s="145">
        <v>776621</v>
      </c>
      <c r="Q903" s="9" t="s">
        <v>22901</v>
      </c>
      <c r="R903" s="146" t="s">
        <v>23040</v>
      </c>
      <c r="T903" s="92" t="s">
        <v>14233</v>
      </c>
      <c r="U903">
        <v>1</v>
      </c>
      <c r="V903">
        <f>VLOOKUP(T903,'Data Angt'!$A$5:$F$5810,6,FALSE)</f>
        <v>50</v>
      </c>
      <c r="W903" s="5" t="str">
        <f t="shared" ref="W903:W966" si="14">VLOOKUP(T903,$B$7:$N$1869,13,FALSE)</f>
        <v>PENDIDIKAN</v>
      </c>
      <c r="X903" s="5" t="str">
        <f>VLOOKUP(T903,'Data Angt'!$A$5:$H$5810,8,FALSE)</f>
        <v>Karyawan</v>
      </c>
      <c r="Y903" s="5" t="str">
        <f>VLOOKUP(T903,'Data Angt'!$A$5:$C$5808,3,FALSE)</f>
        <v>KRK</v>
      </c>
    </row>
    <row r="904" spans="1:25" x14ac:dyDescent="0.3">
      <c r="A904" s="8">
        <v>898</v>
      </c>
      <c r="B904" s="9" t="s">
        <v>8398</v>
      </c>
      <c r="C904" s="10" t="str">
        <f>VLOOKUP(B904,'Data Angt'!$A$5:$B$5809,2,FALSE)</f>
        <v>A3807</v>
      </c>
      <c r="D904" s="11" t="s">
        <v>9833</v>
      </c>
      <c r="E904" s="12" t="s">
        <v>16629</v>
      </c>
      <c r="F904" s="13">
        <v>45612</v>
      </c>
      <c r="G904" s="14">
        <v>45929</v>
      </c>
      <c r="H904" s="15">
        <v>2000000</v>
      </c>
      <c r="I904" s="16">
        <v>12</v>
      </c>
      <c r="J904" s="17">
        <v>24</v>
      </c>
      <c r="K904" s="9" t="s">
        <v>9831</v>
      </c>
      <c r="L904" s="10" t="s">
        <v>16630</v>
      </c>
      <c r="M904" s="9" t="s">
        <v>16456</v>
      </c>
      <c r="N904" s="10" t="s">
        <v>9834</v>
      </c>
      <c r="O904" s="15">
        <v>366700</v>
      </c>
      <c r="P904" s="145">
        <v>97010</v>
      </c>
      <c r="Q904" s="9" t="s">
        <v>22910</v>
      </c>
      <c r="R904" s="146" t="s">
        <v>23041</v>
      </c>
      <c r="T904" s="92" t="s">
        <v>14247</v>
      </c>
      <c r="U904">
        <v>1</v>
      </c>
      <c r="V904">
        <f>VLOOKUP(T904,'Data Angt'!$A$5:$F$5810,6,FALSE)</f>
        <v>32</v>
      </c>
      <c r="W904" s="5" t="str">
        <f t="shared" si="14"/>
        <v>KONSUMTIF</v>
      </c>
      <c r="X904" s="5" t="str">
        <f>VLOOKUP(T904,'Data Angt'!$A$5:$H$5810,8,FALSE)</f>
        <v>Karyawan</v>
      </c>
      <c r="Y904" s="5" t="str">
        <f>VLOOKUP(T904,'Data Angt'!$A$5:$C$5808,3,FALSE)</f>
        <v>KRK</v>
      </c>
    </row>
    <row r="905" spans="1:25" x14ac:dyDescent="0.3">
      <c r="A905" s="8">
        <v>899</v>
      </c>
      <c r="B905" s="9" t="s">
        <v>8509</v>
      </c>
      <c r="C905" s="10" t="str">
        <f>VLOOKUP(B905,'Data Angt'!$A$5:$B$5809,2,FALSE)</f>
        <v>A3859</v>
      </c>
      <c r="D905" s="11" t="s">
        <v>9829</v>
      </c>
      <c r="E905" s="12" t="s">
        <v>16631</v>
      </c>
      <c r="F905" s="13">
        <v>45762</v>
      </c>
      <c r="G905" s="14">
        <v>45915</v>
      </c>
      <c r="H905" s="15">
        <v>4000000</v>
      </c>
      <c r="I905" s="16">
        <v>30</v>
      </c>
      <c r="J905" s="17">
        <v>24</v>
      </c>
      <c r="K905" s="9" t="s">
        <v>9831</v>
      </c>
      <c r="L905" s="10" t="s">
        <v>16632</v>
      </c>
      <c r="M905" s="9" t="s">
        <v>10352</v>
      </c>
      <c r="N905" s="10" t="s">
        <v>9828</v>
      </c>
      <c r="O905" s="15">
        <v>3487100</v>
      </c>
      <c r="P905" s="145">
        <v>142536</v>
      </c>
      <c r="Q905" s="9" t="s">
        <v>23042</v>
      </c>
      <c r="R905" s="146" t="s">
        <v>23043</v>
      </c>
      <c r="T905" s="92" t="s">
        <v>14269</v>
      </c>
      <c r="U905">
        <v>1</v>
      </c>
      <c r="V905">
        <f>VLOOKUP(T905,'Data Angt'!$A$5:$F$5810,6,FALSE)</f>
        <v>43</v>
      </c>
      <c r="W905" s="5" t="str">
        <f t="shared" si="14"/>
        <v>PRODUKTIF</v>
      </c>
      <c r="X905" s="5" t="str">
        <f>VLOOKUP(T905,'Data Angt'!$A$5:$H$5810,8,FALSE)</f>
        <v>Wiraswasta</v>
      </c>
      <c r="Y905" s="5" t="str">
        <f>VLOOKUP(T905,'Data Angt'!$A$5:$C$5808,3,FALSE)</f>
        <v>KRK</v>
      </c>
    </row>
    <row r="906" spans="1:25" x14ac:dyDescent="0.3">
      <c r="A906" s="8">
        <v>900</v>
      </c>
      <c r="B906" s="9" t="s">
        <v>8534</v>
      </c>
      <c r="C906" s="10" t="str">
        <f>VLOOKUP(B906,'Data Angt'!$A$5:$B$5809,2,FALSE)</f>
        <v>A3872</v>
      </c>
      <c r="D906" s="11" t="s">
        <v>9829</v>
      </c>
      <c r="E906" s="12" t="s">
        <v>16633</v>
      </c>
      <c r="F906" s="13">
        <v>45708</v>
      </c>
      <c r="G906" s="14">
        <v>45922</v>
      </c>
      <c r="H906" s="15">
        <v>15000000</v>
      </c>
      <c r="I906" s="16">
        <v>24</v>
      </c>
      <c r="J906" s="17">
        <v>24</v>
      </c>
      <c r="K906" s="9" t="s">
        <v>9831</v>
      </c>
      <c r="L906" s="10" t="s">
        <v>16634</v>
      </c>
      <c r="M906" s="9" t="s">
        <v>10352</v>
      </c>
      <c r="N906" s="10" t="s">
        <v>9828</v>
      </c>
      <c r="O906" s="15">
        <v>11334400</v>
      </c>
      <c r="P906" s="145">
        <v>707286</v>
      </c>
      <c r="Q906" s="9" t="s">
        <v>22901</v>
      </c>
      <c r="R906" s="146" t="s">
        <v>23044</v>
      </c>
      <c r="T906" s="92" t="s">
        <v>14367</v>
      </c>
      <c r="U906">
        <v>1</v>
      </c>
      <c r="V906">
        <f>VLOOKUP(T906,'Data Angt'!$A$5:$F$5810,6,FALSE)</f>
        <v>41</v>
      </c>
      <c r="W906" s="5" t="str">
        <f t="shared" si="14"/>
        <v>PENDIDIKAN</v>
      </c>
      <c r="X906" s="5" t="str">
        <f>VLOOKUP(T906,'Data Angt'!$A$5:$H$5810,8,FALSE)</f>
        <v>Tenaga Pengajar</v>
      </c>
      <c r="Y906" s="5" t="str">
        <f>VLOOKUP(T906,'Data Angt'!$A$5:$C$5808,3,FALSE)</f>
        <v>KRK</v>
      </c>
    </row>
    <row r="907" spans="1:25" x14ac:dyDescent="0.3">
      <c r="A907" s="8">
        <v>901</v>
      </c>
      <c r="B907" s="9" t="s">
        <v>8563</v>
      </c>
      <c r="C907" s="10" t="str">
        <f>VLOOKUP(B907,'Data Angt'!$A$5:$B$5809,2,FALSE)</f>
        <v>A3884</v>
      </c>
      <c r="D907" s="11" t="s">
        <v>9833</v>
      </c>
      <c r="E907" s="12" t="s">
        <v>16635</v>
      </c>
      <c r="F907" s="13">
        <v>45360</v>
      </c>
      <c r="G907" s="14">
        <v>45930</v>
      </c>
      <c r="H907" s="15">
        <v>15000000</v>
      </c>
      <c r="I907" s="16">
        <v>36</v>
      </c>
      <c r="J907" s="17">
        <v>24</v>
      </c>
      <c r="K907" s="9" t="s">
        <v>9831</v>
      </c>
      <c r="L907" s="10" t="s">
        <v>16636</v>
      </c>
      <c r="M907" s="9" t="s">
        <v>16637</v>
      </c>
      <c r="N907" s="10" t="s">
        <v>9834</v>
      </c>
      <c r="O907" s="15">
        <v>8839500</v>
      </c>
      <c r="P907" s="145">
        <v>1662184</v>
      </c>
      <c r="Q907" s="9" t="s">
        <v>22946</v>
      </c>
      <c r="R907" s="146" t="s">
        <v>23045</v>
      </c>
      <c r="T907" s="92" t="s">
        <v>14414</v>
      </c>
      <c r="U907">
        <v>1</v>
      </c>
      <c r="V907">
        <f>VLOOKUP(T907,'Data Angt'!$A$5:$F$5810,6,FALSE)</f>
        <v>41</v>
      </c>
      <c r="W907" s="5" t="str">
        <f t="shared" si="14"/>
        <v>PRODUKTIF</v>
      </c>
      <c r="X907" s="5" t="str">
        <f>VLOOKUP(T907,'Data Angt'!$A$5:$H$5810,8,FALSE)</f>
        <v>Wiraswasta</v>
      </c>
      <c r="Y907" s="5" t="str">
        <f>VLOOKUP(T907,'Data Angt'!$A$5:$C$5808,3,FALSE)</f>
        <v>KRK</v>
      </c>
    </row>
    <row r="908" spans="1:25" x14ac:dyDescent="0.3">
      <c r="A908" s="8">
        <v>902</v>
      </c>
      <c r="B908" s="9" t="s">
        <v>8572</v>
      </c>
      <c r="C908" s="10" t="str">
        <f>VLOOKUP(B908,'Data Angt'!$A$5:$B$5809,2,FALSE)</f>
        <v>A3888</v>
      </c>
      <c r="D908" s="11" t="s">
        <v>9881</v>
      </c>
      <c r="E908" s="12" t="s">
        <v>16638</v>
      </c>
      <c r="F908" s="13">
        <v>45647</v>
      </c>
      <c r="G908" s="14">
        <v>45901</v>
      </c>
      <c r="H908" s="15">
        <v>3000000</v>
      </c>
      <c r="I908" s="16">
        <v>12</v>
      </c>
      <c r="J908" s="17">
        <v>12</v>
      </c>
      <c r="K908" s="9" t="s">
        <v>9831</v>
      </c>
      <c r="L908" s="10" t="s">
        <v>16639</v>
      </c>
      <c r="M908" s="9" t="s">
        <v>9835</v>
      </c>
      <c r="N908" s="10" t="s">
        <v>9830</v>
      </c>
      <c r="O908" s="15">
        <v>783800</v>
      </c>
      <c r="P908" s="145">
        <v>68698</v>
      </c>
      <c r="Q908" s="9"/>
      <c r="R908" s="146"/>
      <c r="T908" s="92" t="s">
        <v>14427</v>
      </c>
      <c r="U908">
        <v>1</v>
      </c>
      <c r="V908">
        <f>VLOOKUP(T908,'Data Angt'!$A$5:$F$5810,6,FALSE)</f>
        <v>35</v>
      </c>
      <c r="W908" s="5" t="str">
        <f t="shared" si="14"/>
        <v>PRODUKTIF</v>
      </c>
      <c r="X908" s="5" t="str">
        <f>VLOOKUP(T908,'Data Angt'!$A$5:$H$5810,8,FALSE)</f>
        <v>Wiraswasta</v>
      </c>
      <c r="Y908" s="5" t="str">
        <f>VLOOKUP(T908,'Data Angt'!$A$5:$C$5808,3,FALSE)</f>
        <v>KRK</v>
      </c>
    </row>
    <row r="909" spans="1:25" x14ac:dyDescent="0.3">
      <c r="A909" s="8">
        <v>903</v>
      </c>
      <c r="B909" s="9" t="s">
        <v>8666</v>
      </c>
      <c r="C909" s="10" t="str">
        <f>VLOOKUP(B909,'Data Angt'!$A$5:$B$5809,2,FALSE)</f>
        <v>A3931</v>
      </c>
      <c r="D909" s="11" t="s">
        <v>9833</v>
      </c>
      <c r="E909" s="12" t="s">
        <v>16640</v>
      </c>
      <c r="F909" s="13">
        <v>45541</v>
      </c>
      <c r="G909" s="14">
        <v>45911</v>
      </c>
      <c r="H909" s="15">
        <v>15000000</v>
      </c>
      <c r="I909" s="16">
        <v>24</v>
      </c>
      <c r="J909" s="17">
        <v>24</v>
      </c>
      <c r="K909" s="9" t="s">
        <v>9831</v>
      </c>
      <c r="L909" s="10" t="s">
        <v>16641</v>
      </c>
      <c r="M909" s="9" t="s">
        <v>9862</v>
      </c>
      <c r="N909" s="10" t="s">
        <v>9834</v>
      </c>
      <c r="O909" s="15">
        <v>8387100</v>
      </c>
      <c r="P909" s="145">
        <v>1089109</v>
      </c>
      <c r="Q909" s="9" t="s">
        <v>22910</v>
      </c>
      <c r="R909" s="146" t="s">
        <v>23046</v>
      </c>
      <c r="T909" s="92" t="s">
        <v>14430</v>
      </c>
      <c r="U909">
        <v>1</v>
      </c>
      <c r="V909">
        <f>VLOOKUP(T909,'Data Angt'!$A$5:$F$5810,6,FALSE)</f>
        <v>68</v>
      </c>
      <c r="W909" s="5" t="str">
        <f t="shared" si="14"/>
        <v>PRODUKTIF</v>
      </c>
      <c r="X909" s="5" t="str">
        <f>VLOOKUP(T909,'Data Angt'!$A$5:$H$5810,8,FALSE)</f>
        <v>Wiraswasta</v>
      </c>
      <c r="Y909" s="5" t="str">
        <f>VLOOKUP(T909,'Data Angt'!$A$5:$C$5808,3,FALSE)</f>
        <v>KRK</v>
      </c>
    </row>
    <row r="910" spans="1:25" x14ac:dyDescent="0.3">
      <c r="A910" s="8">
        <v>904</v>
      </c>
      <c r="B910" s="9" t="s">
        <v>8688</v>
      </c>
      <c r="C910" s="10" t="str">
        <f>VLOOKUP(B910,'Data Angt'!$A$5:$B$5809,2,FALSE)</f>
        <v>A3943</v>
      </c>
      <c r="D910" s="11" t="s">
        <v>9829</v>
      </c>
      <c r="E910" s="12" t="s">
        <v>16642</v>
      </c>
      <c r="F910" s="13">
        <v>45769</v>
      </c>
      <c r="G910" s="14">
        <v>45922</v>
      </c>
      <c r="H910" s="15">
        <v>30000000</v>
      </c>
      <c r="I910" s="16">
        <v>48</v>
      </c>
      <c r="J910" s="17">
        <v>21</v>
      </c>
      <c r="K910" s="9" t="s">
        <v>9831</v>
      </c>
      <c r="L910" s="10" t="s">
        <v>16643</v>
      </c>
      <c r="M910" s="9" t="s">
        <v>16644</v>
      </c>
      <c r="N910" s="10" t="s">
        <v>9828</v>
      </c>
      <c r="O910" s="15">
        <v>27908300</v>
      </c>
      <c r="P910" s="145">
        <v>957487</v>
      </c>
      <c r="Q910" s="9" t="s">
        <v>22927</v>
      </c>
      <c r="R910" s="146" t="s">
        <v>23047</v>
      </c>
      <c r="T910" s="92" t="s">
        <v>14444</v>
      </c>
      <c r="U910">
        <v>1</v>
      </c>
      <c r="V910">
        <f>VLOOKUP(T910,'Data Angt'!$A$5:$F$5810,6,FALSE)</f>
        <v>49</v>
      </c>
      <c r="W910" s="5" t="str">
        <f t="shared" si="14"/>
        <v>KONSUMTIF</v>
      </c>
      <c r="X910" s="5" t="str">
        <f>VLOOKUP(T910,'Data Angt'!$A$5:$H$5810,8,FALSE)</f>
        <v>Karyawan</v>
      </c>
      <c r="Y910" s="5" t="str">
        <f>VLOOKUP(T910,'Data Angt'!$A$5:$C$5808,3,FALSE)</f>
        <v>KRK</v>
      </c>
    </row>
    <row r="911" spans="1:25" x14ac:dyDescent="0.3">
      <c r="A911" s="8">
        <v>905</v>
      </c>
      <c r="B911" s="9" t="s">
        <v>8694</v>
      </c>
      <c r="C911" s="10" t="str">
        <f>VLOOKUP(B911,'Data Angt'!$A$5:$B$5809,2,FALSE)</f>
        <v>A3945</v>
      </c>
      <c r="D911" s="11" t="s">
        <v>9833</v>
      </c>
      <c r="E911" s="12" t="s">
        <v>16645</v>
      </c>
      <c r="F911" s="13">
        <v>45469</v>
      </c>
      <c r="G911" s="14">
        <v>45920</v>
      </c>
      <c r="H911" s="15">
        <v>45000000</v>
      </c>
      <c r="I911" s="16">
        <v>30</v>
      </c>
      <c r="J911" s="17">
        <v>21</v>
      </c>
      <c r="K911" s="9" t="s">
        <v>9831</v>
      </c>
      <c r="L911" s="10" t="s">
        <v>16646</v>
      </c>
      <c r="M911" s="9" t="s">
        <v>16647</v>
      </c>
      <c r="N911" s="10" t="s">
        <v>9834</v>
      </c>
      <c r="O911" s="15">
        <v>25410700</v>
      </c>
      <c r="P911" s="145">
        <v>3571573</v>
      </c>
      <c r="Q911" s="9" t="s">
        <v>23048</v>
      </c>
      <c r="R911" s="146" t="s">
        <v>23049</v>
      </c>
      <c r="T911" s="92" t="s">
        <v>14489</v>
      </c>
      <c r="U911">
        <v>1</v>
      </c>
      <c r="V911">
        <f>VLOOKUP(T911,'Data Angt'!$A$5:$F$5810,6,FALSE)</f>
        <v>28</v>
      </c>
      <c r="W911" s="5" t="str">
        <f t="shared" si="14"/>
        <v>KESEJAHTERAAN</v>
      </c>
      <c r="X911" s="5" t="str">
        <f>VLOOKUP(T911,'Data Angt'!$A$5:$H$5810,8,FALSE)</f>
        <v>Karyawan</v>
      </c>
      <c r="Y911" s="5" t="str">
        <f>VLOOKUP(T911,'Data Angt'!$A$5:$C$5808,3,FALSE)</f>
        <v>KRK</v>
      </c>
    </row>
    <row r="912" spans="1:25" x14ac:dyDescent="0.3">
      <c r="A912" s="8">
        <v>906</v>
      </c>
      <c r="B912" s="9" t="s">
        <v>8706</v>
      </c>
      <c r="C912" s="10" t="str">
        <f>VLOOKUP(B912,'Data Angt'!$A$5:$B$5809,2,FALSE)</f>
        <v>A3951</v>
      </c>
      <c r="D912" s="11" t="s">
        <v>9895</v>
      </c>
      <c r="E912" s="12" t="s">
        <v>16648</v>
      </c>
      <c r="F912" s="13">
        <v>45730</v>
      </c>
      <c r="G912" s="14">
        <v>45917</v>
      </c>
      <c r="H912" s="15">
        <v>70000000</v>
      </c>
      <c r="I912" s="16">
        <v>36</v>
      </c>
      <c r="J912" s="17">
        <v>21</v>
      </c>
      <c r="K912" s="9" t="s">
        <v>9831</v>
      </c>
      <c r="L912" s="10" t="s">
        <v>16649</v>
      </c>
      <c r="M912" s="9" t="s">
        <v>9871</v>
      </c>
      <c r="N912" s="10" t="s">
        <v>9828</v>
      </c>
      <c r="O912" s="15">
        <v>61147000</v>
      </c>
      <c r="P912" s="145">
        <v>2614049</v>
      </c>
      <c r="Q912" s="9" t="s">
        <v>23050</v>
      </c>
      <c r="R912" s="146" t="s">
        <v>23051</v>
      </c>
      <c r="T912" s="92" t="s">
        <v>14516</v>
      </c>
      <c r="U912">
        <v>1</v>
      </c>
      <c r="V912">
        <f>VLOOKUP(T912,'Data Angt'!$A$5:$F$5810,6,FALSE)</f>
        <v>39</v>
      </c>
      <c r="W912" s="5" t="str">
        <f t="shared" si="14"/>
        <v>PRODUKTIF</v>
      </c>
      <c r="X912" s="5" t="str">
        <f>VLOOKUP(T912,'Data Angt'!$A$5:$H$5810,8,FALSE)</f>
        <v>Wiraswasta</v>
      </c>
      <c r="Y912" s="5" t="str">
        <f>VLOOKUP(T912,'Data Angt'!$A$5:$C$5808,3,FALSE)</f>
        <v>KRK</v>
      </c>
    </row>
    <row r="913" spans="1:25" x14ac:dyDescent="0.3">
      <c r="A913" s="8">
        <v>907</v>
      </c>
      <c r="B913" s="9" t="s">
        <v>8720</v>
      </c>
      <c r="C913" s="10" t="str">
        <f>VLOOKUP(B913,'Data Angt'!$A$5:$B$5809,2,FALSE)</f>
        <v>A3957</v>
      </c>
      <c r="D913" s="11" t="s">
        <v>9895</v>
      </c>
      <c r="E913" s="12" t="s">
        <v>16650</v>
      </c>
      <c r="F913" s="13">
        <v>45603</v>
      </c>
      <c r="G913" s="14">
        <v>45908</v>
      </c>
      <c r="H913" s="15">
        <v>25000000</v>
      </c>
      <c r="I913" s="16">
        <v>48</v>
      </c>
      <c r="J913" s="17">
        <v>21</v>
      </c>
      <c r="K913" s="9" t="s">
        <v>9831</v>
      </c>
      <c r="L913" s="10" t="s">
        <v>16651</v>
      </c>
      <c r="M913" s="9" t="s">
        <v>9871</v>
      </c>
      <c r="N913" s="10" t="s">
        <v>9830</v>
      </c>
      <c r="O913" s="15">
        <v>21355700</v>
      </c>
      <c r="P913" s="145">
        <v>1536635</v>
      </c>
      <c r="Q913" s="9" t="s">
        <v>22927</v>
      </c>
      <c r="R913" s="146" t="s">
        <v>23052</v>
      </c>
      <c r="T913" s="92" t="s">
        <v>14564</v>
      </c>
      <c r="U913">
        <v>1</v>
      </c>
      <c r="V913">
        <f>VLOOKUP(T913,'Data Angt'!$A$5:$F$5810,6,FALSE)</f>
        <v>58</v>
      </c>
      <c r="W913" s="5" t="str">
        <f t="shared" si="14"/>
        <v>PENDIDIKAN</v>
      </c>
      <c r="X913" s="5" t="str">
        <f>VLOOKUP(T913,'Data Angt'!$A$5:$H$5810,8,FALSE)</f>
        <v>Aparatur/Pejabat Negara</v>
      </c>
      <c r="Y913" s="5" t="str">
        <f>VLOOKUP(T913,'Data Angt'!$A$5:$C$5808,3,FALSE)</f>
        <v>KRK</v>
      </c>
    </row>
    <row r="914" spans="1:25" x14ac:dyDescent="0.3">
      <c r="A914" s="8">
        <v>908</v>
      </c>
      <c r="B914" s="9" t="s">
        <v>8736</v>
      </c>
      <c r="C914" s="10" t="str">
        <f>VLOOKUP(B914,'Data Angt'!$A$5:$B$5809,2,FALSE)</f>
        <v>A3965</v>
      </c>
      <c r="D914" s="11" t="s">
        <v>9829</v>
      </c>
      <c r="E914" s="12" t="s">
        <v>23053</v>
      </c>
      <c r="F914" s="13">
        <v>45876</v>
      </c>
      <c r="G914" s="14">
        <v>45908</v>
      </c>
      <c r="H914" s="15">
        <v>2000000</v>
      </c>
      <c r="I914" s="16">
        <v>12</v>
      </c>
      <c r="J914" s="17">
        <v>24</v>
      </c>
      <c r="K914" s="9" t="s">
        <v>9831</v>
      </c>
      <c r="L914" s="10" t="s">
        <v>23054</v>
      </c>
      <c r="M914" s="9" t="s">
        <v>15890</v>
      </c>
      <c r="N914" s="10" t="s">
        <v>9830</v>
      </c>
      <c r="O914" s="15">
        <v>1850800</v>
      </c>
      <c r="P914" s="145">
        <v>15000</v>
      </c>
      <c r="Q914" s="9"/>
      <c r="R914" s="146"/>
      <c r="T914" s="92" t="s">
        <v>14568</v>
      </c>
      <c r="U914">
        <v>1</v>
      </c>
      <c r="V914">
        <f>VLOOKUP(T914,'Data Angt'!$A$5:$F$5810,6,FALSE)</f>
        <v>41</v>
      </c>
      <c r="W914" s="5" t="str">
        <f t="shared" si="14"/>
        <v>PRODUKTIF</v>
      </c>
      <c r="X914" s="5" t="str">
        <f>VLOOKUP(T914,'Data Angt'!$A$5:$H$5810,8,FALSE)</f>
        <v>Karyawan</v>
      </c>
      <c r="Y914" s="5" t="str">
        <f>VLOOKUP(T914,'Data Angt'!$A$5:$C$5808,3,FALSE)</f>
        <v>KRK</v>
      </c>
    </row>
    <row r="915" spans="1:25" x14ac:dyDescent="0.3">
      <c r="A915" s="8">
        <v>909</v>
      </c>
      <c r="B915" s="9" t="s">
        <v>8739</v>
      </c>
      <c r="C915" s="10" t="str">
        <f>VLOOKUP(B915,'Data Angt'!$A$5:$B$5809,2,FALSE)</f>
        <v>A3967</v>
      </c>
      <c r="D915" s="11" t="s">
        <v>9833</v>
      </c>
      <c r="E915" s="12" t="s">
        <v>10389</v>
      </c>
      <c r="F915" s="13">
        <v>44995</v>
      </c>
      <c r="G915" s="14">
        <v>45164</v>
      </c>
      <c r="H915" s="15">
        <v>60000000</v>
      </c>
      <c r="I915" s="16">
        <v>48</v>
      </c>
      <c r="J915" s="17">
        <v>21</v>
      </c>
      <c r="K915" s="9" t="s">
        <v>9831</v>
      </c>
      <c r="L915" s="10" t="s">
        <v>10390</v>
      </c>
      <c r="M915" s="9" t="s">
        <v>10391</v>
      </c>
      <c r="N915" s="10" t="s">
        <v>9834</v>
      </c>
      <c r="O915" s="15">
        <v>56682300</v>
      </c>
      <c r="P915" s="145">
        <v>1542861</v>
      </c>
      <c r="Q915" s="9" t="s">
        <v>22910</v>
      </c>
      <c r="R915" s="146" t="s">
        <v>23055</v>
      </c>
      <c r="T915" s="92" t="s">
        <v>14573</v>
      </c>
      <c r="U915">
        <v>1</v>
      </c>
      <c r="V915">
        <f>VLOOKUP(T915,'Data Angt'!$A$5:$F$5810,6,FALSE)</f>
        <v>37</v>
      </c>
      <c r="W915" s="5" t="str">
        <f t="shared" si="14"/>
        <v>KONSUMTIF</v>
      </c>
      <c r="X915" s="5" t="str">
        <f>VLOOKUP(T915,'Data Angt'!$A$5:$H$5810,8,FALSE)</f>
        <v>Tenaga Pengajar</v>
      </c>
      <c r="Y915" s="5" t="str">
        <f>VLOOKUP(T915,'Data Angt'!$A$5:$C$5808,3,FALSE)</f>
        <v>KRK</v>
      </c>
    </row>
    <row r="916" spans="1:25" x14ac:dyDescent="0.3">
      <c r="A916" s="8">
        <v>910</v>
      </c>
      <c r="B916" s="9" t="s">
        <v>8741</v>
      </c>
      <c r="C916" s="10" t="str">
        <f>VLOOKUP(B916,'Data Angt'!$A$5:$B$5809,2,FALSE)</f>
        <v>A3969</v>
      </c>
      <c r="D916" s="11" t="s">
        <v>9829</v>
      </c>
      <c r="E916" s="12" t="s">
        <v>16652</v>
      </c>
      <c r="F916" s="13">
        <v>45671</v>
      </c>
      <c r="G916" s="14">
        <v>45915</v>
      </c>
      <c r="H916" s="15">
        <v>11000000</v>
      </c>
      <c r="I916" s="16">
        <v>18</v>
      </c>
      <c r="J916" s="17">
        <v>24</v>
      </c>
      <c r="K916" s="9" t="s">
        <v>9831</v>
      </c>
      <c r="L916" s="10" t="s">
        <v>16653</v>
      </c>
      <c r="M916" s="9" t="s">
        <v>16654</v>
      </c>
      <c r="N916" s="10" t="s">
        <v>9828</v>
      </c>
      <c r="O916" s="15">
        <v>6590500</v>
      </c>
      <c r="P916" s="145">
        <v>547836</v>
      </c>
      <c r="Q916" s="9" t="s">
        <v>22910</v>
      </c>
      <c r="R916" s="146" t="s">
        <v>23056</v>
      </c>
      <c r="T916" s="92" t="s">
        <v>14604</v>
      </c>
      <c r="U916">
        <v>1</v>
      </c>
      <c r="V916">
        <f>VLOOKUP(T916,'Data Angt'!$A$5:$F$5810,6,FALSE)</f>
        <v>23</v>
      </c>
      <c r="W916" s="5" t="str">
        <f t="shared" si="14"/>
        <v>PRODUKTIF</v>
      </c>
      <c r="X916" s="5" t="str">
        <f>VLOOKUP(T916,'Data Angt'!$A$5:$H$5810,8,FALSE)</f>
        <v>Wiraswasta</v>
      </c>
      <c r="Y916" s="5" t="str">
        <f>VLOOKUP(T916,'Data Angt'!$A$5:$C$5808,3,FALSE)</f>
        <v>KRK</v>
      </c>
    </row>
    <row r="917" spans="1:25" x14ac:dyDescent="0.3">
      <c r="A917" s="8">
        <v>911</v>
      </c>
      <c r="B917" s="9" t="s">
        <v>8778</v>
      </c>
      <c r="C917" s="10" t="str">
        <f>VLOOKUP(B917,'Data Angt'!$A$5:$B$5809,2,FALSE)</f>
        <v>A3985</v>
      </c>
      <c r="D917" s="11" t="s">
        <v>9833</v>
      </c>
      <c r="E917" s="12" t="s">
        <v>10392</v>
      </c>
      <c r="F917" s="13">
        <v>44788</v>
      </c>
      <c r="G917" s="14">
        <v>45317</v>
      </c>
      <c r="H917" s="15">
        <v>5000000</v>
      </c>
      <c r="I917" s="16">
        <v>18</v>
      </c>
      <c r="J917" s="17">
        <v>27</v>
      </c>
      <c r="K917" s="9" t="s">
        <v>9831</v>
      </c>
      <c r="L917" s="10" t="s">
        <v>10393</v>
      </c>
      <c r="M917" s="9" t="s">
        <v>10394</v>
      </c>
      <c r="N917" s="10" t="s">
        <v>9834</v>
      </c>
      <c r="O917" s="15">
        <v>2185700</v>
      </c>
      <c r="P917" s="145">
        <v>492297</v>
      </c>
      <c r="Q917" s="9" t="s">
        <v>23057</v>
      </c>
      <c r="R917" s="146" t="s">
        <v>23058</v>
      </c>
      <c r="T917" s="92" t="s">
        <v>14642</v>
      </c>
      <c r="U917">
        <v>1</v>
      </c>
      <c r="V917">
        <f>VLOOKUP(T917,'Data Angt'!$A$5:$F$5810,6,FALSE)</f>
        <v>35</v>
      </c>
      <c r="W917" s="5" t="str">
        <f t="shared" si="14"/>
        <v>PENDIDIKAN</v>
      </c>
      <c r="X917" s="5" t="str">
        <f>VLOOKUP(T917,'Data Angt'!$A$5:$H$5810,8,FALSE)</f>
        <v>Karyawan</v>
      </c>
      <c r="Y917" s="5" t="str">
        <f>VLOOKUP(T917,'Data Angt'!$A$5:$C$5808,3,FALSE)</f>
        <v>KRK</v>
      </c>
    </row>
    <row r="918" spans="1:25" x14ac:dyDescent="0.3">
      <c r="A918" s="8">
        <v>912</v>
      </c>
      <c r="B918" s="9" t="s">
        <v>8796</v>
      </c>
      <c r="C918" s="10" t="str">
        <f>VLOOKUP(B918,'Data Angt'!$A$5:$B$5809,2,FALSE)</f>
        <v>A3994</v>
      </c>
      <c r="D918" s="11" t="s">
        <v>9833</v>
      </c>
      <c r="E918" s="12" t="s">
        <v>16655</v>
      </c>
      <c r="F918" s="13">
        <v>45498</v>
      </c>
      <c r="G918" s="14">
        <v>45773</v>
      </c>
      <c r="H918" s="15">
        <v>12000000</v>
      </c>
      <c r="I918" s="16">
        <v>24</v>
      </c>
      <c r="J918" s="17">
        <v>24</v>
      </c>
      <c r="K918" s="9" t="s">
        <v>9831</v>
      </c>
      <c r="L918" s="10" t="s">
        <v>16656</v>
      </c>
      <c r="M918" s="9" t="s">
        <v>16657</v>
      </c>
      <c r="N918" s="10" t="s">
        <v>9834</v>
      </c>
      <c r="O918" s="15">
        <v>8614400</v>
      </c>
      <c r="P918" s="145">
        <v>708598</v>
      </c>
      <c r="Q918" s="9" t="s">
        <v>23059</v>
      </c>
      <c r="R918" s="146" t="s">
        <v>23060</v>
      </c>
      <c r="T918" s="92" t="s">
        <v>14723</v>
      </c>
      <c r="U918">
        <v>1</v>
      </c>
      <c r="V918">
        <f>VLOOKUP(T918,'Data Angt'!$A$5:$F$5810,6,FALSE)</f>
        <v>40</v>
      </c>
      <c r="W918" s="5" t="str">
        <f t="shared" si="14"/>
        <v>PRODUKTIF</v>
      </c>
      <c r="X918" s="5" t="str">
        <f>VLOOKUP(T918,'Data Angt'!$A$5:$H$5810,8,FALSE)</f>
        <v>Aparatur/Pejabat Negara</v>
      </c>
      <c r="Y918" s="5" t="str">
        <f>VLOOKUP(T918,'Data Angt'!$A$5:$C$5808,3,FALSE)</f>
        <v>KRK</v>
      </c>
    </row>
    <row r="919" spans="1:25" x14ac:dyDescent="0.3">
      <c r="A919" s="8">
        <v>913</v>
      </c>
      <c r="B919" s="9" t="s">
        <v>8806</v>
      </c>
      <c r="C919" s="10" t="str">
        <f>VLOOKUP(B919,'Data Angt'!$A$5:$B$5809,2,FALSE)</f>
        <v>A3998</v>
      </c>
      <c r="D919" s="11" t="s">
        <v>9829</v>
      </c>
      <c r="E919" s="12" t="s">
        <v>23061</v>
      </c>
      <c r="F919" s="13">
        <v>45875</v>
      </c>
      <c r="G919" s="14">
        <v>45901</v>
      </c>
      <c r="H919" s="15">
        <v>4000000</v>
      </c>
      <c r="I919" s="16">
        <v>12</v>
      </c>
      <c r="J919" s="17">
        <v>24</v>
      </c>
      <c r="K919" s="9" t="s">
        <v>9831</v>
      </c>
      <c r="L919" s="10" t="s">
        <v>23062</v>
      </c>
      <c r="M919" s="9" t="s">
        <v>16732</v>
      </c>
      <c r="N919" s="10" t="s">
        <v>17</v>
      </c>
      <c r="O919" s="15">
        <v>3701700</v>
      </c>
      <c r="P919" s="145">
        <v>30000</v>
      </c>
      <c r="Q919" s="9"/>
      <c r="R919" s="146"/>
      <c r="T919" s="92" t="s">
        <v>14755</v>
      </c>
      <c r="U919">
        <v>1</v>
      </c>
      <c r="V919">
        <f>VLOOKUP(T919,'Data Angt'!$A$5:$F$5810,6,FALSE)</f>
        <v>47</v>
      </c>
      <c r="W919" s="5" t="str">
        <f t="shared" si="14"/>
        <v>PENDIDIKAN</v>
      </c>
      <c r="X919" s="5" t="str">
        <f>VLOOKUP(T919,'Data Angt'!$A$5:$H$5810,8,FALSE)</f>
        <v>Aparatur/Pejabat Negara</v>
      </c>
      <c r="Y919" s="5" t="str">
        <f>VLOOKUP(T919,'Data Angt'!$A$5:$C$5808,3,FALSE)</f>
        <v>KRK</v>
      </c>
    </row>
    <row r="920" spans="1:25" x14ac:dyDescent="0.3">
      <c r="A920" s="8">
        <v>914</v>
      </c>
      <c r="B920" s="9" t="s">
        <v>8943</v>
      </c>
      <c r="C920" s="10" t="str">
        <f>VLOOKUP(B920,'Data Angt'!$A$5:$B$5809,2,FALSE)</f>
        <v>A4065</v>
      </c>
      <c r="D920" s="11" t="s">
        <v>9833</v>
      </c>
      <c r="E920" s="12" t="s">
        <v>16658</v>
      </c>
      <c r="F920" s="13">
        <v>45804</v>
      </c>
      <c r="G920" s="14">
        <v>45929</v>
      </c>
      <c r="H920" s="15">
        <v>5000000</v>
      </c>
      <c r="I920" s="16">
        <v>24</v>
      </c>
      <c r="J920" s="17">
        <v>24</v>
      </c>
      <c r="K920" s="9" t="s">
        <v>9831</v>
      </c>
      <c r="L920" s="10" t="s">
        <v>16659</v>
      </c>
      <c r="M920" s="9" t="s">
        <v>16456</v>
      </c>
      <c r="N920" s="10" t="s">
        <v>9834</v>
      </c>
      <c r="O920" s="15">
        <v>4322600</v>
      </c>
      <c r="P920" s="145">
        <v>142575</v>
      </c>
      <c r="Q920" s="9" t="s">
        <v>22901</v>
      </c>
      <c r="R920" s="146" t="s">
        <v>23063</v>
      </c>
      <c r="T920" s="92" t="s">
        <v>14767</v>
      </c>
      <c r="U920">
        <v>1</v>
      </c>
      <c r="V920">
        <f>VLOOKUP(T920,'Data Angt'!$A$5:$F$5810,6,FALSE)</f>
        <v>52</v>
      </c>
      <c r="W920" s="5" t="str">
        <f t="shared" si="14"/>
        <v>KESEJAHTERAAN</v>
      </c>
      <c r="X920" s="5" t="str">
        <f>VLOOKUP(T920,'Data Angt'!$A$5:$H$5810,8,FALSE)</f>
        <v>Karyawan</v>
      </c>
      <c r="Y920" s="5" t="str">
        <f>VLOOKUP(T920,'Data Angt'!$A$5:$C$5808,3,FALSE)</f>
        <v>KRK</v>
      </c>
    </row>
    <row r="921" spans="1:25" x14ac:dyDescent="0.3">
      <c r="A921" s="8">
        <v>915</v>
      </c>
      <c r="B921" s="9" t="s">
        <v>8954</v>
      </c>
      <c r="C921" s="10" t="str">
        <f>VLOOKUP(B921,'Data Angt'!$A$5:$B$5809,2,FALSE)</f>
        <v>A4072</v>
      </c>
      <c r="D921" s="11" t="s">
        <v>9829</v>
      </c>
      <c r="E921" s="12" t="s">
        <v>23064</v>
      </c>
      <c r="F921" s="13">
        <v>45883</v>
      </c>
      <c r="G921" s="14">
        <v>45909</v>
      </c>
      <c r="H921" s="15">
        <v>25000000</v>
      </c>
      <c r="I921" s="16">
        <v>48</v>
      </c>
      <c r="J921" s="17">
        <v>21</v>
      </c>
      <c r="K921" s="9" t="s">
        <v>9831</v>
      </c>
      <c r="L921" s="10" t="s">
        <v>23065</v>
      </c>
      <c r="M921" s="9" t="s">
        <v>9840</v>
      </c>
      <c r="N921" s="10" t="s">
        <v>9828</v>
      </c>
      <c r="O921" s="15">
        <v>24663300</v>
      </c>
      <c r="P921" s="145">
        <v>164062</v>
      </c>
      <c r="Q921" s="9" t="s">
        <v>22927</v>
      </c>
      <c r="R921" s="146" t="s">
        <v>23066</v>
      </c>
      <c r="T921" s="92" t="s">
        <v>14769</v>
      </c>
      <c r="U921">
        <v>1</v>
      </c>
      <c r="V921">
        <f>VLOOKUP(T921,'Data Angt'!$A$5:$F$5810,6,FALSE)</f>
        <v>24</v>
      </c>
      <c r="W921" s="5" t="str">
        <f t="shared" si="14"/>
        <v>PRODUKTIF</v>
      </c>
      <c r="X921" s="5" t="str">
        <f>VLOOKUP(T921,'Data Angt'!$A$5:$H$5810,8,FALSE)</f>
        <v>Wiraswasta</v>
      </c>
      <c r="Y921" s="5" t="str">
        <f>VLOOKUP(T921,'Data Angt'!$A$5:$C$5808,3,FALSE)</f>
        <v>KRK</v>
      </c>
    </row>
    <row r="922" spans="1:25" x14ac:dyDescent="0.3">
      <c r="A922" s="8">
        <v>916</v>
      </c>
      <c r="B922" s="9" t="s">
        <v>9056</v>
      </c>
      <c r="C922" s="10" t="str">
        <f>VLOOKUP(B922,'Data Angt'!$A$5:$B$5809,2,FALSE)</f>
        <v>A4118</v>
      </c>
      <c r="D922" s="11" t="s">
        <v>9829</v>
      </c>
      <c r="E922" s="12" t="s">
        <v>16660</v>
      </c>
      <c r="F922" s="13">
        <v>45519</v>
      </c>
      <c r="G922" s="14">
        <v>45913</v>
      </c>
      <c r="H922" s="15">
        <v>20000000</v>
      </c>
      <c r="I922" s="16">
        <v>36</v>
      </c>
      <c r="J922" s="17">
        <v>24</v>
      </c>
      <c r="K922" s="9" t="s">
        <v>9831</v>
      </c>
      <c r="L922" s="10" t="s">
        <v>16661</v>
      </c>
      <c r="M922" s="9" t="s">
        <v>9832</v>
      </c>
      <c r="N922" s="10" t="s">
        <v>17</v>
      </c>
      <c r="O922" s="15">
        <v>14353100</v>
      </c>
      <c r="P922" s="145">
        <v>1707822</v>
      </c>
      <c r="Q922" s="9" t="s">
        <v>22927</v>
      </c>
      <c r="R922" s="146" t="s">
        <v>23067</v>
      </c>
      <c r="T922" s="92" t="s">
        <v>14771</v>
      </c>
      <c r="U922">
        <v>1</v>
      </c>
      <c r="V922">
        <f>VLOOKUP(T922,'Data Angt'!$A$5:$F$5810,6,FALSE)</f>
        <v>49</v>
      </c>
      <c r="W922" s="5" t="str">
        <f t="shared" si="14"/>
        <v>PRODUKTIF</v>
      </c>
      <c r="X922" s="5" t="str">
        <f>VLOOKUP(T922,'Data Angt'!$A$5:$H$5810,8,FALSE)</f>
        <v>Mengurus Rumah Tangga</v>
      </c>
      <c r="Y922" s="5" t="str">
        <f>VLOOKUP(T922,'Data Angt'!$A$5:$C$5808,3,FALSE)</f>
        <v>KRK</v>
      </c>
    </row>
    <row r="923" spans="1:25" x14ac:dyDescent="0.3">
      <c r="A923" s="8">
        <v>917</v>
      </c>
      <c r="B923" s="9" t="s">
        <v>9105</v>
      </c>
      <c r="C923" s="10" t="str">
        <f>VLOOKUP(B923,'Data Angt'!$A$5:$B$5809,2,FALSE)</f>
        <v>A4142</v>
      </c>
      <c r="D923" s="11" t="s">
        <v>9833</v>
      </c>
      <c r="E923" s="12" t="s">
        <v>16662</v>
      </c>
      <c r="F923" s="13">
        <v>45685</v>
      </c>
      <c r="G923" s="14">
        <v>45925</v>
      </c>
      <c r="H923" s="15">
        <v>8500000</v>
      </c>
      <c r="I923" s="16">
        <v>36</v>
      </c>
      <c r="J923" s="17">
        <v>24</v>
      </c>
      <c r="K923" s="9" t="s">
        <v>9831</v>
      </c>
      <c r="L923" s="10" t="s">
        <v>16663</v>
      </c>
      <c r="M923" s="9" t="s">
        <v>9862</v>
      </c>
      <c r="N923" s="10" t="s">
        <v>9834</v>
      </c>
      <c r="O923" s="15">
        <v>7284700</v>
      </c>
      <c r="P923" s="145">
        <v>478425</v>
      </c>
      <c r="Q923" s="9" t="s">
        <v>22901</v>
      </c>
      <c r="R923" s="146" t="s">
        <v>23068</v>
      </c>
      <c r="T923" s="92" t="s">
        <v>14773</v>
      </c>
      <c r="U923">
        <v>1</v>
      </c>
      <c r="V923">
        <f>VLOOKUP(T923,'Data Angt'!$A$5:$F$5810,6,FALSE)</f>
        <v>45</v>
      </c>
      <c r="W923" s="5" t="str">
        <f t="shared" si="14"/>
        <v>KONSUMTIF</v>
      </c>
      <c r="X923" s="5" t="str">
        <f>VLOOKUP(T923,'Data Angt'!$A$5:$H$5810,8,FALSE)</f>
        <v>Mengurus Rumah Tangga</v>
      </c>
      <c r="Y923" s="5" t="str">
        <f>VLOOKUP(T923,'Data Angt'!$A$5:$C$5808,3,FALSE)</f>
        <v>KRK</v>
      </c>
    </row>
    <row r="924" spans="1:25" x14ac:dyDescent="0.3">
      <c r="A924" s="8">
        <v>918</v>
      </c>
      <c r="B924" s="9" t="s">
        <v>9152</v>
      </c>
      <c r="C924" s="10" t="str">
        <f>VLOOKUP(B924,'Data Angt'!$A$5:$B$5809,2,FALSE)</f>
        <v>A4163</v>
      </c>
      <c r="D924" s="11" t="s">
        <v>9833</v>
      </c>
      <c r="E924" s="12" t="s">
        <v>16664</v>
      </c>
      <c r="F924" s="13">
        <v>45692</v>
      </c>
      <c r="G924" s="14">
        <v>45922</v>
      </c>
      <c r="H924" s="15">
        <v>4000000</v>
      </c>
      <c r="I924" s="16">
        <v>18</v>
      </c>
      <c r="J924" s="17">
        <v>24</v>
      </c>
      <c r="K924" s="9" t="s">
        <v>9831</v>
      </c>
      <c r="L924" s="10" t="s">
        <v>16665</v>
      </c>
      <c r="M924" s="9" t="s">
        <v>9862</v>
      </c>
      <c r="N924" s="10" t="s">
        <v>9834</v>
      </c>
      <c r="O924" s="15">
        <v>2610800</v>
      </c>
      <c r="P924" s="145">
        <v>179661</v>
      </c>
      <c r="Q924" s="9"/>
      <c r="R924" s="146"/>
      <c r="T924" s="92" t="s">
        <v>14775</v>
      </c>
      <c r="U924">
        <v>1</v>
      </c>
      <c r="V924">
        <f>VLOOKUP(T924,'Data Angt'!$A$5:$F$5810,6,FALSE)</f>
        <v>47</v>
      </c>
      <c r="W924" s="5" t="str">
        <f t="shared" si="14"/>
        <v>PENDIDIKAN</v>
      </c>
      <c r="X924" s="5" t="str">
        <f>VLOOKUP(T924,'Data Angt'!$A$5:$H$5810,8,FALSE)</f>
        <v>Mengurus Rumah Tangga</v>
      </c>
      <c r="Y924" s="5" t="str">
        <f>VLOOKUP(T924,'Data Angt'!$A$5:$C$5808,3,FALSE)</f>
        <v>KRK</v>
      </c>
    </row>
    <row r="925" spans="1:25" x14ac:dyDescent="0.3">
      <c r="A925" s="8">
        <v>919</v>
      </c>
      <c r="B925" s="9" t="s">
        <v>9347</v>
      </c>
      <c r="C925" s="10" t="str">
        <f>VLOOKUP(B925,'Data Angt'!$A$5:$B$5809,2,FALSE)</f>
        <v>A4251</v>
      </c>
      <c r="D925" s="11" t="s">
        <v>9829</v>
      </c>
      <c r="E925" s="12" t="s">
        <v>16666</v>
      </c>
      <c r="F925" s="13">
        <v>45785</v>
      </c>
      <c r="G925" s="14">
        <v>45908</v>
      </c>
      <c r="H925" s="15">
        <v>17000000</v>
      </c>
      <c r="I925" s="16">
        <v>36</v>
      </c>
      <c r="J925" s="17">
        <v>24</v>
      </c>
      <c r="K925" s="9" t="s">
        <v>9831</v>
      </c>
      <c r="L925" s="10" t="s">
        <v>16667</v>
      </c>
      <c r="M925" s="9" t="s">
        <v>9854</v>
      </c>
      <c r="N925" s="10" t="s">
        <v>17</v>
      </c>
      <c r="O925" s="15">
        <v>15652300</v>
      </c>
      <c r="P925" s="145">
        <v>495112</v>
      </c>
      <c r="Q925" s="9" t="s">
        <v>22946</v>
      </c>
      <c r="R925" s="146" t="s">
        <v>23069</v>
      </c>
      <c r="T925" s="92" t="s">
        <v>14821</v>
      </c>
      <c r="U925">
        <v>1</v>
      </c>
      <c r="V925">
        <f>VLOOKUP(T925,'Data Angt'!$A$5:$F$5810,6,FALSE)</f>
        <v>56</v>
      </c>
      <c r="W925" s="5" t="str">
        <f t="shared" si="14"/>
        <v>PRODUKTIF</v>
      </c>
      <c r="X925" s="5" t="str">
        <f>VLOOKUP(T925,'Data Angt'!$A$5:$H$5810,8,FALSE)</f>
        <v>Karyawan</v>
      </c>
      <c r="Y925" s="5" t="str">
        <f>VLOOKUP(T925,'Data Angt'!$A$5:$C$5808,3,FALSE)</f>
        <v>KRK</v>
      </c>
    </row>
    <row r="926" spans="1:25" x14ac:dyDescent="0.3">
      <c r="A926" s="8">
        <v>920</v>
      </c>
      <c r="B926" s="9" t="s">
        <v>9364</v>
      </c>
      <c r="C926" s="10" t="str">
        <f>VLOOKUP(B926,'Data Angt'!$A$5:$B$5809,2,FALSE)</f>
        <v>A4260</v>
      </c>
      <c r="D926" s="11" t="s">
        <v>9833</v>
      </c>
      <c r="E926" s="12" t="s">
        <v>16668</v>
      </c>
      <c r="F926" s="13">
        <v>45372</v>
      </c>
      <c r="G926" s="14">
        <v>45716</v>
      </c>
      <c r="H926" s="15">
        <v>7000000</v>
      </c>
      <c r="I926" s="16">
        <v>12</v>
      </c>
      <c r="J926" s="17">
        <v>24</v>
      </c>
      <c r="K926" s="9" t="s">
        <v>9831</v>
      </c>
      <c r="L926" s="10" t="s">
        <v>16669</v>
      </c>
      <c r="M926" s="9" t="s">
        <v>10181</v>
      </c>
      <c r="N926" s="10" t="s">
        <v>9834</v>
      </c>
      <c r="O926" s="15">
        <v>4848700</v>
      </c>
      <c r="P926" s="145">
        <v>320137</v>
      </c>
      <c r="Q926" s="9" t="s">
        <v>22901</v>
      </c>
      <c r="R926" s="146" t="s">
        <v>23070</v>
      </c>
      <c r="T926" s="92" t="s">
        <v>14886</v>
      </c>
      <c r="U926">
        <v>1</v>
      </c>
      <c r="V926">
        <f>VLOOKUP(T926,'Data Angt'!$A$5:$F$5810,6,FALSE)</f>
        <v>34</v>
      </c>
      <c r="W926" s="5" t="str">
        <f t="shared" si="14"/>
        <v>PRODUKTIF</v>
      </c>
      <c r="X926" s="5" t="str">
        <f>VLOOKUP(T926,'Data Angt'!$A$5:$H$5810,8,FALSE)</f>
        <v>Wiraswasta</v>
      </c>
      <c r="Y926" s="5" t="str">
        <f>VLOOKUP(T926,'Data Angt'!$A$5:$C$5808,3,FALSE)</f>
        <v>KRK</v>
      </c>
    </row>
    <row r="927" spans="1:25" x14ac:dyDescent="0.3">
      <c r="A927" s="8">
        <v>921</v>
      </c>
      <c r="B927" s="9" t="s">
        <v>9444</v>
      </c>
      <c r="C927" s="10" t="str">
        <f>VLOOKUP(B927,'Data Angt'!$A$5:$B$5809,2,FALSE)</f>
        <v>A4296</v>
      </c>
      <c r="D927" s="11" t="s">
        <v>9833</v>
      </c>
      <c r="E927" s="12" t="s">
        <v>23071</v>
      </c>
      <c r="F927" s="13">
        <v>45881</v>
      </c>
      <c r="G927" s="14">
        <v>45912</v>
      </c>
      <c r="H927" s="15">
        <v>5000000</v>
      </c>
      <c r="I927" s="16">
        <v>12</v>
      </c>
      <c r="J927" s="17">
        <v>24</v>
      </c>
      <c r="K927" s="9" t="s">
        <v>9831</v>
      </c>
      <c r="L927" s="10" t="s">
        <v>23072</v>
      </c>
      <c r="M927" s="9" t="s">
        <v>9961</v>
      </c>
      <c r="N927" s="10" t="s">
        <v>9834</v>
      </c>
      <c r="O927" s="15">
        <v>4627200</v>
      </c>
      <c r="P927" s="145">
        <v>37500</v>
      </c>
      <c r="Q927" s="9" t="s">
        <v>22901</v>
      </c>
      <c r="R927" s="146" t="s">
        <v>23073</v>
      </c>
      <c r="T927" s="92" t="s">
        <v>14888</v>
      </c>
      <c r="U927">
        <v>1</v>
      </c>
      <c r="V927">
        <f>VLOOKUP(T927,'Data Angt'!$A$5:$F$5810,6,FALSE)</f>
        <v>23</v>
      </c>
      <c r="W927" s="5" t="str">
        <f t="shared" si="14"/>
        <v>PRODUKTIF</v>
      </c>
      <c r="X927" s="5" t="str">
        <f>VLOOKUP(T927,'Data Angt'!$A$5:$H$5810,8,FALSE)</f>
        <v>Wiraswasta</v>
      </c>
      <c r="Y927" s="5" t="str">
        <f>VLOOKUP(T927,'Data Angt'!$A$5:$C$5808,3,FALSE)</f>
        <v>KRK</v>
      </c>
    </row>
    <row r="928" spans="1:25" x14ac:dyDescent="0.3">
      <c r="A928" s="8">
        <v>922</v>
      </c>
      <c r="B928" s="9" t="s">
        <v>12644</v>
      </c>
      <c r="C928" s="10" t="str">
        <f>VLOOKUP(B928,'Data Angt'!$A$5:$B$5809,2,FALSE)</f>
        <v>A4375</v>
      </c>
      <c r="D928" s="11" t="s">
        <v>9895</v>
      </c>
      <c r="E928" s="12" t="s">
        <v>16670</v>
      </c>
      <c r="F928" s="13">
        <v>45309</v>
      </c>
      <c r="G928" s="14">
        <v>45901</v>
      </c>
      <c r="H928" s="15">
        <v>36000000</v>
      </c>
      <c r="I928" s="16">
        <v>30</v>
      </c>
      <c r="J928" s="17">
        <v>21</v>
      </c>
      <c r="K928" s="9" t="s">
        <v>9827</v>
      </c>
      <c r="L928" s="10" t="s">
        <v>16671</v>
      </c>
      <c r="M928" s="9" t="s">
        <v>9896</v>
      </c>
      <c r="N928" s="10" t="s">
        <v>9828</v>
      </c>
      <c r="O928" s="15">
        <v>12000000</v>
      </c>
      <c r="P928" s="145">
        <v>3228750</v>
      </c>
      <c r="Q928" s="9" t="s">
        <v>22901</v>
      </c>
      <c r="R928" s="146" t="s">
        <v>23074</v>
      </c>
      <c r="T928" s="92" t="s">
        <v>14895</v>
      </c>
      <c r="U928">
        <v>1</v>
      </c>
      <c r="V928">
        <f>VLOOKUP(T928,'Data Angt'!$A$5:$F$5810,6,FALSE)</f>
        <v>33</v>
      </c>
      <c r="W928" s="5" t="str">
        <f t="shared" si="14"/>
        <v>PRODUKTIF</v>
      </c>
      <c r="X928" s="5" t="str">
        <f>VLOOKUP(T928,'Data Angt'!$A$5:$H$5810,8,FALSE)</f>
        <v>Karyawan</v>
      </c>
      <c r="Y928" s="5" t="str">
        <f>VLOOKUP(T928,'Data Angt'!$A$5:$C$5808,3,FALSE)</f>
        <v>KRK</v>
      </c>
    </row>
    <row r="929" spans="1:25" x14ac:dyDescent="0.3">
      <c r="A929" s="8">
        <v>923</v>
      </c>
      <c r="B929" s="9" t="s">
        <v>12644</v>
      </c>
      <c r="C929" s="10" t="str">
        <f>VLOOKUP(B929,'Data Angt'!$A$5:$B$5809,2,FALSE)</f>
        <v>A4375</v>
      </c>
      <c r="D929" s="11" t="s">
        <v>9826</v>
      </c>
      <c r="E929" s="12" t="s">
        <v>23075</v>
      </c>
      <c r="F929" s="13">
        <v>45842</v>
      </c>
      <c r="G929" s="14">
        <v>45901</v>
      </c>
      <c r="H929" s="15">
        <v>5000000</v>
      </c>
      <c r="I929" s="16">
        <v>12</v>
      </c>
      <c r="J929" s="17">
        <v>24</v>
      </c>
      <c r="K929" s="9" t="s">
        <v>9831</v>
      </c>
      <c r="L929" s="10" t="s">
        <v>23076</v>
      </c>
      <c r="M929" s="9" t="s">
        <v>9866</v>
      </c>
      <c r="N929" s="10" t="s">
        <v>17</v>
      </c>
      <c r="O929" s="15">
        <v>4247000</v>
      </c>
      <c r="P929" s="145">
        <v>72225</v>
      </c>
      <c r="Q929" s="9" t="s">
        <v>22959</v>
      </c>
      <c r="R929" s="146" t="s">
        <v>23077</v>
      </c>
      <c r="T929" s="92" t="s">
        <v>14939</v>
      </c>
      <c r="U929">
        <v>1</v>
      </c>
      <c r="V929">
        <f>VLOOKUP(T929,'Data Angt'!$A$5:$F$5810,6,FALSE)</f>
        <v>47</v>
      </c>
      <c r="W929" s="5" t="str">
        <f t="shared" si="14"/>
        <v>KONSUMTIF</v>
      </c>
      <c r="X929" s="5" t="str">
        <f>VLOOKUP(T929,'Data Angt'!$A$5:$H$5810,8,FALSE)</f>
        <v>Lain-Lain</v>
      </c>
      <c r="Y929" s="5" t="str">
        <f>VLOOKUP(T929,'Data Angt'!$A$5:$C$5808,3,FALSE)</f>
        <v>KRK</v>
      </c>
    </row>
    <row r="930" spans="1:25" x14ac:dyDescent="0.3">
      <c r="A930" s="8">
        <v>924</v>
      </c>
      <c r="B930" s="9" t="s">
        <v>12655</v>
      </c>
      <c r="C930" s="10" t="str">
        <f>VLOOKUP(B930,'Data Angt'!$A$5:$B$5809,2,FALSE)</f>
        <v>A4381</v>
      </c>
      <c r="D930" s="11" t="s">
        <v>9833</v>
      </c>
      <c r="E930" s="12" t="s">
        <v>16672</v>
      </c>
      <c r="F930" s="13">
        <v>45593</v>
      </c>
      <c r="G930" s="14">
        <v>45920</v>
      </c>
      <c r="H930" s="15">
        <v>75000000</v>
      </c>
      <c r="I930" s="16">
        <v>36</v>
      </c>
      <c r="J930" s="17">
        <v>21</v>
      </c>
      <c r="K930" s="9" t="s">
        <v>9831</v>
      </c>
      <c r="L930" s="10" t="s">
        <v>16673</v>
      </c>
      <c r="M930" s="9" t="s">
        <v>16674</v>
      </c>
      <c r="N930" s="10" t="s">
        <v>9834</v>
      </c>
      <c r="O930" s="15">
        <v>56819700</v>
      </c>
      <c r="P930" s="145">
        <v>4838397</v>
      </c>
      <c r="Q930" s="9" t="s">
        <v>22910</v>
      </c>
      <c r="R930" s="146" t="s">
        <v>23078</v>
      </c>
      <c r="T930" s="92" t="s">
        <v>14949</v>
      </c>
      <c r="U930">
        <v>1</v>
      </c>
      <c r="V930">
        <f>VLOOKUP(T930,'Data Angt'!$A$5:$F$5810,6,FALSE)</f>
        <v>54</v>
      </c>
      <c r="W930" s="5" t="str">
        <f t="shared" si="14"/>
        <v>PRODUKTIF</v>
      </c>
      <c r="X930" s="5" t="str">
        <f>VLOOKUP(T930,'Data Angt'!$A$5:$H$5810,8,FALSE)</f>
        <v>Lain-Lain</v>
      </c>
      <c r="Y930" s="5" t="str">
        <f>VLOOKUP(T930,'Data Angt'!$A$5:$C$5808,3,FALSE)</f>
        <v>KRK</v>
      </c>
    </row>
    <row r="931" spans="1:25" x14ac:dyDescent="0.3">
      <c r="A931" s="8">
        <v>925</v>
      </c>
      <c r="B931" s="9" t="s">
        <v>12681</v>
      </c>
      <c r="C931" s="10" t="str">
        <f>VLOOKUP(B931,'Data Angt'!$A$5:$B$5809,2,FALSE)</f>
        <v>A4393</v>
      </c>
      <c r="D931" s="11" t="s">
        <v>9829</v>
      </c>
      <c r="E931" s="12" t="s">
        <v>23079</v>
      </c>
      <c r="F931" s="13">
        <v>45855</v>
      </c>
      <c r="G931" s="14">
        <v>45912</v>
      </c>
      <c r="H931" s="15">
        <v>15000000</v>
      </c>
      <c r="I931" s="16">
        <v>36</v>
      </c>
      <c r="J931" s="17">
        <v>24</v>
      </c>
      <c r="K931" s="9" t="s">
        <v>9831</v>
      </c>
      <c r="L931" s="10" t="s">
        <v>23080</v>
      </c>
      <c r="M931" s="9" t="s">
        <v>9866</v>
      </c>
      <c r="N931" s="10" t="s">
        <v>17</v>
      </c>
      <c r="O931" s="15">
        <v>14417300</v>
      </c>
      <c r="P931" s="145">
        <v>222862</v>
      </c>
      <c r="Q931" s="9" t="s">
        <v>22901</v>
      </c>
      <c r="R931" s="146" t="s">
        <v>23081</v>
      </c>
      <c r="T931" s="92" t="s">
        <v>14957</v>
      </c>
      <c r="U931">
        <v>1</v>
      </c>
      <c r="V931">
        <f>VLOOKUP(T931,'Data Angt'!$A$5:$F$5810,6,FALSE)</f>
        <v>55</v>
      </c>
      <c r="W931" s="5" t="str">
        <f t="shared" si="14"/>
        <v>PRODUKTIF</v>
      </c>
      <c r="X931" s="5" t="str">
        <f>VLOOKUP(T931,'Data Angt'!$A$5:$H$5810,8,FALSE)</f>
        <v>Wiraswasta</v>
      </c>
      <c r="Y931" s="5" t="str">
        <f>VLOOKUP(T931,'Data Angt'!$A$5:$C$5808,3,FALSE)</f>
        <v>KRK</v>
      </c>
    </row>
    <row r="932" spans="1:25" x14ac:dyDescent="0.3">
      <c r="A932" s="8">
        <v>926</v>
      </c>
      <c r="B932" s="9" t="s">
        <v>12706</v>
      </c>
      <c r="C932" s="10" t="str">
        <f>VLOOKUP(B932,'Data Angt'!$A$5:$B$5809,2,FALSE)</f>
        <v>A4403</v>
      </c>
      <c r="D932" s="11" t="s">
        <v>9829</v>
      </c>
      <c r="E932" s="12" t="s">
        <v>23082</v>
      </c>
      <c r="F932" s="13">
        <v>45927</v>
      </c>
      <c r="G932" s="14">
        <v>45927</v>
      </c>
      <c r="H932" s="15">
        <v>25000000</v>
      </c>
      <c r="I932" s="16">
        <v>24</v>
      </c>
      <c r="J932" s="17">
        <v>21</v>
      </c>
      <c r="K932" s="9" t="s">
        <v>9831</v>
      </c>
      <c r="L932" s="10" t="s">
        <v>23083</v>
      </c>
      <c r="M932" s="9" t="s">
        <v>9838</v>
      </c>
      <c r="N932" s="10" t="s">
        <v>9830</v>
      </c>
      <c r="O932" s="15">
        <v>25000000</v>
      </c>
      <c r="P932" s="147">
        <v>0</v>
      </c>
      <c r="Q932" s="9" t="s">
        <v>22901</v>
      </c>
      <c r="R932" s="146" t="s">
        <v>23084</v>
      </c>
      <c r="T932" s="92" t="s">
        <v>14982</v>
      </c>
      <c r="U932">
        <v>1</v>
      </c>
      <c r="V932">
        <f>VLOOKUP(T932,'Data Angt'!$A$5:$F$5810,6,FALSE)</f>
        <v>37</v>
      </c>
      <c r="W932" s="5" t="str">
        <f t="shared" si="14"/>
        <v>PRODUKTIF</v>
      </c>
      <c r="X932" s="5" t="str">
        <f>VLOOKUP(T932,'Data Angt'!$A$5:$H$5810,8,FALSE)</f>
        <v>Wiraswasta</v>
      </c>
      <c r="Y932" s="5" t="str">
        <f>VLOOKUP(T932,'Data Angt'!$A$5:$C$5808,3,FALSE)</f>
        <v>KRK</v>
      </c>
    </row>
    <row r="933" spans="1:25" x14ac:dyDescent="0.3">
      <c r="A933" s="8">
        <v>927</v>
      </c>
      <c r="B933" s="9" t="s">
        <v>12752</v>
      </c>
      <c r="C933" s="10" t="str">
        <f>VLOOKUP(B933,'Data Angt'!$A$5:$B$5809,2,FALSE)</f>
        <v>A4422</v>
      </c>
      <c r="D933" s="11" t="s">
        <v>9833</v>
      </c>
      <c r="E933" s="12" t="s">
        <v>23085</v>
      </c>
      <c r="F933" s="13">
        <v>45843</v>
      </c>
      <c r="G933" s="14">
        <v>45904</v>
      </c>
      <c r="H933" s="15">
        <v>20000000</v>
      </c>
      <c r="I933" s="16">
        <v>36</v>
      </c>
      <c r="J933" s="17">
        <v>24</v>
      </c>
      <c r="K933" s="9" t="s">
        <v>9831</v>
      </c>
      <c r="L933" s="10" t="s">
        <v>23086</v>
      </c>
      <c r="M933" s="9" t="s">
        <v>23087</v>
      </c>
      <c r="N933" s="10" t="s">
        <v>9828</v>
      </c>
      <c r="O933" s="15">
        <v>19223000</v>
      </c>
      <c r="P933" s="145">
        <v>297150</v>
      </c>
      <c r="Q933" s="9" t="s">
        <v>22927</v>
      </c>
      <c r="R933" s="146" t="s">
        <v>23088</v>
      </c>
      <c r="T933" s="92" t="s">
        <v>14985</v>
      </c>
      <c r="U933">
        <v>1</v>
      </c>
      <c r="V933">
        <f>VLOOKUP(T933,'Data Angt'!$A$5:$F$5810,6,FALSE)</f>
        <v>59</v>
      </c>
      <c r="W933" s="5" t="str">
        <f t="shared" si="14"/>
        <v>PRODUKTIF</v>
      </c>
      <c r="X933" s="5" t="str">
        <f>VLOOKUP(T933,'Data Angt'!$A$5:$H$5810,8,FALSE)</f>
        <v>Wiraswasta</v>
      </c>
      <c r="Y933" s="5" t="str">
        <f>VLOOKUP(T933,'Data Angt'!$A$5:$C$5808,3,FALSE)</f>
        <v>KRK</v>
      </c>
    </row>
    <row r="934" spans="1:25" x14ac:dyDescent="0.3">
      <c r="A934" s="8">
        <v>928</v>
      </c>
      <c r="B934" s="9" t="s">
        <v>12775</v>
      </c>
      <c r="C934" s="10" t="str">
        <f>VLOOKUP(B934,'Data Angt'!$A$5:$B$5809,2,FALSE)</f>
        <v>A4431</v>
      </c>
      <c r="D934" s="11" t="s">
        <v>9833</v>
      </c>
      <c r="E934" s="12" t="s">
        <v>16675</v>
      </c>
      <c r="F934" s="13">
        <v>45337</v>
      </c>
      <c r="G934" s="14">
        <v>45836</v>
      </c>
      <c r="H934" s="15">
        <v>15000000</v>
      </c>
      <c r="I934" s="16">
        <v>18</v>
      </c>
      <c r="J934" s="17">
        <v>24</v>
      </c>
      <c r="K934" s="9" t="s">
        <v>9831</v>
      </c>
      <c r="L934" s="10" t="s">
        <v>16676</v>
      </c>
      <c r="M934" s="9" t="s">
        <v>16677</v>
      </c>
      <c r="N934" s="10" t="s">
        <v>9834</v>
      </c>
      <c r="O934" s="15">
        <v>4715600</v>
      </c>
      <c r="P934" s="145">
        <v>1076323</v>
      </c>
      <c r="Q934" s="9" t="s">
        <v>22946</v>
      </c>
      <c r="R934" s="146" t="s">
        <v>23089</v>
      </c>
      <c r="T934" s="92" t="s">
        <v>15016</v>
      </c>
      <c r="U934">
        <v>1</v>
      </c>
      <c r="V934">
        <f>VLOOKUP(T934,'Data Angt'!$A$5:$F$5810,6,FALSE)</f>
        <v>82</v>
      </c>
      <c r="W934" s="5" t="str">
        <f t="shared" si="14"/>
        <v>KESEJAHTERAAN</v>
      </c>
      <c r="X934" s="5" t="str">
        <f>VLOOKUP(T934,'Data Angt'!$A$5:$H$5810,8,FALSE)</f>
        <v>Aparatur/Pejabat Negara</v>
      </c>
      <c r="Y934" s="5" t="str">
        <f>VLOOKUP(T934,'Data Angt'!$A$5:$C$5808,3,FALSE)</f>
        <v>KRK</v>
      </c>
    </row>
    <row r="935" spans="1:25" x14ac:dyDescent="0.3">
      <c r="A935" s="8">
        <v>929</v>
      </c>
      <c r="B935" s="9" t="s">
        <v>12816</v>
      </c>
      <c r="C935" s="10" t="str">
        <f>VLOOKUP(B935,'Data Angt'!$A$5:$B$5809,2,FALSE)</f>
        <v>A4449</v>
      </c>
      <c r="D935" s="11" t="s">
        <v>9829</v>
      </c>
      <c r="E935" s="12" t="s">
        <v>23090</v>
      </c>
      <c r="F935" s="13">
        <v>45904</v>
      </c>
      <c r="G935" s="14">
        <v>45904</v>
      </c>
      <c r="H935" s="15">
        <v>2000000</v>
      </c>
      <c r="I935" s="16">
        <v>10</v>
      </c>
      <c r="J935" s="17">
        <v>24</v>
      </c>
      <c r="K935" s="9" t="s">
        <v>9831</v>
      </c>
      <c r="L935" s="10" t="s">
        <v>23091</v>
      </c>
      <c r="M935" s="9" t="s">
        <v>9854</v>
      </c>
      <c r="N935" s="10" t="s">
        <v>17</v>
      </c>
      <c r="O935" s="15">
        <v>2000000</v>
      </c>
      <c r="P935" s="147">
        <v>0</v>
      </c>
      <c r="Q935" s="9"/>
      <c r="R935" s="146"/>
      <c r="T935" s="92" t="s">
        <v>15032</v>
      </c>
      <c r="U935">
        <v>1</v>
      </c>
      <c r="V935">
        <f>VLOOKUP(T935,'Data Angt'!$A$5:$F$5810,6,FALSE)</f>
        <v>49</v>
      </c>
      <c r="W935" s="5" t="str">
        <f t="shared" si="14"/>
        <v>PENDIDIKAN</v>
      </c>
      <c r="X935" s="5" t="str">
        <f>VLOOKUP(T935,'Data Angt'!$A$5:$H$5810,8,FALSE)</f>
        <v>Karyawan</v>
      </c>
      <c r="Y935" s="5" t="str">
        <f>VLOOKUP(T935,'Data Angt'!$A$5:$C$5808,3,FALSE)</f>
        <v>KRK</v>
      </c>
    </row>
    <row r="936" spans="1:25" x14ac:dyDescent="0.3">
      <c r="A936" s="8">
        <v>930</v>
      </c>
      <c r="B936" s="9" t="s">
        <v>12818</v>
      </c>
      <c r="C936" s="10" t="str">
        <f>VLOOKUP(B936,'Data Angt'!$A$5:$B$5809,2,FALSE)</f>
        <v>A4450</v>
      </c>
      <c r="D936" s="11" t="s">
        <v>9829</v>
      </c>
      <c r="E936" s="12" t="s">
        <v>23092</v>
      </c>
      <c r="F936" s="13">
        <v>45847</v>
      </c>
      <c r="G936" s="14">
        <v>45902</v>
      </c>
      <c r="H936" s="15">
        <v>3000000</v>
      </c>
      <c r="I936" s="16">
        <v>10</v>
      </c>
      <c r="J936" s="17">
        <v>24</v>
      </c>
      <c r="K936" s="9" t="s">
        <v>9831</v>
      </c>
      <c r="L936" s="10" t="s">
        <v>23093</v>
      </c>
      <c r="M936" s="9" t="s">
        <v>9964</v>
      </c>
      <c r="N936" s="10" t="s">
        <v>17</v>
      </c>
      <c r="O936" s="15">
        <v>2446600</v>
      </c>
      <c r="P936" s="145">
        <v>42975</v>
      </c>
      <c r="Q936" s="9"/>
      <c r="R936" s="146"/>
      <c r="T936" s="92" t="s">
        <v>15034</v>
      </c>
      <c r="U936">
        <v>1</v>
      </c>
      <c r="V936">
        <f>VLOOKUP(T936,'Data Angt'!$A$5:$F$5810,6,FALSE)</f>
        <v>42</v>
      </c>
      <c r="W936" s="5" t="str">
        <f t="shared" si="14"/>
        <v>PRODUKTIF</v>
      </c>
      <c r="X936" s="5" t="str">
        <f>VLOOKUP(T936,'Data Angt'!$A$5:$H$5810,8,FALSE)</f>
        <v>Wiraswasta</v>
      </c>
      <c r="Y936" s="5" t="str">
        <f>VLOOKUP(T936,'Data Angt'!$A$5:$C$5808,3,FALSE)</f>
        <v>KRK</v>
      </c>
    </row>
    <row r="937" spans="1:25" x14ac:dyDescent="0.3">
      <c r="A937" s="8">
        <v>931</v>
      </c>
      <c r="B937" s="9" t="s">
        <v>12857</v>
      </c>
      <c r="C937" s="10" t="str">
        <f>VLOOKUP(B937,'Data Angt'!$A$5:$B$5809,2,FALSE)</f>
        <v>A4468</v>
      </c>
      <c r="D937" s="11" t="s">
        <v>9833</v>
      </c>
      <c r="E937" s="12" t="s">
        <v>23094</v>
      </c>
      <c r="F937" s="13">
        <v>45895</v>
      </c>
      <c r="G937" s="14">
        <v>45930</v>
      </c>
      <c r="H937" s="15">
        <v>10000000</v>
      </c>
      <c r="I937" s="16">
        <v>24</v>
      </c>
      <c r="J937" s="17">
        <v>24</v>
      </c>
      <c r="K937" s="9" t="s">
        <v>9831</v>
      </c>
      <c r="L937" s="10" t="s">
        <v>23095</v>
      </c>
      <c r="M937" s="9" t="s">
        <v>9862</v>
      </c>
      <c r="N937" s="10" t="s">
        <v>9834</v>
      </c>
      <c r="O937" s="15">
        <v>9671200</v>
      </c>
      <c r="P937" s="145">
        <v>75000</v>
      </c>
      <c r="Q937" s="9" t="s">
        <v>22985</v>
      </c>
      <c r="R937" s="146" t="s">
        <v>23096</v>
      </c>
      <c r="T937" s="92" t="s">
        <v>15051</v>
      </c>
      <c r="U937">
        <v>1</v>
      </c>
      <c r="V937">
        <f>VLOOKUP(T937,'Data Angt'!$A$5:$F$5810,6,FALSE)</f>
        <v>65</v>
      </c>
      <c r="W937" s="5" t="str">
        <f t="shared" si="14"/>
        <v>PRODUKTIF</v>
      </c>
      <c r="X937" s="5" t="str">
        <f>VLOOKUP(T937,'Data Angt'!$A$5:$H$5810,8,FALSE)</f>
        <v>Mengurus Rumah Tangga</v>
      </c>
      <c r="Y937" s="5" t="str">
        <f>VLOOKUP(T937,'Data Angt'!$A$5:$C$5808,3,FALSE)</f>
        <v>KRK</v>
      </c>
    </row>
    <row r="938" spans="1:25" x14ac:dyDescent="0.3">
      <c r="A938" s="8">
        <v>932</v>
      </c>
      <c r="B938" s="9" t="s">
        <v>12885</v>
      </c>
      <c r="C938" s="10" t="str">
        <f>VLOOKUP(B938,'Data Angt'!$A$5:$B$5809,2,FALSE)</f>
        <v>A4481</v>
      </c>
      <c r="D938" s="11" t="s">
        <v>9829</v>
      </c>
      <c r="E938" s="12" t="s">
        <v>16678</v>
      </c>
      <c r="F938" s="13">
        <v>45416</v>
      </c>
      <c r="G938" s="14">
        <v>45782</v>
      </c>
      <c r="H938" s="15">
        <v>6000000</v>
      </c>
      <c r="I938" s="16">
        <v>24</v>
      </c>
      <c r="J938" s="17">
        <v>24</v>
      </c>
      <c r="K938" s="9" t="s">
        <v>9831</v>
      </c>
      <c r="L938" s="10" t="s">
        <v>16679</v>
      </c>
      <c r="M938" s="9" t="s">
        <v>9835</v>
      </c>
      <c r="N938" s="10" t="s">
        <v>9828</v>
      </c>
      <c r="O938" s="15">
        <v>3378100</v>
      </c>
      <c r="P938" s="145">
        <v>444634</v>
      </c>
      <c r="Q938" s="9"/>
      <c r="R938" s="146"/>
      <c r="T938" s="92" t="s">
        <v>15076</v>
      </c>
      <c r="U938">
        <v>2</v>
      </c>
      <c r="V938">
        <f>VLOOKUP(T938,'Data Angt'!$A$5:$F$5810,6,FALSE)</f>
        <v>45</v>
      </c>
      <c r="W938" s="5" t="str">
        <f t="shared" si="14"/>
        <v>PENDIDIKAN</v>
      </c>
      <c r="X938" s="5" t="str">
        <f>VLOOKUP(T938,'Data Angt'!$A$5:$H$5810,8,FALSE)</f>
        <v>Tenaga Pengajar</v>
      </c>
      <c r="Y938" s="5" t="str">
        <f>VLOOKUP(T938,'Data Angt'!$A$5:$C$5808,3,FALSE)</f>
        <v>KRK</v>
      </c>
    </row>
    <row r="939" spans="1:25" x14ac:dyDescent="0.3">
      <c r="A939" s="8">
        <v>933</v>
      </c>
      <c r="B939" s="9" t="s">
        <v>12900</v>
      </c>
      <c r="C939" s="10" t="str">
        <f>VLOOKUP(B939,'Data Angt'!$A$5:$B$5809,2,FALSE)</f>
        <v>A4488</v>
      </c>
      <c r="D939" s="11" t="s">
        <v>9833</v>
      </c>
      <c r="E939" s="12" t="s">
        <v>16680</v>
      </c>
      <c r="F939" s="13">
        <v>45807</v>
      </c>
      <c r="G939" s="14">
        <v>45917</v>
      </c>
      <c r="H939" s="15">
        <v>3000000</v>
      </c>
      <c r="I939" s="16">
        <v>12</v>
      </c>
      <c r="J939" s="17">
        <v>24</v>
      </c>
      <c r="K939" s="9" t="s">
        <v>9831</v>
      </c>
      <c r="L939" s="10" t="s">
        <v>16681</v>
      </c>
      <c r="M939" s="9" t="s">
        <v>9862</v>
      </c>
      <c r="N939" s="10" t="s">
        <v>9834</v>
      </c>
      <c r="O939" s="15">
        <v>2078200</v>
      </c>
      <c r="P939" s="145">
        <v>79875</v>
      </c>
      <c r="Q939" s="9"/>
      <c r="R939" s="146"/>
      <c r="T939" s="92" t="s">
        <v>15112</v>
      </c>
      <c r="U939">
        <v>1</v>
      </c>
      <c r="V939">
        <f>VLOOKUP(T939,'Data Angt'!$A$5:$F$5810,6,FALSE)</f>
        <v>29</v>
      </c>
      <c r="W939" s="5" t="str">
        <f t="shared" si="14"/>
        <v>KONSUMTIF</v>
      </c>
      <c r="X939" s="5" t="str">
        <f>VLOOKUP(T939,'Data Angt'!$A$5:$H$5810,8,FALSE)</f>
        <v>Wiraswasta</v>
      </c>
      <c r="Y939" s="5" t="str">
        <f>VLOOKUP(T939,'Data Angt'!$A$5:$C$5808,3,FALSE)</f>
        <v>KRK</v>
      </c>
    </row>
    <row r="940" spans="1:25" x14ac:dyDescent="0.3">
      <c r="A940" s="8">
        <v>934</v>
      </c>
      <c r="B940" s="9" t="s">
        <v>12905</v>
      </c>
      <c r="C940" s="10" t="str">
        <f>VLOOKUP(B940,'Data Angt'!$A$5:$B$5809,2,FALSE)</f>
        <v>A4491</v>
      </c>
      <c r="D940" s="11" t="s">
        <v>9833</v>
      </c>
      <c r="E940" s="12" t="s">
        <v>23097</v>
      </c>
      <c r="F940" s="13">
        <v>45841</v>
      </c>
      <c r="G940" s="14">
        <v>45904</v>
      </c>
      <c r="H940" s="15">
        <v>5000000</v>
      </c>
      <c r="I940" s="16">
        <v>24</v>
      </c>
      <c r="J940" s="17">
        <v>24</v>
      </c>
      <c r="K940" s="9" t="s">
        <v>9831</v>
      </c>
      <c r="L940" s="10" t="s">
        <v>23098</v>
      </c>
      <c r="M940" s="9" t="s">
        <v>16456</v>
      </c>
      <c r="N940" s="10" t="s">
        <v>9834</v>
      </c>
      <c r="O940" s="15">
        <v>4668000</v>
      </c>
      <c r="P940" s="145">
        <v>73800</v>
      </c>
      <c r="Q940" s="9" t="s">
        <v>22901</v>
      </c>
      <c r="R940" s="146" t="s">
        <v>23099</v>
      </c>
      <c r="T940" s="92" t="s">
        <v>15114</v>
      </c>
      <c r="U940">
        <v>1</v>
      </c>
      <c r="V940">
        <f>VLOOKUP(T940,'Data Angt'!$A$5:$F$5810,6,FALSE)</f>
        <v>39</v>
      </c>
      <c r="W940" s="5" t="str">
        <f t="shared" si="14"/>
        <v>PENDIDIKAN</v>
      </c>
      <c r="X940" s="5" t="str">
        <f>VLOOKUP(T940,'Data Angt'!$A$5:$H$5810,8,FALSE)</f>
        <v>Karyawan</v>
      </c>
      <c r="Y940" s="5" t="str">
        <f>VLOOKUP(T940,'Data Angt'!$A$5:$C$5808,3,FALSE)</f>
        <v>KRK</v>
      </c>
    </row>
    <row r="941" spans="1:25" x14ac:dyDescent="0.3">
      <c r="A941" s="8">
        <v>935</v>
      </c>
      <c r="B941" s="9" t="s">
        <v>12914</v>
      </c>
      <c r="C941" s="10" t="str">
        <f>VLOOKUP(B941,'Data Angt'!$A$5:$B$5809,2,FALSE)</f>
        <v>A4496</v>
      </c>
      <c r="D941" s="11" t="s">
        <v>9826</v>
      </c>
      <c r="E941" s="12" t="s">
        <v>16682</v>
      </c>
      <c r="F941" s="13">
        <v>45812</v>
      </c>
      <c r="G941" s="14">
        <v>45908</v>
      </c>
      <c r="H941" s="15">
        <v>5000000</v>
      </c>
      <c r="I941" s="16">
        <v>12</v>
      </c>
      <c r="J941" s="17">
        <v>24</v>
      </c>
      <c r="K941" s="9" t="s">
        <v>9831</v>
      </c>
      <c r="L941" s="10" t="s">
        <v>16683</v>
      </c>
      <c r="M941" s="9" t="s">
        <v>10352</v>
      </c>
      <c r="N941" s="10" t="s">
        <v>9828</v>
      </c>
      <c r="O941" s="15">
        <v>3859200</v>
      </c>
      <c r="P941" s="145">
        <v>104100</v>
      </c>
      <c r="Q941" s="9"/>
      <c r="R941" s="146"/>
      <c r="T941" s="92" t="s">
        <v>15149</v>
      </c>
      <c r="U941">
        <v>1</v>
      </c>
      <c r="V941">
        <f>VLOOKUP(T941,'Data Angt'!$A$5:$F$5810,6,FALSE)</f>
        <v>32</v>
      </c>
      <c r="W941" s="5" t="str">
        <f t="shared" si="14"/>
        <v>PRODUKTIF</v>
      </c>
      <c r="X941" s="5" t="str">
        <f>VLOOKUP(T941,'Data Angt'!$A$5:$H$5810,8,FALSE)</f>
        <v>Wiraswasta</v>
      </c>
      <c r="Y941" s="5" t="str">
        <f>VLOOKUP(T941,'Data Angt'!$A$5:$C$5808,3,FALSE)</f>
        <v>KRK</v>
      </c>
    </row>
    <row r="942" spans="1:25" x14ac:dyDescent="0.3">
      <c r="A942" s="8">
        <v>936</v>
      </c>
      <c r="B942" s="9" t="s">
        <v>12914</v>
      </c>
      <c r="C942" s="10" t="str">
        <f>VLOOKUP(B942,'Data Angt'!$A$5:$B$5809,2,FALSE)</f>
        <v>A4496</v>
      </c>
      <c r="D942" s="11" t="s">
        <v>9829</v>
      </c>
      <c r="E942" s="12" t="s">
        <v>23100</v>
      </c>
      <c r="F942" s="13">
        <v>45863</v>
      </c>
      <c r="G942" s="14">
        <v>45927</v>
      </c>
      <c r="H942" s="15">
        <v>15000000</v>
      </c>
      <c r="I942" s="16">
        <v>36</v>
      </c>
      <c r="J942" s="17">
        <v>24</v>
      </c>
      <c r="K942" s="9" t="s">
        <v>9831</v>
      </c>
      <c r="L942" s="10" t="s">
        <v>23101</v>
      </c>
      <c r="M942" s="9" t="s">
        <v>23102</v>
      </c>
      <c r="N942" s="10" t="s">
        <v>9828</v>
      </c>
      <c r="O942" s="15">
        <v>14417300</v>
      </c>
      <c r="P942" s="145">
        <v>222862</v>
      </c>
      <c r="Q942" s="9" t="s">
        <v>22901</v>
      </c>
      <c r="R942" s="146" t="s">
        <v>23103</v>
      </c>
      <c r="T942" s="92" t="s">
        <v>15163</v>
      </c>
      <c r="U942">
        <v>1</v>
      </c>
      <c r="V942">
        <f>VLOOKUP(T942,'Data Angt'!$A$5:$F$5810,6,FALSE)</f>
        <v>49</v>
      </c>
      <c r="W942" s="5" t="str">
        <f t="shared" si="14"/>
        <v>KESEJAHTERAAN</v>
      </c>
      <c r="X942" s="5" t="str">
        <f>VLOOKUP(T942,'Data Angt'!$A$5:$H$5810,8,FALSE)</f>
        <v>Petani/Pekebun/Nelayan</v>
      </c>
      <c r="Y942" s="5" t="str">
        <f>VLOOKUP(T942,'Data Angt'!$A$5:$C$5808,3,FALSE)</f>
        <v>KRK</v>
      </c>
    </row>
    <row r="943" spans="1:25" x14ac:dyDescent="0.3">
      <c r="A943" s="8">
        <v>937</v>
      </c>
      <c r="B943" s="9" t="s">
        <v>12929</v>
      </c>
      <c r="C943" s="10" t="str">
        <f>VLOOKUP(B943,'Data Angt'!$A$5:$B$5809,2,FALSE)</f>
        <v>A4503</v>
      </c>
      <c r="D943" s="11" t="s">
        <v>9829</v>
      </c>
      <c r="E943" s="12" t="s">
        <v>16684</v>
      </c>
      <c r="F943" s="13">
        <v>45702</v>
      </c>
      <c r="G943" s="14">
        <v>45912</v>
      </c>
      <c r="H943" s="15">
        <v>8500000</v>
      </c>
      <c r="I943" s="16">
        <v>30</v>
      </c>
      <c r="J943" s="17">
        <v>24</v>
      </c>
      <c r="K943" s="9" t="s">
        <v>9831</v>
      </c>
      <c r="L943" s="10" t="s">
        <v>16685</v>
      </c>
      <c r="M943" s="9" t="s">
        <v>9854</v>
      </c>
      <c r="N943" s="10" t="s">
        <v>17</v>
      </c>
      <c r="O943" s="15">
        <v>6942100</v>
      </c>
      <c r="P943" s="145">
        <v>412237</v>
      </c>
      <c r="Q943" s="9" t="s">
        <v>22975</v>
      </c>
      <c r="R943" s="146" t="s">
        <v>23104</v>
      </c>
      <c r="T943" s="92" t="s">
        <v>15215</v>
      </c>
      <c r="U943">
        <v>1</v>
      </c>
      <c r="V943">
        <f>VLOOKUP(T943,'Data Angt'!$A$5:$F$5810,6,FALSE)</f>
        <v>48</v>
      </c>
      <c r="W943" s="5" t="str">
        <f t="shared" si="14"/>
        <v>PRODUKTIF</v>
      </c>
      <c r="X943" s="5" t="str">
        <f>VLOOKUP(T943,'Data Angt'!$A$5:$H$5810,8,FALSE)</f>
        <v>Wiraswasta</v>
      </c>
      <c r="Y943" s="5" t="str">
        <f>VLOOKUP(T943,'Data Angt'!$A$5:$C$5808,3,FALSE)</f>
        <v>KRK</v>
      </c>
    </row>
    <row r="944" spans="1:25" x14ac:dyDescent="0.3">
      <c r="A944" s="8">
        <v>938</v>
      </c>
      <c r="B944" s="9" t="s">
        <v>12954</v>
      </c>
      <c r="C944" s="10" t="str">
        <f>VLOOKUP(B944,'Data Angt'!$A$5:$B$5809,2,FALSE)</f>
        <v>A4513</v>
      </c>
      <c r="D944" s="11" t="s">
        <v>9826</v>
      </c>
      <c r="E944" s="12" t="s">
        <v>16686</v>
      </c>
      <c r="F944" s="13">
        <v>45709</v>
      </c>
      <c r="G944" s="14">
        <v>45922</v>
      </c>
      <c r="H944" s="15">
        <v>5000000</v>
      </c>
      <c r="I944" s="16">
        <v>12</v>
      </c>
      <c r="J944" s="17">
        <v>24</v>
      </c>
      <c r="K944" s="9" t="s">
        <v>9831</v>
      </c>
      <c r="L944" s="10" t="s">
        <v>16687</v>
      </c>
      <c r="M944" s="9" t="s">
        <v>9862</v>
      </c>
      <c r="N944" s="10" t="s">
        <v>9834</v>
      </c>
      <c r="O944" s="15">
        <v>2228800</v>
      </c>
      <c r="P944" s="145">
        <v>201899</v>
      </c>
      <c r="Q944" s="9"/>
      <c r="R944" s="146"/>
      <c r="T944" s="92" t="s">
        <v>15250</v>
      </c>
      <c r="U944">
        <v>1</v>
      </c>
      <c r="V944">
        <f>VLOOKUP(T944,'Data Angt'!$A$5:$F$5810,6,FALSE)</f>
        <v>71</v>
      </c>
      <c r="W944" s="5" t="str">
        <f t="shared" si="14"/>
        <v>KONSUMTIF</v>
      </c>
      <c r="X944" s="5" t="str">
        <f>VLOOKUP(T944,'Data Angt'!$A$5:$H$5810,8,FALSE)</f>
        <v>Pensiunan</v>
      </c>
      <c r="Y944" s="5" t="str">
        <f>VLOOKUP(T944,'Data Angt'!$A$5:$C$5808,3,FALSE)</f>
        <v>KRK</v>
      </c>
    </row>
    <row r="945" spans="1:25" x14ac:dyDescent="0.3">
      <c r="A945" s="8">
        <v>939</v>
      </c>
      <c r="B945" s="9" t="s">
        <v>12954</v>
      </c>
      <c r="C945" s="10" t="str">
        <f>VLOOKUP(B945,'Data Angt'!$A$5:$B$5809,2,FALSE)</f>
        <v>A4513</v>
      </c>
      <c r="D945" s="11" t="s">
        <v>9829</v>
      </c>
      <c r="E945" s="12" t="s">
        <v>16688</v>
      </c>
      <c r="F945" s="13">
        <v>45829</v>
      </c>
      <c r="G945" s="14">
        <v>45904</v>
      </c>
      <c r="H945" s="15">
        <v>15000000</v>
      </c>
      <c r="I945" s="16">
        <v>48</v>
      </c>
      <c r="J945" s="17">
        <v>24</v>
      </c>
      <c r="K945" s="9" t="s">
        <v>9831</v>
      </c>
      <c r="L945" s="10" t="s">
        <v>16689</v>
      </c>
      <c r="M945" s="9" t="s">
        <v>9838</v>
      </c>
      <c r="N945" s="10" t="s">
        <v>9828</v>
      </c>
      <c r="O945" s="15">
        <v>14421400</v>
      </c>
      <c r="P945" s="145">
        <v>333262</v>
      </c>
      <c r="Q945" s="9" t="s">
        <v>22975</v>
      </c>
      <c r="R945" s="146" t="s">
        <v>23105</v>
      </c>
      <c r="T945" s="92" t="s">
        <v>15257</v>
      </c>
      <c r="U945">
        <v>1</v>
      </c>
      <c r="V945">
        <f>VLOOKUP(T945,'Data Angt'!$A$5:$F$5810,6,FALSE)</f>
        <v>45</v>
      </c>
      <c r="W945" s="5" t="str">
        <f t="shared" si="14"/>
        <v>PRODUKTIF</v>
      </c>
      <c r="X945" s="5" t="str">
        <f>VLOOKUP(T945,'Data Angt'!$A$5:$H$5810,8,FALSE)</f>
        <v>Lain-Lain</v>
      </c>
      <c r="Y945" s="5" t="str">
        <f>VLOOKUP(T945,'Data Angt'!$A$5:$C$5808,3,FALSE)</f>
        <v>KRK</v>
      </c>
    </row>
    <row r="946" spans="1:25" x14ac:dyDescent="0.3">
      <c r="A946" s="8">
        <v>940</v>
      </c>
      <c r="B946" s="9" t="s">
        <v>12966</v>
      </c>
      <c r="C946" s="10" t="str">
        <f>VLOOKUP(B946,'Data Angt'!$A$5:$B$5809,2,FALSE)</f>
        <v>A4519</v>
      </c>
      <c r="D946" s="11" t="s">
        <v>9829</v>
      </c>
      <c r="E946" s="12" t="s">
        <v>16690</v>
      </c>
      <c r="F946" s="13">
        <v>45405</v>
      </c>
      <c r="G946" s="14">
        <v>45915</v>
      </c>
      <c r="H946" s="15">
        <v>15000000</v>
      </c>
      <c r="I946" s="16">
        <v>24</v>
      </c>
      <c r="J946" s="17">
        <v>24</v>
      </c>
      <c r="K946" s="9" t="s">
        <v>9831</v>
      </c>
      <c r="L946" s="10" t="s">
        <v>16691</v>
      </c>
      <c r="M946" s="9" t="s">
        <v>16692</v>
      </c>
      <c r="N946" s="10" t="s">
        <v>9834</v>
      </c>
      <c r="O946" s="15">
        <v>5132900</v>
      </c>
      <c r="P946" s="145">
        <v>1355845</v>
      </c>
      <c r="Q946" s="9" t="s">
        <v>22975</v>
      </c>
      <c r="R946" s="146" t="s">
        <v>23106</v>
      </c>
      <c r="T946" s="92" t="s">
        <v>15264</v>
      </c>
      <c r="U946">
        <v>1</v>
      </c>
      <c r="V946">
        <f>VLOOKUP(T946,'Data Angt'!$A$5:$F$5810,6,FALSE)</f>
        <v>37</v>
      </c>
      <c r="W946" s="5" t="str">
        <f t="shared" si="14"/>
        <v>PRODUKTIF</v>
      </c>
      <c r="X946" s="5" t="str">
        <f>VLOOKUP(T946,'Data Angt'!$A$5:$H$5810,8,FALSE)</f>
        <v>Wiraswasta</v>
      </c>
      <c r="Y946" s="5" t="str">
        <f>VLOOKUP(T946,'Data Angt'!$A$5:$C$5808,3,FALSE)</f>
        <v>KRK</v>
      </c>
    </row>
    <row r="947" spans="1:25" x14ac:dyDescent="0.3">
      <c r="A947" s="8">
        <v>941</v>
      </c>
      <c r="B947" s="9" t="s">
        <v>13005</v>
      </c>
      <c r="C947" s="10" t="str">
        <f>VLOOKUP(B947,'Data Angt'!$A$5:$B$5809,2,FALSE)</f>
        <v>A4536</v>
      </c>
      <c r="D947" s="11" t="s">
        <v>9829</v>
      </c>
      <c r="E947" s="12" t="s">
        <v>16693</v>
      </c>
      <c r="F947" s="13">
        <v>45784</v>
      </c>
      <c r="G947" s="14">
        <v>45903</v>
      </c>
      <c r="H947" s="15">
        <v>2000000</v>
      </c>
      <c r="I947" s="16">
        <v>5</v>
      </c>
      <c r="J947" s="17">
        <v>24</v>
      </c>
      <c r="K947" s="9" t="s">
        <v>9831</v>
      </c>
      <c r="L947" s="10" t="s">
        <v>16694</v>
      </c>
      <c r="M947" s="9" t="s">
        <v>10352</v>
      </c>
      <c r="N947" s="10" t="s">
        <v>9828</v>
      </c>
      <c r="O947" s="15">
        <v>415800</v>
      </c>
      <c r="P947" s="145">
        <v>42524</v>
      </c>
      <c r="Q947" s="9"/>
      <c r="R947" s="146"/>
      <c r="T947" s="92" t="s">
        <v>15275</v>
      </c>
      <c r="U947">
        <v>1</v>
      </c>
      <c r="V947">
        <f>VLOOKUP(T947,'Data Angt'!$A$5:$F$5810,6,FALSE)</f>
        <v>49</v>
      </c>
      <c r="W947" s="5" t="str">
        <f t="shared" si="14"/>
        <v>PRODUKTIF</v>
      </c>
      <c r="X947" s="5" t="str">
        <f>VLOOKUP(T947,'Data Angt'!$A$5:$H$5810,8,FALSE)</f>
        <v>Mengurus Rumah Tangga</v>
      </c>
      <c r="Y947" s="5" t="str">
        <f>VLOOKUP(T947,'Data Angt'!$A$5:$C$5808,3,FALSE)</f>
        <v>KRK</v>
      </c>
    </row>
    <row r="948" spans="1:25" x14ac:dyDescent="0.3">
      <c r="A948" s="8">
        <v>942</v>
      </c>
      <c r="B948" s="9" t="s">
        <v>13044</v>
      </c>
      <c r="C948" s="10" t="str">
        <f>VLOOKUP(B948,'Data Angt'!$A$5:$B$5809,2,FALSE)</f>
        <v>A4555</v>
      </c>
      <c r="D948" s="11" t="s">
        <v>9833</v>
      </c>
      <c r="E948" s="12" t="s">
        <v>16695</v>
      </c>
      <c r="F948" s="13">
        <v>45440</v>
      </c>
      <c r="G948" s="14">
        <v>45904</v>
      </c>
      <c r="H948" s="15">
        <v>15000000</v>
      </c>
      <c r="I948" s="16">
        <v>36</v>
      </c>
      <c r="J948" s="17">
        <v>24</v>
      </c>
      <c r="K948" s="9" t="s">
        <v>9831</v>
      </c>
      <c r="L948" s="10" t="s">
        <v>16696</v>
      </c>
      <c r="M948" s="9" t="s">
        <v>9967</v>
      </c>
      <c r="N948" s="10" t="s">
        <v>9834</v>
      </c>
      <c r="O948" s="15">
        <v>9623600</v>
      </c>
      <c r="P948" s="145">
        <v>1514846</v>
      </c>
      <c r="Q948" s="9" t="s">
        <v>22901</v>
      </c>
      <c r="R948" s="146" t="s">
        <v>23107</v>
      </c>
      <c r="T948" s="92" t="s">
        <v>15281</v>
      </c>
      <c r="U948">
        <v>1</v>
      </c>
      <c r="V948">
        <f>VLOOKUP(T948,'Data Angt'!$A$5:$F$5810,6,FALSE)</f>
        <v>44</v>
      </c>
      <c r="W948" s="5" t="str">
        <f t="shared" si="14"/>
        <v>PRODUKTIF</v>
      </c>
      <c r="X948" s="5" t="str">
        <f>VLOOKUP(T948,'Data Angt'!$A$5:$H$5810,8,FALSE)</f>
        <v>Petani/Pekebun/Nelayan</v>
      </c>
      <c r="Y948" s="5" t="str">
        <f>VLOOKUP(T948,'Data Angt'!$A$5:$C$5808,3,FALSE)</f>
        <v>KRK</v>
      </c>
    </row>
    <row r="949" spans="1:25" x14ac:dyDescent="0.3">
      <c r="A949" s="8">
        <v>943</v>
      </c>
      <c r="B949" s="9" t="s">
        <v>13044</v>
      </c>
      <c r="C949" s="10" t="str">
        <f>VLOOKUP(B949,'Data Angt'!$A$5:$B$5809,2,FALSE)</f>
        <v>A4555</v>
      </c>
      <c r="D949" s="11" t="s">
        <v>9826</v>
      </c>
      <c r="E949" s="12" t="s">
        <v>16697</v>
      </c>
      <c r="F949" s="13">
        <v>45787</v>
      </c>
      <c r="G949" s="14">
        <v>45910</v>
      </c>
      <c r="H949" s="15">
        <v>3000000</v>
      </c>
      <c r="I949" s="16">
        <v>12</v>
      </c>
      <c r="J949" s="17">
        <v>24</v>
      </c>
      <c r="K949" s="9" t="s">
        <v>9831</v>
      </c>
      <c r="L949" s="10" t="s">
        <v>16698</v>
      </c>
      <c r="M949" s="9" t="s">
        <v>10352</v>
      </c>
      <c r="N949" s="10" t="s">
        <v>9828</v>
      </c>
      <c r="O949" s="15">
        <v>2078200</v>
      </c>
      <c r="P949" s="145">
        <v>79875</v>
      </c>
      <c r="Q949" s="9"/>
      <c r="R949" s="146"/>
      <c r="T949" s="92" t="s">
        <v>18931</v>
      </c>
      <c r="U949">
        <v>1</v>
      </c>
      <c r="V949">
        <f>VLOOKUP(T949,'Data Angt'!$A$5:$F$5810,6,FALSE)</f>
        <v>41</v>
      </c>
      <c r="W949" s="5" t="str">
        <f t="shared" si="14"/>
        <v>PENDIDIKAN</v>
      </c>
      <c r="X949" s="5" t="str">
        <f>VLOOKUP(T949,'Data Angt'!$A$5:$H$5810,8,FALSE)</f>
        <v>Mengurus Rumah Tangga</v>
      </c>
      <c r="Y949" s="5" t="str">
        <f>VLOOKUP(T949,'Data Angt'!$A$5:$C$5808,3,FALSE)</f>
        <v>KRK</v>
      </c>
    </row>
    <row r="950" spans="1:25" x14ac:dyDescent="0.3">
      <c r="A950" s="8">
        <v>944</v>
      </c>
      <c r="B950" s="9" t="s">
        <v>13089</v>
      </c>
      <c r="C950" s="10" t="str">
        <f>VLOOKUP(B950,'Data Angt'!$A$5:$B$5809,2,FALSE)</f>
        <v>A4579</v>
      </c>
      <c r="D950" s="11" t="s">
        <v>9829</v>
      </c>
      <c r="E950" s="12" t="s">
        <v>23108</v>
      </c>
      <c r="F950" s="13">
        <v>45846</v>
      </c>
      <c r="G950" s="14">
        <v>45917</v>
      </c>
      <c r="H950" s="15">
        <v>12000000</v>
      </c>
      <c r="I950" s="16">
        <v>12</v>
      </c>
      <c r="J950" s="17">
        <v>24</v>
      </c>
      <c r="K950" s="9" t="s">
        <v>9831</v>
      </c>
      <c r="L950" s="10" t="s">
        <v>23109</v>
      </c>
      <c r="M950" s="9" t="s">
        <v>22411</v>
      </c>
      <c r="N950" s="10" t="s">
        <v>17</v>
      </c>
      <c r="O950" s="15">
        <v>10192600</v>
      </c>
      <c r="P950" s="145">
        <v>173325</v>
      </c>
      <c r="Q950" s="9" t="s">
        <v>22901</v>
      </c>
      <c r="R950" s="146" t="s">
        <v>23110</v>
      </c>
      <c r="T950" s="92" t="s">
        <v>18940</v>
      </c>
      <c r="U950">
        <v>1</v>
      </c>
      <c r="V950">
        <f>VLOOKUP(T950,'Data Angt'!$A$5:$F$5810,6,FALSE)</f>
        <v>40</v>
      </c>
      <c r="W950" s="5" t="str">
        <f t="shared" si="14"/>
        <v>PRODUKTIF</v>
      </c>
      <c r="X950" s="5" t="str">
        <f>VLOOKUP(T950,'Data Angt'!$A$5:$H$5810,8,FALSE)</f>
        <v>Wiraswasta</v>
      </c>
      <c r="Y950" s="5" t="str">
        <f>VLOOKUP(T950,'Data Angt'!$A$5:$C$5808,3,FALSE)</f>
        <v>KRK</v>
      </c>
    </row>
    <row r="951" spans="1:25" x14ac:dyDescent="0.3">
      <c r="A951" s="8">
        <v>945</v>
      </c>
      <c r="B951" s="9" t="s">
        <v>13138</v>
      </c>
      <c r="C951" s="10" t="str">
        <f>VLOOKUP(B951,'Data Angt'!$A$5:$B$5809,2,FALSE)</f>
        <v>A4601</v>
      </c>
      <c r="D951" s="11" t="s">
        <v>9833</v>
      </c>
      <c r="E951" s="12" t="s">
        <v>16699</v>
      </c>
      <c r="F951" s="13">
        <v>45477</v>
      </c>
      <c r="G951" s="14">
        <v>45908</v>
      </c>
      <c r="H951" s="15">
        <v>15000000</v>
      </c>
      <c r="I951" s="16">
        <v>24</v>
      </c>
      <c r="J951" s="17">
        <v>24</v>
      </c>
      <c r="K951" s="9" t="s">
        <v>9831</v>
      </c>
      <c r="L951" s="10" t="s">
        <v>16700</v>
      </c>
      <c r="M951" s="9" t="s">
        <v>9862</v>
      </c>
      <c r="N951" s="10" t="s">
        <v>9834</v>
      </c>
      <c r="O951" s="15">
        <v>7124000</v>
      </c>
      <c r="P951" s="145">
        <v>1210271</v>
      </c>
      <c r="Q951" s="9" t="s">
        <v>22910</v>
      </c>
      <c r="R951" s="146" t="s">
        <v>23111</v>
      </c>
      <c r="T951" s="92" t="s">
        <v>18943</v>
      </c>
      <c r="U951">
        <v>1</v>
      </c>
      <c r="V951">
        <f>VLOOKUP(T951,'Data Angt'!$A$5:$F$5810,6,FALSE)</f>
        <v>44</v>
      </c>
      <c r="W951" s="5" t="str">
        <f t="shared" si="14"/>
        <v>PENDIDIKAN</v>
      </c>
      <c r="X951" s="5" t="str">
        <f>VLOOKUP(T951,'Data Angt'!$A$5:$H$5810,8,FALSE)</f>
        <v>Lain-Lain</v>
      </c>
      <c r="Y951" s="5" t="str">
        <f>VLOOKUP(T951,'Data Angt'!$A$5:$C$5808,3,FALSE)</f>
        <v>KRK</v>
      </c>
    </row>
    <row r="952" spans="1:25" x14ac:dyDescent="0.3">
      <c r="A952" s="8">
        <v>946</v>
      </c>
      <c r="B952" s="9" t="s">
        <v>13174</v>
      </c>
      <c r="C952" s="10" t="str">
        <f>VLOOKUP(B952,'Data Angt'!$A$5:$B$5809,2,FALSE)</f>
        <v>A4615</v>
      </c>
      <c r="D952" s="11" t="s">
        <v>9829</v>
      </c>
      <c r="E952" s="12" t="s">
        <v>16701</v>
      </c>
      <c r="F952" s="13">
        <v>45618</v>
      </c>
      <c r="G952" s="14">
        <v>45890</v>
      </c>
      <c r="H952" s="15">
        <v>125000000</v>
      </c>
      <c r="I952" s="16">
        <v>48</v>
      </c>
      <c r="J952" s="17">
        <v>21</v>
      </c>
      <c r="K952" s="9" t="s">
        <v>9831</v>
      </c>
      <c r="L952" s="10" t="s">
        <v>16702</v>
      </c>
      <c r="M952" s="9" t="s">
        <v>16703</v>
      </c>
      <c r="N952" s="10" t="s">
        <v>9828</v>
      </c>
      <c r="O952" s="15">
        <v>110679600</v>
      </c>
      <c r="P952" s="145">
        <v>6253685</v>
      </c>
      <c r="Q952" s="9" t="s">
        <v>22910</v>
      </c>
      <c r="R952" s="146" t="s">
        <v>23112</v>
      </c>
      <c r="T952" s="92" t="s">
        <v>18945</v>
      </c>
      <c r="U952">
        <v>1</v>
      </c>
      <c r="V952">
        <f>VLOOKUP(T952,'Data Angt'!$A$5:$F$5810,6,FALSE)</f>
        <v>43</v>
      </c>
      <c r="W952" s="5" t="str">
        <f t="shared" si="14"/>
        <v>KONSUMTIF</v>
      </c>
      <c r="X952" s="5" t="str">
        <f>VLOOKUP(T952,'Data Angt'!$A$5:$H$5810,8,FALSE)</f>
        <v>Wiraswasta</v>
      </c>
      <c r="Y952" s="5" t="str">
        <f>VLOOKUP(T952,'Data Angt'!$A$5:$C$5808,3,FALSE)</f>
        <v>KRK</v>
      </c>
    </row>
    <row r="953" spans="1:25" x14ac:dyDescent="0.3">
      <c r="A953" s="8">
        <v>947</v>
      </c>
      <c r="B953" s="9" t="s">
        <v>13214</v>
      </c>
      <c r="C953" s="10" t="str">
        <f>VLOOKUP(B953,'Data Angt'!$A$5:$B$5809,2,FALSE)</f>
        <v>A4632</v>
      </c>
      <c r="D953" s="11" t="s">
        <v>9829</v>
      </c>
      <c r="E953" s="12" t="s">
        <v>23113</v>
      </c>
      <c r="F953" s="13">
        <v>45853</v>
      </c>
      <c r="G953" s="14">
        <v>45915</v>
      </c>
      <c r="H953" s="15">
        <v>7000000</v>
      </c>
      <c r="I953" s="16">
        <v>24</v>
      </c>
      <c r="J953" s="17">
        <v>24</v>
      </c>
      <c r="K953" s="9" t="s">
        <v>9831</v>
      </c>
      <c r="L953" s="10" t="s">
        <v>23114</v>
      </c>
      <c r="M953" s="9" t="s">
        <v>10352</v>
      </c>
      <c r="N953" s="10" t="s">
        <v>9828</v>
      </c>
      <c r="O953" s="15">
        <v>6535200</v>
      </c>
      <c r="P953" s="145">
        <v>103275</v>
      </c>
      <c r="Q953" s="9" t="s">
        <v>22901</v>
      </c>
      <c r="R953" s="146" t="s">
        <v>23115</v>
      </c>
      <c r="T953" s="92" t="s">
        <v>18960</v>
      </c>
      <c r="U953">
        <v>1</v>
      </c>
      <c r="V953">
        <f>VLOOKUP(T953,'Data Angt'!$A$5:$F$5810,6,FALSE)</f>
        <v>53</v>
      </c>
      <c r="W953" s="5" t="str">
        <f t="shared" si="14"/>
        <v>PRODUKTIF</v>
      </c>
      <c r="X953" s="5" t="str">
        <f>VLOOKUP(T953,'Data Angt'!$A$5:$H$5810,8,FALSE)</f>
        <v>Wiraswasta</v>
      </c>
      <c r="Y953" s="5" t="str">
        <f>VLOOKUP(T953,'Data Angt'!$A$5:$C$5808,3,FALSE)</f>
        <v>KRK</v>
      </c>
    </row>
    <row r="954" spans="1:25" x14ac:dyDescent="0.3">
      <c r="A954" s="8">
        <v>948</v>
      </c>
      <c r="B954" s="9" t="s">
        <v>13531</v>
      </c>
      <c r="C954" s="10" t="str">
        <f>VLOOKUP(B954,'Data Angt'!$A$5:$B$5809,2,FALSE)</f>
        <v>A4832</v>
      </c>
      <c r="D954" s="11" t="s">
        <v>9833</v>
      </c>
      <c r="E954" s="12" t="s">
        <v>16704</v>
      </c>
      <c r="F954" s="13">
        <v>45727</v>
      </c>
      <c r="G954" s="14">
        <v>45908</v>
      </c>
      <c r="H954" s="15">
        <v>2000000</v>
      </c>
      <c r="I954" s="16">
        <v>12</v>
      </c>
      <c r="J954" s="17">
        <v>24</v>
      </c>
      <c r="K954" s="9" t="s">
        <v>9831</v>
      </c>
      <c r="L954" s="10" t="s">
        <v>16705</v>
      </c>
      <c r="M954" s="9" t="s">
        <v>16706</v>
      </c>
      <c r="N954" s="10" t="s">
        <v>9834</v>
      </c>
      <c r="O954" s="15">
        <v>1059100</v>
      </c>
      <c r="P954" s="145">
        <v>72861</v>
      </c>
      <c r="Q954" s="9"/>
      <c r="R954" s="146"/>
      <c r="T954" s="92" t="s">
        <v>18962</v>
      </c>
      <c r="U954">
        <v>1</v>
      </c>
      <c r="V954">
        <f>VLOOKUP(T954,'Data Angt'!$A$5:$F$5810,6,FALSE)</f>
        <v>55</v>
      </c>
      <c r="W954" s="5" t="str">
        <f t="shared" si="14"/>
        <v>KONSUMTIF</v>
      </c>
      <c r="X954" s="5" t="str">
        <f>VLOOKUP(T954,'Data Angt'!$A$5:$H$5810,8,FALSE)</f>
        <v>Wiraswasta</v>
      </c>
      <c r="Y954" s="5" t="str">
        <f>VLOOKUP(T954,'Data Angt'!$A$5:$C$5808,3,FALSE)</f>
        <v>KRK</v>
      </c>
    </row>
    <row r="955" spans="1:25" x14ac:dyDescent="0.3">
      <c r="A955" s="8">
        <v>949</v>
      </c>
      <c r="B955" s="9" t="s">
        <v>13540</v>
      </c>
      <c r="C955" s="10" t="str">
        <f>VLOOKUP(B955,'Data Angt'!$A$5:$B$5809,2,FALSE)</f>
        <v>A4836</v>
      </c>
      <c r="D955" s="11" t="s">
        <v>9829</v>
      </c>
      <c r="E955" s="12" t="s">
        <v>16707</v>
      </c>
      <c r="F955" s="13">
        <v>45656</v>
      </c>
      <c r="G955" s="14">
        <v>45908</v>
      </c>
      <c r="H955" s="15">
        <v>102000000</v>
      </c>
      <c r="I955" s="16">
        <v>51</v>
      </c>
      <c r="J955" s="17">
        <v>0</v>
      </c>
      <c r="K955" s="9" t="s">
        <v>9831</v>
      </c>
      <c r="L955" s="10" t="s">
        <v>16708</v>
      </c>
      <c r="M955" s="9" t="s">
        <v>16709</v>
      </c>
      <c r="N955" s="10" t="s">
        <v>9828</v>
      </c>
      <c r="O955" s="15">
        <v>84000000</v>
      </c>
      <c r="P955" s="147">
        <v>0</v>
      </c>
      <c r="Q955" s="9" t="s">
        <v>22917</v>
      </c>
      <c r="R955" s="146" t="s">
        <v>23116</v>
      </c>
      <c r="T955" s="92" t="s">
        <v>18966</v>
      </c>
      <c r="U955">
        <v>1</v>
      </c>
      <c r="V955">
        <f>VLOOKUP(T955,'Data Angt'!$A$5:$F$5810,6,FALSE)</f>
        <v>36</v>
      </c>
      <c r="W955" s="5" t="str">
        <f t="shared" si="14"/>
        <v>KONSUMTIF</v>
      </c>
      <c r="X955" s="5" t="str">
        <f>VLOOKUP(T955,'Data Angt'!$A$5:$H$5810,8,FALSE)</f>
        <v>Lain-Lain</v>
      </c>
      <c r="Y955" s="5" t="str">
        <f>VLOOKUP(T955,'Data Angt'!$A$5:$C$5808,3,FALSE)</f>
        <v>KRK</v>
      </c>
    </row>
    <row r="956" spans="1:25" x14ac:dyDescent="0.3">
      <c r="A956" s="8">
        <v>950</v>
      </c>
      <c r="B956" s="9" t="s">
        <v>13550</v>
      </c>
      <c r="C956" s="10" t="str">
        <f>VLOOKUP(B956,'Data Angt'!$A$5:$B$5809,2,FALSE)</f>
        <v>A4840</v>
      </c>
      <c r="D956" s="11" t="s">
        <v>9833</v>
      </c>
      <c r="E956" s="12" t="s">
        <v>16710</v>
      </c>
      <c r="F956" s="13">
        <v>45730</v>
      </c>
      <c r="G956" s="14">
        <v>45917</v>
      </c>
      <c r="H956" s="15">
        <v>5000000</v>
      </c>
      <c r="I956" s="16">
        <v>18</v>
      </c>
      <c r="J956" s="17">
        <v>24</v>
      </c>
      <c r="K956" s="9" t="s">
        <v>9831</v>
      </c>
      <c r="L956" s="10" t="s">
        <v>16711</v>
      </c>
      <c r="M956" s="9" t="s">
        <v>16712</v>
      </c>
      <c r="N956" s="10" t="s">
        <v>9834</v>
      </c>
      <c r="O956" s="15">
        <v>3526700</v>
      </c>
      <c r="P956" s="145">
        <v>198112</v>
      </c>
      <c r="Q956" s="9" t="s">
        <v>22901</v>
      </c>
      <c r="R956" s="146" t="s">
        <v>23117</v>
      </c>
      <c r="T956" s="92" t="s">
        <v>18990</v>
      </c>
      <c r="U956">
        <v>1</v>
      </c>
      <c r="V956">
        <f>VLOOKUP(T956,'Data Angt'!$A$5:$F$5810,6,FALSE)</f>
        <v>46</v>
      </c>
      <c r="W956" s="5" t="str">
        <f t="shared" si="14"/>
        <v>PRODUKTIF</v>
      </c>
      <c r="X956" s="5" t="str">
        <f>VLOOKUP(T956,'Data Angt'!$A$5:$H$5810,8,FALSE)</f>
        <v>karyawan</v>
      </c>
      <c r="Y956" s="5" t="str">
        <f>VLOOKUP(T956,'Data Angt'!$A$5:$C$5808,3,FALSE)</f>
        <v>KRK</v>
      </c>
    </row>
    <row r="957" spans="1:25" x14ac:dyDescent="0.3">
      <c r="A957" s="8">
        <v>951</v>
      </c>
      <c r="B957" s="9" t="s">
        <v>13587</v>
      </c>
      <c r="C957" s="10" t="str">
        <f>VLOOKUP(B957,'Data Angt'!$A$5:$B$5809,2,FALSE)</f>
        <v>A4857</v>
      </c>
      <c r="D957" s="11" t="s">
        <v>9829</v>
      </c>
      <c r="E957" s="12" t="s">
        <v>23118</v>
      </c>
      <c r="F957" s="13">
        <v>45862</v>
      </c>
      <c r="G957" s="14">
        <v>45902</v>
      </c>
      <c r="H957" s="15">
        <v>1000000</v>
      </c>
      <c r="I957" s="16">
        <v>12</v>
      </c>
      <c r="J957" s="17">
        <v>24</v>
      </c>
      <c r="K957" s="9" t="s">
        <v>9831</v>
      </c>
      <c r="L957" s="10" t="s">
        <v>23119</v>
      </c>
      <c r="M957" s="9" t="s">
        <v>10352</v>
      </c>
      <c r="N957" s="10" t="s">
        <v>9828</v>
      </c>
      <c r="O957" s="15">
        <v>849400</v>
      </c>
      <c r="P957" s="145">
        <v>14475</v>
      </c>
      <c r="Q957" s="9"/>
      <c r="R957" s="146"/>
      <c r="T957" s="92" t="s">
        <v>18996</v>
      </c>
      <c r="U957">
        <v>2</v>
      </c>
      <c r="V957">
        <f>VLOOKUP(T957,'Data Angt'!$A$5:$F$5810,6,FALSE)</f>
        <v>53</v>
      </c>
      <c r="W957" s="5" t="str">
        <f t="shared" si="14"/>
        <v>PRODUKTIF</v>
      </c>
      <c r="X957" s="5" t="str">
        <f>VLOOKUP(T957,'Data Angt'!$A$5:$H$5810,8,FALSE)</f>
        <v>Wiraswasta</v>
      </c>
      <c r="Y957" s="5" t="str">
        <f>VLOOKUP(T957,'Data Angt'!$A$5:$C$5808,3,FALSE)</f>
        <v>KRK</v>
      </c>
    </row>
    <row r="958" spans="1:25" x14ac:dyDescent="0.3">
      <c r="A958" s="8">
        <v>952</v>
      </c>
      <c r="B958" s="9" t="s">
        <v>13616</v>
      </c>
      <c r="C958" s="10" t="str">
        <f>VLOOKUP(B958,'Data Angt'!$A$5:$B$5809,2,FALSE)</f>
        <v>A4870</v>
      </c>
      <c r="D958" s="11" t="s">
        <v>9833</v>
      </c>
      <c r="E958" s="12" t="s">
        <v>16713</v>
      </c>
      <c r="F958" s="13">
        <v>45516</v>
      </c>
      <c r="G958" s="14">
        <v>45926</v>
      </c>
      <c r="H958" s="15">
        <v>15000000</v>
      </c>
      <c r="I958" s="16">
        <v>24</v>
      </c>
      <c r="J958" s="17">
        <v>24</v>
      </c>
      <c r="K958" s="9" t="s">
        <v>9831</v>
      </c>
      <c r="L958" s="10" t="s">
        <v>16714</v>
      </c>
      <c r="M958" s="9" t="s">
        <v>9862</v>
      </c>
      <c r="N958" s="10" t="s">
        <v>9834</v>
      </c>
      <c r="O958" s="15">
        <v>7785900</v>
      </c>
      <c r="P958" s="145">
        <v>1161071</v>
      </c>
      <c r="Q958" s="9" t="s">
        <v>22910</v>
      </c>
      <c r="R958" s="146" t="s">
        <v>23120</v>
      </c>
      <c r="T958" s="92" t="s">
        <v>18998</v>
      </c>
      <c r="U958">
        <v>2</v>
      </c>
      <c r="V958">
        <f>VLOOKUP(T958,'Data Angt'!$A$5:$F$5810,6,FALSE)</f>
        <v>42</v>
      </c>
      <c r="W958" s="5" t="str">
        <f t="shared" si="14"/>
        <v>PRODUKTIF</v>
      </c>
      <c r="X958" s="5" t="str">
        <f>VLOOKUP(T958,'Data Angt'!$A$5:$H$5810,8,FALSE)</f>
        <v>Karyawan</v>
      </c>
      <c r="Y958" s="5" t="str">
        <f>VLOOKUP(T958,'Data Angt'!$A$5:$C$5808,3,FALSE)</f>
        <v>KRK</v>
      </c>
    </row>
    <row r="959" spans="1:25" x14ac:dyDescent="0.3">
      <c r="A959" s="8">
        <v>953</v>
      </c>
      <c r="B959" s="9" t="s">
        <v>13635</v>
      </c>
      <c r="C959" s="10" t="str">
        <f>VLOOKUP(B959,'Data Angt'!$A$5:$B$5809,2,FALSE)</f>
        <v>A4878</v>
      </c>
      <c r="D959" s="11" t="s">
        <v>9833</v>
      </c>
      <c r="E959" s="12" t="s">
        <v>16715</v>
      </c>
      <c r="F959" s="13">
        <v>45769</v>
      </c>
      <c r="G959" s="14">
        <v>45924</v>
      </c>
      <c r="H959" s="15">
        <v>2000000</v>
      </c>
      <c r="I959" s="16">
        <v>10</v>
      </c>
      <c r="J959" s="17">
        <v>24</v>
      </c>
      <c r="K959" s="9" t="s">
        <v>9831</v>
      </c>
      <c r="L959" s="10" t="s">
        <v>16716</v>
      </c>
      <c r="M959" s="9" t="s">
        <v>9862</v>
      </c>
      <c r="N959" s="10" t="s">
        <v>9834</v>
      </c>
      <c r="O959" s="15">
        <v>1049500</v>
      </c>
      <c r="P959" s="145">
        <v>61124</v>
      </c>
      <c r="Q959" s="9"/>
      <c r="R959" s="146"/>
      <c r="T959" s="92" t="s">
        <v>19019</v>
      </c>
      <c r="U959">
        <v>1</v>
      </c>
      <c r="V959">
        <f>VLOOKUP(T959,'Data Angt'!$A$5:$F$5810,6,FALSE)</f>
        <v>73</v>
      </c>
      <c r="W959" s="5" t="str">
        <f t="shared" si="14"/>
        <v>PRODUKTIF</v>
      </c>
      <c r="X959" s="5" t="str">
        <f>VLOOKUP(T959,'Data Angt'!$A$5:$H$5810,8,FALSE)</f>
        <v>Wiraswasta</v>
      </c>
      <c r="Y959" s="5" t="str">
        <f>VLOOKUP(T959,'Data Angt'!$A$5:$C$5808,3,FALSE)</f>
        <v>KRK</v>
      </c>
    </row>
    <row r="960" spans="1:25" x14ac:dyDescent="0.3">
      <c r="A960" s="8">
        <v>954</v>
      </c>
      <c r="B960" s="9" t="s">
        <v>13649</v>
      </c>
      <c r="C960" s="10" t="str">
        <f>VLOOKUP(B960,'Data Angt'!$A$5:$B$5809,2,FALSE)</f>
        <v>A4884</v>
      </c>
      <c r="D960" s="11" t="s">
        <v>9829</v>
      </c>
      <c r="E960" s="12" t="s">
        <v>23121</v>
      </c>
      <c r="F960" s="13">
        <v>45929</v>
      </c>
      <c r="G960" s="14">
        <v>45929</v>
      </c>
      <c r="H960" s="15">
        <v>3000000</v>
      </c>
      <c r="I960" s="16">
        <v>10</v>
      </c>
      <c r="J960" s="17">
        <v>24</v>
      </c>
      <c r="K960" s="9" t="s">
        <v>9831</v>
      </c>
      <c r="L960" s="10" t="s">
        <v>23122</v>
      </c>
      <c r="M960" s="9" t="s">
        <v>10352</v>
      </c>
      <c r="N960" s="10" t="s">
        <v>9828</v>
      </c>
      <c r="O960" s="15">
        <v>3000000</v>
      </c>
      <c r="P960" s="147">
        <v>0</v>
      </c>
      <c r="Q960" s="9" t="s">
        <v>22901</v>
      </c>
      <c r="R960" s="146" t="s">
        <v>23123</v>
      </c>
      <c r="T960" s="92" t="s">
        <v>19036</v>
      </c>
      <c r="U960">
        <v>1</v>
      </c>
      <c r="V960">
        <f>VLOOKUP(T960,'Data Angt'!$A$5:$F$5810,6,FALSE)</f>
        <v>31</v>
      </c>
      <c r="W960" s="5" t="str">
        <f t="shared" si="14"/>
        <v>PRODUKTIF</v>
      </c>
      <c r="X960" s="5" t="str">
        <f>VLOOKUP(T960,'Data Angt'!$A$5:$H$5810,8,FALSE)</f>
        <v>Wiraswasta</v>
      </c>
      <c r="Y960" s="5" t="str">
        <f>VLOOKUP(T960,'Data Angt'!$A$5:$C$5808,3,FALSE)</f>
        <v>KRK</v>
      </c>
    </row>
    <row r="961" spans="1:25" x14ac:dyDescent="0.3">
      <c r="A961" s="8">
        <v>955</v>
      </c>
      <c r="B961" s="9" t="s">
        <v>13668</v>
      </c>
      <c r="C961" s="10" t="str">
        <f>VLOOKUP(B961,'Data Angt'!$A$5:$B$5809,2,FALSE)</f>
        <v>A4891</v>
      </c>
      <c r="D961" s="11" t="s">
        <v>9833</v>
      </c>
      <c r="E961" s="12" t="s">
        <v>16717</v>
      </c>
      <c r="F961" s="13">
        <v>45764</v>
      </c>
      <c r="G961" s="14">
        <v>45929</v>
      </c>
      <c r="H961" s="15">
        <v>5000000</v>
      </c>
      <c r="I961" s="16">
        <v>10</v>
      </c>
      <c r="J961" s="17">
        <v>24</v>
      </c>
      <c r="K961" s="9" t="s">
        <v>9831</v>
      </c>
      <c r="L961" s="10" t="s">
        <v>16718</v>
      </c>
      <c r="M961" s="9" t="s">
        <v>16719</v>
      </c>
      <c r="N961" s="10" t="s">
        <v>9834</v>
      </c>
      <c r="O961" s="15">
        <v>2623500</v>
      </c>
      <c r="P961" s="145">
        <v>152624</v>
      </c>
      <c r="Q961" s="9"/>
      <c r="R961" s="146"/>
      <c r="T961" s="92" t="s">
        <v>19043</v>
      </c>
      <c r="U961">
        <v>1</v>
      </c>
      <c r="V961">
        <f>VLOOKUP(T961,'Data Angt'!$A$5:$F$5810,6,FALSE)</f>
        <v>38</v>
      </c>
      <c r="W961" s="5" t="str">
        <f t="shared" si="14"/>
        <v>KONSUMTIF</v>
      </c>
      <c r="X961" s="5" t="str">
        <f>VLOOKUP(T961,'Data Angt'!$A$5:$H$5810,8,FALSE)</f>
        <v>Wiraswasta</v>
      </c>
      <c r="Y961" s="5" t="str">
        <f>VLOOKUP(T961,'Data Angt'!$A$5:$C$5808,3,FALSE)</f>
        <v>KRK</v>
      </c>
    </row>
    <row r="962" spans="1:25" x14ac:dyDescent="0.3">
      <c r="A962" s="8">
        <v>956</v>
      </c>
      <c r="B962" s="9" t="s">
        <v>13673</v>
      </c>
      <c r="C962" s="10" t="str">
        <f>VLOOKUP(B962,'Data Angt'!$A$5:$B$5809,2,FALSE)</f>
        <v>A4893</v>
      </c>
      <c r="D962" s="11" t="s">
        <v>9833</v>
      </c>
      <c r="E962" s="12" t="s">
        <v>16720</v>
      </c>
      <c r="F962" s="13">
        <v>45692</v>
      </c>
      <c r="G962" s="14">
        <v>45908</v>
      </c>
      <c r="H962" s="15">
        <v>2000000</v>
      </c>
      <c r="I962" s="16">
        <v>10</v>
      </c>
      <c r="J962" s="17">
        <v>24</v>
      </c>
      <c r="K962" s="9" t="s">
        <v>9831</v>
      </c>
      <c r="L962" s="10" t="s">
        <v>16721</v>
      </c>
      <c r="M962" s="9"/>
      <c r="N962" s="10"/>
      <c r="O962" s="15">
        <v>642100</v>
      </c>
      <c r="P962" s="145">
        <v>75374</v>
      </c>
      <c r="Q962" s="9"/>
      <c r="R962" s="146"/>
      <c r="T962" s="92" t="s">
        <v>19046</v>
      </c>
      <c r="U962">
        <v>1</v>
      </c>
      <c r="V962">
        <f>VLOOKUP(T962,'Data Angt'!$A$5:$F$5810,6,FALSE)</f>
        <v>30</v>
      </c>
      <c r="W962" s="5" t="str">
        <f t="shared" si="14"/>
        <v>PRODUKTIF</v>
      </c>
      <c r="X962" s="5" t="str">
        <f>VLOOKUP(T962,'Data Angt'!$A$5:$H$5810,8,FALSE)</f>
        <v>Wiraswasta</v>
      </c>
      <c r="Y962" s="5" t="str">
        <f>VLOOKUP(T962,'Data Angt'!$A$5:$C$5808,3,FALSE)</f>
        <v>KRK</v>
      </c>
    </row>
    <row r="963" spans="1:25" x14ac:dyDescent="0.3">
      <c r="A963" s="8">
        <v>957</v>
      </c>
      <c r="B963" s="9" t="s">
        <v>13757</v>
      </c>
      <c r="C963" s="10" t="str">
        <f>VLOOKUP(B963,'Data Angt'!$A$5:$B$5809,2,FALSE)</f>
        <v>A4931</v>
      </c>
      <c r="D963" s="11" t="s">
        <v>9833</v>
      </c>
      <c r="E963" s="12" t="s">
        <v>16722</v>
      </c>
      <c r="F963" s="13">
        <v>45712</v>
      </c>
      <c r="G963" s="14">
        <v>45896</v>
      </c>
      <c r="H963" s="15">
        <v>5000000</v>
      </c>
      <c r="I963" s="16">
        <v>12</v>
      </c>
      <c r="J963" s="17">
        <v>24</v>
      </c>
      <c r="K963" s="9" t="s">
        <v>9831</v>
      </c>
      <c r="L963" s="10" t="s">
        <v>16723</v>
      </c>
      <c r="M963" s="9" t="s">
        <v>9862</v>
      </c>
      <c r="N963" s="10" t="s">
        <v>9834</v>
      </c>
      <c r="O963" s="15">
        <v>2648600</v>
      </c>
      <c r="P963" s="145">
        <v>182024</v>
      </c>
      <c r="Q963" s="9" t="s">
        <v>22901</v>
      </c>
      <c r="R963" s="146" t="s">
        <v>23124</v>
      </c>
      <c r="T963" s="92" t="s">
        <v>19052</v>
      </c>
      <c r="U963">
        <v>1</v>
      </c>
      <c r="V963">
        <f>VLOOKUP(T963,'Data Angt'!$A$5:$F$5810,6,FALSE)</f>
        <v>33</v>
      </c>
      <c r="W963" s="5" t="str">
        <f t="shared" si="14"/>
        <v>PRODUKTIF</v>
      </c>
      <c r="X963" s="5" t="str">
        <f>VLOOKUP(T963,'Data Angt'!$A$5:$H$5810,8,FALSE)</f>
        <v>Mengurus Rumah Tangga</v>
      </c>
      <c r="Y963" s="5" t="str">
        <f>VLOOKUP(T963,'Data Angt'!$A$5:$C$5808,3,FALSE)</f>
        <v>KRK</v>
      </c>
    </row>
    <row r="964" spans="1:25" x14ac:dyDescent="0.3">
      <c r="A964" s="8">
        <v>958</v>
      </c>
      <c r="B964" s="9" t="s">
        <v>13851</v>
      </c>
      <c r="C964" s="10" t="str">
        <f>VLOOKUP(B964,'Data Angt'!$A$5:$B$5809,2,FALSE)</f>
        <v>A4976</v>
      </c>
      <c r="D964" s="11" t="s">
        <v>9895</v>
      </c>
      <c r="E964" s="12" t="s">
        <v>23125</v>
      </c>
      <c r="F964" s="13">
        <v>45912</v>
      </c>
      <c r="G964" s="14">
        <v>45912</v>
      </c>
      <c r="H964" s="15">
        <v>22000000</v>
      </c>
      <c r="I964" s="16">
        <v>24</v>
      </c>
      <c r="J964" s="17">
        <v>24</v>
      </c>
      <c r="K964" s="9" t="s">
        <v>9831</v>
      </c>
      <c r="L964" s="10" t="s">
        <v>23126</v>
      </c>
      <c r="M964" s="9" t="s">
        <v>9896</v>
      </c>
      <c r="N964" s="10" t="s">
        <v>9830</v>
      </c>
      <c r="O964" s="15">
        <v>22000000</v>
      </c>
      <c r="P964" s="147">
        <v>0</v>
      </c>
      <c r="Q964" s="9" t="s">
        <v>22901</v>
      </c>
      <c r="R964" s="146" t="s">
        <v>23127</v>
      </c>
      <c r="T964" s="92" t="s">
        <v>19073</v>
      </c>
      <c r="U964">
        <v>1</v>
      </c>
      <c r="V964">
        <f>VLOOKUP(T964,'Data Angt'!$A$5:$F$5810,6,FALSE)</f>
        <v>42</v>
      </c>
      <c r="W964" s="5" t="str">
        <f t="shared" si="14"/>
        <v>PENDIDIKAN</v>
      </c>
      <c r="X964" s="5" t="str">
        <f>VLOOKUP(T964,'Data Angt'!$A$5:$H$5810,8,FALSE)</f>
        <v>Tenaga Medis</v>
      </c>
      <c r="Y964" s="5" t="str">
        <f>VLOOKUP(T964,'Data Angt'!$A$5:$C$5808,3,FALSE)</f>
        <v>KRK</v>
      </c>
    </row>
    <row r="965" spans="1:25" x14ac:dyDescent="0.3">
      <c r="A965" s="8">
        <v>959</v>
      </c>
      <c r="B965" s="9" t="s">
        <v>13864</v>
      </c>
      <c r="C965" s="10" t="str">
        <f>VLOOKUP(B965,'Data Angt'!$A$5:$B$5809,2,FALSE)</f>
        <v>A4983</v>
      </c>
      <c r="D965" s="11" t="s">
        <v>9833</v>
      </c>
      <c r="E965" s="12" t="s">
        <v>23128</v>
      </c>
      <c r="F965" s="13">
        <v>45875</v>
      </c>
      <c r="G965" s="14">
        <v>45908</v>
      </c>
      <c r="H965" s="15">
        <v>20000000</v>
      </c>
      <c r="I965" s="16">
        <v>24</v>
      </c>
      <c r="J965" s="17">
        <v>24</v>
      </c>
      <c r="K965" s="9" t="s">
        <v>9831</v>
      </c>
      <c r="L965" s="10" t="s">
        <v>23129</v>
      </c>
      <c r="M965" s="9" t="s">
        <v>9862</v>
      </c>
      <c r="N965" s="10" t="s">
        <v>9834</v>
      </c>
      <c r="O965" s="15">
        <v>19342500</v>
      </c>
      <c r="P965" s="145">
        <v>150000</v>
      </c>
      <c r="Q965" s="9" t="s">
        <v>22901</v>
      </c>
      <c r="R965" s="146" t="s">
        <v>23130</v>
      </c>
      <c r="T965" s="92" t="s">
        <v>19126</v>
      </c>
      <c r="U965">
        <v>1</v>
      </c>
      <c r="V965">
        <f>VLOOKUP(T965,'Data Angt'!$A$5:$F$5810,6,FALSE)</f>
        <v>61</v>
      </c>
      <c r="W965" s="5" t="str">
        <f t="shared" si="14"/>
        <v>PRODUKTIF</v>
      </c>
      <c r="X965" s="5" t="str">
        <f>VLOOKUP(T965,'Data Angt'!$A$5:$H$5810,8,FALSE)</f>
        <v>Petani/Pekebun/Nelayan</v>
      </c>
      <c r="Y965" s="5" t="str">
        <f>VLOOKUP(T965,'Data Angt'!$A$5:$C$5808,3,FALSE)</f>
        <v>KRK</v>
      </c>
    </row>
    <row r="966" spans="1:25" x14ac:dyDescent="0.3">
      <c r="A966" s="8">
        <v>960</v>
      </c>
      <c r="B966" s="9" t="s">
        <v>13995</v>
      </c>
      <c r="C966" s="10" t="str">
        <f>VLOOKUP(B966,'Data Angt'!$A$5:$B$5809,2,FALSE)</f>
        <v>A5039</v>
      </c>
      <c r="D966" s="11" t="s">
        <v>9833</v>
      </c>
      <c r="E966" s="12" t="s">
        <v>16724</v>
      </c>
      <c r="F966" s="13">
        <v>45644</v>
      </c>
      <c r="G966" s="14">
        <v>45902</v>
      </c>
      <c r="H966" s="15">
        <v>1000000</v>
      </c>
      <c r="I966" s="16">
        <v>10</v>
      </c>
      <c r="J966" s="17">
        <v>24</v>
      </c>
      <c r="K966" s="9" t="s">
        <v>9831</v>
      </c>
      <c r="L966" s="10" t="s">
        <v>16725</v>
      </c>
      <c r="M966" s="9" t="s">
        <v>16726</v>
      </c>
      <c r="N966" s="10" t="s">
        <v>9834</v>
      </c>
      <c r="O966" s="15">
        <v>108900</v>
      </c>
      <c r="P966" s="145">
        <v>41810</v>
      </c>
      <c r="Q966" s="9"/>
      <c r="R966" s="146"/>
      <c r="T966" s="92" t="s">
        <v>19129</v>
      </c>
      <c r="U966">
        <v>1</v>
      </c>
      <c r="V966">
        <f>VLOOKUP(T966,'Data Angt'!$A$5:$F$5810,6,FALSE)</f>
        <v>37</v>
      </c>
      <c r="W966" s="5" t="str">
        <f t="shared" si="14"/>
        <v>PRODUKTIF</v>
      </c>
      <c r="X966" s="5" t="str">
        <f>VLOOKUP(T966,'Data Angt'!$A$5:$H$5810,8,FALSE)</f>
        <v>Petani/Pekebun/Nelayan</v>
      </c>
      <c r="Y966" s="5" t="str">
        <f>VLOOKUP(T966,'Data Angt'!$A$5:$C$5808,3,FALSE)</f>
        <v>KRK</v>
      </c>
    </row>
    <row r="967" spans="1:25" x14ac:dyDescent="0.3">
      <c r="A967" s="8">
        <v>961</v>
      </c>
      <c r="B967" s="9" t="s">
        <v>14032</v>
      </c>
      <c r="C967" s="10" t="str">
        <f>VLOOKUP(B967,'Data Angt'!$A$5:$B$5809,2,FALSE)</f>
        <v>A5057</v>
      </c>
      <c r="D967" s="11" t="s">
        <v>9833</v>
      </c>
      <c r="E967" s="12" t="s">
        <v>16727</v>
      </c>
      <c r="F967" s="13">
        <v>45608</v>
      </c>
      <c r="G967" s="14">
        <v>45912</v>
      </c>
      <c r="H967" s="15">
        <v>15000000</v>
      </c>
      <c r="I967" s="16">
        <v>36</v>
      </c>
      <c r="J967" s="17">
        <v>24</v>
      </c>
      <c r="K967" s="9" t="s">
        <v>9831</v>
      </c>
      <c r="L967" s="10" t="s">
        <v>16728</v>
      </c>
      <c r="M967" s="9" t="s">
        <v>16729</v>
      </c>
      <c r="N967" s="10" t="s">
        <v>9834</v>
      </c>
      <c r="O967" s="15">
        <v>11841600</v>
      </c>
      <c r="P967" s="145">
        <v>1022473</v>
      </c>
      <c r="Q967" s="9" t="s">
        <v>22910</v>
      </c>
      <c r="R967" s="146" t="s">
        <v>23131</v>
      </c>
      <c r="T967" s="92" t="s">
        <v>19134</v>
      </c>
      <c r="U967">
        <v>1</v>
      </c>
      <c r="V967">
        <f>VLOOKUP(T967,'Data Angt'!$A$5:$F$5810,6,FALSE)</f>
        <v>49</v>
      </c>
      <c r="W967" s="5" t="str">
        <f t="shared" ref="W967:W1030" si="15">VLOOKUP(T967,$B$7:$N$1869,13,FALSE)</f>
        <v>PRODUKTIF</v>
      </c>
      <c r="X967" s="5" t="str">
        <f>VLOOKUP(T967,'Data Angt'!$A$5:$H$5810,8,FALSE)</f>
        <v>Karyawan</v>
      </c>
      <c r="Y967" s="5" t="str">
        <f>VLOOKUP(T967,'Data Angt'!$A$5:$C$5808,3,FALSE)</f>
        <v>KRK</v>
      </c>
    </row>
    <row r="968" spans="1:25" x14ac:dyDescent="0.3">
      <c r="A968" s="8">
        <v>962</v>
      </c>
      <c r="B968" s="9" t="s">
        <v>14064</v>
      </c>
      <c r="C968" s="10" t="str">
        <f>VLOOKUP(B968,'Data Angt'!$A$5:$B$5809,2,FALSE)</f>
        <v>A5069</v>
      </c>
      <c r="D968" s="11" t="s">
        <v>9829</v>
      </c>
      <c r="E968" s="12" t="s">
        <v>16730</v>
      </c>
      <c r="F968" s="13">
        <v>45822</v>
      </c>
      <c r="G968" s="14">
        <v>45889</v>
      </c>
      <c r="H968" s="15">
        <v>5000000</v>
      </c>
      <c r="I968" s="16">
        <v>12</v>
      </c>
      <c r="J968" s="17">
        <v>24</v>
      </c>
      <c r="K968" s="9" t="s">
        <v>9831</v>
      </c>
      <c r="L968" s="10" t="s">
        <v>16731</v>
      </c>
      <c r="M968" s="9" t="s">
        <v>16732</v>
      </c>
      <c r="N968" s="10" t="s">
        <v>17</v>
      </c>
      <c r="O968" s="15">
        <v>4247000</v>
      </c>
      <c r="P968" s="145">
        <v>72225</v>
      </c>
      <c r="Q968" s="9" t="s">
        <v>23132</v>
      </c>
      <c r="R968" s="146" t="s">
        <v>23133</v>
      </c>
      <c r="T968" s="92" t="s">
        <v>19151</v>
      </c>
      <c r="U968">
        <v>1</v>
      </c>
      <c r="V968">
        <f>VLOOKUP(T968,'Data Angt'!$A$5:$F$5810,6,FALSE)</f>
        <v>43</v>
      </c>
      <c r="W968" s="5" t="str">
        <f t="shared" si="15"/>
        <v>PRODUKTIF</v>
      </c>
      <c r="X968" s="5" t="str">
        <f>VLOOKUP(T968,'Data Angt'!$A$5:$H$5810,8,FALSE)</f>
        <v>Wiraswasta</v>
      </c>
      <c r="Y968" s="5" t="str">
        <f>VLOOKUP(T968,'Data Angt'!$A$5:$C$5808,3,FALSE)</f>
        <v>KRK</v>
      </c>
    </row>
    <row r="969" spans="1:25" x14ac:dyDescent="0.3">
      <c r="A969" s="8">
        <v>963</v>
      </c>
      <c r="B969" s="9" t="s">
        <v>14069</v>
      </c>
      <c r="C969" s="10" t="str">
        <f>VLOOKUP(B969,'Data Angt'!$A$5:$B$5809,2,FALSE)</f>
        <v>A5071</v>
      </c>
      <c r="D969" s="11" t="s">
        <v>9833</v>
      </c>
      <c r="E969" s="12" t="s">
        <v>16733</v>
      </c>
      <c r="F969" s="13">
        <v>45612</v>
      </c>
      <c r="G969" s="14">
        <v>45915</v>
      </c>
      <c r="H969" s="15">
        <v>5500000</v>
      </c>
      <c r="I969" s="16">
        <v>12</v>
      </c>
      <c r="J969" s="17">
        <v>24</v>
      </c>
      <c r="K969" s="9" t="s">
        <v>9831</v>
      </c>
      <c r="L969" s="10" t="s">
        <v>16734</v>
      </c>
      <c r="M969" s="9" t="s">
        <v>16735</v>
      </c>
      <c r="N969" s="10" t="s">
        <v>9834</v>
      </c>
      <c r="O969" s="15">
        <v>1009900</v>
      </c>
      <c r="P969" s="145">
        <v>266585</v>
      </c>
      <c r="Q969" s="9" t="s">
        <v>22901</v>
      </c>
      <c r="R969" s="146" t="s">
        <v>23134</v>
      </c>
      <c r="T969" s="92" t="s">
        <v>19195</v>
      </c>
      <c r="U969">
        <v>1</v>
      </c>
      <c r="V969">
        <f>VLOOKUP(T969,'Data Angt'!$A$5:$F$5810,6,FALSE)</f>
        <v>37</v>
      </c>
      <c r="W969" s="5" t="str">
        <f t="shared" si="15"/>
        <v>PRODUKTIF</v>
      </c>
      <c r="X969" s="5" t="str">
        <f>VLOOKUP(T969,'Data Angt'!$A$5:$H$5810,8,FALSE)</f>
        <v>Karyawan</v>
      </c>
      <c r="Y969" s="5" t="str">
        <f>VLOOKUP(T969,'Data Angt'!$A$5:$C$5808,3,FALSE)</f>
        <v>KRK</v>
      </c>
    </row>
    <row r="970" spans="1:25" x14ac:dyDescent="0.3">
      <c r="A970" s="8">
        <v>964</v>
      </c>
      <c r="B970" s="9" t="s">
        <v>14076</v>
      </c>
      <c r="C970" s="10" t="str">
        <f>VLOOKUP(B970,'Data Angt'!$A$5:$B$5809,2,FALSE)</f>
        <v>A5074</v>
      </c>
      <c r="D970" s="11" t="s">
        <v>9895</v>
      </c>
      <c r="E970" s="12" t="s">
        <v>16736</v>
      </c>
      <c r="F970" s="13">
        <v>45614</v>
      </c>
      <c r="G970" s="14">
        <v>45911</v>
      </c>
      <c r="H970" s="15">
        <v>26100000</v>
      </c>
      <c r="I970" s="16">
        <v>36</v>
      </c>
      <c r="J970" s="17">
        <v>21</v>
      </c>
      <c r="K970" s="9" t="s">
        <v>9831</v>
      </c>
      <c r="L970" s="10" t="s">
        <v>16737</v>
      </c>
      <c r="M970" s="9" t="s">
        <v>9896</v>
      </c>
      <c r="N970" s="10" t="s">
        <v>9830</v>
      </c>
      <c r="O970" s="15">
        <v>20399400</v>
      </c>
      <c r="P970" s="145">
        <v>1550024</v>
      </c>
      <c r="Q970" s="9" t="s">
        <v>22901</v>
      </c>
      <c r="R970" s="146" t="s">
        <v>23135</v>
      </c>
      <c r="T970" s="92" t="s">
        <v>19207</v>
      </c>
      <c r="U970">
        <v>1</v>
      </c>
      <c r="V970">
        <f>VLOOKUP(T970,'Data Angt'!$A$5:$F$5810,6,FALSE)</f>
        <v>48</v>
      </c>
      <c r="W970" s="5" t="str">
        <f t="shared" si="15"/>
        <v>PRODUKTIF</v>
      </c>
      <c r="X970" s="5" t="str">
        <f>VLOOKUP(T970,'Data Angt'!$A$5:$H$5810,8,FALSE)</f>
        <v>Karyawan</v>
      </c>
      <c r="Y970" s="5" t="str">
        <f>VLOOKUP(T970,'Data Angt'!$A$5:$C$5808,3,FALSE)</f>
        <v>KRK</v>
      </c>
    </row>
    <row r="971" spans="1:25" x14ac:dyDescent="0.3">
      <c r="A971" s="8">
        <v>965</v>
      </c>
      <c r="B971" s="9" t="s">
        <v>14104</v>
      </c>
      <c r="C971" s="10" t="str">
        <f>VLOOKUP(B971,'Data Angt'!$A$5:$B$5809,2,FALSE)</f>
        <v>A5086</v>
      </c>
      <c r="D971" s="11" t="s">
        <v>9833</v>
      </c>
      <c r="E971" s="12" t="s">
        <v>16738</v>
      </c>
      <c r="F971" s="13">
        <v>45617</v>
      </c>
      <c r="G971" s="14">
        <v>45898</v>
      </c>
      <c r="H971" s="15">
        <v>2000000</v>
      </c>
      <c r="I971" s="16">
        <v>10</v>
      </c>
      <c r="J971" s="17">
        <v>24</v>
      </c>
      <c r="K971" s="9" t="s">
        <v>9831</v>
      </c>
      <c r="L971" s="10" t="s">
        <v>16739</v>
      </c>
      <c r="M971" s="9" t="s">
        <v>16740</v>
      </c>
      <c r="N971" s="10" t="s">
        <v>9834</v>
      </c>
      <c r="O971" s="15">
        <v>432300</v>
      </c>
      <c r="P971" s="145">
        <v>85049</v>
      </c>
      <c r="Q971" s="9"/>
      <c r="R971" s="146"/>
      <c r="T971" s="92" t="s">
        <v>19209</v>
      </c>
      <c r="U971">
        <v>1</v>
      </c>
      <c r="V971">
        <f>VLOOKUP(T971,'Data Angt'!$A$5:$F$5810,6,FALSE)</f>
        <v>41</v>
      </c>
      <c r="W971" s="5" t="str">
        <f t="shared" si="15"/>
        <v>PRODUKTIF</v>
      </c>
      <c r="X971" s="5" t="str">
        <f>VLOOKUP(T971,'Data Angt'!$A$5:$H$5810,8,FALSE)</f>
        <v>Karyawan</v>
      </c>
      <c r="Y971" s="5" t="str">
        <f>VLOOKUP(T971,'Data Angt'!$A$5:$C$5808,3,FALSE)</f>
        <v>KRK</v>
      </c>
    </row>
    <row r="972" spans="1:25" x14ac:dyDescent="0.3">
      <c r="A972" s="8">
        <v>966</v>
      </c>
      <c r="B972" s="9" t="s">
        <v>14120</v>
      </c>
      <c r="C972" s="10" t="str">
        <f>VLOOKUP(B972,'Data Angt'!$A$5:$B$5809,2,FALSE)</f>
        <v>A5095</v>
      </c>
      <c r="D972" s="11" t="s">
        <v>9829</v>
      </c>
      <c r="E972" s="12" t="s">
        <v>23136</v>
      </c>
      <c r="F972" s="13">
        <v>45854</v>
      </c>
      <c r="G972" s="14">
        <v>45916</v>
      </c>
      <c r="H972" s="15">
        <v>2000000</v>
      </c>
      <c r="I972" s="16">
        <v>12</v>
      </c>
      <c r="J972" s="17">
        <v>24</v>
      </c>
      <c r="K972" s="9" t="s">
        <v>9831</v>
      </c>
      <c r="L972" s="10" t="s">
        <v>23137</v>
      </c>
      <c r="M972" s="9" t="s">
        <v>23138</v>
      </c>
      <c r="N972" s="10" t="s">
        <v>9828</v>
      </c>
      <c r="O972" s="15">
        <v>1698700</v>
      </c>
      <c r="P972" s="145">
        <v>28912</v>
      </c>
      <c r="Q972" s="9"/>
      <c r="R972" s="146"/>
      <c r="T972" s="92" t="s">
        <v>19210</v>
      </c>
      <c r="U972">
        <v>1</v>
      </c>
      <c r="V972">
        <f>VLOOKUP(T972,'Data Angt'!$A$5:$F$5810,6,FALSE)</f>
        <v>38</v>
      </c>
      <c r="W972" s="5" t="str">
        <f t="shared" si="15"/>
        <v>PRODUKTIF</v>
      </c>
      <c r="X972" s="5" t="str">
        <f>VLOOKUP(T972,'Data Angt'!$A$5:$H$5810,8,FALSE)</f>
        <v>Mengurus Rumah Tangga</v>
      </c>
      <c r="Y972" s="5" t="str">
        <f>VLOOKUP(T972,'Data Angt'!$A$5:$C$5808,3,FALSE)</f>
        <v>KRK</v>
      </c>
    </row>
    <row r="973" spans="1:25" x14ac:dyDescent="0.3">
      <c r="A973" s="8">
        <v>967</v>
      </c>
      <c r="B973" s="9" t="s">
        <v>14150</v>
      </c>
      <c r="C973" s="10" t="str">
        <f>VLOOKUP(B973,'Data Angt'!$A$5:$B$5809,2,FALSE)</f>
        <v>A5110</v>
      </c>
      <c r="D973" s="11" t="s">
        <v>9833</v>
      </c>
      <c r="E973" s="12" t="s">
        <v>23139</v>
      </c>
      <c r="F973" s="13">
        <v>45897</v>
      </c>
      <c r="G973" s="14">
        <v>45920</v>
      </c>
      <c r="H973" s="15">
        <v>2500000</v>
      </c>
      <c r="I973" s="16">
        <v>12</v>
      </c>
      <c r="J973" s="17">
        <v>24</v>
      </c>
      <c r="K973" s="9" t="s">
        <v>9831</v>
      </c>
      <c r="L973" s="10" t="s">
        <v>23140</v>
      </c>
      <c r="M973" s="9" t="s">
        <v>9862</v>
      </c>
      <c r="N973" s="10" t="s">
        <v>9834</v>
      </c>
      <c r="O973" s="15">
        <v>2313600</v>
      </c>
      <c r="P973" s="145">
        <v>18750</v>
      </c>
      <c r="Q973" s="9"/>
      <c r="R973" s="146"/>
      <c r="T973" s="92" t="s">
        <v>19211</v>
      </c>
      <c r="U973">
        <v>1</v>
      </c>
      <c r="V973">
        <f>VLOOKUP(T973,'Data Angt'!$A$5:$F$5810,6,FALSE)</f>
        <v>60</v>
      </c>
      <c r="W973" s="5" t="str">
        <f t="shared" si="15"/>
        <v>PRODUKTIF</v>
      </c>
      <c r="X973" s="5" t="str">
        <f>VLOOKUP(T973,'Data Angt'!$A$5:$H$5810,8,FALSE)</f>
        <v>Petani/Pekebun/Nelayan</v>
      </c>
      <c r="Y973" s="5" t="str">
        <f>VLOOKUP(T973,'Data Angt'!$A$5:$C$5808,3,FALSE)</f>
        <v>KRK</v>
      </c>
    </row>
    <row r="974" spans="1:25" x14ac:dyDescent="0.3">
      <c r="A974" s="8">
        <v>968</v>
      </c>
      <c r="B974" s="9" t="s">
        <v>14153</v>
      </c>
      <c r="C974" s="10" t="str">
        <f>VLOOKUP(B974,'Data Angt'!$A$5:$B$5809,2,FALSE)</f>
        <v>A5112</v>
      </c>
      <c r="D974" s="11" t="s">
        <v>9833</v>
      </c>
      <c r="E974" s="12" t="s">
        <v>23141</v>
      </c>
      <c r="F974" s="13">
        <v>45897</v>
      </c>
      <c r="G974" s="14">
        <v>45920</v>
      </c>
      <c r="H974" s="15">
        <v>2500000</v>
      </c>
      <c r="I974" s="16">
        <v>12</v>
      </c>
      <c r="J974" s="17">
        <v>24</v>
      </c>
      <c r="K974" s="9" t="s">
        <v>9831</v>
      </c>
      <c r="L974" s="10" t="s">
        <v>23142</v>
      </c>
      <c r="M974" s="9" t="s">
        <v>9862</v>
      </c>
      <c r="N974" s="10" t="s">
        <v>9834</v>
      </c>
      <c r="O974" s="15">
        <v>2313600</v>
      </c>
      <c r="P974" s="145">
        <v>18750</v>
      </c>
      <c r="Q974" s="9"/>
      <c r="R974" s="146"/>
      <c r="T974" s="92" t="s">
        <v>19216</v>
      </c>
      <c r="U974">
        <v>1</v>
      </c>
      <c r="V974">
        <f>VLOOKUP(T974,'Data Angt'!$A$5:$F$5810,6,FALSE)</f>
        <v>52</v>
      </c>
      <c r="W974" s="5" t="str">
        <f t="shared" si="15"/>
        <v>PRODUKTIF</v>
      </c>
      <c r="X974" s="5" t="str">
        <f>VLOOKUP(T974,'Data Angt'!$A$5:$H$5810,8,FALSE)</f>
        <v>Wiraswasta</v>
      </c>
      <c r="Y974" s="5" t="str">
        <f>VLOOKUP(T974,'Data Angt'!$A$5:$C$5808,3,FALSE)</f>
        <v>KRK</v>
      </c>
    </row>
    <row r="975" spans="1:25" x14ac:dyDescent="0.3">
      <c r="A975" s="8">
        <v>969</v>
      </c>
      <c r="B975" s="9" t="s">
        <v>14156</v>
      </c>
      <c r="C975" s="10" t="str">
        <f>VLOOKUP(B975,'Data Angt'!$A$5:$B$5809,2,FALSE)</f>
        <v>A5113</v>
      </c>
      <c r="D975" s="11" t="s">
        <v>9833</v>
      </c>
      <c r="E975" s="12" t="s">
        <v>23143</v>
      </c>
      <c r="F975" s="13">
        <v>45897</v>
      </c>
      <c r="G975" s="14">
        <v>45920</v>
      </c>
      <c r="H975" s="15">
        <v>2500000</v>
      </c>
      <c r="I975" s="16">
        <v>12</v>
      </c>
      <c r="J975" s="17">
        <v>24</v>
      </c>
      <c r="K975" s="9" t="s">
        <v>9831</v>
      </c>
      <c r="L975" s="10" t="s">
        <v>23144</v>
      </c>
      <c r="M975" s="9" t="s">
        <v>9948</v>
      </c>
      <c r="N975" s="10" t="s">
        <v>9834</v>
      </c>
      <c r="O975" s="15">
        <v>2313600</v>
      </c>
      <c r="P975" s="145">
        <v>18750</v>
      </c>
      <c r="Q975" s="9"/>
      <c r="R975" s="146"/>
      <c r="T975" s="92" t="s">
        <v>19219</v>
      </c>
      <c r="U975">
        <v>1</v>
      </c>
      <c r="V975">
        <f>VLOOKUP(T975,'Data Angt'!$A$5:$F$5810,6,FALSE)</f>
        <v>56</v>
      </c>
      <c r="W975" s="5" t="str">
        <f t="shared" si="15"/>
        <v>KONSUMTIF</v>
      </c>
      <c r="X975" s="5" t="str">
        <f>VLOOKUP(T975,'Data Angt'!$A$5:$H$5810,8,FALSE)</f>
        <v>Wiraswasta</v>
      </c>
      <c r="Y975" s="5" t="str">
        <f>VLOOKUP(T975,'Data Angt'!$A$5:$C$5808,3,FALSE)</f>
        <v>KRK</v>
      </c>
    </row>
    <row r="976" spans="1:25" x14ac:dyDescent="0.3">
      <c r="A976" s="8">
        <v>970</v>
      </c>
      <c r="B976" s="9" t="s">
        <v>14158</v>
      </c>
      <c r="C976" s="10" t="str">
        <f>VLOOKUP(B976,'Data Angt'!$A$5:$B$5809,2,FALSE)</f>
        <v>A5114</v>
      </c>
      <c r="D976" s="11" t="s">
        <v>9833</v>
      </c>
      <c r="E976" s="12" t="s">
        <v>16741</v>
      </c>
      <c r="F976" s="13">
        <v>45624</v>
      </c>
      <c r="G976" s="14">
        <v>45898</v>
      </c>
      <c r="H976" s="15">
        <v>2000000</v>
      </c>
      <c r="I976" s="16">
        <v>10</v>
      </c>
      <c r="J976" s="17">
        <v>24</v>
      </c>
      <c r="K976" s="9" t="s">
        <v>9831</v>
      </c>
      <c r="L976" s="10" t="s">
        <v>16742</v>
      </c>
      <c r="M976" s="9" t="s">
        <v>16456</v>
      </c>
      <c r="N976" s="10" t="s">
        <v>9834</v>
      </c>
      <c r="O976" s="15">
        <v>436400</v>
      </c>
      <c r="P976" s="145">
        <v>86660</v>
      </c>
      <c r="Q976" s="9"/>
      <c r="R976" s="146"/>
      <c r="T976" s="92" t="s">
        <v>19233</v>
      </c>
      <c r="U976">
        <v>2</v>
      </c>
      <c r="V976">
        <f>VLOOKUP(T976,'Data Angt'!$A$5:$F$5810,6,FALSE)</f>
        <v>59</v>
      </c>
      <c r="W976" s="5" t="str">
        <f t="shared" si="15"/>
        <v>PRODUKTIF</v>
      </c>
      <c r="X976" s="5" t="str">
        <f>VLOOKUP(T976,'Data Angt'!$A$5:$H$5810,8,FALSE)</f>
        <v>Petani/Pekebun/Nelayan</v>
      </c>
      <c r="Y976" s="5" t="str">
        <f>VLOOKUP(T976,'Data Angt'!$A$5:$C$5808,3,FALSE)</f>
        <v>KRK</v>
      </c>
    </row>
    <row r="977" spans="1:25" x14ac:dyDescent="0.3">
      <c r="A977" s="8">
        <v>971</v>
      </c>
      <c r="B977" s="9" t="s">
        <v>14160</v>
      </c>
      <c r="C977" s="10" t="str">
        <f>VLOOKUP(B977,'Data Angt'!$A$5:$B$5809,2,FALSE)</f>
        <v>A5115</v>
      </c>
      <c r="D977" s="11" t="s">
        <v>9833</v>
      </c>
      <c r="E977" s="12" t="s">
        <v>16743</v>
      </c>
      <c r="F977" s="13">
        <v>45624</v>
      </c>
      <c r="G977" s="14">
        <v>45898</v>
      </c>
      <c r="H977" s="15">
        <v>2000000</v>
      </c>
      <c r="I977" s="16">
        <v>10</v>
      </c>
      <c r="J977" s="17">
        <v>24</v>
      </c>
      <c r="K977" s="9" t="s">
        <v>9831</v>
      </c>
      <c r="L977" s="10" t="s">
        <v>16744</v>
      </c>
      <c r="M977" s="9" t="s">
        <v>10289</v>
      </c>
      <c r="N977" s="10" t="s">
        <v>9834</v>
      </c>
      <c r="O977" s="15">
        <v>436400</v>
      </c>
      <c r="P977" s="145">
        <v>86660</v>
      </c>
      <c r="Q977" s="9"/>
      <c r="R977" s="146"/>
      <c r="T977" s="92" t="s">
        <v>22179</v>
      </c>
      <c r="U977">
        <v>1</v>
      </c>
      <c r="V977">
        <f>VLOOKUP(T977,'Data Angt'!$A$5:$F$5810,6,FALSE)</f>
        <v>45</v>
      </c>
      <c r="W977" s="5" t="str">
        <f t="shared" si="15"/>
        <v>PRODUKTIF</v>
      </c>
      <c r="X977" s="5" t="str">
        <f>VLOOKUP(T977,'Data Angt'!$A$5:$H$5810,8,FALSE)</f>
        <v>Wiraswasta</v>
      </c>
      <c r="Y977" s="5" t="str">
        <f>VLOOKUP(T977,'Data Angt'!$A$5:$C$5808,3,FALSE)</f>
        <v>KRK</v>
      </c>
    </row>
    <row r="978" spans="1:25" x14ac:dyDescent="0.3">
      <c r="A978" s="8">
        <v>972</v>
      </c>
      <c r="B978" s="9" t="s">
        <v>14161</v>
      </c>
      <c r="C978" s="10" t="str">
        <f>VLOOKUP(B978,'Data Angt'!$A$5:$B$5809,2,FALSE)</f>
        <v>A5116</v>
      </c>
      <c r="D978" s="11" t="s">
        <v>9833</v>
      </c>
      <c r="E978" s="12" t="s">
        <v>16745</v>
      </c>
      <c r="F978" s="13">
        <v>45624</v>
      </c>
      <c r="G978" s="14">
        <v>45898</v>
      </c>
      <c r="H978" s="15">
        <v>2000000</v>
      </c>
      <c r="I978" s="16">
        <v>10</v>
      </c>
      <c r="J978" s="17">
        <v>24</v>
      </c>
      <c r="K978" s="9" t="s">
        <v>9831</v>
      </c>
      <c r="L978" s="10" t="s">
        <v>16746</v>
      </c>
      <c r="M978" s="9" t="s">
        <v>16456</v>
      </c>
      <c r="N978" s="10" t="s">
        <v>9834</v>
      </c>
      <c r="O978" s="15">
        <v>432300</v>
      </c>
      <c r="P978" s="145">
        <v>85049</v>
      </c>
      <c r="Q978" s="9"/>
      <c r="R978" s="146"/>
      <c r="T978" s="92" t="s">
        <v>567</v>
      </c>
      <c r="U978">
        <v>1</v>
      </c>
      <c r="V978">
        <f>VLOOKUP(T978,'Data Angt'!$A$5:$F$5810,6,FALSE)</f>
        <v>65</v>
      </c>
      <c r="W978" s="5" t="str">
        <f t="shared" si="15"/>
        <v>KESEJAHTERAAN</v>
      </c>
      <c r="X978" s="5" t="str">
        <f>VLOOKUP(T978,'Data Angt'!$A$5:$H$5810,8,FALSE)</f>
        <v>Pensiunan</v>
      </c>
      <c r="Y978" s="5" t="str">
        <f>VLOOKUP(T978,'Data Angt'!$A$5:$C$5808,3,FALSE)</f>
        <v>JBR</v>
      </c>
    </row>
    <row r="979" spans="1:25" x14ac:dyDescent="0.3">
      <c r="A979" s="8">
        <v>973</v>
      </c>
      <c r="B979" s="9" t="s">
        <v>14179</v>
      </c>
      <c r="C979" s="10" t="str">
        <f>VLOOKUP(B979,'Data Angt'!$A$5:$B$5809,2,FALSE)</f>
        <v>A5126</v>
      </c>
      <c r="D979" s="11" t="s">
        <v>9829</v>
      </c>
      <c r="E979" s="12" t="s">
        <v>16747</v>
      </c>
      <c r="F979" s="13">
        <v>45807</v>
      </c>
      <c r="G979" s="14">
        <v>45930</v>
      </c>
      <c r="H979" s="15">
        <v>3000000</v>
      </c>
      <c r="I979" s="16">
        <v>18</v>
      </c>
      <c r="J979" s="17">
        <v>24</v>
      </c>
      <c r="K979" s="9" t="s">
        <v>9831</v>
      </c>
      <c r="L979" s="10" t="s">
        <v>16748</v>
      </c>
      <c r="M979" s="9" t="s">
        <v>16749</v>
      </c>
      <c r="N979" s="10" t="s">
        <v>110</v>
      </c>
      <c r="O979" s="15">
        <v>2422300</v>
      </c>
      <c r="P979" s="145">
        <v>83662</v>
      </c>
      <c r="Q979" s="9"/>
      <c r="R979" s="146"/>
      <c r="T979" s="92" t="s">
        <v>580</v>
      </c>
      <c r="U979">
        <v>1</v>
      </c>
      <c r="V979">
        <f>VLOOKUP(T979,'Data Angt'!$A$5:$F$5810,6,FALSE)</f>
        <v>70</v>
      </c>
      <c r="W979" s="5" t="str">
        <f t="shared" si="15"/>
        <v>KESEHATAN</v>
      </c>
      <c r="X979" s="5" t="str">
        <f>VLOOKUP(T979,'Data Angt'!$A$5:$H$5810,8,FALSE)</f>
        <v>Pensiunan</v>
      </c>
      <c r="Y979" s="5" t="str">
        <f>VLOOKUP(T979,'Data Angt'!$A$5:$C$5808,3,FALSE)</f>
        <v>JBR</v>
      </c>
    </row>
    <row r="980" spans="1:25" x14ac:dyDescent="0.3">
      <c r="A980" s="8">
        <v>974</v>
      </c>
      <c r="B980" s="9" t="s">
        <v>14190</v>
      </c>
      <c r="C980" s="10" t="str">
        <f>VLOOKUP(B980,'Data Angt'!$A$5:$B$5809,2,FALSE)</f>
        <v>A5131</v>
      </c>
      <c r="D980" s="11" t="s">
        <v>9829</v>
      </c>
      <c r="E980" s="12" t="s">
        <v>16750</v>
      </c>
      <c r="F980" s="13">
        <v>45833</v>
      </c>
      <c r="G980" s="14">
        <v>45902</v>
      </c>
      <c r="H980" s="15">
        <v>2500000</v>
      </c>
      <c r="I980" s="16">
        <v>12</v>
      </c>
      <c r="J980" s="17">
        <v>24</v>
      </c>
      <c r="K980" s="9" t="s">
        <v>9831</v>
      </c>
      <c r="L980" s="10" t="s">
        <v>16751</v>
      </c>
      <c r="M980" s="9" t="s">
        <v>10352</v>
      </c>
      <c r="N980" s="10" t="s">
        <v>9828</v>
      </c>
      <c r="O980" s="15">
        <v>1929600</v>
      </c>
      <c r="P980" s="145">
        <v>52049</v>
      </c>
      <c r="Q980" s="9"/>
      <c r="R980" s="146"/>
      <c r="T980" s="92" t="s">
        <v>608</v>
      </c>
      <c r="U980">
        <v>1</v>
      </c>
      <c r="V980">
        <f>VLOOKUP(T980,'Data Angt'!$A$5:$F$5810,6,FALSE)</f>
        <v>56</v>
      </c>
      <c r="W980" s="5" t="str">
        <f t="shared" si="15"/>
        <v>PENDIDIKAN</v>
      </c>
      <c r="X980" s="5" t="str">
        <f>VLOOKUP(T980,'Data Angt'!$A$5:$H$5810,8,FALSE)</f>
        <v>Tenaga Pengajar</v>
      </c>
      <c r="Y980" s="5" t="str">
        <f>VLOOKUP(T980,'Data Angt'!$A$5:$C$5808,3,FALSE)</f>
        <v>JBR</v>
      </c>
    </row>
    <row r="981" spans="1:25" x14ac:dyDescent="0.3">
      <c r="A981" s="8">
        <v>975</v>
      </c>
      <c r="B981" s="9" t="s">
        <v>14199</v>
      </c>
      <c r="C981" s="10" t="str">
        <f>VLOOKUP(B981,'Data Angt'!$A$5:$B$5809,2,FALSE)</f>
        <v>A5135</v>
      </c>
      <c r="D981" s="11" t="s">
        <v>9833</v>
      </c>
      <c r="E981" s="12" t="s">
        <v>23145</v>
      </c>
      <c r="F981" s="13">
        <v>45898</v>
      </c>
      <c r="G981" s="14">
        <v>45923</v>
      </c>
      <c r="H981" s="15">
        <v>35000000</v>
      </c>
      <c r="I981" s="16">
        <v>36</v>
      </c>
      <c r="J981" s="17">
        <v>21</v>
      </c>
      <c r="K981" s="9" t="s">
        <v>9831</v>
      </c>
      <c r="L981" s="10" t="s">
        <v>23146</v>
      </c>
      <c r="M981" s="9" t="s">
        <v>9961</v>
      </c>
      <c r="N981" s="10" t="s">
        <v>9834</v>
      </c>
      <c r="O981" s="15">
        <v>34293800</v>
      </c>
      <c r="P981" s="145">
        <v>229687</v>
      </c>
      <c r="Q981" s="9" t="s">
        <v>22910</v>
      </c>
      <c r="R981" s="146" t="s">
        <v>23147</v>
      </c>
      <c r="T981" s="92" t="s">
        <v>611</v>
      </c>
      <c r="U981">
        <v>1</v>
      </c>
      <c r="V981">
        <f>VLOOKUP(T981,'Data Angt'!$A$5:$F$5810,6,FALSE)</f>
        <v>65</v>
      </c>
      <c r="W981" s="5" t="str">
        <f t="shared" si="15"/>
        <v>KONSUMTIF</v>
      </c>
      <c r="X981" s="5" t="str">
        <f>VLOOKUP(T981,'Data Angt'!$A$5:$H$5810,8,FALSE)</f>
        <v>Lain-Lain</v>
      </c>
      <c r="Y981" s="5" t="str">
        <f>VLOOKUP(T981,'Data Angt'!$A$5:$C$5808,3,FALSE)</f>
        <v>JBR</v>
      </c>
    </row>
    <row r="982" spans="1:25" x14ac:dyDescent="0.3">
      <c r="A982" s="8">
        <v>976</v>
      </c>
      <c r="B982" s="9" t="s">
        <v>14230</v>
      </c>
      <c r="C982" s="10" t="str">
        <f>VLOOKUP(B982,'Data Angt'!$A$5:$B$5809,2,FALSE)</f>
        <v>A5148</v>
      </c>
      <c r="D982" s="11" t="s">
        <v>9829</v>
      </c>
      <c r="E982" s="12" t="s">
        <v>23148</v>
      </c>
      <c r="F982" s="13">
        <v>45866</v>
      </c>
      <c r="G982" s="14">
        <v>45917</v>
      </c>
      <c r="H982" s="15">
        <v>2500000</v>
      </c>
      <c r="I982" s="16">
        <v>12</v>
      </c>
      <c r="J982" s="17">
        <v>24</v>
      </c>
      <c r="K982" s="9" t="s">
        <v>9831</v>
      </c>
      <c r="L982" s="10" t="s">
        <v>23149</v>
      </c>
      <c r="M982" s="9" t="s">
        <v>10352</v>
      </c>
      <c r="N982" s="10" t="s">
        <v>9828</v>
      </c>
      <c r="O982" s="15">
        <v>2123500</v>
      </c>
      <c r="P982" s="145">
        <v>36112</v>
      </c>
      <c r="Q982" s="9"/>
      <c r="R982" s="146"/>
      <c r="T982" s="92" t="s">
        <v>805</v>
      </c>
      <c r="U982">
        <v>1</v>
      </c>
      <c r="V982">
        <f>VLOOKUP(T982,'Data Angt'!$A$5:$F$5810,6,FALSE)</f>
        <v>57</v>
      </c>
      <c r="W982" s="5" t="str">
        <f t="shared" si="15"/>
        <v>KESEJAHTERAAN</v>
      </c>
      <c r="X982" s="5" t="str">
        <f>VLOOKUP(T982,'Data Angt'!$A$5:$H$5810,8,FALSE)</f>
        <v>Tenaga Pengajar</v>
      </c>
      <c r="Y982" s="5" t="str">
        <f>VLOOKUP(T982,'Data Angt'!$A$5:$C$5808,3,FALSE)</f>
        <v>JBR</v>
      </c>
    </row>
    <row r="983" spans="1:25" x14ac:dyDescent="0.3">
      <c r="A983" s="8">
        <v>977</v>
      </c>
      <c r="B983" s="9" t="s">
        <v>14233</v>
      </c>
      <c r="C983" s="10" t="str">
        <f>VLOOKUP(B983,'Data Angt'!$A$5:$B$5809,2,FALSE)</f>
        <v>A5149</v>
      </c>
      <c r="D983" s="11" t="s">
        <v>9829</v>
      </c>
      <c r="E983" s="12" t="s">
        <v>23150</v>
      </c>
      <c r="F983" s="13">
        <v>45866</v>
      </c>
      <c r="G983" s="14">
        <v>45930</v>
      </c>
      <c r="H983" s="15">
        <v>2500000</v>
      </c>
      <c r="I983" s="16">
        <v>12</v>
      </c>
      <c r="J983" s="17">
        <v>24</v>
      </c>
      <c r="K983" s="9" t="s">
        <v>9831</v>
      </c>
      <c r="L983" s="10" t="s">
        <v>23151</v>
      </c>
      <c r="M983" s="9" t="s">
        <v>23152</v>
      </c>
      <c r="N983" s="10" t="s">
        <v>17</v>
      </c>
      <c r="O983" s="15">
        <v>2123500</v>
      </c>
      <c r="P983" s="145">
        <v>36112</v>
      </c>
      <c r="Q983" s="9"/>
      <c r="R983" s="146"/>
      <c r="T983" s="92" t="s">
        <v>808</v>
      </c>
      <c r="U983">
        <v>1</v>
      </c>
      <c r="V983">
        <f>VLOOKUP(T983,'Data Angt'!$A$5:$F$5810,6,FALSE)</f>
        <v>56</v>
      </c>
      <c r="W983" s="5" t="str">
        <f t="shared" si="15"/>
        <v>PENDIDIKAN</v>
      </c>
      <c r="X983" s="5" t="str">
        <f>VLOOKUP(T983,'Data Angt'!$A$5:$H$5810,8,FALSE)</f>
        <v>Tenaga Pengajar</v>
      </c>
      <c r="Y983" s="5" t="str">
        <f>VLOOKUP(T983,'Data Angt'!$A$5:$C$5808,3,FALSE)</f>
        <v>JBR</v>
      </c>
    </row>
    <row r="984" spans="1:25" x14ac:dyDescent="0.3">
      <c r="A984" s="8">
        <v>978</v>
      </c>
      <c r="B984" s="9" t="s">
        <v>14247</v>
      </c>
      <c r="C984" s="10" t="str">
        <f>VLOOKUP(B984,'Data Angt'!$A$5:$B$5809,2,FALSE)</f>
        <v>A5157</v>
      </c>
      <c r="D984" s="11" t="s">
        <v>9881</v>
      </c>
      <c r="E984" s="12" t="s">
        <v>23153</v>
      </c>
      <c r="F984" s="13">
        <v>45904</v>
      </c>
      <c r="G984" s="14">
        <v>45904</v>
      </c>
      <c r="H984" s="15">
        <v>3700000</v>
      </c>
      <c r="I984" s="16">
        <v>12</v>
      </c>
      <c r="J984" s="17">
        <v>12</v>
      </c>
      <c r="K984" s="9" t="s">
        <v>9831</v>
      </c>
      <c r="L984" s="10" t="s">
        <v>23154</v>
      </c>
      <c r="M984" s="9" t="s">
        <v>9835</v>
      </c>
      <c r="N984" s="10" t="s">
        <v>9828</v>
      </c>
      <c r="O984" s="15">
        <v>3700000</v>
      </c>
      <c r="P984" s="147">
        <v>0</v>
      </c>
      <c r="Q984" s="9" t="s">
        <v>22901</v>
      </c>
      <c r="R984" s="146" t="s">
        <v>23155</v>
      </c>
      <c r="T984" s="92" t="s">
        <v>858</v>
      </c>
      <c r="U984">
        <v>1</v>
      </c>
      <c r="V984">
        <f>VLOOKUP(T984,'Data Angt'!$A$5:$F$5810,6,FALSE)</f>
        <v>61</v>
      </c>
      <c r="W984" s="5" t="str">
        <f t="shared" si="15"/>
        <v>PRODUKTIF</v>
      </c>
      <c r="X984" s="5" t="str">
        <f>VLOOKUP(T984,'Data Angt'!$A$5:$H$5810,8,FALSE)</f>
        <v>Pensiunan</v>
      </c>
      <c r="Y984" s="5" t="str">
        <f>VLOOKUP(T984,'Data Angt'!$A$5:$C$5808,3,FALSE)</f>
        <v>JBR</v>
      </c>
    </row>
    <row r="985" spans="1:25" x14ac:dyDescent="0.3">
      <c r="A985" s="8">
        <v>979</v>
      </c>
      <c r="B985" s="9" t="s">
        <v>14247</v>
      </c>
      <c r="C985" s="10" t="str">
        <f>VLOOKUP(B985,'Data Angt'!$A$5:$B$5809,2,FALSE)</f>
        <v>A5157</v>
      </c>
      <c r="D985" s="11" t="s">
        <v>9829</v>
      </c>
      <c r="E985" s="12" t="s">
        <v>16752</v>
      </c>
      <c r="F985" s="13">
        <v>45646</v>
      </c>
      <c r="G985" s="14">
        <v>45923</v>
      </c>
      <c r="H985" s="15">
        <v>15000000</v>
      </c>
      <c r="I985" s="16">
        <v>36</v>
      </c>
      <c r="J985" s="17">
        <v>24</v>
      </c>
      <c r="K985" s="9" t="s">
        <v>9831</v>
      </c>
      <c r="L985" s="10" t="s">
        <v>16753</v>
      </c>
      <c r="M985" s="9" t="s">
        <v>9849</v>
      </c>
      <c r="N985" s="10" t="s">
        <v>9828</v>
      </c>
      <c r="O985" s="15">
        <v>12186300</v>
      </c>
      <c r="P985" s="145">
        <v>931048</v>
      </c>
      <c r="Q985" s="9" t="s">
        <v>22901</v>
      </c>
      <c r="R985" s="146" t="s">
        <v>23156</v>
      </c>
      <c r="T985" s="92" t="s">
        <v>863</v>
      </c>
      <c r="U985">
        <v>1</v>
      </c>
      <c r="V985">
        <f>VLOOKUP(T985,'Data Angt'!$A$5:$F$5810,6,FALSE)</f>
        <v>67</v>
      </c>
      <c r="W985" s="5" t="str">
        <f t="shared" si="15"/>
        <v>KESEJAHTERAAN</v>
      </c>
      <c r="X985" s="5" t="str">
        <f>VLOOKUP(T985,'Data Angt'!$A$5:$H$5810,8,FALSE)</f>
        <v>Mengurus Rumah Tangga</v>
      </c>
      <c r="Y985" s="5" t="str">
        <f>VLOOKUP(T985,'Data Angt'!$A$5:$C$5808,3,FALSE)</f>
        <v>JBR</v>
      </c>
    </row>
    <row r="986" spans="1:25" x14ac:dyDescent="0.3">
      <c r="A986" s="8">
        <v>980</v>
      </c>
      <c r="B986" s="9" t="s">
        <v>14269</v>
      </c>
      <c r="C986" s="10" t="str">
        <f>VLOOKUP(B986,'Data Angt'!$A$5:$B$5809,2,FALSE)</f>
        <v>A5168</v>
      </c>
      <c r="D986" s="11" t="s">
        <v>9833</v>
      </c>
      <c r="E986" s="12" t="s">
        <v>16754</v>
      </c>
      <c r="F986" s="13">
        <v>45647</v>
      </c>
      <c r="G986" s="14">
        <v>45922</v>
      </c>
      <c r="H986" s="15">
        <v>12000000</v>
      </c>
      <c r="I986" s="16">
        <v>24</v>
      </c>
      <c r="J986" s="17">
        <v>24</v>
      </c>
      <c r="K986" s="9" t="s">
        <v>9831</v>
      </c>
      <c r="L986" s="10" t="s">
        <v>16755</v>
      </c>
      <c r="M986" s="9" t="s">
        <v>16756</v>
      </c>
      <c r="N986" s="10" t="s">
        <v>9834</v>
      </c>
      <c r="O986" s="15">
        <v>8152200</v>
      </c>
      <c r="P986" s="145">
        <v>698510</v>
      </c>
      <c r="Q986" s="9" t="s">
        <v>22901</v>
      </c>
      <c r="R986" s="146" t="s">
        <v>23157</v>
      </c>
      <c r="T986" s="92" t="s">
        <v>1009</v>
      </c>
      <c r="U986">
        <v>1</v>
      </c>
      <c r="V986">
        <f>VLOOKUP(T986,'Data Angt'!$A$5:$F$5810,6,FALSE)</f>
        <v>49</v>
      </c>
      <c r="W986" s="5" t="str">
        <f t="shared" si="15"/>
        <v>KESEJAHTERAAN</v>
      </c>
      <c r="X986" s="5" t="str">
        <f>VLOOKUP(T986,'Data Angt'!$A$5:$H$5810,8,FALSE)</f>
        <v>Karyawan</v>
      </c>
      <c r="Y986" s="5" t="str">
        <f>VLOOKUP(T986,'Data Angt'!$A$5:$C$5808,3,FALSE)</f>
        <v>JBR</v>
      </c>
    </row>
    <row r="987" spans="1:25" x14ac:dyDescent="0.3">
      <c r="A987" s="8">
        <v>981</v>
      </c>
      <c r="B987" s="9" t="s">
        <v>14367</v>
      </c>
      <c r="C987" s="10" t="str">
        <f>VLOOKUP(B987,'Data Angt'!$A$5:$B$5809,2,FALSE)</f>
        <v>A5179</v>
      </c>
      <c r="D987" s="11" t="s">
        <v>9829</v>
      </c>
      <c r="E987" s="12" t="s">
        <v>16757</v>
      </c>
      <c r="F987" s="13">
        <v>45826</v>
      </c>
      <c r="G987" s="14">
        <v>45918</v>
      </c>
      <c r="H987" s="15">
        <v>6000000</v>
      </c>
      <c r="I987" s="16">
        <v>24</v>
      </c>
      <c r="J987" s="17">
        <v>24</v>
      </c>
      <c r="K987" s="9" t="s">
        <v>9831</v>
      </c>
      <c r="L987" s="10" t="s">
        <v>16758</v>
      </c>
      <c r="M987" s="9" t="s">
        <v>9854</v>
      </c>
      <c r="N987" s="10" t="s">
        <v>17</v>
      </c>
      <c r="O987" s="15">
        <v>5396300</v>
      </c>
      <c r="P987" s="145">
        <v>130574</v>
      </c>
      <c r="Q987" s="9" t="s">
        <v>22901</v>
      </c>
      <c r="R987" s="146" t="s">
        <v>23158</v>
      </c>
      <c r="T987" s="92" t="s">
        <v>1066</v>
      </c>
      <c r="U987">
        <v>2</v>
      </c>
      <c r="V987">
        <f>VLOOKUP(T987,'Data Angt'!$A$5:$F$5810,6,FALSE)</f>
        <v>76</v>
      </c>
      <c r="W987" s="5" t="str">
        <f t="shared" si="15"/>
        <v>PRODUKTIF</v>
      </c>
      <c r="X987" s="5" t="str">
        <f>VLOOKUP(T987,'Data Angt'!$A$5:$H$5810,8,FALSE)</f>
        <v>Mengurus Rumah Tangga</v>
      </c>
      <c r="Y987" s="5" t="str">
        <f>VLOOKUP(T987,'Data Angt'!$A$5:$C$5808,3,FALSE)</f>
        <v>JBR</v>
      </c>
    </row>
    <row r="988" spans="1:25" x14ac:dyDescent="0.3">
      <c r="A988" s="8">
        <v>982</v>
      </c>
      <c r="B988" s="9" t="s">
        <v>14414</v>
      </c>
      <c r="C988" s="10" t="str">
        <f>VLOOKUP(B988,'Data Angt'!$A$5:$B$5809,2,FALSE)</f>
        <v>A5199</v>
      </c>
      <c r="D988" s="11" t="s">
        <v>9833</v>
      </c>
      <c r="E988" s="12" t="s">
        <v>16759</v>
      </c>
      <c r="F988" s="13">
        <v>45727</v>
      </c>
      <c r="G988" s="14">
        <v>45930</v>
      </c>
      <c r="H988" s="15">
        <v>15000000</v>
      </c>
      <c r="I988" s="16">
        <v>18</v>
      </c>
      <c r="J988" s="17">
        <v>24</v>
      </c>
      <c r="K988" s="9" t="s">
        <v>9831</v>
      </c>
      <c r="L988" s="10" t="s">
        <v>16760</v>
      </c>
      <c r="M988" s="9" t="s">
        <v>10029</v>
      </c>
      <c r="N988" s="10" t="s">
        <v>9834</v>
      </c>
      <c r="O988" s="15">
        <v>10580700</v>
      </c>
      <c r="P988" s="145">
        <v>594111</v>
      </c>
      <c r="Q988" s="9" t="s">
        <v>22901</v>
      </c>
      <c r="R988" s="146" t="s">
        <v>23159</v>
      </c>
      <c r="T988" s="92" t="s">
        <v>1123</v>
      </c>
      <c r="U988">
        <v>1</v>
      </c>
      <c r="V988">
        <f>VLOOKUP(T988,'Data Angt'!$A$5:$F$5810,6,FALSE)</f>
        <v>60</v>
      </c>
      <c r="W988" s="5" t="str">
        <f t="shared" si="15"/>
        <v>KESEJAHTERAAN</v>
      </c>
      <c r="X988" s="5" t="str">
        <f>VLOOKUP(T988,'Data Angt'!$A$5:$H$5810,8,FALSE)</f>
        <v>Karyawan</v>
      </c>
      <c r="Y988" s="5" t="str">
        <f>VLOOKUP(T988,'Data Angt'!$A$5:$C$5808,3,FALSE)</f>
        <v>JBR</v>
      </c>
    </row>
    <row r="989" spans="1:25" x14ac:dyDescent="0.3">
      <c r="A989" s="8">
        <v>983</v>
      </c>
      <c r="B989" s="9" t="s">
        <v>14427</v>
      </c>
      <c r="C989" s="10" t="str">
        <f>VLOOKUP(B989,'Data Angt'!$A$5:$B$5809,2,FALSE)</f>
        <v>A5206</v>
      </c>
      <c r="D989" s="11" t="s">
        <v>9833</v>
      </c>
      <c r="E989" s="12" t="s">
        <v>16761</v>
      </c>
      <c r="F989" s="13">
        <v>45682</v>
      </c>
      <c r="G989" s="14">
        <v>45922</v>
      </c>
      <c r="H989" s="15">
        <v>10000000</v>
      </c>
      <c r="I989" s="16">
        <v>18</v>
      </c>
      <c r="J989" s="17">
        <v>24</v>
      </c>
      <c r="K989" s="9" t="s">
        <v>9831</v>
      </c>
      <c r="L989" s="10" t="s">
        <v>16762</v>
      </c>
      <c r="M989" s="9" t="s">
        <v>16763</v>
      </c>
      <c r="N989" s="10" t="s">
        <v>9834</v>
      </c>
      <c r="O989" s="15">
        <v>5991200</v>
      </c>
      <c r="P989" s="145">
        <v>497998</v>
      </c>
      <c r="Q989" s="9" t="s">
        <v>22901</v>
      </c>
      <c r="R989" s="146" t="s">
        <v>23160</v>
      </c>
      <c r="T989" s="92" t="s">
        <v>1155</v>
      </c>
      <c r="U989">
        <v>1</v>
      </c>
      <c r="V989">
        <f>VLOOKUP(T989,'Data Angt'!$A$5:$F$5810,6,FALSE)</f>
        <v>58</v>
      </c>
      <c r="W989" s="5" t="str">
        <f t="shared" si="15"/>
        <v>KONSUMTIF</v>
      </c>
      <c r="X989" s="5" t="str">
        <f>VLOOKUP(T989,'Data Angt'!$A$5:$H$5810,8,FALSE)</f>
        <v>Mengurus Rumah Tangga</v>
      </c>
      <c r="Y989" s="5" t="str">
        <f>VLOOKUP(T989,'Data Angt'!$A$5:$C$5808,3,FALSE)</f>
        <v>JBR</v>
      </c>
    </row>
    <row r="990" spans="1:25" x14ac:dyDescent="0.3">
      <c r="A990" s="8">
        <v>984</v>
      </c>
      <c r="B990" s="9" t="s">
        <v>14430</v>
      </c>
      <c r="C990" s="10" t="str">
        <f>VLOOKUP(B990,'Data Angt'!$A$5:$B$5809,2,FALSE)</f>
        <v>A5207</v>
      </c>
      <c r="D990" s="11" t="s">
        <v>9833</v>
      </c>
      <c r="E990" s="12" t="s">
        <v>16764</v>
      </c>
      <c r="F990" s="13">
        <v>45672</v>
      </c>
      <c r="G990" s="14">
        <v>45915</v>
      </c>
      <c r="H990" s="15">
        <v>50000000</v>
      </c>
      <c r="I990" s="16">
        <v>24</v>
      </c>
      <c r="J990" s="17">
        <v>21</v>
      </c>
      <c r="K990" s="9" t="s">
        <v>9827</v>
      </c>
      <c r="L990" s="10" t="s">
        <v>16765</v>
      </c>
      <c r="M990" s="9" t="s">
        <v>16766</v>
      </c>
      <c r="N990" s="10" t="s">
        <v>9834</v>
      </c>
      <c r="O990" s="15">
        <v>33332800</v>
      </c>
      <c r="P990" s="145">
        <v>2242311</v>
      </c>
      <c r="Q990" s="9" t="s">
        <v>22927</v>
      </c>
      <c r="R990" s="146" t="s">
        <v>23161</v>
      </c>
      <c r="T990" s="92" t="s">
        <v>1263</v>
      </c>
      <c r="U990">
        <v>1</v>
      </c>
      <c r="V990">
        <f>VLOOKUP(T990,'Data Angt'!$A$5:$F$5810,6,FALSE)</f>
        <v>57</v>
      </c>
      <c r="W990" s="5">
        <f t="shared" si="15"/>
        <v>0</v>
      </c>
      <c r="X990" s="5" t="str">
        <f>VLOOKUP(T990,'Data Angt'!$A$5:$H$5810,8,FALSE)</f>
        <v>Mengurus Rumah Tangga</v>
      </c>
      <c r="Y990" s="5" t="str">
        <f>VLOOKUP(T990,'Data Angt'!$A$5:$C$5808,3,FALSE)</f>
        <v>JBR</v>
      </c>
    </row>
    <row r="991" spans="1:25" x14ac:dyDescent="0.3">
      <c r="A991" s="8">
        <v>985</v>
      </c>
      <c r="B991" s="9" t="s">
        <v>14444</v>
      </c>
      <c r="C991" s="10" t="str">
        <f>VLOOKUP(B991,'Data Angt'!$A$5:$B$5809,2,FALSE)</f>
        <v>A5213</v>
      </c>
      <c r="D991" s="11" t="s">
        <v>9829</v>
      </c>
      <c r="E991" s="12" t="s">
        <v>16767</v>
      </c>
      <c r="F991" s="13">
        <v>45673</v>
      </c>
      <c r="G991" s="14">
        <v>45916</v>
      </c>
      <c r="H991" s="15">
        <v>60000000</v>
      </c>
      <c r="I991" s="16">
        <v>36</v>
      </c>
      <c r="J991" s="17">
        <v>21</v>
      </c>
      <c r="K991" s="9" t="s">
        <v>9831</v>
      </c>
      <c r="L991" s="10" t="s">
        <v>16768</v>
      </c>
      <c r="M991" s="9" t="s">
        <v>10352</v>
      </c>
      <c r="N991" s="10" t="s">
        <v>9828</v>
      </c>
      <c r="O991" s="15">
        <v>49701300</v>
      </c>
      <c r="P991" s="145">
        <v>2919785</v>
      </c>
      <c r="Q991" s="9" t="s">
        <v>22910</v>
      </c>
      <c r="R991" s="146" t="s">
        <v>23162</v>
      </c>
      <c r="T991" s="92" t="s">
        <v>1265</v>
      </c>
      <c r="U991">
        <v>1</v>
      </c>
      <c r="V991">
        <f>VLOOKUP(T991,'Data Angt'!$A$5:$F$5810,6,FALSE)</f>
        <v>67</v>
      </c>
      <c r="W991" s="5">
        <f t="shared" si="15"/>
        <v>0</v>
      </c>
      <c r="X991" s="5" t="str">
        <f>VLOOKUP(T991,'Data Angt'!$A$5:$H$5810,8,FALSE)</f>
        <v>Wiraswasta</v>
      </c>
      <c r="Y991" s="5" t="str">
        <f>VLOOKUP(T991,'Data Angt'!$A$5:$C$5808,3,FALSE)</f>
        <v>JBR</v>
      </c>
    </row>
    <row r="992" spans="1:25" x14ac:dyDescent="0.3">
      <c r="A992" s="8">
        <v>986</v>
      </c>
      <c r="B992" s="9" t="s">
        <v>14489</v>
      </c>
      <c r="C992" s="10" t="str">
        <f>VLOOKUP(B992,'Data Angt'!$A$5:$B$5809,2,FALSE)</f>
        <v>A5232</v>
      </c>
      <c r="D992" s="11" t="s">
        <v>9895</v>
      </c>
      <c r="E992" s="12" t="s">
        <v>16769</v>
      </c>
      <c r="F992" s="13">
        <v>45682</v>
      </c>
      <c r="G992" s="14">
        <v>45925</v>
      </c>
      <c r="H992" s="15">
        <v>15000000</v>
      </c>
      <c r="I992" s="16">
        <v>36</v>
      </c>
      <c r="J992" s="17">
        <v>24</v>
      </c>
      <c r="K992" s="9" t="s">
        <v>9831</v>
      </c>
      <c r="L992" s="10" t="s">
        <v>16770</v>
      </c>
      <c r="M992" s="9" t="s">
        <v>10727</v>
      </c>
      <c r="N992" s="10" t="s">
        <v>9830</v>
      </c>
      <c r="O992" s="15">
        <v>12524300</v>
      </c>
      <c r="P992" s="145">
        <v>837111</v>
      </c>
      <c r="Q992" s="9" t="s">
        <v>22901</v>
      </c>
      <c r="R992" s="146" t="s">
        <v>23163</v>
      </c>
      <c r="T992" s="92" t="s">
        <v>1280</v>
      </c>
      <c r="U992">
        <v>1</v>
      </c>
      <c r="V992">
        <f>VLOOKUP(T992,'Data Angt'!$A$5:$F$5810,6,FALSE)</f>
        <v>46</v>
      </c>
      <c r="W992" s="5" t="str">
        <f t="shared" si="15"/>
        <v>PENDIDIKAN</v>
      </c>
      <c r="X992" s="5" t="str">
        <f>VLOOKUP(T992,'Data Angt'!$A$5:$H$5810,8,FALSE)</f>
        <v>Tenaga Pengajar</v>
      </c>
      <c r="Y992" s="5" t="str">
        <f>VLOOKUP(T992,'Data Angt'!$A$5:$C$5808,3,FALSE)</f>
        <v>JBR</v>
      </c>
    </row>
    <row r="993" spans="1:25" x14ac:dyDescent="0.3">
      <c r="A993" s="8">
        <v>987</v>
      </c>
      <c r="B993" s="9" t="s">
        <v>14516</v>
      </c>
      <c r="C993" s="10" t="str">
        <f>VLOOKUP(B993,'Data Angt'!$A$5:$B$5809,2,FALSE)</f>
        <v>A5243</v>
      </c>
      <c r="D993" s="11" t="s">
        <v>9833</v>
      </c>
      <c r="E993" s="12" t="s">
        <v>16771</v>
      </c>
      <c r="F993" s="13">
        <v>45687</v>
      </c>
      <c r="G993" s="14">
        <v>45874</v>
      </c>
      <c r="H993" s="15">
        <v>15000000</v>
      </c>
      <c r="I993" s="16">
        <v>24</v>
      </c>
      <c r="J993" s="17">
        <v>24</v>
      </c>
      <c r="K993" s="9" t="s">
        <v>9831</v>
      </c>
      <c r="L993" s="10" t="s">
        <v>16772</v>
      </c>
      <c r="M993" s="9" t="s">
        <v>9862</v>
      </c>
      <c r="N993" s="10" t="s">
        <v>9834</v>
      </c>
      <c r="O993" s="15">
        <v>12434100</v>
      </c>
      <c r="P993" s="145">
        <v>524849</v>
      </c>
      <c r="Q993" s="9" t="s">
        <v>22910</v>
      </c>
      <c r="R993" s="146" t="s">
        <v>23164</v>
      </c>
      <c r="T993" s="92" t="s">
        <v>1313</v>
      </c>
      <c r="U993">
        <v>1</v>
      </c>
      <c r="V993">
        <f>VLOOKUP(T993,'Data Angt'!$A$5:$F$5810,6,FALSE)</f>
        <v>59</v>
      </c>
      <c r="W993" s="5" t="str">
        <f t="shared" si="15"/>
        <v>KESEJAHTERAAN</v>
      </c>
      <c r="X993" s="5" t="str">
        <f>VLOOKUP(T993,'Data Angt'!$A$5:$H$5810,8,FALSE)</f>
        <v>Tenaga Pengajar</v>
      </c>
      <c r="Y993" s="5" t="str">
        <f>VLOOKUP(T993,'Data Angt'!$A$5:$C$5808,3,FALSE)</f>
        <v>JBR</v>
      </c>
    </row>
    <row r="994" spans="1:25" x14ac:dyDescent="0.3">
      <c r="A994" s="8">
        <v>988</v>
      </c>
      <c r="B994" s="9" t="s">
        <v>14564</v>
      </c>
      <c r="C994" s="10" t="str">
        <f>VLOOKUP(B994,'Data Angt'!$A$5:$B$5809,2,FALSE)</f>
        <v>A5263</v>
      </c>
      <c r="D994" s="11" t="s">
        <v>9829</v>
      </c>
      <c r="E994" s="12" t="s">
        <v>23165</v>
      </c>
      <c r="F994" s="13">
        <v>45902</v>
      </c>
      <c r="G994" s="14">
        <v>45902</v>
      </c>
      <c r="H994" s="15">
        <v>15000000</v>
      </c>
      <c r="I994" s="16">
        <v>10</v>
      </c>
      <c r="J994" s="17">
        <v>24</v>
      </c>
      <c r="K994" s="9" t="s">
        <v>9831</v>
      </c>
      <c r="L994" s="10" t="s">
        <v>23166</v>
      </c>
      <c r="M994" s="9" t="s">
        <v>9984</v>
      </c>
      <c r="N994" s="10" t="s">
        <v>17</v>
      </c>
      <c r="O994" s="15">
        <v>15000000</v>
      </c>
      <c r="P994" s="147">
        <v>0</v>
      </c>
      <c r="Q994" s="9" t="s">
        <v>22946</v>
      </c>
      <c r="R994" s="146" t="s">
        <v>23167</v>
      </c>
      <c r="T994" s="92" t="s">
        <v>1339</v>
      </c>
      <c r="U994">
        <v>1</v>
      </c>
      <c r="V994">
        <f>VLOOKUP(T994,'Data Angt'!$A$5:$F$5810,6,FALSE)</f>
        <v>59</v>
      </c>
      <c r="W994" s="5" t="str">
        <f t="shared" si="15"/>
        <v>KESEJAHTERAAN</v>
      </c>
      <c r="X994" s="5" t="str">
        <f>VLOOKUP(T994,'Data Angt'!$A$5:$H$5810,8,FALSE)</f>
        <v>Karyawan</v>
      </c>
      <c r="Y994" s="5" t="str">
        <f>VLOOKUP(T994,'Data Angt'!$A$5:$C$5808,3,FALSE)</f>
        <v>JBR</v>
      </c>
    </row>
    <row r="995" spans="1:25" x14ac:dyDescent="0.3">
      <c r="A995" s="8">
        <v>989</v>
      </c>
      <c r="B995" s="9" t="s">
        <v>14568</v>
      </c>
      <c r="C995" s="10" t="str">
        <f>VLOOKUP(B995,'Data Angt'!$A$5:$B$5809,2,FALSE)</f>
        <v>A5265</v>
      </c>
      <c r="D995" s="11" t="s">
        <v>9833</v>
      </c>
      <c r="E995" s="12" t="s">
        <v>23168</v>
      </c>
      <c r="F995" s="13">
        <v>45917</v>
      </c>
      <c r="G995" s="14">
        <v>45917</v>
      </c>
      <c r="H995" s="15">
        <v>6000000</v>
      </c>
      <c r="I995" s="16">
        <v>5</v>
      </c>
      <c r="J995" s="17">
        <v>24</v>
      </c>
      <c r="K995" s="9" t="s">
        <v>9831</v>
      </c>
      <c r="L995" s="10" t="s">
        <v>23169</v>
      </c>
      <c r="M995" s="9" t="s">
        <v>16456</v>
      </c>
      <c r="N995" s="10" t="s">
        <v>9834</v>
      </c>
      <c r="O995" s="15">
        <v>6000000</v>
      </c>
      <c r="P995" s="147">
        <v>0</v>
      </c>
      <c r="Q995" s="9" t="s">
        <v>22901</v>
      </c>
      <c r="R995" s="146" t="s">
        <v>23170</v>
      </c>
      <c r="T995" s="92" t="s">
        <v>1410</v>
      </c>
      <c r="U995">
        <v>1</v>
      </c>
      <c r="V995">
        <f>VLOOKUP(T995,'Data Angt'!$A$5:$F$5810,6,FALSE)</f>
        <v>62</v>
      </c>
      <c r="W995" s="5" t="str">
        <f t="shared" si="15"/>
        <v>PRODUKTIF</v>
      </c>
      <c r="X995" s="5" t="str">
        <f>VLOOKUP(T995,'Data Angt'!$A$5:$H$5810,8,FALSE)</f>
        <v>Wiraswasta</v>
      </c>
      <c r="Y995" s="5" t="str">
        <f>VLOOKUP(T995,'Data Angt'!$A$5:$C$5808,3,FALSE)</f>
        <v>JBR</v>
      </c>
    </row>
    <row r="996" spans="1:25" x14ac:dyDescent="0.3">
      <c r="A996" s="8">
        <v>990</v>
      </c>
      <c r="B996" s="9" t="s">
        <v>14573</v>
      </c>
      <c r="C996" s="10" t="str">
        <f>VLOOKUP(B996,'Data Angt'!$A$5:$B$5809,2,FALSE)</f>
        <v>A5267</v>
      </c>
      <c r="D996" s="11" t="s">
        <v>9829</v>
      </c>
      <c r="E996" s="12" t="s">
        <v>16773</v>
      </c>
      <c r="F996" s="13">
        <v>45741</v>
      </c>
      <c r="G996" s="14">
        <v>45926</v>
      </c>
      <c r="H996" s="15">
        <v>1500000</v>
      </c>
      <c r="I996" s="16">
        <v>10</v>
      </c>
      <c r="J996" s="17">
        <v>24</v>
      </c>
      <c r="K996" s="9" t="s">
        <v>9831</v>
      </c>
      <c r="L996" s="10" t="s">
        <v>16774</v>
      </c>
      <c r="M996" s="9" t="s">
        <v>10352</v>
      </c>
      <c r="N996" s="10" t="s">
        <v>9828</v>
      </c>
      <c r="O996" s="15">
        <v>636100</v>
      </c>
      <c r="P996" s="145">
        <v>51786</v>
      </c>
      <c r="Q996" s="9"/>
      <c r="R996" s="146"/>
      <c r="T996" s="92" t="s">
        <v>1429</v>
      </c>
      <c r="U996">
        <v>1</v>
      </c>
      <c r="V996">
        <f>VLOOKUP(T996,'Data Angt'!$A$5:$F$5810,6,FALSE)</f>
        <v>26</v>
      </c>
      <c r="W996" s="5" t="str">
        <f t="shared" si="15"/>
        <v>KESEJAHTERAAN</v>
      </c>
      <c r="X996" s="5" t="str">
        <f>VLOOKUP(T996,'Data Angt'!$A$5:$H$5810,8,FALSE)</f>
        <v>Karyawan</v>
      </c>
      <c r="Y996" s="5" t="str">
        <f>VLOOKUP(T996,'Data Angt'!$A$5:$C$5808,3,FALSE)</f>
        <v>JBR</v>
      </c>
    </row>
    <row r="997" spans="1:25" x14ac:dyDescent="0.3">
      <c r="A997" s="8">
        <v>991</v>
      </c>
      <c r="B997" s="9" t="s">
        <v>14604</v>
      </c>
      <c r="C997" s="10" t="str">
        <f>VLOOKUP(B997,'Data Angt'!$A$5:$B$5809,2,FALSE)</f>
        <v>A5280</v>
      </c>
      <c r="D997" s="11" t="s">
        <v>9833</v>
      </c>
      <c r="E997" s="12" t="s">
        <v>16775</v>
      </c>
      <c r="F997" s="13">
        <v>45695</v>
      </c>
      <c r="G997" s="14">
        <v>45908</v>
      </c>
      <c r="H997" s="15">
        <v>1500000</v>
      </c>
      <c r="I997" s="16">
        <v>10</v>
      </c>
      <c r="J997" s="17">
        <v>24</v>
      </c>
      <c r="K997" s="9" t="s">
        <v>9831</v>
      </c>
      <c r="L997" s="10" t="s">
        <v>16776</v>
      </c>
      <c r="M997" s="9" t="s">
        <v>9862</v>
      </c>
      <c r="N997" s="10" t="s">
        <v>9834</v>
      </c>
      <c r="O997" s="15">
        <v>481900</v>
      </c>
      <c r="P997" s="145">
        <v>56586</v>
      </c>
      <c r="Q997" s="9"/>
      <c r="R997" s="146"/>
      <c r="T997" s="92" t="s">
        <v>1475</v>
      </c>
      <c r="U997">
        <v>1</v>
      </c>
      <c r="V997">
        <f>VLOOKUP(T997,'Data Angt'!$A$5:$F$5810,6,FALSE)</f>
        <v>56</v>
      </c>
      <c r="W997" s="5" t="str">
        <f t="shared" si="15"/>
        <v>PRODUKTIF</v>
      </c>
      <c r="X997" s="5" t="str">
        <f>VLOOKUP(T997,'Data Angt'!$A$5:$H$5810,8,FALSE)</f>
        <v>Lain-Lain</v>
      </c>
      <c r="Y997" s="5" t="str">
        <f>VLOOKUP(T997,'Data Angt'!$A$5:$C$5808,3,FALSE)</f>
        <v>JBR</v>
      </c>
    </row>
    <row r="998" spans="1:25" x14ac:dyDescent="0.3">
      <c r="A998" s="8">
        <v>992</v>
      </c>
      <c r="B998" s="9" t="s">
        <v>14642</v>
      </c>
      <c r="C998" s="10" t="str">
        <f>VLOOKUP(B998,'Data Angt'!$A$5:$B$5809,2,FALSE)</f>
        <v>A5297</v>
      </c>
      <c r="D998" s="11" t="s">
        <v>9829</v>
      </c>
      <c r="E998" s="12" t="s">
        <v>23171</v>
      </c>
      <c r="F998" s="13">
        <v>45890</v>
      </c>
      <c r="G998" s="14">
        <v>45920</v>
      </c>
      <c r="H998" s="15">
        <v>1000000</v>
      </c>
      <c r="I998" s="16">
        <v>12</v>
      </c>
      <c r="J998" s="17">
        <v>24</v>
      </c>
      <c r="K998" s="9" t="s">
        <v>9831</v>
      </c>
      <c r="L998" s="10" t="s">
        <v>23172</v>
      </c>
      <c r="M998" s="9" t="s">
        <v>9854</v>
      </c>
      <c r="N998" s="10" t="s">
        <v>17</v>
      </c>
      <c r="O998" s="15">
        <v>925400</v>
      </c>
      <c r="P998" s="145">
        <v>7500</v>
      </c>
      <c r="Q998" s="9"/>
      <c r="R998" s="146"/>
      <c r="T998" s="92" t="s">
        <v>1532</v>
      </c>
      <c r="U998">
        <v>2</v>
      </c>
      <c r="V998">
        <f>VLOOKUP(T998,'Data Angt'!$A$5:$F$5810,6,FALSE)</f>
        <v>60</v>
      </c>
      <c r="W998" s="5" t="str">
        <f t="shared" si="15"/>
        <v>KESEJAHTERAAN</v>
      </c>
      <c r="X998" s="5" t="str">
        <f>VLOOKUP(T998,'Data Angt'!$A$5:$H$5810,8,FALSE)</f>
        <v>Karyawan</v>
      </c>
      <c r="Y998" s="5" t="str">
        <f>VLOOKUP(T998,'Data Angt'!$A$5:$C$5808,3,FALSE)</f>
        <v>JBR</v>
      </c>
    </row>
    <row r="999" spans="1:25" x14ac:dyDescent="0.3">
      <c r="A999" s="8">
        <v>993</v>
      </c>
      <c r="B999" s="9" t="s">
        <v>14723</v>
      </c>
      <c r="C999" s="10" t="str">
        <f>VLOOKUP(B999,'Data Angt'!$A$5:$B$5809,2,FALSE)</f>
        <v>A5330</v>
      </c>
      <c r="D999" s="11" t="s">
        <v>9833</v>
      </c>
      <c r="E999" s="12" t="s">
        <v>16777</v>
      </c>
      <c r="F999" s="13">
        <v>45726</v>
      </c>
      <c r="G999" s="14">
        <v>45909</v>
      </c>
      <c r="H999" s="15">
        <v>35000000</v>
      </c>
      <c r="I999" s="16">
        <v>30</v>
      </c>
      <c r="J999" s="17">
        <v>21</v>
      </c>
      <c r="K999" s="9" t="s">
        <v>9831</v>
      </c>
      <c r="L999" s="10" t="s">
        <v>16778</v>
      </c>
      <c r="M999" s="9" t="s">
        <v>16779</v>
      </c>
      <c r="N999" s="10" t="s">
        <v>9834</v>
      </c>
      <c r="O999" s="15">
        <v>29376700</v>
      </c>
      <c r="P999" s="145">
        <v>1287860</v>
      </c>
      <c r="Q999" s="9" t="s">
        <v>22910</v>
      </c>
      <c r="R999" s="146" t="s">
        <v>23173</v>
      </c>
      <c r="T999" s="92" t="s">
        <v>1719</v>
      </c>
      <c r="U999">
        <v>1</v>
      </c>
      <c r="V999">
        <f>VLOOKUP(T999,'Data Angt'!$A$5:$F$5810,6,FALSE)</f>
        <v>48</v>
      </c>
      <c r="W999" s="5" t="str">
        <f t="shared" si="15"/>
        <v>PRODUKTIF</v>
      </c>
      <c r="X999" s="5" t="str">
        <f>VLOOKUP(T999,'Data Angt'!$A$5:$H$5810,8,FALSE)</f>
        <v>Mengurus Rumah Tangga</v>
      </c>
      <c r="Y999" s="5" t="str">
        <f>VLOOKUP(T999,'Data Angt'!$A$5:$C$5808,3,FALSE)</f>
        <v>JBR</v>
      </c>
    </row>
    <row r="1000" spans="1:25" x14ac:dyDescent="0.3">
      <c r="A1000" s="8">
        <v>994</v>
      </c>
      <c r="B1000" s="9" t="s">
        <v>14755</v>
      </c>
      <c r="C1000" s="10" t="str">
        <f>VLOOKUP(B1000,'Data Angt'!$A$5:$B$5809,2,FALSE)</f>
        <v>A5345</v>
      </c>
      <c r="D1000" s="11" t="s">
        <v>9829</v>
      </c>
      <c r="E1000" s="12" t="s">
        <v>16780</v>
      </c>
      <c r="F1000" s="13">
        <v>45723</v>
      </c>
      <c r="G1000" s="14">
        <v>45908</v>
      </c>
      <c r="H1000" s="15">
        <v>25000000</v>
      </c>
      <c r="I1000" s="16">
        <v>24</v>
      </c>
      <c r="J1000" s="17">
        <v>21</v>
      </c>
      <c r="K1000" s="9" t="s">
        <v>9831</v>
      </c>
      <c r="L1000" s="10" t="s">
        <v>16781</v>
      </c>
      <c r="M1000" s="9" t="s">
        <v>9854</v>
      </c>
      <c r="N1000" s="10" t="s">
        <v>17</v>
      </c>
      <c r="O1000" s="15">
        <v>19689400</v>
      </c>
      <c r="P1000" s="145">
        <v>899098</v>
      </c>
      <c r="Q1000" s="9" t="s">
        <v>22946</v>
      </c>
      <c r="R1000" s="146" t="s">
        <v>23174</v>
      </c>
      <c r="T1000" s="92" t="s">
        <v>1756</v>
      </c>
      <c r="U1000">
        <v>2</v>
      </c>
      <c r="V1000">
        <f>VLOOKUP(T1000,'Data Angt'!$A$5:$F$5810,6,FALSE)</f>
        <v>44</v>
      </c>
      <c r="W1000" s="5" t="str">
        <f t="shared" si="15"/>
        <v>KESEJAHTERAAN</v>
      </c>
      <c r="X1000" s="5" t="str">
        <f>VLOOKUP(T1000,'Data Angt'!$A$5:$H$5810,8,FALSE)</f>
        <v>Wiraswasta</v>
      </c>
      <c r="Y1000" s="5" t="str">
        <f>VLOOKUP(T1000,'Data Angt'!$A$5:$C$5808,3,FALSE)</f>
        <v>JBR</v>
      </c>
    </row>
    <row r="1001" spans="1:25" x14ac:dyDescent="0.3">
      <c r="A1001" s="8">
        <v>995</v>
      </c>
      <c r="B1001" s="9" t="s">
        <v>14767</v>
      </c>
      <c r="C1001" s="10" t="str">
        <f>VLOOKUP(B1001,'Data Angt'!$A$5:$B$5809,2,FALSE)</f>
        <v>A5351</v>
      </c>
      <c r="D1001" s="11" t="s">
        <v>9829</v>
      </c>
      <c r="E1001" s="12" t="s">
        <v>16782</v>
      </c>
      <c r="F1001" s="13">
        <v>45709</v>
      </c>
      <c r="G1001" s="14">
        <v>45773</v>
      </c>
      <c r="H1001" s="15">
        <v>5000000</v>
      </c>
      <c r="I1001" s="16">
        <v>12</v>
      </c>
      <c r="J1001" s="17">
        <v>24</v>
      </c>
      <c r="K1001" s="9" t="s">
        <v>9831</v>
      </c>
      <c r="L1001" s="10" t="s">
        <v>16783</v>
      </c>
      <c r="M1001" s="9" t="s">
        <v>9838</v>
      </c>
      <c r="N1001" s="10" t="s">
        <v>9830</v>
      </c>
      <c r="O1001" s="15">
        <v>4247000</v>
      </c>
      <c r="P1001" s="145">
        <v>72225</v>
      </c>
      <c r="Q1001" s="9" t="s">
        <v>22901</v>
      </c>
      <c r="R1001" s="146" t="s">
        <v>23175</v>
      </c>
      <c r="T1001" s="92" t="s">
        <v>1919</v>
      </c>
      <c r="U1001">
        <v>1</v>
      </c>
      <c r="V1001">
        <f>VLOOKUP(T1001,'Data Angt'!$A$5:$F$5810,6,FALSE)</f>
        <v>48</v>
      </c>
      <c r="W1001" s="5" t="str">
        <f t="shared" si="15"/>
        <v>PENDIDIKAN</v>
      </c>
      <c r="X1001" s="5" t="str">
        <f>VLOOKUP(T1001,'Data Angt'!$A$5:$H$5810,8,FALSE)</f>
        <v>Mengurus Rumah Tangga</v>
      </c>
      <c r="Y1001" s="5" t="str">
        <f>VLOOKUP(T1001,'Data Angt'!$A$5:$C$5808,3,FALSE)</f>
        <v>JBR</v>
      </c>
    </row>
    <row r="1002" spans="1:25" x14ac:dyDescent="0.3">
      <c r="A1002" s="8">
        <v>996</v>
      </c>
      <c r="B1002" s="9" t="s">
        <v>14769</v>
      </c>
      <c r="C1002" s="10" t="str">
        <f>VLOOKUP(B1002,'Data Angt'!$A$5:$B$5809,2,FALSE)</f>
        <v>A5352</v>
      </c>
      <c r="D1002" s="11" t="s">
        <v>9833</v>
      </c>
      <c r="E1002" s="12" t="s">
        <v>16784</v>
      </c>
      <c r="F1002" s="13">
        <v>45709</v>
      </c>
      <c r="G1002" s="14">
        <v>45930</v>
      </c>
      <c r="H1002" s="15">
        <v>1500000</v>
      </c>
      <c r="I1002" s="16">
        <v>10</v>
      </c>
      <c r="J1002" s="17">
        <v>24</v>
      </c>
      <c r="K1002" s="9" t="s">
        <v>9831</v>
      </c>
      <c r="L1002" s="10" t="s">
        <v>16785</v>
      </c>
      <c r="M1002" s="9" t="s">
        <v>9862</v>
      </c>
      <c r="N1002" s="10" t="s">
        <v>9834</v>
      </c>
      <c r="O1002" s="15">
        <v>636100</v>
      </c>
      <c r="P1002" s="145">
        <v>56586</v>
      </c>
      <c r="Q1002" s="9"/>
      <c r="R1002" s="146"/>
      <c r="T1002" s="92" t="s">
        <v>1926</v>
      </c>
      <c r="U1002">
        <v>1</v>
      </c>
      <c r="V1002">
        <f>VLOOKUP(T1002,'Data Angt'!$A$5:$F$5810,6,FALSE)</f>
        <v>55</v>
      </c>
      <c r="W1002" s="5" t="str">
        <f t="shared" si="15"/>
        <v>PRODUKTIF</v>
      </c>
      <c r="X1002" s="5" t="str">
        <f>VLOOKUP(T1002,'Data Angt'!$A$5:$H$5810,8,FALSE)</f>
        <v>Karyawan</v>
      </c>
      <c r="Y1002" s="5" t="str">
        <f>VLOOKUP(T1002,'Data Angt'!$A$5:$C$5808,3,FALSE)</f>
        <v>JBR</v>
      </c>
    </row>
    <row r="1003" spans="1:25" x14ac:dyDescent="0.3">
      <c r="A1003" s="8">
        <v>997</v>
      </c>
      <c r="B1003" s="9" t="s">
        <v>14771</v>
      </c>
      <c r="C1003" s="10" t="str">
        <f>VLOOKUP(B1003,'Data Angt'!$A$5:$B$5809,2,FALSE)</f>
        <v>A5353</v>
      </c>
      <c r="D1003" s="11" t="s">
        <v>9833</v>
      </c>
      <c r="E1003" s="12" t="s">
        <v>16786</v>
      </c>
      <c r="F1003" s="13">
        <v>45709</v>
      </c>
      <c r="G1003" s="14">
        <v>45930</v>
      </c>
      <c r="H1003" s="15">
        <v>1500000</v>
      </c>
      <c r="I1003" s="16">
        <v>10</v>
      </c>
      <c r="J1003" s="17">
        <v>24</v>
      </c>
      <c r="K1003" s="9" t="s">
        <v>9831</v>
      </c>
      <c r="L1003" s="10" t="s">
        <v>16787</v>
      </c>
      <c r="M1003" s="9" t="s">
        <v>9862</v>
      </c>
      <c r="N1003" s="10" t="s">
        <v>9834</v>
      </c>
      <c r="O1003" s="15">
        <v>481900</v>
      </c>
      <c r="P1003" s="145">
        <v>56586</v>
      </c>
      <c r="Q1003" s="9"/>
      <c r="R1003" s="146"/>
      <c r="T1003" s="92" t="s">
        <v>1962</v>
      </c>
      <c r="U1003">
        <v>1</v>
      </c>
      <c r="V1003">
        <f>VLOOKUP(T1003,'Data Angt'!$A$5:$F$5810,6,FALSE)</f>
        <v>46</v>
      </c>
      <c r="W1003" s="5" t="str">
        <f t="shared" si="15"/>
        <v>PENDIDIKAN</v>
      </c>
      <c r="X1003" s="5" t="str">
        <f>VLOOKUP(T1003,'Data Angt'!$A$5:$H$5810,8,FALSE)</f>
        <v>Mengurus Rumah Tangga</v>
      </c>
      <c r="Y1003" s="5" t="str">
        <f>VLOOKUP(T1003,'Data Angt'!$A$5:$C$5808,3,FALSE)</f>
        <v>JBR</v>
      </c>
    </row>
    <row r="1004" spans="1:25" x14ac:dyDescent="0.3">
      <c r="A1004" s="8">
        <v>998</v>
      </c>
      <c r="B1004" s="9" t="s">
        <v>14773</v>
      </c>
      <c r="C1004" s="10" t="str">
        <f>VLOOKUP(B1004,'Data Angt'!$A$5:$B$5809,2,FALSE)</f>
        <v>A5354</v>
      </c>
      <c r="D1004" s="11" t="s">
        <v>9829</v>
      </c>
      <c r="E1004" s="12" t="s">
        <v>16788</v>
      </c>
      <c r="F1004" s="13">
        <v>45709</v>
      </c>
      <c r="G1004" s="14">
        <v>45917</v>
      </c>
      <c r="H1004" s="15">
        <v>1500000</v>
      </c>
      <c r="I1004" s="16">
        <v>10</v>
      </c>
      <c r="J1004" s="17">
        <v>24</v>
      </c>
      <c r="K1004" s="9" t="s">
        <v>9831</v>
      </c>
      <c r="L1004" s="10" t="s">
        <v>16789</v>
      </c>
      <c r="M1004" s="9" t="s">
        <v>10352</v>
      </c>
      <c r="N1004" s="10" t="s">
        <v>9828</v>
      </c>
      <c r="O1004" s="15">
        <v>481900</v>
      </c>
      <c r="P1004" s="145">
        <v>56586</v>
      </c>
      <c r="Q1004" s="9"/>
      <c r="R1004" s="146"/>
      <c r="T1004" s="92" t="s">
        <v>1981</v>
      </c>
      <c r="U1004">
        <v>1</v>
      </c>
      <c r="V1004">
        <f>VLOOKUP(T1004,'Data Angt'!$A$5:$F$5810,6,FALSE)</f>
        <v>70</v>
      </c>
      <c r="W1004" s="5" t="str">
        <f t="shared" si="15"/>
        <v>KESEJAHTERAAN</v>
      </c>
      <c r="X1004" s="5" t="str">
        <f>VLOOKUP(T1004,'Data Angt'!$A$5:$H$5810,8,FALSE)</f>
        <v>Karyawan</v>
      </c>
      <c r="Y1004" s="5" t="str">
        <f>VLOOKUP(T1004,'Data Angt'!$A$5:$C$5808,3,FALSE)</f>
        <v>JBR</v>
      </c>
    </row>
    <row r="1005" spans="1:25" x14ac:dyDescent="0.3">
      <c r="A1005" s="8">
        <v>999</v>
      </c>
      <c r="B1005" s="9" t="s">
        <v>14775</v>
      </c>
      <c r="C1005" s="10" t="str">
        <f>VLOOKUP(B1005,'Data Angt'!$A$5:$B$5809,2,FALSE)</f>
        <v>A5355</v>
      </c>
      <c r="D1005" s="11" t="s">
        <v>9829</v>
      </c>
      <c r="E1005" s="12" t="s">
        <v>16790</v>
      </c>
      <c r="F1005" s="13">
        <v>45709</v>
      </c>
      <c r="G1005" s="14">
        <v>45917</v>
      </c>
      <c r="H1005" s="15">
        <v>1500000</v>
      </c>
      <c r="I1005" s="16">
        <v>10</v>
      </c>
      <c r="J1005" s="17">
        <v>24</v>
      </c>
      <c r="K1005" s="9" t="s">
        <v>9831</v>
      </c>
      <c r="L1005" s="10" t="s">
        <v>16791</v>
      </c>
      <c r="M1005" s="9" t="s">
        <v>9854</v>
      </c>
      <c r="N1005" s="10" t="s">
        <v>17</v>
      </c>
      <c r="O1005" s="15">
        <v>481900</v>
      </c>
      <c r="P1005" s="145">
        <v>56586</v>
      </c>
      <c r="Q1005" s="9"/>
      <c r="R1005" s="146"/>
      <c r="T1005" s="92" t="s">
        <v>2025</v>
      </c>
      <c r="U1005">
        <v>1</v>
      </c>
      <c r="V1005">
        <f>VLOOKUP(T1005,'Data Angt'!$A$5:$F$5810,6,FALSE)</f>
        <v>51</v>
      </c>
      <c r="W1005" s="5" t="str">
        <f t="shared" si="15"/>
        <v>KONSUMTIF</v>
      </c>
      <c r="X1005" s="5" t="str">
        <f>VLOOKUP(T1005,'Data Angt'!$A$5:$H$5810,8,FALSE)</f>
        <v>Tenaga Medis</v>
      </c>
      <c r="Y1005" s="5" t="str">
        <f>VLOOKUP(T1005,'Data Angt'!$A$5:$C$5808,3,FALSE)</f>
        <v>JBR</v>
      </c>
    </row>
    <row r="1006" spans="1:25" x14ac:dyDescent="0.3">
      <c r="A1006" s="8">
        <v>1000</v>
      </c>
      <c r="B1006" s="9" t="s">
        <v>14821</v>
      </c>
      <c r="C1006" s="10" t="str">
        <f>VLOOKUP(B1006,'Data Angt'!$A$5:$B$5809,2,FALSE)</f>
        <v>A5378</v>
      </c>
      <c r="D1006" s="11" t="s">
        <v>9833</v>
      </c>
      <c r="E1006" s="12" t="s">
        <v>16792</v>
      </c>
      <c r="F1006" s="13">
        <v>45812</v>
      </c>
      <c r="G1006" s="14">
        <v>45904</v>
      </c>
      <c r="H1006" s="15">
        <v>5000000</v>
      </c>
      <c r="I1006" s="16">
        <v>12</v>
      </c>
      <c r="J1006" s="17">
        <v>24</v>
      </c>
      <c r="K1006" s="9" t="s">
        <v>9831</v>
      </c>
      <c r="L1006" s="10" t="s">
        <v>16793</v>
      </c>
      <c r="M1006" s="9" t="s">
        <v>10232</v>
      </c>
      <c r="N1006" s="10" t="s">
        <v>9834</v>
      </c>
      <c r="O1006" s="15">
        <v>3859200</v>
      </c>
      <c r="P1006" s="145">
        <v>104100</v>
      </c>
      <c r="Q1006" s="9" t="s">
        <v>22985</v>
      </c>
      <c r="R1006" s="146" t="s">
        <v>23176</v>
      </c>
      <c r="T1006" s="92" t="s">
        <v>2080</v>
      </c>
      <c r="U1006">
        <v>1</v>
      </c>
      <c r="V1006">
        <f>VLOOKUP(T1006,'Data Angt'!$A$5:$F$5810,6,FALSE)</f>
        <v>64</v>
      </c>
      <c r="W1006" s="5">
        <f t="shared" si="15"/>
        <v>0</v>
      </c>
      <c r="X1006" s="5" t="str">
        <f>VLOOKUP(T1006,'Data Angt'!$A$5:$H$5810,8,FALSE)</f>
        <v>Karyawan</v>
      </c>
      <c r="Y1006" s="5" t="str">
        <f>VLOOKUP(T1006,'Data Angt'!$A$5:$C$5808,3,FALSE)</f>
        <v>JBR</v>
      </c>
    </row>
    <row r="1007" spans="1:25" x14ac:dyDescent="0.3">
      <c r="A1007" s="8">
        <v>1001</v>
      </c>
      <c r="B1007" s="9" t="s">
        <v>14886</v>
      </c>
      <c r="C1007" s="10" t="str">
        <f>VLOOKUP(B1007,'Data Angt'!$A$5:$B$5809,2,FALSE)</f>
        <v>A5406</v>
      </c>
      <c r="D1007" s="11" t="s">
        <v>9833</v>
      </c>
      <c r="E1007" s="12" t="s">
        <v>16794</v>
      </c>
      <c r="F1007" s="13">
        <v>45722</v>
      </c>
      <c r="G1007" s="14">
        <v>45912</v>
      </c>
      <c r="H1007" s="15">
        <v>1500000</v>
      </c>
      <c r="I1007" s="16">
        <v>10</v>
      </c>
      <c r="J1007" s="17">
        <v>24</v>
      </c>
      <c r="K1007" s="9" t="s">
        <v>9831</v>
      </c>
      <c r="L1007" s="10" t="s">
        <v>16795</v>
      </c>
      <c r="M1007" s="9" t="s">
        <v>16796</v>
      </c>
      <c r="N1007" s="10" t="s">
        <v>9834</v>
      </c>
      <c r="O1007" s="15">
        <v>636100</v>
      </c>
      <c r="P1007" s="145">
        <v>51786</v>
      </c>
      <c r="Q1007" s="9"/>
      <c r="R1007" s="146"/>
      <c r="T1007" s="92" t="s">
        <v>2086</v>
      </c>
      <c r="U1007">
        <v>1</v>
      </c>
      <c r="V1007">
        <f>VLOOKUP(T1007,'Data Angt'!$A$5:$F$5810,6,FALSE)</f>
        <v>50</v>
      </c>
      <c r="W1007" s="5" t="str">
        <f t="shared" si="15"/>
        <v>PRODUKTIF</v>
      </c>
      <c r="X1007" s="5" t="str">
        <f>VLOOKUP(T1007,'Data Angt'!$A$5:$H$5810,8,FALSE)</f>
        <v>Tenaga Pengajar</v>
      </c>
      <c r="Y1007" s="5" t="str">
        <f>VLOOKUP(T1007,'Data Angt'!$A$5:$C$5808,3,FALSE)</f>
        <v>JBR</v>
      </c>
    </row>
    <row r="1008" spans="1:25" x14ac:dyDescent="0.3">
      <c r="A1008" s="8">
        <v>1002</v>
      </c>
      <c r="B1008" s="9" t="s">
        <v>14888</v>
      </c>
      <c r="C1008" s="10" t="str">
        <f>VLOOKUP(B1008,'Data Angt'!$A$5:$B$5809,2,FALSE)</f>
        <v>A5407</v>
      </c>
      <c r="D1008" s="11" t="s">
        <v>9833</v>
      </c>
      <c r="E1008" s="12" t="s">
        <v>16797</v>
      </c>
      <c r="F1008" s="13">
        <v>45722</v>
      </c>
      <c r="G1008" s="14">
        <v>45908</v>
      </c>
      <c r="H1008" s="15">
        <v>1500000</v>
      </c>
      <c r="I1008" s="16">
        <v>10</v>
      </c>
      <c r="J1008" s="17">
        <v>24</v>
      </c>
      <c r="K1008" s="9" t="s">
        <v>9831</v>
      </c>
      <c r="L1008" s="10" t="s">
        <v>16798</v>
      </c>
      <c r="M1008" s="9" t="s">
        <v>10491</v>
      </c>
      <c r="N1008" s="10" t="s">
        <v>9834</v>
      </c>
      <c r="O1008" s="15">
        <v>636100</v>
      </c>
      <c r="P1008" s="145">
        <v>51786</v>
      </c>
      <c r="Q1008" s="9"/>
      <c r="R1008" s="146"/>
      <c r="T1008" s="92" t="s">
        <v>2089</v>
      </c>
      <c r="U1008">
        <v>1</v>
      </c>
      <c r="V1008">
        <f>VLOOKUP(T1008,'Data Angt'!$A$5:$F$5810,6,FALSE)</f>
        <v>53</v>
      </c>
      <c r="W1008" s="5" t="str">
        <f t="shared" si="15"/>
        <v>PRODUKTIF</v>
      </c>
      <c r="X1008" s="5" t="str">
        <f>VLOOKUP(T1008,'Data Angt'!$A$5:$H$5810,8,FALSE)</f>
        <v>Karyawan</v>
      </c>
      <c r="Y1008" s="5" t="str">
        <f>VLOOKUP(T1008,'Data Angt'!$A$5:$C$5808,3,FALSE)</f>
        <v>JBR</v>
      </c>
    </row>
    <row r="1009" spans="1:25" x14ac:dyDescent="0.3">
      <c r="A1009" s="8">
        <v>1003</v>
      </c>
      <c r="B1009" s="9" t="s">
        <v>14895</v>
      </c>
      <c r="C1009" s="10" t="str">
        <f>VLOOKUP(B1009,'Data Angt'!$A$5:$B$5809,2,FALSE)</f>
        <v>A5410</v>
      </c>
      <c r="D1009" s="11" t="s">
        <v>9833</v>
      </c>
      <c r="E1009" s="12" t="s">
        <v>16799</v>
      </c>
      <c r="F1009" s="13">
        <v>45797</v>
      </c>
      <c r="G1009" s="14">
        <v>45930</v>
      </c>
      <c r="H1009" s="15">
        <v>10000000</v>
      </c>
      <c r="I1009" s="16">
        <v>30</v>
      </c>
      <c r="J1009" s="17">
        <v>24</v>
      </c>
      <c r="K1009" s="9" t="s">
        <v>9831</v>
      </c>
      <c r="L1009" s="10" t="s">
        <v>16800</v>
      </c>
      <c r="M1009" s="9" t="s">
        <v>9862</v>
      </c>
      <c r="N1009" s="10" t="s">
        <v>9834</v>
      </c>
      <c r="O1009" s="15">
        <v>8984200</v>
      </c>
      <c r="P1009" s="145">
        <v>288824</v>
      </c>
      <c r="Q1009" s="9" t="s">
        <v>22910</v>
      </c>
      <c r="R1009" s="146" t="s">
        <v>23177</v>
      </c>
      <c r="T1009" s="92" t="s">
        <v>2192</v>
      </c>
      <c r="U1009">
        <v>2</v>
      </c>
      <c r="V1009">
        <f>VLOOKUP(T1009,'Data Angt'!$A$5:$F$5810,6,FALSE)</f>
        <v>58</v>
      </c>
      <c r="W1009" s="5" t="str">
        <f t="shared" si="15"/>
        <v>KONSUMTIF</v>
      </c>
      <c r="X1009" s="5" t="str">
        <f>VLOOKUP(T1009,'Data Angt'!$A$5:$H$5810,8,FALSE)</f>
        <v>Wiraswasta</v>
      </c>
      <c r="Y1009" s="5" t="str">
        <f>VLOOKUP(T1009,'Data Angt'!$A$5:$C$5808,3,FALSE)</f>
        <v>JBR</v>
      </c>
    </row>
    <row r="1010" spans="1:25" x14ac:dyDescent="0.3">
      <c r="A1010" s="8">
        <v>1004</v>
      </c>
      <c r="B1010" s="9" t="s">
        <v>14939</v>
      </c>
      <c r="C1010" s="10" t="str">
        <f>VLOOKUP(B1010,'Data Angt'!$A$5:$B$5809,2,FALSE)</f>
        <v>A5429</v>
      </c>
      <c r="D1010" s="11" t="s">
        <v>9829</v>
      </c>
      <c r="E1010" s="12" t="s">
        <v>16801</v>
      </c>
      <c r="F1010" s="13">
        <v>45805</v>
      </c>
      <c r="G1010" s="14">
        <v>45930</v>
      </c>
      <c r="H1010" s="15">
        <v>6000000</v>
      </c>
      <c r="I1010" s="16">
        <v>24</v>
      </c>
      <c r="J1010" s="17">
        <v>24</v>
      </c>
      <c r="K1010" s="9" t="s">
        <v>9831</v>
      </c>
      <c r="L1010" s="10" t="s">
        <v>16802</v>
      </c>
      <c r="M1010" s="9" t="s">
        <v>15866</v>
      </c>
      <c r="N1010" s="10" t="s">
        <v>9828</v>
      </c>
      <c r="O1010" s="15">
        <v>5187000</v>
      </c>
      <c r="P1010" s="145">
        <v>171074</v>
      </c>
      <c r="Q1010" s="9" t="s">
        <v>22910</v>
      </c>
      <c r="R1010" s="146" t="s">
        <v>23178</v>
      </c>
      <c r="T1010" s="92" t="s">
        <v>2285</v>
      </c>
      <c r="U1010">
        <v>1</v>
      </c>
      <c r="V1010">
        <f>VLOOKUP(T1010,'Data Angt'!$A$5:$F$5810,6,FALSE)</f>
        <v>25</v>
      </c>
      <c r="W1010" s="5" t="str">
        <f t="shared" si="15"/>
        <v>PRODUKTIF</v>
      </c>
      <c r="X1010" s="5" t="str">
        <f>VLOOKUP(T1010,'Data Angt'!$A$5:$H$5810,8,FALSE)</f>
        <v>Pelajar/Mahasiswa</v>
      </c>
      <c r="Y1010" s="5" t="str">
        <f>VLOOKUP(T1010,'Data Angt'!$A$5:$C$5808,3,FALSE)</f>
        <v>JBR</v>
      </c>
    </row>
    <row r="1011" spans="1:25" x14ac:dyDescent="0.3">
      <c r="A1011" s="8">
        <v>1005</v>
      </c>
      <c r="B1011" s="9" t="s">
        <v>14949</v>
      </c>
      <c r="C1011" s="10" t="str">
        <f>VLOOKUP(B1011,'Data Angt'!$A$5:$B$5809,2,FALSE)</f>
        <v>A5436</v>
      </c>
      <c r="D1011" s="11" t="s">
        <v>9833</v>
      </c>
      <c r="E1011" s="12" t="s">
        <v>16803</v>
      </c>
      <c r="F1011" s="13">
        <v>45740</v>
      </c>
      <c r="G1011" s="14">
        <v>45923</v>
      </c>
      <c r="H1011" s="15">
        <v>1500000</v>
      </c>
      <c r="I1011" s="16">
        <v>10</v>
      </c>
      <c r="J1011" s="17">
        <v>24</v>
      </c>
      <c r="K1011" s="9" t="s">
        <v>9831</v>
      </c>
      <c r="L1011" s="10" t="s">
        <v>16804</v>
      </c>
      <c r="M1011" s="9" t="s">
        <v>16805</v>
      </c>
      <c r="N1011" s="10" t="s">
        <v>9834</v>
      </c>
      <c r="O1011" s="15">
        <v>636100</v>
      </c>
      <c r="P1011" s="145">
        <v>51786</v>
      </c>
      <c r="Q1011" s="9"/>
      <c r="R1011" s="146"/>
      <c r="T1011" s="92" t="s">
        <v>2295</v>
      </c>
      <c r="U1011">
        <v>1</v>
      </c>
      <c r="V1011">
        <f>VLOOKUP(T1011,'Data Angt'!$A$5:$F$5810,6,FALSE)</f>
        <v>67</v>
      </c>
      <c r="W1011" s="5" t="str">
        <f t="shared" si="15"/>
        <v>PRODUKTIF</v>
      </c>
      <c r="X1011" s="5" t="str">
        <f>VLOOKUP(T1011,'Data Angt'!$A$5:$H$5810,8,FALSE)</f>
        <v>Mengurus Rumah Tangga</v>
      </c>
      <c r="Y1011" s="5" t="str">
        <f>VLOOKUP(T1011,'Data Angt'!$A$5:$C$5808,3,FALSE)</f>
        <v>JBR</v>
      </c>
    </row>
    <row r="1012" spans="1:25" x14ac:dyDescent="0.3">
      <c r="A1012" s="8">
        <v>1006</v>
      </c>
      <c r="B1012" s="9" t="s">
        <v>14957</v>
      </c>
      <c r="C1012" s="10" t="str">
        <f>VLOOKUP(B1012,'Data Angt'!$A$5:$B$5809,2,FALSE)</f>
        <v>A5439</v>
      </c>
      <c r="D1012" s="11" t="s">
        <v>9833</v>
      </c>
      <c r="E1012" s="12" t="s">
        <v>23179</v>
      </c>
      <c r="F1012" s="13">
        <v>45862</v>
      </c>
      <c r="G1012" s="14">
        <v>45925</v>
      </c>
      <c r="H1012" s="15">
        <v>2500000</v>
      </c>
      <c r="I1012" s="16">
        <v>12</v>
      </c>
      <c r="J1012" s="17">
        <v>24</v>
      </c>
      <c r="K1012" s="9" t="s">
        <v>9831</v>
      </c>
      <c r="L1012" s="10" t="s">
        <v>23180</v>
      </c>
      <c r="M1012" s="9" t="s">
        <v>15611</v>
      </c>
      <c r="N1012" s="10" t="s">
        <v>9834</v>
      </c>
      <c r="O1012" s="15">
        <v>2123500</v>
      </c>
      <c r="P1012" s="145">
        <v>36112</v>
      </c>
      <c r="Q1012" s="9"/>
      <c r="R1012" s="146"/>
      <c r="T1012" s="92" t="s">
        <v>2349</v>
      </c>
      <c r="U1012">
        <v>2</v>
      </c>
      <c r="V1012">
        <f>VLOOKUP(T1012,'Data Angt'!$A$5:$F$5810,6,FALSE)</f>
        <v>61</v>
      </c>
      <c r="W1012" s="5" t="str">
        <f t="shared" si="15"/>
        <v>PRODUKTIF</v>
      </c>
      <c r="X1012" s="5" t="str">
        <f>VLOOKUP(T1012,'Data Angt'!$A$5:$H$5810,8,FALSE)</f>
        <v>Aparatur/Pejabat Negara</v>
      </c>
      <c r="Y1012" s="5" t="str">
        <f>VLOOKUP(T1012,'Data Angt'!$A$5:$C$5808,3,FALSE)</f>
        <v>JBR</v>
      </c>
    </row>
    <row r="1013" spans="1:25" x14ac:dyDescent="0.3">
      <c r="A1013" s="8">
        <v>1007</v>
      </c>
      <c r="B1013" s="9" t="s">
        <v>14982</v>
      </c>
      <c r="C1013" s="10" t="str">
        <f>VLOOKUP(B1013,'Data Angt'!$A$5:$B$5809,2,FALSE)</f>
        <v>A5451</v>
      </c>
      <c r="D1013" s="11" t="s">
        <v>9833</v>
      </c>
      <c r="E1013" s="12" t="s">
        <v>23181</v>
      </c>
      <c r="F1013" s="13">
        <v>45895</v>
      </c>
      <c r="G1013" s="14">
        <v>45926</v>
      </c>
      <c r="H1013" s="15">
        <v>7000000</v>
      </c>
      <c r="I1013" s="16">
        <v>12</v>
      </c>
      <c r="J1013" s="17">
        <v>24</v>
      </c>
      <c r="K1013" s="9" t="s">
        <v>9831</v>
      </c>
      <c r="L1013" s="10" t="s">
        <v>23182</v>
      </c>
      <c r="M1013" s="9" t="s">
        <v>23183</v>
      </c>
      <c r="N1013" s="10" t="s">
        <v>9834</v>
      </c>
      <c r="O1013" s="15">
        <v>6478000</v>
      </c>
      <c r="P1013" s="145">
        <v>52500</v>
      </c>
      <c r="Q1013" s="9" t="s">
        <v>22901</v>
      </c>
      <c r="R1013" s="146" t="s">
        <v>23184</v>
      </c>
      <c r="T1013" s="92" t="s">
        <v>2363</v>
      </c>
      <c r="U1013">
        <v>1</v>
      </c>
      <c r="V1013">
        <f>VLOOKUP(T1013,'Data Angt'!$A$5:$F$5810,6,FALSE)</f>
        <v>57</v>
      </c>
      <c r="W1013" s="5">
        <f t="shared" si="15"/>
        <v>0</v>
      </c>
      <c r="X1013" s="5" t="str">
        <f>VLOOKUP(T1013,'Data Angt'!$A$5:$H$5810,8,FALSE)</f>
        <v>Tenaga Medis</v>
      </c>
      <c r="Y1013" s="5" t="str">
        <f>VLOOKUP(T1013,'Data Angt'!$A$5:$C$5808,3,FALSE)</f>
        <v>JBR</v>
      </c>
    </row>
    <row r="1014" spans="1:25" x14ac:dyDescent="0.3">
      <c r="A1014" s="8">
        <v>1008</v>
      </c>
      <c r="B1014" s="9" t="s">
        <v>14985</v>
      </c>
      <c r="C1014" s="10" t="str">
        <f>VLOOKUP(B1014,'Data Angt'!$A$5:$B$5809,2,FALSE)</f>
        <v>A5452</v>
      </c>
      <c r="D1014" s="11" t="s">
        <v>9833</v>
      </c>
      <c r="E1014" s="12" t="s">
        <v>23185</v>
      </c>
      <c r="F1014" s="13">
        <v>45849</v>
      </c>
      <c r="G1014" s="14">
        <v>45912</v>
      </c>
      <c r="H1014" s="15">
        <v>10000000</v>
      </c>
      <c r="I1014" s="16">
        <v>24</v>
      </c>
      <c r="J1014" s="17">
        <v>24</v>
      </c>
      <c r="K1014" s="9" t="s">
        <v>9831</v>
      </c>
      <c r="L1014" s="10" t="s">
        <v>23186</v>
      </c>
      <c r="M1014" s="9" t="s">
        <v>9862</v>
      </c>
      <c r="N1014" s="10" t="s">
        <v>9834</v>
      </c>
      <c r="O1014" s="15">
        <v>9335900</v>
      </c>
      <c r="P1014" s="145">
        <v>147562</v>
      </c>
      <c r="Q1014" s="9" t="s">
        <v>22910</v>
      </c>
      <c r="R1014" s="146" t="s">
        <v>23187</v>
      </c>
      <c r="T1014" s="92" t="s">
        <v>2390</v>
      </c>
      <c r="U1014">
        <v>1</v>
      </c>
      <c r="V1014">
        <f>VLOOKUP(T1014,'Data Angt'!$A$5:$F$5810,6,FALSE)</f>
        <v>58</v>
      </c>
      <c r="W1014" s="5" t="str">
        <f t="shared" si="15"/>
        <v>PRODUKTIF</v>
      </c>
      <c r="X1014" s="5" t="str">
        <f>VLOOKUP(T1014,'Data Angt'!$A$5:$H$5810,8,FALSE)</f>
        <v>Wiraswasta</v>
      </c>
      <c r="Y1014" s="5" t="str">
        <f>VLOOKUP(T1014,'Data Angt'!$A$5:$C$5808,3,FALSE)</f>
        <v>JBR</v>
      </c>
    </row>
    <row r="1015" spans="1:25" x14ac:dyDescent="0.3">
      <c r="A1015" s="8">
        <v>1009</v>
      </c>
      <c r="B1015" s="9" t="s">
        <v>15016</v>
      </c>
      <c r="C1015" s="10" t="str">
        <f>VLOOKUP(B1015,'Data Angt'!$A$5:$B$5809,2,FALSE)</f>
        <v>A5467</v>
      </c>
      <c r="D1015" s="11" t="s">
        <v>9829</v>
      </c>
      <c r="E1015" s="12" t="s">
        <v>23188</v>
      </c>
      <c r="F1015" s="13">
        <v>45857</v>
      </c>
      <c r="G1015" s="14">
        <v>45913</v>
      </c>
      <c r="H1015" s="15">
        <v>1500000</v>
      </c>
      <c r="I1015" s="16">
        <v>10</v>
      </c>
      <c r="J1015" s="17">
        <v>24</v>
      </c>
      <c r="K1015" s="9" t="s">
        <v>9831</v>
      </c>
      <c r="L1015" s="10" t="s">
        <v>23189</v>
      </c>
      <c r="M1015" s="9" t="s">
        <v>9838</v>
      </c>
      <c r="N1015" s="10" t="s">
        <v>9830</v>
      </c>
      <c r="O1015" s="15">
        <v>1223300</v>
      </c>
      <c r="P1015" s="145">
        <v>21487</v>
      </c>
      <c r="Q1015" s="9"/>
      <c r="R1015" s="146"/>
      <c r="T1015" s="92" t="s">
        <v>2497</v>
      </c>
      <c r="U1015">
        <v>1</v>
      </c>
      <c r="V1015">
        <f>VLOOKUP(T1015,'Data Angt'!$A$5:$F$5810,6,FALSE)</f>
        <v>59</v>
      </c>
      <c r="W1015" s="5">
        <f t="shared" si="15"/>
        <v>0</v>
      </c>
      <c r="X1015" s="5" t="str">
        <f>VLOOKUP(T1015,'Data Angt'!$A$5:$H$5810,8,FALSE)</f>
        <v>Mengurus Rumah Tangga</v>
      </c>
      <c r="Y1015" s="5" t="str">
        <f>VLOOKUP(T1015,'Data Angt'!$A$5:$C$5808,3,FALSE)</f>
        <v>JBR</v>
      </c>
    </row>
    <row r="1016" spans="1:25" x14ac:dyDescent="0.3">
      <c r="A1016" s="8">
        <v>1010</v>
      </c>
      <c r="B1016" s="9" t="s">
        <v>15032</v>
      </c>
      <c r="C1016" s="10" t="str">
        <f>VLOOKUP(B1016,'Data Angt'!$A$5:$B$5809,2,FALSE)</f>
        <v>A5474</v>
      </c>
      <c r="D1016" s="11" t="s">
        <v>9829</v>
      </c>
      <c r="E1016" s="12" t="s">
        <v>16806</v>
      </c>
      <c r="F1016" s="13">
        <v>45770</v>
      </c>
      <c r="G1016" s="14">
        <v>45919</v>
      </c>
      <c r="H1016" s="15">
        <v>3000000</v>
      </c>
      <c r="I1016" s="16">
        <v>12</v>
      </c>
      <c r="J1016" s="17">
        <v>24</v>
      </c>
      <c r="K1016" s="9" t="s">
        <v>9831</v>
      </c>
      <c r="L1016" s="10" t="s">
        <v>16807</v>
      </c>
      <c r="M1016" s="9" t="s">
        <v>16808</v>
      </c>
      <c r="N1016" s="10" t="s">
        <v>17</v>
      </c>
      <c r="O1016" s="15">
        <v>1836100</v>
      </c>
      <c r="P1016" s="145">
        <v>95475</v>
      </c>
      <c r="Q1016" s="9"/>
      <c r="R1016" s="146"/>
      <c r="T1016" s="92" t="s">
        <v>2516</v>
      </c>
      <c r="U1016">
        <v>1</v>
      </c>
      <c r="V1016">
        <f>VLOOKUP(T1016,'Data Angt'!$A$5:$F$5810,6,FALSE)</f>
        <v>50</v>
      </c>
      <c r="W1016" s="5">
        <f t="shared" si="15"/>
        <v>0</v>
      </c>
      <c r="X1016" s="5" t="str">
        <f>VLOOKUP(T1016,'Data Angt'!$A$5:$H$5810,8,FALSE)</f>
        <v>Wiraswasta</v>
      </c>
      <c r="Y1016" s="5" t="str">
        <f>VLOOKUP(T1016,'Data Angt'!$A$5:$C$5808,3,FALSE)</f>
        <v>JBR</v>
      </c>
    </row>
    <row r="1017" spans="1:25" x14ac:dyDescent="0.3">
      <c r="A1017" s="8">
        <v>1011</v>
      </c>
      <c r="B1017" s="9" t="s">
        <v>15034</v>
      </c>
      <c r="C1017" s="10" t="str">
        <f>VLOOKUP(B1017,'Data Angt'!$A$5:$B$5809,2,FALSE)</f>
        <v>A5475</v>
      </c>
      <c r="D1017" s="11" t="s">
        <v>9833</v>
      </c>
      <c r="E1017" s="12" t="s">
        <v>16809</v>
      </c>
      <c r="F1017" s="13">
        <v>45776</v>
      </c>
      <c r="G1017" s="14">
        <v>45924</v>
      </c>
      <c r="H1017" s="15">
        <v>15000000</v>
      </c>
      <c r="I1017" s="16">
        <v>36</v>
      </c>
      <c r="J1017" s="17">
        <v>24</v>
      </c>
      <c r="K1017" s="9" t="s">
        <v>9831</v>
      </c>
      <c r="L1017" s="10" t="s">
        <v>16810</v>
      </c>
      <c r="M1017" s="9" t="s">
        <v>9862</v>
      </c>
      <c r="N1017" s="10" t="s">
        <v>9834</v>
      </c>
      <c r="O1017" s="15">
        <v>13498900</v>
      </c>
      <c r="P1017" s="145">
        <v>540524</v>
      </c>
      <c r="Q1017" s="9" t="s">
        <v>22910</v>
      </c>
      <c r="R1017" s="146" t="s">
        <v>23190</v>
      </c>
      <c r="T1017" s="92" t="s">
        <v>2537</v>
      </c>
      <c r="U1017">
        <v>1</v>
      </c>
      <c r="V1017">
        <f>VLOOKUP(T1017,'Data Angt'!$A$5:$F$5810,6,FALSE)</f>
        <v>40</v>
      </c>
      <c r="W1017" s="5" t="str">
        <f t="shared" si="15"/>
        <v>KONSUMTIF</v>
      </c>
      <c r="X1017" s="5" t="str">
        <f>VLOOKUP(T1017,'Data Angt'!$A$5:$H$5810,8,FALSE)</f>
        <v>Wiraswasta</v>
      </c>
      <c r="Y1017" s="5" t="str">
        <f>VLOOKUP(T1017,'Data Angt'!$A$5:$C$5808,3,FALSE)</f>
        <v>JBR</v>
      </c>
    </row>
    <row r="1018" spans="1:25" x14ac:dyDescent="0.3">
      <c r="A1018" s="8">
        <v>1012</v>
      </c>
      <c r="B1018" s="9" t="s">
        <v>15051</v>
      </c>
      <c r="C1018" s="10" t="str">
        <f>VLOOKUP(B1018,'Data Angt'!$A$5:$B$5809,2,FALSE)</f>
        <v>A5482</v>
      </c>
      <c r="D1018" s="11" t="s">
        <v>9833</v>
      </c>
      <c r="E1018" s="12" t="s">
        <v>16811</v>
      </c>
      <c r="F1018" s="13">
        <v>45775</v>
      </c>
      <c r="G1018" s="14">
        <v>45929</v>
      </c>
      <c r="H1018" s="15">
        <v>1500000</v>
      </c>
      <c r="I1018" s="16">
        <v>10</v>
      </c>
      <c r="J1018" s="17">
        <v>24</v>
      </c>
      <c r="K1018" s="9" t="s">
        <v>9831</v>
      </c>
      <c r="L1018" s="10" t="s">
        <v>16812</v>
      </c>
      <c r="M1018" s="9" t="s">
        <v>9862</v>
      </c>
      <c r="N1018" s="10" t="s">
        <v>9834</v>
      </c>
      <c r="O1018" s="15">
        <v>787300</v>
      </c>
      <c r="P1018" s="145">
        <v>45861</v>
      </c>
      <c r="Q1018" s="9"/>
      <c r="R1018" s="146"/>
      <c r="T1018" s="92" t="s">
        <v>2604</v>
      </c>
      <c r="U1018">
        <v>1</v>
      </c>
      <c r="V1018">
        <f>VLOOKUP(T1018,'Data Angt'!$A$5:$F$5810,6,FALSE)</f>
        <v>37</v>
      </c>
      <c r="W1018" s="5" t="str">
        <f t="shared" si="15"/>
        <v>KONSUMTIF</v>
      </c>
      <c r="X1018" s="5" t="str">
        <f>VLOOKUP(T1018,'Data Angt'!$A$5:$H$5810,8,FALSE)</f>
        <v>Karyawan</v>
      </c>
      <c r="Y1018" s="5" t="str">
        <f>VLOOKUP(T1018,'Data Angt'!$A$5:$C$5808,3,FALSE)</f>
        <v>JBR</v>
      </c>
    </row>
    <row r="1019" spans="1:25" x14ac:dyDescent="0.3">
      <c r="A1019" s="8">
        <v>1013</v>
      </c>
      <c r="B1019" s="9" t="s">
        <v>15076</v>
      </c>
      <c r="C1019" s="10" t="str">
        <f>VLOOKUP(B1019,'Data Angt'!$A$5:$B$5809,2,FALSE)</f>
        <v>A5493</v>
      </c>
      <c r="D1019" s="11" t="s">
        <v>9829</v>
      </c>
      <c r="E1019" s="12" t="s">
        <v>16813</v>
      </c>
      <c r="F1019" s="13">
        <v>45776</v>
      </c>
      <c r="G1019" s="14">
        <v>45929</v>
      </c>
      <c r="H1019" s="15">
        <v>1500000</v>
      </c>
      <c r="I1019" s="16">
        <v>10</v>
      </c>
      <c r="J1019" s="17">
        <v>24</v>
      </c>
      <c r="K1019" s="9" t="s">
        <v>9831</v>
      </c>
      <c r="L1019" s="10" t="s">
        <v>16814</v>
      </c>
      <c r="M1019" s="9" t="s">
        <v>10115</v>
      </c>
      <c r="N1019" s="10" t="s">
        <v>17</v>
      </c>
      <c r="O1019" s="15">
        <v>787300</v>
      </c>
      <c r="P1019" s="145">
        <v>45861</v>
      </c>
      <c r="Q1019" s="9"/>
      <c r="R1019" s="146"/>
      <c r="T1019" s="92" t="s">
        <v>2616</v>
      </c>
      <c r="U1019">
        <v>1</v>
      </c>
      <c r="V1019">
        <f>VLOOKUP(T1019,'Data Angt'!$A$5:$F$5810,6,FALSE)</f>
        <v>56</v>
      </c>
      <c r="W1019" s="5" t="str">
        <f t="shared" si="15"/>
        <v>KESEJAHTERAAN</v>
      </c>
      <c r="X1019" s="5" t="str">
        <f>VLOOKUP(T1019,'Data Angt'!$A$5:$H$5810,8,FALSE)</f>
        <v>Wiraswasta</v>
      </c>
      <c r="Y1019" s="5" t="str">
        <f>VLOOKUP(T1019,'Data Angt'!$A$5:$C$5808,3,FALSE)</f>
        <v>JBR</v>
      </c>
    </row>
    <row r="1020" spans="1:25" x14ac:dyDescent="0.3">
      <c r="A1020" s="8">
        <v>1014</v>
      </c>
      <c r="B1020" s="9" t="s">
        <v>15112</v>
      </c>
      <c r="C1020" s="10" t="str">
        <f>VLOOKUP(B1020,'Data Angt'!$A$5:$B$5809,2,FALSE)</f>
        <v>A5510</v>
      </c>
      <c r="D1020" s="11" t="s">
        <v>9829</v>
      </c>
      <c r="E1020" s="12" t="s">
        <v>16815</v>
      </c>
      <c r="F1020" s="13">
        <v>45786</v>
      </c>
      <c r="G1020" s="14">
        <v>45912</v>
      </c>
      <c r="H1020" s="15">
        <v>2000000</v>
      </c>
      <c r="I1020" s="16">
        <v>12</v>
      </c>
      <c r="J1020" s="17">
        <v>24</v>
      </c>
      <c r="K1020" s="9" t="s">
        <v>9831</v>
      </c>
      <c r="L1020" s="10" t="s">
        <v>16816</v>
      </c>
      <c r="M1020" s="9" t="s">
        <v>10352</v>
      </c>
      <c r="N1020" s="10" t="s">
        <v>9828</v>
      </c>
      <c r="O1020" s="15">
        <v>1385200</v>
      </c>
      <c r="P1020" s="145">
        <v>53249</v>
      </c>
      <c r="Q1020" s="9"/>
      <c r="R1020" s="146"/>
      <c r="T1020" s="92" t="s">
        <v>2694</v>
      </c>
      <c r="U1020">
        <v>1</v>
      </c>
      <c r="V1020">
        <f>VLOOKUP(T1020,'Data Angt'!$A$5:$F$5810,6,FALSE)</f>
        <v>42</v>
      </c>
      <c r="W1020" s="5" t="str">
        <f t="shared" si="15"/>
        <v>PENDIDIKAN</v>
      </c>
      <c r="X1020" s="5" t="str">
        <f>VLOOKUP(T1020,'Data Angt'!$A$5:$H$5810,8,FALSE)</f>
        <v>Tenaga Medis</v>
      </c>
      <c r="Y1020" s="5" t="str">
        <f>VLOOKUP(T1020,'Data Angt'!$A$5:$C$5808,3,FALSE)</f>
        <v>JBR</v>
      </c>
    </row>
    <row r="1021" spans="1:25" x14ac:dyDescent="0.3">
      <c r="A1021" s="8">
        <v>1015</v>
      </c>
      <c r="B1021" s="9" t="s">
        <v>15114</v>
      </c>
      <c r="C1021" s="10" t="str">
        <f>VLOOKUP(B1021,'Data Angt'!$A$5:$B$5809,2,FALSE)</f>
        <v>A5511</v>
      </c>
      <c r="D1021" s="11" t="s">
        <v>9829</v>
      </c>
      <c r="E1021" s="12" t="s">
        <v>16817</v>
      </c>
      <c r="F1021" s="13">
        <v>45786</v>
      </c>
      <c r="G1021" s="14">
        <v>45908</v>
      </c>
      <c r="H1021" s="15">
        <v>2000000</v>
      </c>
      <c r="I1021" s="16">
        <v>12</v>
      </c>
      <c r="J1021" s="17">
        <v>24</v>
      </c>
      <c r="K1021" s="9" t="s">
        <v>9831</v>
      </c>
      <c r="L1021" s="10" t="s">
        <v>16818</v>
      </c>
      <c r="M1021" s="9" t="s">
        <v>9854</v>
      </c>
      <c r="N1021" s="10" t="s">
        <v>17</v>
      </c>
      <c r="O1021" s="15">
        <v>1385200</v>
      </c>
      <c r="P1021" s="145">
        <v>53249</v>
      </c>
      <c r="Q1021" s="9"/>
      <c r="R1021" s="146"/>
      <c r="T1021" s="92" t="s">
        <v>2718</v>
      </c>
      <c r="U1021">
        <v>1</v>
      </c>
      <c r="V1021">
        <f>VLOOKUP(T1021,'Data Angt'!$A$5:$F$5810,6,FALSE)</f>
        <v>52</v>
      </c>
      <c r="W1021" s="5" t="str">
        <f t="shared" si="15"/>
        <v>KONSUMTIF</v>
      </c>
      <c r="X1021" s="5" t="str">
        <f>VLOOKUP(T1021,'Data Angt'!$A$5:$H$5810,8,FALSE)</f>
        <v>Tenaga Pengajar</v>
      </c>
      <c r="Y1021" s="5" t="str">
        <f>VLOOKUP(T1021,'Data Angt'!$A$5:$C$5808,3,FALSE)</f>
        <v>JBR</v>
      </c>
    </row>
    <row r="1022" spans="1:25" x14ac:dyDescent="0.3">
      <c r="A1022" s="8">
        <v>1016</v>
      </c>
      <c r="B1022" s="9" t="s">
        <v>15149</v>
      </c>
      <c r="C1022" s="10" t="str">
        <f>VLOOKUP(B1022,'Data Angt'!$A$5:$B$5809,2,FALSE)</f>
        <v>A5529</v>
      </c>
      <c r="D1022" s="11" t="s">
        <v>9833</v>
      </c>
      <c r="E1022" s="12" t="s">
        <v>23191</v>
      </c>
      <c r="F1022" s="13">
        <v>45848</v>
      </c>
      <c r="G1022" s="14">
        <v>45911</v>
      </c>
      <c r="H1022" s="15">
        <v>90000000</v>
      </c>
      <c r="I1022" s="16">
        <v>48</v>
      </c>
      <c r="J1022" s="17">
        <v>21</v>
      </c>
      <c r="K1022" s="9" t="s">
        <v>9831</v>
      </c>
      <c r="L1022" s="10" t="s">
        <v>23192</v>
      </c>
      <c r="M1022" s="9" t="s">
        <v>9862</v>
      </c>
      <c r="N1022" s="10" t="s">
        <v>9834</v>
      </c>
      <c r="O1022" s="15">
        <v>87554800</v>
      </c>
      <c r="P1022" s="145">
        <v>1173300</v>
      </c>
      <c r="Q1022" s="9" t="s">
        <v>22910</v>
      </c>
      <c r="R1022" s="146" t="s">
        <v>23193</v>
      </c>
      <c r="T1022" s="92" t="s">
        <v>2746</v>
      </c>
      <c r="U1022">
        <v>1</v>
      </c>
      <c r="V1022">
        <f>VLOOKUP(T1022,'Data Angt'!$A$5:$F$5810,6,FALSE)</f>
        <v>60</v>
      </c>
      <c r="W1022" s="5" t="str">
        <f t="shared" si="15"/>
        <v>PRODUKTIF</v>
      </c>
      <c r="X1022" s="5" t="str">
        <f>VLOOKUP(T1022,'Data Angt'!$A$5:$H$5810,8,FALSE)</f>
        <v>Wiraswasta</v>
      </c>
      <c r="Y1022" s="5" t="str">
        <f>VLOOKUP(T1022,'Data Angt'!$A$5:$C$5808,3,FALSE)</f>
        <v>JBR</v>
      </c>
    </row>
    <row r="1023" spans="1:25" x14ac:dyDescent="0.3">
      <c r="A1023" s="8">
        <v>1017</v>
      </c>
      <c r="B1023" s="9" t="s">
        <v>15163</v>
      </c>
      <c r="C1023" s="10" t="str">
        <f>VLOOKUP(B1023,'Data Angt'!$A$5:$B$5809,2,FALSE)</f>
        <v>A5534</v>
      </c>
      <c r="D1023" s="11" t="s">
        <v>9829</v>
      </c>
      <c r="E1023" s="12" t="s">
        <v>23194</v>
      </c>
      <c r="F1023" s="13">
        <v>45840</v>
      </c>
      <c r="G1023" s="14">
        <v>45908</v>
      </c>
      <c r="H1023" s="15">
        <v>20000000</v>
      </c>
      <c r="I1023" s="16">
        <v>24</v>
      </c>
      <c r="J1023" s="17">
        <v>24</v>
      </c>
      <c r="K1023" s="9" t="s">
        <v>9831</v>
      </c>
      <c r="L1023" s="10" t="s">
        <v>23195</v>
      </c>
      <c r="M1023" s="9" t="s">
        <v>9838</v>
      </c>
      <c r="N1023" s="10" t="s">
        <v>9830</v>
      </c>
      <c r="O1023" s="15">
        <v>18671900</v>
      </c>
      <c r="P1023" s="145">
        <v>295087</v>
      </c>
      <c r="Q1023" s="9" t="s">
        <v>22910</v>
      </c>
      <c r="R1023" s="146" t="s">
        <v>23196</v>
      </c>
      <c r="T1023" s="92" t="s">
        <v>2819</v>
      </c>
      <c r="U1023">
        <v>1</v>
      </c>
      <c r="V1023">
        <f>VLOOKUP(T1023,'Data Angt'!$A$5:$F$5810,6,FALSE)</f>
        <v>43</v>
      </c>
      <c r="W1023" s="5">
        <f t="shared" si="15"/>
        <v>0</v>
      </c>
      <c r="X1023" s="5" t="str">
        <f>VLOOKUP(T1023,'Data Angt'!$A$5:$H$5810,8,FALSE)</f>
        <v>Mengurus Rumah Tangga</v>
      </c>
      <c r="Y1023" s="5" t="str">
        <f>VLOOKUP(T1023,'Data Angt'!$A$5:$C$5808,3,FALSE)</f>
        <v>JBR</v>
      </c>
    </row>
    <row r="1024" spans="1:25" x14ac:dyDescent="0.3">
      <c r="A1024" s="8">
        <v>1018</v>
      </c>
      <c r="B1024" s="9" t="s">
        <v>15215</v>
      </c>
      <c r="C1024" s="10" t="str">
        <f>VLOOKUP(B1024,'Data Angt'!$A$5:$B$5809,2,FALSE)</f>
        <v>A5556</v>
      </c>
      <c r="D1024" s="11" t="s">
        <v>9833</v>
      </c>
      <c r="E1024" s="12" t="s">
        <v>16819</v>
      </c>
      <c r="F1024" s="13">
        <v>45805</v>
      </c>
      <c r="G1024" s="14">
        <v>45901</v>
      </c>
      <c r="H1024" s="15">
        <v>15000000</v>
      </c>
      <c r="I1024" s="16">
        <v>6</v>
      </c>
      <c r="J1024" s="17">
        <v>24</v>
      </c>
      <c r="K1024" s="9" t="s">
        <v>9827</v>
      </c>
      <c r="L1024" s="10" t="s">
        <v>16820</v>
      </c>
      <c r="M1024" s="9" t="s">
        <v>16456</v>
      </c>
      <c r="N1024" s="10" t="s">
        <v>9834</v>
      </c>
      <c r="O1024" s="15">
        <v>15000000</v>
      </c>
      <c r="P1024" s="145">
        <v>450000</v>
      </c>
      <c r="Q1024" s="9" t="s">
        <v>22910</v>
      </c>
      <c r="R1024" s="146" t="s">
        <v>23197</v>
      </c>
      <c r="T1024" s="92" t="s">
        <v>2827</v>
      </c>
      <c r="U1024">
        <v>1</v>
      </c>
      <c r="V1024">
        <f>VLOOKUP(T1024,'Data Angt'!$A$5:$F$5810,6,FALSE)</f>
        <v>47</v>
      </c>
      <c r="W1024" s="5">
        <f t="shared" si="15"/>
        <v>0</v>
      </c>
      <c r="X1024" s="5" t="str">
        <f>VLOOKUP(T1024,'Data Angt'!$A$5:$H$5810,8,FALSE)</f>
        <v>Wiraswasta</v>
      </c>
      <c r="Y1024" s="5" t="str">
        <f>VLOOKUP(T1024,'Data Angt'!$A$5:$C$5808,3,FALSE)</f>
        <v>JBR</v>
      </c>
    </row>
    <row r="1025" spans="1:25" x14ac:dyDescent="0.3">
      <c r="A1025" s="8">
        <v>1019</v>
      </c>
      <c r="B1025" s="9" t="s">
        <v>15250</v>
      </c>
      <c r="C1025" s="10" t="str">
        <f>VLOOKUP(B1025,'Data Angt'!$A$5:$B$5809,2,FALSE)</f>
        <v>A5571</v>
      </c>
      <c r="D1025" s="11" t="s">
        <v>9829</v>
      </c>
      <c r="E1025" s="12" t="s">
        <v>16821</v>
      </c>
      <c r="F1025" s="13">
        <v>45819</v>
      </c>
      <c r="G1025" s="14">
        <v>45911</v>
      </c>
      <c r="H1025" s="15">
        <v>1500000</v>
      </c>
      <c r="I1025" s="16">
        <v>10</v>
      </c>
      <c r="J1025" s="17">
        <v>24</v>
      </c>
      <c r="K1025" s="9" t="s">
        <v>9831</v>
      </c>
      <c r="L1025" s="10" t="s">
        <v>16822</v>
      </c>
      <c r="M1025" s="9" t="s">
        <v>9838</v>
      </c>
      <c r="N1025" s="10" t="s">
        <v>9828</v>
      </c>
      <c r="O1025" s="15">
        <v>1080800</v>
      </c>
      <c r="P1025" s="145">
        <v>30674</v>
      </c>
      <c r="Q1025" s="9"/>
      <c r="R1025" s="146"/>
      <c r="T1025" s="92" t="s">
        <v>2907</v>
      </c>
      <c r="U1025">
        <v>1</v>
      </c>
      <c r="V1025">
        <f>VLOOKUP(T1025,'Data Angt'!$A$5:$F$5810,6,FALSE)</f>
        <v>52</v>
      </c>
      <c r="W1025" s="5" t="str">
        <f t="shared" si="15"/>
        <v>KESEJAHTERAAN</v>
      </c>
      <c r="X1025" s="5" t="str">
        <f>VLOOKUP(T1025,'Data Angt'!$A$5:$H$5810,8,FALSE)</f>
        <v>Mengurus Rumah Tangga</v>
      </c>
      <c r="Y1025" s="5" t="str">
        <f>VLOOKUP(T1025,'Data Angt'!$A$5:$C$5808,3,FALSE)</f>
        <v>JBR</v>
      </c>
    </row>
    <row r="1026" spans="1:25" x14ac:dyDescent="0.3">
      <c r="A1026" s="8">
        <v>1020</v>
      </c>
      <c r="B1026" s="9" t="s">
        <v>15257</v>
      </c>
      <c r="C1026" s="10" t="str">
        <f>VLOOKUP(B1026,'Data Angt'!$A$5:$B$5809,2,FALSE)</f>
        <v>A5574</v>
      </c>
      <c r="D1026" s="11" t="s">
        <v>9833</v>
      </c>
      <c r="E1026" s="12" t="s">
        <v>16823</v>
      </c>
      <c r="F1026" s="13">
        <v>45813</v>
      </c>
      <c r="G1026" s="14">
        <v>45901</v>
      </c>
      <c r="H1026" s="15">
        <v>6000000</v>
      </c>
      <c r="I1026" s="16">
        <v>6</v>
      </c>
      <c r="J1026" s="17">
        <v>24</v>
      </c>
      <c r="K1026" s="9" t="s">
        <v>9831</v>
      </c>
      <c r="L1026" s="10" t="s">
        <v>16824</v>
      </c>
      <c r="M1026" s="9" t="s">
        <v>16456</v>
      </c>
      <c r="N1026" s="10" t="s">
        <v>9834</v>
      </c>
      <c r="O1026" s="15">
        <v>6000000</v>
      </c>
      <c r="P1026" s="145">
        <v>135000</v>
      </c>
      <c r="Q1026" s="9" t="s">
        <v>22901</v>
      </c>
      <c r="R1026" s="146" t="s">
        <v>23198</v>
      </c>
      <c r="T1026" s="92" t="s">
        <v>2928</v>
      </c>
      <c r="U1026">
        <v>1</v>
      </c>
      <c r="V1026">
        <f>VLOOKUP(T1026,'Data Angt'!$A$5:$F$5810,6,FALSE)</f>
        <v>59</v>
      </c>
      <c r="W1026" s="5" t="str">
        <f t="shared" si="15"/>
        <v>PRODUKTIF</v>
      </c>
      <c r="X1026" s="5" t="str">
        <f>VLOOKUP(T1026,'Data Angt'!$A$5:$H$5810,8,FALSE)</f>
        <v>Wiraswasta</v>
      </c>
      <c r="Y1026" s="5" t="str">
        <f>VLOOKUP(T1026,'Data Angt'!$A$5:$C$5808,3,FALSE)</f>
        <v>JBR</v>
      </c>
    </row>
    <row r="1027" spans="1:25" x14ac:dyDescent="0.3">
      <c r="A1027" s="8">
        <v>1021</v>
      </c>
      <c r="B1027" s="9" t="s">
        <v>15264</v>
      </c>
      <c r="C1027" s="10" t="str">
        <f>VLOOKUP(B1027,'Data Angt'!$A$5:$B$5809,2,FALSE)</f>
        <v>A5578</v>
      </c>
      <c r="D1027" s="11" t="s">
        <v>9833</v>
      </c>
      <c r="E1027" s="12" t="s">
        <v>23199</v>
      </c>
      <c r="F1027" s="13">
        <v>45839</v>
      </c>
      <c r="G1027" s="14">
        <v>45901</v>
      </c>
      <c r="H1027" s="15">
        <v>13000000</v>
      </c>
      <c r="I1027" s="16">
        <v>48</v>
      </c>
      <c r="J1027" s="17">
        <v>24</v>
      </c>
      <c r="K1027" s="9" t="s">
        <v>9831</v>
      </c>
      <c r="L1027" s="10" t="s">
        <v>23200</v>
      </c>
      <c r="M1027" s="9" t="s">
        <v>9862</v>
      </c>
      <c r="N1027" s="10" t="s">
        <v>9834</v>
      </c>
      <c r="O1027" s="15">
        <v>12669000</v>
      </c>
      <c r="P1027" s="145">
        <v>193800</v>
      </c>
      <c r="Q1027" s="9" t="s">
        <v>22901</v>
      </c>
      <c r="R1027" s="146" t="s">
        <v>23201</v>
      </c>
      <c r="T1027" s="92" t="s">
        <v>2962</v>
      </c>
      <c r="U1027">
        <v>1</v>
      </c>
      <c r="V1027">
        <f>VLOOKUP(T1027,'Data Angt'!$A$5:$F$5810,6,FALSE)</f>
        <v>57</v>
      </c>
      <c r="W1027" s="5" t="str">
        <f t="shared" si="15"/>
        <v>PRODUKTIF</v>
      </c>
      <c r="X1027" s="5" t="str">
        <f>VLOOKUP(T1027,'Data Angt'!$A$5:$H$5810,8,FALSE)</f>
        <v>Wiraswasta</v>
      </c>
      <c r="Y1027" s="5" t="str">
        <f>VLOOKUP(T1027,'Data Angt'!$A$5:$C$5808,3,FALSE)</f>
        <v>JBR</v>
      </c>
    </row>
    <row r="1028" spans="1:25" x14ac:dyDescent="0.3">
      <c r="A1028" s="8">
        <v>1022</v>
      </c>
      <c r="B1028" s="9" t="s">
        <v>15275</v>
      </c>
      <c r="C1028" s="10" t="str">
        <f>VLOOKUP(B1028,'Data Angt'!$A$5:$B$5809,2,FALSE)</f>
        <v>A5585</v>
      </c>
      <c r="D1028" s="11" t="s">
        <v>9833</v>
      </c>
      <c r="E1028" s="12" t="s">
        <v>23202</v>
      </c>
      <c r="F1028" s="13">
        <v>45923</v>
      </c>
      <c r="G1028" s="14">
        <v>45923</v>
      </c>
      <c r="H1028" s="15">
        <v>4000000</v>
      </c>
      <c r="I1028" s="16">
        <v>5</v>
      </c>
      <c r="J1028" s="17">
        <v>24</v>
      </c>
      <c r="K1028" s="9" t="s">
        <v>9831</v>
      </c>
      <c r="L1028" s="10" t="s">
        <v>23203</v>
      </c>
      <c r="M1028" s="9" t="s">
        <v>16456</v>
      </c>
      <c r="N1028" s="10" t="s">
        <v>9834</v>
      </c>
      <c r="O1028" s="15">
        <v>4000000</v>
      </c>
      <c r="P1028" s="147">
        <v>0</v>
      </c>
      <c r="Q1028" s="9" t="s">
        <v>22901</v>
      </c>
      <c r="R1028" s="146" t="s">
        <v>23204</v>
      </c>
      <c r="T1028" s="92" t="s">
        <v>3144</v>
      </c>
      <c r="U1028">
        <v>1</v>
      </c>
      <c r="V1028">
        <f>VLOOKUP(T1028,'Data Angt'!$A$5:$F$5810,6,FALSE)</f>
        <v>53</v>
      </c>
      <c r="W1028" s="5" t="str">
        <f t="shared" si="15"/>
        <v>PENDIDIKAN</v>
      </c>
      <c r="X1028" s="5" t="str">
        <f>VLOOKUP(T1028,'Data Angt'!$A$5:$H$5810,8,FALSE)</f>
        <v>Wiraswasta</v>
      </c>
      <c r="Y1028" s="5" t="str">
        <f>VLOOKUP(T1028,'Data Angt'!$A$5:$C$5808,3,FALSE)</f>
        <v>JBR</v>
      </c>
    </row>
    <row r="1029" spans="1:25" x14ac:dyDescent="0.3">
      <c r="A1029" s="8">
        <v>1023</v>
      </c>
      <c r="B1029" s="9" t="s">
        <v>15281</v>
      </c>
      <c r="C1029" s="10" t="str">
        <f>VLOOKUP(B1029,'Data Angt'!$A$5:$B$5809,2,FALSE)</f>
        <v>A5588</v>
      </c>
      <c r="D1029" s="11" t="s">
        <v>9833</v>
      </c>
      <c r="E1029" s="12" t="s">
        <v>23205</v>
      </c>
      <c r="F1029" s="13">
        <v>45920</v>
      </c>
      <c r="G1029" s="14">
        <v>45920</v>
      </c>
      <c r="H1029" s="15">
        <v>13000000</v>
      </c>
      <c r="I1029" s="16">
        <v>6</v>
      </c>
      <c r="J1029" s="17">
        <v>24</v>
      </c>
      <c r="K1029" s="9" t="s">
        <v>9831</v>
      </c>
      <c r="L1029" s="10" t="s">
        <v>23206</v>
      </c>
      <c r="M1029" s="9" t="s">
        <v>16456</v>
      </c>
      <c r="N1029" s="10" t="s">
        <v>9834</v>
      </c>
      <c r="O1029" s="15">
        <v>13000000</v>
      </c>
      <c r="P1029" s="147">
        <v>0</v>
      </c>
      <c r="Q1029" s="9" t="s">
        <v>22901</v>
      </c>
      <c r="R1029" s="146" t="s">
        <v>23207</v>
      </c>
      <c r="T1029" s="92" t="s">
        <v>3165</v>
      </c>
      <c r="U1029">
        <v>1</v>
      </c>
      <c r="V1029">
        <f>VLOOKUP(T1029,'Data Angt'!$A$5:$F$5810,6,FALSE)</f>
        <v>37</v>
      </c>
      <c r="W1029" s="5" t="str">
        <f t="shared" si="15"/>
        <v>PENDIDIKAN</v>
      </c>
      <c r="X1029" s="5" t="str">
        <f>VLOOKUP(T1029,'Data Angt'!$A$5:$H$5810,8,FALSE)</f>
        <v>Karyawan</v>
      </c>
      <c r="Y1029" s="5" t="str">
        <f>VLOOKUP(T1029,'Data Angt'!$A$5:$C$5808,3,FALSE)</f>
        <v>JBR</v>
      </c>
    </row>
    <row r="1030" spans="1:25" x14ac:dyDescent="0.3">
      <c r="A1030" s="8">
        <v>1024</v>
      </c>
      <c r="B1030" s="9" t="s">
        <v>18931</v>
      </c>
      <c r="C1030" s="10" t="str">
        <f>VLOOKUP(B1030,'Data Angt'!$A$5:$B$5809,2,FALSE)</f>
        <v>A5639</v>
      </c>
      <c r="D1030" s="11" t="s">
        <v>9829</v>
      </c>
      <c r="E1030" s="12" t="s">
        <v>23208</v>
      </c>
      <c r="F1030" s="13">
        <v>45856</v>
      </c>
      <c r="G1030" s="14">
        <v>45901</v>
      </c>
      <c r="H1030" s="15">
        <v>6000000</v>
      </c>
      <c r="I1030" s="16">
        <v>12</v>
      </c>
      <c r="J1030" s="17">
        <v>24</v>
      </c>
      <c r="K1030" s="9" t="s">
        <v>9831</v>
      </c>
      <c r="L1030" s="10" t="s">
        <v>23209</v>
      </c>
      <c r="M1030" s="9" t="s">
        <v>23210</v>
      </c>
      <c r="N1030" s="10" t="s">
        <v>17</v>
      </c>
      <c r="O1030" s="15">
        <v>5096300</v>
      </c>
      <c r="P1030" s="145">
        <v>86662</v>
      </c>
      <c r="Q1030" s="9" t="s">
        <v>22910</v>
      </c>
      <c r="R1030" s="146" t="s">
        <v>23211</v>
      </c>
      <c r="T1030" s="92" t="s">
        <v>3221</v>
      </c>
      <c r="U1030">
        <v>1</v>
      </c>
      <c r="V1030">
        <f>VLOOKUP(T1030,'Data Angt'!$A$5:$F$5810,6,FALSE)</f>
        <v>49</v>
      </c>
      <c r="W1030" s="5" t="str">
        <f t="shared" si="15"/>
        <v>KONSUMTIF</v>
      </c>
      <c r="X1030" s="5" t="str">
        <f>VLOOKUP(T1030,'Data Angt'!$A$5:$H$5810,8,FALSE)</f>
        <v>Wiraswasta</v>
      </c>
      <c r="Y1030" s="5" t="str">
        <f>VLOOKUP(T1030,'Data Angt'!$A$5:$C$5808,3,FALSE)</f>
        <v>JBR</v>
      </c>
    </row>
    <row r="1031" spans="1:25" x14ac:dyDescent="0.3">
      <c r="A1031" s="8">
        <v>1025</v>
      </c>
      <c r="B1031" s="9" t="s">
        <v>18940</v>
      </c>
      <c r="C1031" s="10" t="str">
        <f>VLOOKUP(B1031,'Data Angt'!$A$5:$B$5809,2,FALSE)</f>
        <v>A5644</v>
      </c>
      <c r="D1031" s="11" t="s">
        <v>9833</v>
      </c>
      <c r="E1031" s="12" t="s">
        <v>23212</v>
      </c>
      <c r="F1031" s="13">
        <v>45857</v>
      </c>
      <c r="G1031" s="14">
        <v>45919</v>
      </c>
      <c r="H1031" s="15">
        <v>3500000</v>
      </c>
      <c r="I1031" s="16">
        <v>36</v>
      </c>
      <c r="J1031" s="17">
        <v>24</v>
      </c>
      <c r="K1031" s="9" t="s">
        <v>9831</v>
      </c>
      <c r="L1031" s="10" t="s">
        <v>23213</v>
      </c>
      <c r="M1031" s="9" t="s">
        <v>9862</v>
      </c>
      <c r="N1031" s="10" t="s">
        <v>9834</v>
      </c>
      <c r="O1031" s="15">
        <v>3363900</v>
      </c>
      <c r="P1031" s="145">
        <v>52012</v>
      </c>
      <c r="Q1031" s="9" t="s">
        <v>22901</v>
      </c>
      <c r="R1031" s="146" t="s">
        <v>23214</v>
      </c>
      <c r="T1031" s="92" t="s">
        <v>3261</v>
      </c>
      <c r="U1031">
        <v>1</v>
      </c>
      <c r="V1031">
        <f>VLOOKUP(T1031,'Data Angt'!$A$5:$F$5810,6,FALSE)</f>
        <v>60</v>
      </c>
      <c r="W1031" s="5" t="str">
        <f t="shared" ref="W1031:W1094" si="16">VLOOKUP(T1031,$B$7:$N$1869,13,FALSE)</f>
        <v>PRODUKTIF</v>
      </c>
      <c r="X1031" s="5" t="str">
        <f>VLOOKUP(T1031,'Data Angt'!$A$5:$H$5810,8,FALSE)</f>
        <v>Wiraswasta</v>
      </c>
      <c r="Y1031" s="5" t="str">
        <f>VLOOKUP(T1031,'Data Angt'!$A$5:$C$5808,3,FALSE)</f>
        <v>JBR</v>
      </c>
    </row>
    <row r="1032" spans="1:25" x14ac:dyDescent="0.3">
      <c r="A1032" s="8">
        <v>1026</v>
      </c>
      <c r="B1032" s="9" t="s">
        <v>18943</v>
      </c>
      <c r="C1032" s="10" t="str">
        <f>VLOOKUP(B1032,'Data Angt'!$A$5:$B$5809,2,FALSE)</f>
        <v>A5645</v>
      </c>
      <c r="D1032" s="11" t="s">
        <v>9829</v>
      </c>
      <c r="E1032" s="12" t="s">
        <v>23215</v>
      </c>
      <c r="F1032" s="13">
        <v>45857</v>
      </c>
      <c r="G1032" s="14">
        <v>45913</v>
      </c>
      <c r="H1032" s="15">
        <v>1500000</v>
      </c>
      <c r="I1032" s="16">
        <v>10</v>
      </c>
      <c r="J1032" s="17">
        <v>24</v>
      </c>
      <c r="K1032" s="9" t="s">
        <v>9831</v>
      </c>
      <c r="L1032" s="10" t="s">
        <v>23216</v>
      </c>
      <c r="M1032" s="9" t="s">
        <v>9866</v>
      </c>
      <c r="N1032" s="10" t="s">
        <v>17</v>
      </c>
      <c r="O1032" s="15">
        <v>1223300</v>
      </c>
      <c r="P1032" s="145">
        <v>21487</v>
      </c>
      <c r="Q1032" s="9"/>
      <c r="R1032" s="146"/>
      <c r="T1032" s="92" t="s">
        <v>3269</v>
      </c>
      <c r="U1032">
        <v>1</v>
      </c>
      <c r="V1032">
        <f>VLOOKUP(T1032,'Data Angt'!$A$5:$F$5810,6,FALSE)</f>
        <v>47</v>
      </c>
      <c r="W1032" s="5" t="str">
        <f t="shared" si="16"/>
        <v>PRODUKTIF</v>
      </c>
      <c r="X1032" s="5" t="str">
        <f>VLOOKUP(T1032,'Data Angt'!$A$5:$H$5810,8,FALSE)</f>
        <v>Wiraswasta</v>
      </c>
      <c r="Y1032" s="5" t="str">
        <f>VLOOKUP(T1032,'Data Angt'!$A$5:$C$5808,3,FALSE)</f>
        <v>JBR</v>
      </c>
    </row>
    <row r="1033" spans="1:25" x14ac:dyDescent="0.3">
      <c r="A1033" s="8">
        <v>1027</v>
      </c>
      <c r="B1033" s="9" t="s">
        <v>18945</v>
      </c>
      <c r="C1033" s="10" t="str">
        <f>VLOOKUP(B1033,'Data Angt'!$A$5:$B$5809,2,FALSE)</f>
        <v>A5646</v>
      </c>
      <c r="D1033" s="11" t="s">
        <v>9829</v>
      </c>
      <c r="E1033" s="12" t="s">
        <v>23217</v>
      </c>
      <c r="F1033" s="13">
        <v>45857</v>
      </c>
      <c r="G1033" s="14">
        <v>45919</v>
      </c>
      <c r="H1033" s="15">
        <v>1500000</v>
      </c>
      <c r="I1033" s="16">
        <v>10</v>
      </c>
      <c r="J1033" s="17">
        <v>24</v>
      </c>
      <c r="K1033" s="9" t="s">
        <v>9831</v>
      </c>
      <c r="L1033" s="10" t="s">
        <v>23218</v>
      </c>
      <c r="M1033" s="9" t="s">
        <v>23219</v>
      </c>
      <c r="N1033" s="10" t="s">
        <v>9828</v>
      </c>
      <c r="O1033" s="15">
        <v>1223300</v>
      </c>
      <c r="P1033" s="145">
        <v>21487</v>
      </c>
      <c r="Q1033" s="9"/>
      <c r="R1033" s="146"/>
      <c r="T1033" s="92" t="s">
        <v>3306</v>
      </c>
      <c r="U1033">
        <v>1</v>
      </c>
      <c r="V1033">
        <f>VLOOKUP(T1033,'Data Angt'!$A$5:$F$5810,6,FALSE)</f>
        <v>48</v>
      </c>
      <c r="W1033" s="5" t="str">
        <f t="shared" si="16"/>
        <v>KONSUMTIF</v>
      </c>
      <c r="X1033" s="5" t="str">
        <f>VLOOKUP(T1033,'Data Angt'!$A$5:$H$5810,8,FALSE)</f>
        <v>Karyawan</v>
      </c>
      <c r="Y1033" s="5" t="str">
        <f>VLOOKUP(T1033,'Data Angt'!$A$5:$C$5808,3,FALSE)</f>
        <v>JBR</v>
      </c>
    </row>
    <row r="1034" spans="1:25" x14ac:dyDescent="0.3">
      <c r="A1034" s="8">
        <v>1028</v>
      </c>
      <c r="B1034" s="9" t="s">
        <v>18960</v>
      </c>
      <c r="C1034" s="10" t="str">
        <f>VLOOKUP(B1034,'Data Angt'!$A$5:$B$5809,2,FALSE)</f>
        <v>A5654</v>
      </c>
      <c r="D1034" s="11" t="s">
        <v>9833</v>
      </c>
      <c r="E1034" s="12" t="s">
        <v>23220</v>
      </c>
      <c r="F1034" s="13">
        <v>45862</v>
      </c>
      <c r="G1034" s="14">
        <v>45924</v>
      </c>
      <c r="H1034" s="15">
        <v>15000000</v>
      </c>
      <c r="I1034" s="16">
        <v>36</v>
      </c>
      <c r="J1034" s="17">
        <v>24</v>
      </c>
      <c r="K1034" s="9" t="s">
        <v>9831</v>
      </c>
      <c r="L1034" s="10" t="s">
        <v>23221</v>
      </c>
      <c r="M1034" s="9" t="s">
        <v>23222</v>
      </c>
      <c r="N1034" s="10" t="s">
        <v>9834</v>
      </c>
      <c r="O1034" s="15">
        <v>14417300</v>
      </c>
      <c r="P1034" s="145">
        <v>222862</v>
      </c>
      <c r="Q1034" s="9" t="s">
        <v>22946</v>
      </c>
      <c r="R1034" s="146" t="s">
        <v>23223</v>
      </c>
      <c r="T1034" s="92" t="s">
        <v>3347</v>
      </c>
      <c r="U1034">
        <v>1</v>
      </c>
      <c r="V1034">
        <f>VLOOKUP(T1034,'Data Angt'!$A$5:$F$5810,6,FALSE)</f>
        <v>57</v>
      </c>
      <c r="W1034" s="5" t="str">
        <f t="shared" si="16"/>
        <v>PRODUKTIF</v>
      </c>
      <c r="X1034" s="5" t="str">
        <f>VLOOKUP(T1034,'Data Angt'!$A$5:$H$5810,8,FALSE)</f>
        <v>Tenaga Pengajar</v>
      </c>
      <c r="Y1034" s="5" t="str">
        <f>VLOOKUP(T1034,'Data Angt'!$A$5:$C$5808,3,FALSE)</f>
        <v>JBR</v>
      </c>
    </row>
    <row r="1035" spans="1:25" x14ac:dyDescent="0.3">
      <c r="A1035" s="8">
        <v>1029</v>
      </c>
      <c r="B1035" s="9" t="s">
        <v>18962</v>
      </c>
      <c r="C1035" s="10" t="str">
        <f>VLOOKUP(B1035,'Data Angt'!$A$5:$B$5809,2,FALSE)</f>
        <v>A5655</v>
      </c>
      <c r="D1035" s="11" t="s">
        <v>9829</v>
      </c>
      <c r="E1035" s="12" t="s">
        <v>23224</v>
      </c>
      <c r="F1035" s="13">
        <v>45862</v>
      </c>
      <c r="G1035" s="14">
        <v>45930</v>
      </c>
      <c r="H1035" s="15">
        <v>1500000</v>
      </c>
      <c r="I1035" s="16">
        <v>10</v>
      </c>
      <c r="J1035" s="17">
        <v>24</v>
      </c>
      <c r="K1035" s="9" t="s">
        <v>9831</v>
      </c>
      <c r="L1035" s="10" t="s">
        <v>23225</v>
      </c>
      <c r="M1035" s="9" t="s">
        <v>10352</v>
      </c>
      <c r="N1035" s="10" t="s">
        <v>9828</v>
      </c>
      <c r="O1035" s="15">
        <v>1223300</v>
      </c>
      <c r="P1035" s="145">
        <v>21487</v>
      </c>
      <c r="Q1035" s="9"/>
      <c r="R1035" s="146"/>
      <c r="T1035" s="92" t="s">
        <v>3451</v>
      </c>
      <c r="U1035">
        <v>1</v>
      </c>
      <c r="V1035">
        <f>VLOOKUP(T1035,'Data Angt'!$A$5:$F$5810,6,FALSE)</f>
        <v>34</v>
      </c>
      <c r="W1035" s="5">
        <f t="shared" si="16"/>
        <v>0</v>
      </c>
      <c r="X1035" s="5" t="str">
        <f>VLOOKUP(T1035,'Data Angt'!$A$5:$H$5810,8,FALSE)</f>
        <v>Wiraswasta</v>
      </c>
      <c r="Y1035" s="5" t="str">
        <f>VLOOKUP(T1035,'Data Angt'!$A$5:$C$5808,3,FALSE)</f>
        <v>JBR</v>
      </c>
    </row>
    <row r="1036" spans="1:25" x14ac:dyDescent="0.3">
      <c r="A1036" s="8">
        <v>1030</v>
      </c>
      <c r="B1036" s="9" t="s">
        <v>18966</v>
      </c>
      <c r="C1036" s="10" t="str">
        <f>VLOOKUP(B1036,'Data Angt'!$A$5:$B$5809,2,FALSE)</f>
        <v>A5657</v>
      </c>
      <c r="D1036" s="11" t="s">
        <v>9829</v>
      </c>
      <c r="E1036" s="12" t="s">
        <v>23226</v>
      </c>
      <c r="F1036" s="13">
        <v>45862</v>
      </c>
      <c r="G1036" s="14">
        <v>45924</v>
      </c>
      <c r="H1036" s="15">
        <v>2000000</v>
      </c>
      <c r="I1036" s="16">
        <v>12</v>
      </c>
      <c r="J1036" s="17">
        <v>24</v>
      </c>
      <c r="K1036" s="9" t="s">
        <v>9831</v>
      </c>
      <c r="L1036" s="10" t="s">
        <v>23227</v>
      </c>
      <c r="M1036" s="9" t="s">
        <v>10352</v>
      </c>
      <c r="N1036" s="10" t="s">
        <v>9828</v>
      </c>
      <c r="O1036" s="15">
        <v>1698700</v>
      </c>
      <c r="P1036" s="145">
        <v>28912</v>
      </c>
      <c r="Q1036" s="9"/>
      <c r="R1036" s="146"/>
      <c r="T1036" s="92" t="s">
        <v>3457</v>
      </c>
      <c r="U1036">
        <v>1</v>
      </c>
      <c r="V1036">
        <f>VLOOKUP(T1036,'Data Angt'!$A$5:$F$5810,6,FALSE)</f>
        <v>59</v>
      </c>
      <c r="W1036" s="5" t="str">
        <f t="shared" si="16"/>
        <v>PRODUKTIF</v>
      </c>
      <c r="X1036" s="5" t="str">
        <f>VLOOKUP(T1036,'Data Angt'!$A$5:$H$5810,8,FALSE)</f>
        <v>Mengurus Rumah Tangga</v>
      </c>
      <c r="Y1036" s="5" t="str">
        <f>VLOOKUP(T1036,'Data Angt'!$A$5:$C$5808,3,FALSE)</f>
        <v>JBR</v>
      </c>
    </row>
    <row r="1037" spans="1:25" x14ac:dyDescent="0.3">
      <c r="A1037" s="8">
        <v>1031</v>
      </c>
      <c r="B1037" s="9" t="s">
        <v>18990</v>
      </c>
      <c r="C1037" s="10" t="str">
        <f>VLOOKUP(B1037,'Data Angt'!$A$5:$B$5809,2,FALSE)</f>
        <v>A5667</v>
      </c>
      <c r="D1037" s="11" t="s">
        <v>9833</v>
      </c>
      <c r="E1037" s="12" t="s">
        <v>23228</v>
      </c>
      <c r="F1037" s="13">
        <v>45866</v>
      </c>
      <c r="G1037" s="14">
        <v>45920</v>
      </c>
      <c r="H1037" s="15">
        <v>7000000</v>
      </c>
      <c r="I1037" s="16">
        <v>24</v>
      </c>
      <c r="J1037" s="17">
        <v>24</v>
      </c>
      <c r="K1037" s="9" t="s">
        <v>9831</v>
      </c>
      <c r="L1037" s="10" t="s">
        <v>23229</v>
      </c>
      <c r="M1037" s="9" t="s">
        <v>9862</v>
      </c>
      <c r="N1037" s="10" t="s">
        <v>9834</v>
      </c>
      <c r="O1037" s="15">
        <v>6535200</v>
      </c>
      <c r="P1037" s="145">
        <v>103275</v>
      </c>
      <c r="Q1037" s="9" t="s">
        <v>22910</v>
      </c>
      <c r="R1037" s="146" t="s">
        <v>23230</v>
      </c>
      <c r="T1037" s="92" t="s">
        <v>3459</v>
      </c>
      <c r="U1037">
        <v>1</v>
      </c>
      <c r="V1037">
        <f>VLOOKUP(T1037,'Data Angt'!$A$5:$F$5810,6,FALSE)</f>
        <v>58</v>
      </c>
      <c r="W1037" s="5" t="str">
        <f t="shared" si="16"/>
        <v>PRODUKTIF</v>
      </c>
      <c r="X1037" s="5" t="str">
        <f>VLOOKUP(T1037,'Data Angt'!$A$5:$H$5810,8,FALSE)</f>
        <v>Mengurus Rumah Tangga</v>
      </c>
      <c r="Y1037" s="5" t="str">
        <f>VLOOKUP(T1037,'Data Angt'!$A$5:$C$5808,3,FALSE)</f>
        <v>JBR</v>
      </c>
    </row>
    <row r="1038" spans="1:25" x14ac:dyDescent="0.3">
      <c r="A1038" s="8">
        <v>1032</v>
      </c>
      <c r="B1038" s="9" t="s">
        <v>18996</v>
      </c>
      <c r="C1038" s="10" t="str">
        <f>VLOOKUP(B1038,'Data Angt'!$A$5:$B$5809,2,FALSE)</f>
        <v>A5670</v>
      </c>
      <c r="D1038" s="11" t="s">
        <v>9833</v>
      </c>
      <c r="E1038" s="12" t="s">
        <v>23231</v>
      </c>
      <c r="F1038" s="13">
        <v>45867</v>
      </c>
      <c r="G1038" s="14">
        <v>45929</v>
      </c>
      <c r="H1038" s="15">
        <v>5000000</v>
      </c>
      <c r="I1038" s="16">
        <v>12</v>
      </c>
      <c r="J1038" s="17">
        <v>24</v>
      </c>
      <c r="K1038" s="9" t="s">
        <v>9831</v>
      </c>
      <c r="L1038" s="10" t="s">
        <v>23232</v>
      </c>
      <c r="M1038" s="9" t="s">
        <v>23233</v>
      </c>
      <c r="N1038" s="10" t="s">
        <v>9834</v>
      </c>
      <c r="O1038" s="15">
        <v>4247000</v>
      </c>
      <c r="P1038" s="145">
        <v>72225</v>
      </c>
      <c r="Q1038" s="9" t="s">
        <v>22901</v>
      </c>
      <c r="R1038" s="146" t="s">
        <v>23234</v>
      </c>
      <c r="T1038" s="92" t="s">
        <v>3502</v>
      </c>
      <c r="U1038">
        <v>1</v>
      </c>
      <c r="V1038">
        <f>VLOOKUP(T1038,'Data Angt'!$A$5:$F$5810,6,FALSE)</f>
        <v>54</v>
      </c>
      <c r="W1038" s="5">
        <f t="shared" si="16"/>
        <v>0</v>
      </c>
      <c r="X1038" s="5" t="str">
        <f>VLOOKUP(T1038,'Data Angt'!$A$5:$H$5810,8,FALSE)</f>
        <v>Wiraswasta</v>
      </c>
      <c r="Y1038" s="5" t="str">
        <f>VLOOKUP(T1038,'Data Angt'!$A$5:$C$5808,3,FALSE)</f>
        <v>JBR</v>
      </c>
    </row>
    <row r="1039" spans="1:25" x14ac:dyDescent="0.3">
      <c r="A1039" s="8">
        <v>1033</v>
      </c>
      <c r="B1039" s="9" t="s">
        <v>18998</v>
      </c>
      <c r="C1039" s="10" t="str">
        <f>VLOOKUP(B1039,'Data Angt'!$A$5:$B$5809,2,FALSE)</f>
        <v>A5671</v>
      </c>
      <c r="D1039" s="11" t="s">
        <v>9833</v>
      </c>
      <c r="E1039" s="12" t="s">
        <v>23235</v>
      </c>
      <c r="F1039" s="13">
        <v>45867</v>
      </c>
      <c r="G1039" s="14">
        <v>45917</v>
      </c>
      <c r="H1039" s="15">
        <v>10000000</v>
      </c>
      <c r="I1039" s="16">
        <v>24</v>
      </c>
      <c r="J1039" s="17">
        <v>24</v>
      </c>
      <c r="K1039" s="9" t="s">
        <v>9831</v>
      </c>
      <c r="L1039" s="10" t="s">
        <v>23236</v>
      </c>
      <c r="M1039" s="9" t="s">
        <v>16456</v>
      </c>
      <c r="N1039" s="10" t="s">
        <v>9834</v>
      </c>
      <c r="O1039" s="15">
        <v>9335900</v>
      </c>
      <c r="P1039" s="145">
        <v>147562</v>
      </c>
      <c r="Q1039" s="9" t="s">
        <v>22901</v>
      </c>
      <c r="R1039" s="146" t="s">
        <v>23237</v>
      </c>
      <c r="T1039" s="92" t="s">
        <v>3520</v>
      </c>
      <c r="U1039">
        <v>1</v>
      </c>
      <c r="V1039">
        <f>VLOOKUP(T1039,'Data Angt'!$A$5:$F$5810,6,FALSE)</f>
        <v>43</v>
      </c>
      <c r="W1039" s="5" t="str">
        <f t="shared" si="16"/>
        <v>PRODUKTIF</v>
      </c>
      <c r="X1039" s="5" t="str">
        <f>VLOOKUP(T1039,'Data Angt'!$A$5:$H$5810,8,FALSE)</f>
        <v>Wiraswasta</v>
      </c>
      <c r="Y1039" s="5" t="str">
        <f>VLOOKUP(T1039,'Data Angt'!$A$5:$C$5808,3,FALSE)</f>
        <v>JBR</v>
      </c>
    </row>
    <row r="1040" spans="1:25" x14ac:dyDescent="0.3">
      <c r="A1040" s="8">
        <v>1034</v>
      </c>
      <c r="B1040" s="9" t="s">
        <v>19019</v>
      </c>
      <c r="C1040" s="10" t="str">
        <f>VLOOKUP(B1040,'Data Angt'!$A$5:$B$5809,2,FALSE)</f>
        <v>A5680</v>
      </c>
      <c r="D1040" s="11" t="s">
        <v>9833</v>
      </c>
      <c r="E1040" s="12" t="s">
        <v>23238</v>
      </c>
      <c r="F1040" s="13">
        <v>45919</v>
      </c>
      <c r="G1040" s="14">
        <v>45919</v>
      </c>
      <c r="H1040" s="15">
        <v>500000</v>
      </c>
      <c r="I1040" s="16">
        <v>5</v>
      </c>
      <c r="J1040" s="17">
        <v>24</v>
      </c>
      <c r="K1040" s="9" t="s">
        <v>9831</v>
      </c>
      <c r="L1040" s="10" t="s">
        <v>23239</v>
      </c>
      <c r="M1040" s="9" t="s">
        <v>9862</v>
      </c>
      <c r="N1040" s="10" t="s">
        <v>9834</v>
      </c>
      <c r="O1040" s="15">
        <v>500000</v>
      </c>
      <c r="P1040" s="147">
        <v>0</v>
      </c>
      <c r="Q1040" s="9"/>
      <c r="R1040" s="146"/>
      <c r="T1040" s="92" t="s">
        <v>3577</v>
      </c>
      <c r="U1040">
        <v>1</v>
      </c>
      <c r="V1040">
        <f>VLOOKUP(T1040,'Data Angt'!$A$5:$F$5810,6,FALSE)</f>
        <v>44</v>
      </c>
      <c r="W1040" s="5" t="str">
        <f t="shared" si="16"/>
        <v>PRODUKTIF</v>
      </c>
      <c r="X1040" s="5" t="str">
        <f>VLOOKUP(T1040,'Data Angt'!$A$5:$H$5810,8,FALSE)</f>
        <v>Wiraswasta</v>
      </c>
      <c r="Y1040" s="5" t="str">
        <f>VLOOKUP(T1040,'Data Angt'!$A$5:$C$5808,3,FALSE)</f>
        <v>JBR</v>
      </c>
    </row>
    <row r="1041" spans="1:25" x14ac:dyDescent="0.3">
      <c r="A1041" s="8">
        <v>1035</v>
      </c>
      <c r="B1041" s="9" t="s">
        <v>19036</v>
      </c>
      <c r="C1041" s="10" t="str">
        <f>VLOOKUP(B1041,'Data Angt'!$A$5:$B$5809,2,FALSE)</f>
        <v>A5689</v>
      </c>
      <c r="D1041" s="11" t="s">
        <v>9833</v>
      </c>
      <c r="E1041" s="12" t="s">
        <v>23240</v>
      </c>
      <c r="F1041" s="13">
        <v>45876</v>
      </c>
      <c r="G1041" s="14">
        <v>45908</v>
      </c>
      <c r="H1041" s="15">
        <v>10000000</v>
      </c>
      <c r="I1041" s="16">
        <v>24</v>
      </c>
      <c r="J1041" s="17">
        <v>24</v>
      </c>
      <c r="K1041" s="9" t="s">
        <v>9831</v>
      </c>
      <c r="L1041" s="10" t="s">
        <v>23241</v>
      </c>
      <c r="M1041" s="9" t="s">
        <v>9862</v>
      </c>
      <c r="N1041" s="10" t="s">
        <v>9834</v>
      </c>
      <c r="O1041" s="15">
        <v>9671200</v>
      </c>
      <c r="P1041" s="145">
        <v>75000</v>
      </c>
      <c r="Q1041" s="9" t="s">
        <v>22910</v>
      </c>
      <c r="R1041" s="146" t="s">
        <v>23242</v>
      </c>
      <c r="T1041" s="92" t="s">
        <v>3614</v>
      </c>
      <c r="U1041">
        <v>1</v>
      </c>
      <c r="V1041">
        <f>VLOOKUP(T1041,'Data Angt'!$A$5:$F$5810,6,FALSE)</f>
        <v>45</v>
      </c>
      <c r="W1041" s="5">
        <f t="shared" si="16"/>
        <v>0</v>
      </c>
      <c r="X1041" s="5" t="str">
        <f>VLOOKUP(T1041,'Data Angt'!$A$5:$H$5810,8,FALSE)</f>
        <v>Lain-Lain</v>
      </c>
      <c r="Y1041" s="5" t="str">
        <f>VLOOKUP(T1041,'Data Angt'!$A$5:$C$5808,3,FALSE)</f>
        <v>JBR</v>
      </c>
    </row>
    <row r="1042" spans="1:25" x14ac:dyDescent="0.3">
      <c r="A1042" s="8">
        <v>1036</v>
      </c>
      <c r="B1042" s="9" t="s">
        <v>19043</v>
      </c>
      <c r="C1042" s="10" t="str">
        <f>VLOOKUP(B1042,'Data Angt'!$A$5:$B$5809,2,FALSE)</f>
        <v>A5692</v>
      </c>
      <c r="D1042" s="11" t="s">
        <v>9829</v>
      </c>
      <c r="E1042" s="12" t="s">
        <v>23243</v>
      </c>
      <c r="F1042" s="13">
        <v>45877</v>
      </c>
      <c r="G1042" s="14">
        <v>45913</v>
      </c>
      <c r="H1042" s="15">
        <v>2000000</v>
      </c>
      <c r="I1042" s="16">
        <v>12</v>
      </c>
      <c r="J1042" s="17">
        <v>24</v>
      </c>
      <c r="K1042" s="9" t="s">
        <v>9831</v>
      </c>
      <c r="L1042" s="10" t="s">
        <v>23244</v>
      </c>
      <c r="M1042" s="9" t="s">
        <v>10352</v>
      </c>
      <c r="N1042" s="10" t="s">
        <v>9828</v>
      </c>
      <c r="O1042" s="15">
        <v>1850800</v>
      </c>
      <c r="P1042" s="145">
        <v>15000</v>
      </c>
      <c r="Q1042" s="9"/>
      <c r="R1042" s="146"/>
      <c r="T1042" s="92" t="s">
        <v>3618</v>
      </c>
      <c r="U1042">
        <v>1</v>
      </c>
      <c r="V1042">
        <f>VLOOKUP(T1042,'Data Angt'!$A$5:$F$5810,6,FALSE)</f>
        <v>57</v>
      </c>
      <c r="W1042" s="5">
        <f t="shared" si="16"/>
        <v>0</v>
      </c>
      <c r="X1042" s="5" t="str">
        <f>VLOOKUP(T1042,'Data Angt'!$A$5:$H$5810,8,FALSE)</f>
        <v>Wiraswasta</v>
      </c>
      <c r="Y1042" s="5" t="str">
        <f>VLOOKUP(T1042,'Data Angt'!$A$5:$C$5808,3,FALSE)</f>
        <v>JBR</v>
      </c>
    </row>
    <row r="1043" spans="1:25" x14ac:dyDescent="0.3">
      <c r="A1043" s="8">
        <v>1037</v>
      </c>
      <c r="B1043" s="9" t="s">
        <v>19046</v>
      </c>
      <c r="C1043" s="10" t="str">
        <f>VLOOKUP(B1043,'Data Angt'!$A$5:$B$5809,2,FALSE)</f>
        <v>A5693</v>
      </c>
      <c r="D1043" s="11" t="s">
        <v>9833</v>
      </c>
      <c r="E1043" s="12" t="s">
        <v>23245</v>
      </c>
      <c r="F1043" s="13">
        <v>45877</v>
      </c>
      <c r="G1043" s="14">
        <v>45911</v>
      </c>
      <c r="H1043" s="15">
        <v>1500000</v>
      </c>
      <c r="I1043" s="16">
        <v>10</v>
      </c>
      <c r="J1043" s="17">
        <v>24</v>
      </c>
      <c r="K1043" s="9" t="s">
        <v>9831</v>
      </c>
      <c r="L1043" s="10" t="s">
        <v>23246</v>
      </c>
      <c r="M1043" s="9" t="s">
        <v>9862</v>
      </c>
      <c r="N1043" s="10" t="s">
        <v>9834</v>
      </c>
      <c r="O1043" s="15">
        <v>1363000</v>
      </c>
      <c r="P1043" s="145">
        <v>11250</v>
      </c>
      <c r="Q1043" s="9"/>
      <c r="R1043" s="146"/>
      <c r="T1043" s="92" t="s">
        <v>3645</v>
      </c>
      <c r="U1043">
        <v>1</v>
      </c>
      <c r="V1043">
        <f>VLOOKUP(T1043,'Data Angt'!$A$5:$F$5810,6,FALSE)</f>
        <v>39</v>
      </c>
      <c r="W1043" s="5" t="str">
        <f t="shared" si="16"/>
        <v>KONSUMTIF</v>
      </c>
      <c r="X1043" s="5" t="str">
        <f>VLOOKUP(T1043,'Data Angt'!$A$5:$H$5810,8,FALSE)</f>
        <v>Tenaga Pengajar</v>
      </c>
      <c r="Y1043" s="5" t="str">
        <f>VLOOKUP(T1043,'Data Angt'!$A$5:$C$5808,3,FALSE)</f>
        <v>JBR</v>
      </c>
    </row>
    <row r="1044" spans="1:25" x14ac:dyDescent="0.3">
      <c r="A1044" s="8">
        <v>1038</v>
      </c>
      <c r="B1044" s="9" t="s">
        <v>19052</v>
      </c>
      <c r="C1044" s="10" t="str">
        <f>VLOOKUP(B1044,'Data Angt'!$A$5:$B$5809,2,FALSE)</f>
        <v>A5696</v>
      </c>
      <c r="D1044" s="11" t="s">
        <v>9833</v>
      </c>
      <c r="E1044" s="12" t="s">
        <v>23247</v>
      </c>
      <c r="F1044" s="13">
        <v>45877</v>
      </c>
      <c r="G1044" s="14">
        <v>45909</v>
      </c>
      <c r="H1044" s="15">
        <v>2500000</v>
      </c>
      <c r="I1044" s="16">
        <v>12</v>
      </c>
      <c r="J1044" s="17">
        <v>24</v>
      </c>
      <c r="K1044" s="9" t="s">
        <v>9831</v>
      </c>
      <c r="L1044" s="10" t="s">
        <v>23248</v>
      </c>
      <c r="M1044" s="9" t="s">
        <v>9862</v>
      </c>
      <c r="N1044" s="10" t="s">
        <v>9834</v>
      </c>
      <c r="O1044" s="15">
        <v>2313600</v>
      </c>
      <c r="P1044" s="145">
        <v>18750</v>
      </c>
      <c r="Q1044" s="9"/>
      <c r="R1044" s="146"/>
      <c r="T1044" s="92" t="s">
        <v>3677</v>
      </c>
      <c r="U1044">
        <v>2</v>
      </c>
      <c r="V1044">
        <f>VLOOKUP(T1044,'Data Angt'!$A$5:$F$5810,6,FALSE)</f>
        <v>46</v>
      </c>
      <c r="W1044" s="5" t="str">
        <f t="shared" si="16"/>
        <v>PRODUKTIF</v>
      </c>
      <c r="X1044" s="5" t="str">
        <f>VLOOKUP(T1044,'Data Angt'!$A$5:$H$5810,8,FALSE)</f>
        <v>Wiraswasta</v>
      </c>
      <c r="Y1044" s="5" t="str">
        <f>VLOOKUP(T1044,'Data Angt'!$A$5:$C$5808,3,FALSE)</f>
        <v>JBR</v>
      </c>
    </row>
    <row r="1045" spans="1:25" x14ac:dyDescent="0.3">
      <c r="A1045" s="8">
        <v>1039</v>
      </c>
      <c r="B1045" s="9" t="s">
        <v>19073</v>
      </c>
      <c r="C1045" s="10" t="str">
        <f>VLOOKUP(B1045,'Data Angt'!$A$5:$B$5809,2,FALSE)</f>
        <v>A5706</v>
      </c>
      <c r="D1045" s="11" t="s">
        <v>9829</v>
      </c>
      <c r="E1045" s="12" t="s">
        <v>23249</v>
      </c>
      <c r="F1045" s="13">
        <v>45882</v>
      </c>
      <c r="G1045" s="14">
        <v>45915</v>
      </c>
      <c r="H1045" s="15">
        <v>3500000</v>
      </c>
      <c r="I1045" s="16">
        <v>18</v>
      </c>
      <c r="J1045" s="17">
        <v>24</v>
      </c>
      <c r="K1045" s="9" t="s">
        <v>9831</v>
      </c>
      <c r="L1045" s="10" t="s">
        <v>23250</v>
      </c>
      <c r="M1045" s="9" t="s">
        <v>9854</v>
      </c>
      <c r="N1045" s="10" t="s">
        <v>17</v>
      </c>
      <c r="O1045" s="15">
        <v>3336500</v>
      </c>
      <c r="P1045" s="145">
        <v>26250</v>
      </c>
      <c r="Q1045" s="9" t="s">
        <v>22901</v>
      </c>
      <c r="R1045" s="146" t="s">
        <v>23251</v>
      </c>
      <c r="T1045" s="92" t="s">
        <v>3799</v>
      </c>
      <c r="U1045">
        <v>1</v>
      </c>
      <c r="V1045">
        <f>VLOOKUP(T1045,'Data Angt'!$A$5:$F$5810,6,FALSE)</f>
        <v>39</v>
      </c>
      <c r="W1045" s="5" t="str">
        <f t="shared" si="16"/>
        <v>KESEJAHTERAAN</v>
      </c>
      <c r="X1045" s="5" t="str">
        <f>VLOOKUP(T1045,'Data Angt'!$A$5:$H$5810,8,FALSE)</f>
        <v>Karyawan</v>
      </c>
      <c r="Y1045" s="5" t="str">
        <f>VLOOKUP(T1045,'Data Angt'!$A$5:$C$5808,3,FALSE)</f>
        <v>JBR</v>
      </c>
    </row>
    <row r="1046" spans="1:25" x14ac:dyDescent="0.3">
      <c r="A1046" s="8">
        <v>1040</v>
      </c>
      <c r="B1046" s="9" t="s">
        <v>19126</v>
      </c>
      <c r="C1046" s="10" t="str">
        <f>VLOOKUP(B1046,'Data Angt'!$A$5:$B$5809,2,FALSE)</f>
        <v>A5730</v>
      </c>
      <c r="D1046" s="11" t="s">
        <v>9833</v>
      </c>
      <c r="E1046" s="12" t="s">
        <v>23252</v>
      </c>
      <c r="F1046" s="13">
        <v>45890</v>
      </c>
      <c r="G1046" s="14">
        <v>45920</v>
      </c>
      <c r="H1046" s="15">
        <v>1500000</v>
      </c>
      <c r="I1046" s="16">
        <v>10</v>
      </c>
      <c r="J1046" s="17">
        <v>24</v>
      </c>
      <c r="K1046" s="9" t="s">
        <v>9831</v>
      </c>
      <c r="L1046" s="10" t="s">
        <v>23253</v>
      </c>
      <c r="M1046" s="9" t="s">
        <v>16456</v>
      </c>
      <c r="N1046" s="10" t="s">
        <v>9834</v>
      </c>
      <c r="O1046" s="15">
        <v>1363000</v>
      </c>
      <c r="P1046" s="145">
        <v>11250</v>
      </c>
      <c r="Q1046" s="9"/>
      <c r="R1046" s="146"/>
      <c r="T1046" s="92" t="s">
        <v>3857</v>
      </c>
      <c r="U1046">
        <v>1</v>
      </c>
      <c r="V1046">
        <f>VLOOKUP(T1046,'Data Angt'!$A$5:$F$5810,6,FALSE)</f>
        <v>44</v>
      </c>
      <c r="W1046" s="5" t="str">
        <f t="shared" si="16"/>
        <v>KONSUMTIF</v>
      </c>
      <c r="X1046" s="5" t="str">
        <f>VLOOKUP(T1046,'Data Angt'!$A$5:$H$5810,8,FALSE)</f>
        <v>Tenaga Pengajar</v>
      </c>
      <c r="Y1046" s="5" t="str">
        <f>VLOOKUP(T1046,'Data Angt'!$A$5:$C$5808,3,FALSE)</f>
        <v>JBR</v>
      </c>
    </row>
    <row r="1047" spans="1:25" x14ac:dyDescent="0.3">
      <c r="A1047" s="8">
        <v>1041</v>
      </c>
      <c r="B1047" s="9" t="s">
        <v>19129</v>
      </c>
      <c r="C1047" s="10" t="str">
        <f>VLOOKUP(B1047,'Data Angt'!$A$5:$B$5809,2,FALSE)</f>
        <v>A5732</v>
      </c>
      <c r="D1047" s="11" t="s">
        <v>9833</v>
      </c>
      <c r="E1047" s="12" t="s">
        <v>23254</v>
      </c>
      <c r="F1047" s="13">
        <v>45891</v>
      </c>
      <c r="G1047" s="14">
        <v>45922</v>
      </c>
      <c r="H1047" s="15">
        <v>6000000</v>
      </c>
      <c r="I1047" s="16">
        <v>6</v>
      </c>
      <c r="J1047" s="17">
        <v>24</v>
      </c>
      <c r="K1047" s="9" t="s">
        <v>9831</v>
      </c>
      <c r="L1047" s="10" t="s">
        <v>23255</v>
      </c>
      <c r="M1047" s="9" t="s">
        <v>16456</v>
      </c>
      <c r="N1047" s="10" t="s">
        <v>9834</v>
      </c>
      <c r="O1047" s="15">
        <v>6000000</v>
      </c>
      <c r="P1047" s="145">
        <v>45000</v>
      </c>
      <c r="Q1047" s="9" t="s">
        <v>22901</v>
      </c>
      <c r="R1047" s="146" t="s">
        <v>23256</v>
      </c>
      <c r="T1047" s="92" t="s">
        <v>3876</v>
      </c>
      <c r="U1047">
        <v>1</v>
      </c>
      <c r="V1047">
        <f>VLOOKUP(T1047,'Data Angt'!$A$5:$F$5810,6,FALSE)</f>
        <v>47</v>
      </c>
      <c r="W1047" s="5" t="str">
        <f t="shared" si="16"/>
        <v>PRODUKTIF</v>
      </c>
      <c r="X1047" s="5" t="str">
        <f>VLOOKUP(T1047,'Data Angt'!$A$5:$H$5810,8,FALSE)</f>
        <v>Wiraswasta</v>
      </c>
      <c r="Y1047" s="5" t="str">
        <f>VLOOKUP(T1047,'Data Angt'!$A$5:$C$5808,3,FALSE)</f>
        <v>JBR</v>
      </c>
    </row>
    <row r="1048" spans="1:25" x14ac:dyDescent="0.3">
      <c r="A1048" s="8">
        <v>1042</v>
      </c>
      <c r="B1048" s="9" t="s">
        <v>19134</v>
      </c>
      <c r="C1048" s="10" t="str">
        <f>VLOOKUP(B1048,'Data Angt'!$A$5:$B$5809,2,FALSE)</f>
        <v>A5734</v>
      </c>
      <c r="D1048" s="11" t="s">
        <v>9833</v>
      </c>
      <c r="E1048" s="12" t="s">
        <v>23257</v>
      </c>
      <c r="F1048" s="13">
        <v>45892</v>
      </c>
      <c r="G1048" s="14">
        <v>45924</v>
      </c>
      <c r="H1048" s="15">
        <v>2000000</v>
      </c>
      <c r="I1048" s="16">
        <v>10</v>
      </c>
      <c r="J1048" s="17">
        <v>24</v>
      </c>
      <c r="K1048" s="9" t="s">
        <v>9831</v>
      </c>
      <c r="L1048" s="10" t="s">
        <v>23258</v>
      </c>
      <c r="M1048" s="9" t="s">
        <v>16456</v>
      </c>
      <c r="N1048" s="10" t="s">
        <v>9834</v>
      </c>
      <c r="O1048" s="15">
        <v>1817300</v>
      </c>
      <c r="P1048" s="145">
        <v>15000</v>
      </c>
      <c r="Q1048" s="9"/>
      <c r="R1048" s="146"/>
      <c r="T1048" s="92" t="s">
        <v>3887</v>
      </c>
      <c r="U1048">
        <v>1</v>
      </c>
      <c r="V1048">
        <f>VLOOKUP(T1048,'Data Angt'!$A$5:$F$5810,6,FALSE)</f>
        <v>53</v>
      </c>
      <c r="W1048" s="5" t="str">
        <f t="shared" si="16"/>
        <v>KONSUMTIF</v>
      </c>
      <c r="X1048" s="5" t="str">
        <f>VLOOKUP(T1048,'Data Angt'!$A$5:$H$5810,8,FALSE)</f>
        <v>Wiraswasta</v>
      </c>
      <c r="Y1048" s="5" t="str">
        <f>VLOOKUP(T1048,'Data Angt'!$A$5:$C$5808,3,FALSE)</f>
        <v>JBR</v>
      </c>
    </row>
    <row r="1049" spans="1:25" x14ac:dyDescent="0.3">
      <c r="A1049" s="8">
        <v>1043</v>
      </c>
      <c r="B1049" s="9" t="s">
        <v>19151</v>
      </c>
      <c r="C1049" s="10" t="str">
        <f>VLOOKUP(B1049,'Data Angt'!$A$5:$B$5809,2,FALSE)</f>
        <v>A5742</v>
      </c>
      <c r="D1049" s="11" t="s">
        <v>9833</v>
      </c>
      <c r="E1049" s="12" t="s">
        <v>23259</v>
      </c>
      <c r="F1049" s="13">
        <v>45896</v>
      </c>
      <c r="G1049" s="14">
        <v>45917</v>
      </c>
      <c r="H1049" s="15">
        <v>15000000</v>
      </c>
      <c r="I1049" s="16">
        <v>36</v>
      </c>
      <c r="J1049" s="17">
        <v>24</v>
      </c>
      <c r="K1049" s="9" t="s">
        <v>9831</v>
      </c>
      <c r="L1049" s="10" t="s">
        <v>23260</v>
      </c>
      <c r="M1049" s="9" t="s">
        <v>16456</v>
      </c>
      <c r="N1049" s="10" t="s">
        <v>9834</v>
      </c>
      <c r="O1049" s="15">
        <v>14711500</v>
      </c>
      <c r="P1049" s="145">
        <v>112500</v>
      </c>
      <c r="Q1049" s="9" t="s">
        <v>22910</v>
      </c>
      <c r="R1049" s="146" t="s">
        <v>23261</v>
      </c>
      <c r="T1049" s="92" t="s">
        <v>3902</v>
      </c>
      <c r="U1049">
        <v>1</v>
      </c>
      <c r="V1049">
        <f>VLOOKUP(T1049,'Data Angt'!$A$5:$F$5810,6,FALSE)</f>
        <v>56</v>
      </c>
      <c r="W1049" s="5" t="str">
        <f t="shared" si="16"/>
        <v>PRODUKTIF</v>
      </c>
      <c r="X1049" s="5" t="str">
        <f>VLOOKUP(T1049,'Data Angt'!$A$5:$H$5810,8,FALSE)</f>
        <v>Mengurus Rumah Tangga</v>
      </c>
      <c r="Y1049" s="5" t="str">
        <f>VLOOKUP(T1049,'Data Angt'!$A$5:$C$5808,3,FALSE)</f>
        <v>JBR</v>
      </c>
    </row>
    <row r="1050" spans="1:25" x14ac:dyDescent="0.3">
      <c r="A1050" s="8">
        <v>1044</v>
      </c>
      <c r="B1050" s="9" t="s">
        <v>19195</v>
      </c>
      <c r="C1050" s="10" t="str">
        <f>VLOOKUP(B1050,'Data Angt'!$A$5:$B$5809,2,FALSE)</f>
        <v>A5760</v>
      </c>
      <c r="D1050" s="11" t="s">
        <v>9833</v>
      </c>
      <c r="E1050" s="12" t="s">
        <v>23262</v>
      </c>
      <c r="F1050" s="13">
        <v>45904</v>
      </c>
      <c r="G1050" s="14">
        <v>45904</v>
      </c>
      <c r="H1050" s="15">
        <v>15000000</v>
      </c>
      <c r="I1050" s="16">
        <v>24</v>
      </c>
      <c r="J1050" s="17">
        <v>24</v>
      </c>
      <c r="K1050" s="9" t="s">
        <v>9827</v>
      </c>
      <c r="L1050" s="10" t="s">
        <v>23263</v>
      </c>
      <c r="M1050" s="9" t="s">
        <v>23264</v>
      </c>
      <c r="N1050" s="10" t="s">
        <v>9834</v>
      </c>
      <c r="O1050" s="15">
        <v>15000000</v>
      </c>
      <c r="P1050" s="147">
        <v>0</v>
      </c>
      <c r="Q1050" s="9" t="s">
        <v>22910</v>
      </c>
      <c r="R1050" s="146" t="s">
        <v>23265</v>
      </c>
      <c r="T1050" s="92" t="s">
        <v>4040</v>
      </c>
      <c r="U1050">
        <v>1</v>
      </c>
      <c r="V1050">
        <f>VLOOKUP(T1050,'Data Angt'!$A$5:$F$5810,6,FALSE)</f>
        <v>35</v>
      </c>
      <c r="W1050" s="5" t="str">
        <f t="shared" si="16"/>
        <v>PENDIDIKAN</v>
      </c>
      <c r="X1050" s="5" t="str">
        <f>VLOOKUP(T1050,'Data Angt'!$A$5:$H$5810,8,FALSE)</f>
        <v>Karyawan</v>
      </c>
      <c r="Y1050" s="5" t="str">
        <f>VLOOKUP(T1050,'Data Angt'!$A$5:$C$5808,3,FALSE)</f>
        <v>JBR</v>
      </c>
    </row>
    <row r="1051" spans="1:25" x14ac:dyDescent="0.3">
      <c r="A1051" s="8">
        <v>1045</v>
      </c>
      <c r="B1051" s="9" t="s">
        <v>19207</v>
      </c>
      <c r="C1051" s="10" t="str">
        <f>VLOOKUP(B1051,'Data Angt'!$A$5:$B$5809,2,FALSE)</f>
        <v>A5765</v>
      </c>
      <c r="D1051" s="11" t="s">
        <v>9833</v>
      </c>
      <c r="E1051" s="12" t="s">
        <v>23266</v>
      </c>
      <c r="F1051" s="13">
        <v>45909</v>
      </c>
      <c r="G1051" s="14">
        <v>45909</v>
      </c>
      <c r="H1051" s="15">
        <v>15000000</v>
      </c>
      <c r="I1051" s="16">
        <v>24</v>
      </c>
      <c r="J1051" s="17">
        <v>24</v>
      </c>
      <c r="K1051" s="9" t="s">
        <v>9831</v>
      </c>
      <c r="L1051" s="10" t="s">
        <v>23267</v>
      </c>
      <c r="M1051" s="9" t="s">
        <v>23268</v>
      </c>
      <c r="N1051" s="10" t="s">
        <v>9834</v>
      </c>
      <c r="O1051" s="15">
        <v>15000000</v>
      </c>
      <c r="P1051" s="147">
        <v>0</v>
      </c>
      <c r="Q1051" s="9" t="s">
        <v>22910</v>
      </c>
      <c r="R1051" s="146" t="s">
        <v>23269</v>
      </c>
      <c r="T1051" s="92" t="s">
        <v>4219</v>
      </c>
      <c r="U1051">
        <v>1</v>
      </c>
      <c r="V1051">
        <f>VLOOKUP(T1051,'Data Angt'!$A$5:$F$5810,6,FALSE)</f>
        <v>68</v>
      </c>
      <c r="W1051" s="5" t="str">
        <f t="shared" si="16"/>
        <v>PRODUKTIF</v>
      </c>
      <c r="X1051" s="5" t="str">
        <f>VLOOKUP(T1051,'Data Angt'!$A$5:$H$5810,8,FALSE)</f>
        <v>Mengurus Rumah Tangga</v>
      </c>
      <c r="Y1051" s="5" t="str">
        <f>VLOOKUP(T1051,'Data Angt'!$A$5:$C$5808,3,FALSE)</f>
        <v>JBR</v>
      </c>
    </row>
    <row r="1052" spans="1:25" x14ac:dyDescent="0.3">
      <c r="A1052" s="8">
        <v>1046</v>
      </c>
      <c r="B1052" s="9" t="s">
        <v>19209</v>
      </c>
      <c r="C1052" s="10" t="str">
        <f>VLOOKUP(B1052,'Data Angt'!$A$5:$B$5809,2,FALSE)</f>
        <v>A5766</v>
      </c>
      <c r="D1052" s="11" t="s">
        <v>9833</v>
      </c>
      <c r="E1052" s="12" t="s">
        <v>23270</v>
      </c>
      <c r="F1052" s="13">
        <v>45909</v>
      </c>
      <c r="G1052" s="14">
        <v>45909</v>
      </c>
      <c r="H1052" s="15">
        <v>2000000</v>
      </c>
      <c r="I1052" s="16">
        <v>10</v>
      </c>
      <c r="J1052" s="17">
        <v>24</v>
      </c>
      <c r="K1052" s="9" t="s">
        <v>9831</v>
      </c>
      <c r="L1052" s="10" t="s">
        <v>23271</v>
      </c>
      <c r="M1052" s="9" t="s">
        <v>16456</v>
      </c>
      <c r="N1052" s="10" t="s">
        <v>9834</v>
      </c>
      <c r="O1052" s="15">
        <v>2000000</v>
      </c>
      <c r="P1052" s="147">
        <v>0</v>
      </c>
      <c r="Q1052" s="9"/>
      <c r="R1052" s="146"/>
      <c r="T1052" s="92" t="s">
        <v>4242</v>
      </c>
      <c r="U1052">
        <v>1</v>
      </c>
      <c r="V1052">
        <f>VLOOKUP(T1052,'Data Angt'!$A$5:$F$5810,6,FALSE)</f>
        <v>54</v>
      </c>
      <c r="W1052" s="5">
        <f t="shared" si="16"/>
        <v>0</v>
      </c>
      <c r="X1052" s="5" t="str">
        <f>VLOOKUP(T1052,'Data Angt'!$A$5:$H$5810,8,FALSE)</f>
        <v>Karyawan</v>
      </c>
      <c r="Y1052" s="5" t="str">
        <f>VLOOKUP(T1052,'Data Angt'!$A$5:$C$5808,3,FALSE)</f>
        <v>JBR</v>
      </c>
    </row>
    <row r="1053" spans="1:25" x14ac:dyDescent="0.3">
      <c r="A1053" s="8">
        <v>1047</v>
      </c>
      <c r="B1053" s="9" t="s">
        <v>19210</v>
      </c>
      <c r="C1053" s="10" t="str">
        <f>VLOOKUP(B1053,'Data Angt'!$A$5:$B$5809,2,FALSE)</f>
        <v>A5767</v>
      </c>
      <c r="D1053" s="11" t="s">
        <v>9833</v>
      </c>
      <c r="E1053" s="12" t="s">
        <v>23272</v>
      </c>
      <c r="F1053" s="13">
        <v>45909</v>
      </c>
      <c r="G1053" s="14">
        <v>45909</v>
      </c>
      <c r="H1053" s="15">
        <v>1500000</v>
      </c>
      <c r="I1053" s="16">
        <v>10</v>
      </c>
      <c r="J1053" s="17">
        <v>24</v>
      </c>
      <c r="K1053" s="9" t="s">
        <v>9831</v>
      </c>
      <c r="L1053" s="10" t="s">
        <v>23273</v>
      </c>
      <c r="M1053" s="9" t="s">
        <v>23274</v>
      </c>
      <c r="N1053" s="10" t="s">
        <v>9834</v>
      </c>
      <c r="O1053" s="15">
        <v>1500000</v>
      </c>
      <c r="P1053" s="147">
        <v>0</v>
      </c>
      <c r="Q1053" s="9"/>
      <c r="R1053" s="146"/>
      <c r="T1053" s="92" t="s">
        <v>4389</v>
      </c>
      <c r="U1053">
        <v>1</v>
      </c>
      <c r="V1053">
        <f>VLOOKUP(T1053,'Data Angt'!$A$5:$F$5810,6,FALSE)</f>
        <v>48</v>
      </c>
      <c r="W1053" s="5">
        <f t="shared" si="16"/>
        <v>0</v>
      </c>
      <c r="X1053" s="5" t="str">
        <f>VLOOKUP(T1053,'Data Angt'!$A$5:$H$5810,8,FALSE)</f>
        <v>Mengurus Rumah Tangga</v>
      </c>
      <c r="Y1053" s="5" t="str">
        <f>VLOOKUP(T1053,'Data Angt'!$A$5:$C$5808,3,FALSE)</f>
        <v>JBR</v>
      </c>
    </row>
    <row r="1054" spans="1:25" x14ac:dyDescent="0.3">
      <c r="A1054" s="8">
        <v>1048</v>
      </c>
      <c r="B1054" s="9" t="s">
        <v>19211</v>
      </c>
      <c r="C1054" s="10" t="str">
        <f>VLOOKUP(B1054,'Data Angt'!$A$5:$B$5809,2,FALSE)</f>
        <v>A5768</v>
      </c>
      <c r="D1054" s="11" t="s">
        <v>9833</v>
      </c>
      <c r="E1054" s="12" t="s">
        <v>23275</v>
      </c>
      <c r="F1054" s="13">
        <v>45929</v>
      </c>
      <c r="G1054" s="14">
        <v>45929</v>
      </c>
      <c r="H1054" s="15">
        <v>1500000</v>
      </c>
      <c r="I1054" s="16">
        <v>10</v>
      </c>
      <c r="J1054" s="17">
        <v>24</v>
      </c>
      <c r="K1054" s="9" t="s">
        <v>9831</v>
      </c>
      <c r="L1054" s="10" t="s">
        <v>23276</v>
      </c>
      <c r="M1054" s="9" t="s">
        <v>16456</v>
      </c>
      <c r="N1054" s="10" t="s">
        <v>9834</v>
      </c>
      <c r="O1054" s="15">
        <v>1500000</v>
      </c>
      <c r="P1054" s="147">
        <v>0</v>
      </c>
      <c r="Q1054" s="9"/>
      <c r="R1054" s="146"/>
      <c r="T1054" s="92" t="s">
        <v>4405</v>
      </c>
      <c r="U1054">
        <v>1</v>
      </c>
      <c r="V1054">
        <f>VLOOKUP(T1054,'Data Angt'!$A$5:$F$5810,6,FALSE)</f>
        <v>48</v>
      </c>
      <c r="W1054" s="5" t="str">
        <f t="shared" si="16"/>
        <v>KESEJAHTERAAN</v>
      </c>
      <c r="X1054" s="5" t="str">
        <f>VLOOKUP(T1054,'Data Angt'!$A$5:$H$5810,8,FALSE)</f>
        <v>Tenaga Pengajar</v>
      </c>
      <c r="Y1054" s="5" t="str">
        <f>VLOOKUP(T1054,'Data Angt'!$A$5:$C$5808,3,FALSE)</f>
        <v>JBR</v>
      </c>
    </row>
    <row r="1055" spans="1:25" x14ac:dyDescent="0.3">
      <c r="A1055" s="8">
        <v>1049</v>
      </c>
      <c r="B1055" s="9" t="s">
        <v>19216</v>
      </c>
      <c r="C1055" s="10" t="str">
        <f>VLOOKUP(B1055,'Data Angt'!$A$5:$B$5809,2,FALSE)</f>
        <v>A5771</v>
      </c>
      <c r="D1055" s="11" t="s">
        <v>9833</v>
      </c>
      <c r="E1055" s="12" t="s">
        <v>23277</v>
      </c>
      <c r="F1055" s="13">
        <v>45910</v>
      </c>
      <c r="G1055" s="14">
        <v>45910</v>
      </c>
      <c r="H1055" s="15">
        <v>1500000</v>
      </c>
      <c r="I1055" s="16">
        <v>10</v>
      </c>
      <c r="J1055" s="17">
        <v>24</v>
      </c>
      <c r="K1055" s="9" t="s">
        <v>9831</v>
      </c>
      <c r="L1055" s="10" t="s">
        <v>23278</v>
      </c>
      <c r="M1055" s="9" t="s">
        <v>9862</v>
      </c>
      <c r="N1055" s="10" t="s">
        <v>9834</v>
      </c>
      <c r="O1055" s="15">
        <v>1500000</v>
      </c>
      <c r="P1055" s="147">
        <v>0</v>
      </c>
      <c r="Q1055" s="9"/>
      <c r="R1055" s="146"/>
      <c r="T1055" s="92" t="s">
        <v>4472</v>
      </c>
      <c r="U1055">
        <v>1</v>
      </c>
      <c r="V1055">
        <f>VLOOKUP(T1055,'Data Angt'!$A$5:$F$5810,6,FALSE)</f>
        <v>54</v>
      </c>
      <c r="W1055" s="5">
        <f t="shared" si="16"/>
        <v>0</v>
      </c>
      <c r="X1055" s="5" t="str">
        <f>VLOOKUP(T1055,'Data Angt'!$A$5:$H$5810,8,FALSE)</f>
        <v>Wiraswasta</v>
      </c>
      <c r="Y1055" s="5" t="str">
        <f>VLOOKUP(T1055,'Data Angt'!$A$5:$C$5808,3,FALSE)</f>
        <v>JBR</v>
      </c>
    </row>
    <row r="1056" spans="1:25" x14ac:dyDescent="0.3">
      <c r="A1056" s="8">
        <v>1050</v>
      </c>
      <c r="B1056" s="9" t="s">
        <v>19219</v>
      </c>
      <c r="C1056" s="10" t="str">
        <f>VLOOKUP(B1056,'Data Angt'!$A$5:$B$5809,2,FALSE)</f>
        <v>A5772</v>
      </c>
      <c r="D1056" s="11" t="s">
        <v>9829</v>
      </c>
      <c r="E1056" s="12" t="s">
        <v>23279</v>
      </c>
      <c r="F1056" s="13">
        <v>45910</v>
      </c>
      <c r="G1056" s="14">
        <v>45910</v>
      </c>
      <c r="H1056" s="15">
        <v>1500000</v>
      </c>
      <c r="I1056" s="16">
        <v>10</v>
      </c>
      <c r="J1056" s="17">
        <v>24</v>
      </c>
      <c r="K1056" s="9" t="s">
        <v>9831</v>
      </c>
      <c r="L1056" s="10" t="s">
        <v>23280</v>
      </c>
      <c r="M1056" s="9" t="s">
        <v>10352</v>
      </c>
      <c r="N1056" s="10" t="s">
        <v>9828</v>
      </c>
      <c r="O1056" s="15">
        <v>1500000</v>
      </c>
      <c r="P1056" s="147">
        <v>0</v>
      </c>
      <c r="Q1056" s="9"/>
      <c r="R1056" s="146"/>
      <c r="T1056" s="92" t="s">
        <v>4489</v>
      </c>
      <c r="U1056">
        <v>1</v>
      </c>
      <c r="V1056">
        <f>VLOOKUP(T1056,'Data Angt'!$A$5:$F$5810,6,FALSE)</f>
        <v>39</v>
      </c>
      <c r="W1056" s="5" t="str">
        <f t="shared" si="16"/>
        <v>KONSUMTIF</v>
      </c>
      <c r="X1056" s="5" t="str">
        <f>VLOOKUP(T1056,'Data Angt'!$A$5:$H$5810,8,FALSE)</f>
        <v>Tenaga Pengajar</v>
      </c>
      <c r="Y1056" s="5" t="str">
        <f>VLOOKUP(T1056,'Data Angt'!$A$5:$C$5808,3,FALSE)</f>
        <v>JBR</v>
      </c>
    </row>
    <row r="1057" spans="1:25" x14ac:dyDescent="0.3">
      <c r="A1057" s="8">
        <v>1051</v>
      </c>
      <c r="B1057" s="9" t="s">
        <v>19233</v>
      </c>
      <c r="C1057" s="10" t="str">
        <f>VLOOKUP(B1057,'Data Angt'!$A$5:$B$5809,2,FALSE)</f>
        <v>A5779</v>
      </c>
      <c r="D1057" s="11" t="s">
        <v>9833</v>
      </c>
      <c r="E1057" s="12" t="s">
        <v>23281</v>
      </c>
      <c r="F1057" s="13">
        <v>45913</v>
      </c>
      <c r="G1057" s="14">
        <v>45913</v>
      </c>
      <c r="H1057" s="15">
        <v>2000000</v>
      </c>
      <c r="I1057" s="16">
        <v>12</v>
      </c>
      <c r="J1057" s="17">
        <v>24</v>
      </c>
      <c r="K1057" s="9" t="s">
        <v>9831</v>
      </c>
      <c r="L1057" s="10" t="s">
        <v>23282</v>
      </c>
      <c r="M1057" s="9" t="s">
        <v>23283</v>
      </c>
      <c r="N1057" s="10" t="s">
        <v>9834</v>
      </c>
      <c r="O1057" s="15">
        <v>2000000</v>
      </c>
      <c r="P1057" s="147">
        <v>0</v>
      </c>
      <c r="Q1057" s="9"/>
      <c r="R1057" s="146"/>
      <c r="T1057" s="92" t="s">
        <v>4545</v>
      </c>
      <c r="U1057">
        <v>1</v>
      </c>
      <c r="V1057">
        <f>VLOOKUP(T1057,'Data Angt'!$A$5:$F$5810,6,FALSE)</f>
        <v>39</v>
      </c>
      <c r="W1057" s="5" t="str">
        <f t="shared" si="16"/>
        <v>PRODUKTIF</v>
      </c>
      <c r="X1057" s="5" t="str">
        <f>VLOOKUP(T1057,'Data Angt'!$A$5:$H$5810,8,FALSE)</f>
        <v>Karyawan</v>
      </c>
      <c r="Y1057" s="5" t="str">
        <f>VLOOKUP(T1057,'Data Angt'!$A$5:$C$5808,3,FALSE)</f>
        <v>JBR</v>
      </c>
    </row>
    <row r="1058" spans="1:25" x14ac:dyDescent="0.3">
      <c r="A1058" s="8">
        <v>1052</v>
      </c>
      <c r="B1058" s="9" t="s">
        <v>22179</v>
      </c>
      <c r="C1058" s="10" t="str">
        <f>VLOOKUP(B1058,'Data Angt'!$A$5:$B$5809,2,FALSE)</f>
        <v>A5802</v>
      </c>
      <c r="D1058" s="11" t="s">
        <v>9833</v>
      </c>
      <c r="E1058" s="12" t="s">
        <v>23284</v>
      </c>
      <c r="F1058" s="13">
        <v>45930</v>
      </c>
      <c r="G1058" s="14">
        <v>45930</v>
      </c>
      <c r="H1058" s="15">
        <v>48000000</v>
      </c>
      <c r="I1058" s="16">
        <v>48</v>
      </c>
      <c r="J1058" s="17">
        <v>21</v>
      </c>
      <c r="K1058" s="9" t="s">
        <v>9831</v>
      </c>
      <c r="L1058" s="10" t="s">
        <v>23285</v>
      </c>
      <c r="M1058" s="9" t="s">
        <v>23286</v>
      </c>
      <c r="N1058" s="10" t="s">
        <v>9834</v>
      </c>
      <c r="O1058" s="15">
        <v>48000000</v>
      </c>
      <c r="P1058" s="147">
        <v>0</v>
      </c>
      <c r="Q1058" s="9" t="s">
        <v>23287</v>
      </c>
      <c r="R1058" s="146" t="s">
        <v>23288</v>
      </c>
      <c r="T1058" s="92" t="s">
        <v>4570</v>
      </c>
      <c r="U1058">
        <v>1</v>
      </c>
      <c r="V1058">
        <f>VLOOKUP(T1058,'Data Angt'!$A$5:$F$5810,6,FALSE)</f>
        <v>34</v>
      </c>
      <c r="W1058" s="5" t="str">
        <f t="shared" si="16"/>
        <v>KONSUMTIF</v>
      </c>
      <c r="X1058" s="5" t="str">
        <f>VLOOKUP(T1058,'Data Angt'!$A$5:$H$5810,8,FALSE)</f>
        <v>Karyawan</v>
      </c>
      <c r="Y1058" s="5" t="str">
        <f>VLOOKUP(T1058,'Data Angt'!$A$5:$C$5808,3,FALSE)</f>
        <v>JBR</v>
      </c>
    </row>
    <row r="1059" spans="1:25" x14ac:dyDescent="0.3">
      <c r="A1059" s="8">
        <v>1053</v>
      </c>
      <c r="B1059" s="9" t="s">
        <v>567</v>
      </c>
      <c r="C1059" s="10" t="str">
        <f>VLOOKUP(B1059,'Data Angt'!$A$5:$B$5809,2,FALSE)</f>
        <v>A205</v>
      </c>
      <c r="D1059" s="11" t="s">
        <v>9829</v>
      </c>
      <c r="E1059" s="12" t="s">
        <v>16825</v>
      </c>
      <c r="F1059" s="13">
        <v>45609</v>
      </c>
      <c r="G1059" s="14">
        <v>45913</v>
      </c>
      <c r="H1059" s="15">
        <v>20000000</v>
      </c>
      <c r="I1059" s="16">
        <v>12</v>
      </c>
      <c r="J1059" s="17">
        <v>24</v>
      </c>
      <c r="K1059" s="9" t="s">
        <v>9827</v>
      </c>
      <c r="L1059" s="10" t="s">
        <v>16826</v>
      </c>
      <c r="M1059" s="9" t="s">
        <v>9838</v>
      </c>
      <c r="N1059" s="10" t="s">
        <v>9830</v>
      </c>
      <c r="O1059" s="15">
        <v>3333000</v>
      </c>
      <c r="P1059" s="145">
        <v>937611</v>
      </c>
      <c r="Q1059" s="9"/>
      <c r="R1059" s="146"/>
      <c r="T1059" s="92" t="s">
        <v>4576</v>
      </c>
      <c r="U1059">
        <v>1</v>
      </c>
      <c r="V1059">
        <f>VLOOKUP(T1059,'Data Angt'!$A$5:$F$5810,6,FALSE)</f>
        <v>44</v>
      </c>
      <c r="W1059" s="5">
        <f t="shared" si="16"/>
        <v>0</v>
      </c>
      <c r="X1059" s="5" t="str">
        <f>VLOOKUP(T1059,'Data Angt'!$A$5:$H$5810,8,FALSE)</f>
        <v>Mengurus Rumah Tangga</v>
      </c>
      <c r="Y1059" s="5" t="str">
        <f>VLOOKUP(T1059,'Data Angt'!$A$5:$C$5808,3,FALSE)</f>
        <v>JBR</v>
      </c>
    </row>
    <row r="1060" spans="1:25" x14ac:dyDescent="0.3">
      <c r="A1060" s="8">
        <v>1054</v>
      </c>
      <c r="B1060" s="9" t="s">
        <v>580</v>
      </c>
      <c r="C1060" s="10" t="str">
        <f>VLOOKUP(B1060,'Data Angt'!$A$5:$B$5809,2,FALSE)</f>
        <v>A209</v>
      </c>
      <c r="D1060" s="11" t="s">
        <v>9829</v>
      </c>
      <c r="E1060" s="12" t="s">
        <v>16827</v>
      </c>
      <c r="F1060" s="13">
        <v>45329</v>
      </c>
      <c r="G1060" s="14">
        <v>45909</v>
      </c>
      <c r="H1060" s="15">
        <v>10000000</v>
      </c>
      <c r="I1060" s="16">
        <v>36</v>
      </c>
      <c r="J1060" s="17">
        <v>11.9</v>
      </c>
      <c r="K1060" s="9" t="s">
        <v>9831</v>
      </c>
      <c r="L1060" s="10" t="s">
        <v>16828</v>
      </c>
      <c r="M1060" s="9" t="s">
        <v>9993</v>
      </c>
      <c r="N1060" s="10" t="s">
        <v>110</v>
      </c>
      <c r="O1060" s="15">
        <v>5165600</v>
      </c>
      <c r="P1060" s="145">
        <v>550459</v>
      </c>
      <c r="Q1060" s="9"/>
      <c r="R1060" s="146"/>
      <c r="T1060" s="92" t="s">
        <v>4630</v>
      </c>
      <c r="U1060">
        <v>1</v>
      </c>
      <c r="V1060">
        <f>VLOOKUP(T1060,'Data Angt'!$A$5:$F$5810,6,FALSE)</f>
        <v>47</v>
      </c>
      <c r="W1060" s="5" t="str">
        <f t="shared" si="16"/>
        <v>PENDIDIKAN</v>
      </c>
      <c r="X1060" s="5" t="str">
        <f>VLOOKUP(T1060,'Data Angt'!$A$5:$H$5810,8,FALSE)</f>
        <v>Tenaga Pengajar</v>
      </c>
      <c r="Y1060" s="5" t="str">
        <f>VLOOKUP(T1060,'Data Angt'!$A$5:$C$5808,3,FALSE)</f>
        <v>JBR</v>
      </c>
    </row>
    <row r="1061" spans="1:25" x14ac:dyDescent="0.3">
      <c r="A1061" s="8">
        <v>1055</v>
      </c>
      <c r="B1061" s="9" t="s">
        <v>608</v>
      </c>
      <c r="C1061" s="10" t="str">
        <f>VLOOKUP(B1061,'Data Angt'!$A$5:$B$5809,2,FALSE)</f>
        <v>A221</v>
      </c>
      <c r="D1061" s="11" t="s">
        <v>9826</v>
      </c>
      <c r="E1061" s="12" t="s">
        <v>16829</v>
      </c>
      <c r="F1061" s="13">
        <v>45808</v>
      </c>
      <c r="G1061" s="14">
        <v>45929</v>
      </c>
      <c r="H1061" s="15">
        <v>6000000</v>
      </c>
      <c r="I1061" s="16">
        <v>24</v>
      </c>
      <c r="J1061" s="17">
        <v>11.9</v>
      </c>
      <c r="K1061" s="9" t="s">
        <v>9831</v>
      </c>
      <c r="L1061" s="10" t="s">
        <v>16830</v>
      </c>
      <c r="M1061" s="9" t="s">
        <v>10008</v>
      </c>
      <c r="N1061" s="10" t="s">
        <v>17</v>
      </c>
      <c r="O1061" s="15">
        <v>5096000</v>
      </c>
      <c r="P1061" s="145">
        <v>84298</v>
      </c>
      <c r="Q1061" s="9"/>
      <c r="R1061" s="146"/>
      <c r="T1061" s="92" t="s">
        <v>4750</v>
      </c>
      <c r="U1061">
        <v>1</v>
      </c>
      <c r="V1061">
        <f>VLOOKUP(T1061,'Data Angt'!$A$5:$F$5810,6,FALSE)</f>
        <v>50</v>
      </c>
      <c r="W1061" s="5" t="str">
        <f t="shared" si="16"/>
        <v>PRODUKTIF</v>
      </c>
      <c r="X1061" s="5" t="str">
        <f>VLOOKUP(T1061,'Data Angt'!$A$5:$H$5810,8,FALSE)</f>
        <v>Wiraswasta</v>
      </c>
      <c r="Y1061" s="5" t="str">
        <f>VLOOKUP(T1061,'Data Angt'!$A$5:$C$5808,3,FALSE)</f>
        <v>JBR</v>
      </c>
    </row>
    <row r="1062" spans="1:25" x14ac:dyDescent="0.3">
      <c r="A1062" s="8">
        <v>1056</v>
      </c>
      <c r="B1062" s="9" t="s">
        <v>608</v>
      </c>
      <c r="C1062" s="10" t="str">
        <f>VLOOKUP(B1062,'Data Angt'!$A$5:$B$5809,2,FALSE)</f>
        <v>A221</v>
      </c>
      <c r="D1062" s="11" t="s">
        <v>9829</v>
      </c>
      <c r="E1062" s="12" t="s">
        <v>16831</v>
      </c>
      <c r="F1062" s="13">
        <v>45577</v>
      </c>
      <c r="G1062" s="14">
        <v>45912</v>
      </c>
      <c r="H1062" s="15">
        <v>17000000</v>
      </c>
      <c r="I1062" s="16">
        <v>30</v>
      </c>
      <c r="J1062" s="17">
        <v>24</v>
      </c>
      <c r="K1062" s="9" t="s">
        <v>9827</v>
      </c>
      <c r="L1062" s="10" t="s">
        <v>16832</v>
      </c>
      <c r="M1062" s="9" t="s">
        <v>9838</v>
      </c>
      <c r="N1062" s="10" t="s">
        <v>9830</v>
      </c>
      <c r="O1062" s="15">
        <v>10766300</v>
      </c>
      <c r="P1062" s="145">
        <v>1168873</v>
      </c>
      <c r="Q1062" s="9"/>
      <c r="R1062" s="146"/>
      <c r="T1062" s="92" t="s">
        <v>4780</v>
      </c>
      <c r="U1062">
        <v>1</v>
      </c>
      <c r="V1062">
        <f>VLOOKUP(T1062,'Data Angt'!$A$5:$F$5810,6,FALSE)</f>
        <v>42</v>
      </c>
      <c r="W1062" s="5" t="str">
        <f t="shared" si="16"/>
        <v>KONSUMTIF</v>
      </c>
      <c r="X1062" s="5" t="str">
        <f>VLOOKUP(T1062,'Data Angt'!$A$5:$H$5810,8,FALSE)</f>
        <v>Karyawan</v>
      </c>
      <c r="Y1062" s="5" t="str">
        <f>VLOOKUP(T1062,'Data Angt'!$A$5:$C$5808,3,FALSE)</f>
        <v>JBR</v>
      </c>
    </row>
    <row r="1063" spans="1:25" x14ac:dyDescent="0.3">
      <c r="A1063" s="8">
        <v>1057</v>
      </c>
      <c r="B1063" s="9" t="s">
        <v>611</v>
      </c>
      <c r="C1063" s="10" t="str">
        <f>VLOOKUP(B1063,'Data Angt'!$A$5:$B$5809,2,FALSE)</f>
        <v>A222</v>
      </c>
      <c r="D1063" s="11" t="s">
        <v>9826</v>
      </c>
      <c r="E1063" s="12" t="s">
        <v>16833</v>
      </c>
      <c r="F1063" s="13">
        <v>45783</v>
      </c>
      <c r="G1063" s="14">
        <v>45908</v>
      </c>
      <c r="H1063" s="15">
        <v>5000000</v>
      </c>
      <c r="I1063" s="16">
        <v>24</v>
      </c>
      <c r="J1063" s="17">
        <v>24</v>
      </c>
      <c r="K1063" s="9" t="s">
        <v>9827</v>
      </c>
      <c r="L1063" s="10" t="s">
        <v>16834</v>
      </c>
      <c r="M1063" s="9" t="s">
        <v>9840</v>
      </c>
      <c r="N1063" s="10" t="s">
        <v>9828</v>
      </c>
      <c r="O1063" s="15">
        <v>4166400</v>
      </c>
      <c r="P1063" s="145">
        <v>140661</v>
      </c>
      <c r="Q1063" s="9"/>
      <c r="R1063" s="146"/>
      <c r="T1063" s="92" t="s">
        <v>4789</v>
      </c>
      <c r="U1063">
        <v>1</v>
      </c>
      <c r="V1063">
        <f>VLOOKUP(T1063,'Data Angt'!$A$5:$F$5810,6,FALSE)</f>
        <v>69</v>
      </c>
      <c r="W1063" s="5" t="str">
        <f t="shared" si="16"/>
        <v>PRODUKTIF</v>
      </c>
      <c r="X1063" s="5" t="str">
        <f>VLOOKUP(T1063,'Data Angt'!$A$5:$H$5810,8,FALSE)</f>
        <v>Pensiunan</v>
      </c>
      <c r="Y1063" s="5" t="str">
        <f>VLOOKUP(T1063,'Data Angt'!$A$5:$C$5808,3,FALSE)</f>
        <v>JBR</v>
      </c>
    </row>
    <row r="1064" spans="1:25" x14ac:dyDescent="0.3">
      <c r="A1064" s="8">
        <v>1058</v>
      </c>
      <c r="B1064" s="9" t="s">
        <v>805</v>
      </c>
      <c r="C1064" s="10" t="str">
        <f>VLOOKUP(B1064,'Data Angt'!$A$5:$B$5809,2,FALSE)</f>
        <v>A300</v>
      </c>
      <c r="D1064" s="11" t="s">
        <v>9826</v>
      </c>
      <c r="E1064" s="12" t="s">
        <v>16835</v>
      </c>
      <c r="F1064" s="13">
        <v>45769</v>
      </c>
      <c r="G1064" s="14">
        <v>45923</v>
      </c>
      <c r="H1064" s="15">
        <v>10000000</v>
      </c>
      <c r="I1064" s="16">
        <v>12</v>
      </c>
      <c r="J1064" s="17">
        <v>11.9</v>
      </c>
      <c r="K1064" s="9" t="s">
        <v>9831</v>
      </c>
      <c r="L1064" s="10" t="s">
        <v>16836</v>
      </c>
      <c r="M1064" s="9" t="s">
        <v>10395</v>
      </c>
      <c r="N1064" s="10" t="s">
        <v>9830</v>
      </c>
      <c r="O1064" s="15">
        <v>5976600</v>
      </c>
      <c r="P1064" s="145">
        <v>156411</v>
      </c>
      <c r="Q1064" s="9"/>
      <c r="R1064" s="146"/>
      <c r="T1064" s="92" t="s">
        <v>4844</v>
      </c>
      <c r="U1064">
        <v>1</v>
      </c>
      <c r="V1064">
        <f>VLOOKUP(T1064,'Data Angt'!$A$5:$F$5810,6,FALSE)</f>
        <v>46</v>
      </c>
      <c r="W1064" s="5">
        <f t="shared" si="16"/>
        <v>0</v>
      </c>
      <c r="X1064" s="5" t="str">
        <f>VLOOKUP(T1064,'Data Angt'!$A$5:$H$5810,8,FALSE)</f>
        <v>Wiraswasta</v>
      </c>
      <c r="Y1064" s="5" t="str">
        <f>VLOOKUP(T1064,'Data Angt'!$A$5:$C$5808,3,FALSE)</f>
        <v>JBR</v>
      </c>
    </row>
    <row r="1065" spans="1:25" x14ac:dyDescent="0.3">
      <c r="A1065" s="8">
        <v>1059</v>
      </c>
      <c r="B1065" s="9" t="s">
        <v>808</v>
      </c>
      <c r="C1065" s="10" t="str">
        <f>VLOOKUP(B1065,'Data Angt'!$A$5:$B$5809,2,FALSE)</f>
        <v>A301</v>
      </c>
      <c r="D1065" s="11" t="s">
        <v>9826</v>
      </c>
      <c r="E1065" s="12" t="s">
        <v>23289</v>
      </c>
      <c r="F1065" s="13">
        <v>45847</v>
      </c>
      <c r="G1065" s="14">
        <v>45909</v>
      </c>
      <c r="H1065" s="15">
        <v>9000000</v>
      </c>
      <c r="I1065" s="16">
        <v>9</v>
      </c>
      <c r="J1065" s="17">
        <v>11.9</v>
      </c>
      <c r="K1065" s="9" t="s">
        <v>9831</v>
      </c>
      <c r="L1065" s="10" t="s">
        <v>23290</v>
      </c>
      <c r="M1065" s="9" t="s">
        <v>9854</v>
      </c>
      <c r="N1065" s="10" t="s">
        <v>17</v>
      </c>
      <c r="O1065" s="15">
        <v>7068500</v>
      </c>
      <c r="P1065" s="145">
        <v>63412</v>
      </c>
      <c r="Q1065" s="9"/>
      <c r="R1065" s="146"/>
      <c r="T1065" s="92" t="s">
        <v>4970</v>
      </c>
      <c r="U1065">
        <v>1</v>
      </c>
      <c r="V1065">
        <f>VLOOKUP(T1065,'Data Angt'!$A$5:$F$5810,6,FALSE)</f>
        <v>43</v>
      </c>
      <c r="W1065" s="5">
        <f t="shared" si="16"/>
        <v>0</v>
      </c>
      <c r="X1065" s="5" t="str">
        <f>VLOOKUP(T1065,'Data Angt'!$A$5:$H$5810,8,FALSE)</f>
        <v>Karyawan</v>
      </c>
      <c r="Y1065" s="5" t="str">
        <f>VLOOKUP(T1065,'Data Angt'!$A$5:$C$5808,3,FALSE)</f>
        <v>JBR</v>
      </c>
    </row>
    <row r="1066" spans="1:25" x14ac:dyDescent="0.3">
      <c r="A1066" s="8">
        <v>1060</v>
      </c>
      <c r="B1066" s="9" t="s">
        <v>858</v>
      </c>
      <c r="C1066" s="10" t="str">
        <f>VLOOKUP(B1066,'Data Angt'!$A$5:$B$5809,2,FALSE)</f>
        <v>A324</v>
      </c>
      <c r="D1066" s="11" t="s">
        <v>9833</v>
      </c>
      <c r="E1066" s="12" t="s">
        <v>10396</v>
      </c>
      <c r="F1066" s="13">
        <v>44544</v>
      </c>
      <c r="G1066" s="14">
        <v>45922</v>
      </c>
      <c r="H1066" s="15">
        <v>30000000</v>
      </c>
      <c r="I1066" s="16">
        <v>48</v>
      </c>
      <c r="J1066" s="17">
        <v>21</v>
      </c>
      <c r="K1066" s="9" t="s">
        <v>9827</v>
      </c>
      <c r="L1066" s="10" t="s">
        <v>10397</v>
      </c>
      <c r="M1066" s="9" t="s">
        <v>10398</v>
      </c>
      <c r="N1066" s="10" t="s">
        <v>9834</v>
      </c>
      <c r="O1066" s="15">
        <v>1875000</v>
      </c>
      <c r="P1066" s="145">
        <v>4799539</v>
      </c>
      <c r="Q1066" s="9"/>
      <c r="R1066" s="146"/>
      <c r="T1066" s="92" t="s">
        <v>4979</v>
      </c>
      <c r="U1066">
        <v>1</v>
      </c>
      <c r="V1066">
        <f>VLOOKUP(T1066,'Data Angt'!$A$5:$F$5810,6,FALSE)</f>
        <v>41</v>
      </c>
      <c r="W1066" s="5">
        <f t="shared" si="16"/>
        <v>0</v>
      </c>
      <c r="X1066" s="5" t="str">
        <f>VLOOKUP(T1066,'Data Angt'!$A$5:$H$5810,8,FALSE)</f>
        <v>Karyawan</v>
      </c>
      <c r="Y1066" s="5" t="str">
        <f>VLOOKUP(T1066,'Data Angt'!$A$5:$C$5808,3,FALSE)</f>
        <v>JBR</v>
      </c>
    </row>
    <row r="1067" spans="1:25" x14ac:dyDescent="0.3">
      <c r="A1067" s="8">
        <v>1061</v>
      </c>
      <c r="B1067" s="9" t="s">
        <v>858</v>
      </c>
      <c r="C1067" s="10" t="str">
        <f>VLOOKUP(B1067,'Data Angt'!$A$5:$B$5809,2,FALSE)</f>
        <v>A324</v>
      </c>
      <c r="D1067" s="11" t="s">
        <v>9826</v>
      </c>
      <c r="E1067" s="12" t="s">
        <v>23291</v>
      </c>
      <c r="F1067" s="13">
        <v>45859</v>
      </c>
      <c r="G1067" s="14">
        <v>45913</v>
      </c>
      <c r="H1067" s="15">
        <v>23000000</v>
      </c>
      <c r="I1067" s="16">
        <v>36</v>
      </c>
      <c r="J1067" s="17">
        <v>11.4</v>
      </c>
      <c r="K1067" s="9" t="s">
        <v>9831</v>
      </c>
      <c r="L1067" s="10" t="s">
        <v>23292</v>
      </c>
      <c r="M1067" s="9" t="s">
        <v>9838</v>
      </c>
      <c r="N1067" s="10" t="s">
        <v>9830</v>
      </c>
      <c r="O1067" s="15">
        <v>21917100</v>
      </c>
      <c r="P1067" s="145">
        <v>161962</v>
      </c>
      <c r="Q1067" s="9"/>
      <c r="R1067" s="146"/>
      <c r="T1067" s="92" t="s">
        <v>5121</v>
      </c>
      <c r="U1067">
        <v>1</v>
      </c>
      <c r="V1067">
        <f>VLOOKUP(T1067,'Data Angt'!$A$5:$F$5810,6,FALSE)</f>
        <v>38</v>
      </c>
      <c r="W1067" s="5" t="str">
        <f t="shared" si="16"/>
        <v>PRODUKTIF</v>
      </c>
      <c r="X1067" s="5" t="str">
        <f>VLOOKUP(T1067,'Data Angt'!$A$5:$H$5810,8,FALSE)</f>
        <v>Karyawan</v>
      </c>
      <c r="Y1067" s="5" t="str">
        <f>VLOOKUP(T1067,'Data Angt'!$A$5:$C$5808,3,FALSE)</f>
        <v>JBR</v>
      </c>
    </row>
    <row r="1068" spans="1:25" x14ac:dyDescent="0.3">
      <c r="A1068" s="8">
        <v>1062</v>
      </c>
      <c r="B1068" s="9" t="s">
        <v>863</v>
      </c>
      <c r="C1068" s="10" t="str">
        <f>VLOOKUP(B1068,'Data Angt'!$A$5:$B$5809,2,FALSE)</f>
        <v>A326</v>
      </c>
      <c r="D1068" s="11" t="s">
        <v>9829</v>
      </c>
      <c r="E1068" s="12" t="s">
        <v>16837</v>
      </c>
      <c r="F1068" s="13">
        <v>45486</v>
      </c>
      <c r="G1068" s="14">
        <v>45913</v>
      </c>
      <c r="H1068" s="15">
        <v>25000000</v>
      </c>
      <c r="I1068" s="16">
        <v>48</v>
      </c>
      <c r="J1068" s="17">
        <v>21</v>
      </c>
      <c r="K1068" s="9" t="s">
        <v>9827</v>
      </c>
      <c r="L1068" s="10" t="s">
        <v>16838</v>
      </c>
      <c r="M1068" s="9" t="s">
        <v>9838</v>
      </c>
      <c r="N1068" s="10" t="s">
        <v>9830</v>
      </c>
      <c r="O1068" s="15">
        <v>17707400</v>
      </c>
      <c r="P1068" s="145">
        <v>1986034</v>
      </c>
      <c r="Q1068" s="9" t="s">
        <v>23293</v>
      </c>
      <c r="R1068" s="146" t="s">
        <v>23294</v>
      </c>
      <c r="T1068" s="92" t="s">
        <v>5273</v>
      </c>
      <c r="U1068">
        <v>2</v>
      </c>
      <c r="V1068">
        <f>VLOOKUP(T1068,'Data Angt'!$A$5:$F$5810,6,FALSE)</f>
        <v>57</v>
      </c>
      <c r="W1068" s="5" t="str">
        <f t="shared" si="16"/>
        <v>PRODUKTIF</v>
      </c>
      <c r="X1068" s="5" t="str">
        <f>VLOOKUP(T1068,'Data Angt'!$A$5:$H$5810,8,FALSE)</f>
        <v>Wiraswasta</v>
      </c>
      <c r="Y1068" s="5" t="str">
        <f>VLOOKUP(T1068,'Data Angt'!$A$5:$C$5808,3,FALSE)</f>
        <v>JBR</v>
      </c>
    </row>
    <row r="1069" spans="1:25" x14ac:dyDescent="0.3">
      <c r="A1069" s="8">
        <v>1063</v>
      </c>
      <c r="B1069" s="9" t="s">
        <v>1009</v>
      </c>
      <c r="C1069" s="10" t="str">
        <f>VLOOKUP(B1069,'Data Angt'!$A$5:$B$5809,2,FALSE)</f>
        <v>A385</v>
      </c>
      <c r="D1069" s="11" t="s">
        <v>9842</v>
      </c>
      <c r="E1069" s="12" t="s">
        <v>10399</v>
      </c>
      <c r="F1069" s="13">
        <v>45225</v>
      </c>
      <c r="G1069" s="14">
        <v>45930</v>
      </c>
      <c r="H1069" s="15">
        <v>120000000</v>
      </c>
      <c r="I1069" s="16">
        <v>84</v>
      </c>
      <c r="J1069" s="17">
        <v>11.4</v>
      </c>
      <c r="K1069" s="9" t="s">
        <v>9831</v>
      </c>
      <c r="L1069" s="10" t="s">
        <v>10400</v>
      </c>
      <c r="M1069" s="9" t="s">
        <v>10082</v>
      </c>
      <c r="N1069" s="10" t="s">
        <v>9830</v>
      </c>
      <c r="O1069" s="15">
        <v>98265500</v>
      </c>
      <c r="P1069" s="145">
        <v>8958484</v>
      </c>
      <c r="Q1069" s="9" t="s">
        <v>23293</v>
      </c>
      <c r="R1069" s="146" t="s">
        <v>23295</v>
      </c>
      <c r="T1069" s="92" t="s">
        <v>5392</v>
      </c>
      <c r="U1069">
        <v>1</v>
      </c>
      <c r="V1069">
        <f>VLOOKUP(T1069,'Data Angt'!$A$5:$F$5810,6,FALSE)</f>
        <v>64</v>
      </c>
      <c r="W1069" s="5">
        <f t="shared" si="16"/>
        <v>0</v>
      </c>
      <c r="X1069" s="5" t="str">
        <f>VLOOKUP(T1069,'Data Angt'!$A$5:$H$5810,8,FALSE)</f>
        <v>Tenaga Pengajar</v>
      </c>
      <c r="Y1069" s="5" t="str">
        <f>VLOOKUP(T1069,'Data Angt'!$A$5:$C$5808,3,FALSE)</f>
        <v>JBR</v>
      </c>
    </row>
    <row r="1070" spans="1:25" x14ac:dyDescent="0.3">
      <c r="A1070" s="8">
        <v>1064</v>
      </c>
      <c r="B1070" s="9" t="s">
        <v>1066</v>
      </c>
      <c r="C1070" s="10" t="str">
        <f>VLOOKUP(B1070,'Data Angt'!$A$5:$B$5809,2,FALSE)</f>
        <v>A410</v>
      </c>
      <c r="D1070" s="11" t="s">
        <v>9826</v>
      </c>
      <c r="E1070" s="12" t="s">
        <v>16839</v>
      </c>
      <c r="F1070" s="13">
        <v>45408</v>
      </c>
      <c r="G1070" s="14">
        <v>45929</v>
      </c>
      <c r="H1070" s="15">
        <v>16000000</v>
      </c>
      <c r="I1070" s="16">
        <v>36</v>
      </c>
      <c r="J1070" s="17">
        <v>11.4</v>
      </c>
      <c r="K1070" s="9" t="s">
        <v>9831</v>
      </c>
      <c r="L1070" s="10" t="s">
        <v>16840</v>
      </c>
      <c r="M1070" s="9" t="s">
        <v>10277</v>
      </c>
      <c r="N1070" s="10" t="s">
        <v>9834</v>
      </c>
      <c r="O1070" s="15">
        <v>9119500</v>
      </c>
      <c r="P1070" s="145">
        <v>778797</v>
      </c>
      <c r="Q1070" s="9"/>
      <c r="R1070" s="146"/>
      <c r="T1070" s="92" t="s">
        <v>5420</v>
      </c>
      <c r="U1070">
        <v>1</v>
      </c>
      <c r="V1070">
        <f>VLOOKUP(T1070,'Data Angt'!$A$5:$F$5810,6,FALSE)</f>
        <v>32</v>
      </c>
      <c r="W1070" s="5" t="str">
        <f t="shared" si="16"/>
        <v>KESEJAHTERAAN</v>
      </c>
      <c r="X1070" s="5" t="str">
        <f>VLOOKUP(T1070,'Data Angt'!$A$5:$H$5810,8,FALSE)</f>
        <v>Wiraswasta</v>
      </c>
      <c r="Y1070" s="5" t="str">
        <f>VLOOKUP(T1070,'Data Angt'!$A$5:$C$5808,3,FALSE)</f>
        <v>JBR</v>
      </c>
    </row>
    <row r="1071" spans="1:25" x14ac:dyDescent="0.3">
      <c r="A1071" s="8">
        <v>1065</v>
      </c>
      <c r="B1071" s="9" t="s">
        <v>1123</v>
      </c>
      <c r="C1071" s="10" t="str">
        <f>VLOOKUP(B1071,'Data Angt'!$A$5:$B$5809,2,FALSE)</f>
        <v>A438</v>
      </c>
      <c r="D1071" s="11" t="s">
        <v>9842</v>
      </c>
      <c r="E1071" s="12" t="s">
        <v>10401</v>
      </c>
      <c r="F1071" s="13">
        <v>44494</v>
      </c>
      <c r="G1071" s="14">
        <v>45924</v>
      </c>
      <c r="H1071" s="15">
        <v>75000000</v>
      </c>
      <c r="I1071" s="16">
        <v>60</v>
      </c>
      <c r="J1071" s="17">
        <v>11.4</v>
      </c>
      <c r="K1071" s="9" t="s">
        <v>9831</v>
      </c>
      <c r="L1071" s="10" t="s">
        <v>10402</v>
      </c>
      <c r="M1071" s="9" t="s">
        <v>10082</v>
      </c>
      <c r="N1071" s="10" t="s">
        <v>9830</v>
      </c>
      <c r="O1071" s="15">
        <v>35369200</v>
      </c>
      <c r="P1071" s="145">
        <v>9203876</v>
      </c>
      <c r="Q1071" s="9"/>
      <c r="R1071" s="146"/>
      <c r="T1071" s="92" t="s">
        <v>5476</v>
      </c>
      <c r="U1071">
        <v>1</v>
      </c>
      <c r="V1071">
        <f>VLOOKUP(T1071,'Data Angt'!$A$5:$F$5810,6,FALSE)</f>
        <v>49</v>
      </c>
      <c r="W1071" s="5" t="str">
        <f t="shared" si="16"/>
        <v>PRODUKTIF</v>
      </c>
      <c r="X1071" s="5" t="str">
        <f>VLOOKUP(T1071,'Data Angt'!$A$5:$H$5810,8,FALSE)</f>
        <v>Wiraswasta</v>
      </c>
      <c r="Y1071" s="5" t="str">
        <f>VLOOKUP(T1071,'Data Angt'!$A$5:$C$5808,3,FALSE)</f>
        <v>JBR</v>
      </c>
    </row>
    <row r="1072" spans="1:25" x14ac:dyDescent="0.3">
      <c r="A1072" s="8">
        <v>1066</v>
      </c>
      <c r="B1072" s="9" t="s">
        <v>1155</v>
      </c>
      <c r="C1072" s="10" t="str">
        <f>VLOOKUP(B1072,'Data Angt'!$A$5:$B$5809,2,FALSE)</f>
        <v>A451</v>
      </c>
      <c r="D1072" s="11" t="s">
        <v>9829</v>
      </c>
      <c r="E1072" s="12" t="s">
        <v>23296</v>
      </c>
      <c r="F1072" s="13">
        <v>45910</v>
      </c>
      <c r="G1072" s="14">
        <v>45910</v>
      </c>
      <c r="H1072" s="15">
        <v>7500000</v>
      </c>
      <c r="I1072" s="16">
        <v>15</v>
      </c>
      <c r="J1072" s="17">
        <v>24</v>
      </c>
      <c r="K1072" s="9" t="s">
        <v>9831</v>
      </c>
      <c r="L1072" s="10" t="s">
        <v>23297</v>
      </c>
      <c r="M1072" s="9" t="s">
        <v>23298</v>
      </c>
      <c r="N1072" s="10" t="s">
        <v>9828</v>
      </c>
      <c r="O1072" s="15">
        <v>7500000</v>
      </c>
      <c r="P1072" s="147">
        <v>0</v>
      </c>
      <c r="Q1072" s="9"/>
      <c r="R1072" s="146"/>
      <c r="T1072" s="92" t="s">
        <v>5491</v>
      </c>
      <c r="U1072">
        <v>1</v>
      </c>
      <c r="V1072">
        <f>VLOOKUP(T1072,'Data Angt'!$A$5:$F$5810,6,FALSE)</f>
        <v>46</v>
      </c>
      <c r="W1072" s="5" t="str">
        <f t="shared" si="16"/>
        <v>PRODUKTIF</v>
      </c>
      <c r="X1072" s="5" t="str">
        <f>VLOOKUP(T1072,'Data Angt'!$A$5:$H$5810,8,FALSE)</f>
        <v>Wiraswasta</v>
      </c>
      <c r="Y1072" s="5" t="str">
        <f>VLOOKUP(T1072,'Data Angt'!$A$5:$C$5808,3,FALSE)</f>
        <v>JBR</v>
      </c>
    </row>
    <row r="1073" spans="1:25" x14ac:dyDescent="0.3">
      <c r="A1073" s="8">
        <v>1067</v>
      </c>
      <c r="B1073" s="9" t="s">
        <v>1263</v>
      </c>
      <c r="C1073" s="10" t="str">
        <f>VLOOKUP(B1073,'Data Angt'!$A$5:$B$5809,2,FALSE)</f>
        <v>A492</v>
      </c>
      <c r="D1073" s="11" t="s">
        <v>9843</v>
      </c>
      <c r="E1073" s="12" t="s">
        <v>10403</v>
      </c>
      <c r="F1073" s="13">
        <v>40936</v>
      </c>
      <c r="G1073" s="14">
        <v>42908</v>
      </c>
      <c r="H1073" s="15">
        <v>125000000</v>
      </c>
      <c r="I1073" s="16">
        <v>120</v>
      </c>
      <c r="J1073" s="17">
        <v>8.02</v>
      </c>
      <c r="K1073" s="9" t="s">
        <v>9831</v>
      </c>
      <c r="L1073" s="10" t="s">
        <v>10403</v>
      </c>
      <c r="M1073" s="9"/>
      <c r="N1073" s="10"/>
      <c r="O1073" s="15">
        <v>104816700</v>
      </c>
      <c r="P1073" s="145">
        <v>5765100</v>
      </c>
      <c r="Q1073" s="9"/>
      <c r="R1073" s="146"/>
      <c r="T1073" s="92" t="s">
        <v>5537</v>
      </c>
      <c r="U1073">
        <v>1</v>
      </c>
      <c r="V1073">
        <f>VLOOKUP(T1073,'Data Angt'!$A$5:$F$5810,6,FALSE)</f>
        <v>63</v>
      </c>
      <c r="W1073" s="5" t="str">
        <f t="shared" si="16"/>
        <v>PRODUKTIF</v>
      </c>
      <c r="X1073" s="5" t="str">
        <f>VLOOKUP(T1073,'Data Angt'!$A$5:$H$5810,8,FALSE)</f>
        <v>Mengurus Rumah Tangga</v>
      </c>
      <c r="Y1073" s="5" t="str">
        <f>VLOOKUP(T1073,'Data Angt'!$A$5:$C$5808,3,FALSE)</f>
        <v>JBR</v>
      </c>
    </row>
    <row r="1074" spans="1:25" x14ac:dyDescent="0.3">
      <c r="A1074" s="8">
        <v>1068</v>
      </c>
      <c r="B1074" s="9" t="s">
        <v>1265</v>
      </c>
      <c r="C1074" s="10" t="str">
        <f>VLOOKUP(B1074,'Data Angt'!$A$5:$B$5809,2,FALSE)</f>
        <v>A493</v>
      </c>
      <c r="D1074" s="11" t="s">
        <v>9829</v>
      </c>
      <c r="E1074" s="12" t="s">
        <v>10404</v>
      </c>
      <c r="F1074" s="13">
        <v>41536</v>
      </c>
      <c r="G1074" s="14">
        <v>42602</v>
      </c>
      <c r="H1074" s="15">
        <v>100000000</v>
      </c>
      <c r="I1074" s="16">
        <v>60</v>
      </c>
      <c r="J1074" s="17">
        <v>11.88</v>
      </c>
      <c r="K1074" s="9" t="s">
        <v>9867</v>
      </c>
      <c r="L1074" s="10"/>
      <c r="M1074" s="9"/>
      <c r="N1074" s="10"/>
      <c r="O1074" s="15">
        <v>88333100</v>
      </c>
      <c r="P1074" s="145">
        <v>3750000</v>
      </c>
      <c r="Q1074" s="9"/>
      <c r="R1074" s="146"/>
      <c r="T1074" s="92" t="s">
        <v>5614</v>
      </c>
      <c r="U1074">
        <v>1</v>
      </c>
      <c r="V1074">
        <f>VLOOKUP(T1074,'Data Angt'!$A$5:$F$5810,6,FALSE)</f>
        <v>63</v>
      </c>
      <c r="W1074" s="5" t="str">
        <f t="shared" si="16"/>
        <v>PRODUKTIF</v>
      </c>
      <c r="X1074" s="5" t="str">
        <f>VLOOKUP(T1074,'Data Angt'!$A$5:$H$5810,8,FALSE)</f>
        <v>Mengurus Rumah Tangga</v>
      </c>
      <c r="Y1074" s="5" t="str">
        <f>VLOOKUP(T1074,'Data Angt'!$A$5:$C$5808,3,FALSE)</f>
        <v>JBR</v>
      </c>
    </row>
    <row r="1075" spans="1:25" x14ac:dyDescent="0.3">
      <c r="A1075" s="8">
        <v>1069</v>
      </c>
      <c r="B1075" s="9" t="s">
        <v>1280</v>
      </c>
      <c r="C1075" s="10" t="str">
        <f>VLOOKUP(B1075,'Data Angt'!$A$5:$B$5809,2,FALSE)</f>
        <v>A498</v>
      </c>
      <c r="D1075" s="11" t="s">
        <v>9829</v>
      </c>
      <c r="E1075" s="12" t="s">
        <v>16841</v>
      </c>
      <c r="F1075" s="13">
        <v>45666</v>
      </c>
      <c r="G1075" s="14">
        <v>45909</v>
      </c>
      <c r="H1075" s="15">
        <v>10000000</v>
      </c>
      <c r="I1075" s="16">
        <v>10</v>
      </c>
      <c r="J1075" s="17">
        <v>24</v>
      </c>
      <c r="K1075" s="9" t="s">
        <v>9827</v>
      </c>
      <c r="L1075" s="10" t="s">
        <v>16842</v>
      </c>
      <c r="M1075" s="9" t="s">
        <v>10008</v>
      </c>
      <c r="N1075" s="10" t="s">
        <v>17</v>
      </c>
      <c r="O1075" s="15">
        <v>2000000</v>
      </c>
      <c r="P1075" s="145">
        <v>390000</v>
      </c>
      <c r="Q1075" s="9"/>
      <c r="R1075" s="146"/>
      <c r="T1075" s="92" t="s">
        <v>5623</v>
      </c>
      <c r="U1075">
        <v>2</v>
      </c>
      <c r="V1075">
        <f>VLOOKUP(T1075,'Data Angt'!$A$5:$F$5810,6,FALSE)</f>
        <v>42</v>
      </c>
      <c r="W1075" s="5" t="str">
        <f t="shared" si="16"/>
        <v>PENDIDIKAN</v>
      </c>
      <c r="X1075" s="5" t="str">
        <f>VLOOKUP(T1075,'Data Angt'!$A$5:$H$5810,8,FALSE)</f>
        <v>Karyawan</v>
      </c>
      <c r="Y1075" s="5" t="str">
        <f>VLOOKUP(T1075,'Data Angt'!$A$5:$C$5808,3,FALSE)</f>
        <v>JBR</v>
      </c>
    </row>
    <row r="1076" spans="1:25" x14ac:dyDescent="0.3">
      <c r="A1076" s="8">
        <v>1070</v>
      </c>
      <c r="B1076" s="9" t="s">
        <v>1313</v>
      </c>
      <c r="C1076" s="10" t="str">
        <f>VLOOKUP(B1076,'Data Angt'!$A$5:$B$5809,2,FALSE)</f>
        <v>A511</v>
      </c>
      <c r="D1076" s="11" t="s">
        <v>9842</v>
      </c>
      <c r="E1076" s="12" t="s">
        <v>16843</v>
      </c>
      <c r="F1076" s="13">
        <v>45359</v>
      </c>
      <c r="G1076" s="14">
        <v>45908</v>
      </c>
      <c r="H1076" s="15">
        <v>150000000</v>
      </c>
      <c r="I1076" s="16">
        <v>120</v>
      </c>
      <c r="J1076" s="17">
        <v>11.4</v>
      </c>
      <c r="K1076" s="9" t="s">
        <v>9831</v>
      </c>
      <c r="L1076" s="10" t="s">
        <v>16844</v>
      </c>
      <c r="M1076" s="9" t="s">
        <v>9838</v>
      </c>
      <c r="N1076" s="10" t="s">
        <v>9830</v>
      </c>
      <c r="O1076" s="15">
        <v>136810400</v>
      </c>
      <c r="P1076" s="145">
        <v>9231596</v>
      </c>
      <c r="Q1076" s="9" t="s">
        <v>23293</v>
      </c>
      <c r="R1076" s="146" t="s">
        <v>23299</v>
      </c>
      <c r="T1076" s="92" t="s">
        <v>5633</v>
      </c>
      <c r="U1076">
        <v>2</v>
      </c>
      <c r="V1076">
        <f>VLOOKUP(T1076,'Data Angt'!$A$5:$F$5810,6,FALSE)</f>
        <v>50</v>
      </c>
      <c r="W1076" s="5" t="str">
        <f t="shared" si="16"/>
        <v>KESEJAHTERAAN</v>
      </c>
      <c r="X1076" s="5" t="str">
        <f>VLOOKUP(T1076,'Data Angt'!$A$5:$H$5810,8,FALSE)</f>
        <v>Karyawan</v>
      </c>
      <c r="Y1076" s="5" t="str">
        <f>VLOOKUP(T1076,'Data Angt'!$A$5:$C$5808,3,FALSE)</f>
        <v>JBR</v>
      </c>
    </row>
    <row r="1077" spans="1:25" x14ac:dyDescent="0.3">
      <c r="A1077" s="8">
        <v>1071</v>
      </c>
      <c r="B1077" s="9" t="s">
        <v>1339</v>
      </c>
      <c r="C1077" s="10" t="str">
        <f>VLOOKUP(B1077,'Data Angt'!$A$5:$B$5809,2,FALSE)</f>
        <v>A522</v>
      </c>
      <c r="D1077" s="11" t="s">
        <v>9829</v>
      </c>
      <c r="E1077" s="12" t="s">
        <v>16845</v>
      </c>
      <c r="F1077" s="13">
        <v>45811</v>
      </c>
      <c r="G1077" s="14">
        <v>45903</v>
      </c>
      <c r="H1077" s="15">
        <v>6500000</v>
      </c>
      <c r="I1077" s="16">
        <v>18</v>
      </c>
      <c r="J1077" s="17">
        <v>24</v>
      </c>
      <c r="K1077" s="9" t="s">
        <v>9827</v>
      </c>
      <c r="L1077" s="10" t="s">
        <v>16846</v>
      </c>
      <c r="M1077" s="9" t="s">
        <v>9838</v>
      </c>
      <c r="N1077" s="10" t="s">
        <v>9830</v>
      </c>
      <c r="O1077" s="15">
        <v>5416400</v>
      </c>
      <c r="P1077" s="145">
        <v>138150</v>
      </c>
      <c r="Q1077" s="9"/>
      <c r="R1077" s="146"/>
      <c r="T1077" s="92" t="s">
        <v>5728</v>
      </c>
      <c r="U1077">
        <v>1</v>
      </c>
      <c r="V1077">
        <f>VLOOKUP(T1077,'Data Angt'!$A$5:$F$5810,6,FALSE)</f>
        <v>50</v>
      </c>
      <c r="W1077" s="5" t="str">
        <f t="shared" si="16"/>
        <v>PENDIDIKAN</v>
      </c>
      <c r="X1077" s="5" t="str">
        <f>VLOOKUP(T1077,'Data Angt'!$A$5:$H$5810,8,FALSE)</f>
        <v>Mengurus Rumah Tangga</v>
      </c>
      <c r="Y1077" s="5" t="str">
        <f>VLOOKUP(T1077,'Data Angt'!$A$5:$C$5808,3,FALSE)</f>
        <v>JBR</v>
      </c>
    </row>
    <row r="1078" spans="1:25" x14ac:dyDescent="0.3">
      <c r="A1078" s="8">
        <v>1072</v>
      </c>
      <c r="B1078" s="9" t="s">
        <v>1410</v>
      </c>
      <c r="C1078" s="10" t="str">
        <f>VLOOKUP(B1078,'Data Angt'!$A$5:$B$5809,2,FALSE)</f>
        <v>A553</v>
      </c>
      <c r="D1078" s="11" t="s">
        <v>9826</v>
      </c>
      <c r="E1078" s="12" t="s">
        <v>23300</v>
      </c>
      <c r="F1078" s="13">
        <v>45867</v>
      </c>
      <c r="G1078" s="14">
        <v>45929</v>
      </c>
      <c r="H1078" s="15">
        <v>4000000</v>
      </c>
      <c r="I1078" s="16">
        <v>12</v>
      </c>
      <c r="J1078" s="17">
        <v>11.9</v>
      </c>
      <c r="K1078" s="9" t="s">
        <v>9831</v>
      </c>
      <c r="L1078" s="10" t="s">
        <v>23301</v>
      </c>
      <c r="M1078" s="9" t="s">
        <v>16965</v>
      </c>
      <c r="N1078" s="10" t="s">
        <v>9834</v>
      </c>
      <c r="O1078" s="15">
        <v>3365700</v>
      </c>
      <c r="P1078" s="145">
        <v>28612</v>
      </c>
      <c r="Q1078" s="9"/>
      <c r="R1078" s="146"/>
      <c r="T1078" s="92" t="s">
        <v>5774</v>
      </c>
      <c r="U1078">
        <v>1</v>
      </c>
      <c r="V1078">
        <f>VLOOKUP(T1078,'Data Angt'!$A$5:$F$5810,6,FALSE)</f>
        <v>64</v>
      </c>
      <c r="W1078" s="5" t="str">
        <f t="shared" si="16"/>
        <v>PRODUKTIF</v>
      </c>
      <c r="X1078" s="5" t="str">
        <f>VLOOKUP(T1078,'Data Angt'!$A$5:$H$5810,8,FALSE)</f>
        <v>Pensiunan</v>
      </c>
      <c r="Y1078" s="5" t="str">
        <f>VLOOKUP(T1078,'Data Angt'!$A$5:$C$5808,3,FALSE)</f>
        <v>JBR</v>
      </c>
    </row>
    <row r="1079" spans="1:25" x14ac:dyDescent="0.3">
      <c r="A1079" s="8">
        <v>1073</v>
      </c>
      <c r="B1079" s="9" t="s">
        <v>1429</v>
      </c>
      <c r="C1079" s="10" t="str">
        <f>VLOOKUP(B1079,'Data Angt'!$A$5:$B$5809,2,FALSE)</f>
        <v>A561</v>
      </c>
      <c r="D1079" s="11" t="s">
        <v>9829</v>
      </c>
      <c r="E1079" s="12" t="s">
        <v>23302</v>
      </c>
      <c r="F1079" s="13">
        <v>45902</v>
      </c>
      <c r="G1079" s="14">
        <v>45902</v>
      </c>
      <c r="H1079" s="15">
        <v>6000000</v>
      </c>
      <c r="I1079" s="16">
        <v>18</v>
      </c>
      <c r="J1079" s="17">
        <v>24</v>
      </c>
      <c r="K1079" s="9" t="s">
        <v>9827</v>
      </c>
      <c r="L1079" s="10" t="s">
        <v>23303</v>
      </c>
      <c r="M1079" s="9" t="s">
        <v>9838</v>
      </c>
      <c r="N1079" s="10" t="s">
        <v>9830</v>
      </c>
      <c r="O1079" s="15">
        <v>6000000</v>
      </c>
      <c r="P1079" s="147">
        <v>0</v>
      </c>
      <c r="Q1079" s="9"/>
      <c r="R1079" s="146"/>
      <c r="T1079" s="92" t="s">
        <v>5916</v>
      </c>
      <c r="U1079">
        <v>1</v>
      </c>
      <c r="V1079">
        <f>VLOOKUP(T1079,'Data Angt'!$A$5:$F$5810,6,FALSE)</f>
        <v>60</v>
      </c>
      <c r="W1079" s="5" t="str">
        <f t="shared" si="16"/>
        <v>PRODUKTIF</v>
      </c>
      <c r="X1079" s="5" t="str">
        <f>VLOOKUP(T1079,'Data Angt'!$A$5:$H$5810,8,FALSE)</f>
        <v>Wiraswasta</v>
      </c>
      <c r="Y1079" s="5" t="str">
        <f>VLOOKUP(T1079,'Data Angt'!$A$5:$C$5808,3,FALSE)</f>
        <v>JBR</v>
      </c>
    </row>
    <row r="1080" spans="1:25" x14ac:dyDescent="0.3">
      <c r="A1080" s="8">
        <v>1074</v>
      </c>
      <c r="B1080" s="9" t="s">
        <v>1475</v>
      </c>
      <c r="C1080" s="10" t="str">
        <f>VLOOKUP(B1080,'Data Angt'!$A$5:$B$5809,2,FALSE)</f>
        <v>A580</v>
      </c>
      <c r="D1080" s="11" t="s">
        <v>9833</v>
      </c>
      <c r="E1080" s="12" t="s">
        <v>16847</v>
      </c>
      <c r="F1080" s="13">
        <v>45364</v>
      </c>
      <c r="G1080" s="14">
        <v>45930</v>
      </c>
      <c r="H1080" s="15">
        <v>13000000</v>
      </c>
      <c r="I1080" s="16">
        <v>40</v>
      </c>
      <c r="J1080" s="17">
        <v>24</v>
      </c>
      <c r="K1080" s="9" t="s">
        <v>9831</v>
      </c>
      <c r="L1080" s="10" t="s">
        <v>16848</v>
      </c>
      <c r="M1080" s="9" t="s">
        <v>9862</v>
      </c>
      <c r="N1080" s="10" t="s">
        <v>9834</v>
      </c>
      <c r="O1080" s="15">
        <v>9834500</v>
      </c>
      <c r="P1080" s="145">
        <v>1205883</v>
      </c>
      <c r="Q1080" s="9" t="s">
        <v>23304</v>
      </c>
      <c r="R1080" s="146" t="s">
        <v>23305</v>
      </c>
      <c r="T1080" s="92" t="s">
        <v>5928</v>
      </c>
      <c r="U1080">
        <v>2</v>
      </c>
      <c r="V1080">
        <f>VLOOKUP(T1080,'Data Angt'!$A$5:$F$5810,6,FALSE)</f>
        <v>28</v>
      </c>
      <c r="W1080" s="5" t="str">
        <f t="shared" si="16"/>
        <v>KONSUMTIF</v>
      </c>
      <c r="X1080" s="5" t="str">
        <f>VLOOKUP(T1080,'Data Angt'!$A$5:$H$5810,8,FALSE)</f>
        <v>Karyawan</v>
      </c>
      <c r="Y1080" s="5" t="str">
        <f>VLOOKUP(T1080,'Data Angt'!$A$5:$C$5808,3,FALSE)</f>
        <v>JBR</v>
      </c>
    </row>
    <row r="1081" spans="1:25" x14ac:dyDescent="0.3">
      <c r="A1081" s="8">
        <v>1075</v>
      </c>
      <c r="B1081" s="9" t="s">
        <v>1532</v>
      </c>
      <c r="C1081" s="10" t="str">
        <f>VLOOKUP(B1081,'Data Angt'!$A$5:$B$5809,2,FALSE)</f>
        <v>A606</v>
      </c>
      <c r="D1081" s="11" t="s">
        <v>9826</v>
      </c>
      <c r="E1081" s="12" t="s">
        <v>23306</v>
      </c>
      <c r="F1081" s="13">
        <v>45891</v>
      </c>
      <c r="G1081" s="14">
        <v>45916</v>
      </c>
      <c r="H1081" s="15">
        <v>5000000</v>
      </c>
      <c r="I1081" s="16">
        <v>18</v>
      </c>
      <c r="J1081" s="17">
        <v>11.88</v>
      </c>
      <c r="K1081" s="9" t="s">
        <v>9831</v>
      </c>
      <c r="L1081" s="10" t="s">
        <v>23307</v>
      </c>
      <c r="M1081" s="9" t="s">
        <v>9838</v>
      </c>
      <c r="N1081" s="10" t="s">
        <v>9830</v>
      </c>
      <c r="O1081" s="15">
        <v>4744800</v>
      </c>
      <c r="P1081" s="145">
        <v>18562</v>
      </c>
      <c r="Q1081" s="9"/>
      <c r="R1081" s="146"/>
      <c r="T1081" s="92" t="s">
        <v>5973</v>
      </c>
      <c r="U1081">
        <v>1</v>
      </c>
      <c r="V1081">
        <f>VLOOKUP(T1081,'Data Angt'!$A$5:$F$5810,6,FALSE)</f>
        <v>40</v>
      </c>
      <c r="W1081" s="5" t="str">
        <f t="shared" si="16"/>
        <v>PENDIDIKAN</v>
      </c>
      <c r="X1081" s="5" t="str">
        <f>VLOOKUP(T1081,'Data Angt'!$A$5:$H$5810,8,FALSE)</f>
        <v>Tenaga Pengajar</v>
      </c>
      <c r="Y1081" s="5" t="str">
        <f>VLOOKUP(T1081,'Data Angt'!$A$5:$C$5808,3,FALSE)</f>
        <v>JBR</v>
      </c>
    </row>
    <row r="1082" spans="1:25" x14ac:dyDescent="0.3">
      <c r="A1082" s="8">
        <v>1076</v>
      </c>
      <c r="B1082" s="9" t="s">
        <v>1719</v>
      </c>
      <c r="C1082" s="10" t="str">
        <f>VLOOKUP(B1082,'Data Angt'!$A$5:$B$5809,2,FALSE)</f>
        <v>A690</v>
      </c>
      <c r="D1082" s="11" t="s">
        <v>9833</v>
      </c>
      <c r="E1082" s="12" t="s">
        <v>10405</v>
      </c>
      <c r="F1082" s="13">
        <v>45255</v>
      </c>
      <c r="G1082" s="14">
        <v>45925</v>
      </c>
      <c r="H1082" s="15">
        <v>125000000</v>
      </c>
      <c r="I1082" s="16">
        <v>36</v>
      </c>
      <c r="J1082" s="17">
        <v>21</v>
      </c>
      <c r="K1082" s="9" t="s">
        <v>9827</v>
      </c>
      <c r="L1082" s="10" t="s">
        <v>10406</v>
      </c>
      <c r="M1082" s="9" t="s">
        <v>10407</v>
      </c>
      <c r="N1082" s="10" t="s">
        <v>9834</v>
      </c>
      <c r="O1082" s="15">
        <v>48609400</v>
      </c>
      <c r="P1082" s="145">
        <v>12783482</v>
      </c>
      <c r="Q1082" s="9" t="s">
        <v>23293</v>
      </c>
      <c r="R1082" s="146" t="s">
        <v>23308</v>
      </c>
      <c r="T1082" s="92" t="s">
        <v>6093</v>
      </c>
      <c r="U1082">
        <v>1</v>
      </c>
      <c r="V1082">
        <f>VLOOKUP(T1082,'Data Angt'!$A$5:$F$5810,6,FALSE)</f>
        <v>40</v>
      </c>
      <c r="W1082" s="5" t="str">
        <f t="shared" si="16"/>
        <v>PRODUKTIF</v>
      </c>
      <c r="X1082" s="5" t="str">
        <f>VLOOKUP(T1082,'Data Angt'!$A$5:$H$5810,8,FALSE)</f>
        <v>Karyawan</v>
      </c>
      <c r="Y1082" s="5" t="str">
        <f>VLOOKUP(T1082,'Data Angt'!$A$5:$C$5808,3,FALSE)</f>
        <v>JBR</v>
      </c>
    </row>
    <row r="1083" spans="1:25" x14ac:dyDescent="0.3">
      <c r="A1083" s="8">
        <v>1077</v>
      </c>
      <c r="B1083" s="9" t="s">
        <v>1756</v>
      </c>
      <c r="C1083" s="10" t="str">
        <f>VLOOKUP(B1083,'Data Angt'!$A$5:$B$5809,2,FALSE)</f>
        <v>A708</v>
      </c>
      <c r="D1083" s="11" t="s">
        <v>9842</v>
      </c>
      <c r="E1083" s="12" t="s">
        <v>16451</v>
      </c>
      <c r="F1083" s="13">
        <v>45485</v>
      </c>
      <c r="G1083" s="14">
        <v>45916</v>
      </c>
      <c r="H1083" s="15">
        <v>300000000</v>
      </c>
      <c r="I1083" s="16">
        <v>36</v>
      </c>
      <c r="J1083" s="17">
        <v>11.4</v>
      </c>
      <c r="K1083" s="9" t="s">
        <v>9831</v>
      </c>
      <c r="L1083" s="10" t="s">
        <v>16849</v>
      </c>
      <c r="M1083" s="9" t="s">
        <v>9855</v>
      </c>
      <c r="N1083" s="10" t="s">
        <v>9830</v>
      </c>
      <c r="O1083" s="15">
        <v>195287200</v>
      </c>
      <c r="P1083" s="145">
        <v>12595347</v>
      </c>
      <c r="Q1083" s="9" t="s">
        <v>23293</v>
      </c>
      <c r="R1083" s="146" t="s">
        <v>23309</v>
      </c>
      <c r="T1083" s="92" t="s">
        <v>6151</v>
      </c>
      <c r="U1083">
        <v>1</v>
      </c>
      <c r="V1083">
        <f>VLOOKUP(T1083,'Data Angt'!$A$5:$F$5810,6,FALSE)</f>
        <v>25</v>
      </c>
      <c r="W1083" s="5" t="str">
        <f t="shared" si="16"/>
        <v>KESEJAHTERAAN</v>
      </c>
      <c r="X1083" s="5" t="str">
        <f>VLOOKUP(T1083,'Data Angt'!$A$5:$H$5810,8,FALSE)</f>
        <v>Karyawan</v>
      </c>
      <c r="Y1083" s="5" t="str">
        <f>VLOOKUP(T1083,'Data Angt'!$A$5:$C$5808,3,FALSE)</f>
        <v>JBR</v>
      </c>
    </row>
    <row r="1084" spans="1:25" x14ac:dyDescent="0.3">
      <c r="A1084" s="8">
        <v>1078</v>
      </c>
      <c r="B1084" s="9" t="s">
        <v>1919</v>
      </c>
      <c r="C1084" s="10" t="str">
        <f>VLOOKUP(B1084,'Data Angt'!$A$5:$B$5809,2,FALSE)</f>
        <v>A776</v>
      </c>
      <c r="D1084" s="11" t="s">
        <v>9826</v>
      </c>
      <c r="E1084" s="12" t="s">
        <v>23310</v>
      </c>
      <c r="F1084" s="13">
        <v>45873</v>
      </c>
      <c r="G1084" s="14">
        <v>45904</v>
      </c>
      <c r="H1084" s="15">
        <v>5000000</v>
      </c>
      <c r="I1084" s="16">
        <v>12</v>
      </c>
      <c r="J1084" s="17">
        <v>24</v>
      </c>
      <c r="K1084" s="9" t="s">
        <v>9827</v>
      </c>
      <c r="L1084" s="10" t="s">
        <v>23311</v>
      </c>
      <c r="M1084" s="9" t="s">
        <v>9854</v>
      </c>
      <c r="N1084" s="10" t="s">
        <v>17</v>
      </c>
      <c r="O1084" s="15">
        <v>4583300</v>
      </c>
      <c r="P1084" s="145">
        <v>37500</v>
      </c>
      <c r="Q1084" s="9"/>
      <c r="R1084" s="146"/>
      <c r="T1084" s="92" t="s">
        <v>6173</v>
      </c>
      <c r="U1084">
        <v>1</v>
      </c>
      <c r="V1084">
        <f>VLOOKUP(T1084,'Data Angt'!$A$5:$F$5810,6,FALSE)</f>
        <v>39</v>
      </c>
      <c r="W1084" s="5" t="str">
        <f t="shared" si="16"/>
        <v>KESEJAHTERAAN</v>
      </c>
      <c r="X1084" s="5" t="str">
        <f>VLOOKUP(T1084,'Data Angt'!$A$5:$H$5810,8,FALSE)</f>
        <v>Lain-Lain</v>
      </c>
      <c r="Y1084" s="5" t="str">
        <f>VLOOKUP(T1084,'Data Angt'!$A$5:$C$5808,3,FALSE)</f>
        <v>JBR</v>
      </c>
    </row>
    <row r="1085" spans="1:25" x14ac:dyDescent="0.3">
      <c r="A1085" s="8">
        <v>1079</v>
      </c>
      <c r="B1085" s="9" t="s">
        <v>1919</v>
      </c>
      <c r="C1085" s="10" t="str">
        <f>VLOOKUP(B1085,'Data Angt'!$A$5:$B$5809,2,FALSE)</f>
        <v>A776</v>
      </c>
      <c r="D1085" s="11" t="s">
        <v>9833</v>
      </c>
      <c r="E1085" s="12" t="s">
        <v>16850</v>
      </c>
      <c r="F1085" s="13">
        <v>45777</v>
      </c>
      <c r="G1085" s="14">
        <v>45930</v>
      </c>
      <c r="H1085" s="15">
        <v>10000000</v>
      </c>
      <c r="I1085" s="16">
        <v>12</v>
      </c>
      <c r="J1085" s="17">
        <v>24</v>
      </c>
      <c r="K1085" s="9" t="s">
        <v>9827</v>
      </c>
      <c r="L1085" s="10" t="s">
        <v>16851</v>
      </c>
      <c r="M1085" s="9" t="s">
        <v>10521</v>
      </c>
      <c r="N1085" s="10" t="s">
        <v>9834</v>
      </c>
      <c r="O1085" s="15">
        <v>5833000</v>
      </c>
      <c r="P1085" s="145">
        <v>312562</v>
      </c>
      <c r="Q1085" s="9"/>
      <c r="R1085" s="146"/>
      <c r="T1085" s="92" t="s">
        <v>6365</v>
      </c>
      <c r="U1085">
        <v>1</v>
      </c>
      <c r="V1085">
        <f>VLOOKUP(T1085,'Data Angt'!$A$5:$F$5810,6,FALSE)</f>
        <v>59</v>
      </c>
      <c r="W1085" s="5" t="str">
        <f t="shared" si="16"/>
        <v>PRODUKTIF</v>
      </c>
      <c r="X1085" s="5" t="str">
        <f>VLOOKUP(T1085,'Data Angt'!$A$5:$H$5810,8,FALSE)</f>
        <v>Karyawan</v>
      </c>
      <c r="Y1085" s="5" t="str">
        <f>VLOOKUP(T1085,'Data Angt'!$A$5:$C$5808,3,FALSE)</f>
        <v>JBR</v>
      </c>
    </row>
    <row r="1086" spans="1:25" x14ac:dyDescent="0.3">
      <c r="A1086" s="8">
        <v>1080</v>
      </c>
      <c r="B1086" s="9" t="s">
        <v>1926</v>
      </c>
      <c r="C1086" s="10" t="str">
        <f>VLOOKUP(B1086,'Data Angt'!$A$5:$B$5809,2,FALSE)</f>
        <v>A778</v>
      </c>
      <c r="D1086" s="11" t="s">
        <v>9826</v>
      </c>
      <c r="E1086" s="12" t="s">
        <v>16852</v>
      </c>
      <c r="F1086" s="13">
        <v>45303</v>
      </c>
      <c r="G1086" s="14">
        <v>45912</v>
      </c>
      <c r="H1086" s="15">
        <v>15000000</v>
      </c>
      <c r="I1086" s="16">
        <v>24</v>
      </c>
      <c r="J1086" s="17">
        <v>12</v>
      </c>
      <c r="K1086" s="9" t="s">
        <v>9831</v>
      </c>
      <c r="L1086" s="10" t="s">
        <v>16853</v>
      </c>
      <c r="M1086" s="9" t="s">
        <v>16735</v>
      </c>
      <c r="N1086" s="10" t="s">
        <v>9834</v>
      </c>
      <c r="O1086" s="15">
        <v>2754000</v>
      </c>
      <c r="P1086" s="145">
        <v>704243</v>
      </c>
      <c r="Q1086" s="9"/>
      <c r="R1086" s="146"/>
      <c r="T1086" s="92" t="s">
        <v>6414</v>
      </c>
      <c r="U1086">
        <v>1</v>
      </c>
      <c r="V1086">
        <f>VLOOKUP(T1086,'Data Angt'!$A$5:$F$5810,6,FALSE)</f>
        <v>44</v>
      </c>
      <c r="W1086" s="5" t="str">
        <f t="shared" si="16"/>
        <v>KESEJAHTERAAN</v>
      </c>
      <c r="X1086" s="5" t="str">
        <f>VLOOKUP(T1086,'Data Angt'!$A$5:$H$5810,8,FALSE)</f>
        <v>Wiraswasta</v>
      </c>
      <c r="Y1086" s="5" t="str">
        <f>VLOOKUP(T1086,'Data Angt'!$A$5:$C$5808,3,FALSE)</f>
        <v>JBR</v>
      </c>
    </row>
    <row r="1087" spans="1:25" x14ac:dyDescent="0.3">
      <c r="A1087" s="8">
        <v>1081</v>
      </c>
      <c r="B1087" s="9" t="s">
        <v>1926</v>
      </c>
      <c r="C1087" s="10" t="str">
        <f>VLOOKUP(B1087,'Data Angt'!$A$5:$B$5809,2,FALSE)</f>
        <v>A778</v>
      </c>
      <c r="D1087" s="11" t="s">
        <v>9842</v>
      </c>
      <c r="E1087" s="12" t="s">
        <v>10408</v>
      </c>
      <c r="F1087" s="13">
        <v>43197</v>
      </c>
      <c r="G1087" s="14">
        <v>45908</v>
      </c>
      <c r="H1087" s="15">
        <v>110000000</v>
      </c>
      <c r="I1087" s="16">
        <v>120</v>
      </c>
      <c r="J1087" s="17">
        <v>11.4</v>
      </c>
      <c r="K1087" s="9" t="s">
        <v>9831</v>
      </c>
      <c r="L1087" s="10"/>
      <c r="M1087" s="9" t="s">
        <v>10409</v>
      </c>
      <c r="N1087" s="10" t="s">
        <v>9830</v>
      </c>
      <c r="O1087" s="15">
        <v>41192900</v>
      </c>
      <c r="P1087" s="145">
        <v>25604828</v>
      </c>
      <c r="Q1087" s="9"/>
      <c r="R1087" s="146"/>
      <c r="T1087" s="92" t="s">
        <v>6515</v>
      </c>
      <c r="U1087">
        <v>1</v>
      </c>
      <c r="V1087">
        <f>VLOOKUP(T1087,'Data Angt'!$A$5:$F$5810,6,FALSE)</f>
        <v>48</v>
      </c>
      <c r="W1087" s="5" t="str">
        <f t="shared" si="16"/>
        <v>KESEJAHTERAAN</v>
      </c>
      <c r="X1087" s="5" t="str">
        <f>VLOOKUP(T1087,'Data Angt'!$A$5:$H$5810,8,FALSE)</f>
        <v>Wiraswasta</v>
      </c>
      <c r="Y1087" s="5" t="str">
        <f>VLOOKUP(T1087,'Data Angt'!$A$5:$C$5808,3,FALSE)</f>
        <v>JBR</v>
      </c>
    </row>
    <row r="1088" spans="1:25" x14ac:dyDescent="0.3">
      <c r="A1088" s="8">
        <v>1082</v>
      </c>
      <c r="B1088" s="9" t="s">
        <v>1962</v>
      </c>
      <c r="C1088" s="10" t="str">
        <f>VLOOKUP(B1088,'Data Angt'!$A$5:$B$5809,2,FALSE)</f>
        <v>A798</v>
      </c>
      <c r="D1088" s="11" t="s">
        <v>9829</v>
      </c>
      <c r="E1088" s="12" t="s">
        <v>23312</v>
      </c>
      <c r="F1088" s="13">
        <v>45896</v>
      </c>
      <c r="G1088" s="14">
        <v>45927</v>
      </c>
      <c r="H1088" s="15">
        <v>8500000</v>
      </c>
      <c r="I1088" s="16">
        <v>24</v>
      </c>
      <c r="J1088" s="17">
        <v>24</v>
      </c>
      <c r="K1088" s="9" t="s">
        <v>9827</v>
      </c>
      <c r="L1088" s="10" t="s">
        <v>23313</v>
      </c>
      <c r="M1088" s="9" t="s">
        <v>9854</v>
      </c>
      <c r="N1088" s="10" t="s">
        <v>17</v>
      </c>
      <c r="O1088" s="15">
        <v>8145800</v>
      </c>
      <c r="P1088" s="145">
        <v>63750</v>
      </c>
      <c r="Q1088" s="9"/>
      <c r="R1088" s="146"/>
      <c r="T1088" s="92" t="s">
        <v>6577</v>
      </c>
      <c r="U1088">
        <v>1</v>
      </c>
      <c r="V1088">
        <f>VLOOKUP(T1088,'Data Angt'!$A$5:$F$5810,6,FALSE)</f>
        <v>39</v>
      </c>
      <c r="W1088" s="5" t="str">
        <f t="shared" si="16"/>
        <v>KESEJAHTERAAN</v>
      </c>
      <c r="X1088" s="5" t="str">
        <f>VLOOKUP(T1088,'Data Angt'!$A$5:$H$5810,8,FALSE)</f>
        <v>Tenaga Pengajar</v>
      </c>
      <c r="Y1088" s="5" t="str">
        <f>VLOOKUP(T1088,'Data Angt'!$A$5:$C$5808,3,FALSE)</f>
        <v>JBR</v>
      </c>
    </row>
    <row r="1089" spans="1:25" x14ac:dyDescent="0.3">
      <c r="A1089" s="8">
        <v>1083</v>
      </c>
      <c r="B1089" s="9" t="s">
        <v>1981</v>
      </c>
      <c r="C1089" s="10" t="str">
        <f>VLOOKUP(B1089,'Data Angt'!$A$5:$B$5809,2,FALSE)</f>
        <v>A810</v>
      </c>
      <c r="D1089" s="11" t="s">
        <v>9829</v>
      </c>
      <c r="E1089" s="12" t="s">
        <v>10410</v>
      </c>
      <c r="F1089" s="13">
        <v>44946</v>
      </c>
      <c r="G1089" s="14">
        <v>45920</v>
      </c>
      <c r="H1089" s="15">
        <v>15000000</v>
      </c>
      <c r="I1089" s="16">
        <v>36</v>
      </c>
      <c r="J1089" s="17">
        <v>24</v>
      </c>
      <c r="K1089" s="9" t="s">
        <v>9827</v>
      </c>
      <c r="L1089" s="10" t="s">
        <v>10411</v>
      </c>
      <c r="M1089" s="9" t="s">
        <v>9838</v>
      </c>
      <c r="N1089" s="10" t="s">
        <v>9830</v>
      </c>
      <c r="O1089" s="15">
        <v>4616800</v>
      </c>
      <c r="P1089" s="145">
        <v>2227456</v>
      </c>
      <c r="Q1089" s="9"/>
      <c r="R1089" s="146"/>
      <c r="T1089" s="92" t="s">
        <v>6600</v>
      </c>
      <c r="U1089">
        <v>1</v>
      </c>
      <c r="V1089">
        <f>VLOOKUP(T1089,'Data Angt'!$A$5:$F$5810,6,FALSE)</f>
        <v>59</v>
      </c>
      <c r="W1089" s="5" t="str">
        <f t="shared" si="16"/>
        <v>KESEJAHTERAAN</v>
      </c>
      <c r="X1089" s="5" t="str">
        <f>VLOOKUP(T1089,'Data Angt'!$A$5:$H$5810,8,FALSE)</f>
        <v>Tenaga Pengajar</v>
      </c>
      <c r="Y1089" s="5" t="str">
        <f>VLOOKUP(T1089,'Data Angt'!$A$5:$C$5808,3,FALSE)</f>
        <v>JBR</v>
      </c>
    </row>
    <row r="1090" spans="1:25" x14ac:dyDescent="0.3">
      <c r="A1090" s="8">
        <v>1084</v>
      </c>
      <c r="B1090" s="9" t="s">
        <v>2025</v>
      </c>
      <c r="C1090" s="10" t="str">
        <f>VLOOKUP(B1090,'Data Angt'!$A$5:$B$5809,2,FALSE)</f>
        <v>A831</v>
      </c>
      <c r="D1090" s="11" t="s">
        <v>9826</v>
      </c>
      <c r="E1090" s="12" t="s">
        <v>16854</v>
      </c>
      <c r="F1090" s="13">
        <v>45356</v>
      </c>
      <c r="G1090" s="14">
        <v>45904</v>
      </c>
      <c r="H1090" s="15">
        <v>4000000</v>
      </c>
      <c r="I1090" s="16">
        <v>24</v>
      </c>
      <c r="J1090" s="17">
        <v>11.88</v>
      </c>
      <c r="K1090" s="9" t="s">
        <v>9831</v>
      </c>
      <c r="L1090" s="10" t="s">
        <v>16855</v>
      </c>
      <c r="M1090" s="9" t="s">
        <v>16856</v>
      </c>
      <c r="N1090" s="10" t="s">
        <v>9828</v>
      </c>
      <c r="O1090" s="15">
        <v>1090900</v>
      </c>
      <c r="P1090" s="145">
        <v>178758</v>
      </c>
      <c r="Q1090" s="9"/>
      <c r="R1090" s="146"/>
      <c r="T1090" s="92" t="s">
        <v>6633</v>
      </c>
      <c r="U1090">
        <v>1</v>
      </c>
      <c r="V1090">
        <f>VLOOKUP(T1090,'Data Angt'!$A$5:$F$5810,6,FALSE)</f>
        <v>44</v>
      </c>
      <c r="W1090" s="5" t="str">
        <f t="shared" si="16"/>
        <v>KESEJAHTERAAN</v>
      </c>
      <c r="X1090" s="5" t="str">
        <f>VLOOKUP(T1090,'Data Angt'!$A$5:$H$5810,8,FALSE)</f>
        <v>Karyawan</v>
      </c>
      <c r="Y1090" s="5" t="str">
        <f>VLOOKUP(T1090,'Data Angt'!$A$5:$C$5808,3,FALSE)</f>
        <v>JBR</v>
      </c>
    </row>
    <row r="1091" spans="1:25" x14ac:dyDescent="0.3">
      <c r="A1091" s="8">
        <v>1085</v>
      </c>
      <c r="B1091" s="9" t="s">
        <v>2080</v>
      </c>
      <c r="C1091" s="10" t="str">
        <f>VLOOKUP(B1091,'Data Angt'!$A$5:$B$5809,2,FALSE)</f>
        <v>A854</v>
      </c>
      <c r="D1091" s="11" t="s">
        <v>9843</v>
      </c>
      <c r="E1091" s="12" t="s">
        <v>10412</v>
      </c>
      <c r="F1091" s="13">
        <v>41057</v>
      </c>
      <c r="G1091" s="14">
        <v>45807</v>
      </c>
      <c r="H1091" s="15">
        <v>75000000</v>
      </c>
      <c r="I1091" s="16">
        <v>180</v>
      </c>
      <c r="J1091" s="17">
        <v>11.4</v>
      </c>
      <c r="K1091" s="9" t="s">
        <v>9831</v>
      </c>
      <c r="L1091" s="10" t="s">
        <v>10412</v>
      </c>
      <c r="M1091" s="9"/>
      <c r="N1091" s="10"/>
      <c r="O1091" s="15">
        <v>35771500</v>
      </c>
      <c r="P1091" s="145">
        <v>18446810</v>
      </c>
      <c r="Q1091" s="9"/>
      <c r="R1091" s="146"/>
      <c r="T1091" s="92" t="s">
        <v>6706</v>
      </c>
      <c r="U1091">
        <v>1</v>
      </c>
      <c r="V1091">
        <f>VLOOKUP(T1091,'Data Angt'!$A$5:$F$5810,6,FALSE)</f>
        <v>32</v>
      </c>
      <c r="W1091" s="5" t="str">
        <f t="shared" si="16"/>
        <v>PRODUKTIF</v>
      </c>
      <c r="X1091" s="5" t="str">
        <f>VLOOKUP(T1091,'Data Angt'!$A$5:$H$5810,8,FALSE)</f>
        <v>Wiraswasta</v>
      </c>
      <c r="Y1091" s="5" t="str">
        <f>VLOOKUP(T1091,'Data Angt'!$A$5:$C$5808,3,FALSE)</f>
        <v>JBR</v>
      </c>
    </row>
    <row r="1092" spans="1:25" x14ac:dyDescent="0.3">
      <c r="A1092" s="8">
        <v>1086</v>
      </c>
      <c r="B1092" s="9" t="s">
        <v>2086</v>
      </c>
      <c r="C1092" s="10" t="str">
        <f>VLOOKUP(B1092,'Data Angt'!$A$5:$B$5809,2,FALSE)</f>
        <v>A856</v>
      </c>
      <c r="D1092" s="11" t="s">
        <v>9829</v>
      </c>
      <c r="E1092" s="12" t="s">
        <v>16857</v>
      </c>
      <c r="F1092" s="13">
        <v>45666</v>
      </c>
      <c r="G1092" s="14">
        <v>45912</v>
      </c>
      <c r="H1092" s="15">
        <v>7000000</v>
      </c>
      <c r="I1092" s="16">
        <v>12</v>
      </c>
      <c r="J1092" s="17">
        <v>24</v>
      </c>
      <c r="K1092" s="9" t="s">
        <v>9827</v>
      </c>
      <c r="L1092" s="10" t="s">
        <v>16858</v>
      </c>
      <c r="M1092" s="9" t="s">
        <v>9862</v>
      </c>
      <c r="N1092" s="10" t="s">
        <v>9834</v>
      </c>
      <c r="O1092" s="15">
        <v>2332800</v>
      </c>
      <c r="P1092" s="145">
        <v>297599</v>
      </c>
      <c r="Q1092" s="9"/>
      <c r="R1092" s="146"/>
      <c r="T1092" s="92" t="s">
        <v>6803</v>
      </c>
      <c r="U1092">
        <v>1</v>
      </c>
      <c r="V1092">
        <f>VLOOKUP(T1092,'Data Angt'!$A$5:$F$5810,6,FALSE)</f>
        <v>69</v>
      </c>
      <c r="W1092" s="5" t="str">
        <f t="shared" si="16"/>
        <v>KESEHATAN</v>
      </c>
      <c r="X1092" s="5" t="str">
        <f>VLOOKUP(T1092,'Data Angt'!$A$5:$H$5810,8,FALSE)</f>
        <v>Wiraswasta</v>
      </c>
      <c r="Y1092" s="5" t="str">
        <f>VLOOKUP(T1092,'Data Angt'!$A$5:$C$5808,3,FALSE)</f>
        <v>JBR</v>
      </c>
    </row>
    <row r="1093" spans="1:25" x14ac:dyDescent="0.3">
      <c r="A1093" s="8">
        <v>1087</v>
      </c>
      <c r="B1093" s="9" t="s">
        <v>2089</v>
      </c>
      <c r="C1093" s="10" t="str">
        <f>VLOOKUP(B1093,'Data Angt'!$A$5:$B$5809,2,FALSE)</f>
        <v>A857</v>
      </c>
      <c r="D1093" s="11" t="s">
        <v>9833</v>
      </c>
      <c r="E1093" s="12" t="s">
        <v>16859</v>
      </c>
      <c r="F1093" s="13">
        <v>45306</v>
      </c>
      <c r="G1093" s="14">
        <v>45915</v>
      </c>
      <c r="H1093" s="15">
        <v>15000000</v>
      </c>
      <c r="I1093" s="16">
        <v>48</v>
      </c>
      <c r="J1093" s="17">
        <v>24</v>
      </c>
      <c r="K1093" s="9" t="s">
        <v>9827</v>
      </c>
      <c r="L1093" s="10" t="s">
        <v>16860</v>
      </c>
      <c r="M1093" s="9" t="s">
        <v>9862</v>
      </c>
      <c r="N1093" s="10" t="s">
        <v>9834</v>
      </c>
      <c r="O1093" s="15">
        <v>8750000</v>
      </c>
      <c r="P1093" s="145">
        <v>1804870</v>
      </c>
      <c r="Q1093" s="9" t="s">
        <v>23304</v>
      </c>
      <c r="R1093" s="146" t="s">
        <v>23314</v>
      </c>
      <c r="T1093" s="92" t="s">
        <v>6832</v>
      </c>
      <c r="U1093">
        <v>1</v>
      </c>
      <c r="V1093">
        <f>VLOOKUP(T1093,'Data Angt'!$A$5:$F$5810,6,FALSE)</f>
        <v>62</v>
      </c>
      <c r="W1093" s="5" t="str">
        <f t="shared" si="16"/>
        <v>KESEJAHTERAAN</v>
      </c>
      <c r="X1093" s="5" t="str">
        <f>VLOOKUP(T1093,'Data Angt'!$A$5:$H$5810,8,FALSE)</f>
        <v>Mengurus Rumah Tangga</v>
      </c>
      <c r="Y1093" s="5" t="str">
        <f>VLOOKUP(T1093,'Data Angt'!$A$5:$C$5808,3,FALSE)</f>
        <v>JBR</v>
      </c>
    </row>
    <row r="1094" spans="1:25" x14ac:dyDescent="0.3">
      <c r="A1094" s="8">
        <v>1088</v>
      </c>
      <c r="B1094" s="9" t="s">
        <v>2089</v>
      </c>
      <c r="C1094" s="10" t="str">
        <f>VLOOKUP(B1094,'Data Angt'!$A$5:$B$5809,2,FALSE)</f>
        <v>A857</v>
      </c>
      <c r="D1094" s="11" t="s">
        <v>9826</v>
      </c>
      <c r="E1094" s="12" t="s">
        <v>23315</v>
      </c>
      <c r="F1094" s="13">
        <v>45859</v>
      </c>
      <c r="G1094" s="14">
        <v>45915</v>
      </c>
      <c r="H1094" s="15">
        <v>3000000</v>
      </c>
      <c r="I1094" s="16">
        <v>12</v>
      </c>
      <c r="J1094" s="17">
        <v>24</v>
      </c>
      <c r="K1094" s="9" t="s">
        <v>9827</v>
      </c>
      <c r="L1094" s="10" t="s">
        <v>23316</v>
      </c>
      <c r="M1094" s="9" t="s">
        <v>9854</v>
      </c>
      <c r="N1094" s="10" t="s">
        <v>17</v>
      </c>
      <c r="O1094" s="15">
        <v>2500000</v>
      </c>
      <c r="P1094" s="145">
        <v>43125</v>
      </c>
      <c r="Q1094" s="9"/>
      <c r="R1094" s="146"/>
      <c r="T1094" s="92" t="s">
        <v>6925</v>
      </c>
      <c r="U1094">
        <v>1</v>
      </c>
      <c r="V1094">
        <f>VLOOKUP(T1094,'Data Angt'!$A$5:$F$5810,6,FALSE)</f>
        <v>47</v>
      </c>
      <c r="W1094" s="5" t="str">
        <f t="shared" si="16"/>
        <v>PENDIDIKAN</v>
      </c>
      <c r="X1094" s="5" t="str">
        <f>VLOOKUP(T1094,'Data Angt'!$A$5:$H$5810,8,FALSE)</f>
        <v>Karyawan</v>
      </c>
      <c r="Y1094" s="5" t="str">
        <f>VLOOKUP(T1094,'Data Angt'!$A$5:$C$5808,3,FALSE)</f>
        <v>JBR</v>
      </c>
    </row>
    <row r="1095" spans="1:25" x14ac:dyDescent="0.3">
      <c r="A1095" s="8">
        <v>1089</v>
      </c>
      <c r="B1095" s="9" t="s">
        <v>2192</v>
      </c>
      <c r="C1095" s="10" t="str">
        <f>VLOOKUP(B1095,'Data Angt'!$A$5:$B$5809,2,FALSE)</f>
        <v>A911</v>
      </c>
      <c r="D1095" s="11" t="s">
        <v>9881</v>
      </c>
      <c r="E1095" s="12" t="s">
        <v>16861</v>
      </c>
      <c r="F1095" s="13">
        <v>45664</v>
      </c>
      <c r="G1095" s="14">
        <v>45908</v>
      </c>
      <c r="H1095" s="15">
        <v>2000000</v>
      </c>
      <c r="I1095" s="16">
        <v>12</v>
      </c>
      <c r="J1095" s="17">
        <v>12</v>
      </c>
      <c r="K1095" s="9" t="s">
        <v>9831</v>
      </c>
      <c r="L1095" s="10" t="s">
        <v>16862</v>
      </c>
      <c r="M1095" s="9" t="s">
        <v>9835</v>
      </c>
      <c r="N1095" s="10" t="s">
        <v>9828</v>
      </c>
      <c r="O1095" s="15">
        <v>693800</v>
      </c>
      <c r="P1095" s="145">
        <v>43273</v>
      </c>
      <c r="Q1095" s="9"/>
      <c r="R1095" s="146"/>
      <c r="T1095" s="92" t="s">
        <v>6946</v>
      </c>
      <c r="U1095">
        <v>1</v>
      </c>
      <c r="V1095">
        <f>VLOOKUP(T1095,'Data Angt'!$A$5:$F$5810,6,FALSE)</f>
        <v>60</v>
      </c>
      <c r="W1095" s="5" t="str">
        <f t="shared" ref="W1095:W1158" si="17">VLOOKUP(T1095,$B$7:$N$1869,13,FALSE)</f>
        <v>KESEJAHTERAAN</v>
      </c>
      <c r="X1095" s="5" t="str">
        <f>VLOOKUP(T1095,'Data Angt'!$A$5:$H$5810,8,FALSE)</f>
        <v>Mengurus Rumah Tangga</v>
      </c>
      <c r="Y1095" s="5" t="str">
        <f>VLOOKUP(T1095,'Data Angt'!$A$5:$C$5808,3,FALSE)</f>
        <v>JBR</v>
      </c>
    </row>
    <row r="1096" spans="1:25" x14ac:dyDescent="0.3">
      <c r="A1096" s="8">
        <v>1090</v>
      </c>
      <c r="B1096" s="9" t="s">
        <v>2192</v>
      </c>
      <c r="C1096" s="10" t="str">
        <f>VLOOKUP(B1096,'Data Angt'!$A$5:$B$5809,2,FALSE)</f>
        <v>A911</v>
      </c>
      <c r="D1096" s="11" t="s">
        <v>9826</v>
      </c>
      <c r="E1096" s="12" t="s">
        <v>23317</v>
      </c>
      <c r="F1096" s="13">
        <v>45852</v>
      </c>
      <c r="G1096" s="14">
        <v>45915</v>
      </c>
      <c r="H1096" s="15">
        <v>21000000</v>
      </c>
      <c r="I1096" s="16">
        <v>24</v>
      </c>
      <c r="J1096" s="17">
        <v>11.4</v>
      </c>
      <c r="K1096" s="9" t="s">
        <v>9831</v>
      </c>
      <c r="L1096" s="10" t="s">
        <v>23318</v>
      </c>
      <c r="M1096" s="9" t="s">
        <v>9838</v>
      </c>
      <c r="N1096" s="10" t="s">
        <v>9830</v>
      </c>
      <c r="O1096" s="15">
        <v>19426200</v>
      </c>
      <c r="P1096" s="145">
        <v>146849</v>
      </c>
      <c r="Q1096" s="9"/>
      <c r="R1096" s="146"/>
      <c r="T1096" s="92" t="s">
        <v>7087</v>
      </c>
      <c r="U1096">
        <v>1</v>
      </c>
      <c r="V1096">
        <f>VLOOKUP(T1096,'Data Angt'!$A$5:$F$5810,6,FALSE)</f>
        <v>47</v>
      </c>
      <c r="W1096" s="5" t="str">
        <f t="shared" si="17"/>
        <v>KONSUMTIF</v>
      </c>
      <c r="X1096" s="5" t="str">
        <f>VLOOKUP(T1096,'Data Angt'!$A$5:$H$5810,8,FALSE)</f>
        <v>Mengurus Rumah Tangga</v>
      </c>
      <c r="Y1096" s="5" t="str">
        <f>VLOOKUP(T1096,'Data Angt'!$A$5:$C$5808,3,FALSE)</f>
        <v>JBR</v>
      </c>
    </row>
    <row r="1097" spans="1:25" x14ac:dyDescent="0.3">
      <c r="A1097" s="8">
        <v>1091</v>
      </c>
      <c r="B1097" s="9" t="s">
        <v>2285</v>
      </c>
      <c r="C1097" s="10" t="str">
        <f>VLOOKUP(B1097,'Data Angt'!$A$5:$B$5809,2,FALSE)</f>
        <v>A950</v>
      </c>
      <c r="D1097" s="11" t="s">
        <v>9826</v>
      </c>
      <c r="E1097" s="12" t="s">
        <v>23319</v>
      </c>
      <c r="F1097" s="13">
        <v>45880</v>
      </c>
      <c r="G1097" s="14">
        <v>45903</v>
      </c>
      <c r="H1097" s="15">
        <v>4000000</v>
      </c>
      <c r="I1097" s="16">
        <v>24</v>
      </c>
      <c r="J1097" s="17">
        <v>11.88</v>
      </c>
      <c r="K1097" s="9" t="s">
        <v>9831</v>
      </c>
      <c r="L1097" s="10" t="s">
        <v>23320</v>
      </c>
      <c r="M1097" s="9" t="s">
        <v>9862</v>
      </c>
      <c r="N1097" s="10" t="s">
        <v>9834</v>
      </c>
      <c r="O1097" s="15">
        <v>3851500</v>
      </c>
      <c r="P1097" s="145">
        <v>14850</v>
      </c>
      <c r="Q1097" s="9"/>
      <c r="R1097" s="146"/>
      <c r="T1097" s="92" t="s">
        <v>7297</v>
      </c>
      <c r="U1097">
        <v>1</v>
      </c>
      <c r="V1097">
        <f>VLOOKUP(T1097,'Data Angt'!$A$5:$F$5810,6,FALSE)</f>
        <v>65</v>
      </c>
      <c r="W1097" s="5" t="str">
        <f t="shared" si="17"/>
        <v>PRODUKTIF</v>
      </c>
      <c r="X1097" s="5" t="str">
        <f>VLOOKUP(T1097,'Data Angt'!$A$5:$H$5810,8,FALSE)</f>
        <v>Wiraswasta</v>
      </c>
      <c r="Y1097" s="5" t="str">
        <f>VLOOKUP(T1097,'Data Angt'!$A$5:$C$5808,3,FALSE)</f>
        <v>JBR</v>
      </c>
    </row>
    <row r="1098" spans="1:25" x14ac:dyDescent="0.3">
      <c r="A1098" s="8">
        <v>1092</v>
      </c>
      <c r="B1098" s="9" t="s">
        <v>2295</v>
      </c>
      <c r="C1098" s="10" t="str">
        <f>VLOOKUP(B1098,'Data Angt'!$A$5:$B$5809,2,FALSE)</f>
        <v>A955</v>
      </c>
      <c r="D1098" s="11" t="s">
        <v>9833</v>
      </c>
      <c r="E1098" s="12" t="s">
        <v>23321</v>
      </c>
      <c r="F1098" s="13">
        <v>45845</v>
      </c>
      <c r="G1098" s="14">
        <v>45908</v>
      </c>
      <c r="H1098" s="15">
        <v>10000000</v>
      </c>
      <c r="I1098" s="16">
        <v>24</v>
      </c>
      <c r="J1098" s="17">
        <v>24</v>
      </c>
      <c r="K1098" s="9" t="s">
        <v>9827</v>
      </c>
      <c r="L1098" s="10" t="s">
        <v>23322</v>
      </c>
      <c r="M1098" s="9" t="s">
        <v>23323</v>
      </c>
      <c r="N1098" s="10" t="s">
        <v>9834</v>
      </c>
      <c r="O1098" s="15">
        <v>9166600</v>
      </c>
      <c r="P1098" s="145">
        <v>146887</v>
      </c>
      <c r="Q1098" s="9"/>
      <c r="R1098" s="146"/>
      <c r="T1098" s="92" t="s">
        <v>7347</v>
      </c>
      <c r="U1098">
        <v>2</v>
      </c>
      <c r="V1098">
        <f>VLOOKUP(T1098,'Data Angt'!$A$5:$F$5810,6,FALSE)</f>
        <v>74</v>
      </c>
      <c r="W1098" s="5" t="str">
        <f t="shared" si="17"/>
        <v>PRODUKTIF</v>
      </c>
      <c r="X1098" s="5" t="str">
        <f>VLOOKUP(T1098,'Data Angt'!$A$5:$H$5810,8,FALSE)</f>
        <v>Wiraswasta</v>
      </c>
      <c r="Y1098" s="5" t="str">
        <f>VLOOKUP(T1098,'Data Angt'!$A$5:$C$5808,3,FALSE)</f>
        <v>JBR</v>
      </c>
    </row>
    <row r="1099" spans="1:25" x14ac:dyDescent="0.3">
      <c r="A1099" s="8">
        <v>1093</v>
      </c>
      <c r="B1099" s="9" t="s">
        <v>2349</v>
      </c>
      <c r="C1099" s="10" t="str">
        <f>VLOOKUP(B1099,'Data Angt'!$A$5:$B$5809,2,FALSE)</f>
        <v>A976</v>
      </c>
      <c r="D1099" s="11" t="s">
        <v>9833</v>
      </c>
      <c r="E1099" s="12" t="s">
        <v>10413</v>
      </c>
      <c r="F1099" s="13">
        <v>44636</v>
      </c>
      <c r="G1099" s="14">
        <v>45793</v>
      </c>
      <c r="H1099" s="15">
        <v>40000000</v>
      </c>
      <c r="I1099" s="16">
        <v>36</v>
      </c>
      <c r="J1099" s="17">
        <v>21</v>
      </c>
      <c r="K1099" s="9" t="s">
        <v>9831</v>
      </c>
      <c r="L1099" s="10" t="s">
        <v>10414</v>
      </c>
      <c r="M1099" s="9" t="s">
        <v>10415</v>
      </c>
      <c r="N1099" s="10" t="s">
        <v>9834</v>
      </c>
      <c r="O1099" s="15">
        <v>17575900</v>
      </c>
      <c r="P1099" s="145">
        <v>6210292</v>
      </c>
      <c r="Q1099" s="9"/>
      <c r="R1099" s="146"/>
      <c r="T1099" s="92" t="s">
        <v>7364</v>
      </c>
      <c r="U1099">
        <v>1</v>
      </c>
      <c r="V1099">
        <f>VLOOKUP(T1099,'Data Angt'!$A$5:$F$5810,6,FALSE)</f>
        <v>56</v>
      </c>
      <c r="W1099" s="5" t="str">
        <f t="shared" si="17"/>
        <v>PRODUKTIF</v>
      </c>
      <c r="X1099" s="5" t="str">
        <f>VLOOKUP(T1099,'Data Angt'!$A$5:$H$5810,8,FALSE)</f>
        <v>Wiraswasta</v>
      </c>
      <c r="Y1099" s="5" t="str">
        <f>VLOOKUP(T1099,'Data Angt'!$A$5:$C$5808,3,FALSE)</f>
        <v>JBR</v>
      </c>
    </row>
    <row r="1100" spans="1:25" x14ac:dyDescent="0.3">
      <c r="A1100" s="8">
        <v>1094</v>
      </c>
      <c r="B1100" s="9" t="s">
        <v>2363</v>
      </c>
      <c r="C1100" s="10" t="str">
        <f>VLOOKUP(B1100,'Data Angt'!$A$5:$B$5809,2,FALSE)</f>
        <v>A983</v>
      </c>
      <c r="D1100" s="11" t="s">
        <v>9843</v>
      </c>
      <c r="E1100" s="12" t="s">
        <v>10416</v>
      </c>
      <c r="F1100" s="13">
        <v>42100</v>
      </c>
      <c r="G1100" s="14">
        <v>45777</v>
      </c>
      <c r="H1100" s="15">
        <v>150000000</v>
      </c>
      <c r="I1100" s="16">
        <v>120</v>
      </c>
      <c r="J1100" s="17">
        <v>11.4</v>
      </c>
      <c r="K1100" s="9" t="s">
        <v>9831</v>
      </c>
      <c r="L1100" s="10" t="s">
        <v>10416</v>
      </c>
      <c r="M1100" s="9"/>
      <c r="N1100" s="10"/>
      <c r="O1100" s="15">
        <v>49987400</v>
      </c>
      <c r="P1100" s="145">
        <v>42839796</v>
      </c>
      <c r="Q1100" s="9"/>
      <c r="R1100" s="146"/>
      <c r="T1100" s="92" t="s">
        <v>7397</v>
      </c>
      <c r="U1100">
        <v>1</v>
      </c>
      <c r="V1100">
        <f>VLOOKUP(T1100,'Data Angt'!$A$5:$F$5810,6,FALSE)</f>
        <v>53</v>
      </c>
      <c r="W1100" s="5" t="str">
        <f t="shared" si="17"/>
        <v>PRODUKTIF</v>
      </c>
      <c r="X1100" s="5" t="str">
        <f>VLOOKUP(T1100,'Data Angt'!$A$5:$H$5810,8,FALSE)</f>
        <v>Wiraswasta</v>
      </c>
      <c r="Y1100" s="5" t="str">
        <f>VLOOKUP(T1100,'Data Angt'!$A$5:$C$5808,3,FALSE)</f>
        <v>JBR</v>
      </c>
    </row>
    <row r="1101" spans="1:25" x14ac:dyDescent="0.3">
      <c r="A1101" s="8">
        <v>1095</v>
      </c>
      <c r="B1101" s="9" t="s">
        <v>2390</v>
      </c>
      <c r="C1101" s="10" t="str">
        <f>VLOOKUP(B1101,'Data Angt'!$A$5:$B$5809,2,FALSE)</f>
        <v>A995</v>
      </c>
      <c r="D1101" s="11" t="s">
        <v>9833</v>
      </c>
      <c r="E1101" s="12" t="s">
        <v>16863</v>
      </c>
      <c r="F1101" s="13">
        <v>45517</v>
      </c>
      <c r="G1101" s="14">
        <v>45916</v>
      </c>
      <c r="H1101" s="15">
        <v>10000000</v>
      </c>
      <c r="I1101" s="16">
        <v>24</v>
      </c>
      <c r="J1101" s="17">
        <v>24</v>
      </c>
      <c r="K1101" s="9" t="s">
        <v>9827</v>
      </c>
      <c r="L1101" s="10" t="s">
        <v>16864</v>
      </c>
      <c r="M1101" s="9" t="s">
        <v>9862</v>
      </c>
      <c r="N1101" s="10" t="s">
        <v>9834</v>
      </c>
      <c r="O1101" s="15">
        <v>4582900</v>
      </c>
      <c r="P1101" s="145">
        <v>731398</v>
      </c>
      <c r="Q1101" s="9" t="s">
        <v>23304</v>
      </c>
      <c r="R1101" s="146" t="s">
        <v>23324</v>
      </c>
      <c r="T1101" s="92" t="s">
        <v>7462</v>
      </c>
      <c r="U1101">
        <v>1</v>
      </c>
      <c r="V1101">
        <f>VLOOKUP(T1101,'Data Angt'!$A$5:$F$5810,6,FALSE)</f>
        <v>40</v>
      </c>
      <c r="W1101" s="5" t="str">
        <f t="shared" si="17"/>
        <v>PRODUKTIF</v>
      </c>
      <c r="X1101" s="5" t="str">
        <f>VLOOKUP(T1101,'Data Angt'!$A$5:$H$5810,8,FALSE)</f>
        <v>Mengurus Rumah Tangga</v>
      </c>
      <c r="Y1101" s="5" t="str">
        <f>VLOOKUP(T1101,'Data Angt'!$A$5:$C$5808,3,FALSE)</f>
        <v>JBR</v>
      </c>
    </row>
    <row r="1102" spans="1:25" x14ac:dyDescent="0.3">
      <c r="A1102" s="8">
        <v>1096</v>
      </c>
      <c r="B1102" s="9" t="s">
        <v>2497</v>
      </c>
      <c r="C1102" s="10" t="str">
        <f>VLOOKUP(B1102,'Data Angt'!$A$5:$B$5809,2,FALSE)</f>
        <v>A1041</v>
      </c>
      <c r="D1102" s="11" t="s">
        <v>9829</v>
      </c>
      <c r="E1102" s="12" t="s">
        <v>10418</v>
      </c>
      <c r="F1102" s="13">
        <v>42039</v>
      </c>
      <c r="G1102" s="14">
        <v>44284</v>
      </c>
      <c r="H1102" s="15">
        <v>35000000</v>
      </c>
      <c r="I1102" s="16">
        <v>24</v>
      </c>
      <c r="J1102" s="17">
        <v>21</v>
      </c>
      <c r="K1102" s="9" t="s">
        <v>9827</v>
      </c>
      <c r="L1102" s="10"/>
      <c r="M1102" s="9"/>
      <c r="N1102" s="10"/>
      <c r="O1102" s="15">
        <v>32083200</v>
      </c>
      <c r="P1102" s="145">
        <v>2887999</v>
      </c>
      <c r="Q1102" s="9"/>
      <c r="R1102" s="146"/>
      <c r="T1102" s="92" t="s">
        <v>7498</v>
      </c>
      <c r="U1102">
        <v>1</v>
      </c>
      <c r="V1102">
        <f>VLOOKUP(T1102,'Data Angt'!$A$5:$F$5810,6,FALSE)</f>
        <v>67</v>
      </c>
      <c r="W1102" s="5" t="str">
        <f t="shared" si="17"/>
        <v>KESEJAHTERAAN</v>
      </c>
      <c r="X1102" s="5" t="str">
        <f>VLOOKUP(T1102,'Data Angt'!$A$5:$H$5810,8,FALSE)</f>
        <v>Wiraswasta</v>
      </c>
      <c r="Y1102" s="5" t="str">
        <f>VLOOKUP(T1102,'Data Angt'!$A$5:$C$5808,3,FALSE)</f>
        <v>JBR</v>
      </c>
    </row>
    <row r="1103" spans="1:25" x14ac:dyDescent="0.3">
      <c r="A1103" s="8">
        <v>1097</v>
      </c>
      <c r="B1103" s="9" t="s">
        <v>2516</v>
      </c>
      <c r="C1103" s="10" t="str">
        <f>VLOOKUP(B1103,'Data Angt'!$A$5:$B$5809,2,FALSE)</f>
        <v>A1048</v>
      </c>
      <c r="D1103" s="11" t="s">
        <v>9843</v>
      </c>
      <c r="E1103" s="12" t="s">
        <v>10419</v>
      </c>
      <c r="F1103" s="13">
        <v>42888</v>
      </c>
      <c r="G1103" s="14">
        <v>45902</v>
      </c>
      <c r="H1103" s="15">
        <v>110000000</v>
      </c>
      <c r="I1103" s="16">
        <v>120</v>
      </c>
      <c r="J1103" s="17">
        <v>6</v>
      </c>
      <c r="K1103" s="9" t="s">
        <v>9831</v>
      </c>
      <c r="L1103" s="10" t="s">
        <v>10419</v>
      </c>
      <c r="M1103" s="9"/>
      <c r="N1103" s="10"/>
      <c r="O1103" s="15">
        <v>67258100</v>
      </c>
      <c r="P1103" s="145">
        <v>23506384</v>
      </c>
      <c r="Q1103" s="9"/>
      <c r="R1103" s="146"/>
      <c r="T1103" s="92" t="s">
        <v>7514</v>
      </c>
      <c r="U1103">
        <v>1</v>
      </c>
      <c r="V1103">
        <f>VLOOKUP(T1103,'Data Angt'!$A$5:$F$5810,6,FALSE)</f>
        <v>32</v>
      </c>
      <c r="W1103" s="5" t="str">
        <f t="shared" si="17"/>
        <v>KONSUMTIF</v>
      </c>
      <c r="X1103" s="5" t="str">
        <f>VLOOKUP(T1103,'Data Angt'!$A$5:$H$5810,8,FALSE)</f>
        <v>Tenaga Pengajar</v>
      </c>
      <c r="Y1103" s="5" t="str">
        <f>VLOOKUP(T1103,'Data Angt'!$A$5:$C$5808,3,FALSE)</f>
        <v>JBR</v>
      </c>
    </row>
    <row r="1104" spans="1:25" x14ac:dyDescent="0.3">
      <c r="A1104" s="8">
        <v>1098</v>
      </c>
      <c r="B1104" s="9" t="s">
        <v>2537</v>
      </c>
      <c r="C1104" s="10" t="str">
        <f>VLOOKUP(B1104,'Data Angt'!$A$5:$B$5809,2,FALSE)</f>
        <v>A1057</v>
      </c>
      <c r="D1104" s="11" t="s">
        <v>9881</v>
      </c>
      <c r="E1104" s="12" t="s">
        <v>16865</v>
      </c>
      <c r="F1104" s="13">
        <v>45714</v>
      </c>
      <c r="G1104" s="14">
        <v>45930</v>
      </c>
      <c r="H1104" s="15">
        <v>1500000</v>
      </c>
      <c r="I1104" s="16">
        <v>10</v>
      </c>
      <c r="J1104" s="17">
        <v>12</v>
      </c>
      <c r="K1104" s="9" t="s">
        <v>9831</v>
      </c>
      <c r="L1104" s="10" t="s">
        <v>16866</v>
      </c>
      <c r="M1104" s="9" t="s">
        <v>16867</v>
      </c>
      <c r="N1104" s="10" t="s">
        <v>9828</v>
      </c>
      <c r="O1104" s="15">
        <v>465800</v>
      </c>
      <c r="P1104" s="145">
        <v>27974</v>
      </c>
      <c r="Q1104" s="9"/>
      <c r="R1104" s="146"/>
      <c r="T1104" s="92" t="s">
        <v>7874</v>
      </c>
      <c r="U1104">
        <v>1</v>
      </c>
      <c r="V1104">
        <f>VLOOKUP(T1104,'Data Angt'!$A$5:$F$5810,6,FALSE)</f>
        <v>39</v>
      </c>
      <c r="W1104" s="5" t="str">
        <f t="shared" si="17"/>
        <v>KONSUMTIF</v>
      </c>
      <c r="X1104" s="5" t="str">
        <f>VLOOKUP(T1104,'Data Angt'!$A$5:$H$5810,8,FALSE)</f>
        <v>Tenaga Pengajar</v>
      </c>
      <c r="Y1104" s="5" t="str">
        <f>VLOOKUP(T1104,'Data Angt'!$A$5:$C$5808,3,FALSE)</f>
        <v>JBR</v>
      </c>
    </row>
    <row r="1105" spans="1:25" x14ac:dyDescent="0.3">
      <c r="A1105" s="8">
        <v>1099</v>
      </c>
      <c r="B1105" s="9" t="s">
        <v>2604</v>
      </c>
      <c r="C1105" s="10" t="str">
        <f>VLOOKUP(B1105,'Data Angt'!$A$5:$B$5809,2,FALSE)</f>
        <v>A1089</v>
      </c>
      <c r="D1105" s="11" t="s">
        <v>9881</v>
      </c>
      <c r="E1105" s="12" t="s">
        <v>23325</v>
      </c>
      <c r="F1105" s="13">
        <v>45915</v>
      </c>
      <c r="G1105" s="14">
        <v>45915</v>
      </c>
      <c r="H1105" s="15">
        <v>2500000</v>
      </c>
      <c r="I1105" s="16">
        <v>12</v>
      </c>
      <c r="J1105" s="17">
        <v>12</v>
      </c>
      <c r="K1105" s="9" t="s">
        <v>9831</v>
      </c>
      <c r="L1105" s="10" t="s">
        <v>23326</v>
      </c>
      <c r="M1105" s="9" t="s">
        <v>17074</v>
      </c>
      <c r="N1105" s="10" t="s">
        <v>9828</v>
      </c>
      <c r="O1105" s="15">
        <v>2500000</v>
      </c>
      <c r="P1105" s="147">
        <v>0</v>
      </c>
      <c r="Q1105" s="9"/>
      <c r="R1105" s="146"/>
      <c r="T1105" s="92" t="s">
        <v>7887</v>
      </c>
      <c r="U1105">
        <v>1</v>
      </c>
      <c r="V1105">
        <f>VLOOKUP(T1105,'Data Angt'!$A$5:$F$5810,6,FALSE)</f>
        <v>43</v>
      </c>
      <c r="W1105" s="5" t="str">
        <f t="shared" si="17"/>
        <v>PENDIDIKAN</v>
      </c>
      <c r="X1105" s="5" t="str">
        <f>VLOOKUP(T1105,'Data Angt'!$A$5:$H$5810,8,FALSE)</f>
        <v>Mengurus Rumah Tangga</v>
      </c>
      <c r="Y1105" s="5" t="str">
        <f>VLOOKUP(T1105,'Data Angt'!$A$5:$C$5808,3,FALSE)</f>
        <v>JBR</v>
      </c>
    </row>
    <row r="1106" spans="1:25" x14ac:dyDescent="0.3">
      <c r="A1106" s="8">
        <v>1100</v>
      </c>
      <c r="B1106" s="9" t="s">
        <v>2616</v>
      </c>
      <c r="C1106" s="10" t="str">
        <f>VLOOKUP(B1106,'Data Angt'!$A$5:$B$5809,2,FALSE)</f>
        <v>A1094</v>
      </c>
      <c r="D1106" s="11" t="s">
        <v>9829</v>
      </c>
      <c r="E1106" s="12" t="s">
        <v>10420</v>
      </c>
      <c r="F1106" s="13">
        <v>44845</v>
      </c>
      <c r="G1106" s="14">
        <v>45911</v>
      </c>
      <c r="H1106" s="15">
        <v>20000000</v>
      </c>
      <c r="I1106" s="16">
        <v>36</v>
      </c>
      <c r="J1106" s="17">
        <v>24</v>
      </c>
      <c r="K1106" s="9" t="s">
        <v>9827</v>
      </c>
      <c r="L1106" s="10" t="s">
        <v>10421</v>
      </c>
      <c r="M1106" s="9" t="s">
        <v>10422</v>
      </c>
      <c r="N1106" s="10" t="s">
        <v>9830</v>
      </c>
      <c r="O1106" s="15">
        <v>554000</v>
      </c>
      <c r="P1106" s="145">
        <v>2771242</v>
      </c>
      <c r="Q1106" s="9"/>
      <c r="R1106" s="146"/>
      <c r="T1106" s="92" t="s">
        <v>7910</v>
      </c>
      <c r="U1106">
        <v>1</v>
      </c>
      <c r="V1106">
        <f>VLOOKUP(T1106,'Data Angt'!$A$5:$F$5810,6,FALSE)</f>
        <v>49</v>
      </c>
      <c r="W1106" s="5" t="str">
        <f t="shared" si="17"/>
        <v>PENDIDIKAN</v>
      </c>
      <c r="X1106" s="5" t="str">
        <f>VLOOKUP(T1106,'Data Angt'!$A$5:$H$5810,8,FALSE)</f>
        <v>Tenaga Pengajar</v>
      </c>
      <c r="Y1106" s="5" t="str">
        <f>VLOOKUP(T1106,'Data Angt'!$A$5:$C$5808,3,FALSE)</f>
        <v>JBR</v>
      </c>
    </row>
    <row r="1107" spans="1:25" x14ac:dyDescent="0.3">
      <c r="A1107" s="8">
        <v>1101</v>
      </c>
      <c r="B1107" s="9" t="s">
        <v>2694</v>
      </c>
      <c r="C1107" s="10" t="str">
        <f>VLOOKUP(B1107,'Data Angt'!$A$5:$B$5809,2,FALSE)</f>
        <v>A1129</v>
      </c>
      <c r="D1107" s="11" t="s">
        <v>9829</v>
      </c>
      <c r="E1107" s="12" t="s">
        <v>23327</v>
      </c>
      <c r="F1107" s="13">
        <v>45855</v>
      </c>
      <c r="G1107" s="14">
        <v>45922</v>
      </c>
      <c r="H1107" s="15">
        <v>7000000</v>
      </c>
      <c r="I1107" s="16">
        <v>24</v>
      </c>
      <c r="J1107" s="17">
        <v>24</v>
      </c>
      <c r="K1107" s="9" t="s">
        <v>9827</v>
      </c>
      <c r="L1107" s="10" t="s">
        <v>23328</v>
      </c>
      <c r="M1107" s="9" t="s">
        <v>23329</v>
      </c>
      <c r="N1107" s="10" t="s">
        <v>17</v>
      </c>
      <c r="O1107" s="15">
        <v>6416600</v>
      </c>
      <c r="P1107" s="145">
        <v>102825</v>
      </c>
      <c r="Q1107" s="9"/>
      <c r="R1107" s="146"/>
      <c r="T1107" s="92" t="s">
        <v>7921</v>
      </c>
      <c r="U1107">
        <v>1</v>
      </c>
      <c r="V1107">
        <f>VLOOKUP(T1107,'Data Angt'!$A$5:$F$5810,6,FALSE)</f>
        <v>47</v>
      </c>
      <c r="W1107" s="5" t="str">
        <f t="shared" si="17"/>
        <v>KESEJAHTERAAN</v>
      </c>
      <c r="X1107" s="5" t="str">
        <f>VLOOKUP(T1107,'Data Angt'!$A$5:$H$5810,8,FALSE)</f>
        <v>Karyawan</v>
      </c>
      <c r="Y1107" s="5" t="str">
        <f>VLOOKUP(T1107,'Data Angt'!$A$5:$C$5808,3,FALSE)</f>
        <v>JBR</v>
      </c>
    </row>
    <row r="1108" spans="1:25" x14ac:dyDescent="0.3">
      <c r="A1108" s="8">
        <v>1102</v>
      </c>
      <c r="B1108" s="9" t="s">
        <v>2718</v>
      </c>
      <c r="C1108" s="10" t="str">
        <f>VLOOKUP(B1108,'Data Angt'!$A$5:$B$5809,2,FALSE)</f>
        <v>A1139</v>
      </c>
      <c r="D1108" s="11" t="s">
        <v>9826</v>
      </c>
      <c r="E1108" s="12" t="s">
        <v>16868</v>
      </c>
      <c r="F1108" s="13">
        <v>45813</v>
      </c>
      <c r="G1108" s="14">
        <v>45911</v>
      </c>
      <c r="H1108" s="15">
        <v>5000000</v>
      </c>
      <c r="I1108" s="16">
        <v>12</v>
      </c>
      <c r="J1108" s="17">
        <v>24</v>
      </c>
      <c r="K1108" s="9" t="s">
        <v>9827</v>
      </c>
      <c r="L1108" s="10" t="s">
        <v>16869</v>
      </c>
      <c r="M1108" s="9" t="s">
        <v>9835</v>
      </c>
      <c r="N1108" s="10" t="s">
        <v>9828</v>
      </c>
      <c r="O1108" s="15">
        <v>3749900</v>
      </c>
      <c r="P1108" s="145">
        <v>103162</v>
      </c>
      <c r="Q1108" s="9"/>
      <c r="R1108" s="146"/>
      <c r="T1108" s="92" t="s">
        <v>7985</v>
      </c>
      <c r="U1108">
        <v>1</v>
      </c>
      <c r="V1108">
        <f>VLOOKUP(T1108,'Data Angt'!$A$5:$F$5810,6,FALSE)</f>
        <v>26</v>
      </c>
      <c r="W1108" s="5" t="str">
        <f t="shared" si="17"/>
        <v>KONSUMTIF</v>
      </c>
      <c r="X1108" s="5" t="str">
        <f>VLOOKUP(T1108,'Data Angt'!$A$5:$H$5810,8,FALSE)</f>
        <v>Karyawan</v>
      </c>
      <c r="Y1108" s="5" t="str">
        <f>VLOOKUP(T1108,'Data Angt'!$A$5:$C$5808,3,FALSE)</f>
        <v>JBR</v>
      </c>
    </row>
    <row r="1109" spans="1:25" x14ac:dyDescent="0.3">
      <c r="A1109" s="8">
        <v>1103</v>
      </c>
      <c r="B1109" s="9" t="s">
        <v>2718</v>
      </c>
      <c r="C1109" s="10" t="str">
        <f>VLOOKUP(B1109,'Data Angt'!$A$5:$B$5809,2,FALSE)</f>
        <v>A1139</v>
      </c>
      <c r="D1109" s="11" t="s">
        <v>9829</v>
      </c>
      <c r="E1109" s="12" t="s">
        <v>16870</v>
      </c>
      <c r="F1109" s="13">
        <v>45567</v>
      </c>
      <c r="G1109" s="14">
        <v>45911</v>
      </c>
      <c r="H1109" s="15">
        <v>25000000</v>
      </c>
      <c r="I1109" s="16">
        <v>24</v>
      </c>
      <c r="J1109" s="17">
        <v>21</v>
      </c>
      <c r="K1109" s="9" t="s">
        <v>9827</v>
      </c>
      <c r="L1109" s="10" t="s">
        <v>16871</v>
      </c>
      <c r="M1109" s="9" t="s">
        <v>9838</v>
      </c>
      <c r="N1109" s="10" t="s">
        <v>9830</v>
      </c>
      <c r="O1109" s="15">
        <v>13541300</v>
      </c>
      <c r="P1109" s="145">
        <v>1428896</v>
      </c>
      <c r="Q1109" s="9" t="s">
        <v>22240</v>
      </c>
      <c r="R1109" s="146" t="s">
        <v>23330</v>
      </c>
      <c r="T1109" s="92" t="s">
        <v>8032</v>
      </c>
      <c r="U1109">
        <v>1</v>
      </c>
      <c r="V1109">
        <f>VLOOKUP(T1109,'Data Angt'!$A$5:$F$5810,6,FALSE)</f>
        <v>39</v>
      </c>
      <c r="W1109" s="5" t="str">
        <f t="shared" si="17"/>
        <v>PRODUKTIF</v>
      </c>
      <c r="X1109" s="5" t="str">
        <f>VLOOKUP(T1109,'Data Angt'!$A$5:$H$5810,8,FALSE)</f>
        <v>Mengurus Rumah Tangga</v>
      </c>
      <c r="Y1109" s="5" t="str">
        <f>VLOOKUP(T1109,'Data Angt'!$A$5:$C$5808,3,FALSE)</f>
        <v>JBR</v>
      </c>
    </row>
    <row r="1110" spans="1:25" x14ac:dyDescent="0.3">
      <c r="A1110" s="8">
        <v>1104</v>
      </c>
      <c r="B1110" s="9" t="s">
        <v>2746</v>
      </c>
      <c r="C1110" s="10" t="str">
        <f>VLOOKUP(B1110,'Data Angt'!$A$5:$B$5809,2,FALSE)</f>
        <v>A1152</v>
      </c>
      <c r="D1110" s="11" t="s">
        <v>9826</v>
      </c>
      <c r="E1110" s="12" t="s">
        <v>23331</v>
      </c>
      <c r="F1110" s="13">
        <v>45924</v>
      </c>
      <c r="G1110" s="14">
        <v>45924</v>
      </c>
      <c r="H1110" s="15">
        <v>3000000</v>
      </c>
      <c r="I1110" s="16">
        <v>24</v>
      </c>
      <c r="J1110" s="17">
        <v>11.9</v>
      </c>
      <c r="K1110" s="9" t="s">
        <v>9831</v>
      </c>
      <c r="L1110" s="10" t="s">
        <v>23332</v>
      </c>
      <c r="M1110" s="9" t="s">
        <v>9862</v>
      </c>
      <c r="N1110" s="10" t="s">
        <v>9834</v>
      </c>
      <c r="O1110" s="15">
        <v>3000000</v>
      </c>
      <c r="P1110" s="147">
        <v>0</v>
      </c>
      <c r="Q1110" s="9"/>
      <c r="R1110" s="146"/>
      <c r="T1110" s="92" t="s">
        <v>8132</v>
      </c>
      <c r="U1110">
        <v>1</v>
      </c>
      <c r="V1110">
        <f>VLOOKUP(T1110,'Data Angt'!$A$5:$F$5810,6,FALSE)</f>
        <v>35</v>
      </c>
      <c r="W1110" s="5" t="str">
        <f t="shared" si="17"/>
        <v>KESEJAHTERAAN</v>
      </c>
      <c r="X1110" s="5" t="str">
        <f>VLOOKUP(T1110,'Data Angt'!$A$5:$H$5810,8,FALSE)</f>
        <v>Karyawan</v>
      </c>
      <c r="Y1110" s="5" t="str">
        <f>VLOOKUP(T1110,'Data Angt'!$A$5:$C$5808,3,FALSE)</f>
        <v>JBR</v>
      </c>
    </row>
    <row r="1111" spans="1:25" x14ac:dyDescent="0.3">
      <c r="A1111" s="8">
        <v>1105</v>
      </c>
      <c r="B1111" s="9" t="s">
        <v>2819</v>
      </c>
      <c r="C1111" s="10" t="str">
        <f>VLOOKUP(B1111,'Data Angt'!$A$5:$B$5809,2,FALSE)</f>
        <v>A1185</v>
      </c>
      <c r="D1111" s="11" t="s">
        <v>9829</v>
      </c>
      <c r="E1111" s="12" t="s">
        <v>10423</v>
      </c>
      <c r="F1111" s="13">
        <v>42185</v>
      </c>
      <c r="G1111" s="14">
        <v>43951</v>
      </c>
      <c r="H1111" s="15">
        <v>27541700</v>
      </c>
      <c r="I1111" s="16">
        <v>60</v>
      </c>
      <c r="J1111" s="17">
        <v>11.88</v>
      </c>
      <c r="K1111" s="9" t="s">
        <v>9867</v>
      </c>
      <c r="L1111" s="10"/>
      <c r="M1111" s="9"/>
      <c r="N1111" s="10"/>
      <c r="O1111" s="15">
        <v>23868900</v>
      </c>
      <c r="P1111" s="145">
        <v>2779760</v>
      </c>
      <c r="Q1111" s="9"/>
      <c r="R1111" s="146"/>
      <c r="T1111" s="92" t="s">
        <v>8136</v>
      </c>
      <c r="U1111">
        <v>1</v>
      </c>
      <c r="V1111">
        <f>VLOOKUP(T1111,'Data Angt'!$A$5:$F$5810,6,FALSE)</f>
        <v>55</v>
      </c>
      <c r="W1111" s="5" t="str">
        <f t="shared" si="17"/>
        <v>PRODUKTIF</v>
      </c>
      <c r="X1111" s="5" t="str">
        <f>VLOOKUP(T1111,'Data Angt'!$A$5:$H$5810,8,FALSE)</f>
        <v>Wiraswasta</v>
      </c>
      <c r="Y1111" s="5" t="str">
        <f>VLOOKUP(T1111,'Data Angt'!$A$5:$C$5808,3,FALSE)</f>
        <v>JBR</v>
      </c>
    </row>
    <row r="1112" spans="1:25" x14ac:dyDescent="0.3">
      <c r="A1112" s="8">
        <v>1106</v>
      </c>
      <c r="B1112" s="9" t="s">
        <v>2827</v>
      </c>
      <c r="C1112" s="10" t="str">
        <f>VLOOKUP(B1112,'Data Angt'!$A$5:$B$5809,2,FALSE)</f>
        <v>A1193</v>
      </c>
      <c r="D1112" s="11" t="s">
        <v>9833</v>
      </c>
      <c r="E1112" s="12" t="s">
        <v>16872</v>
      </c>
      <c r="F1112" s="13">
        <v>45786</v>
      </c>
      <c r="G1112" s="14">
        <v>45910</v>
      </c>
      <c r="H1112" s="15">
        <v>35000000</v>
      </c>
      <c r="I1112" s="16">
        <v>12</v>
      </c>
      <c r="J1112" s="17">
        <v>21</v>
      </c>
      <c r="K1112" s="9" t="s">
        <v>9827</v>
      </c>
      <c r="L1112" s="10" t="s">
        <v>16873</v>
      </c>
      <c r="M1112" s="9"/>
      <c r="N1112" s="10"/>
      <c r="O1112" s="15">
        <v>23333200</v>
      </c>
      <c r="P1112" s="145">
        <v>803961</v>
      </c>
      <c r="Q1112" s="9" t="s">
        <v>23293</v>
      </c>
      <c r="R1112" s="146" t="s">
        <v>23333</v>
      </c>
      <c r="T1112" s="92" t="s">
        <v>8268</v>
      </c>
      <c r="U1112">
        <v>1</v>
      </c>
      <c r="V1112">
        <f>VLOOKUP(T1112,'Data Angt'!$A$5:$F$5810,6,FALSE)</f>
        <v>45</v>
      </c>
      <c r="W1112" s="5" t="str">
        <f t="shared" si="17"/>
        <v>PRODUKTIF</v>
      </c>
      <c r="X1112" s="5" t="str">
        <f>VLOOKUP(T1112,'Data Angt'!$A$5:$H$5810,8,FALSE)</f>
        <v>Wiraswasta</v>
      </c>
      <c r="Y1112" s="5" t="str">
        <f>VLOOKUP(T1112,'Data Angt'!$A$5:$C$5808,3,FALSE)</f>
        <v>JBR</v>
      </c>
    </row>
    <row r="1113" spans="1:25" x14ac:dyDescent="0.3">
      <c r="A1113" s="8">
        <v>1107</v>
      </c>
      <c r="B1113" s="9" t="s">
        <v>2907</v>
      </c>
      <c r="C1113" s="10" t="str">
        <f>VLOOKUP(B1113,'Data Angt'!$A$5:$B$5809,2,FALSE)</f>
        <v>A1226</v>
      </c>
      <c r="D1113" s="11" t="s">
        <v>9842</v>
      </c>
      <c r="E1113" s="12" t="s">
        <v>16874</v>
      </c>
      <c r="F1113" s="13">
        <v>45808</v>
      </c>
      <c r="G1113" s="14">
        <v>45922</v>
      </c>
      <c r="H1113" s="15">
        <v>250000000</v>
      </c>
      <c r="I1113" s="16">
        <v>120</v>
      </c>
      <c r="J1113" s="17">
        <v>11.4</v>
      </c>
      <c r="K1113" s="9" t="s">
        <v>9831</v>
      </c>
      <c r="L1113" s="10" t="s">
        <v>16875</v>
      </c>
      <c r="M1113" s="9" t="s">
        <v>10082</v>
      </c>
      <c r="N1113" s="10" t="s">
        <v>9830</v>
      </c>
      <c r="O1113" s="15">
        <v>245433300</v>
      </c>
      <c r="P1113" s="145">
        <v>3538387</v>
      </c>
      <c r="Q1113" s="9" t="s">
        <v>23334</v>
      </c>
      <c r="R1113" s="146" t="s">
        <v>23335</v>
      </c>
      <c r="T1113" s="92" t="s">
        <v>8389</v>
      </c>
      <c r="U1113">
        <v>1</v>
      </c>
      <c r="V1113">
        <f>VLOOKUP(T1113,'Data Angt'!$A$5:$F$5810,6,FALSE)</f>
        <v>38</v>
      </c>
      <c r="W1113" s="5" t="str">
        <f t="shared" si="17"/>
        <v>PRODUKTIF</v>
      </c>
      <c r="X1113" s="5" t="str">
        <f>VLOOKUP(T1113,'Data Angt'!$A$5:$H$5810,8,FALSE)</f>
        <v>Wiraswasta</v>
      </c>
      <c r="Y1113" s="5" t="str">
        <f>VLOOKUP(T1113,'Data Angt'!$A$5:$C$5808,3,FALSE)</f>
        <v>JBR</v>
      </c>
    </row>
    <row r="1114" spans="1:25" x14ac:dyDescent="0.3">
      <c r="A1114" s="8">
        <v>1108</v>
      </c>
      <c r="B1114" s="9" t="s">
        <v>2928</v>
      </c>
      <c r="C1114" s="10" t="str">
        <f>VLOOKUP(B1114,'Data Angt'!$A$5:$B$5809,2,FALSE)</f>
        <v>A1237</v>
      </c>
      <c r="D1114" s="11" t="s">
        <v>9833</v>
      </c>
      <c r="E1114" s="12" t="s">
        <v>16876</v>
      </c>
      <c r="F1114" s="13">
        <v>45590</v>
      </c>
      <c r="G1114" s="14">
        <v>45926</v>
      </c>
      <c r="H1114" s="15">
        <v>2000000</v>
      </c>
      <c r="I1114" s="16">
        <v>12</v>
      </c>
      <c r="J1114" s="17">
        <v>24</v>
      </c>
      <c r="K1114" s="9" t="s">
        <v>9827</v>
      </c>
      <c r="L1114" s="10" t="s">
        <v>16877</v>
      </c>
      <c r="M1114" s="9" t="s">
        <v>16878</v>
      </c>
      <c r="N1114" s="10" t="s">
        <v>9834</v>
      </c>
      <c r="O1114" s="15">
        <v>166300</v>
      </c>
      <c r="P1114" s="145">
        <v>96373</v>
      </c>
      <c r="Q1114" s="9"/>
      <c r="R1114" s="146"/>
      <c r="T1114" s="92" t="s">
        <v>8416</v>
      </c>
      <c r="U1114">
        <v>1</v>
      </c>
      <c r="V1114">
        <f>VLOOKUP(T1114,'Data Angt'!$A$5:$F$5810,6,FALSE)</f>
        <v>35</v>
      </c>
      <c r="W1114" s="5" t="str">
        <f t="shared" si="17"/>
        <v>KONSUMTIF</v>
      </c>
      <c r="X1114" s="5" t="str">
        <f>VLOOKUP(T1114,'Data Angt'!$A$5:$H$5810,8,FALSE)</f>
        <v>Karyawan</v>
      </c>
      <c r="Y1114" s="5" t="str">
        <f>VLOOKUP(T1114,'Data Angt'!$A$5:$C$5808,3,FALSE)</f>
        <v>JBR</v>
      </c>
    </row>
    <row r="1115" spans="1:25" x14ac:dyDescent="0.3">
      <c r="A1115" s="8">
        <v>1109</v>
      </c>
      <c r="B1115" s="9" t="s">
        <v>2962</v>
      </c>
      <c r="C1115" s="10" t="str">
        <f>VLOOKUP(B1115,'Data Angt'!$A$5:$B$5809,2,FALSE)</f>
        <v>A1251</v>
      </c>
      <c r="D1115" s="11" t="s">
        <v>9826</v>
      </c>
      <c r="E1115" s="12" t="s">
        <v>16879</v>
      </c>
      <c r="F1115" s="13">
        <v>45569</v>
      </c>
      <c r="G1115" s="14">
        <v>45904</v>
      </c>
      <c r="H1115" s="15">
        <v>2000000</v>
      </c>
      <c r="I1115" s="16">
        <v>12</v>
      </c>
      <c r="J1115" s="17">
        <v>24</v>
      </c>
      <c r="K1115" s="9" t="s">
        <v>9827</v>
      </c>
      <c r="L1115" s="10" t="s">
        <v>16880</v>
      </c>
      <c r="M1115" s="9" t="s">
        <v>9862</v>
      </c>
      <c r="N1115" s="10" t="s">
        <v>9834</v>
      </c>
      <c r="O1115" s="15">
        <v>166300</v>
      </c>
      <c r="P1115" s="145">
        <v>96373</v>
      </c>
      <c r="Q1115" s="9"/>
      <c r="R1115" s="146"/>
      <c r="T1115" s="92" t="s">
        <v>8441</v>
      </c>
      <c r="U1115">
        <v>1</v>
      </c>
      <c r="V1115">
        <f>VLOOKUP(T1115,'Data Angt'!$A$5:$F$5810,6,FALSE)</f>
        <v>26</v>
      </c>
      <c r="W1115" s="5" t="str">
        <f t="shared" si="17"/>
        <v>KONSUMTIF</v>
      </c>
      <c r="X1115" s="5" t="str">
        <f>VLOOKUP(T1115,'Data Angt'!$A$5:$H$5810,8,FALSE)</f>
        <v>Karyawan</v>
      </c>
      <c r="Y1115" s="5" t="str">
        <f>VLOOKUP(T1115,'Data Angt'!$A$5:$C$5808,3,FALSE)</f>
        <v>JBR</v>
      </c>
    </row>
    <row r="1116" spans="1:25" x14ac:dyDescent="0.3">
      <c r="A1116" s="8">
        <v>1110</v>
      </c>
      <c r="B1116" s="9" t="s">
        <v>3144</v>
      </c>
      <c r="C1116" s="10" t="str">
        <f>VLOOKUP(B1116,'Data Angt'!$A$5:$B$5809,2,FALSE)</f>
        <v>A1332</v>
      </c>
      <c r="D1116" s="11" t="s">
        <v>9829</v>
      </c>
      <c r="E1116" s="12" t="s">
        <v>23336</v>
      </c>
      <c r="F1116" s="13">
        <v>45882</v>
      </c>
      <c r="G1116" s="14">
        <v>45923</v>
      </c>
      <c r="H1116" s="15">
        <v>5000000</v>
      </c>
      <c r="I1116" s="16">
        <v>10</v>
      </c>
      <c r="J1116" s="17">
        <v>24</v>
      </c>
      <c r="K1116" s="9" t="s">
        <v>9827</v>
      </c>
      <c r="L1116" s="10" t="s">
        <v>23337</v>
      </c>
      <c r="M1116" s="9" t="s">
        <v>9854</v>
      </c>
      <c r="N1116" s="10" t="s">
        <v>17</v>
      </c>
      <c r="O1116" s="15">
        <v>4500000</v>
      </c>
      <c r="P1116" s="145">
        <v>37500</v>
      </c>
      <c r="Q1116" s="9"/>
      <c r="R1116" s="146"/>
      <c r="T1116" s="92" t="s">
        <v>8478</v>
      </c>
      <c r="U1116">
        <v>1</v>
      </c>
      <c r="V1116">
        <f>VLOOKUP(T1116,'Data Angt'!$A$5:$F$5810,6,FALSE)</f>
        <v>40</v>
      </c>
      <c r="W1116" s="5" t="str">
        <f t="shared" si="17"/>
        <v>PRODUKTIF</v>
      </c>
      <c r="X1116" s="5" t="str">
        <f>VLOOKUP(T1116,'Data Angt'!$A$5:$H$5810,8,FALSE)</f>
        <v>Wiraswasta</v>
      </c>
      <c r="Y1116" s="5" t="str">
        <f>VLOOKUP(T1116,'Data Angt'!$A$5:$C$5808,3,FALSE)</f>
        <v>JBR</v>
      </c>
    </row>
    <row r="1117" spans="1:25" x14ac:dyDescent="0.3">
      <c r="A1117" s="8">
        <v>1111</v>
      </c>
      <c r="B1117" s="9" t="s">
        <v>3165</v>
      </c>
      <c r="C1117" s="10" t="str">
        <f>VLOOKUP(B1117,'Data Angt'!$A$5:$B$5809,2,FALSE)</f>
        <v>A1342</v>
      </c>
      <c r="D1117" s="11" t="s">
        <v>9826</v>
      </c>
      <c r="E1117" s="12" t="s">
        <v>16881</v>
      </c>
      <c r="F1117" s="13">
        <v>45772</v>
      </c>
      <c r="G1117" s="14">
        <v>45926</v>
      </c>
      <c r="H1117" s="15">
        <v>3600000</v>
      </c>
      <c r="I1117" s="16">
        <v>12</v>
      </c>
      <c r="J1117" s="17">
        <v>11.88</v>
      </c>
      <c r="K1117" s="9" t="s">
        <v>9831</v>
      </c>
      <c r="L1117" s="10" t="s">
        <v>16882</v>
      </c>
      <c r="M1117" s="9" t="s">
        <v>9854</v>
      </c>
      <c r="N1117" s="10" t="s">
        <v>17</v>
      </c>
      <c r="O1117" s="15">
        <v>2151600</v>
      </c>
      <c r="P1117" s="145">
        <v>56286</v>
      </c>
      <c r="Q1117" s="9"/>
      <c r="R1117" s="146"/>
      <c r="T1117" s="92" t="s">
        <v>8500</v>
      </c>
      <c r="U1117">
        <v>1</v>
      </c>
      <c r="V1117">
        <f>VLOOKUP(T1117,'Data Angt'!$A$5:$F$5810,6,FALSE)</f>
        <v>55</v>
      </c>
      <c r="W1117" s="5" t="str">
        <f t="shared" si="17"/>
        <v>KESEJAHTERAAN</v>
      </c>
      <c r="X1117" s="5" t="str">
        <f>VLOOKUP(T1117,'Data Angt'!$A$5:$H$5810,8,FALSE)</f>
        <v>Wiraswasta</v>
      </c>
      <c r="Y1117" s="5" t="str">
        <f>VLOOKUP(T1117,'Data Angt'!$A$5:$C$5808,3,FALSE)</f>
        <v>JBR</v>
      </c>
    </row>
    <row r="1118" spans="1:25" x14ac:dyDescent="0.3">
      <c r="A1118" s="8">
        <v>1112</v>
      </c>
      <c r="B1118" s="9" t="s">
        <v>3221</v>
      </c>
      <c r="C1118" s="10" t="str">
        <f>VLOOKUP(B1118,'Data Angt'!$A$5:$B$5809,2,FALSE)</f>
        <v>A1366</v>
      </c>
      <c r="D1118" s="11" t="s">
        <v>9845</v>
      </c>
      <c r="E1118" s="12" t="s">
        <v>23338</v>
      </c>
      <c r="F1118" s="13">
        <v>45861</v>
      </c>
      <c r="G1118" s="14">
        <v>45923</v>
      </c>
      <c r="H1118" s="15">
        <v>2000000</v>
      </c>
      <c r="I1118" s="16">
        <v>18</v>
      </c>
      <c r="J1118" s="17">
        <v>12</v>
      </c>
      <c r="K1118" s="9" t="s">
        <v>9831</v>
      </c>
      <c r="L1118" s="10" t="s">
        <v>23339</v>
      </c>
      <c r="M1118" s="9" t="s">
        <v>23340</v>
      </c>
      <c r="N1118" s="10" t="s">
        <v>9828</v>
      </c>
      <c r="O1118" s="15">
        <v>1795000</v>
      </c>
      <c r="P1118" s="145">
        <v>14625</v>
      </c>
      <c r="Q1118" s="9"/>
      <c r="R1118" s="146"/>
      <c r="T1118" s="92" t="s">
        <v>8554</v>
      </c>
      <c r="U1118">
        <v>1</v>
      </c>
      <c r="V1118">
        <f>VLOOKUP(T1118,'Data Angt'!$A$5:$F$5810,6,FALSE)</f>
        <v>25</v>
      </c>
      <c r="W1118" s="5" t="str">
        <f t="shared" si="17"/>
        <v>PRODUKTIF</v>
      </c>
      <c r="X1118" s="5" t="str">
        <f>VLOOKUP(T1118,'Data Angt'!$A$5:$H$5810,8,FALSE)</f>
        <v>Wiraswasta</v>
      </c>
      <c r="Y1118" s="5" t="str">
        <f>VLOOKUP(T1118,'Data Angt'!$A$5:$C$5808,3,FALSE)</f>
        <v>JBR</v>
      </c>
    </row>
    <row r="1119" spans="1:25" x14ac:dyDescent="0.3">
      <c r="A1119" s="8">
        <v>1113</v>
      </c>
      <c r="B1119" s="9" t="s">
        <v>3261</v>
      </c>
      <c r="C1119" s="10" t="str">
        <f>VLOOKUP(B1119,'Data Angt'!$A$5:$B$5809,2,FALSE)</f>
        <v>A1383</v>
      </c>
      <c r="D1119" s="11" t="s">
        <v>9833</v>
      </c>
      <c r="E1119" s="12" t="s">
        <v>16883</v>
      </c>
      <c r="F1119" s="13">
        <v>45786</v>
      </c>
      <c r="G1119" s="14">
        <v>45909</v>
      </c>
      <c r="H1119" s="15">
        <v>25000000</v>
      </c>
      <c r="I1119" s="16">
        <v>36</v>
      </c>
      <c r="J1119" s="17">
        <v>21</v>
      </c>
      <c r="K1119" s="9" t="s">
        <v>9827</v>
      </c>
      <c r="L1119" s="10" t="s">
        <v>16884</v>
      </c>
      <c r="M1119" s="9" t="s">
        <v>9862</v>
      </c>
      <c r="N1119" s="10" t="s">
        <v>9834</v>
      </c>
      <c r="O1119" s="15">
        <v>22222000</v>
      </c>
      <c r="P1119" s="145">
        <v>628949</v>
      </c>
      <c r="Q1119" s="9" t="s">
        <v>23304</v>
      </c>
      <c r="R1119" s="146" t="s">
        <v>23341</v>
      </c>
      <c r="T1119" s="92" t="s">
        <v>8582</v>
      </c>
      <c r="U1119">
        <v>1</v>
      </c>
      <c r="V1119">
        <f>VLOOKUP(T1119,'Data Angt'!$A$5:$F$5810,6,FALSE)</f>
        <v>28</v>
      </c>
      <c r="W1119" s="5" t="str">
        <f t="shared" si="17"/>
        <v>KESEJAHTERAAN</v>
      </c>
      <c r="X1119" s="5" t="str">
        <f>VLOOKUP(T1119,'Data Angt'!$A$5:$H$5810,8,FALSE)</f>
        <v>Karyawan</v>
      </c>
      <c r="Y1119" s="5" t="str">
        <f>VLOOKUP(T1119,'Data Angt'!$A$5:$C$5808,3,FALSE)</f>
        <v>JBR</v>
      </c>
    </row>
    <row r="1120" spans="1:25" x14ac:dyDescent="0.3">
      <c r="A1120" s="8">
        <v>1114</v>
      </c>
      <c r="B1120" s="9" t="s">
        <v>3269</v>
      </c>
      <c r="C1120" s="10" t="str">
        <f>VLOOKUP(B1120,'Data Angt'!$A$5:$B$5809,2,FALSE)</f>
        <v>A1387</v>
      </c>
      <c r="D1120" s="11" t="s">
        <v>9833</v>
      </c>
      <c r="E1120" s="12" t="s">
        <v>16885</v>
      </c>
      <c r="F1120" s="13">
        <v>45621</v>
      </c>
      <c r="G1120" s="14">
        <v>45925</v>
      </c>
      <c r="H1120" s="15">
        <v>7000000</v>
      </c>
      <c r="I1120" s="16">
        <v>48</v>
      </c>
      <c r="J1120" s="17">
        <v>11.4</v>
      </c>
      <c r="K1120" s="9" t="s">
        <v>9827</v>
      </c>
      <c r="L1120" s="10" t="s">
        <v>16886</v>
      </c>
      <c r="M1120" s="9" t="s">
        <v>16887</v>
      </c>
      <c r="N1120" s="10" t="s">
        <v>9834</v>
      </c>
      <c r="O1120" s="15">
        <v>5541000</v>
      </c>
      <c r="P1120" s="145">
        <v>226161</v>
      </c>
      <c r="Q1120" s="9"/>
      <c r="R1120" s="146"/>
      <c r="T1120" s="92" t="s">
        <v>8584</v>
      </c>
      <c r="U1120">
        <v>1</v>
      </c>
      <c r="V1120">
        <f>VLOOKUP(T1120,'Data Angt'!$A$5:$F$5810,6,FALSE)</f>
        <v>57</v>
      </c>
      <c r="W1120" s="5" t="str">
        <f t="shared" si="17"/>
        <v>KONSUMTIF</v>
      </c>
      <c r="X1120" s="5" t="str">
        <f>VLOOKUP(T1120,'Data Angt'!$A$5:$H$5810,8,FALSE)</f>
        <v>Wiraswasta</v>
      </c>
      <c r="Y1120" s="5" t="str">
        <f>VLOOKUP(T1120,'Data Angt'!$A$5:$C$5808,3,FALSE)</f>
        <v>JBR</v>
      </c>
    </row>
    <row r="1121" spans="1:25" x14ac:dyDescent="0.3">
      <c r="A1121" s="8">
        <v>1115</v>
      </c>
      <c r="B1121" s="9" t="s">
        <v>3306</v>
      </c>
      <c r="C1121" s="10" t="str">
        <f>VLOOKUP(B1121,'Data Angt'!$A$5:$B$5809,2,FALSE)</f>
        <v>A1405</v>
      </c>
      <c r="D1121" s="11" t="s">
        <v>9826</v>
      </c>
      <c r="E1121" s="12" t="s">
        <v>16888</v>
      </c>
      <c r="F1121" s="13">
        <v>45349</v>
      </c>
      <c r="G1121" s="14">
        <v>45919</v>
      </c>
      <c r="H1121" s="15">
        <v>3500000</v>
      </c>
      <c r="I1121" s="16">
        <v>36</v>
      </c>
      <c r="J1121" s="17">
        <v>11.88</v>
      </c>
      <c r="K1121" s="9" t="s">
        <v>9831</v>
      </c>
      <c r="L1121" s="10" t="s">
        <v>16889</v>
      </c>
      <c r="M1121" s="9" t="s">
        <v>9835</v>
      </c>
      <c r="N1121" s="10" t="s">
        <v>9828</v>
      </c>
      <c r="O1121" s="15">
        <v>1807700</v>
      </c>
      <c r="P1121" s="145">
        <v>192594</v>
      </c>
      <c r="Q1121" s="9"/>
      <c r="R1121" s="146"/>
      <c r="T1121" s="92" t="s">
        <v>8634</v>
      </c>
      <c r="U1121">
        <v>1</v>
      </c>
      <c r="V1121">
        <f>VLOOKUP(T1121,'Data Angt'!$A$5:$F$5810,6,FALSE)</f>
        <v>25</v>
      </c>
      <c r="W1121" s="5" t="str">
        <f t="shared" si="17"/>
        <v>PENDIDIKAN</v>
      </c>
      <c r="X1121" s="5" t="str">
        <f>VLOOKUP(T1121,'Data Angt'!$A$5:$H$5810,8,FALSE)</f>
        <v>Karyawan</v>
      </c>
      <c r="Y1121" s="5" t="str">
        <f>VLOOKUP(T1121,'Data Angt'!$A$5:$C$5808,3,FALSE)</f>
        <v>JBR</v>
      </c>
    </row>
    <row r="1122" spans="1:25" x14ac:dyDescent="0.3">
      <c r="A1122" s="8">
        <v>1116</v>
      </c>
      <c r="B1122" s="9" t="s">
        <v>3306</v>
      </c>
      <c r="C1122" s="10" t="str">
        <f>VLOOKUP(B1122,'Data Angt'!$A$5:$B$5809,2,FALSE)</f>
        <v>A1405</v>
      </c>
      <c r="D1122" s="11" t="s">
        <v>9829</v>
      </c>
      <c r="E1122" s="12" t="s">
        <v>16890</v>
      </c>
      <c r="F1122" s="13">
        <v>45341</v>
      </c>
      <c r="G1122" s="14">
        <v>45919</v>
      </c>
      <c r="H1122" s="15">
        <v>6500000</v>
      </c>
      <c r="I1122" s="16">
        <v>36</v>
      </c>
      <c r="J1122" s="17">
        <v>24</v>
      </c>
      <c r="K1122" s="9" t="s">
        <v>9827</v>
      </c>
      <c r="L1122" s="10" t="s">
        <v>16891</v>
      </c>
      <c r="M1122" s="9" t="s">
        <v>10533</v>
      </c>
      <c r="N1122" s="10" t="s">
        <v>9834</v>
      </c>
      <c r="O1122" s="15">
        <v>3068600</v>
      </c>
      <c r="P1122" s="145">
        <v>694946</v>
      </c>
      <c r="Q1122" s="9"/>
      <c r="R1122" s="146"/>
      <c r="T1122" s="92" t="s">
        <v>8643</v>
      </c>
      <c r="U1122">
        <v>1</v>
      </c>
      <c r="V1122">
        <f>VLOOKUP(T1122,'Data Angt'!$A$5:$F$5810,6,FALSE)</f>
        <v>31</v>
      </c>
      <c r="W1122" s="5" t="str">
        <f t="shared" si="17"/>
        <v>KESEJAHTERAAN</v>
      </c>
      <c r="X1122" s="5" t="str">
        <f>VLOOKUP(T1122,'Data Angt'!$A$5:$H$5810,8,FALSE)</f>
        <v>Karyawan</v>
      </c>
      <c r="Y1122" s="5" t="str">
        <f>VLOOKUP(T1122,'Data Angt'!$A$5:$C$5808,3,FALSE)</f>
        <v>JBR</v>
      </c>
    </row>
    <row r="1123" spans="1:25" x14ac:dyDescent="0.3">
      <c r="A1123" s="8">
        <v>1117</v>
      </c>
      <c r="B1123" s="9" t="s">
        <v>3347</v>
      </c>
      <c r="C1123" s="10" t="str">
        <f>VLOOKUP(B1123,'Data Angt'!$A$5:$B$5809,2,FALSE)</f>
        <v>A1422</v>
      </c>
      <c r="D1123" s="11" t="s">
        <v>9833</v>
      </c>
      <c r="E1123" s="12" t="s">
        <v>23342</v>
      </c>
      <c r="F1123" s="13">
        <v>45840</v>
      </c>
      <c r="G1123" s="14">
        <v>45902</v>
      </c>
      <c r="H1123" s="15">
        <v>5000000</v>
      </c>
      <c r="I1123" s="16">
        <v>36</v>
      </c>
      <c r="J1123" s="17">
        <v>24</v>
      </c>
      <c r="K1123" s="9" t="s">
        <v>9831</v>
      </c>
      <c r="L1123" s="10" t="s">
        <v>23343</v>
      </c>
      <c r="M1123" s="9" t="s">
        <v>23344</v>
      </c>
      <c r="N1123" s="10" t="s">
        <v>9834</v>
      </c>
      <c r="O1123" s="15">
        <v>4805700</v>
      </c>
      <c r="P1123" s="145">
        <v>74287</v>
      </c>
      <c r="Q1123" s="9"/>
      <c r="R1123" s="146"/>
      <c r="T1123" s="92" t="s">
        <v>8645</v>
      </c>
      <c r="U1123">
        <v>2</v>
      </c>
      <c r="V1123">
        <f>VLOOKUP(T1123,'Data Angt'!$A$5:$F$5810,6,FALSE)</f>
        <v>26</v>
      </c>
      <c r="W1123" s="5" t="str">
        <f t="shared" si="17"/>
        <v>KESEJAHTERAAN</v>
      </c>
      <c r="X1123" s="5" t="str">
        <f>VLOOKUP(T1123,'Data Angt'!$A$5:$H$5810,8,FALSE)</f>
        <v>Karyawan</v>
      </c>
      <c r="Y1123" s="5" t="str">
        <f>VLOOKUP(T1123,'Data Angt'!$A$5:$C$5808,3,FALSE)</f>
        <v>JBR</v>
      </c>
    </row>
    <row r="1124" spans="1:25" x14ac:dyDescent="0.3">
      <c r="A1124" s="8">
        <v>1118</v>
      </c>
      <c r="B1124" s="9" t="s">
        <v>3451</v>
      </c>
      <c r="C1124" s="10" t="str">
        <f>VLOOKUP(B1124,'Data Angt'!$A$5:$B$5809,2,FALSE)</f>
        <v>A1471</v>
      </c>
      <c r="D1124" s="11" t="s">
        <v>9843</v>
      </c>
      <c r="E1124" s="12" t="s">
        <v>10424</v>
      </c>
      <c r="F1124" s="13">
        <v>43111</v>
      </c>
      <c r="G1124" s="14">
        <v>45911</v>
      </c>
      <c r="H1124" s="15">
        <v>120000000</v>
      </c>
      <c r="I1124" s="16">
        <v>120</v>
      </c>
      <c r="J1124" s="17">
        <v>7.8</v>
      </c>
      <c r="K1124" s="9" t="s">
        <v>9831</v>
      </c>
      <c r="L1124" s="10" t="s">
        <v>10424</v>
      </c>
      <c r="M1124" s="9"/>
      <c r="N1124" s="10"/>
      <c r="O1124" s="15">
        <v>69649100</v>
      </c>
      <c r="P1124" s="145">
        <v>28085167</v>
      </c>
      <c r="Q1124" s="9"/>
      <c r="R1124" s="146"/>
      <c r="T1124" s="92" t="s">
        <v>8682</v>
      </c>
      <c r="U1124">
        <v>1</v>
      </c>
      <c r="V1124">
        <f>VLOOKUP(T1124,'Data Angt'!$A$5:$F$5810,6,FALSE)</f>
        <v>46</v>
      </c>
      <c r="W1124" s="5" t="str">
        <f t="shared" si="17"/>
        <v>PRODUKTIF</v>
      </c>
      <c r="X1124" s="5" t="str">
        <f>VLOOKUP(T1124,'Data Angt'!$A$5:$H$5810,8,FALSE)</f>
        <v>Tenaga Pengajar</v>
      </c>
      <c r="Y1124" s="5" t="str">
        <f>VLOOKUP(T1124,'Data Angt'!$A$5:$C$5808,3,FALSE)</f>
        <v>JBR</v>
      </c>
    </row>
    <row r="1125" spans="1:25" x14ac:dyDescent="0.3">
      <c r="A1125" s="8">
        <v>1119</v>
      </c>
      <c r="B1125" s="9" t="s">
        <v>3457</v>
      </c>
      <c r="C1125" s="10" t="str">
        <f>VLOOKUP(B1125,'Data Angt'!$A$5:$B$5809,2,FALSE)</f>
        <v>A1474</v>
      </c>
      <c r="D1125" s="11" t="s">
        <v>9833</v>
      </c>
      <c r="E1125" s="12" t="s">
        <v>23345</v>
      </c>
      <c r="F1125" s="13">
        <v>45842</v>
      </c>
      <c r="G1125" s="14">
        <v>45904</v>
      </c>
      <c r="H1125" s="15">
        <v>7000000</v>
      </c>
      <c r="I1125" s="16">
        <v>12</v>
      </c>
      <c r="J1125" s="17">
        <v>24</v>
      </c>
      <c r="K1125" s="9" t="s">
        <v>9827</v>
      </c>
      <c r="L1125" s="10" t="s">
        <v>23346</v>
      </c>
      <c r="M1125" s="9" t="s">
        <v>23347</v>
      </c>
      <c r="N1125" s="10" t="s">
        <v>9834</v>
      </c>
      <c r="O1125" s="15">
        <v>5833200</v>
      </c>
      <c r="P1125" s="145">
        <v>100650</v>
      </c>
      <c r="Q1125" s="9"/>
      <c r="R1125" s="146"/>
      <c r="T1125" s="92" t="s">
        <v>8723</v>
      </c>
      <c r="U1125">
        <v>1</v>
      </c>
      <c r="V1125">
        <f>VLOOKUP(T1125,'Data Angt'!$A$5:$F$5810,6,FALSE)</f>
        <v>47</v>
      </c>
      <c r="W1125" s="5" t="str">
        <f t="shared" si="17"/>
        <v>KESEJAHTERAAN</v>
      </c>
      <c r="X1125" s="5" t="str">
        <f>VLOOKUP(T1125,'Data Angt'!$A$5:$H$5810,8,FALSE)</f>
        <v>Wiraswasta</v>
      </c>
      <c r="Y1125" s="5" t="str">
        <f>VLOOKUP(T1125,'Data Angt'!$A$5:$C$5808,3,FALSE)</f>
        <v>JBR</v>
      </c>
    </row>
    <row r="1126" spans="1:25" x14ac:dyDescent="0.3">
      <c r="A1126" s="8">
        <v>1120</v>
      </c>
      <c r="B1126" s="9" t="s">
        <v>3459</v>
      </c>
      <c r="C1126" s="10" t="str">
        <f>VLOOKUP(B1126,'Data Angt'!$A$5:$B$5809,2,FALSE)</f>
        <v>A1475</v>
      </c>
      <c r="D1126" s="11" t="s">
        <v>9833</v>
      </c>
      <c r="E1126" s="12" t="s">
        <v>10425</v>
      </c>
      <c r="F1126" s="13">
        <v>44810</v>
      </c>
      <c r="G1126" s="14">
        <v>45930</v>
      </c>
      <c r="H1126" s="15">
        <v>45000000</v>
      </c>
      <c r="I1126" s="16">
        <v>48</v>
      </c>
      <c r="J1126" s="17">
        <v>21</v>
      </c>
      <c r="K1126" s="9" t="s">
        <v>9827</v>
      </c>
      <c r="L1126" s="10" t="s">
        <v>10426</v>
      </c>
      <c r="M1126" s="9" t="s">
        <v>10427</v>
      </c>
      <c r="N1126" s="10" t="s">
        <v>9834</v>
      </c>
      <c r="O1126" s="15">
        <v>31875000</v>
      </c>
      <c r="P1126" s="145">
        <v>4497667</v>
      </c>
      <c r="Q1126" s="9"/>
      <c r="R1126" s="146"/>
      <c r="T1126" s="92" t="s">
        <v>8740</v>
      </c>
      <c r="U1126">
        <v>1</v>
      </c>
      <c r="V1126">
        <f>VLOOKUP(T1126,'Data Angt'!$A$5:$F$5810,6,FALSE)</f>
        <v>52</v>
      </c>
      <c r="W1126" s="5" t="str">
        <f t="shared" si="17"/>
        <v>PRODUKTIF</v>
      </c>
      <c r="X1126" s="5" t="str">
        <f>VLOOKUP(T1126,'Data Angt'!$A$5:$H$5810,8,FALSE)</f>
        <v>Tenaga Pengajar</v>
      </c>
      <c r="Y1126" s="5" t="str">
        <f>VLOOKUP(T1126,'Data Angt'!$A$5:$C$5808,3,FALSE)</f>
        <v>JBR</v>
      </c>
    </row>
    <row r="1127" spans="1:25" x14ac:dyDescent="0.3">
      <c r="A1127" s="8">
        <v>1121</v>
      </c>
      <c r="B1127" s="9" t="s">
        <v>3502</v>
      </c>
      <c r="C1127" s="10" t="str">
        <f>VLOOKUP(B1127,'Data Angt'!$A$5:$B$5809,2,FALSE)</f>
        <v>A1495</v>
      </c>
      <c r="D1127" s="11" t="s">
        <v>9829</v>
      </c>
      <c r="E1127" s="12" t="s">
        <v>10428</v>
      </c>
      <c r="F1127" s="13">
        <v>41450</v>
      </c>
      <c r="G1127" s="14">
        <v>43950</v>
      </c>
      <c r="H1127" s="15">
        <v>75000000</v>
      </c>
      <c r="I1127" s="16">
        <v>60</v>
      </c>
      <c r="J1127" s="17">
        <v>11.88</v>
      </c>
      <c r="K1127" s="9" t="s">
        <v>9867</v>
      </c>
      <c r="L1127" s="10"/>
      <c r="M1127" s="9"/>
      <c r="N1127" s="10"/>
      <c r="O1127" s="15">
        <v>54750000</v>
      </c>
      <c r="P1127" s="145">
        <v>2244375</v>
      </c>
      <c r="Q1127" s="9"/>
      <c r="R1127" s="146"/>
      <c r="T1127" s="92" t="s">
        <v>8742</v>
      </c>
      <c r="U1127">
        <v>1</v>
      </c>
      <c r="V1127">
        <f>VLOOKUP(T1127,'Data Angt'!$A$5:$F$5810,6,FALSE)</f>
        <v>69</v>
      </c>
      <c r="W1127" s="5" t="str">
        <f t="shared" si="17"/>
        <v>KONSUMTIF</v>
      </c>
      <c r="X1127" s="5" t="str">
        <f>VLOOKUP(T1127,'Data Angt'!$A$5:$H$5810,8,FALSE)</f>
        <v>Pensiunan</v>
      </c>
      <c r="Y1127" s="5" t="str">
        <f>VLOOKUP(T1127,'Data Angt'!$A$5:$C$5808,3,FALSE)</f>
        <v>JBR</v>
      </c>
    </row>
    <row r="1128" spans="1:25" x14ac:dyDescent="0.3">
      <c r="A1128" s="8">
        <v>1122</v>
      </c>
      <c r="B1128" s="9" t="s">
        <v>3520</v>
      </c>
      <c r="C1128" s="10" t="str">
        <f>VLOOKUP(B1128,'Data Angt'!$A$5:$B$5809,2,FALSE)</f>
        <v>A1503</v>
      </c>
      <c r="D1128" s="11" t="s">
        <v>9833</v>
      </c>
      <c r="E1128" s="12" t="s">
        <v>16892</v>
      </c>
      <c r="F1128" s="13">
        <v>45696</v>
      </c>
      <c r="G1128" s="14">
        <v>45909</v>
      </c>
      <c r="H1128" s="15">
        <v>10000000</v>
      </c>
      <c r="I1128" s="16">
        <v>24</v>
      </c>
      <c r="J1128" s="17">
        <v>24</v>
      </c>
      <c r="K1128" s="9" t="s">
        <v>9827</v>
      </c>
      <c r="L1128" s="10" t="s">
        <v>16893</v>
      </c>
      <c r="M1128" s="9" t="s">
        <v>9862</v>
      </c>
      <c r="N1128" s="10" t="s">
        <v>9834</v>
      </c>
      <c r="O1128" s="15">
        <v>7083100</v>
      </c>
      <c r="P1128" s="145">
        <v>459449</v>
      </c>
      <c r="Q1128" s="9"/>
      <c r="R1128" s="146"/>
      <c r="T1128" s="92" t="s">
        <v>8746</v>
      </c>
      <c r="U1128">
        <v>1</v>
      </c>
      <c r="V1128">
        <f>VLOOKUP(T1128,'Data Angt'!$A$5:$F$5810,6,FALSE)</f>
        <v>49</v>
      </c>
      <c r="W1128" s="5" t="str">
        <f t="shared" si="17"/>
        <v>KESEJAHTERAAN</v>
      </c>
      <c r="X1128" s="5" t="str">
        <f>VLOOKUP(T1128,'Data Angt'!$A$5:$H$5810,8,FALSE)</f>
        <v>Tenaga Pengajar</v>
      </c>
      <c r="Y1128" s="5" t="str">
        <f>VLOOKUP(T1128,'Data Angt'!$A$5:$C$5808,3,FALSE)</f>
        <v>JBR</v>
      </c>
    </row>
    <row r="1129" spans="1:25" x14ac:dyDescent="0.3">
      <c r="A1129" s="8">
        <v>1123</v>
      </c>
      <c r="B1129" s="9" t="s">
        <v>3577</v>
      </c>
      <c r="C1129" s="10" t="str">
        <f>VLOOKUP(B1129,'Data Angt'!$A$5:$B$5809,2,FALSE)</f>
        <v>A1528</v>
      </c>
      <c r="D1129" s="11" t="s">
        <v>9833</v>
      </c>
      <c r="E1129" s="12" t="s">
        <v>16894</v>
      </c>
      <c r="F1129" s="13">
        <v>45670</v>
      </c>
      <c r="G1129" s="14">
        <v>45913</v>
      </c>
      <c r="H1129" s="15">
        <v>6000000</v>
      </c>
      <c r="I1129" s="16">
        <v>18</v>
      </c>
      <c r="J1129" s="17">
        <v>24</v>
      </c>
      <c r="K1129" s="9" t="s">
        <v>9827</v>
      </c>
      <c r="L1129" s="10" t="s">
        <v>16895</v>
      </c>
      <c r="M1129" s="9" t="s">
        <v>9862</v>
      </c>
      <c r="N1129" s="10" t="s">
        <v>9834</v>
      </c>
      <c r="O1129" s="15">
        <v>3332800</v>
      </c>
      <c r="P1129" s="145">
        <v>290099</v>
      </c>
      <c r="Q1129" s="9"/>
      <c r="R1129" s="146"/>
      <c r="T1129" s="92" t="s">
        <v>8780</v>
      </c>
      <c r="U1129">
        <v>1</v>
      </c>
      <c r="V1129">
        <f>VLOOKUP(T1129,'Data Angt'!$A$5:$F$5810,6,FALSE)</f>
        <v>32</v>
      </c>
      <c r="W1129" s="5" t="str">
        <f t="shared" si="17"/>
        <v>KONSUMTIF</v>
      </c>
      <c r="X1129" s="5" t="str">
        <f>VLOOKUP(T1129,'Data Angt'!$A$5:$H$5810,8,FALSE)</f>
        <v>Karyawan</v>
      </c>
      <c r="Y1129" s="5" t="str">
        <f>VLOOKUP(T1129,'Data Angt'!$A$5:$C$5808,3,FALSE)</f>
        <v>JBR</v>
      </c>
    </row>
    <row r="1130" spans="1:25" x14ac:dyDescent="0.3">
      <c r="A1130" s="8">
        <v>1124</v>
      </c>
      <c r="B1130" s="9" t="s">
        <v>3614</v>
      </c>
      <c r="C1130" s="10" t="str">
        <f>VLOOKUP(B1130,'Data Angt'!$A$5:$B$5809,2,FALSE)</f>
        <v>A1547</v>
      </c>
      <c r="D1130" s="11" t="s">
        <v>9833</v>
      </c>
      <c r="E1130" s="12" t="s">
        <v>16896</v>
      </c>
      <c r="F1130" s="13">
        <v>45647</v>
      </c>
      <c r="G1130" s="14">
        <v>45930</v>
      </c>
      <c r="H1130" s="15">
        <v>25000000</v>
      </c>
      <c r="I1130" s="16">
        <v>24</v>
      </c>
      <c r="J1130" s="17">
        <v>21</v>
      </c>
      <c r="K1130" s="9" t="s">
        <v>9827</v>
      </c>
      <c r="L1130" s="10" t="s">
        <v>16897</v>
      </c>
      <c r="M1130" s="9"/>
      <c r="N1130" s="10"/>
      <c r="O1130" s="15">
        <v>18749800</v>
      </c>
      <c r="P1130" s="145">
        <v>1257973</v>
      </c>
      <c r="Q1130" s="9" t="s">
        <v>23348</v>
      </c>
      <c r="R1130" s="146" t="s">
        <v>23349</v>
      </c>
      <c r="T1130" s="92" t="s">
        <v>8818</v>
      </c>
      <c r="U1130">
        <v>1</v>
      </c>
      <c r="V1130">
        <f>VLOOKUP(T1130,'Data Angt'!$A$5:$F$5810,6,FALSE)</f>
        <v>31</v>
      </c>
      <c r="W1130" s="5" t="str">
        <f t="shared" si="17"/>
        <v>KESEJAHTERAAN</v>
      </c>
      <c r="X1130" s="5" t="str">
        <f>VLOOKUP(T1130,'Data Angt'!$A$5:$H$5810,8,FALSE)</f>
        <v>Karyawan</v>
      </c>
      <c r="Y1130" s="5" t="str">
        <f>VLOOKUP(T1130,'Data Angt'!$A$5:$C$5808,3,FALSE)</f>
        <v>JBR</v>
      </c>
    </row>
    <row r="1131" spans="1:25" x14ac:dyDescent="0.3">
      <c r="A1131" s="8">
        <v>1125</v>
      </c>
      <c r="B1131" s="9" t="s">
        <v>3618</v>
      </c>
      <c r="C1131" s="10" t="str">
        <f>VLOOKUP(B1131,'Data Angt'!$A$5:$B$5809,2,FALSE)</f>
        <v>A1549</v>
      </c>
      <c r="D1131" s="11" t="s">
        <v>9829</v>
      </c>
      <c r="E1131" s="12" t="s">
        <v>10429</v>
      </c>
      <c r="F1131" s="13">
        <v>42655</v>
      </c>
      <c r="G1131" s="14">
        <v>45895</v>
      </c>
      <c r="H1131" s="15">
        <v>37328900</v>
      </c>
      <c r="I1131" s="16">
        <v>24</v>
      </c>
      <c r="J1131" s="17">
        <v>21</v>
      </c>
      <c r="K1131" s="9" t="s">
        <v>9827</v>
      </c>
      <c r="L1131" s="10"/>
      <c r="M1131" s="9"/>
      <c r="N1131" s="10"/>
      <c r="O1131" s="15">
        <v>12393600</v>
      </c>
      <c r="P1131" s="145">
        <v>9907506</v>
      </c>
      <c r="Q1131" s="9"/>
      <c r="R1131" s="146"/>
      <c r="T1131" s="92" t="s">
        <v>8830</v>
      </c>
      <c r="U1131">
        <v>1</v>
      </c>
      <c r="V1131">
        <f>VLOOKUP(T1131,'Data Angt'!$A$5:$F$5810,6,FALSE)</f>
        <v>33</v>
      </c>
      <c r="W1131" s="5" t="str">
        <f t="shared" si="17"/>
        <v>KESEJAHTERAAN</v>
      </c>
      <c r="X1131" s="5" t="str">
        <f>VLOOKUP(T1131,'Data Angt'!$A$5:$H$5810,8,FALSE)</f>
        <v>Karyawan</v>
      </c>
      <c r="Y1131" s="5" t="str">
        <f>VLOOKUP(T1131,'Data Angt'!$A$5:$C$5808,3,FALSE)</f>
        <v>JBR</v>
      </c>
    </row>
    <row r="1132" spans="1:25" x14ac:dyDescent="0.3">
      <c r="A1132" s="8">
        <v>1126</v>
      </c>
      <c r="B1132" s="9" t="s">
        <v>3645</v>
      </c>
      <c r="C1132" s="10" t="str">
        <f>VLOOKUP(B1132,'Data Angt'!$A$5:$B$5809,2,FALSE)</f>
        <v>A1564</v>
      </c>
      <c r="D1132" s="11" t="s">
        <v>9829</v>
      </c>
      <c r="E1132" s="12" t="s">
        <v>16898</v>
      </c>
      <c r="F1132" s="13">
        <v>45784</v>
      </c>
      <c r="G1132" s="14">
        <v>45908</v>
      </c>
      <c r="H1132" s="15">
        <v>5000000</v>
      </c>
      <c r="I1132" s="16">
        <v>36</v>
      </c>
      <c r="J1132" s="17">
        <v>24</v>
      </c>
      <c r="K1132" s="9" t="s">
        <v>9827</v>
      </c>
      <c r="L1132" s="10" t="s">
        <v>16899</v>
      </c>
      <c r="M1132" s="9" t="s">
        <v>10102</v>
      </c>
      <c r="N1132" s="10" t="s">
        <v>9828</v>
      </c>
      <c r="O1132" s="15">
        <v>4444400</v>
      </c>
      <c r="P1132" s="145">
        <v>143811</v>
      </c>
      <c r="Q1132" s="9"/>
      <c r="R1132" s="146"/>
      <c r="T1132" s="92" t="s">
        <v>8837</v>
      </c>
      <c r="U1132">
        <v>1</v>
      </c>
      <c r="V1132">
        <f>VLOOKUP(T1132,'Data Angt'!$A$5:$F$5810,6,FALSE)</f>
        <v>24</v>
      </c>
      <c r="W1132" s="5" t="str">
        <f t="shared" si="17"/>
        <v>PRODUKTIF</v>
      </c>
      <c r="X1132" s="5" t="str">
        <f>VLOOKUP(T1132,'Data Angt'!$A$5:$H$5810,8,FALSE)</f>
        <v>Karyawan</v>
      </c>
      <c r="Y1132" s="5" t="str">
        <f>VLOOKUP(T1132,'Data Angt'!$A$5:$C$5808,3,FALSE)</f>
        <v>JBR</v>
      </c>
    </row>
    <row r="1133" spans="1:25" x14ac:dyDescent="0.3">
      <c r="A1133" s="8">
        <v>1127</v>
      </c>
      <c r="B1133" s="9" t="s">
        <v>3677</v>
      </c>
      <c r="C1133" s="10" t="str">
        <f>VLOOKUP(B1133,'Data Angt'!$A$5:$B$5809,2,FALSE)</f>
        <v>A1579</v>
      </c>
      <c r="D1133" s="11" t="s">
        <v>9826</v>
      </c>
      <c r="E1133" s="12" t="s">
        <v>23350</v>
      </c>
      <c r="F1133" s="13">
        <v>45920</v>
      </c>
      <c r="G1133" s="14">
        <v>45920</v>
      </c>
      <c r="H1133" s="15">
        <v>2000000</v>
      </c>
      <c r="I1133" s="16">
        <v>12</v>
      </c>
      <c r="J1133" s="17">
        <v>24</v>
      </c>
      <c r="K1133" s="9" t="s">
        <v>9827</v>
      </c>
      <c r="L1133" s="10" t="s">
        <v>23351</v>
      </c>
      <c r="M1133" s="9" t="s">
        <v>23352</v>
      </c>
      <c r="N1133" s="10" t="s">
        <v>9834</v>
      </c>
      <c r="O1133" s="15">
        <v>2000000</v>
      </c>
      <c r="P1133" s="147">
        <v>0</v>
      </c>
      <c r="Q1133" s="9"/>
      <c r="R1133" s="146"/>
      <c r="T1133" s="92" t="s">
        <v>8854</v>
      </c>
      <c r="U1133">
        <v>1</v>
      </c>
      <c r="V1133">
        <f>VLOOKUP(T1133,'Data Angt'!$A$5:$F$5810,6,FALSE)</f>
        <v>56</v>
      </c>
      <c r="W1133" s="5" t="str">
        <f t="shared" si="17"/>
        <v>PRODUKTIF</v>
      </c>
      <c r="X1133" s="5" t="str">
        <f>VLOOKUP(T1133,'Data Angt'!$A$5:$H$5810,8,FALSE)</f>
        <v>Wiraswasta</v>
      </c>
      <c r="Y1133" s="5" t="str">
        <f>VLOOKUP(T1133,'Data Angt'!$A$5:$C$5808,3,FALSE)</f>
        <v>JBR</v>
      </c>
    </row>
    <row r="1134" spans="1:25" x14ac:dyDescent="0.3">
      <c r="A1134" s="8">
        <v>1128</v>
      </c>
      <c r="B1134" s="9" t="s">
        <v>3677</v>
      </c>
      <c r="C1134" s="10" t="str">
        <f>VLOOKUP(B1134,'Data Angt'!$A$5:$B$5809,2,FALSE)</f>
        <v>A1579</v>
      </c>
      <c r="D1134" s="11" t="s">
        <v>9826</v>
      </c>
      <c r="E1134" s="12" t="s">
        <v>16900</v>
      </c>
      <c r="F1134" s="13">
        <v>45770</v>
      </c>
      <c r="G1134" s="14">
        <v>45920</v>
      </c>
      <c r="H1134" s="15">
        <v>7000000</v>
      </c>
      <c r="I1134" s="16">
        <v>18</v>
      </c>
      <c r="J1134" s="17">
        <v>11.9</v>
      </c>
      <c r="K1134" s="9" t="s">
        <v>9827</v>
      </c>
      <c r="L1134" s="10" t="s">
        <v>16901</v>
      </c>
      <c r="M1134" s="9" t="s">
        <v>16902</v>
      </c>
      <c r="N1134" s="10" t="s">
        <v>9834</v>
      </c>
      <c r="O1134" s="15">
        <v>5055500</v>
      </c>
      <c r="P1134" s="145">
        <v>115799</v>
      </c>
      <c r="Q1134" s="9"/>
      <c r="R1134" s="146"/>
      <c r="T1134" s="92" t="s">
        <v>8855</v>
      </c>
      <c r="U1134">
        <v>1</v>
      </c>
      <c r="V1134">
        <f>VLOOKUP(T1134,'Data Angt'!$A$5:$F$5810,6,FALSE)</f>
        <v>52</v>
      </c>
      <c r="W1134" s="5" t="str">
        <f t="shared" si="17"/>
        <v>PENDIDIKAN</v>
      </c>
      <c r="X1134" s="5" t="str">
        <f>VLOOKUP(T1134,'Data Angt'!$A$5:$H$5810,8,FALSE)</f>
        <v>Wiraswasta</v>
      </c>
      <c r="Y1134" s="5" t="str">
        <f>VLOOKUP(T1134,'Data Angt'!$A$5:$C$5808,3,FALSE)</f>
        <v>JBR</v>
      </c>
    </row>
    <row r="1135" spans="1:25" x14ac:dyDescent="0.3">
      <c r="A1135" s="8">
        <v>1129</v>
      </c>
      <c r="B1135" s="9" t="s">
        <v>3799</v>
      </c>
      <c r="C1135" s="10" t="str">
        <f>VLOOKUP(B1135,'Data Angt'!$A$5:$B$5809,2,FALSE)</f>
        <v>A1636</v>
      </c>
      <c r="D1135" s="11" t="s">
        <v>9826</v>
      </c>
      <c r="E1135" s="12" t="s">
        <v>16903</v>
      </c>
      <c r="F1135" s="13">
        <v>45653</v>
      </c>
      <c r="G1135" s="14">
        <v>45927</v>
      </c>
      <c r="H1135" s="15">
        <v>10000000</v>
      </c>
      <c r="I1135" s="16">
        <v>24</v>
      </c>
      <c r="J1135" s="17">
        <v>11.9</v>
      </c>
      <c r="K1135" s="9" t="s">
        <v>9831</v>
      </c>
      <c r="L1135" s="10" t="s">
        <v>16904</v>
      </c>
      <c r="M1135" s="9" t="s">
        <v>9838</v>
      </c>
      <c r="N1135" s="10" t="s">
        <v>9830</v>
      </c>
      <c r="O1135" s="15">
        <v>6524600</v>
      </c>
      <c r="P1135" s="145">
        <v>283985</v>
      </c>
      <c r="Q1135" s="9"/>
      <c r="R1135" s="146"/>
      <c r="T1135" s="92" t="s">
        <v>8870</v>
      </c>
      <c r="U1135">
        <v>1</v>
      </c>
      <c r="V1135">
        <f>VLOOKUP(T1135,'Data Angt'!$A$5:$F$5810,6,FALSE)</f>
        <v>49</v>
      </c>
      <c r="W1135" s="5" t="str">
        <f t="shared" si="17"/>
        <v>KESEHATAN</v>
      </c>
      <c r="X1135" s="5" t="str">
        <f>VLOOKUP(T1135,'Data Angt'!$A$5:$H$5810,8,FALSE)</f>
        <v>Mengurus Rumah Tangga</v>
      </c>
      <c r="Y1135" s="5" t="str">
        <f>VLOOKUP(T1135,'Data Angt'!$A$5:$C$5808,3,FALSE)</f>
        <v>JBR</v>
      </c>
    </row>
    <row r="1136" spans="1:25" x14ac:dyDescent="0.3">
      <c r="A1136" s="8">
        <v>1130</v>
      </c>
      <c r="B1136" s="9" t="s">
        <v>3799</v>
      </c>
      <c r="C1136" s="10" t="str">
        <f>VLOOKUP(B1136,'Data Angt'!$A$5:$B$5809,2,FALSE)</f>
        <v>A1636</v>
      </c>
      <c r="D1136" s="11" t="s">
        <v>9843</v>
      </c>
      <c r="E1136" s="12" t="s">
        <v>10430</v>
      </c>
      <c r="F1136" s="13">
        <v>42824</v>
      </c>
      <c r="G1136" s="14">
        <v>45927</v>
      </c>
      <c r="H1136" s="15">
        <v>150000000</v>
      </c>
      <c r="I1136" s="16">
        <v>120</v>
      </c>
      <c r="J1136" s="17">
        <v>11.4</v>
      </c>
      <c r="K1136" s="9" t="s">
        <v>9831</v>
      </c>
      <c r="L1136" s="10" t="s">
        <v>10430</v>
      </c>
      <c r="M1136" s="9"/>
      <c r="N1136" s="10"/>
      <c r="O1136" s="15">
        <v>34617600</v>
      </c>
      <c r="P1136" s="145">
        <v>45086682</v>
      </c>
      <c r="Q1136" s="9"/>
      <c r="R1136" s="146"/>
      <c r="T1136" s="92" t="s">
        <v>8906</v>
      </c>
      <c r="U1136">
        <v>1</v>
      </c>
      <c r="V1136">
        <f>VLOOKUP(T1136,'Data Angt'!$A$5:$F$5810,6,FALSE)</f>
        <v>56</v>
      </c>
      <c r="W1136" s="5" t="str">
        <f t="shared" si="17"/>
        <v>PRODUKTIF</v>
      </c>
      <c r="X1136" s="5" t="str">
        <f>VLOOKUP(T1136,'Data Angt'!$A$5:$H$5810,8,FALSE)</f>
        <v>Petani/Pekebun/Nelayan</v>
      </c>
      <c r="Y1136" s="5" t="str">
        <f>VLOOKUP(T1136,'Data Angt'!$A$5:$C$5808,3,FALSE)</f>
        <v>JBR</v>
      </c>
    </row>
    <row r="1137" spans="1:25" x14ac:dyDescent="0.3">
      <c r="A1137" s="8">
        <v>1131</v>
      </c>
      <c r="B1137" s="9" t="s">
        <v>3857</v>
      </c>
      <c r="C1137" s="10" t="str">
        <f>VLOOKUP(B1137,'Data Angt'!$A$5:$B$5809,2,FALSE)</f>
        <v>A1666</v>
      </c>
      <c r="D1137" s="11" t="s">
        <v>9829</v>
      </c>
      <c r="E1137" s="12" t="s">
        <v>23353</v>
      </c>
      <c r="F1137" s="13">
        <v>45852</v>
      </c>
      <c r="G1137" s="14">
        <v>45915</v>
      </c>
      <c r="H1137" s="15">
        <v>22000000</v>
      </c>
      <c r="I1137" s="16">
        <v>12</v>
      </c>
      <c r="J1137" s="17">
        <v>24</v>
      </c>
      <c r="K1137" s="9" t="s">
        <v>9827</v>
      </c>
      <c r="L1137" s="10" t="s">
        <v>23354</v>
      </c>
      <c r="M1137" s="9" t="s">
        <v>10110</v>
      </c>
      <c r="N1137" s="10" t="s">
        <v>9828</v>
      </c>
      <c r="O1137" s="15">
        <v>18333200</v>
      </c>
      <c r="P1137" s="145">
        <v>316275</v>
      </c>
      <c r="Q1137" s="9"/>
      <c r="R1137" s="146"/>
      <c r="T1137" s="92" t="s">
        <v>8925</v>
      </c>
      <c r="U1137">
        <v>1</v>
      </c>
      <c r="V1137">
        <f>VLOOKUP(T1137,'Data Angt'!$A$5:$F$5810,6,FALSE)</f>
        <v>41</v>
      </c>
      <c r="W1137" s="5" t="str">
        <f t="shared" si="17"/>
        <v>PRODUKTIF</v>
      </c>
      <c r="X1137" s="5" t="str">
        <f>VLOOKUP(T1137,'Data Angt'!$A$5:$H$5810,8,FALSE)</f>
        <v>Wiraswasta</v>
      </c>
      <c r="Y1137" s="5" t="str">
        <f>VLOOKUP(T1137,'Data Angt'!$A$5:$C$5808,3,FALSE)</f>
        <v>JBR</v>
      </c>
    </row>
    <row r="1138" spans="1:25" x14ac:dyDescent="0.3">
      <c r="A1138" s="8">
        <v>1132</v>
      </c>
      <c r="B1138" s="9" t="s">
        <v>3876</v>
      </c>
      <c r="C1138" s="10" t="str">
        <f>VLOOKUP(B1138,'Data Angt'!$A$5:$B$5809,2,FALSE)</f>
        <v>A1675</v>
      </c>
      <c r="D1138" s="11" t="s">
        <v>9826</v>
      </c>
      <c r="E1138" s="12" t="s">
        <v>16905</v>
      </c>
      <c r="F1138" s="13">
        <v>45693</v>
      </c>
      <c r="G1138" s="14">
        <v>45908</v>
      </c>
      <c r="H1138" s="15">
        <v>3500000</v>
      </c>
      <c r="I1138" s="16">
        <v>12</v>
      </c>
      <c r="J1138" s="17">
        <v>11.88</v>
      </c>
      <c r="K1138" s="9" t="s">
        <v>9831</v>
      </c>
      <c r="L1138" s="10" t="s">
        <v>16906</v>
      </c>
      <c r="M1138" s="9" t="s">
        <v>9862</v>
      </c>
      <c r="N1138" s="10" t="s">
        <v>9834</v>
      </c>
      <c r="O1138" s="15">
        <v>1509000</v>
      </c>
      <c r="P1138" s="145">
        <v>69224</v>
      </c>
      <c r="Q1138" s="9"/>
      <c r="R1138" s="146"/>
      <c r="T1138" s="92" t="s">
        <v>8936</v>
      </c>
      <c r="U1138">
        <v>1</v>
      </c>
      <c r="V1138">
        <f>VLOOKUP(T1138,'Data Angt'!$A$5:$F$5810,6,FALSE)</f>
        <v>28</v>
      </c>
      <c r="W1138" s="5" t="str">
        <f t="shared" si="17"/>
        <v>PRODUKTIF</v>
      </c>
      <c r="X1138" s="5" t="str">
        <f>VLOOKUP(T1138,'Data Angt'!$A$5:$H$5810,8,FALSE)</f>
        <v>Wiraswasta</v>
      </c>
      <c r="Y1138" s="5" t="str">
        <f>VLOOKUP(T1138,'Data Angt'!$A$5:$C$5808,3,FALSE)</f>
        <v>JBR</v>
      </c>
    </row>
    <row r="1139" spans="1:25" x14ac:dyDescent="0.3">
      <c r="A1139" s="8">
        <v>1133</v>
      </c>
      <c r="B1139" s="9" t="s">
        <v>3887</v>
      </c>
      <c r="C1139" s="10" t="str">
        <f>VLOOKUP(B1139,'Data Angt'!$A$5:$B$5809,2,FALSE)</f>
        <v>A1682</v>
      </c>
      <c r="D1139" s="11" t="s">
        <v>9829</v>
      </c>
      <c r="E1139" s="12" t="s">
        <v>16907</v>
      </c>
      <c r="F1139" s="13">
        <v>45307</v>
      </c>
      <c r="G1139" s="14">
        <v>45916</v>
      </c>
      <c r="H1139" s="15">
        <v>40000000</v>
      </c>
      <c r="I1139" s="16">
        <v>36</v>
      </c>
      <c r="J1139" s="17">
        <v>21</v>
      </c>
      <c r="K1139" s="9" t="s">
        <v>9827</v>
      </c>
      <c r="L1139" s="10" t="s">
        <v>16908</v>
      </c>
      <c r="M1139" s="9" t="s">
        <v>9871</v>
      </c>
      <c r="N1139" s="10" t="s">
        <v>9828</v>
      </c>
      <c r="O1139" s="15">
        <v>17776000</v>
      </c>
      <c r="P1139" s="145">
        <v>3864858</v>
      </c>
      <c r="Q1139" s="9" t="s">
        <v>23355</v>
      </c>
      <c r="R1139" s="146" t="s">
        <v>23356</v>
      </c>
      <c r="T1139" s="92" t="s">
        <v>8960</v>
      </c>
      <c r="U1139">
        <v>1</v>
      </c>
      <c r="V1139">
        <f>VLOOKUP(T1139,'Data Angt'!$A$5:$F$5810,6,FALSE)</f>
        <v>53</v>
      </c>
      <c r="W1139" s="5" t="str">
        <f t="shared" si="17"/>
        <v>KONSUMTIF</v>
      </c>
      <c r="X1139" s="5" t="str">
        <f>VLOOKUP(T1139,'Data Angt'!$A$5:$H$5810,8,FALSE)</f>
        <v>Wiraswasta</v>
      </c>
      <c r="Y1139" s="5" t="str">
        <f>VLOOKUP(T1139,'Data Angt'!$A$5:$C$5808,3,FALSE)</f>
        <v>JBR</v>
      </c>
    </row>
    <row r="1140" spans="1:25" x14ac:dyDescent="0.3">
      <c r="A1140" s="8">
        <v>1134</v>
      </c>
      <c r="B1140" s="9" t="s">
        <v>3902</v>
      </c>
      <c r="C1140" s="10" t="str">
        <f>VLOOKUP(B1140,'Data Angt'!$A$5:$B$5809,2,FALSE)</f>
        <v>A1688</v>
      </c>
      <c r="D1140" s="11" t="s">
        <v>9833</v>
      </c>
      <c r="E1140" s="12" t="s">
        <v>16909</v>
      </c>
      <c r="F1140" s="13">
        <v>45349</v>
      </c>
      <c r="G1140" s="14">
        <v>45908</v>
      </c>
      <c r="H1140" s="15">
        <v>15000000</v>
      </c>
      <c r="I1140" s="16">
        <v>24</v>
      </c>
      <c r="J1140" s="17">
        <v>24</v>
      </c>
      <c r="K1140" s="9" t="s">
        <v>9827</v>
      </c>
      <c r="L1140" s="10" t="s">
        <v>16910</v>
      </c>
      <c r="M1140" s="9" t="s">
        <v>10431</v>
      </c>
      <c r="N1140" s="10" t="s">
        <v>9834</v>
      </c>
      <c r="O1140" s="15">
        <v>5729000</v>
      </c>
      <c r="P1140" s="145">
        <v>1435195</v>
      </c>
      <c r="Q1140" s="9" t="s">
        <v>23304</v>
      </c>
      <c r="R1140" s="146" t="s">
        <v>23357</v>
      </c>
      <c r="T1140" s="92" t="s">
        <v>9018</v>
      </c>
      <c r="U1140">
        <v>1</v>
      </c>
      <c r="V1140">
        <f>VLOOKUP(T1140,'Data Angt'!$A$5:$F$5810,6,FALSE)</f>
        <v>45</v>
      </c>
      <c r="W1140" s="5" t="str">
        <f t="shared" si="17"/>
        <v>PRODUKTIF</v>
      </c>
      <c r="X1140" s="5" t="str">
        <f>VLOOKUP(T1140,'Data Angt'!$A$5:$H$5810,8,FALSE)</f>
        <v>Wiraswasta</v>
      </c>
      <c r="Y1140" s="5" t="str">
        <f>VLOOKUP(T1140,'Data Angt'!$A$5:$C$5808,3,FALSE)</f>
        <v>JBR</v>
      </c>
    </row>
    <row r="1141" spans="1:25" x14ac:dyDescent="0.3">
      <c r="A1141" s="8">
        <v>1135</v>
      </c>
      <c r="B1141" s="9" t="s">
        <v>4040</v>
      </c>
      <c r="C1141" s="10" t="str">
        <f>VLOOKUP(B1141,'Data Angt'!$A$5:$B$5809,2,FALSE)</f>
        <v>A1750</v>
      </c>
      <c r="D1141" s="11" t="s">
        <v>9829</v>
      </c>
      <c r="E1141" s="12" t="s">
        <v>16911</v>
      </c>
      <c r="F1141" s="13">
        <v>45829</v>
      </c>
      <c r="G1141" s="14">
        <v>45920</v>
      </c>
      <c r="H1141" s="15">
        <v>5000000</v>
      </c>
      <c r="I1141" s="16">
        <v>10</v>
      </c>
      <c r="J1141" s="17">
        <v>24</v>
      </c>
      <c r="K1141" s="9" t="s">
        <v>9827</v>
      </c>
      <c r="L1141" s="10" t="s">
        <v>16912</v>
      </c>
      <c r="M1141" s="9" t="s">
        <v>16913</v>
      </c>
      <c r="N1141" s="10" t="s">
        <v>17</v>
      </c>
      <c r="O1141" s="15">
        <v>3500000</v>
      </c>
      <c r="P1141" s="145">
        <v>101250</v>
      </c>
      <c r="Q1141" s="9"/>
      <c r="R1141" s="146"/>
      <c r="T1141" s="92" t="s">
        <v>9025</v>
      </c>
      <c r="U1141">
        <v>1</v>
      </c>
      <c r="V1141">
        <f>VLOOKUP(T1141,'Data Angt'!$A$5:$F$5810,6,FALSE)</f>
        <v>42</v>
      </c>
      <c r="W1141" s="5" t="str">
        <f t="shared" si="17"/>
        <v>PRODUKTIF</v>
      </c>
      <c r="X1141" s="5" t="str">
        <f>VLOOKUP(T1141,'Data Angt'!$A$5:$H$5810,8,FALSE)</f>
        <v>Wiraswasta</v>
      </c>
      <c r="Y1141" s="5" t="str">
        <f>VLOOKUP(T1141,'Data Angt'!$A$5:$C$5808,3,FALSE)</f>
        <v>JBR</v>
      </c>
    </row>
    <row r="1142" spans="1:25" x14ac:dyDescent="0.3">
      <c r="A1142" s="8">
        <v>1136</v>
      </c>
      <c r="B1142" s="9" t="s">
        <v>4219</v>
      </c>
      <c r="C1142" s="10" t="str">
        <f>VLOOKUP(B1142,'Data Angt'!$A$5:$B$5809,2,FALSE)</f>
        <v>A1829</v>
      </c>
      <c r="D1142" s="11" t="s">
        <v>9833</v>
      </c>
      <c r="E1142" s="12" t="s">
        <v>23358</v>
      </c>
      <c r="F1142" s="13">
        <v>45880</v>
      </c>
      <c r="G1142" s="14">
        <v>45911</v>
      </c>
      <c r="H1142" s="15">
        <v>10000000</v>
      </c>
      <c r="I1142" s="16">
        <v>12</v>
      </c>
      <c r="J1142" s="17">
        <v>24</v>
      </c>
      <c r="K1142" s="9" t="s">
        <v>9827</v>
      </c>
      <c r="L1142" s="10" t="s">
        <v>23359</v>
      </c>
      <c r="M1142" s="9" t="s">
        <v>9862</v>
      </c>
      <c r="N1142" s="10" t="s">
        <v>9834</v>
      </c>
      <c r="O1142" s="15">
        <v>9166600</v>
      </c>
      <c r="P1142" s="145">
        <v>75000</v>
      </c>
      <c r="Q1142" s="9"/>
      <c r="R1142" s="146"/>
      <c r="T1142" s="92" t="s">
        <v>9065</v>
      </c>
      <c r="U1142">
        <v>1</v>
      </c>
      <c r="V1142">
        <f>VLOOKUP(T1142,'Data Angt'!$A$5:$F$5810,6,FALSE)</f>
        <v>60</v>
      </c>
      <c r="W1142" s="5" t="str">
        <f t="shared" si="17"/>
        <v>KESEJAHTERAAN</v>
      </c>
      <c r="X1142" s="5" t="str">
        <f>VLOOKUP(T1142,'Data Angt'!$A$5:$H$5810,8,FALSE)</f>
        <v>Aparatur/Pejabat Negara</v>
      </c>
      <c r="Y1142" s="5" t="str">
        <f>VLOOKUP(T1142,'Data Angt'!$A$5:$C$5808,3,FALSE)</f>
        <v>JBR</v>
      </c>
    </row>
    <row r="1143" spans="1:25" x14ac:dyDescent="0.3">
      <c r="A1143" s="8">
        <v>1137</v>
      </c>
      <c r="B1143" s="9" t="s">
        <v>4242</v>
      </c>
      <c r="C1143" s="10" t="str">
        <f>VLOOKUP(B1143,'Data Angt'!$A$5:$B$5809,2,FALSE)</f>
        <v>A1838</v>
      </c>
      <c r="D1143" s="11" t="s">
        <v>9843</v>
      </c>
      <c r="E1143" s="12" t="s">
        <v>10432</v>
      </c>
      <c r="F1143" s="13">
        <v>43131</v>
      </c>
      <c r="G1143" s="14">
        <v>45929</v>
      </c>
      <c r="H1143" s="15">
        <v>106262000</v>
      </c>
      <c r="I1143" s="16">
        <v>120</v>
      </c>
      <c r="J1143" s="17">
        <v>11.4</v>
      </c>
      <c r="K1143" s="9" t="s">
        <v>9831</v>
      </c>
      <c r="L1143" s="10" t="s">
        <v>10432</v>
      </c>
      <c r="M1143" s="9"/>
      <c r="N1143" s="10"/>
      <c r="O1143" s="15">
        <v>102299700</v>
      </c>
      <c r="P1143" s="145">
        <v>4495474</v>
      </c>
      <c r="Q1143" s="9"/>
      <c r="R1143" s="146"/>
      <c r="T1143" s="92" t="s">
        <v>9078</v>
      </c>
      <c r="U1143">
        <v>1</v>
      </c>
      <c r="V1143">
        <f>VLOOKUP(T1143,'Data Angt'!$A$5:$F$5810,6,FALSE)</f>
        <v>17</v>
      </c>
      <c r="W1143" s="5" t="str">
        <f t="shared" si="17"/>
        <v>PENDIDIKAN</v>
      </c>
      <c r="X1143" s="5" t="str">
        <f>VLOOKUP(T1143,'Data Angt'!$A$5:$H$5810,8,FALSE)</f>
        <v>Pelajar/Mahasiswa</v>
      </c>
      <c r="Y1143" s="5" t="str">
        <f>VLOOKUP(T1143,'Data Angt'!$A$5:$C$5808,3,FALSE)</f>
        <v>JBR</v>
      </c>
    </row>
    <row r="1144" spans="1:25" x14ac:dyDescent="0.3">
      <c r="A1144" s="8">
        <v>1138</v>
      </c>
      <c r="B1144" s="9" t="s">
        <v>4389</v>
      </c>
      <c r="C1144" s="10" t="str">
        <f>VLOOKUP(B1144,'Data Angt'!$A$5:$B$5809,2,FALSE)</f>
        <v>A1906</v>
      </c>
      <c r="D1144" s="11" t="s">
        <v>9829</v>
      </c>
      <c r="E1144" s="12" t="s">
        <v>10433</v>
      </c>
      <c r="F1144" s="13">
        <v>41793</v>
      </c>
      <c r="G1144" s="14">
        <v>43951</v>
      </c>
      <c r="H1144" s="15">
        <v>35000000</v>
      </c>
      <c r="I1144" s="16">
        <v>60</v>
      </c>
      <c r="J1144" s="17">
        <v>21</v>
      </c>
      <c r="K1144" s="9" t="s">
        <v>9827</v>
      </c>
      <c r="L1144" s="10"/>
      <c r="M1144" s="9"/>
      <c r="N1144" s="10"/>
      <c r="O1144" s="15">
        <v>32013000</v>
      </c>
      <c r="P1144" s="145">
        <v>250300</v>
      </c>
      <c r="Q1144" s="9"/>
      <c r="R1144" s="146"/>
      <c r="T1144" s="92" t="s">
        <v>9096</v>
      </c>
      <c r="U1144">
        <v>1</v>
      </c>
      <c r="V1144">
        <f>VLOOKUP(T1144,'Data Angt'!$A$5:$F$5810,6,FALSE)</f>
        <v>38</v>
      </c>
      <c r="W1144" s="5" t="str">
        <f t="shared" si="17"/>
        <v>PRODUKTIF</v>
      </c>
      <c r="X1144" s="5" t="str">
        <f>VLOOKUP(T1144,'Data Angt'!$A$5:$H$5810,8,FALSE)</f>
        <v>Wiraswasta</v>
      </c>
      <c r="Y1144" s="5" t="str">
        <f>VLOOKUP(T1144,'Data Angt'!$A$5:$C$5808,3,FALSE)</f>
        <v>JBR</v>
      </c>
    </row>
    <row r="1145" spans="1:25" x14ac:dyDescent="0.3">
      <c r="A1145" s="8">
        <v>1139</v>
      </c>
      <c r="B1145" s="9" t="s">
        <v>4405</v>
      </c>
      <c r="C1145" s="10" t="str">
        <f>VLOOKUP(B1145,'Data Angt'!$A$5:$B$5809,2,FALSE)</f>
        <v>A1915</v>
      </c>
      <c r="D1145" s="11" t="s">
        <v>9829</v>
      </c>
      <c r="E1145" s="12" t="s">
        <v>16914</v>
      </c>
      <c r="F1145" s="13">
        <v>45468</v>
      </c>
      <c r="G1145" s="14">
        <v>45926</v>
      </c>
      <c r="H1145" s="15">
        <v>6000000</v>
      </c>
      <c r="I1145" s="16">
        <v>36</v>
      </c>
      <c r="J1145" s="17">
        <v>24</v>
      </c>
      <c r="K1145" s="9" t="s">
        <v>9827</v>
      </c>
      <c r="L1145" s="10" t="s">
        <v>16915</v>
      </c>
      <c r="M1145" s="9" t="s">
        <v>9838</v>
      </c>
      <c r="N1145" s="10" t="s">
        <v>9830</v>
      </c>
      <c r="O1145" s="15">
        <v>3499500</v>
      </c>
      <c r="P1145" s="145">
        <v>543935</v>
      </c>
      <c r="Q1145" s="9" t="s">
        <v>23304</v>
      </c>
      <c r="R1145" s="146" t="s">
        <v>23360</v>
      </c>
      <c r="T1145" s="92" t="s">
        <v>9154</v>
      </c>
      <c r="U1145">
        <v>1</v>
      </c>
      <c r="V1145">
        <f>VLOOKUP(T1145,'Data Angt'!$A$5:$F$5810,6,FALSE)</f>
        <v>54</v>
      </c>
      <c r="W1145" s="5" t="str">
        <f t="shared" si="17"/>
        <v>KONSUMTIF</v>
      </c>
      <c r="X1145" s="5" t="str">
        <f>VLOOKUP(T1145,'Data Angt'!$A$5:$H$5810,8,FALSE)</f>
        <v>Tenaga Pengajar</v>
      </c>
      <c r="Y1145" s="5" t="str">
        <f>VLOOKUP(T1145,'Data Angt'!$A$5:$C$5808,3,FALSE)</f>
        <v>JBR</v>
      </c>
    </row>
    <row r="1146" spans="1:25" x14ac:dyDescent="0.3">
      <c r="A1146" s="8">
        <v>1140</v>
      </c>
      <c r="B1146" s="9" t="s">
        <v>4472</v>
      </c>
      <c r="C1146" s="10" t="str">
        <f>VLOOKUP(B1146,'Data Angt'!$A$5:$B$5809,2,FALSE)</f>
        <v>A1946</v>
      </c>
      <c r="D1146" s="11" t="s">
        <v>9829</v>
      </c>
      <c r="E1146" s="12" t="s">
        <v>10434</v>
      </c>
      <c r="F1146" s="13">
        <v>41837</v>
      </c>
      <c r="G1146" s="14">
        <v>45688</v>
      </c>
      <c r="H1146" s="15">
        <v>36000000</v>
      </c>
      <c r="I1146" s="16">
        <v>60</v>
      </c>
      <c r="J1146" s="17">
        <v>21</v>
      </c>
      <c r="K1146" s="9" t="s">
        <v>9827</v>
      </c>
      <c r="L1146" s="10"/>
      <c r="M1146" s="9"/>
      <c r="N1146" s="10"/>
      <c r="O1146" s="15">
        <v>14520000</v>
      </c>
      <c r="P1146" s="145">
        <v>8189322</v>
      </c>
      <c r="Q1146" s="9"/>
      <c r="R1146" s="146"/>
      <c r="T1146" s="92" t="s">
        <v>9169</v>
      </c>
      <c r="U1146">
        <v>1</v>
      </c>
      <c r="V1146">
        <f>VLOOKUP(T1146,'Data Angt'!$A$5:$F$5810,6,FALSE)</f>
        <v>44</v>
      </c>
      <c r="W1146" s="5" t="str">
        <f t="shared" si="17"/>
        <v>PRODUKTIF</v>
      </c>
      <c r="X1146" s="5" t="str">
        <f>VLOOKUP(T1146,'Data Angt'!$A$5:$H$5810,8,FALSE)</f>
        <v>Wiraswasta</v>
      </c>
      <c r="Y1146" s="5" t="str">
        <f>VLOOKUP(T1146,'Data Angt'!$A$5:$C$5808,3,FALSE)</f>
        <v>JBR</v>
      </c>
    </row>
    <row r="1147" spans="1:25" x14ac:dyDescent="0.3">
      <c r="A1147" s="8">
        <v>1141</v>
      </c>
      <c r="B1147" s="9" t="s">
        <v>4489</v>
      </c>
      <c r="C1147" s="10" t="str">
        <f>VLOOKUP(B1147,'Data Angt'!$A$5:$B$5809,2,FALSE)</f>
        <v>A1953</v>
      </c>
      <c r="D1147" s="11" t="s">
        <v>9829</v>
      </c>
      <c r="E1147" s="12" t="s">
        <v>10435</v>
      </c>
      <c r="F1147" s="13">
        <v>43304</v>
      </c>
      <c r="G1147" s="14">
        <v>45869</v>
      </c>
      <c r="H1147" s="15">
        <v>40000000</v>
      </c>
      <c r="I1147" s="16">
        <v>60</v>
      </c>
      <c r="J1147" s="17">
        <v>21</v>
      </c>
      <c r="K1147" s="9" t="s">
        <v>9831</v>
      </c>
      <c r="L1147" s="10" t="s">
        <v>10436</v>
      </c>
      <c r="M1147" s="9" t="s">
        <v>10437</v>
      </c>
      <c r="N1147" s="10" t="s">
        <v>9828</v>
      </c>
      <c r="O1147" s="15">
        <v>10915500</v>
      </c>
      <c r="P1147" s="145">
        <v>12729177</v>
      </c>
      <c r="Q1147" s="9"/>
      <c r="R1147" s="146"/>
      <c r="T1147" s="92" t="s">
        <v>9198</v>
      </c>
      <c r="U1147">
        <v>1</v>
      </c>
      <c r="V1147">
        <f>VLOOKUP(T1147,'Data Angt'!$A$5:$F$5810,6,FALSE)</f>
        <v>54</v>
      </c>
      <c r="W1147" s="5" t="str">
        <f t="shared" si="17"/>
        <v>PRODUKTIF</v>
      </c>
      <c r="X1147" s="5" t="str">
        <f>VLOOKUP(T1147,'Data Angt'!$A$5:$H$5810,8,FALSE)</f>
        <v>Wiraswasta</v>
      </c>
      <c r="Y1147" s="5" t="str">
        <f>VLOOKUP(T1147,'Data Angt'!$A$5:$C$5808,3,FALSE)</f>
        <v>JBR</v>
      </c>
    </row>
    <row r="1148" spans="1:25" x14ac:dyDescent="0.3">
      <c r="A1148" s="8">
        <v>1142</v>
      </c>
      <c r="B1148" s="9" t="s">
        <v>4545</v>
      </c>
      <c r="C1148" s="10" t="str">
        <f>VLOOKUP(B1148,'Data Angt'!$A$5:$B$5809,2,FALSE)</f>
        <v>A1979</v>
      </c>
      <c r="D1148" s="11" t="s">
        <v>9833</v>
      </c>
      <c r="E1148" s="12" t="s">
        <v>16916</v>
      </c>
      <c r="F1148" s="13">
        <v>45769</v>
      </c>
      <c r="G1148" s="14">
        <v>45922</v>
      </c>
      <c r="H1148" s="15">
        <v>40000000</v>
      </c>
      <c r="I1148" s="16">
        <v>36</v>
      </c>
      <c r="J1148" s="17">
        <v>21</v>
      </c>
      <c r="K1148" s="9" t="s">
        <v>9831</v>
      </c>
      <c r="L1148" s="10" t="s">
        <v>16917</v>
      </c>
      <c r="M1148" s="9" t="s">
        <v>9862</v>
      </c>
      <c r="N1148" s="10" t="s">
        <v>9834</v>
      </c>
      <c r="O1148" s="15">
        <v>35821000</v>
      </c>
      <c r="P1148" s="145">
        <v>1258686</v>
      </c>
      <c r="Q1148" s="9" t="s">
        <v>22240</v>
      </c>
      <c r="R1148" s="146" t="s">
        <v>23361</v>
      </c>
      <c r="T1148" s="92" t="s">
        <v>9199</v>
      </c>
      <c r="U1148">
        <v>1</v>
      </c>
      <c r="V1148">
        <f>VLOOKUP(T1148,'Data Angt'!$A$5:$F$5810,6,FALSE)</f>
        <v>31</v>
      </c>
      <c r="W1148" s="5" t="str">
        <f t="shared" si="17"/>
        <v>PRODUKTIF</v>
      </c>
      <c r="X1148" s="5" t="str">
        <f>VLOOKUP(T1148,'Data Angt'!$A$5:$H$5810,8,FALSE)</f>
        <v>Wiraswasta</v>
      </c>
      <c r="Y1148" s="5" t="str">
        <f>VLOOKUP(T1148,'Data Angt'!$A$5:$C$5808,3,FALSE)</f>
        <v>JBR</v>
      </c>
    </row>
    <row r="1149" spans="1:25" x14ac:dyDescent="0.3">
      <c r="A1149" s="8">
        <v>1143</v>
      </c>
      <c r="B1149" s="9" t="s">
        <v>4570</v>
      </c>
      <c r="C1149" s="10" t="str">
        <f>VLOOKUP(B1149,'Data Angt'!$A$5:$B$5809,2,FALSE)</f>
        <v>A1991</v>
      </c>
      <c r="D1149" s="11" t="s">
        <v>9895</v>
      </c>
      <c r="E1149" s="12" t="s">
        <v>16918</v>
      </c>
      <c r="F1149" s="13">
        <v>45603</v>
      </c>
      <c r="G1149" s="14">
        <v>45904</v>
      </c>
      <c r="H1149" s="15">
        <v>21000000</v>
      </c>
      <c r="I1149" s="16">
        <v>36</v>
      </c>
      <c r="J1149" s="17">
        <v>24</v>
      </c>
      <c r="K1149" s="9" t="s">
        <v>9827</v>
      </c>
      <c r="L1149" s="10" t="s">
        <v>16919</v>
      </c>
      <c r="M1149" s="9" t="s">
        <v>16920</v>
      </c>
      <c r="N1149" s="10" t="s">
        <v>9828</v>
      </c>
      <c r="O1149" s="15">
        <v>15166000</v>
      </c>
      <c r="P1149" s="145">
        <v>1378236</v>
      </c>
      <c r="Q1149" s="9" t="s">
        <v>23304</v>
      </c>
      <c r="R1149" s="146" t="s">
        <v>23362</v>
      </c>
      <c r="T1149" s="92" t="s">
        <v>9207</v>
      </c>
      <c r="U1149">
        <v>1</v>
      </c>
      <c r="V1149">
        <f>VLOOKUP(T1149,'Data Angt'!$A$5:$F$5810,6,FALSE)</f>
        <v>48</v>
      </c>
      <c r="W1149" s="5" t="str">
        <f t="shared" si="17"/>
        <v>PRODUKTIF</v>
      </c>
      <c r="X1149" s="5" t="str">
        <f>VLOOKUP(T1149,'Data Angt'!$A$5:$H$5810,8,FALSE)</f>
        <v>Wiraswasta</v>
      </c>
      <c r="Y1149" s="5" t="str">
        <f>VLOOKUP(T1149,'Data Angt'!$A$5:$C$5808,3,FALSE)</f>
        <v>JBR</v>
      </c>
    </row>
    <row r="1150" spans="1:25" x14ac:dyDescent="0.3">
      <c r="A1150" s="8">
        <v>1144</v>
      </c>
      <c r="B1150" s="9" t="s">
        <v>4576</v>
      </c>
      <c r="C1150" s="10" t="str">
        <f>VLOOKUP(B1150,'Data Angt'!$A$5:$B$5809,2,FALSE)</f>
        <v>A1994</v>
      </c>
      <c r="D1150" s="11" t="s">
        <v>9829</v>
      </c>
      <c r="E1150" s="12" t="s">
        <v>10439</v>
      </c>
      <c r="F1150" s="13">
        <v>42768</v>
      </c>
      <c r="G1150" s="14">
        <v>45351</v>
      </c>
      <c r="H1150" s="15">
        <v>45000000</v>
      </c>
      <c r="I1150" s="16">
        <v>48</v>
      </c>
      <c r="J1150" s="17">
        <v>11.88</v>
      </c>
      <c r="K1150" s="9" t="s">
        <v>9867</v>
      </c>
      <c r="L1150" s="10"/>
      <c r="M1150" s="9"/>
      <c r="N1150" s="10"/>
      <c r="O1150" s="15">
        <v>11250000</v>
      </c>
      <c r="P1150" s="145">
        <v>9398434</v>
      </c>
      <c r="Q1150" s="9"/>
      <c r="R1150" s="146"/>
      <c r="T1150" s="92" t="s">
        <v>9284</v>
      </c>
      <c r="U1150">
        <v>1</v>
      </c>
      <c r="V1150">
        <f>VLOOKUP(T1150,'Data Angt'!$A$5:$F$5810,6,FALSE)</f>
        <v>38</v>
      </c>
      <c r="W1150" s="5" t="str">
        <f t="shared" si="17"/>
        <v>PENDIDIKAN</v>
      </c>
      <c r="X1150" s="5" t="str">
        <f>VLOOKUP(T1150,'Data Angt'!$A$5:$H$5810,8,FALSE)</f>
        <v>Wiraswasta</v>
      </c>
      <c r="Y1150" s="5" t="str">
        <f>VLOOKUP(T1150,'Data Angt'!$A$5:$C$5808,3,FALSE)</f>
        <v>JBR</v>
      </c>
    </row>
    <row r="1151" spans="1:25" x14ac:dyDescent="0.3">
      <c r="A1151" s="8">
        <v>1145</v>
      </c>
      <c r="B1151" s="9" t="s">
        <v>4630</v>
      </c>
      <c r="C1151" s="10" t="str">
        <f>VLOOKUP(B1151,'Data Angt'!$A$5:$B$5809,2,FALSE)</f>
        <v>A2021</v>
      </c>
      <c r="D1151" s="11" t="s">
        <v>9829</v>
      </c>
      <c r="E1151" s="12" t="s">
        <v>10440</v>
      </c>
      <c r="F1151" s="13">
        <v>45206</v>
      </c>
      <c r="G1151" s="14">
        <v>45930</v>
      </c>
      <c r="H1151" s="15">
        <v>12000000</v>
      </c>
      <c r="I1151" s="16">
        <v>36</v>
      </c>
      <c r="J1151" s="17">
        <v>24</v>
      </c>
      <c r="K1151" s="9" t="s">
        <v>9827</v>
      </c>
      <c r="L1151" s="10" t="s">
        <v>10441</v>
      </c>
      <c r="M1151" s="9" t="s">
        <v>9854</v>
      </c>
      <c r="N1151" s="10" t="s">
        <v>17</v>
      </c>
      <c r="O1151" s="15">
        <v>4331800</v>
      </c>
      <c r="P1151" s="145">
        <v>1492798</v>
      </c>
      <c r="Q1151" s="9" t="s">
        <v>23304</v>
      </c>
      <c r="R1151" s="146" t="s">
        <v>23363</v>
      </c>
      <c r="T1151" s="92" t="s">
        <v>9297</v>
      </c>
      <c r="U1151">
        <v>1</v>
      </c>
      <c r="V1151">
        <f>VLOOKUP(T1151,'Data Angt'!$A$5:$F$5810,6,FALSE)</f>
        <v>49</v>
      </c>
      <c r="W1151" s="5" t="str">
        <f t="shared" si="17"/>
        <v>PRODUKTIF</v>
      </c>
      <c r="X1151" s="5" t="str">
        <f>VLOOKUP(T1151,'Data Angt'!$A$5:$H$5810,8,FALSE)</f>
        <v>Wiraswasta</v>
      </c>
      <c r="Y1151" s="5" t="str">
        <f>VLOOKUP(T1151,'Data Angt'!$A$5:$C$5808,3,FALSE)</f>
        <v>JBR</v>
      </c>
    </row>
    <row r="1152" spans="1:25" x14ac:dyDescent="0.3">
      <c r="A1152" s="8">
        <v>1146</v>
      </c>
      <c r="B1152" s="9" t="s">
        <v>4750</v>
      </c>
      <c r="C1152" s="10" t="str">
        <f>VLOOKUP(B1152,'Data Angt'!$A$5:$B$5809,2,FALSE)</f>
        <v>A2076</v>
      </c>
      <c r="D1152" s="11" t="s">
        <v>9826</v>
      </c>
      <c r="E1152" s="12" t="s">
        <v>23364</v>
      </c>
      <c r="F1152" s="13">
        <v>45840</v>
      </c>
      <c r="G1152" s="14">
        <v>45902</v>
      </c>
      <c r="H1152" s="15">
        <v>5000000</v>
      </c>
      <c r="I1152" s="16">
        <v>12</v>
      </c>
      <c r="J1152" s="17">
        <v>24</v>
      </c>
      <c r="K1152" s="9" t="s">
        <v>9827</v>
      </c>
      <c r="L1152" s="10" t="s">
        <v>23365</v>
      </c>
      <c r="M1152" s="9" t="s">
        <v>23366</v>
      </c>
      <c r="N1152" s="10" t="s">
        <v>9834</v>
      </c>
      <c r="O1152" s="15">
        <v>4166600</v>
      </c>
      <c r="P1152" s="145">
        <v>71887</v>
      </c>
      <c r="Q1152" s="9"/>
      <c r="R1152" s="146"/>
      <c r="T1152" s="92" t="s">
        <v>9299</v>
      </c>
      <c r="U1152">
        <v>1</v>
      </c>
      <c r="V1152">
        <f>VLOOKUP(T1152,'Data Angt'!$A$5:$F$5810,6,FALSE)</f>
        <v>33</v>
      </c>
      <c r="W1152" s="5" t="str">
        <f t="shared" si="17"/>
        <v>PRODUKTIF</v>
      </c>
      <c r="X1152" s="5" t="str">
        <f>VLOOKUP(T1152,'Data Angt'!$A$5:$H$5810,8,FALSE)</f>
        <v>Wiraswasta</v>
      </c>
      <c r="Y1152" s="5" t="str">
        <f>VLOOKUP(T1152,'Data Angt'!$A$5:$C$5808,3,FALSE)</f>
        <v>JBR</v>
      </c>
    </row>
    <row r="1153" spans="1:25" x14ac:dyDescent="0.3">
      <c r="A1153" s="8">
        <v>1147</v>
      </c>
      <c r="B1153" s="9" t="s">
        <v>4750</v>
      </c>
      <c r="C1153" s="10" t="str">
        <f>VLOOKUP(B1153,'Data Angt'!$A$5:$B$5809,2,FALSE)</f>
        <v>A2076</v>
      </c>
      <c r="D1153" s="11" t="s">
        <v>9829</v>
      </c>
      <c r="E1153" s="12" t="s">
        <v>16921</v>
      </c>
      <c r="F1153" s="13">
        <v>45657</v>
      </c>
      <c r="G1153" s="14">
        <v>45930</v>
      </c>
      <c r="H1153" s="15">
        <v>20000000</v>
      </c>
      <c r="I1153" s="16">
        <v>12</v>
      </c>
      <c r="J1153" s="17">
        <v>24</v>
      </c>
      <c r="K1153" s="9" t="s">
        <v>9827</v>
      </c>
      <c r="L1153" s="10" t="s">
        <v>16922</v>
      </c>
      <c r="M1153" s="9" t="s">
        <v>9838</v>
      </c>
      <c r="N1153" s="10" t="s">
        <v>9830</v>
      </c>
      <c r="O1153" s="15">
        <v>4999700</v>
      </c>
      <c r="P1153" s="145">
        <v>900111</v>
      </c>
      <c r="Q1153" s="9" t="s">
        <v>23304</v>
      </c>
      <c r="R1153" s="146" t="s">
        <v>23367</v>
      </c>
      <c r="T1153" s="92" t="s">
        <v>9301</v>
      </c>
      <c r="U1153">
        <v>1</v>
      </c>
      <c r="V1153">
        <f>VLOOKUP(T1153,'Data Angt'!$A$5:$F$5810,6,FALSE)</f>
        <v>41</v>
      </c>
      <c r="W1153" s="5" t="str">
        <f t="shared" si="17"/>
        <v>PRODUKTIF</v>
      </c>
      <c r="X1153" s="5" t="str">
        <f>VLOOKUP(T1153,'Data Angt'!$A$5:$H$5810,8,FALSE)</f>
        <v>Mengurus Rumah Tangga</v>
      </c>
      <c r="Y1153" s="5" t="str">
        <f>VLOOKUP(T1153,'Data Angt'!$A$5:$C$5808,3,FALSE)</f>
        <v>JBR</v>
      </c>
    </row>
    <row r="1154" spans="1:25" x14ac:dyDescent="0.3">
      <c r="A1154" s="8">
        <v>1148</v>
      </c>
      <c r="B1154" s="9" t="s">
        <v>4780</v>
      </c>
      <c r="C1154" s="10" t="str">
        <f>VLOOKUP(B1154,'Data Angt'!$A$5:$B$5809,2,FALSE)</f>
        <v>A2091</v>
      </c>
      <c r="D1154" s="11" t="s">
        <v>9895</v>
      </c>
      <c r="E1154" s="12" t="s">
        <v>10443</v>
      </c>
      <c r="F1154" s="13">
        <v>44970</v>
      </c>
      <c r="G1154" s="14">
        <v>45913</v>
      </c>
      <c r="H1154" s="15">
        <v>26000000</v>
      </c>
      <c r="I1154" s="16">
        <v>36</v>
      </c>
      <c r="J1154" s="17">
        <v>21</v>
      </c>
      <c r="K1154" s="9" t="s">
        <v>9827</v>
      </c>
      <c r="L1154" s="10" t="s">
        <v>10444</v>
      </c>
      <c r="M1154" s="9" t="s">
        <v>10445</v>
      </c>
      <c r="N1154" s="10" t="s">
        <v>9828</v>
      </c>
      <c r="O1154" s="15">
        <v>3608700</v>
      </c>
      <c r="P1154" s="145">
        <v>3085719</v>
      </c>
      <c r="Q1154" s="9"/>
      <c r="R1154" s="146"/>
      <c r="T1154" s="92" t="s">
        <v>9349</v>
      </c>
      <c r="U1154">
        <v>1</v>
      </c>
      <c r="V1154">
        <f>VLOOKUP(T1154,'Data Angt'!$A$5:$F$5810,6,FALSE)</f>
        <v>27</v>
      </c>
      <c r="W1154" s="5" t="str">
        <f t="shared" si="17"/>
        <v>KONSUMTIF</v>
      </c>
      <c r="X1154" s="5" t="str">
        <f>VLOOKUP(T1154,'Data Angt'!$A$5:$H$5810,8,FALSE)</f>
        <v>Karyawan</v>
      </c>
      <c r="Y1154" s="5" t="str">
        <f>VLOOKUP(T1154,'Data Angt'!$A$5:$C$5808,3,FALSE)</f>
        <v>JBR</v>
      </c>
    </row>
    <row r="1155" spans="1:25" x14ac:dyDescent="0.3">
      <c r="A1155" s="8">
        <v>1149</v>
      </c>
      <c r="B1155" s="9" t="s">
        <v>4789</v>
      </c>
      <c r="C1155" s="10" t="str">
        <f>VLOOKUP(B1155,'Data Angt'!$A$5:$B$5809,2,FALSE)</f>
        <v>A2095</v>
      </c>
      <c r="D1155" s="11" t="s">
        <v>9833</v>
      </c>
      <c r="E1155" s="12" t="s">
        <v>10446</v>
      </c>
      <c r="F1155" s="13">
        <v>43713</v>
      </c>
      <c r="G1155" s="14">
        <v>43951</v>
      </c>
      <c r="H1155" s="15">
        <v>150000000</v>
      </c>
      <c r="I1155" s="16">
        <v>48</v>
      </c>
      <c r="J1155" s="17">
        <v>21</v>
      </c>
      <c r="K1155" s="9" t="s">
        <v>9831</v>
      </c>
      <c r="L1155" s="10" t="s">
        <v>10447</v>
      </c>
      <c r="M1155" s="9" t="s">
        <v>10448</v>
      </c>
      <c r="N1155" s="10" t="s">
        <v>9834</v>
      </c>
      <c r="O1155" s="15">
        <v>150000000</v>
      </c>
      <c r="P1155" s="147">
        <v>0</v>
      </c>
      <c r="Q1155" s="9"/>
      <c r="R1155" s="146"/>
      <c r="T1155" s="92" t="s">
        <v>9359</v>
      </c>
      <c r="U1155">
        <v>1</v>
      </c>
      <c r="V1155">
        <f>VLOOKUP(T1155,'Data Angt'!$A$5:$F$5810,6,FALSE)</f>
        <v>38</v>
      </c>
      <c r="W1155" s="5" t="str">
        <f t="shared" si="17"/>
        <v>PENDIDIKAN</v>
      </c>
      <c r="X1155" s="5" t="str">
        <f>VLOOKUP(T1155,'Data Angt'!$A$5:$H$5810,8,FALSE)</f>
        <v>Wiraswasta</v>
      </c>
      <c r="Y1155" s="5" t="str">
        <f>VLOOKUP(T1155,'Data Angt'!$A$5:$C$5808,3,FALSE)</f>
        <v>JBR</v>
      </c>
    </row>
    <row r="1156" spans="1:25" x14ac:dyDescent="0.3">
      <c r="A1156" s="8">
        <v>1150</v>
      </c>
      <c r="B1156" s="9" t="s">
        <v>4844</v>
      </c>
      <c r="C1156" s="10" t="str">
        <f>VLOOKUP(B1156,'Data Angt'!$A$5:$B$5809,2,FALSE)</f>
        <v>A2120</v>
      </c>
      <c r="D1156" s="11" t="s">
        <v>9829</v>
      </c>
      <c r="E1156" s="12" t="s">
        <v>10449</v>
      </c>
      <c r="F1156" s="13">
        <v>42296</v>
      </c>
      <c r="G1156" s="14">
        <v>45167</v>
      </c>
      <c r="H1156" s="15">
        <v>15000000</v>
      </c>
      <c r="I1156" s="16">
        <v>48</v>
      </c>
      <c r="J1156" s="17">
        <v>14.4</v>
      </c>
      <c r="K1156" s="9" t="s">
        <v>9867</v>
      </c>
      <c r="L1156" s="10"/>
      <c r="M1156" s="9"/>
      <c r="N1156" s="10"/>
      <c r="O1156" s="15">
        <v>9062500</v>
      </c>
      <c r="P1156" s="145">
        <v>4268600</v>
      </c>
      <c r="Q1156" s="9"/>
      <c r="R1156" s="146"/>
      <c r="T1156" s="92" t="s">
        <v>9367</v>
      </c>
      <c r="U1156">
        <v>1</v>
      </c>
      <c r="V1156">
        <f>VLOOKUP(T1156,'Data Angt'!$A$5:$F$5810,6,FALSE)</f>
        <v>39</v>
      </c>
      <c r="W1156" s="5" t="str">
        <f t="shared" si="17"/>
        <v>PRODUKTIF</v>
      </c>
      <c r="X1156" s="5" t="str">
        <f>VLOOKUP(T1156,'Data Angt'!$A$5:$H$5810,8,FALSE)</f>
        <v>Wiraswasta</v>
      </c>
      <c r="Y1156" s="5" t="str">
        <f>VLOOKUP(T1156,'Data Angt'!$A$5:$C$5808,3,FALSE)</f>
        <v>JBR</v>
      </c>
    </row>
    <row r="1157" spans="1:25" x14ac:dyDescent="0.3">
      <c r="A1157" s="8">
        <v>1151</v>
      </c>
      <c r="B1157" s="9" t="s">
        <v>4970</v>
      </c>
      <c r="C1157" s="10" t="str">
        <f>VLOOKUP(B1157,'Data Angt'!$A$5:$B$5809,2,FALSE)</f>
        <v>A2179</v>
      </c>
      <c r="D1157" s="11" t="s">
        <v>9829</v>
      </c>
      <c r="E1157" s="12" t="s">
        <v>10450</v>
      </c>
      <c r="F1157" s="13">
        <v>42174</v>
      </c>
      <c r="G1157" s="14">
        <v>45930</v>
      </c>
      <c r="H1157" s="15">
        <v>10000000</v>
      </c>
      <c r="I1157" s="16">
        <v>24</v>
      </c>
      <c r="J1157" s="17">
        <v>24</v>
      </c>
      <c r="K1157" s="9" t="s">
        <v>9827</v>
      </c>
      <c r="L1157" s="10"/>
      <c r="M1157" s="9"/>
      <c r="N1157" s="10"/>
      <c r="O1157" s="15">
        <v>2590800</v>
      </c>
      <c r="P1157" s="145">
        <v>2738310</v>
      </c>
      <c r="Q1157" s="9"/>
      <c r="R1157" s="146"/>
      <c r="T1157" s="92" t="s">
        <v>9401</v>
      </c>
      <c r="U1157">
        <v>1</v>
      </c>
      <c r="V1157">
        <f>VLOOKUP(T1157,'Data Angt'!$A$5:$F$5810,6,FALSE)</f>
        <v>33</v>
      </c>
      <c r="W1157" s="5" t="str">
        <f t="shared" si="17"/>
        <v>KONSUMTIF</v>
      </c>
      <c r="X1157" s="5" t="str">
        <f>VLOOKUP(T1157,'Data Angt'!$A$5:$H$5810,8,FALSE)</f>
        <v>Wiraswasta</v>
      </c>
      <c r="Y1157" s="5" t="str">
        <f>VLOOKUP(T1157,'Data Angt'!$A$5:$C$5808,3,FALSE)</f>
        <v>JBR</v>
      </c>
    </row>
    <row r="1158" spans="1:25" x14ac:dyDescent="0.3">
      <c r="A1158" s="8">
        <v>1152</v>
      </c>
      <c r="B1158" s="9" t="s">
        <v>4979</v>
      </c>
      <c r="C1158" s="10" t="str">
        <f>VLOOKUP(B1158,'Data Angt'!$A$5:$B$5809,2,FALSE)</f>
        <v>A2183</v>
      </c>
      <c r="D1158" s="11" t="s">
        <v>9829</v>
      </c>
      <c r="E1158" s="12" t="s">
        <v>10451</v>
      </c>
      <c r="F1158" s="13">
        <v>42191</v>
      </c>
      <c r="G1158" s="14">
        <v>44583</v>
      </c>
      <c r="H1158" s="15">
        <v>35000000</v>
      </c>
      <c r="I1158" s="16">
        <v>36</v>
      </c>
      <c r="J1158" s="17">
        <v>24</v>
      </c>
      <c r="K1158" s="9" t="s">
        <v>9827</v>
      </c>
      <c r="L1158" s="10"/>
      <c r="M1158" s="9"/>
      <c r="N1158" s="10"/>
      <c r="O1158" s="15">
        <v>14262200</v>
      </c>
      <c r="P1158" s="145">
        <v>7433858</v>
      </c>
      <c r="Q1158" s="9"/>
      <c r="R1158" s="146"/>
      <c r="T1158" s="92" t="s">
        <v>9426</v>
      </c>
      <c r="U1158">
        <v>1</v>
      </c>
      <c r="V1158">
        <f>VLOOKUP(T1158,'Data Angt'!$A$5:$F$5810,6,FALSE)</f>
        <v>36</v>
      </c>
      <c r="W1158" s="5" t="str">
        <f t="shared" si="17"/>
        <v>PRODUKTIF</v>
      </c>
      <c r="X1158" s="5" t="str">
        <f>VLOOKUP(T1158,'Data Angt'!$A$5:$H$5810,8,FALSE)</f>
        <v>Mengurus Rumah Tangga</v>
      </c>
      <c r="Y1158" s="5" t="str">
        <f>VLOOKUP(T1158,'Data Angt'!$A$5:$C$5808,3,FALSE)</f>
        <v>JBR</v>
      </c>
    </row>
    <row r="1159" spans="1:25" x14ac:dyDescent="0.3">
      <c r="A1159" s="8">
        <v>1153</v>
      </c>
      <c r="B1159" s="9" t="s">
        <v>5121</v>
      </c>
      <c r="C1159" s="10" t="str">
        <f>VLOOKUP(B1159,'Data Angt'!$A$5:$B$5809,2,FALSE)</f>
        <v>A2250</v>
      </c>
      <c r="D1159" s="11" t="s">
        <v>9833</v>
      </c>
      <c r="E1159" s="12" t="s">
        <v>10452</v>
      </c>
      <c r="F1159" s="13">
        <v>45279</v>
      </c>
      <c r="G1159" s="14">
        <v>45930</v>
      </c>
      <c r="H1159" s="15">
        <v>4000000</v>
      </c>
      <c r="I1159" s="16">
        <v>48</v>
      </c>
      <c r="J1159" s="17">
        <v>24</v>
      </c>
      <c r="K1159" s="9" t="s">
        <v>9827</v>
      </c>
      <c r="L1159" s="10" t="s">
        <v>10453</v>
      </c>
      <c r="M1159" s="9" t="s">
        <v>9862</v>
      </c>
      <c r="N1159" s="10" t="s">
        <v>9834</v>
      </c>
      <c r="O1159" s="15">
        <v>2248600</v>
      </c>
      <c r="P1159" s="145">
        <v>499009</v>
      </c>
      <c r="Q1159" s="9"/>
      <c r="R1159" s="146"/>
      <c r="T1159" s="92" t="s">
        <v>9527</v>
      </c>
      <c r="U1159">
        <v>1</v>
      </c>
      <c r="V1159">
        <f>VLOOKUP(T1159,'Data Angt'!$A$5:$F$5810,6,FALSE)</f>
        <v>29</v>
      </c>
      <c r="W1159" s="5" t="str">
        <f t="shared" ref="W1159:W1222" si="18">VLOOKUP(T1159,$B$7:$N$1869,13,FALSE)</f>
        <v>PRODUKTIF</v>
      </c>
      <c r="X1159" s="5" t="str">
        <f>VLOOKUP(T1159,'Data Angt'!$A$5:$H$5810,8,FALSE)</f>
        <v>Mengurus Rumah Tangga</v>
      </c>
      <c r="Y1159" s="5" t="str">
        <f>VLOOKUP(T1159,'Data Angt'!$A$5:$C$5808,3,FALSE)</f>
        <v>JBR</v>
      </c>
    </row>
    <row r="1160" spans="1:25" x14ac:dyDescent="0.3">
      <c r="A1160" s="8">
        <v>1154</v>
      </c>
      <c r="B1160" s="9" t="s">
        <v>5273</v>
      </c>
      <c r="C1160" s="10" t="str">
        <f>VLOOKUP(B1160,'Data Angt'!$A$5:$B$5809,2,FALSE)</f>
        <v>A2322</v>
      </c>
      <c r="D1160" s="11" t="s">
        <v>9826</v>
      </c>
      <c r="E1160" s="12" t="s">
        <v>16923</v>
      </c>
      <c r="F1160" s="13">
        <v>45696</v>
      </c>
      <c r="G1160" s="14">
        <v>45910</v>
      </c>
      <c r="H1160" s="15">
        <v>5000000</v>
      </c>
      <c r="I1160" s="16">
        <v>18</v>
      </c>
      <c r="J1160" s="17">
        <v>11.88</v>
      </c>
      <c r="K1160" s="9" t="s">
        <v>9831</v>
      </c>
      <c r="L1160" s="10" t="s">
        <v>16924</v>
      </c>
      <c r="M1160" s="9" t="s">
        <v>9862</v>
      </c>
      <c r="N1160" s="10" t="s">
        <v>9834</v>
      </c>
      <c r="O1160" s="15">
        <v>3160000</v>
      </c>
      <c r="P1160" s="145">
        <v>109835</v>
      </c>
      <c r="Q1160" s="9"/>
      <c r="R1160" s="146"/>
      <c r="T1160" s="92" t="s">
        <v>9539</v>
      </c>
      <c r="U1160">
        <v>1</v>
      </c>
      <c r="V1160">
        <f>VLOOKUP(T1160,'Data Angt'!$A$5:$F$5810,6,FALSE)</f>
        <v>47</v>
      </c>
      <c r="W1160" s="5" t="str">
        <f t="shared" si="18"/>
        <v>KESEJAHTERAAN</v>
      </c>
      <c r="X1160" s="5" t="str">
        <f>VLOOKUP(T1160,'Data Angt'!$A$5:$H$5810,8,FALSE)</f>
        <v>Lain-Lain</v>
      </c>
      <c r="Y1160" s="5" t="str">
        <f>VLOOKUP(T1160,'Data Angt'!$A$5:$C$5808,3,FALSE)</f>
        <v>JBR</v>
      </c>
    </row>
    <row r="1161" spans="1:25" x14ac:dyDescent="0.3">
      <c r="A1161" s="8">
        <v>1155</v>
      </c>
      <c r="B1161" s="9" t="s">
        <v>5392</v>
      </c>
      <c r="C1161" s="10" t="str">
        <f>VLOOKUP(B1161,'Data Angt'!$A$5:$B$5809,2,FALSE)</f>
        <v>A2378</v>
      </c>
      <c r="D1161" s="11" t="s">
        <v>9829</v>
      </c>
      <c r="E1161" s="12" t="s">
        <v>10454</v>
      </c>
      <c r="F1161" s="13">
        <v>43049</v>
      </c>
      <c r="G1161" s="14">
        <v>44877</v>
      </c>
      <c r="H1161" s="15">
        <v>30000000</v>
      </c>
      <c r="I1161" s="16">
        <v>36</v>
      </c>
      <c r="J1161" s="17">
        <v>21</v>
      </c>
      <c r="K1161" s="9" t="s">
        <v>9831</v>
      </c>
      <c r="L1161" s="10"/>
      <c r="M1161" s="9"/>
      <c r="N1161" s="10"/>
      <c r="O1161" s="15">
        <v>27514700</v>
      </c>
      <c r="P1161" s="145">
        <v>2535461</v>
      </c>
      <c r="Q1161" s="9"/>
      <c r="R1161" s="146"/>
      <c r="T1161" s="92" t="s">
        <v>9542</v>
      </c>
      <c r="U1161">
        <v>1</v>
      </c>
      <c r="V1161">
        <f>VLOOKUP(T1161,'Data Angt'!$A$5:$F$5810,6,FALSE)</f>
        <v>33</v>
      </c>
      <c r="W1161" s="5" t="str">
        <f t="shared" si="18"/>
        <v>KESEJAHTERAAN</v>
      </c>
      <c r="X1161" s="5" t="str">
        <f>VLOOKUP(T1161,'Data Angt'!$A$5:$H$5810,8,FALSE)</f>
        <v>Karyawan</v>
      </c>
      <c r="Y1161" s="5" t="str">
        <f>VLOOKUP(T1161,'Data Angt'!$A$5:$C$5808,3,FALSE)</f>
        <v>JBR</v>
      </c>
    </row>
    <row r="1162" spans="1:25" x14ac:dyDescent="0.3">
      <c r="A1162" s="8">
        <v>1156</v>
      </c>
      <c r="B1162" s="9" t="s">
        <v>5420</v>
      </c>
      <c r="C1162" s="10" t="str">
        <f>VLOOKUP(B1162,'Data Angt'!$A$5:$B$5809,2,FALSE)</f>
        <v>A2392</v>
      </c>
      <c r="D1162" s="11" t="s">
        <v>9829</v>
      </c>
      <c r="E1162" s="12" t="s">
        <v>16925</v>
      </c>
      <c r="F1162" s="13">
        <v>45772</v>
      </c>
      <c r="G1162" s="14">
        <v>45930</v>
      </c>
      <c r="H1162" s="15">
        <v>765000000</v>
      </c>
      <c r="I1162" s="16">
        <v>36</v>
      </c>
      <c r="J1162" s="17">
        <v>10.56</v>
      </c>
      <c r="K1162" s="9" t="s">
        <v>9831</v>
      </c>
      <c r="L1162" s="10" t="s">
        <v>16926</v>
      </c>
      <c r="M1162" s="9" t="s">
        <v>10721</v>
      </c>
      <c r="N1162" s="10" t="s">
        <v>9830</v>
      </c>
      <c r="O1162" s="15">
        <v>672618000</v>
      </c>
      <c r="P1162" s="145">
        <v>12018186</v>
      </c>
      <c r="Q1162" s="9"/>
      <c r="R1162" s="146"/>
      <c r="T1162" s="92" t="s">
        <v>9545</v>
      </c>
      <c r="U1162">
        <v>1</v>
      </c>
      <c r="V1162">
        <f>VLOOKUP(T1162,'Data Angt'!$A$5:$F$5810,6,FALSE)</f>
        <v>53</v>
      </c>
      <c r="W1162" s="5" t="str">
        <f t="shared" si="18"/>
        <v>PRODUKTIF</v>
      </c>
      <c r="X1162" s="5" t="str">
        <f>VLOOKUP(T1162,'Data Angt'!$A$5:$H$5810,8,FALSE)</f>
        <v>Wiraswasta</v>
      </c>
      <c r="Y1162" s="5" t="str">
        <f>VLOOKUP(T1162,'Data Angt'!$A$5:$C$5808,3,FALSE)</f>
        <v>JBR</v>
      </c>
    </row>
    <row r="1163" spans="1:25" x14ac:dyDescent="0.3">
      <c r="A1163" s="8">
        <v>1157</v>
      </c>
      <c r="B1163" s="9" t="s">
        <v>5476</v>
      </c>
      <c r="C1163" s="10" t="str">
        <f>VLOOKUP(B1163,'Data Angt'!$A$5:$B$5809,2,FALSE)</f>
        <v>A2417</v>
      </c>
      <c r="D1163" s="11" t="s">
        <v>9833</v>
      </c>
      <c r="E1163" s="12" t="s">
        <v>16927</v>
      </c>
      <c r="F1163" s="13">
        <v>45743</v>
      </c>
      <c r="G1163" s="14">
        <v>45925</v>
      </c>
      <c r="H1163" s="15">
        <v>1500000</v>
      </c>
      <c r="I1163" s="16">
        <v>12</v>
      </c>
      <c r="J1163" s="17">
        <v>24</v>
      </c>
      <c r="K1163" s="9" t="s">
        <v>9827</v>
      </c>
      <c r="L1163" s="10" t="s">
        <v>16928</v>
      </c>
      <c r="M1163" s="9" t="s">
        <v>9862</v>
      </c>
      <c r="N1163" s="10" t="s">
        <v>9834</v>
      </c>
      <c r="O1163" s="15">
        <v>750000</v>
      </c>
      <c r="P1163" s="145">
        <v>53436</v>
      </c>
      <c r="Q1163" s="9"/>
      <c r="R1163" s="146"/>
      <c r="T1163" s="92" t="s">
        <v>9546</v>
      </c>
      <c r="U1163">
        <v>1</v>
      </c>
      <c r="V1163">
        <f>VLOOKUP(T1163,'Data Angt'!$A$5:$F$5810,6,FALSE)</f>
        <v>33</v>
      </c>
      <c r="W1163" s="5" t="str">
        <f t="shared" si="18"/>
        <v>PENDIDIKAN</v>
      </c>
      <c r="X1163" s="5" t="str">
        <f>VLOOKUP(T1163,'Data Angt'!$A$5:$H$5810,8,FALSE)</f>
        <v>Wiraswasta</v>
      </c>
      <c r="Y1163" s="5" t="str">
        <f>VLOOKUP(T1163,'Data Angt'!$A$5:$C$5808,3,FALSE)</f>
        <v>JBR</v>
      </c>
    </row>
    <row r="1164" spans="1:25" x14ac:dyDescent="0.3">
      <c r="A1164" s="8">
        <v>1158</v>
      </c>
      <c r="B1164" s="9" t="s">
        <v>5491</v>
      </c>
      <c r="C1164" s="10" t="str">
        <f>VLOOKUP(B1164,'Data Angt'!$A$5:$B$5809,2,FALSE)</f>
        <v>A2424</v>
      </c>
      <c r="D1164" s="11" t="s">
        <v>9833</v>
      </c>
      <c r="E1164" s="12" t="s">
        <v>10455</v>
      </c>
      <c r="F1164" s="13">
        <v>45119</v>
      </c>
      <c r="G1164" s="14">
        <v>45364</v>
      </c>
      <c r="H1164" s="15">
        <v>5000000</v>
      </c>
      <c r="I1164" s="16">
        <v>18</v>
      </c>
      <c r="J1164" s="17">
        <v>24</v>
      </c>
      <c r="K1164" s="9" t="s">
        <v>9827</v>
      </c>
      <c r="L1164" s="10" t="s">
        <v>10456</v>
      </c>
      <c r="M1164" s="9" t="s">
        <v>10457</v>
      </c>
      <c r="N1164" s="10" t="s">
        <v>9834</v>
      </c>
      <c r="O1164" s="15">
        <v>4444400</v>
      </c>
      <c r="P1164" s="145">
        <v>272959</v>
      </c>
      <c r="Q1164" s="9"/>
      <c r="R1164" s="146"/>
      <c r="T1164" s="92" t="s">
        <v>9560</v>
      </c>
      <c r="U1164">
        <v>1</v>
      </c>
      <c r="V1164">
        <f>VLOOKUP(T1164,'Data Angt'!$A$5:$F$5810,6,FALSE)</f>
        <v>72</v>
      </c>
      <c r="W1164" s="5" t="str">
        <f t="shared" si="18"/>
        <v>KONSUMTIF</v>
      </c>
      <c r="X1164" s="5" t="str">
        <f>VLOOKUP(T1164,'Data Angt'!$A$5:$H$5810,8,FALSE)</f>
        <v>Wiraswasta</v>
      </c>
      <c r="Y1164" s="5" t="str">
        <f>VLOOKUP(T1164,'Data Angt'!$A$5:$C$5808,3,FALSE)</f>
        <v>JBR</v>
      </c>
    </row>
    <row r="1165" spans="1:25" x14ac:dyDescent="0.3">
      <c r="A1165" s="8">
        <v>1159</v>
      </c>
      <c r="B1165" s="9" t="s">
        <v>5537</v>
      </c>
      <c r="C1165" s="10" t="str">
        <f>VLOOKUP(B1165,'Data Angt'!$A$5:$B$5809,2,FALSE)</f>
        <v>A2445</v>
      </c>
      <c r="D1165" s="11" t="s">
        <v>9833</v>
      </c>
      <c r="E1165" s="12" t="s">
        <v>23368</v>
      </c>
      <c r="F1165" s="13">
        <v>45883</v>
      </c>
      <c r="G1165" s="14">
        <v>45915</v>
      </c>
      <c r="H1165" s="15">
        <v>5000000</v>
      </c>
      <c r="I1165" s="16">
        <v>36</v>
      </c>
      <c r="J1165" s="17">
        <v>24</v>
      </c>
      <c r="K1165" s="9" t="s">
        <v>9827</v>
      </c>
      <c r="L1165" s="10" t="s">
        <v>23369</v>
      </c>
      <c r="M1165" s="9" t="s">
        <v>9862</v>
      </c>
      <c r="N1165" s="10" t="s">
        <v>9834</v>
      </c>
      <c r="O1165" s="15">
        <v>4861100</v>
      </c>
      <c r="P1165" s="145">
        <v>37500</v>
      </c>
      <c r="Q1165" s="9"/>
      <c r="R1165" s="146"/>
      <c r="T1165" s="92" t="s">
        <v>9562</v>
      </c>
      <c r="U1165">
        <v>1</v>
      </c>
      <c r="V1165">
        <f>VLOOKUP(T1165,'Data Angt'!$A$5:$F$5810,6,FALSE)</f>
        <v>47</v>
      </c>
      <c r="W1165" s="5" t="str">
        <f t="shared" si="18"/>
        <v>PENDIDIKAN</v>
      </c>
      <c r="X1165" s="5" t="str">
        <f>VLOOKUP(T1165,'Data Angt'!$A$5:$H$5810,8,FALSE)</f>
        <v>Karyawan</v>
      </c>
      <c r="Y1165" s="5" t="str">
        <f>VLOOKUP(T1165,'Data Angt'!$A$5:$C$5808,3,FALSE)</f>
        <v>JBR</v>
      </c>
    </row>
    <row r="1166" spans="1:25" x14ac:dyDescent="0.3">
      <c r="A1166" s="8">
        <v>1160</v>
      </c>
      <c r="B1166" s="9" t="s">
        <v>5614</v>
      </c>
      <c r="C1166" s="10" t="str">
        <f>VLOOKUP(B1166,'Data Angt'!$A$5:$B$5809,2,FALSE)</f>
        <v>A2480</v>
      </c>
      <c r="D1166" s="11" t="s">
        <v>9833</v>
      </c>
      <c r="E1166" s="12" t="s">
        <v>16929</v>
      </c>
      <c r="F1166" s="13">
        <v>45593</v>
      </c>
      <c r="G1166" s="14">
        <v>45922</v>
      </c>
      <c r="H1166" s="15">
        <v>35000000</v>
      </c>
      <c r="I1166" s="16">
        <v>36</v>
      </c>
      <c r="J1166" s="17">
        <v>21</v>
      </c>
      <c r="K1166" s="9" t="s">
        <v>9827</v>
      </c>
      <c r="L1166" s="10" t="s">
        <v>16930</v>
      </c>
      <c r="M1166" s="9" t="s">
        <v>16931</v>
      </c>
      <c r="N1166" s="10" t="s">
        <v>9834</v>
      </c>
      <c r="O1166" s="15">
        <v>24304700</v>
      </c>
      <c r="P1166" s="145">
        <v>2175784</v>
      </c>
      <c r="Q1166" s="9" t="s">
        <v>23293</v>
      </c>
      <c r="R1166" s="146" t="s">
        <v>23370</v>
      </c>
      <c r="T1166" s="92" t="s">
        <v>12676</v>
      </c>
      <c r="U1166">
        <v>1</v>
      </c>
      <c r="V1166">
        <f>VLOOKUP(T1166,'Data Angt'!$A$5:$F$5810,6,FALSE)</f>
        <v>48</v>
      </c>
      <c r="W1166" s="5" t="str">
        <f t="shared" si="18"/>
        <v>KESEJAHTERAAN</v>
      </c>
      <c r="X1166" s="5" t="str">
        <f>VLOOKUP(T1166,'Data Angt'!$A$5:$H$5810,8,FALSE)</f>
        <v>Karyawan</v>
      </c>
      <c r="Y1166" s="5" t="str">
        <f>VLOOKUP(T1166,'Data Angt'!$A$5:$C$5808,3,FALSE)</f>
        <v>JBR</v>
      </c>
    </row>
    <row r="1167" spans="1:25" x14ac:dyDescent="0.3">
      <c r="A1167" s="8">
        <v>1161</v>
      </c>
      <c r="B1167" s="9" t="s">
        <v>5623</v>
      </c>
      <c r="C1167" s="10" t="str">
        <f>VLOOKUP(B1167,'Data Angt'!$A$5:$B$5809,2,FALSE)</f>
        <v>A2484</v>
      </c>
      <c r="D1167" s="11" t="s">
        <v>9829</v>
      </c>
      <c r="E1167" s="12" t="s">
        <v>16932</v>
      </c>
      <c r="F1167" s="13">
        <v>45708</v>
      </c>
      <c r="G1167" s="14">
        <v>45920</v>
      </c>
      <c r="H1167" s="15">
        <v>4000000</v>
      </c>
      <c r="I1167" s="16">
        <v>12</v>
      </c>
      <c r="J1167" s="17">
        <v>24</v>
      </c>
      <c r="K1167" s="9" t="s">
        <v>9827</v>
      </c>
      <c r="L1167" s="10" t="s">
        <v>16933</v>
      </c>
      <c r="M1167" s="9" t="s">
        <v>9854</v>
      </c>
      <c r="N1167" s="10" t="s">
        <v>17</v>
      </c>
      <c r="O1167" s="15">
        <v>1666200</v>
      </c>
      <c r="P1167" s="145">
        <v>157574</v>
      </c>
      <c r="Q1167" s="9"/>
      <c r="R1167" s="146"/>
      <c r="T1167" s="92" t="s">
        <v>12680</v>
      </c>
      <c r="U1167">
        <v>1</v>
      </c>
      <c r="V1167">
        <f>VLOOKUP(T1167,'Data Angt'!$A$5:$F$5810,6,FALSE)</f>
        <v>62</v>
      </c>
      <c r="W1167" s="5" t="str">
        <f t="shared" si="18"/>
        <v>PRODUKTIF</v>
      </c>
      <c r="X1167" s="5" t="str">
        <f>VLOOKUP(T1167,'Data Angt'!$A$5:$H$5810,8,FALSE)</f>
        <v>Wiraswasta</v>
      </c>
      <c r="Y1167" s="5" t="str">
        <f>VLOOKUP(T1167,'Data Angt'!$A$5:$C$5808,3,FALSE)</f>
        <v>JBR</v>
      </c>
    </row>
    <row r="1168" spans="1:25" x14ac:dyDescent="0.3">
      <c r="A1168" s="8">
        <v>1162</v>
      </c>
      <c r="B1168" s="9" t="s">
        <v>5633</v>
      </c>
      <c r="C1168" s="10" t="str">
        <f>VLOOKUP(B1168,'Data Angt'!$A$5:$B$5809,2,FALSE)</f>
        <v>A2487</v>
      </c>
      <c r="D1168" s="11" t="s">
        <v>9826</v>
      </c>
      <c r="E1168" s="12" t="s">
        <v>16934</v>
      </c>
      <c r="F1168" s="13">
        <v>45608</v>
      </c>
      <c r="G1168" s="14">
        <v>45912</v>
      </c>
      <c r="H1168" s="15">
        <v>1500000</v>
      </c>
      <c r="I1168" s="16">
        <v>12</v>
      </c>
      <c r="J1168" s="17">
        <v>11.88</v>
      </c>
      <c r="K1168" s="9" t="s">
        <v>9831</v>
      </c>
      <c r="L1168" s="10" t="s">
        <v>16935</v>
      </c>
      <c r="M1168" s="9" t="s">
        <v>16936</v>
      </c>
      <c r="N1168" s="10" t="s">
        <v>9830</v>
      </c>
      <c r="O1168" s="15">
        <v>262800</v>
      </c>
      <c r="P1168" s="145">
        <v>35546</v>
      </c>
      <c r="Q1168" s="9"/>
      <c r="R1168" s="146"/>
      <c r="T1168" s="92" t="s">
        <v>12726</v>
      </c>
      <c r="U1168">
        <v>1</v>
      </c>
      <c r="V1168">
        <f>VLOOKUP(T1168,'Data Angt'!$A$5:$F$5810,6,FALSE)</f>
        <v>24</v>
      </c>
      <c r="W1168" s="5" t="str">
        <f t="shared" si="18"/>
        <v>KESEJAHTERAAN</v>
      </c>
      <c r="X1168" s="5" t="str">
        <f>VLOOKUP(T1168,'Data Angt'!$A$5:$H$5810,8,FALSE)</f>
        <v>Karyawan</v>
      </c>
      <c r="Y1168" s="5" t="str">
        <f>VLOOKUP(T1168,'Data Angt'!$A$5:$C$5808,3,FALSE)</f>
        <v>JBR</v>
      </c>
    </row>
    <row r="1169" spans="1:25" x14ac:dyDescent="0.3">
      <c r="A1169" s="8">
        <v>1163</v>
      </c>
      <c r="B1169" s="9" t="s">
        <v>5728</v>
      </c>
      <c r="C1169" s="10" t="str">
        <f>VLOOKUP(B1169,'Data Angt'!$A$5:$B$5809,2,FALSE)</f>
        <v>A2527</v>
      </c>
      <c r="D1169" s="11" t="s">
        <v>9829</v>
      </c>
      <c r="E1169" s="12" t="s">
        <v>16937</v>
      </c>
      <c r="F1169" s="13">
        <v>45682</v>
      </c>
      <c r="G1169" s="14">
        <v>45902</v>
      </c>
      <c r="H1169" s="15">
        <v>25000000</v>
      </c>
      <c r="I1169" s="16">
        <v>24</v>
      </c>
      <c r="J1169" s="17">
        <v>21</v>
      </c>
      <c r="K1169" s="9" t="s">
        <v>9827</v>
      </c>
      <c r="L1169" s="10" t="s">
        <v>16938</v>
      </c>
      <c r="M1169" s="9" t="s">
        <v>9854</v>
      </c>
      <c r="N1169" s="10" t="s">
        <v>17</v>
      </c>
      <c r="O1169" s="15">
        <v>16666400</v>
      </c>
      <c r="P1169" s="145">
        <v>1121210</v>
      </c>
      <c r="Q1169" s="9"/>
      <c r="R1169" s="146"/>
      <c r="T1169" s="92" t="s">
        <v>12761</v>
      </c>
      <c r="U1169">
        <v>1</v>
      </c>
      <c r="V1169">
        <f>VLOOKUP(T1169,'Data Angt'!$A$5:$F$5810,6,FALSE)</f>
        <v>26</v>
      </c>
      <c r="W1169" s="5" t="str">
        <f t="shared" si="18"/>
        <v>KONSUMTIF</v>
      </c>
      <c r="X1169" s="5" t="str">
        <f>VLOOKUP(T1169,'Data Angt'!$A$5:$H$5810,8,FALSE)</f>
        <v>Karyawan</v>
      </c>
      <c r="Y1169" s="5" t="str">
        <f>VLOOKUP(T1169,'Data Angt'!$A$5:$C$5808,3,FALSE)</f>
        <v>JBR</v>
      </c>
    </row>
    <row r="1170" spans="1:25" x14ac:dyDescent="0.3">
      <c r="A1170" s="8">
        <v>1164</v>
      </c>
      <c r="B1170" s="9" t="s">
        <v>5774</v>
      </c>
      <c r="C1170" s="10" t="str">
        <f>VLOOKUP(B1170,'Data Angt'!$A$5:$B$5809,2,FALSE)</f>
        <v>A2546</v>
      </c>
      <c r="D1170" s="11" t="s">
        <v>9833</v>
      </c>
      <c r="E1170" s="12" t="s">
        <v>10458</v>
      </c>
      <c r="F1170" s="13">
        <v>44977</v>
      </c>
      <c r="G1170" s="14">
        <v>45930</v>
      </c>
      <c r="H1170" s="15">
        <v>15000000</v>
      </c>
      <c r="I1170" s="16">
        <v>24</v>
      </c>
      <c r="J1170" s="17">
        <v>24</v>
      </c>
      <c r="K1170" s="9" t="s">
        <v>9827</v>
      </c>
      <c r="L1170" s="10" t="s">
        <v>10459</v>
      </c>
      <c r="M1170" s="9" t="s">
        <v>10460</v>
      </c>
      <c r="N1170" s="10" t="s">
        <v>9834</v>
      </c>
      <c r="O1170" s="15">
        <v>11250000</v>
      </c>
      <c r="P1170" s="145">
        <v>1176560</v>
      </c>
      <c r="Q1170" s="9"/>
      <c r="R1170" s="146"/>
      <c r="T1170" s="92" t="s">
        <v>12806</v>
      </c>
      <c r="U1170">
        <v>1</v>
      </c>
      <c r="V1170">
        <f>VLOOKUP(T1170,'Data Angt'!$A$5:$F$5810,6,FALSE)</f>
        <v>34</v>
      </c>
      <c r="W1170" s="5" t="str">
        <f t="shared" si="18"/>
        <v>PENDIDIKAN</v>
      </c>
      <c r="X1170" s="5" t="str">
        <f>VLOOKUP(T1170,'Data Angt'!$A$5:$H$5810,8,FALSE)</f>
        <v>Wiraswasta</v>
      </c>
      <c r="Y1170" s="5" t="str">
        <f>VLOOKUP(T1170,'Data Angt'!$A$5:$C$5808,3,FALSE)</f>
        <v>JBR</v>
      </c>
    </row>
    <row r="1171" spans="1:25" x14ac:dyDescent="0.3">
      <c r="A1171" s="8">
        <v>1165</v>
      </c>
      <c r="B1171" s="9" t="s">
        <v>5916</v>
      </c>
      <c r="C1171" s="10" t="str">
        <f>VLOOKUP(B1171,'Data Angt'!$A$5:$B$5809,2,FALSE)</f>
        <v>A2612</v>
      </c>
      <c r="D1171" s="11" t="s">
        <v>9833</v>
      </c>
      <c r="E1171" s="12" t="s">
        <v>16939</v>
      </c>
      <c r="F1171" s="13">
        <v>45822</v>
      </c>
      <c r="G1171" s="14">
        <v>45917</v>
      </c>
      <c r="H1171" s="15">
        <v>7000000</v>
      </c>
      <c r="I1171" s="16">
        <v>12</v>
      </c>
      <c r="J1171" s="17">
        <v>24</v>
      </c>
      <c r="K1171" s="9" t="s">
        <v>9827</v>
      </c>
      <c r="L1171" s="10" t="s">
        <v>16940</v>
      </c>
      <c r="M1171" s="9" t="s">
        <v>9862</v>
      </c>
      <c r="N1171" s="10" t="s">
        <v>9834</v>
      </c>
      <c r="O1171" s="15">
        <v>5249800</v>
      </c>
      <c r="P1171" s="145">
        <v>144412</v>
      </c>
      <c r="Q1171" s="9"/>
      <c r="R1171" s="146"/>
      <c r="T1171" s="92" t="s">
        <v>12843</v>
      </c>
      <c r="U1171">
        <v>1</v>
      </c>
      <c r="V1171">
        <f>VLOOKUP(T1171,'Data Angt'!$A$5:$F$5810,6,FALSE)</f>
        <v>56</v>
      </c>
      <c r="W1171" s="5" t="str">
        <f t="shared" si="18"/>
        <v>PRODUKTIF</v>
      </c>
      <c r="X1171" s="5" t="str">
        <f>VLOOKUP(T1171,'Data Angt'!$A$5:$H$5810,8,FALSE)</f>
        <v>Karyawan</v>
      </c>
      <c r="Y1171" s="5" t="str">
        <f>VLOOKUP(T1171,'Data Angt'!$A$5:$C$5808,3,FALSE)</f>
        <v>JBR</v>
      </c>
    </row>
    <row r="1172" spans="1:25" x14ac:dyDescent="0.3">
      <c r="A1172" s="8">
        <v>1166</v>
      </c>
      <c r="B1172" s="9" t="s">
        <v>5928</v>
      </c>
      <c r="C1172" s="10" t="str">
        <f>VLOOKUP(B1172,'Data Angt'!$A$5:$B$5809,2,FALSE)</f>
        <v>A2617</v>
      </c>
      <c r="D1172" s="11" t="s">
        <v>9895</v>
      </c>
      <c r="E1172" s="12" t="s">
        <v>16941</v>
      </c>
      <c r="F1172" s="13">
        <v>45507</v>
      </c>
      <c r="G1172" s="14">
        <v>45904</v>
      </c>
      <c r="H1172" s="15">
        <v>20000000</v>
      </c>
      <c r="I1172" s="16">
        <v>24</v>
      </c>
      <c r="J1172" s="17">
        <v>24</v>
      </c>
      <c r="K1172" s="9" t="s">
        <v>9827</v>
      </c>
      <c r="L1172" s="10" t="s">
        <v>16942</v>
      </c>
      <c r="M1172" s="9" t="s">
        <v>16943</v>
      </c>
      <c r="N1172" s="10" t="s">
        <v>9828</v>
      </c>
      <c r="O1172" s="15">
        <v>9165800</v>
      </c>
      <c r="P1172" s="145">
        <v>1462648</v>
      </c>
      <c r="Q1172" s="9" t="s">
        <v>23304</v>
      </c>
      <c r="R1172" s="146" t="s">
        <v>23371</v>
      </c>
      <c r="T1172" s="92" t="s">
        <v>12867</v>
      </c>
      <c r="U1172">
        <v>1</v>
      </c>
      <c r="V1172">
        <f>VLOOKUP(T1172,'Data Angt'!$A$5:$F$5810,6,FALSE)</f>
        <v>51</v>
      </c>
      <c r="W1172" s="5" t="str">
        <f t="shared" si="18"/>
        <v>PENDIDIKAN</v>
      </c>
      <c r="X1172" s="5" t="str">
        <f>VLOOKUP(T1172,'Data Angt'!$A$5:$H$5810,8,FALSE)</f>
        <v>Karyawan</v>
      </c>
      <c r="Y1172" s="5" t="str">
        <f>VLOOKUP(T1172,'Data Angt'!$A$5:$C$5808,3,FALSE)</f>
        <v>JBR</v>
      </c>
    </row>
    <row r="1173" spans="1:25" x14ac:dyDescent="0.3">
      <c r="A1173" s="8">
        <v>1167</v>
      </c>
      <c r="B1173" s="9" t="s">
        <v>5973</v>
      </c>
      <c r="C1173" s="10" t="str">
        <f>VLOOKUP(B1173,'Data Angt'!$A$5:$B$5809,2,FALSE)</f>
        <v>A2638</v>
      </c>
      <c r="D1173" s="11" t="s">
        <v>9829</v>
      </c>
      <c r="E1173" s="12" t="s">
        <v>16944</v>
      </c>
      <c r="F1173" s="13">
        <v>45663</v>
      </c>
      <c r="G1173" s="14">
        <v>45910</v>
      </c>
      <c r="H1173" s="15">
        <v>10000000</v>
      </c>
      <c r="I1173" s="16">
        <v>12</v>
      </c>
      <c r="J1173" s="17">
        <v>24</v>
      </c>
      <c r="K1173" s="9" t="s">
        <v>9827</v>
      </c>
      <c r="L1173" s="10" t="s">
        <v>16945</v>
      </c>
      <c r="M1173" s="9" t="s">
        <v>10008</v>
      </c>
      <c r="N1173" s="10" t="s">
        <v>17</v>
      </c>
      <c r="O1173" s="15">
        <v>3332800</v>
      </c>
      <c r="P1173" s="145">
        <v>425099</v>
      </c>
      <c r="Q1173" s="9"/>
      <c r="R1173" s="146"/>
      <c r="T1173" s="92" t="s">
        <v>12873</v>
      </c>
      <c r="U1173">
        <v>1</v>
      </c>
      <c r="V1173">
        <f>VLOOKUP(T1173,'Data Angt'!$A$5:$F$5810,6,FALSE)</f>
        <v>48</v>
      </c>
      <c r="W1173" s="5" t="str">
        <f t="shared" si="18"/>
        <v>KONSUMTIF</v>
      </c>
      <c r="X1173" s="5" t="str">
        <f>VLOOKUP(T1173,'Data Angt'!$A$5:$H$5810,8,FALSE)</f>
        <v>Tenaga Medis</v>
      </c>
      <c r="Y1173" s="5" t="str">
        <f>VLOOKUP(T1173,'Data Angt'!$A$5:$C$5808,3,FALSE)</f>
        <v>JBR</v>
      </c>
    </row>
    <row r="1174" spans="1:25" x14ac:dyDescent="0.3">
      <c r="A1174" s="8">
        <v>1168</v>
      </c>
      <c r="B1174" s="9" t="s">
        <v>6093</v>
      </c>
      <c r="C1174" s="10" t="str">
        <f>VLOOKUP(B1174,'Data Angt'!$A$5:$B$5809,2,FALSE)</f>
        <v>A2697</v>
      </c>
      <c r="D1174" s="11" t="s">
        <v>9833</v>
      </c>
      <c r="E1174" s="12" t="s">
        <v>16946</v>
      </c>
      <c r="F1174" s="13">
        <v>45723</v>
      </c>
      <c r="G1174" s="14">
        <v>45909</v>
      </c>
      <c r="H1174" s="15">
        <v>25000000</v>
      </c>
      <c r="I1174" s="16">
        <v>18</v>
      </c>
      <c r="J1174" s="17">
        <v>21</v>
      </c>
      <c r="K1174" s="9" t="s">
        <v>9827</v>
      </c>
      <c r="L1174" s="10" t="s">
        <v>16947</v>
      </c>
      <c r="M1174" s="9" t="s">
        <v>9862</v>
      </c>
      <c r="N1174" s="10" t="s">
        <v>9834</v>
      </c>
      <c r="O1174" s="15">
        <v>16666600</v>
      </c>
      <c r="P1174" s="145">
        <v>847686</v>
      </c>
      <c r="Q1174" s="9" t="s">
        <v>22431</v>
      </c>
      <c r="R1174" s="146" t="s">
        <v>23372</v>
      </c>
      <c r="T1174" s="92" t="s">
        <v>12879</v>
      </c>
      <c r="U1174">
        <v>1</v>
      </c>
      <c r="V1174">
        <f>VLOOKUP(T1174,'Data Angt'!$A$5:$F$5810,6,FALSE)</f>
        <v>43</v>
      </c>
      <c r="W1174" s="5" t="str">
        <f t="shared" si="18"/>
        <v>KESEJAHTERAAN</v>
      </c>
      <c r="X1174" s="5" t="str">
        <f>VLOOKUP(T1174,'Data Angt'!$A$5:$H$5810,8,FALSE)</f>
        <v>Mengurus Rumah Tangga</v>
      </c>
      <c r="Y1174" s="5" t="str">
        <f>VLOOKUP(T1174,'Data Angt'!$A$5:$C$5808,3,FALSE)</f>
        <v>JBR</v>
      </c>
    </row>
    <row r="1175" spans="1:25" x14ac:dyDescent="0.3">
      <c r="A1175" s="8">
        <v>1169</v>
      </c>
      <c r="B1175" s="9" t="s">
        <v>6151</v>
      </c>
      <c r="C1175" s="10" t="str">
        <f>VLOOKUP(B1175,'Data Angt'!$A$5:$B$5809,2,FALSE)</f>
        <v>A2724</v>
      </c>
      <c r="D1175" s="11" t="s">
        <v>9829</v>
      </c>
      <c r="E1175" s="12" t="s">
        <v>16948</v>
      </c>
      <c r="F1175" s="13">
        <v>45699</v>
      </c>
      <c r="G1175" s="14">
        <v>45911</v>
      </c>
      <c r="H1175" s="15">
        <v>6500000</v>
      </c>
      <c r="I1175" s="16">
        <v>12</v>
      </c>
      <c r="J1175" s="17">
        <v>24</v>
      </c>
      <c r="K1175" s="9" t="s">
        <v>9827</v>
      </c>
      <c r="L1175" s="10" t="s">
        <v>16949</v>
      </c>
      <c r="M1175" s="9" t="s">
        <v>16950</v>
      </c>
      <c r="N1175" s="10" t="s">
        <v>9830</v>
      </c>
      <c r="O1175" s="15">
        <v>2708100</v>
      </c>
      <c r="P1175" s="145">
        <v>256011</v>
      </c>
      <c r="Q1175" s="9" t="s">
        <v>23304</v>
      </c>
      <c r="R1175" s="146" t="s">
        <v>23373</v>
      </c>
      <c r="T1175" s="92" t="s">
        <v>12887</v>
      </c>
      <c r="U1175">
        <v>1</v>
      </c>
      <c r="V1175">
        <f>VLOOKUP(T1175,'Data Angt'!$A$5:$F$5810,6,FALSE)</f>
        <v>49</v>
      </c>
      <c r="W1175" s="5" t="str">
        <f t="shared" si="18"/>
        <v>PENDIDIKAN</v>
      </c>
      <c r="X1175" s="5" t="str">
        <f>VLOOKUP(T1175,'Data Angt'!$A$5:$H$5810,8,FALSE)</f>
        <v>Lain-Lain</v>
      </c>
      <c r="Y1175" s="5" t="str">
        <f>VLOOKUP(T1175,'Data Angt'!$A$5:$C$5808,3,FALSE)</f>
        <v>JBR</v>
      </c>
    </row>
    <row r="1176" spans="1:25" x14ac:dyDescent="0.3">
      <c r="A1176" s="8">
        <v>1170</v>
      </c>
      <c r="B1176" s="9" t="s">
        <v>6173</v>
      </c>
      <c r="C1176" s="10" t="str">
        <f>VLOOKUP(B1176,'Data Angt'!$A$5:$B$5809,2,FALSE)</f>
        <v>A2736</v>
      </c>
      <c r="D1176" s="11" t="s">
        <v>9826</v>
      </c>
      <c r="E1176" s="12" t="s">
        <v>16951</v>
      </c>
      <c r="F1176" s="13">
        <v>45713</v>
      </c>
      <c r="G1176" s="14">
        <v>45925</v>
      </c>
      <c r="H1176" s="15">
        <v>3500000</v>
      </c>
      <c r="I1176" s="16">
        <v>12</v>
      </c>
      <c r="J1176" s="17">
        <v>11.88</v>
      </c>
      <c r="K1176" s="9" t="s">
        <v>9831</v>
      </c>
      <c r="L1176" s="10" t="s">
        <v>16952</v>
      </c>
      <c r="M1176" s="9" t="s">
        <v>9838</v>
      </c>
      <c r="N1176" s="10" t="s">
        <v>9830</v>
      </c>
      <c r="O1176" s="15">
        <v>1509000</v>
      </c>
      <c r="P1176" s="145">
        <v>69224</v>
      </c>
      <c r="Q1176" s="9"/>
      <c r="R1176" s="146"/>
      <c r="T1176" s="92" t="s">
        <v>12889</v>
      </c>
      <c r="U1176">
        <v>1</v>
      </c>
      <c r="V1176">
        <f>VLOOKUP(T1176,'Data Angt'!$A$5:$F$5810,6,FALSE)</f>
        <v>58</v>
      </c>
      <c r="W1176" s="5" t="str">
        <f t="shared" si="18"/>
        <v>KESEJAHTERAAN</v>
      </c>
      <c r="X1176" s="5" t="str">
        <f>VLOOKUP(T1176,'Data Angt'!$A$5:$H$5810,8,FALSE)</f>
        <v>Tenaga Pengajar</v>
      </c>
      <c r="Y1176" s="5" t="str">
        <f>VLOOKUP(T1176,'Data Angt'!$A$5:$C$5808,3,FALSE)</f>
        <v>JBR</v>
      </c>
    </row>
    <row r="1177" spans="1:25" x14ac:dyDescent="0.3">
      <c r="A1177" s="8">
        <v>1171</v>
      </c>
      <c r="B1177" s="9" t="s">
        <v>6365</v>
      </c>
      <c r="C1177" s="10" t="str">
        <f>VLOOKUP(B1177,'Data Angt'!$A$5:$B$5809,2,FALSE)</f>
        <v>A2822</v>
      </c>
      <c r="D1177" s="11" t="s">
        <v>9833</v>
      </c>
      <c r="E1177" s="12" t="s">
        <v>23374</v>
      </c>
      <c r="F1177" s="13">
        <v>45859</v>
      </c>
      <c r="G1177" s="14">
        <v>45920</v>
      </c>
      <c r="H1177" s="15">
        <v>5000000</v>
      </c>
      <c r="I1177" s="16">
        <v>12</v>
      </c>
      <c r="J1177" s="17">
        <v>24</v>
      </c>
      <c r="K1177" s="9" t="s">
        <v>9827</v>
      </c>
      <c r="L1177" s="10" t="s">
        <v>23375</v>
      </c>
      <c r="M1177" s="9" t="s">
        <v>9961</v>
      </c>
      <c r="N1177" s="10" t="s">
        <v>9834</v>
      </c>
      <c r="O1177" s="15">
        <v>4166600</v>
      </c>
      <c r="P1177" s="145">
        <v>71887</v>
      </c>
      <c r="Q1177" s="9"/>
      <c r="R1177" s="146"/>
      <c r="T1177" s="92" t="s">
        <v>12898</v>
      </c>
      <c r="U1177">
        <v>1</v>
      </c>
      <c r="V1177">
        <f>VLOOKUP(T1177,'Data Angt'!$A$5:$F$5810,6,FALSE)</f>
        <v>48</v>
      </c>
      <c r="W1177" s="5" t="str">
        <f t="shared" si="18"/>
        <v>KONSUMTIF</v>
      </c>
      <c r="X1177" s="5" t="str">
        <f>VLOOKUP(T1177,'Data Angt'!$A$5:$H$5810,8,FALSE)</f>
        <v>Mengurus Rumah Tangga</v>
      </c>
      <c r="Y1177" s="5" t="str">
        <f>VLOOKUP(T1177,'Data Angt'!$A$5:$C$5808,3,FALSE)</f>
        <v>JBR</v>
      </c>
    </row>
    <row r="1178" spans="1:25" x14ac:dyDescent="0.3">
      <c r="A1178" s="8">
        <v>1172</v>
      </c>
      <c r="B1178" s="9" t="s">
        <v>6414</v>
      </c>
      <c r="C1178" s="10" t="str">
        <f>VLOOKUP(B1178,'Data Angt'!$A$5:$B$5809,2,FALSE)</f>
        <v>A2845</v>
      </c>
      <c r="D1178" s="11" t="s">
        <v>9829</v>
      </c>
      <c r="E1178" s="12" t="s">
        <v>16953</v>
      </c>
      <c r="F1178" s="13">
        <v>45721</v>
      </c>
      <c r="G1178" s="14">
        <v>45911</v>
      </c>
      <c r="H1178" s="15">
        <v>8000000</v>
      </c>
      <c r="I1178" s="16">
        <v>18</v>
      </c>
      <c r="J1178" s="17">
        <v>24</v>
      </c>
      <c r="K1178" s="9" t="s">
        <v>9827</v>
      </c>
      <c r="L1178" s="10" t="s">
        <v>16954</v>
      </c>
      <c r="M1178" s="9" t="s">
        <v>9838</v>
      </c>
      <c r="N1178" s="10" t="s">
        <v>9830</v>
      </c>
      <c r="O1178" s="15">
        <v>5333000</v>
      </c>
      <c r="P1178" s="145">
        <v>310124</v>
      </c>
      <c r="Q1178" s="9"/>
      <c r="R1178" s="146"/>
      <c r="T1178" s="92" t="s">
        <v>12927</v>
      </c>
      <c r="U1178">
        <v>1</v>
      </c>
      <c r="V1178">
        <f>VLOOKUP(T1178,'Data Angt'!$A$5:$F$5810,6,FALSE)</f>
        <v>29</v>
      </c>
      <c r="W1178" s="5" t="str">
        <f t="shared" si="18"/>
        <v>PRODUKTIF</v>
      </c>
      <c r="X1178" s="5" t="str">
        <f>VLOOKUP(T1178,'Data Angt'!$A$5:$H$5810,8,FALSE)</f>
        <v>Wiraswasta</v>
      </c>
      <c r="Y1178" s="5" t="str">
        <f>VLOOKUP(T1178,'Data Angt'!$A$5:$C$5808,3,FALSE)</f>
        <v>JBR</v>
      </c>
    </row>
    <row r="1179" spans="1:25" x14ac:dyDescent="0.3">
      <c r="A1179" s="8">
        <v>1173</v>
      </c>
      <c r="B1179" s="9" t="s">
        <v>6515</v>
      </c>
      <c r="C1179" s="10" t="str">
        <f>VLOOKUP(B1179,'Data Angt'!$A$5:$B$5809,2,FALSE)</f>
        <v>A2893</v>
      </c>
      <c r="D1179" s="11" t="s">
        <v>9829</v>
      </c>
      <c r="E1179" s="12" t="s">
        <v>16955</v>
      </c>
      <c r="F1179" s="13">
        <v>45419</v>
      </c>
      <c r="G1179" s="14">
        <v>45786</v>
      </c>
      <c r="H1179" s="15">
        <v>6000000</v>
      </c>
      <c r="I1179" s="16">
        <v>24</v>
      </c>
      <c r="J1179" s="17">
        <v>24</v>
      </c>
      <c r="K1179" s="9" t="s">
        <v>9827</v>
      </c>
      <c r="L1179" s="10" t="s">
        <v>16956</v>
      </c>
      <c r="M1179" s="9" t="s">
        <v>9838</v>
      </c>
      <c r="N1179" s="10" t="s">
        <v>9830</v>
      </c>
      <c r="O1179" s="15">
        <v>3000000</v>
      </c>
      <c r="P1179" s="145">
        <v>416250</v>
      </c>
      <c r="Q1179" s="9" t="s">
        <v>23304</v>
      </c>
      <c r="R1179" s="146" t="s">
        <v>23376</v>
      </c>
      <c r="T1179" s="92" t="s">
        <v>12963</v>
      </c>
      <c r="U1179">
        <v>1</v>
      </c>
      <c r="V1179">
        <f>VLOOKUP(T1179,'Data Angt'!$A$5:$F$5810,6,FALSE)</f>
        <v>50</v>
      </c>
      <c r="W1179" s="5" t="str">
        <f t="shared" si="18"/>
        <v>PRODUKTIF</v>
      </c>
      <c r="X1179" s="5" t="str">
        <f>VLOOKUP(T1179,'Data Angt'!$A$5:$H$5810,8,FALSE)</f>
        <v>Wiraswasta</v>
      </c>
      <c r="Y1179" s="5" t="str">
        <f>VLOOKUP(T1179,'Data Angt'!$A$5:$C$5808,3,FALSE)</f>
        <v>JBR</v>
      </c>
    </row>
    <row r="1180" spans="1:25" x14ac:dyDescent="0.3">
      <c r="A1180" s="8">
        <v>1174</v>
      </c>
      <c r="B1180" s="9" t="s">
        <v>6577</v>
      </c>
      <c r="C1180" s="10" t="str">
        <f>VLOOKUP(B1180,'Data Angt'!$A$5:$B$5809,2,FALSE)</f>
        <v>A2922</v>
      </c>
      <c r="D1180" s="11" t="s">
        <v>9829</v>
      </c>
      <c r="E1180" s="12" t="s">
        <v>16957</v>
      </c>
      <c r="F1180" s="13">
        <v>45786</v>
      </c>
      <c r="G1180" s="14">
        <v>45909</v>
      </c>
      <c r="H1180" s="15">
        <v>50000000</v>
      </c>
      <c r="I1180" s="16">
        <v>24</v>
      </c>
      <c r="J1180" s="17">
        <v>21</v>
      </c>
      <c r="K1180" s="9" t="s">
        <v>9827</v>
      </c>
      <c r="L1180" s="10" t="s">
        <v>16958</v>
      </c>
      <c r="M1180" s="9" t="s">
        <v>9838</v>
      </c>
      <c r="N1180" s="10" t="s">
        <v>9830</v>
      </c>
      <c r="O1180" s="15">
        <v>41666400</v>
      </c>
      <c r="P1180" s="145">
        <v>1230524</v>
      </c>
      <c r="Q1180" s="9" t="s">
        <v>22431</v>
      </c>
      <c r="R1180" s="146" t="s">
        <v>23377</v>
      </c>
      <c r="T1180" s="92" t="s">
        <v>13049</v>
      </c>
      <c r="U1180">
        <v>1</v>
      </c>
      <c r="V1180">
        <f>VLOOKUP(T1180,'Data Angt'!$A$5:$F$5810,6,FALSE)</f>
        <v>38</v>
      </c>
      <c r="W1180" s="5" t="str">
        <f t="shared" si="18"/>
        <v>PRODUKTIF</v>
      </c>
      <c r="X1180" s="5" t="str">
        <f>VLOOKUP(T1180,'Data Angt'!$A$5:$H$5810,8,FALSE)</f>
        <v>Wiraswasta</v>
      </c>
      <c r="Y1180" s="5" t="str">
        <f>VLOOKUP(T1180,'Data Angt'!$A$5:$C$5808,3,FALSE)</f>
        <v>JBR</v>
      </c>
    </row>
    <row r="1181" spans="1:25" x14ac:dyDescent="0.3">
      <c r="A1181" s="8">
        <v>1175</v>
      </c>
      <c r="B1181" s="9" t="s">
        <v>6600</v>
      </c>
      <c r="C1181" s="10" t="str">
        <f>VLOOKUP(B1181,'Data Angt'!$A$5:$B$5809,2,FALSE)</f>
        <v>A2931</v>
      </c>
      <c r="D1181" s="11" t="s">
        <v>9826</v>
      </c>
      <c r="E1181" s="12" t="s">
        <v>16959</v>
      </c>
      <c r="F1181" s="13">
        <v>45682</v>
      </c>
      <c r="G1181" s="14">
        <v>45924</v>
      </c>
      <c r="H1181" s="15">
        <v>4500000</v>
      </c>
      <c r="I1181" s="16">
        <v>12</v>
      </c>
      <c r="J1181" s="17">
        <v>11.88</v>
      </c>
      <c r="K1181" s="9" t="s">
        <v>9831</v>
      </c>
      <c r="L1181" s="10" t="s">
        <v>16960</v>
      </c>
      <c r="M1181" s="9" t="s">
        <v>9838</v>
      </c>
      <c r="N1181" s="10" t="s">
        <v>9830</v>
      </c>
      <c r="O1181" s="15">
        <v>1563400</v>
      </c>
      <c r="P1181" s="145">
        <v>97574</v>
      </c>
      <c r="Q1181" s="9"/>
      <c r="R1181" s="146"/>
      <c r="T1181" s="92" t="s">
        <v>13068</v>
      </c>
      <c r="U1181">
        <v>1</v>
      </c>
      <c r="V1181">
        <f>VLOOKUP(T1181,'Data Angt'!$A$5:$F$5810,6,FALSE)</f>
        <v>42</v>
      </c>
      <c r="W1181" s="5" t="str">
        <f t="shared" si="18"/>
        <v>PENDIDIKAN</v>
      </c>
      <c r="X1181" s="5" t="str">
        <f>VLOOKUP(T1181,'Data Angt'!$A$5:$H$5810,8,FALSE)</f>
        <v>Wiraswasta</v>
      </c>
      <c r="Y1181" s="5" t="str">
        <f>VLOOKUP(T1181,'Data Angt'!$A$5:$C$5808,3,FALSE)</f>
        <v>JBR</v>
      </c>
    </row>
    <row r="1182" spans="1:25" x14ac:dyDescent="0.3">
      <c r="A1182" s="8">
        <v>1176</v>
      </c>
      <c r="B1182" s="9" t="s">
        <v>6633</v>
      </c>
      <c r="C1182" s="10" t="str">
        <f>VLOOKUP(B1182,'Data Angt'!$A$5:$B$5809,2,FALSE)</f>
        <v>A2947</v>
      </c>
      <c r="D1182" s="11" t="s">
        <v>9829</v>
      </c>
      <c r="E1182" s="12" t="s">
        <v>16961</v>
      </c>
      <c r="F1182" s="13">
        <v>45532</v>
      </c>
      <c r="G1182" s="14">
        <v>45929</v>
      </c>
      <c r="H1182" s="15">
        <v>15000000</v>
      </c>
      <c r="I1182" s="16">
        <v>36</v>
      </c>
      <c r="J1182" s="17">
        <v>24</v>
      </c>
      <c r="K1182" s="9" t="s">
        <v>9827</v>
      </c>
      <c r="L1182" s="10" t="s">
        <v>16962</v>
      </c>
      <c r="M1182" s="9" t="s">
        <v>10395</v>
      </c>
      <c r="N1182" s="10" t="s">
        <v>9830</v>
      </c>
      <c r="O1182" s="15">
        <v>9582900</v>
      </c>
      <c r="P1182" s="145">
        <v>1218898</v>
      </c>
      <c r="Q1182" s="9"/>
      <c r="R1182" s="146"/>
      <c r="T1182" s="92" t="s">
        <v>13091</v>
      </c>
      <c r="U1182">
        <v>1</v>
      </c>
      <c r="V1182">
        <f>VLOOKUP(T1182,'Data Angt'!$A$5:$F$5810,6,FALSE)</f>
        <v>53</v>
      </c>
      <c r="W1182" s="5" t="str">
        <f t="shared" si="18"/>
        <v>PENDIDIKAN</v>
      </c>
      <c r="X1182" s="5" t="str">
        <f>VLOOKUP(T1182,'Data Angt'!$A$5:$H$5810,8,FALSE)</f>
        <v>Mengurus Rumah Tangga</v>
      </c>
      <c r="Y1182" s="5" t="str">
        <f>VLOOKUP(T1182,'Data Angt'!$A$5:$C$5808,3,FALSE)</f>
        <v>JBR</v>
      </c>
    </row>
    <row r="1183" spans="1:25" x14ac:dyDescent="0.3">
      <c r="A1183" s="8">
        <v>1177</v>
      </c>
      <c r="B1183" s="9" t="s">
        <v>6706</v>
      </c>
      <c r="C1183" s="10" t="str">
        <f>VLOOKUP(B1183,'Data Angt'!$A$5:$B$5809,2,FALSE)</f>
        <v>A2984</v>
      </c>
      <c r="D1183" s="11" t="s">
        <v>9826</v>
      </c>
      <c r="E1183" s="12" t="s">
        <v>23378</v>
      </c>
      <c r="F1183" s="13">
        <v>45904</v>
      </c>
      <c r="G1183" s="14">
        <v>45904</v>
      </c>
      <c r="H1183" s="15">
        <v>3500000</v>
      </c>
      <c r="I1183" s="16">
        <v>10</v>
      </c>
      <c r="J1183" s="17">
        <v>24</v>
      </c>
      <c r="K1183" s="9" t="s">
        <v>9827</v>
      </c>
      <c r="L1183" s="10" t="s">
        <v>23379</v>
      </c>
      <c r="M1183" s="9" t="s">
        <v>9862</v>
      </c>
      <c r="N1183" s="10" t="s">
        <v>9834</v>
      </c>
      <c r="O1183" s="15">
        <v>3500000</v>
      </c>
      <c r="P1183" s="147">
        <v>0</v>
      </c>
      <c r="Q1183" s="9"/>
      <c r="R1183" s="146"/>
      <c r="T1183" s="92" t="s">
        <v>13120</v>
      </c>
      <c r="U1183">
        <v>1</v>
      </c>
      <c r="V1183">
        <f>VLOOKUP(T1183,'Data Angt'!$A$5:$F$5810,6,FALSE)</f>
        <v>50</v>
      </c>
      <c r="W1183" s="5" t="str">
        <f t="shared" si="18"/>
        <v>PENDIDIKAN</v>
      </c>
      <c r="X1183" s="5" t="str">
        <f>VLOOKUP(T1183,'Data Angt'!$A$5:$H$5810,8,FALSE)</f>
        <v>Karyawan</v>
      </c>
      <c r="Y1183" s="5" t="str">
        <f>VLOOKUP(T1183,'Data Angt'!$A$5:$C$5808,3,FALSE)</f>
        <v>JBR</v>
      </c>
    </row>
    <row r="1184" spans="1:25" x14ac:dyDescent="0.3">
      <c r="A1184" s="8">
        <v>1178</v>
      </c>
      <c r="B1184" s="9" t="s">
        <v>6706</v>
      </c>
      <c r="C1184" s="10" t="str">
        <f>VLOOKUP(B1184,'Data Angt'!$A$5:$B$5809,2,FALSE)</f>
        <v>A2984</v>
      </c>
      <c r="D1184" s="11" t="s">
        <v>9833</v>
      </c>
      <c r="E1184" s="12" t="s">
        <v>16963</v>
      </c>
      <c r="F1184" s="13">
        <v>45734</v>
      </c>
      <c r="G1184" s="14">
        <v>45904</v>
      </c>
      <c r="H1184" s="15">
        <v>5000000</v>
      </c>
      <c r="I1184" s="16">
        <v>10</v>
      </c>
      <c r="J1184" s="17">
        <v>24</v>
      </c>
      <c r="K1184" s="9" t="s">
        <v>9827</v>
      </c>
      <c r="L1184" s="10" t="s">
        <v>16964</v>
      </c>
      <c r="M1184" s="9" t="s">
        <v>9862</v>
      </c>
      <c r="N1184" s="10" t="s">
        <v>9834</v>
      </c>
      <c r="O1184" s="15">
        <v>2000000</v>
      </c>
      <c r="P1184" s="145">
        <v>168750</v>
      </c>
      <c r="Q1184" s="9"/>
      <c r="R1184" s="146"/>
      <c r="T1184" s="92" t="s">
        <v>13126</v>
      </c>
      <c r="U1184">
        <v>1</v>
      </c>
      <c r="V1184">
        <f>VLOOKUP(T1184,'Data Angt'!$A$5:$F$5810,6,FALSE)</f>
        <v>49</v>
      </c>
      <c r="W1184" s="5" t="str">
        <f t="shared" si="18"/>
        <v>KESEJAHTERAAN</v>
      </c>
      <c r="X1184" s="5" t="str">
        <f>VLOOKUP(T1184,'Data Angt'!$A$5:$H$5810,8,FALSE)</f>
        <v>Karyawan</v>
      </c>
      <c r="Y1184" s="5" t="str">
        <f>VLOOKUP(T1184,'Data Angt'!$A$5:$C$5808,3,FALSE)</f>
        <v>JBR</v>
      </c>
    </row>
    <row r="1185" spans="1:25" x14ac:dyDescent="0.3">
      <c r="A1185" s="8">
        <v>1179</v>
      </c>
      <c r="B1185" s="9" t="s">
        <v>6803</v>
      </c>
      <c r="C1185" s="10" t="str">
        <f>VLOOKUP(B1185,'Data Angt'!$A$5:$B$5809,2,FALSE)</f>
        <v>A3028</v>
      </c>
      <c r="D1185" s="11" t="s">
        <v>9829</v>
      </c>
      <c r="E1185" s="12" t="s">
        <v>16966</v>
      </c>
      <c r="F1185" s="13">
        <v>45832</v>
      </c>
      <c r="G1185" s="14">
        <v>45925</v>
      </c>
      <c r="H1185" s="15">
        <v>6000000</v>
      </c>
      <c r="I1185" s="16">
        <v>15</v>
      </c>
      <c r="J1185" s="17">
        <v>24</v>
      </c>
      <c r="K1185" s="9" t="s">
        <v>9827</v>
      </c>
      <c r="L1185" s="10" t="s">
        <v>16967</v>
      </c>
      <c r="M1185" s="9" t="s">
        <v>9993</v>
      </c>
      <c r="N1185" s="10" t="s">
        <v>110</v>
      </c>
      <c r="O1185" s="15">
        <v>4800000</v>
      </c>
      <c r="P1185" s="145">
        <v>126000</v>
      </c>
      <c r="Q1185" s="9"/>
      <c r="R1185" s="146"/>
      <c r="T1185" s="92" t="s">
        <v>13166</v>
      </c>
      <c r="U1185">
        <v>1</v>
      </c>
      <c r="V1185">
        <f>VLOOKUP(T1185,'Data Angt'!$A$5:$F$5810,6,FALSE)</f>
        <v>65</v>
      </c>
      <c r="W1185" s="5" t="str">
        <f t="shared" si="18"/>
        <v>PRODUKTIF</v>
      </c>
      <c r="X1185" s="5" t="str">
        <f>VLOOKUP(T1185,'Data Angt'!$A$5:$H$5810,8,FALSE)</f>
        <v>Petani/Pekebun/Nelayan</v>
      </c>
      <c r="Y1185" s="5" t="str">
        <f>VLOOKUP(T1185,'Data Angt'!$A$5:$C$5808,3,FALSE)</f>
        <v>JBR</v>
      </c>
    </row>
    <row r="1186" spans="1:25" x14ac:dyDescent="0.3">
      <c r="A1186" s="8">
        <v>1180</v>
      </c>
      <c r="B1186" s="9" t="s">
        <v>6832</v>
      </c>
      <c r="C1186" s="10" t="str">
        <f>VLOOKUP(B1186,'Data Angt'!$A$5:$B$5809,2,FALSE)</f>
        <v>A3046</v>
      </c>
      <c r="D1186" s="11" t="s">
        <v>9829</v>
      </c>
      <c r="E1186" s="12" t="s">
        <v>23380</v>
      </c>
      <c r="F1186" s="13">
        <v>45866</v>
      </c>
      <c r="G1186" s="14">
        <v>45930</v>
      </c>
      <c r="H1186" s="15">
        <v>3000000</v>
      </c>
      <c r="I1186" s="16">
        <v>12</v>
      </c>
      <c r="J1186" s="17">
        <v>24</v>
      </c>
      <c r="K1186" s="9" t="s">
        <v>9827</v>
      </c>
      <c r="L1186" s="10" t="s">
        <v>23381</v>
      </c>
      <c r="M1186" s="9" t="s">
        <v>9838</v>
      </c>
      <c r="N1186" s="10" t="s">
        <v>9830</v>
      </c>
      <c r="O1186" s="15">
        <v>2500000</v>
      </c>
      <c r="P1186" s="145">
        <v>43125</v>
      </c>
      <c r="Q1186" s="9"/>
      <c r="R1186" s="146"/>
      <c r="T1186" s="92" t="s">
        <v>13177</v>
      </c>
      <c r="U1186">
        <v>1</v>
      </c>
      <c r="V1186">
        <f>VLOOKUP(T1186,'Data Angt'!$A$5:$F$5810,6,FALSE)</f>
        <v>47</v>
      </c>
      <c r="W1186" s="5" t="str">
        <f t="shared" si="18"/>
        <v>PENDIDIKAN</v>
      </c>
      <c r="X1186" s="5" t="str">
        <f>VLOOKUP(T1186,'Data Angt'!$A$5:$H$5810,8,FALSE)</f>
        <v>Wiraswasta</v>
      </c>
      <c r="Y1186" s="5" t="str">
        <f>VLOOKUP(T1186,'Data Angt'!$A$5:$C$5808,3,FALSE)</f>
        <v>JBR</v>
      </c>
    </row>
    <row r="1187" spans="1:25" x14ac:dyDescent="0.3">
      <c r="A1187" s="8">
        <v>1181</v>
      </c>
      <c r="B1187" s="9" t="s">
        <v>6925</v>
      </c>
      <c r="C1187" s="10" t="str">
        <f>VLOOKUP(B1187,'Data Angt'!$A$5:$B$5809,2,FALSE)</f>
        <v>A3094</v>
      </c>
      <c r="D1187" s="11" t="s">
        <v>9829</v>
      </c>
      <c r="E1187" s="12" t="s">
        <v>16968</v>
      </c>
      <c r="F1187" s="13">
        <v>45680</v>
      </c>
      <c r="G1187" s="14">
        <v>45923</v>
      </c>
      <c r="H1187" s="15">
        <v>25000000</v>
      </c>
      <c r="I1187" s="16">
        <v>24</v>
      </c>
      <c r="J1187" s="17">
        <v>21</v>
      </c>
      <c r="K1187" s="9" t="s">
        <v>9827</v>
      </c>
      <c r="L1187" s="10" t="s">
        <v>16969</v>
      </c>
      <c r="M1187" s="9" t="s">
        <v>9854</v>
      </c>
      <c r="N1187" s="10" t="s">
        <v>17</v>
      </c>
      <c r="O1187" s="15">
        <v>16666400</v>
      </c>
      <c r="P1187" s="145">
        <v>1121210</v>
      </c>
      <c r="Q1187" s="9" t="s">
        <v>23355</v>
      </c>
      <c r="R1187" s="146" t="s">
        <v>23382</v>
      </c>
      <c r="T1187" s="92" t="s">
        <v>13526</v>
      </c>
      <c r="U1187">
        <v>1</v>
      </c>
      <c r="V1187">
        <f>VLOOKUP(T1187,'Data Angt'!$A$5:$F$5810,6,FALSE)</f>
        <v>56</v>
      </c>
      <c r="W1187" s="5" t="str">
        <f t="shared" si="18"/>
        <v>PRODUKTIF</v>
      </c>
      <c r="X1187" s="5" t="str">
        <f>VLOOKUP(T1187,'Data Angt'!$A$5:$H$5810,8,FALSE)</f>
        <v>Wiraswasta</v>
      </c>
      <c r="Y1187" s="5" t="str">
        <f>VLOOKUP(T1187,'Data Angt'!$A$5:$C$5808,3,FALSE)</f>
        <v>JBR</v>
      </c>
    </row>
    <row r="1188" spans="1:25" x14ac:dyDescent="0.3">
      <c r="A1188" s="8">
        <v>1182</v>
      </c>
      <c r="B1188" s="9" t="s">
        <v>6946</v>
      </c>
      <c r="C1188" s="10" t="str">
        <f>VLOOKUP(B1188,'Data Angt'!$A$5:$B$5809,2,FALSE)</f>
        <v>A3105</v>
      </c>
      <c r="D1188" s="11" t="s">
        <v>9829</v>
      </c>
      <c r="E1188" s="12" t="s">
        <v>16970</v>
      </c>
      <c r="F1188" s="13">
        <v>45489</v>
      </c>
      <c r="G1188" s="14">
        <v>45919</v>
      </c>
      <c r="H1188" s="15">
        <v>10000000</v>
      </c>
      <c r="I1188" s="16">
        <v>48</v>
      </c>
      <c r="J1188" s="17">
        <v>24</v>
      </c>
      <c r="K1188" s="9" t="s">
        <v>9827</v>
      </c>
      <c r="L1188" s="10" t="s">
        <v>16971</v>
      </c>
      <c r="M1188" s="9" t="s">
        <v>9838</v>
      </c>
      <c r="N1188" s="10" t="s">
        <v>9830</v>
      </c>
      <c r="O1188" s="15">
        <v>7082400</v>
      </c>
      <c r="P1188" s="145">
        <v>907984</v>
      </c>
      <c r="Q1188" s="9"/>
      <c r="R1188" s="146"/>
      <c r="T1188" s="92" t="s">
        <v>13557</v>
      </c>
      <c r="U1188">
        <v>1</v>
      </c>
      <c r="V1188">
        <f>VLOOKUP(T1188,'Data Angt'!$A$5:$F$5810,6,FALSE)</f>
        <v>49</v>
      </c>
      <c r="W1188" s="5" t="str">
        <f t="shared" si="18"/>
        <v>PRODUKTIF</v>
      </c>
      <c r="X1188" s="5" t="str">
        <f>VLOOKUP(T1188,'Data Angt'!$A$5:$H$5810,8,FALSE)</f>
        <v>Wiraswasta</v>
      </c>
      <c r="Y1188" s="5" t="str">
        <f>VLOOKUP(T1188,'Data Angt'!$A$5:$C$5808,3,FALSE)</f>
        <v>JBR</v>
      </c>
    </row>
    <row r="1189" spans="1:25" x14ac:dyDescent="0.3">
      <c r="A1189" s="8">
        <v>1183</v>
      </c>
      <c r="B1189" s="9" t="s">
        <v>7087</v>
      </c>
      <c r="C1189" s="10" t="str">
        <f>VLOOKUP(B1189,'Data Angt'!$A$5:$B$5809,2,FALSE)</f>
        <v>A3170</v>
      </c>
      <c r="D1189" s="11" t="s">
        <v>9829</v>
      </c>
      <c r="E1189" s="12" t="s">
        <v>16972</v>
      </c>
      <c r="F1189" s="13">
        <v>45817</v>
      </c>
      <c r="G1189" s="14">
        <v>45908</v>
      </c>
      <c r="H1189" s="15">
        <v>3000000</v>
      </c>
      <c r="I1189" s="16">
        <v>10</v>
      </c>
      <c r="J1189" s="17">
        <v>24</v>
      </c>
      <c r="K1189" s="9" t="s">
        <v>9827</v>
      </c>
      <c r="L1189" s="10" t="s">
        <v>16973</v>
      </c>
      <c r="M1189" s="9" t="s">
        <v>9985</v>
      </c>
      <c r="N1189" s="10" t="s">
        <v>9828</v>
      </c>
      <c r="O1189" s="15">
        <v>2100000</v>
      </c>
      <c r="P1189" s="145">
        <v>60750</v>
      </c>
      <c r="Q1189" s="9"/>
      <c r="R1189" s="146"/>
      <c r="T1189" s="92" t="s">
        <v>13562</v>
      </c>
      <c r="U1189">
        <v>1</v>
      </c>
      <c r="V1189">
        <f>VLOOKUP(T1189,'Data Angt'!$A$5:$F$5810,6,FALSE)</f>
        <v>52</v>
      </c>
      <c r="W1189" s="5" t="str">
        <f t="shared" si="18"/>
        <v>PRODUKTIF</v>
      </c>
      <c r="X1189" s="5" t="str">
        <f>VLOOKUP(T1189,'Data Angt'!$A$5:$H$5810,8,FALSE)</f>
        <v>Wiraswasta</v>
      </c>
      <c r="Y1189" s="5" t="str">
        <f>VLOOKUP(T1189,'Data Angt'!$A$5:$C$5808,3,FALSE)</f>
        <v>JBR</v>
      </c>
    </row>
    <row r="1190" spans="1:25" x14ac:dyDescent="0.3">
      <c r="A1190" s="8">
        <v>1184</v>
      </c>
      <c r="B1190" s="9" t="s">
        <v>7297</v>
      </c>
      <c r="C1190" s="10" t="str">
        <f>VLOOKUP(B1190,'Data Angt'!$A$5:$B$5809,2,FALSE)</f>
        <v>A3266</v>
      </c>
      <c r="D1190" s="11" t="s">
        <v>9833</v>
      </c>
      <c r="E1190" s="12" t="s">
        <v>16974</v>
      </c>
      <c r="F1190" s="13">
        <v>45779</v>
      </c>
      <c r="G1190" s="14">
        <v>45902</v>
      </c>
      <c r="H1190" s="15">
        <v>3000000</v>
      </c>
      <c r="I1190" s="16">
        <v>12</v>
      </c>
      <c r="J1190" s="17">
        <v>24</v>
      </c>
      <c r="K1190" s="9" t="s">
        <v>9827</v>
      </c>
      <c r="L1190" s="10" t="s">
        <v>16975</v>
      </c>
      <c r="M1190" s="9" t="s">
        <v>16976</v>
      </c>
      <c r="N1190" s="10" t="s">
        <v>9834</v>
      </c>
      <c r="O1190" s="15">
        <v>2000000</v>
      </c>
      <c r="P1190" s="145">
        <v>78750</v>
      </c>
      <c r="Q1190" s="9"/>
      <c r="R1190" s="146"/>
      <c r="T1190" s="92" t="s">
        <v>13566</v>
      </c>
      <c r="U1190">
        <v>1</v>
      </c>
      <c r="V1190">
        <f>VLOOKUP(T1190,'Data Angt'!$A$5:$F$5810,6,FALSE)</f>
        <v>58</v>
      </c>
      <c r="W1190" s="5" t="str">
        <f t="shared" si="18"/>
        <v>PRODUKTIF</v>
      </c>
      <c r="X1190" s="5" t="str">
        <f>VLOOKUP(T1190,'Data Angt'!$A$5:$H$5810,8,FALSE)</f>
        <v>Mengurus Rumah Tangga</v>
      </c>
      <c r="Y1190" s="5" t="str">
        <f>VLOOKUP(T1190,'Data Angt'!$A$5:$C$5808,3,FALSE)</f>
        <v>JBR</v>
      </c>
    </row>
    <row r="1191" spans="1:25" x14ac:dyDescent="0.3">
      <c r="A1191" s="8">
        <v>1185</v>
      </c>
      <c r="B1191" s="9" t="s">
        <v>7347</v>
      </c>
      <c r="C1191" s="10" t="str">
        <f>VLOOKUP(B1191,'Data Angt'!$A$5:$B$5809,2,FALSE)</f>
        <v>A3286</v>
      </c>
      <c r="D1191" s="11" t="s">
        <v>9833</v>
      </c>
      <c r="E1191" s="12" t="s">
        <v>16977</v>
      </c>
      <c r="F1191" s="13">
        <v>45608</v>
      </c>
      <c r="G1191" s="14">
        <v>45930</v>
      </c>
      <c r="H1191" s="15">
        <v>10000000</v>
      </c>
      <c r="I1191" s="16">
        <v>18</v>
      </c>
      <c r="J1191" s="17">
        <v>24</v>
      </c>
      <c r="K1191" s="9" t="s">
        <v>9827</v>
      </c>
      <c r="L1191" s="10" t="s">
        <v>16978</v>
      </c>
      <c r="M1191" s="9" t="s">
        <v>16979</v>
      </c>
      <c r="N1191" s="10" t="s">
        <v>9834</v>
      </c>
      <c r="O1191" s="15">
        <v>4444000</v>
      </c>
      <c r="P1191" s="145">
        <v>562648</v>
      </c>
      <c r="Q1191" s="9"/>
      <c r="R1191" s="146"/>
      <c r="T1191" s="92" t="s">
        <v>13611</v>
      </c>
      <c r="U1191">
        <v>1</v>
      </c>
      <c r="V1191">
        <f>VLOOKUP(T1191,'Data Angt'!$A$5:$F$5810,6,FALSE)</f>
        <v>64</v>
      </c>
      <c r="W1191" s="5" t="str">
        <f t="shared" si="18"/>
        <v>PRODUKTIF</v>
      </c>
      <c r="X1191" s="5" t="str">
        <f>VLOOKUP(T1191,'Data Angt'!$A$5:$H$5810,8,FALSE)</f>
        <v>Wiraswasta</v>
      </c>
      <c r="Y1191" s="5" t="str">
        <f>VLOOKUP(T1191,'Data Angt'!$A$5:$C$5808,3,FALSE)</f>
        <v>JBR</v>
      </c>
    </row>
    <row r="1192" spans="1:25" x14ac:dyDescent="0.3">
      <c r="A1192" s="8">
        <v>1186</v>
      </c>
      <c r="B1192" s="9" t="s">
        <v>7364</v>
      </c>
      <c r="C1192" s="10" t="str">
        <f>VLOOKUP(B1192,'Data Angt'!$A$5:$B$5809,2,FALSE)</f>
        <v>A3293</v>
      </c>
      <c r="D1192" s="11" t="s">
        <v>9833</v>
      </c>
      <c r="E1192" s="12" t="s">
        <v>23383</v>
      </c>
      <c r="F1192" s="13">
        <v>45913</v>
      </c>
      <c r="G1192" s="14">
        <v>45913</v>
      </c>
      <c r="H1192" s="15">
        <v>3000000</v>
      </c>
      <c r="I1192" s="16">
        <v>12</v>
      </c>
      <c r="J1192" s="17">
        <v>24</v>
      </c>
      <c r="K1192" s="9" t="s">
        <v>9827</v>
      </c>
      <c r="L1192" s="10" t="s">
        <v>23384</v>
      </c>
      <c r="M1192" s="9" t="s">
        <v>9862</v>
      </c>
      <c r="N1192" s="10" t="s">
        <v>9834</v>
      </c>
      <c r="O1192" s="15">
        <v>3000000</v>
      </c>
      <c r="P1192" s="147">
        <v>0</v>
      </c>
      <c r="Q1192" s="9"/>
      <c r="R1192" s="146"/>
      <c r="T1192" s="92" t="s">
        <v>13613</v>
      </c>
      <c r="U1192">
        <v>1</v>
      </c>
      <c r="V1192">
        <f>VLOOKUP(T1192,'Data Angt'!$A$5:$F$5810,6,FALSE)</f>
        <v>57</v>
      </c>
      <c r="W1192" s="5" t="str">
        <f t="shared" si="18"/>
        <v>PRODUKTIF</v>
      </c>
      <c r="X1192" s="5" t="str">
        <f>VLOOKUP(T1192,'Data Angt'!$A$5:$H$5810,8,FALSE)</f>
        <v>Wiraswasta</v>
      </c>
      <c r="Y1192" s="5" t="str">
        <f>VLOOKUP(T1192,'Data Angt'!$A$5:$C$5808,3,FALSE)</f>
        <v>JBR</v>
      </c>
    </row>
    <row r="1193" spans="1:25" x14ac:dyDescent="0.3">
      <c r="A1193" s="8">
        <v>1187</v>
      </c>
      <c r="B1193" s="9" t="s">
        <v>7397</v>
      </c>
      <c r="C1193" s="10" t="str">
        <f>VLOOKUP(B1193,'Data Angt'!$A$5:$B$5809,2,FALSE)</f>
        <v>A3307</v>
      </c>
      <c r="D1193" s="11" t="s">
        <v>9833</v>
      </c>
      <c r="E1193" s="12" t="s">
        <v>10464</v>
      </c>
      <c r="F1193" s="13">
        <v>45055</v>
      </c>
      <c r="G1193" s="14">
        <v>45909</v>
      </c>
      <c r="H1193" s="15">
        <v>30000000</v>
      </c>
      <c r="I1193" s="16">
        <v>48</v>
      </c>
      <c r="J1193" s="17">
        <v>21</v>
      </c>
      <c r="K1193" s="9" t="s">
        <v>9827</v>
      </c>
      <c r="L1193" s="10" t="s">
        <v>10465</v>
      </c>
      <c r="M1193" s="9" t="s">
        <v>10466</v>
      </c>
      <c r="N1193" s="10" t="s">
        <v>9834</v>
      </c>
      <c r="O1193" s="15">
        <v>12500000</v>
      </c>
      <c r="P1193" s="145">
        <v>3962543</v>
      </c>
      <c r="Q1193" s="9"/>
      <c r="R1193" s="146"/>
      <c r="T1193" s="92" t="s">
        <v>13633</v>
      </c>
      <c r="U1193">
        <v>1</v>
      </c>
      <c r="V1193">
        <f>VLOOKUP(T1193,'Data Angt'!$A$5:$F$5810,6,FALSE)</f>
        <v>37</v>
      </c>
      <c r="W1193" s="5" t="str">
        <f t="shared" si="18"/>
        <v>PRODUKTIF</v>
      </c>
      <c r="X1193" s="5" t="str">
        <f>VLOOKUP(T1193,'Data Angt'!$A$5:$H$5810,8,FALSE)</f>
        <v>Wiraswasta</v>
      </c>
      <c r="Y1193" s="5" t="str">
        <f>VLOOKUP(T1193,'Data Angt'!$A$5:$C$5808,3,FALSE)</f>
        <v>JBR</v>
      </c>
    </row>
    <row r="1194" spans="1:25" x14ac:dyDescent="0.3">
      <c r="A1194" s="8">
        <v>1188</v>
      </c>
      <c r="B1194" s="9" t="s">
        <v>7462</v>
      </c>
      <c r="C1194" s="10" t="str">
        <f>VLOOKUP(B1194,'Data Angt'!$A$5:$B$5809,2,FALSE)</f>
        <v>A3339</v>
      </c>
      <c r="D1194" s="11" t="s">
        <v>9833</v>
      </c>
      <c r="E1194" s="12" t="s">
        <v>16980</v>
      </c>
      <c r="F1194" s="13">
        <v>45428</v>
      </c>
      <c r="G1194" s="14">
        <v>45930</v>
      </c>
      <c r="H1194" s="15">
        <v>10000000</v>
      </c>
      <c r="I1194" s="16">
        <v>10</v>
      </c>
      <c r="J1194" s="17">
        <v>24</v>
      </c>
      <c r="K1194" s="9" t="s">
        <v>9827</v>
      </c>
      <c r="L1194" s="10" t="s">
        <v>16981</v>
      </c>
      <c r="M1194" s="9" t="s">
        <v>10289</v>
      </c>
      <c r="N1194" s="10" t="s">
        <v>9834</v>
      </c>
      <c r="O1194" s="15">
        <v>2000000</v>
      </c>
      <c r="P1194" s="145">
        <v>589500</v>
      </c>
      <c r="Q1194" s="9" t="s">
        <v>23385</v>
      </c>
      <c r="R1194" s="146" t="s">
        <v>23386</v>
      </c>
      <c r="T1194" s="92" t="s">
        <v>13636</v>
      </c>
      <c r="U1194">
        <v>1</v>
      </c>
      <c r="V1194">
        <f>VLOOKUP(T1194,'Data Angt'!$A$5:$F$5810,6,FALSE)</f>
        <v>43</v>
      </c>
      <c r="W1194" s="5" t="str">
        <f t="shared" si="18"/>
        <v>KESEJAHTERAAN</v>
      </c>
      <c r="X1194" s="5" t="str">
        <f>VLOOKUP(T1194,'Data Angt'!$A$5:$H$5810,8,FALSE)</f>
        <v>Wiraswasta</v>
      </c>
      <c r="Y1194" s="5" t="str">
        <f>VLOOKUP(T1194,'Data Angt'!$A$5:$C$5808,3,FALSE)</f>
        <v>JBR</v>
      </c>
    </row>
    <row r="1195" spans="1:25" x14ac:dyDescent="0.3">
      <c r="A1195" s="8">
        <v>1189</v>
      </c>
      <c r="B1195" s="9" t="s">
        <v>7498</v>
      </c>
      <c r="C1195" s="10" t="str">
        <f>VLOOKUP(B1195,'Data Angt'!$A$5:$B$5809,2,FALSE)</f>
        <v>A3358</v>
      </c>
      <c r="D1195" s="11" t="s">
        <v>9829</v>
      </c>
      <c r="E1195" s="12" t="s">
        <v>23387</v>
      </c>
      <c r="F1195" s="13">
        <v>45915</v>
      </c>
      <c r="G1195" s="14">
        <v>45915</v>
      </c>
      <c r="H1195" s="15">
        <v>40000000</v>
      </c>
      <c r="I1195" s="16">
        <v>48</v>
      </c>
      <c r="J1195" s="17">
        <v>21</v>
      </c>
      <c r="K1195" s="9" t="s">
        <v>9827</v>
      </c>
      <c r="L1195" s="10" t="s">
        <v>23388</v>
      </c>
      <c r="M1195" s="9" t="s">
        <v>9838</v>
      </c>
      <c r="N1195" s="10" t="s">
        <v>9830</v>
      </c>
      <c r="O1195" s="15">
        <v>40000000</v>
      </c>
      <c r="P1195" s="147">
        <v>0</v>
      </c>
      <c r="Q1195" s="9"/>
      <c r="R1195" s="146"/>
      <c r="T1195" s="92" t="s">
        <v>13665</v>
      </c>
      <c r="U1195">
        <v>1</v>
      </c>
      <c r="V1195">
        <f>VLOOKUP(T1195,'Data Angt'!$A$5:$F$5810,6,FALSE)</f>
        <v>28</v>
      </c>
      <c r="W1195" s="5" t="str">
        <f t="shared" si="18"/>
        <v>KONSUMTIF</v>
      </c>
      <c r="X1195" s="5" t="str">
        <f>VLOOKUP(T1195,'Data Angt'!$A$5:$H$5810,8,FALSE)</f>
        <v>Wiraswasta</v>
      </c>
      <c r="Y1195" s="5" t="str">
        <f>VLOOKUP(T1195,'Data Angt'!$A$5:$C$5808,3,FALSE)</f>
        <v>JBR</v>
      </c>
    </row>
    <row r="1196" spans="1:25" x14ac:dyDescent="0.3">
      <c r="A1196" s="8">
        <v>1190</v>
      </c>
      <c r="B1196" s="9" t="s">
        <v>7514</v>
      </c>
      <c r="C1196" s="10" t="str">
        <f>VLOOKUP(B1196,'Data Angt'!$A$5:$B$5809,2,FALSE)</f>
        <v>A3364</v>
      </c>
      <c r="D1196" s="11" t="s">
        <v>9829</v>
      </c>
      <c r="E1196" s="12" t="s">
        <v>16982</v>
      </c>
      <c r="F1196" s="13">
        <v>45804</v>
      </c>
      <c r="G1196" s="14">
        <v>45927</v>
      </c>
      <c r="H1196" s="15">
        <v>1500000</v>
      </c>
      <c r="I1196" s="16">
        <v>10</v>
      </c>
      <c r="J1196" s="17">
        <v>24</v>
      </c>
      <c r="K1196" s="9" t="s">
        <v>9827</v>
      </c>
      <c r="L1196" s="10" t="s">
        <v>16983</v>
      </c>
      <c r="M1196" s="9" t="s">
        <v>16856</v>
      </c>
      <c r="N1196" s="10" t="s">
        <v>9828</v>
      </c>
      <c r="O1196" s="15">
        <v>900000</v>
      </c>
      <c r="P1196" s="145">
        <v>38250</v>
      </c>
      <c r="Q1196" s="9"/>
      <c r="R1196" s="146"/>
      <c r="T1196" s="92" t="s">
        <v>13696</v>
      </c>
      <c r="U1196">
        <v>1</v>
      </c>
      <c r="V1196">
        <f>VLOOKUP(T1196,'Data Angt'!$A$5:$F$5810,6,FALSE)</f>
        <v>60</v>
      </c>
      <c r="W1196" s="5" t="str">
        <f t="shared" si="18"/>
        <v>PRODUKTIF</v>
      </c>
      <c r="X1196" s="5" t="str">
        <f>VLOOKUP(T1196,'Data Angt'!$A$5:$H$5810,8,FALSE)</f>
        <v>Wiraswasta</v>
      </c>
      <c r="Y1196" s="5" t="str">
        <f>VLOOKUP(T1196,'Data Angt'!$A$5:$C$5808,3,FALSE)</f>
        <v>JBR</v>
      </c>
    </row>
    <row r="1197" spans="1:25" x14ac:dyDescent="0.3">
      <c r="A1197" s="8">
        <v>1191</v>
      </c>
      <c r="B1197" s="9" t="s">
        <v>7874</v>
      </c>
      <c r="C1197" s="10" t="str">
        <f>VLOOKUP(B1197,'Data Angt'!$A$5:$B$5809,2,FALSE)</f>
        <v>A3540</v>
      </c>
      <c r="D1197" s="11" t="s">
        <v>9829</v>
      </c>
      <c r="E1197" s="12" t="s">
        <v>16984</v>
      </c>
      <c r="F1197" s="13">
        <v>45764</v>
      </c>
      <c r="G1197" s="14">
        <v>45918</v>
      </c>
      <c r="H1197" s="15">
        <v>3000000</v>
      </c>
      <c r="I1197" s="16">
        <v>12</v>
      </c>
      <c r="J1197" s="17">
        <v>24</v>
      </c>
      <c r="K1197" s="9" t="s">
        <v>9827</v>
      </c>
      <c r="L1197" s="10" t="s">
        <v>16985</v>
      </c>
      <c r="M1197" s="9" t="s">
        <v>16986</v>
      </c>
      <c r="N1197" s="10" t="s">
        <v>9828</v>
      </c>
      <c r="O1197" s="15">
        <v>1750000</v>
      </c>
      <c r="P1197" s="145">
        <v>93750</v>
      </c>
      <c r="Q1197" s="9"/>
      <c r="R1197" s="146"/>
      <c r="T1197" s="92" t="s">
        <v>13720</v>
      </c>
      <c r="U1197">
        <v>1</v>
      </c>
      <c r="V1197">
        <f>VLOOKUP(T1197,'Data Angt'!$A$5:$F$5810,6,FALSE)</f>
        <v>29</v>
      </c>
      <c r="W1197" s="5" t="str">
        <f t="shared" si="18"/>
        <v>KESEHATAN</v>
      </c>
      <c r="X1197" s="5" t="str">
        <f>VLOOKUP(T1197,'Data Angt'!$A$5:$H$5810,8,FALSE)</f>
        <v>Mengurus Rumah Tangga</v>
      </c>
      <c r="Y1197" s="5" t="str">
        <f>VLOOKUP(T1197,'Data Angt'!$A$5:$C$5808,3,FALSE)</f>
        <v>JBR</v>
      </c>
    </row>
    <row r="1198" spans="1:25" x14ac:dyDescent="0.3">
      <c r="A1198" s="8">
        <v>1192</v>
      </c>
      <c r="B1198" s="9" t="s">
        <v>7887</v>
      </c>
      <c r="C1198" s="10" t="str">
        <f>VLOOKUP(B1198,'Data Angt'!$A$5:$B$5809,2,FALSE)</f>
        <v>A3550</v>
      </c>
      <c r="D1198" s="11" t="s">
        <v>9829</v>
      </c>
      <c r="E1198" s="12" t="s">
        <v>16987</v>
      </c>
      <c r="F1198" s="13">
        <v>45462</v>
      </c>
      <c r="G1198" s="14">
        <v>45919</v>
      </c>
      <c r="H1198" s="15">
        <v>3000000</v>
      </c>
      <c r="I1198" s="16">
        <v>24</v>
      </c>
      <c r="J1198" s="17">
        <v>24</v>
      </c>
      <c r="K1198" s="9" t="s">
        <v>9827</v>
      </c>
      <c r="L1198" s="10" t="s">
        <v>16988</v>
      </c>
      <c r="M1198" s="9" t="s">
        <v>9854</v>
      </c>
      <c r="N1198" s="10" t="s">
        <v>17</v>
      </c>
      <c r="O1198" s="15">
        <v>1125000</v>
      </c>
      <c r="P1198" s="145">
        <v>239059</v>
      </c>
      <c r="Q1198" s="9"/>
      <c r="R1198" s="146"/>
      <c r="T1198" s="92" t="s">
        <v>13771</v>
      </c>
      <c r="U1198">
        <v>1</v>
      </c>
      <c r="V1198">
        <f>VLOOKUP(T1198,'Data Angt'!$A$5:$F$5810,6,FALSE)</f>
        <v>53</v>
      </c>
      <c r="W1198" s="5" t="str">
        <f t="shared" si="18"/>
        <v>PRODUKTIF</v>
      </c>
      <c r="X1198" s="5" t="str">
        <f>VLOOKUP(T1198,'Data Angt'!$A$5:$H$5810,8,FALSE)</f>
        <v>Wiraswasta</v>
      </c>
      <c r="Y1198" s="5" t="str">
        <f>VLOOKUP(T1198,'Data Angt'!$A$5:$C$5808,3,FALSE)</f>
        <v>JBR</v>
      </c>
    </row>
    <row r="1199" spans="1:25" x14ac:dyDescent="0.3">
      <c r="A1199" s="8">
        <v>1193</v>
      </c>
      <c r="B1199" s="9" t="s">
        <v>7910</v>
      </c>
      <c r="C1199" s="10" t="str">
        <f>VLOOKUP(B1199,'Data Angt'!$A$5:$B$5809,2,FALSE)</f>
        <v>A3564</v>
      </c>
      <c r="D1199" s="11" t="s">
        <v>9829</v>
      </c>
      <c r="E1199" s="12" t="s">
        <v>16989</v>
      </c>
      <c r="F1199" s="13">
        <v>45467</v>
      </c>
      <c r="G1199" s="14">
        <v>45925</v>
      </c>
      <c r="H1199" s="15">
        <v>8500000</v>
      </c>
      <c r="I1199" s="16">
        <v>30</v>
      </c>
      <c r="J1199" s="17">
        <v>24</v>
      </c>
      <c r="K1199" s="9" t="s">
        <v>9827</v>
      </c>
      <c r="L1199" s="10" t="s">
        <v>16990</v>
      </c>
      <c r="M1199" s="9" t="s">
        <v>9854</v>
      </c>
      <c r="N1199" s="10" t="s">
        <v>17</v>
      </c>
      <c r="O1199" s="15">
        <v>4249000</v>
      </c>
      <c r="P1199" s="145">
        <v>733310</v>
      </c>
      <c r="Q1199" s="9" t="s">
        <v>23304</v>
      </c>
      <c r="R1199" s="146" t="s">
        <v>23389</v>
      </c>
      <c r="T1199" s="92" t="s">
        <v>13850</v>
      </c>
      <c r="U1199">
        <v>1</v>
      </c>
      <c r="V1199">
        <f>VLOOKUP(T1199,'Data Angt'!$A$5:$F$5810,6,FALSE)</f>
        <v>57</v>
      </c>
      <c r="W1199" s="5" t="str">
        <f t="shared" si="18"/>
        <v>PRODUKTIF</v>
      </c>
      <c r="X1199" s="5" t="str">
        <f>VLOOKUP(T1199,'Data Angt'!$A$5:$H$5810,8,FALSE)</f>
        <v>Wiraswasta</v>
      </c>
      <c r="Y1199" s="5" t="str">
        <f>VLOOKUP(T1199,'Data Angt'!$A$5:$C$5808,3,FALSE)</f>
        <v>JBR</v>
      </c>
    </row>
    <row r="1200" spans="1:25" x14ac:dyDescent="0.3">
      <c r="A1200" s="8">
        <v>1194</v>
      </c>
      <c r="B1200" s="9" t="s">
        <v>7921</v>
      </c>
      <c r="C1200" s="10" t="str">
        <f>VLOOKUP(B1200,'Data Angt'!$A$5:$B$5809,2,FALSE)</f>
        <v>A3570</v>
      </c>
      <c r="D1200" s="11" t="s">
        <v>9842</v>
      </c>
      <c r="E1200" s="12" t="s">
        <v>23390</v>
      </c>
      <c r="F1200" s="13">
        <v>45866</v>
      </c>
      <c r="G1200" s="14">
        <v>45929</v>
      </c>
      <c r="H1200" s="15">
        <v>500000000</v>
      </c>
      <c r="I1200" s="16">
        <v>120</v>
      </c>
      <c r="J1200" s="17">
        <v>11.4</v>
      </c>
      <c r="K1200" s="9" t="s">
        <v>9831</v>
      </c>
      <c r="L1200" s="10" t="s">
        <v>23391</v>
      </c>
      <c r="M1200" s="9" t="s">
        <v>10082</v>
      </c>
      <c r="N1200" s="10" t="s">
        <v>9830</v>
      </c>
      <c r="O1200" s="15">
        <v>495476300</v>
      </c>
      <c r="P1200" s="145">
        <v>3554512</v>
      </c>
      <c r="Q1200" s="9" t="s">
        <v>23392</v>
      </c>
      <c r="R1200" s="146" t="s">
        <v>23393</v>
      </c>
      <c r="T1200" s="92" t="s">
        <v>13852</v>
      </c>
      <c r="U1200">
        <v>1</v>
      </c>
      <c r="V1200">
        <f>VLOOKUP(T1200,'Data Angt'!$A$5:$F$5810,6,FALSE)</f>
        <v>35</v>
      </c>
      <c r="W1200" s="5" t="str">
        <f t="shared" si="18"/>
        <v>PRODUKTIF</v>
      </c>
      <c r="X1200" s="5" t="str">
        <f>VLOOKUP(T1200,'Data Angt'!$A$5:$H$5810,8,FALSE)</f>
        <v>Wiraswasta</v>
      </c>
      <c r="Y1200" s="5" t="str">
        <f>VLOOKUP(T1200,'Data Angt'!$A$5:$C$5808,3,FALSE)</f>
        <v>JBR</v>
      </c>
    </row>
    <row r="1201" spans="1:25" x14ac:dyDescent="0.3">
      <c r="A1201" s="8">
        <v>1195</v>
      </c>
      <c r="B1201" s="9" t="s">
        <v>7985</v>
      </c>
      <c r="C1201" s="10" t="str">
        <f>VLOOKUP(B1201,'Data Angt'!$A$5:$B$5809,2,FALSE)</f>
        <v>A3600</v>
      </c>
      <c r="D1201" s="11" t="s">
        <v>9829</v>
      </c>
      <c r="E1201" s="12" t="s">
        <v>16991</v>
      </c>
      <c r="F1201" s="13">
        <v>45822</v>
      </c>
      <c r="G1201" s="14">
        <v>45925</v>
      </c>
      <c r="H1201" s="15">
        <v>30000000</v>
      </c>
      <c r="I1201" s="16">
        <v>48</v>
      </c>
      <c r="J1201" s="17">
        <v>18</v>
      </c>
      <c r="K1201" s="9" t="s">
        <v>9827</v>
      </c>
      <c r="L1201" s="10" t="s">
        <v>16992</v>
      </c>
      <c r="M1201" s="9" t="s">
        <v>16856</v>
      </c>
      <c r="N1201" s="10" t="s">
        <v>9828</v>
      </c>
      <c r="O1201" s="15">
        <v>28125000</v>
      </c>
      <c r="P1201" s="145">
        <v>495749</v>
      </c>
      <c r="Q1201" s="9" t="s">
        <v>22431</v>
      </c>
      <c r="R1201" s="146" t="s">
        <v>23394</v>
      </c>
      <c r="T1201" s="92" t="s">
        <v>13876</v>
      </c>
      <c r="U1201">
        <v>1</v>
      </c>
      <c r="V1201">
        <f>VLOOKUP(T1201,'Data Angt'!$A$5:$F$5810,6,FALSE)</f>
        <v>31</v>
      </c>
      <c r="W1201" s="5" t="str">
        <f t="shared" si="18"/>
        <v>KESEJAHTERAAN</v>
      </c>
      <c r="X1201" s="5" t="str">
        <f>VLOOKUP(T1201,'Data Angt'!$A$5:$H$5810,8,FALSE)</f>
        <v>Tenaga Pengajar</v>
      </c>
      <c r="Y1201" s="5" t="str">
        <f>VLOOKUP(T1201,'Data Angt'!$A$5:$C$5808,3,FALSE)</f>
        <v>JBR</v>
      </c>
    </row>
    <row r="1202" spans="1:25" x14ac:dyDescent="0.3">
      <c r="A1202" s="8">
        <v>1196</v>
      </c>
      <c r="B1202" s="9" t="s">
        <v>8032</v>
      </c>
      <c r="C1202" s="10" t="str">
        <f>VLOOKUP(B1202,'Data Angt'!$A$5:$B$5809,2,FALSE)</f>
        <v>A3622</v>
      </c>
      <c r="D1202" s="11" t="s">
        <v>9833</v>
      </c>
      <c r="E1202" s="12" t="s">
        <v>10467</v>
      </c>
      <c r="F1202" s="13">
        <v>45162</v>
      </c>
      <c r="G1202" s="14">
        <v>45924</v>
      </c>
      <c r="H1202" s="15">
        <v>15000000</v>
      </c>
      <c r="I1202" s="16">
        <v>48</v>
      </c>
      <c r="J1202" s="17">
        <v>24</v>
      </c>
      <c r="K1202" s="9" t="s">
        <v>9827</v>
      </c>
      <c r="L1202" s="10" t="s">
        <v>10468</v>
      </c>
      <c r="M1202" s="9" t="s">
        <v>10469</v>
      </c>
      <c r="N1202" s="10" t="s">
        <v>9834</v>
      </c>
      <c r="O1202" s="15">
        <v>7187500</v>
      </c>
      <c r="P1202" s="145">
        <v>2109594</v>
      </c>
      <c r="Q1202" s="9" t="s">
        <v>23304</v>
      </c>
      <c r="R1202" s="146" t="s">
        <v>23395</v>
      </c>
      <c r="T1202" s="92" t="s">
        <v>13890</v>
      </c>
      <c r="U1202">
        <v>1</v>
      </c>
      <c r="V1202">
        <f>VLOOKUP(T1202,'Data Angt'!$A$5:$F$5810,6,FALSE)</f>
        <v>54</v>
      </c>
      <c r="W1202" s="5" t="str">
        <f t="shared" si="18"/>
        <v>PRODUKTIF</v>
      </c>
      <c r="X1202" s="5" t="str">
        <f>VLOOKUP(T1202,'Data Angt'!$A$5:$H$5810,8,FALSE)</f>
        <v>Wiraswasta</v>
      </c>
      <c r="Y1202" s="5" t="str">
        <f>VLOOKUP(T1202,'Data Angt'!$A$5:$C$5808,3,FALSE)</f>
        <v>JBR</v>
      </c>
    </row>
    <row r="1203" spans="1:25" x14ac:dyDescent="0.3">
      <c r="A1203" s="8">
        <v>1197</v>
      </c>
      <c r="B1203" s="9" t="s">
        <v>8132</v>
      </c>
      <c r="C1203" s="10" t="str">
        <f>VLOOKUP(B1203,'Data Angt'!$A$5:$B$5809,2,FALSE)</f>
        <v>A3681</v>
      </c>
      <c r="D1203" s="11" t="s">
        <v>9842</v>
      </c>
      <c r="E1203" s="12" t="s">
        <v>10470</v>
      </c>
      <c r="F1203" s="13">
        <v>45198</v>
      </c>
      <c r="G1203" s="14">
        <v>45930</v>
      </c>
      <c r="H1203" s="15">
        <v>150000000</v>
      </c>
      <c r="I1203" s="16">
        <v>120</v>
      </c>
      <c r="J1203" s="17">
        <v>11.4</v>
      </c>
      <c r="K1203" s="9" t="s">
        <v>9831</v>
      </c>
      <c r="L1203" s="10" t="s">
        <v>10471</v>
      </c>
      <c r="M1203" s="9" t="s">
        <v>10082</v>
      </c>
      <c r="N1203" s="10" t="s">
        <v>9830</v>
      </c>
      <c r="O1203" s="15">
        <v>131890900</v>
      </c>
      <c r="P1203" s="145">
        <v>12112681</v>
      </c>
      <c r="Q1203" s="9" t="s">
        <v>23396</v>
      </c>
      <c r="R1203" s="146" t="s">
        <v>23397</v>
      </c>
      <c r="T1203" s="92" t="s">
        <v>13895</v>
      </c>
      <c r="U1203">
        <v>1</v>
      </c>
      <c r="V1203">
        <f>VLOOKUP(T1203,'Data Angt'!$A$5:$F$5810,6,FALSE)</f>
        <v>40</v>
      </c>
      <c r="W1203" s="5" t="str">
        <f t="shared" si="18"/>
        <v>PRODUKTIF</v>
      </c>
      <c r="X1203" s="5" t="str">
        <f>VLOOKUP(T1203,'Data Angt'!$A$5:$H$5810,8,FALSE)</f>
        <v>Karyawan</v>
      </c>
      <c r="Y1203" s="5" t="str">
        <f>VLOOKUP(T1203,'Data Angt'!$A$5:$C$5808,3,FALSE)</f>
        <v>JBR</v>
      </c>
    </row>
    <row r="1204" spans="1:25" x14ac:dyDescent="0.3">
      <c r="A1204" s="8">
        <v>1198</v>
      </c>
      <c r="B1204" s="9" t="s">
        <v>8136</v>
      </c>
      <c r="C1204" s="10" t="str">
        <f>VLOOKUP(B1204,'Data Angt'!$A$5:$B$5809,2,FALSE)</f>
        <v>A3684</v>
      </c>
      <c r="D1204" s="11" t="s">
        <v>9833</v>
      </c>
      <c r="E1204" s="12" t="s">
        <v>16993</v>
      </c>
      <c r="F1204" s="13">
        <v>45710</v>
      </c>
      <c r="G1204" s="14">
        <v>45919</v>
      </c>
      <c r="H1204" s="15">
        <v>8500000</v>
      </c>
      <c r="I1204" s="16">
        <v>24</v>
      </c>
      <c r="J1204" s="17">
        <v>24</v>
      </c>
      <c r="K1204" s="9" t="s">
        <v>9827</v>
      </c>
      <c r="L1204" s="10" t="s">
        <v>16994</v>
      </c>
      <c r="M1204" s="9" t="s">
        <v>9862</v>
      </c>
      <c r="N1204" s="10" t="s">
        <v>9834</v>
      </c>
      <c r="O1204" s="15">
        <v>6020600</v>
      </c>
      <c r="P1204" s="145">
        <v>390561</v>
      </c>
      <c r="Q1204" s="9" t="s">
        <v>23304</v>
      </c>
      <c r="R1204" s="146" t="s">
        <v>23398</v>
      </c>
      <c r="T1204" s="92" t="s">
        <v>13932</v>
      </c>
      <c r="U1204">
        <v>1</v>
      </c>
      <c r="V1204">
        <f>VLOOKUP(T1204,'Data Angt'!$A$5:$F$5810,6,FALSE)</f>
        <v>38</v>
      </c>
      <c r="W1204" s="5" t="str">
        <f t="shared" si="18"/>
        <v>PENDIDIKAN</v>
      </c>
      <c r="X1204" s="5" t="str">
        <f>VLOOKUP(T1204,'Data Angt'!$A$5:$H$5810,8,FALSE)</f>
        <v>Mengurus Rumah Tangga</v>
      </c>
      <c r="Y1204" s="5" t="str">
        <f>VLOOKUP(T1204,'Data Angt'!$A$5:$C$5808,3,FALSE)</f>
        <v>JBR</v>
      </c>
    </row>
    <row r="1205" spans="1:25" x14ac:dyDescent="0.3">
      <c r="A1205" s="8">
        <v>1199</v>
      </c>
      <c r="B1205" s="9" t="s">
        <v>8268</v>
      </c>
      <c r="C1205" s="10" t="str">
        <f>VLOOKUP(B1205,'Data Angt'!$A$5:$B$5809,2,FALSE)</f>
        <v>A3746</v>
      </c>
      <c r="D1205" s="11" t="s">
        <v>9826</v>
      </c>
      <c r="E1205" s="12" t="s">
        <v>16995</v>
      </c>
      <c r="F1205" s="13">
        <v>45376</v>
      </c>
      <c r="G1205" s="14">
        <v>45902</v>
      </c>
      <c r="H1205" s="15">
        <v>10000000</v>
      </c>
      <c r="I1205" s="16">
        <v>24</v>
      </c>
      <c r="J1205" s="17">
        <v>12</v>
      </c>
      <c r="K1205" s="9" t="s">
        <v>9831</v>
      </c>
      <c r="L1205" s="10" t="s">
        <v>16996</v>
      </c>
      <c r="M1205" s="9" t="s">
        <v>9862</v>
      </c>
      <c r="N1205" s="10" t="s">
        <v>9834</v>
      </c>
      <c r="O1205" s="15">
        <v>2727600</v>
      </c>
      <c r="P1205" s="145">
        <v>450746</v>
      </c>
      <c r="Q1205" s="9"/>
      <c r="R1205" s="146"/>
      <c r="T1205" s="92" t="s">
        <v>14143</v>
      </c>
      <c r="U1205">
        <v>2</v>
      </c>
      <c r="V1205">
        <f>VLOOKUP(T1205,'Data Angt'!$A$5:$F$5810,6,FALSE)</f>
        <v>40</v>
      </c>
      <c r="W1205" s="5" t="str">
        <f t="shared" si="18"/>
        <v>KONSUMTIF</v>
      </c>
      <c r="X1205" s="5" t="str">
        <f>VLOOKUP(T1205,'Data Angt'!$A$5:$H$5810,8,FALSE)</f>
        <v>Mengurus Rumah Tangga</v>
      </c>
      <c r="Y1205" s="5" t="str">
        <f>VLOOKUP(T1205,'Data Angt'!$A$5:$C$5808,3,FALSE)</f>
        <v>JBR</v>
      </c>
    </row>
    <row r="1206" spans="1:25" x14ac:dyDescent="0.3">
      <c r="A1206" s="8">
        <v>1200</v>
      </c>
      <c r="B1206" s="9" t="s">
        <v>8389</v>
      </c>
      <c r="C1206" s="10" t="str">
        <f>VLOOKUP(B1206,'Data Angt'!$A$5:$B$5809,2,FALSE)</f>
        <v>A3802</v>
      </c>
      <c r="D1206" s="11" t="s">
        <v>9833</v>
      </c>
      <c r="E1206" s="12" t="s">
        <v>10472</v>
      </c>
      <c r="F1206" s="13">
        <v>44813</v>
      </c>
      <c r="G1206" s="14">
        <v>45199</v>
      </c>
      <c r="H1206" s="15">
        <v>10000000</v>
      </c>
      <c r="I1206" s="16">
        <v>36</v>
      </c>
      <c r="J1206" s="17">
        <v>24</v>
      </c>
      <c r="K1206" s="9" t="s">
        <v>9827</v>
      </c>
      <c r="L1206" s="10" t="s">
        <v>10473</v>
      </c>
      <c r="M1206" s="9" t="s">
        <v>10474</v>
      </c>
      <c r="N1206" s="10" t="s">
        <v>9834</v>
      </c>
      <c r="O1206" s="15">
        <v>6944200</v>
      </c>
      <c r="P1206" s="145">
        <v>787686</v>
      </c>
      <c r="Q1206" s="9"/>
      <c r="R1206" s="146"/>
      <c r="T1206" s="92" t="s">
        <v>14224</v>
      </c>
      <c r="U1206">
        <v>1</v>
      </c>
      <c r="V1206">
        <f>VLOOKUP(T1206,'Data Angt'!$A$5:$F$5810,6,FALSE)</f>
        <v>26</v>
      </c>
      <c r="W1206" s="5" t="str">
        <f t="shared" si="18"/>
        <v>PRODUKTIF</v>
      </c>
      <c r="X1206" s="5" t="str">
        <f>VLOOKUP(T1206,'Data Angt'!$A$5:$H$5810,8,FALSE)</f>
        <v>Wiraswasta</v>
      </c>
      <c r="Y1206" s="5" t="str">
        <f>VLOOKUP(T1206,'Data Angt'!$A$5:$C$5808,3,FALSE)</f>
        <v>JBR</v>
      </c>
    </row>
    <row r="1207" spans="1:25" x14ac:dyDescent="0.3">
      <c r="A1207" s="8">
        <v>1201</v>
      </c>
      <c r="B1207" s="9" t="s">
        <v>8416</v>
      </c>
      <c r="C1207" s="10" t="str">
        <f>VLOOKUP(B1207,'Data Angt'!$A$5:$B$5809,2,FALSE)</f>
        <v>A3815</v>
      </c>
      <c r="D1207" s="11" t="s">
        <v>9829</v>
      </c>
      <c r="E1207" s="12" t="s">
        <v>16997</v>
      </c>
      <c r="F1207" s="13">
        <v>45693</v>
      </c>
      <c r="G1207" s="14">
        <v>45904</v>
      </c>
      <c r="H1207" s="15">
        <v>4000000</v>
      </c>
      <c r="I1207" s="16">
        <v>24</v>
      </c>
      <c r="J1207" s="17">
        <v>24</v>
      </c>
      <c r="K1207" s="9" t="s">
        <v>9827</v>
      </c>
      <c r="L1207" s="10" t="s">
        <v>16998</v>
      </c>
      <c r="M1207" s="9" t="s">
        <v>16999</v>
      </c>
      <c r="N1207" s="10" t="s">
        <v>9828</v>
      </c>
      <c r="O1207" s="15">
        <v>2833100</v>
      </c>
      <c r="P1207" s="145">
        <v>183824</v>
      </c>
      <c r="Q1207" s="9" t="s">
        <v>23304</v>
      </c>
      <c r="R1207" s="146" t="s">
        <v>23399</v>
      </c>
      <c r="T1207" s="92" t="s">
        <v>14264</v>
      </c>
      <c r="U1207">
        <v>1</v>
      </c>
      <c r="V1207">
        <f>VLOOKUP(T1207,'Data Angt'!$A$5:$F$5810,6,FALSE)</f>
        <v>30</v>
      </c>
      <c r="W1207" s="5" t="str">
        <f t="shared" si="18"/>
        <v>PENDIDIKAN</v>
      </c>
      <c r="X1207" s="5" t="str">
        <f>VLOOKUP(T1207,'Data Angt'!$A$5:$H$5810,8,FALSE)</f>
        <v>Mengurus Rumah Tangga</v>
      </c>
      <c r="Y1207" s="5" t="str">
        <f>VLOOKUP(T1207,'Data Angt'!$A$5:$C$5808,3,FALSE)</f>
        <v>JBR</v>
      </c>
    </row>
    <row r="1208" spans="1:25" x14ac:dyDescent="0.3">
      <c r="A1208" s="8">
        <v>1202</v>
      </c>
      <c r="B1208" s="9" t="s">
        <v>8441</v>
      </c>
      <c r="C1208" s="10" t="str">
        <f>VLOOKUP(B1208,'Data Angt'!$A$5:$B$5809,2,FALSE)</f>
        <v>A3827</v>
      </c>
      <c r="D1208" s="11" t="s">
        <v>9895</v>
      </c>
      <c r="E1208" s="12" t="s">
        <v>10475</v>
      </c>
      <c r="F1208" s="13">
        <v>45246</v>
      </c>
      <c r="G1208" s="14">
        <v>45916</v>
      </c>
      <c r="H1208" s="15">
        <v>20000000</v>
      </c>
      <c r="I1208" s="16">
        <v>24</v>
      </c>
      <c r="J1208" s="17">
        <v>24</v>
      </c>
      <c r="K1208" s="9" t="s">
        <v>9827</v>
      </c>
      <c r="L1208" s="10" t="s">
        <v>10476</v>
      </c>
      <c r="M1208" s="9" t="s">
        <v>10477</v>
      </c>
      <c r="N1208" s="10" t="s">
        <v>9828</v>
      </c>
      <c r="O1208" s="15">
        <v>1665200</v>
      </c>
      <c r="P1208" s="145">
        <v>1856509</v>
      </c>
      <c r="Q1208" s="9"/>
      <c r="R1208" s="146"/>
      <c r="T1208" s="92" t="s">
        <v>14266</v>
      </c>
      <c r="U1208">
        <v>1</v>
      </c>
      <c r="V1208">
        <f>VLOOKUP(T1208,'Data Angt'!$A$5:$F$5810,6,FALSE)</f>
        <v>42</v>
      </c>
      <c r="W1208" s="5" t="str">
        <f t="shared" si="18"/>
        <v>PRODUKTIF</v>
      </c>
      <c r="X1208" s="5" t="str">
        <f>VLOOKUP(T1208,'Data Angt'!$A$5:$H$5810,8,FALSE)</f>
        <v>Wiraswasta</v>
      </c>
      <c r="Y1208" s="5" t="str">
        <f>VLOOKUP(T1208,'Data Angt'!$A$5:$C$5808,3,FALSE)</f>
        <v>JBR</v>
      </c>
    </row>
    <row r="1209" spans="1:25" x14ac:dyDescent="0.3">
      <c r="A1209" s="8">
        <v>1203</v>
      </c>
      <c r="B1209" s="9" t="s">
        <v>8478</v>
      </c>
      <c r="C1209" s="10" t="str">
        <f>VLOOKUP(B1209,'Data Angt'!$A$5:$B$5809,2,FALSE)</f>
        <v>A3845</v>
      </c>
      <c r="D1209" s="11" t="s">
        <v>9833</v>
      </c>
      <c r="E1209" s="12" t="s">
        <v>17000</v>
      </c>
      <c r="F1209" s="13">
        <v>45344</v>
      </c>
      <c r="G1209" s="14">
        <v>45468</v>
      </c>
      <c r="H1209" s="15">
        <v>3000000</v>
      </c>
      <c r="I1209" s="16">
        <v>12</v>
      </c>
      <c r="J1209" s="17">
        <v>24</v>
      </c>
      <c r="K1209" s="9" t="s">
        <v>9827</v>
      </c>
      <c r="L1209" s="10" t="s">
        <v>17001</v>
      </c>
      <c r="M1209" s="9" t="s">
        <v>17002</v>
      </c>
      <c r="N1209" s="10" t="s">
        <v>9834</v>
      </c>
      <c r="O1209" s="15">
        <v>2000000</v>
      </c>
      <c r="P1209" s="145">
        <v>78750</v>
      </c>
      <c r="Q1209" s="9"/>
      <c r="R1209" s="146"/>
      <c r="T1209" s="92" t="s">
        <v>14274</v>
      </c>
      <c r="U1209">
        <v>1</v>
      </c>
      <c r="V1209">
        <f>VLOOKUP(T1209,'Data Angt'!$A$5:$F$5810,6,FALSE)</f>
        <v>45</v>
      </c>
      <c r="W1209" s="5" t="str">
        <f t="shared" si="18"/>
        <v>PRODUKTIF</v>
      </c>
      <c r="X1209" s="5" t="str">
        <f>VLOOKUP(T1209,'Data Angt'!$A$5:$H$5810,8,FALSE)</f>
        <v>Wiraswasta</v>
      </c>
      <c r="Y1209" s="5" t="str">
        <f>VLOOKUP(T1209,'Data Angt'!$A$5:$C$5808,3,FALSE)</f>
        <v>JBR</v>
      </c>
    </row>
    <row r="1210" spans="1:25" x14ac:dyDescent="0.3">
      <c r="A1210" s="8">
        <v>1204</v>
      </c>
      <c r="B1210" s="9" t="s">
        <v>8500</v>
      </c>
      <c r="C1210" s="10" t="str">
        <f>VLOOKUP(B1210,'Data Angt'!$A$5:$B$5809,2,FALSE)</f>
        <v>A3854</v>
      </c>
      <c r="D1210" s="11" t="s">
        <v>9829</v>
      </c>
      <c r="E1210" s="12" t="s">
        <v>17003</v>
      </c>
      <c r="F1210" s="13">
        <v>45626</v>
      </c>
      <c r="G1210" s="14">
        <v>45930</v>
      </c>
      <c r="H1210" s="15">
        <v>130000000</v>
      </c>
      <c r="I1210" s="16">
        <v>48</v>
      </c>
      <c r="J1210" s="17">
        <v>21</v>
      </c>
      <c r="K1210" s="9" t="s">
        <v>9827</v>
      </c>
      <c r="L1210" s="10" t="s">
        <v>17004</v>
      </c>
      <c r="M1210" s="9" t="s">
        <v>17005</v>
      </c>
      <c r="N1210" s="10" t="s">
        <v>9830</v>
      </c>
      <c r="O1210" s="15">
        <v>111041200</v>
      </c>
      <c r="P1210" s="145">
        <v>7127396</v>
      </c>
      <c r="Q1210" s="9" t="s">
        <v>22575</v>
      </c>
      <c r="R1210" s="146" t="s">
        <v>23400</v>
      </c>
      <c r="T1210" s="92" t="s">
        <v>14275</v>
      </c>
      <c r="U1210">
        <v>2</v>
      </c>
      <c r="V1210">
        <f>VLOOKUP(T1210,'Data Angt'!$A$5:$F$5810,6,FALSE)</f>
        <v>60</v>
      </c>
      <c r="W1210" s="5" t="str">
        <f t="shared" si="18"/>
        <v>PRODUKTIF</v>
      </c>
      <c r="X1210" s="5" t="str">
        <f>VLOOKUP(T1210,'Data Angt'!$A$5:$H$5810,8,FALSE)</f>
        <v>Wiraswasta</v>
      </c>
      <c r="Y1210" s="5" t="str">
        <f>VLOOKUP(T1210,'Data Angt'!$A$5:$C$5808,3,FALSE)</f>
        <v>JBR</v>
      </c>
    </row>
    <row r="1211" spans="1:25" x14ac:dyDescent="0.3">
      <c r="A1211" s="8">
        <v>1205</v>
      </c>
      <c r="B1211" s="9" t="s">
        <v>8554</v>
      </c>
      <c r="C1211" s="10" t="str">
        <f>VLOOKUP(B1211,'Data Angt'!$A$5:$B$5809,2,FALSE)</f>
        <v>A3880</v>
      </c>
      <c r="D1211" s="11" t="s">
        <v>9833</v>
      </c>
      <c r="E1211" s="12" t="s">
        <v>10478</v>
      </c>
      <c r="F1211" s="13">
        <v>44495</v>
      </c>
      <c r="G1211" s="14">
        <v>45230</v>
      </c>
      <c r="H1211" s="15">
        <v>5000000</v>
      </c>
      <c r="I1211" s="16">
        <v>12</v>
      </c>
      <c r="J1211" s="17">
        <v>24</v>
      </c>
      <c r="K1211" s="9" t="s">
        <v>9827</v>
      </c>
      <c r="L1211" s="10" t="s">
        <v>10479</v>
      </c>
      <c r="M1211" s="9" t="s">
        <v>10480</v>
      </c>
      <c r="N1211" s="10" t="s">
        <v>9834</v>
      </c>
      <c r="O1211" s="15">
        <v>1249700</v>
      </c>
      <c r="P1211" s="145">
        <v>422285</v>
      </c>
      <c r="Q1211" s="9"/>
      <c r="R1211" s="146"/>
      <c r="T1211" s="92" t="s">
        <v>14281</v>
      </c>
      <c r="U1211">
        <v>1</v>
      </c>
      <c r="V1211">
        <f>VLOOKUP(T1211,'Data Angt'!$A$5:$F$5810,6,FALSE)</f>
        <v>24</v>
      </c>
      <c r="W1211" s="5" t="str">
        <f t="shared" si="18"/>
        <v>KESEJAHTERAAN</v>
      </c>
      <c r="X1211" s="5" t="str">
        <f>VLOOKUP(T1211,'Data Angt'!$A$5:$H$5810,8,FALSE)</f>
        <v>Karyawan</v>
      </c>
      <c r="Y1211" s="5" t="str">
        <f>VLOOKUP(T1211,'Data Angt'!$A$5:$C$5808,3,FALSE)</f>
        <v>JBR</v>
      </c>
    </row>
    <row r="1212" spans="1:25" x14ac:dyDescent="0.3">
      <c r="A1212" s="8">
        <v>1206</v>
      </c>
      <c r="B1212" s="9" t="s">
        <v>8582</v>
      </c>
      <c r="C1212" s="10" t="str">
        <f>VLOOKUP(B1212,'Data Angt'!$A$5:$B$5809,2,FALSE)</f>
        <v>A3892</v>
      </c>
      <c r="D1212" s="11" t="s">
        <v>9829</v>
      </c>
      <c r="E1212" s="12" t="s">
        <v>23401</v>
      </c>
      <c r="F1212" s="13">
        <v>45917</v>
      </c>
      <c r="G1212" s="14">
        <v>45917</v>
      </c>
      <c r="H1212" s="15">
        <v>21000000</v>
      </c>
      <c r="I1212" s="16">
        <v>48</v>
      </c>
      <c r="J1212" s="17">
        <v>24</v>
      </c>
      <c r="K1212" s="9" t="s">
        <v>9827</v>
      </c>
      <c r="L1212" s="10" t="s">
        <v>23402</v>
      </c>
      <c r="M1212" s="9" t="s">
        <v>9838</v>
      </c>
      <c r="N1212" s="10" t="s">
        <v>9830</v>
      </c>
      <c r="O1212" s="15">
        <v>21000000</v>
      </c>
      <c r="P1212" s="147">
        <v>0</v>
      </c>
      <c r="Q1212" s="9"/>
      <c r="R1212" s="146"/>
      <c r="T1212" s="92" t="s">
        <v>14377</v>
      </c>
      <c r="U1212">
        <v>1</v>
      </c>
      <c r="V1212">
        <f>VLOOKUP(T1212,'Data Angt'!$A$5:$F$5810,6,FALSE)</f>
        <v>26</v>
      </c>
      <c r="W1212" s="5" t="str">
        <f t="shared" si="18"/>
        <v>KESEJAHTERAAN</v>
      </c>
      <c r="X1212" s="5" t="str">
        <f>VLOOKUP(T1212,'Data Angt'!$A$5:$H$5810,8,FALSE)</f>
        <v>Karyawan</v>
      </c>
      <c r="Y1212" s="5" t="str">
        <f>VLOOKUP(T1212,'Data Angt'!$A$5:$C$5808,3,FALSE)</f>
        <v>JBR</v>
      </c>
    </row>
    <row r="1213" spans="1:25" x14ac:dyDescent="0.3">
      <c r="A1213" s="8">
        <v>1207</v>
      </c>
      <c r="B1213" s="9" t="s">
        <v>8584</v>
      </c>
      <c r="C1213" s="10" t="str">
        <f>VLOOKUP(B1213,'Data Angt'!$A$5:$B$5809,2,FALSE)</f>
        <v>A3893</v>
      </c>
      <c r="D1213" s="11" t="s">
        <v>9845</v>
      </c>
      <c r="E1213" s="12" t="s">
        <v>17006</v>
      </c>
      <c r="F1213" s="13">
        <v>45715</v>
      </c>
      <c r="G1213" s="14">
        <v>45927</v>
      </c>
      <c r="H1213" s="15">
        <v>4000000</v>
      </c>
      <c r="I1213" s="16">
        <v>15</v>
      </c>
      <c r="J1213" s="17">
        <v>11.88</v>
      </c>
      <c r="K1213" s="9" t="s">
        <v>9831</v>
      </c>
      <c r="L1213" s="10" t="s">
        <v>17007</v>
      </c>
      <c r="M1213" s="9" t="s">
        <v>9846</v>
      </c>
      <c r="N1213" s="10" t="s">
        <v>9828</v>
      </c>
      <c r="O1213" s="15">
        <v>2206900</v>
      </c>
      <c r="P1213" s="145">
        <v>84373</v>
      </c>
      <c r="Q1213" s="9"/>
      <c r="R1213" s="146"/>
      <c r="T1213" s="92" t="s">
        <v>14381</v>
      </c>
      <c r="U1213">
        <v>1</v>
      </c>
      <c r="V1213">
        <f>VLOOKUP(T1213,'Data Angt'!$A$5:$F$5810,6,FALSE)</f>
        <v>56</v>
      </c>
      <c r="W1213" s="5" t="str">
        <f t="shared" si="18"/>
        <v>PENDIDIKAN</v>
      </c>
      <c r="X1213" s="5" t="str">
        <f>VLOOKUP(T1213,'Data Angt'!$A$5:$H$5810,8,FALSE)</f>
        <v>Mengurus Rumah Tangga</v>
      </c>
      <c r="Y1213" s="5" t="str">
        <f>VLOOKUP(T1213,'Data Angt'!$A$5:$C$5808,3,FALSE)</f>
        <v>JBR</v>
      </c>
    </row>
    <row r="1214" spans="1:25" x14ac:dyDescent="0.3">
      <c r="A1214" s="8">
        <v>1208</v>
      </c>
      <c r="B1214" s="9" t="s">
        <v>8584</v>
      </c>
      <c r="C1214" s="10" t="str">
        <f>VLOOKUP(B1214,'Data Angt'!$A$5:$B$5809,2,FALSE)</f>
        <v>A3893</v>
      </c>
      <c r="D1214" s="11" t="s">
        <v>9833</v>
      </c>
      <c r="E1214" s="12" t="s">
        <v>17008</v>
      </c>
      <c r="F1214" s="13">
        <v>45679</v>
      </c>
      <c r="G1214" s="14">
        <v>45922</v>
      </c>
      <c r="H1214" s="15">
        <v>10000000</v>
      </c>
      <c r="I1214" s="16">
        <v>24</v>
      </c>
      <c r="J1214" s="17">
        <v>24</v>
      </c>
      <c r="K1214" s="9" t="s">
        <v>9827</v>
      </c>
      <c r="L1214" s="10" t="s">
        <v>17009</v>
      </c>
      <c r="M1214" s="9" t="s">
        <v>9977</v>
      </c>
      <c r="N1214" s="10" t="s">
        <v>9834</v>
      </c>
      <c r="O1214" s="15">
        <v>6666400</v>
      </c>
      <c r="P1214" s="145">
        <v>512586</v>
      </c>
      <c r="Q1214" s="9"/>
      <c r="R1214" s="146"/>
      <c r="T1214" s="92" t="s">
        <v>14387</v>
      </c>
      <c r="U1214">
        <v>1</v>
      </c>
      <c r="V1214">
        <f>VLOOKUP(T1214,'Data Angt'!$A$5:$F$5810,6,FALSE)</f>
        <v>36</v>
      </c>
      <c r="W1214" s="5" t="str">
        <f t="shared" si="18"/>
        <v>PRODUKTIF</v>
      </c>
      <c r="X1214" s="5" t="str">
        <f>VLOOKUP(T1214,'Data Angt'!$A$5:$H$5810,8,FALSE)</f>
        <v>Wiraswasta</v>
      </c>
      <c r="Y1214" s="5" t="str">
        <f>VLOOKUP(T1214,'Data Angt'!$A$5:$C$5808,3,FALSE)</f>
        <v>JBR</v>
      </c>
    </row>
    <row r="1215" spans="1:25" x14ac:dyDescent="0.3">
      <c r="A1215" s="8">
        <v>1209</v>
      </c>
      <c r="B1215" s="9" t="s">
        <v>8634</v>
      </c>
      <c r="C1215" s="10" t="str">
        <f>VLOOKUP(B1215,'Data Angt'!$A$5:$B$5809,2,FALSE)</f>
        <v>A3915</v>
      </c>
      <c r="D1215" s="11" t="s">
        <v>9829</v>
      </c>
      <c r="E1215" s="12" t="s">
        <v>17010</v>
      </c>
      <c r="F1215" s="13">
        <v>45468</v>
      </c>
      <c r="G1215" s="14">
        <v>45895</v>
      </c>
      <c r="H1215" s="15">
        <v>5000000</v>
      </c>
      <c r="I1215" s="16">
        <v>18</v>
      </c>
      <c r="J1215" s="17">
        <v>24</v>
      </c>
      <c r="K1215" s="9" t="s">
        <v>9827</v>
      </c>
      <c r="L1215" s="10" t="s">
        <v>17011</v>
      </c>
      <c r="M1215" s="9" t="s">
        <v>16225</v>
      </c>
      <c r="N1215" s="10" t="s">
        <v>17</v>
      </c>
      <c r="O1215" s="15">
        <v>1110800</v>
      </c>
      <c r="P1215" s="145">
        <v>341811</v>
      </c>
      <c r="Q1215" s="9" t="s">
        <v>23304</v>
      </c>
      <c r="R1215" s="146" t="s">
        <v>23403</v>
      </c>
      <c r="T1215" s="92" t="s">
        <v>14421</v>
      </c>
      <c r="U1215">
        <v>1</v>
      </c>
      <c r="V1215">
        <f>VLOOKUP(T1215,'Data Angt'!$A$5:$F$5810,6,FALSE)</f>
        <v>36</v>
      </c>
      <c r="W1215" s="5" t="str">
        <f t="shared" si="18"/>
        <v>PRODUKTIF</v>
      </c>
      <c r="X1215" s="5" t="str">
        <f>VLOOKUP(T1215,'Data Angt'!$A$5:$H$5810,8,FALSE)</f>
        <v>Wiraswasta</v>
      </c>
      <c r="Y1215" s="5" t="str">
        <f>VLOOKUP(T1215,'Data Angt'!$A$5:$C$5808,3,FALSE)</f>
        <v>JBR</v>
      </c>
    </row>
    <row r="1216" spans="1:25" x14ac:dyDescent="0.3">
      <c r="A1216" s="8">
        <v>1210</v>
      </c>
      <c r="B1216" s="9" t="s">
        <v>8643</v>
      </c>
      <c r="C1216" s="10" t="str">
        <f>VLOOKUP(B1216,'Data Angt'!$A$5:$B$5809,2,FALSE)</f>
        <v>A3920</v>
      </c>
      <c r="D1216" s="11" t="s">
        <v>9829</v>
      </c>
      <c r="E1216" s="12" t="s">
        <v>17012</v>
      </c>
      <c r="F1216" s="13">
        <v>45617</v>
      </c>
      <c r="G1216" s="14">
        <v>45930</v>
      </c>
      <c r="H1216" s="15">
        <v>15000000</v>
      </c>
      <c r="I1216" s="16">
        <v>19</v>
      </c>
      <c r="J1216" s="17">
        <v>24</v>
      </c>
      <c r="K1216" s="9" t="s">
        <v>9831</v>
      </c>
      <c r="L1216" s="10" t="s">
        <v>17013</v>
      </c>
      <c r="M1216" s="9" t="s">
        <v>9838</v>
      </c>
      <c r="N1216" s="10" t="s">
        <v>9830</v>
      </c>
      <c r="O1216" s="15">
        <v>7808600</v>
      </c>
      <c r="P1216" s="145">
        <v>891222</v>
      </c>
      <c r="Q1216" s="9" t="s">
        <v>23304</v>
      </c>
      <c r="R1216" s="146" t="s">
        <v>23404</v>
      </c>
      <c r="T1216" s="92" t="s">
        <v>14469</v>
      </c>
      <c r="U1216">
        <v>1</v>
      </c>
      <c r="V1216">
        <f>VLOOKUP(T1216,'Data Angt'!$A$5:$F$5810,6,FALSE)</f>
        <v>46</v>
      </c>
      <c r="W1216" s="5" t="str">
        <f t="shared" si="18"/>
        <v>PRODUKTIF</v>
      </c>
      <c r="X1216" s="5" t="str">
        <f>VLOOKUP(T1216,'Data Angt'!$A$5:$H$5810,8,FALSE)</f>
        <v>Tenaga Pengajar</v>
      </c>
      <c r="Y1216" s="5" t="str">
        <f>VLOOKUP(T1216,'Data Angt'!$A$5:$C$5808,3,FALSE)</f>
        <v>JBR</v>
      </c>
    </row>
    <row r="1217" spans="1:25" x14ac:dyDescent="0.3">
      <c r="A1217" s="8">
        <v>1211</v>
      </c>
      <c r="B1217" s="9" t="s">
        <v>8645</v>
      </c>
      <c r="C1217" s="10" t="str">
        <f>VLOOKUP(B1217,'Data Angt'!$A$5:$B$5809,2,FALSE)</f>
        <v>A3921</v>
      </c>
      <c r="D1217" s="11" t="s">
        <v>9829</v>
      </c>
      <c r="E1217" s="12" t="s">
        <v>10481</v>
      </c>
      <c r="F1217" s="13">
        <v>45004</v>
      </c>
      <c r="G1217" s="14">
        <v>45930</v>
      </c>
      <c r="H1217" s="15">
        <v>25000000</v>
      </c>
      <c r="I1217" s="16">
        <v>25</v>
      </c>
      <c r="J1217" s="17">
        <v>21</v>
      </c>
      <c r="K1217" s="9" t="s">
        <v>9831</v>
      </c>
      <c r="L1217" s="10" t="s">
        <v>10482</v>
      </c>
      <c r="M1217" s="9" t="s">
        <v>10438</v>
      </c>
      <c r="N1217" s="10" t="s">
        <v>9830</v>
      </c>
      <c r="O1217" s="15">
        <v>19913100</v>
      </c>
      <c r="P1217" s="145">
        <v>4749742</v>
      </c>
      <c r="Q1217" s="9"/>
      <c r="R1217" s="146"/>
      <c r="T1217" s="92" t="s">
        <v>14483</v>
      </c>
      <c r="U1217">
        <v>1</v>
      </c>
      <c r="V1217">
        <f>VLOOKUP(T1217,'Data Angt'!$A$5:$F$5810,6,FALSE)</f>
        <v>37</v>
      </c>
      <c r="W1217" s="5" t="str">
        <f t="shared" si="18"/>
        <v>PRODUKTIF</v>
      </c>
      <c r="X1217" s="5" t="str">
        <f>VLOOKUP(T1217,'Data Angt'!$A$5:$H$5810,8,FALSE)</f>
        <v>Mengurus Rumah Tangga</v>
      </c>
      <c r="Y1217" s="5" t="str">
        <f>VLOOKUP(T1217,'Data Angt'!$A$5:$C$5808,3,FALSE)</f>
        <v>JBR</v>
      </c>
    </row>
    <row r="1218" spans="1:25" x14ac:dyDescent="0.3">
      <c r="A1218" s="8">
        <v>1212</v>
      </c>
      <c r="B1218" s="9" t="s">
        <v>8682</v>
      </c>
      <c r="C1218" s="10" t="str">
        <f>VLOOKUP(B1218,'Data Angt'!$A$5:$B$5809,2,FALSE)</f>
        <v>A3939</v>
      </c>
      <c r="D1218" s="11" t="s">
        <v>9826</v>
      </c>
      <c r="E1218" s="12" t="s">
        <v>17014</v>
      </c>
      <c r="F1218" s="13">
        <v>45674</v>
      </c>
      <c r="G1218" s="14">
        <v>45902</v>
      </c>
      <c r="H1218" s="15">
        <v>5000000</v>
      </c>
      <c r="I1218" s="16">
        <v>12</v>
      </c>
      <c r="J1218" s="17">
        <v>24</v>
      </c>
      <c r="K1218" s="9" t="s">
        <v>9827</v>
      </c>
      <c r="L1218" s="10" t="s">
        <v>17015</v>
      </c>
      <c r="M1218" s="9" t="s">
        <v>9862</v>
      </c>
      <c r="N1218" s="10" t="s">
        <v>9834</v>
      </c>
      <c r="O1218" s="15">
        <v>1666400</v>
      </c>
      <c r="P1218" s="145">
        <v>212586</v>
      </c>
      <c r="Q1218" s="9"/>
      <c r="R1218" s="146"/>
      <c r="T1218" s="92" t="s">
        <v>14507</v>
      </c>
      <c r="U1218">
        <v>1</v>
      </c>
      <c r="V1218">
        <f>VLOOKUP(T1218,'Data Angt'!$A$5:$F$5810,6,FALSE)</f>
        <v>48</v>
      </c>
      <c r="W1218" s="5" t="str">
        <f t="shared" si="18"/>
        <v>PRODUKTIF</v>
      </c>
      <c r="X1218" s="5" t="str">
        <f>VLOOKUP(T1218,'Data Angt'!$A$5:$H$5810,8,FALSE)</f>
        <v>Mengurus Rumah Tangga</v>
      </c>
      <c r="Y1218" s="5" t="str">
        <f>VLOOKUP(T1218,'Data Angt'!$A$5:$C$5808,3,FALSE)</f>
        <v>JBR</v>
      </c>
    </row>
    <row r="1219" spans="1:25" x14ac:dyDescent="0.3">
      <c r="A1219" s="8">
        <v>1213</v>
      </c>
      <c r="B1219" s="9" t="s">
        <v>8682</v>
      </c>
      <c r="C1219" s="10" t="str">
        <f>VLOOKUP(B1219,'Data Angt'!$A$5:$B$5809,2,FALSE)</f>
        <v>A3939</v>
      </c>
      <c r="D1219" s="11" t="s">
        <v>9895</v>
      </c>
      <c r="E1219" s="12" t="s">
        <v>17016</v>
      </c>
      <c r="F1219" s="13">
        <v>45785</v>
      </c>
      <c r="G1219" s="14">
        <v>45902</v>
      </c>
      <c r="H1219" s="15">
        <v>21000000</v>
      </c>
      <c r="I1219" s="16">
        <v>24</v>
      </c>
      <c r="J1219" s="17">
        <v>24</v>
      </c>
      <c r="K1219" s="9" t="s">
        <v>9827</v>
      </c>
      <c r="L1219" s="10" t="s">
        <v>17017</v>
      </c>
      <c r="M1219" s="9" t="s">
        <v>15614</v>
      </c>
      <c r="N1219" s="10" t="s">
        <v>9828</v>
      </c>
      <c r="O1219" s="15">
        <v>17500000</v>
      </c>
      <c r="P1219" s="145">
        <v>590624</v>
      </c>
      <c r="Q1219" s="9" t="s">
        <v>23304</v>
      </c>
      <c r="R1219" s="146" t="s">
        <v>23405</v>
      </c>
      <c r="T1219" s="92" t="s">
        <v>14534</v>
      </c>
      <c r="U1219">
        <v>1</v>
      </c>
      <c r="V1219">
        <f>VLOOKUP(T1219,'Data Angt'!$A$5:$F$5810,6,FALSE)</f>
        <v>54</v>
      </c>
      <c r="W1219" s="5" t="str">
        <f t="shared" si="18"/>
        <v>PRODUKTIF</v>
      </c>
      <c r="X1219" s="5" t="str">
        <f>VLOOKUP(T1219,'Data Angt'!$A$5:$H$5810,8,FALSE)</f>
        <v>Mengurus Rumah Tangga</v>
      </c>
      <c r="Y1219" s="5" t="str">
        <f>VLOOKUP(T1219,'Data Angt'!$A$5:$C$5808,3,FALSE)</f>
        <v>JBR</v>
      </c>
    </row>
    <row r="1220" spans="1:25" x14ac:dyDescent="0.3">
      <c r="A1220" s="8">
        <v>1214</v>
      </c>
      <c r="B1220" s="9" t="s">
        <v>8723</v>
      </c>
      <c r="C1220" s="10" t="str">
        <f>VLOOKUP(B1220,'Data Angt'!$A$5:$B$5809,2,FALSE)</f>
        <v>A3958</v>
      </c>
      <c r="D1220" s="11" t="s">
        <v>9829</v>
      </c>
      <c r="E1220" s="12" t="s">
        <v>17018</v>
      </c>
      <c r="F1220" s="13">
        <v>45792</v>
      </c>
      <c r="G1220" s="14">
        <v>45925</v>
      </c>
      <c r="H1220" s="15">
        <v>3500000</v>
      </c>
      <c r="I1220" s="16">
        <v>18</v>
      </c>
      <c r="J1220" s="17">
        <v>24</v>
      </c>
      <c r="K1220" s="9" t="s">
        <v>9827</v>
      </c>
      <c r="L1220" s="10" t="s">
        <v>17019</v>
      </c>
      <c r="M1220" s="9" t="s">
        <v>9838</v>
      </c>
      <c r="N1220" s="10" t="s">
        <v>9830</v>
      </c>
      <c r="O1220" s="15">
        <v>2722000</v>
      </c>
      <c r="P1220" s="145">
        <v>96337</v>
      </c>
      <c r="Q1220" s="9"/>
      <c r="R1220" s="146"/>
      <c r="T1220" s="92" t="s">
        <v>14536</v>
      </c>
      <c r="U1220">
        <v>1</v>
      </c>
      <c r="V1220">
        <f>VLOOKUP(T1220,'Data Angt'!$A$5:$F$5810,6,FALSE)</f>
        <v>36</v>
      </c>
      <c r="W1220" s="5" t="str">
        <f t="shared" si="18"/>
        <v>PRODUKTIF</v>
      </c>
      <c r="X1220" s="5" t="str">
        <f>VLOOKUP(T1220,'Data Angt'!$A$5:$H$5810,8,FALSE)</f>
        <v>Wiraswasta</v>
      </c>
      <c r="Y1220" s="5" t="str">
        <f>VLOOKUP(T1220,'Data Angt'!$A$5:$C$5808,3,FALSE)</f>
        <v>JBR</v>
      </c>
    </row>
    <row r="1221" spans="1:25" x14ac:dyDescent="0.3">
      <c r="A1221" s="8">
        <v>1215</v>
      </c>
      <c r="B1221" s="9" t="s">
        <v>8740</v>
      </c>
      <c r="C1221" s="10" t="str">
        <f>VLOOKUP(B1221,'Data Angt'!$A$5:$B$5809,2,FALSE)</f>
        <v>A3968</v>
      </c>
      <c r="D1221" s="11" t="s">
        <v>9833</v>
      </c>
      <c r="E1221" s="12" t="s">
        <v>17020</v>
      </c>
      <c r="F1221" s="13">
        <v>45782</v>
      </c>
      <c r="G1221" s="14">
        <v>45904</v>
      </c>
      <c r="H1221" s="15">
        <v>5000000</v>
      </c>
      <c r="I1221" s="16">
        <v>24</v>
      </c>
      <c r="J1221" s="17">
        <v>24</v>
      </c>
      <c r="K1221" s="9" t="s">
        <v>9827</v>
      </c>
      <c r="L1221" s="10" t="s">
        <v>17021</v>
      </c>
      <c r="M1221" s="9" t="s">
        <v>9862</v>
      </c>
      <c r="N1221" s="10" t="s">
        <v>9834</v>
      </c>
      <c r="O1221" s="15">
        <v>4166400</v>
      </c>
      <c r="P1221" s="145">
        <v>140661</v>
      </c>
      <c r="Q1221" s="9"/>
      <c r="R1221" s="146"/>
      <c r="T1221" s="92" t="s">
        <v>14545</v>
      </c>
      <c r="U1221">
        <v>1</v>
      </c>
      <c r="V1221">
        <f>VLOOKUP(T1221,'Data Angt'!$A$5:$F$5810,6,FALSE)</f>
        <v>65</v>
      </c>
      <c r="W1221" s="5" t="str">
        <f t="shared" si="18"/>
        <v>PRODUKTIF</v>
      </c>
      <c r="X1221" s="5" t="str">
        <f>VLOOKUP(T1221,'Data Angt'!$A$5:$H$5810,8,FALSE)</f>
        <v>Wiraswasta</v>
      </c>
      <c r="Y1221" s="5" t="str">
        <f>VLOOKUP(T1221,'Data Angt'!$A$5:$C$5808,3,FALSE)</f>
        <v>JBR</v>
      </c>
    </row>
    <row r="1222" spans="1:25" x14ac:dyDescent="0.3">
      <c r="A1222" s="8">
        <v>1216</v>
      </c>
      <c r="B1222" s="9" t="s">
        <v>8742</v>
      </c>
      <c r="C1222" s="10" t="str">
        <f>VLOOKUP(B1222,'Data Angt'!$A$5:$B$5809,2,FALSE)</f>
        <v>A3970</v>
      </c>
      <c r="D1222" s="11" t="s">
        <v>9829</v>
      </c>
      <c r="E1222" s="12" t="s">
        <v>17022</v>
      </c>
      <c r="F1222" s="13">
        <v>45792</v>
      </c>
      <c r="G1222" s="14">
        <v>45915</v>
      </c>
      <c r="H1222" s="15">
        <v>1500000</v>
      </c>
      <c r="I1222" s="16">
        <v>10</v>
      </c>
      <c r="J1222" s="17">
        <v>24</v>
      </c>
      <c r="K1222" s="9" t="s">
        <v>9827</v>
      </c>
      <c r="L1222" s="10" t="s">
        <v>17023</v>
      </c>
      <c r="M1222" s="9" t="s">
        <v>17024</v>
      </c>
      <c r="N1222" s="10" t="s">
        <v>9828</v>
      </c>
      <c r="O1222" s="15">
        <v>900000</v>
      </c>
      <c r="P1222" s="145">
        <v>38250</v>
      </c>
      <c r="Q1222" s="9"/>
      <c r="R1222" s="146"/>
      <c r="T1222" s="92" t="s">
        <v>14557</v>
      </c>
      <c r="U1222">
        <v>1</v>
      </c>
      <c r="V1222">
        <f>VLOOKUP(T1222,'Data Angt'!$A$5:$F$5810,6,FALSE)</f>
        <v>62</v>
      </c>
      <c r="W1222" s="5" t="str">
        <f t="shared" si="18"/>
        <v>KESEJAHTERAAN</v>
      </c>
      <c r="X1222" s="5" t="str">
        <f>VLOOKUP(T1222,'Data Angt'!$A$5:$H$5810,8,FALSE)</f>
        <v>Pensiunan</v>
      </c>
      <c r="Y1222" s="5" t="str">
        <f>VLOOKUP(T1222,'Data Angt'!$A$5:$C$5808,3,FALSE)</f>
        <v>JBR</v>
      </c>
    </row>
    <row r="1223" spans="1:25" x14ac:dyDescent="0.3">
      <c r="A1223" s="8">
        <v>1217</v>
      </c>
      <c r="B1223" s="9" t="s">
        <v>8746</v>
      </c>
      <c r="C1223" s="10" t="str">
        <f>VLOOKUP(B1223,'Data Angt'!$A$5:$B$5809,2,FALSE)</f>
        <v>A3972</v>
      </c>
      <c r="D1223" s="11" t="s">
        <v>9829</v>
      </c>
      <c r="E1223" s="12" t="s">
        <v>17025</v>
      </c>
      <c r="F1223" s="13">
        <v>45729</v>
      </c>
      <c r="G1223" s="14">
        <v>45904</v>
      </c>
      <c r="H1223" s="15">
        <v>4000000</v>
      </c>
      <c r="I1223" s="16">
        <v>20</v>
      </c>
      <c r="J1223" s="17">
        <v>24</v>
      </c>
      <c r="K1223" s="9" t="s">
        <v>9827</v>
      </c>
      <c r="L1223" s="10" t="s">
        <v>17026</v>
      </c>
      <c r="M1223" s="9" t="s">
        <v>10483</v>
      </c>
      <c r="N1223" s="10" t="s">
        <v>9830</v>
      </c>
      <c r="O1223" s="15">
        <v>2800000</v>
      </c>
      <c r="P1223" s="145">
        <v>157500</v>
      </c>
      <c r="Q1223" s="9"/>
      <c r="R1223" s="146"/>
      <c r="T1223" s="92" t="s">
        <v>14575</v>
      </c>
      <c r="U1223">
        <v>1</v>
      </c>
      <c r="V1223">
        <f>VLOOKUP(T1223,'Data Angt'!$A$5:$F$5810,6,FALSE)</f>
        <v>63</v>
      </c>
      <c r="W1223" s="5" t="str">
        <f t="shared" ref="W1223:W1286" si="19">VLOOKUP(T1223,$B$7:$N$1869,13,FALSE)</f>
        <v>PRODUKTIF</v>
      </c>
      <c r="X1223" s="5" t="str">
        <f>VLOOKUP(T1223,'Data Angt'!$A$5:$H$5810,8,FALSE)</f>
        <v>Wiraswasta</v>
      </c>
      <c r="Y1223" s="5" t="str">
        <f>VLOOKUP(T1223,'Data Angt'!$A$5:$C$5808,3,FALSE)</f>
        <v>JBR</v>
      </c>
    </row>
    <row r="1224" spans="1:25" x14ac:dyDescent="0.3">
      <c r="A1224" s="8">
        <v>1218</v>
      </c>
      <c r="B1224" s="9" t="s">
        <v>8780</v>
      </c>
      <c r="C1224" s="10" t="str">
        <f>VLOOKUP(B1224,'Data Angt'!$A$5:$B$5809,2,FALSE)</f>
        <v>A3986</v>
      </c>
      <c r="D1224" s="11" t="s">
        <v>9845</v>
      </c>
      <c r="E1224" s="12" t="s">
        <v>17027</v>
      </c>
      <c r="F1224" s="13">
        <v>45666</v>
      </c>
      <c r="G1224" s="14">
        <v>45903</v>
      </c>
      <c r="H1224" s="15">
        <v>2000000</v>
      </c>
      <c r="I1224" s="16">
        <v>18</v>
      </c>
      <c r="J1224" s="17">
        <v>12</v>
      </c>
      <c r="K1224" s="9" t="s">
        <v>9831</v>
      </c>
      <c r="L1224" s="10" t="s">
        <v>17028</v>
      </c>
      <c r="M1224" s="9" t="s">
        <v>9846</v>
      </c>
      <c r="N1224" s="10" t="s">
        <v>9828</v>
      </c>
      <c r="O1224" s="15">
        <v>1155200</v>
      </c>
      <c r="P1224" s="145">
        <v>49199</v>
      </c>
      <c r="Q1224" s="9"/>
      <c r="R1224" s="146"/>
      <c r="T1224" s="92" t="s">
        <v>14602</v>
      </c>
      <c r="U1224">
        <v>1</v>
      </c>
      <c r="V1224">
        <f>VLOOKUP(T1224,'Data Angt'!$A$5:$F$5810,6,FALSE)</f>
        <v>43</v>
      </c>
      <c r="W1224" s="5" t="str">
        <f t="shared" si="19"/>
        <v>PRODUKTIF</v>
      </c>
      <c r="X1224" s="5" t="str">
        <f>VLOOKUP(T1224,'Data Angt'!$A$5:$H$5810,8,FALSE)</f>
        <v>Belum/Tidak Bekerja</v>
      </c>
      <c r="Y1224" s="5" t="str">
        <f>VLOOKUP(T1224,'Data Angt'!$A$5:$C$5808,3,FALSE)</f>
        <v>JBR</v>
      </c>
    </row>
    <row r="1225" spans="1:25" x14ac:dyDescent="0.3">
      <c r="A1225" s="8">
        <v>1219</v>
      </c>
      <c r="B1225" s="9" t="s">
        <v>8818</v>
      </c>
      <c r="C1225" s="10" t="str">
        <f>VLOOKUP(B1225,'Data Angt'!$A$5:$B$5809,2,FALSE)</f>
        <v>A4003</v>
      </c>
      <c r="D1225" s="11" t="s">
        <v>9829</v>
      </c>
      <c r="E1225" s="12" t="s">
        <v>10484</v>
      </c>
      <c r="F1225" s="13">
        <v>44821</v>
      </c>
      <c r="G1225" s="14">
        <v>45930</v>
      </c>
      <c r="H1225" s="15">
        <v>23000000</v>
      </c>
      <c r="I1225" s="16">
        <v>24</v>
      </c>
      <c r="J1225" s="17">
        <v>21</v>
      </c>
      <c r="K1225" s="9" t="s">
        <v>9831</v>
      </c>
      <c r="L1225" s="10" t="s">
        <v>10485</v>
      </c>
      <c r="M1225" s="9" t="s">
        <v>10486</v>
      </c>
      <c r="N1225" s="10" t="s">
        <v>9830</v>
      </c>
      <c r="O1225" s="15">
        <v>9514100</v>
      </c>
      <c r="P1225" s="145">
        <v>4629365</v>
      </c>
      <c r="Q1225" s="9"/>
      <c r="R1225" s="146"/>
      <c r="T1225" s="92" t="s">
        <v>14606</v>
      </c>
      <c r="U1225">
        <v>2</v>
      </c>
      <c r="V1225">
        <f>VLOOKUP(T1225,'Data Angt'!$A$5:$F$5810,6,FALSE)</f>
        <v>51</v>
      </c>
      <c r="W1225" s="5" t="str">
        <f t="shared" si="19"/>
        <v>PRODUKTIF</v>
      </c>
      <c r="X1225" s="5" t="str">
        <f>VLOOKUP(T1225,'Data Angt'!$A$5:$H$5810,8,FALSE)</f>
        <v>Wiraswasta</v>
      </c>
      <c r="Y1225" s="5" t="str">
        <f>VLOOKUP(T1225,'Data Angt'!$A$5:$C$5808,3,FALSE)</f>
        <v>JBR</v>
      </c>
    </row>
    <row r="1226" spans="1:25" x14ac:dyDescent="0.3">
      <c r="A1226" s="8">
        <v>1220</v>
      </c>
      <c r="B1226" s="9" t="s">
        <v>8830</v>
      </c>
      <c r="C1226" s="10" t="str">
        <f>VLOOKUP(B1226,'Data Angt'!$A$5:$B$5809,2,FALSE)</f>
        <v>A4008</v>
      </c>
      <c r="D1226" s="11" t="s">
        <v>9829</v>
      </c>
      <c r="E1226" s="12" t="s">
        <v>23406</v>
      </c>
      <c r="F1226" s="13">
        <v>45874</v>
      </c>
      <c r="G1226" s="14">
        <v>45904</v>
      </c>
      <c r="H1226" s="15">
        <v>5000000</v>
      </c>
      <c r="I1226" s="16">
        <v>24</v>
      </c>
      <c r="J1226" s="17">
        <v>24</v>
      </c>
      <c r="K1226" s="9" t="s">
        <v>9827</v>
      </c>
      <c r="L1226" s="10" t="s">
        <v>23407</v>
      </c>
      <c r="M1226" s="9" t="s">
        <v>9838</v>
      </c>
      <c r="N1226" s="10" t="s">
        <v>9830</v>
      </c>
      <c r="O1226" s="15">
        <v>4791600</v>
      </c>
      <c r="P1226" s="145">
        <v>37500</v>
      </c>
      <c r="Q1226" s="9"/>
      <c r="R1226" s="146"/>
      <c r="T1226" s="92" t="s">
        <v>14609</v>
      </c>
      <c r="U1226">
        <v>2</v>
      </c>
      <c r="V1226">
        <f>VLOOKUP(T1226,'Data Angt'!$A$5:$F$5810,6,FALSE)</f>
        <v>30</v>
      </c>
      <c r="W1226" s="5" t="str">
        <f t="shared" si="19"/>
        <v>PRODUKTIF</v>
      </c>
      <c r="X1226" s="5" t="str">
        <f>VLOOKUP(T1226,'Data Angt'!$A$5:$H$5810,8,FALSE)</f>
        <v>Tenaga Pengajar</v>
      </c>
      <c r="Y1226" s="5" t="str">
        <f>VLOOKUP(T1226,'Data Angt'!$A$5:$C$5808,3,FALSE)</f>
        <v>JBR</v>
      </c>
    </row>
    <row r="1227" spans="1:25" x14ac:dyDescent="0.3">
      <c r="A1227" s="8">
        <v>1221</v>
      </c>
      <c r="B1227" s="9" t="s">
        <v>8837</v>
      </c>
      <c r="C1227" s="10" t="str">
        <f>VLOOKUP(B1227,'Data Angt'!$A$5:$B$5809,2,FALSE)</f>
        <v>A4011</v>
      </c>
      <c r="D1227" s="11" t="s">
        <v>9833</v>
      </c>
      <c r="E1227" s="12" t="s">
        <v>17029</v>
      </c>
      <c r="F1227" s="13">
        <v>45762</v>
      </c>
      <c r="G1227" s="14">
        <v>45930</v>
      </c>
      <c r="H1227" s="15">
        <v>30000000</v>
      </c>
      <c r="I1227" s="16">
        <v>30</v>
      </c>
      <c r="J1227" s="17">
        <v>21</v>
      </c>
      <c r="K1227" s="9" t="s">
        <v>9831</v>
      </c>
      <c r="L1227" s="10" t="s">
        <v>17030</v>
      </c>
      <c r="M1227" s="9" t="s">
        <v>10388</v>
      </c>
      <c r="N1227" s="10" t="s">
        <v>9834</v>
      </c>
      <c r="O1227" s="15">
        <v>26018800</v>
      </c>
      <c r="P1227" s="145">
        <v>933112</v>
      </c>
      <c r="Q1227" s="9"/>
      <c r="R1227" s="146"/>
      <c r="T1227" s="92" t="s">
        <v>14612</v>
      </c>
      <c r="U1227">
        <v>1</v>
      </c>
      <c r="V1227">
        <f>VLOOKUP(T1227,'Data Angt'!$A$5:$F$5810,6,FALSE)</f>
        <v>35</v>
      </c>
      <c r="W1227" s="5" t="str">
        <f t="shared" si="19"/>
        <v>PRODUKTIF</v>
      </c>
      <c r="X1227" s="5" t="str">
        <f>VLOOKUP(T1227,'Data Angt'!$A$5:$H$5810,8,FALSE)</f>
        <v>Wiraswasta</v>
      </c>
      <c r="Y1227" s="5" t="str">
        <f>VLOOKUP(T1227,'Data Angt'!$A$5:$C$5808,3,FALSE)</f>
        <v>JBR</v>
      </c>
    </row>
    <row r="1228" spans="1:25" x14ac:dyDescent="0.3">
      <c r="A1228" s="8">
        <v>1222</v>
      </c>
      <c r="B1228" s="9" t="s">
        <v>8854</v>
      </c>
      <c r="C1228" s="10" t="str">
        <f>VLOOKUP(B1228,'Data Angt'!$A$5:$B$5809,2,FALSE)</f>
        <v>A4020</v>
      </c>
      <c r="D1228" s="11" t="s">
        <v>9833</v>
      </c>
      <c r="E1228" s="12" t="s">
        <v>17031</v>
      </c>
      <c r="F1228" s="13">
        <v>45455</v>
      </c>
      <c r="G1228" s="14">
        <v>45930</v>
      </c>
      <c r="H1228" s="15">
        <v>50000000</v>
      </c>
      <c r="I1228" s="16">
        <v>24</v>
      </c>
      <c r="J1228" s="17">
        <v>21</v>
      </c>
      <c r="K1228" s="9" t="s">
        <v>9831</v>
      </c>
      <c r="L1228" s="10" t="s">
        <v>17032</v>
      </c>
      <c r="M1228" s="9" t="s">
        <v>10388</v>
      </c>
      <c r="N1228" s="10" t="s">
        <v>9834</v>
      </c>
      <c r="O1228" s="15">
        <v>21223900</v>
      </c>
      <c r="P1228" s="145">
        <v>3661271</v>
      </c>
      <c r="Q1228" s="9"/>
      <c r="R1228" s="146"/>
      <c r="T1228" s="92" t="s">
        <v>14616</v>
      </c>
      <c r="U1228">
        <v>1</v>
      </c>
      <c r="V1228">
        <f>VLOOKUP(T1228,'Data Angt'!$A$5:$F$5810,6,FALSE)</f>
        <v>43</v>
      </c>
      <c r="W1228" s="5" t="str">
        <f t="shared" si="19"/>
        <v>PRODUKTIF</v>
      </c>
      <c r="X1228" s="5" t="str">
        <f>VLOOKUP(T1228,'Data Angt'!$A$5:$H$5810,8,FALSE)</f>
        <v>Wiraswasta</v>
      </c>
      <c r="Y1228" s="5" t="str">
        <f>VLOOKUP(T1228,'Data Angt'!$A$5:$C$5808,3,FALSE)</f>
        <v>JBR</v>
      </c>
    </row>
    <row r="1229" spans="1:25" x14ac:dyDescent="0.3">
      <c r="A1229" s="8">
        <v>1223</v>
      </c>
      <c r="B1229" s="9" t="s">
        <v>8855</v>
      </c>
      <c r="C1229" s="10" t="str">
        <f>VLOOKUP(B1229,'Data Angt'!$A$5:$B$5809,2,FALSE)</f>
        <v>A4021</v>
      </c>
      <c r="D1229" s="11" t="s">
        <v>9829</v>
      </c>
      <c r="E1229" s="12" t="s">
        <v>23408</v>
      </c>
      <c r="F1229" s="13">
        <v>45859</v>
      </c>
      <c r="G1229" s="14">
        <v>45920</v>
      </c>
      <c r="H1229" s="15">
        <v>2000000</v>
      </c>
      <c r="I1229" s="16">
        <v>12</v>
      </c>
      <c r="J1229" s="17">
        <v>11.88</v>
      </c>
      <c r="K1229" s="9" t="s">
        <v>9831</v>
      </c>
      <c r="L1229" s="10" t="s">
        <v>23409</v>
      </c>
      <c r="M1229" s="9" t="s">
        <v>10008</v>
      </c>
      <c r="N1229" s="10" t="s">
        <v>17</v>
      </c>
      <c r="O1229" s="15">
        <v>1682900</v>
      </c>
      <c r="P1229" s="145">
        <v>14287</v>
      </c>
      <c r="Q1229" s="9"/>
      <c r="R1229" s="146"/>
      <c r="T1229" s="92" t="s">
        <v>14686</v>
      </c>
      <c r="U1229">
        <v>1</v>
      </c>
      <c r="V1229">
        <f>VLOOKUP(T1229,'Data Angt'!$A$5:$F$5810,6,FALSE)</f>
        <v>56</v>
      </c>
      <c r="W1229" s="5" t="str">
        <f t="shared" si="19"/>
        <v>PRODUKTIF</v>
      </c>
      <c r="X1229" s="5" t="str">
        <f>VLOOKUP(T1229,'Data Angt'!$A$5:$H$5810,8,FALSE)</f>
        <v>Wiraswasta</v>
      </c>
      <c r="Y1229" s="5" t="str">
        <f>VLOOKUP(T1229,'Data Angt'!$A$5:$C$5808,3,FALSE)</f>
        <v>JBR</v>
      </c>
    </row>
    <row r="1230" spans="1:25" x14ac:dyDescent="0.3">
      <c r="A1230" s="8">
        <v>1224</v>
      </c>
      <c r="B1230" s="9" t="s">
        <v>8870</v>
      </c>
      <c r="C1230" s="10" t="str">
        <f>VLOOKUP(B1230,'Data Angt'!$A$5:$B$5809,2,FALSE)</f>
        <v>A4028</v>
      </c>
      <c r="D1230" s="11" t="s">
        <v>9829</v>
      </c>
      <c r="E1230" s="12" t="s">
        <v>23410</v>
      </c>
      <c r="F1230" s="13">
        <v>45904</v>
      </c>
      <c r="G1230" s="14">
        <v>45904</v>
      </c>
      <c r="H1230" s="15">
        <v>2000000</v>
      </c>
      <c r="I1230" s="16">
        <v>20</v>
      </c>
      <c r="J1230" s="17">
        <v>24</v>
      </c>
      <c r="K1230" s="9" t="s">
        <v>9827</v>
      </c>
      <c r="L1230" s="10" t="s">
        <v>23411</v>
      </c>
      <c r="M1230" s="9" t="s">
        <v>9993</v>
      </c>
      <c r="N1230" s="10" t="s">
        <v>110</v>
      </c>
      <c r="O1230" s="15">
        <v>2000000</v>
      </c>
      <c r="P1230" s="147">
        <v>0</v>
      </c>
      <c r="Q1230" s="9"/>
      <c r="R1230" s="146"/>
      <c r="T1230" s="92" t="s">
        <v>14720</v>
      </c>
      <c r="U1230">
        <v>2</v>
      </c>
      <c r="V1230">
        <f>VLOOKUP(T1230,'Data Angt'!$A$5:$F$5810,6,FALSE)</f>
        <v>48</v>
      </c>
      <c r="W1230" s="5" t="str">
        <f t="shared" si="19"/>
        <v>PRODUKTIF</v>
      </c>
      <c r="X1230" s="5" t="str">
        <f>VLOOKUP(T1230,'Data Angt'!$A$5:$H$5810,8,FALSE)</f>
        <v>Aparatur/Pejabat Negara</v>
      </c>
      <c r="Y1230" s="5" t="str">
        <f>VLOOKUP(T1230,'Data Angt'!$A$5:$C$5808,3,FALSE)</f>
        <v>JBR</v>
      </c>
    </row>
    <row r="1231" spans="1:25" x14ac:dyDescent="0.3">
      <c r="A1231" s="8">
        <v>1225</v>
      </c>
      <c r="B1231" s="9" t="s">
        <v>8906</v>
      </c>
      <c r="C1231" s="10" t="str">
        <f>VLOOKUP(B1231,'Data Angt'!$A$5:$B$5809,2,FALSE)</f>
        <v>A4046</v>
      </c>
      <c r="D1231" s="11" t="s">
        <v>9833</v>
      </c>
      <c r="E1231" s="12" t="s">
        <v>17033</v>
      </c>
      <c r="F1231" s="13">
        <v>45451</v>
      </c>
      <c r="G1231" s="14">
        <v>45909</v>
      </c>
      <c r="H1231" s="15">
        <v>8000000</v>
      </c>
      <c r="I1231" s="16">
        <v>30</v>
      </c>
      <c r="J1231" s="17">
        <v>24</v>
      </c>
      <c r="K1231" s="9" t="s">
        <v>9827</v>
      </c>
      <c r="L1231" s="10" t="s">
        <v>17034</v>
      </c>
      <c r="M1231" s="9" t="s">
        <v>17035</v>
      </c>
      <c r="N1231" s="10" t="s">
        <v>9834</v>
      </c>
      <c r="O1231" s="15">
        <v>3999500</v>
      </c>
      <c r="P1231" s="145">
        <v>690185</v>
      </c>
      <c r="Q1231" s="9" t="s">
        <v>23304</v>
      </c>
      <c r="R1231" s="146" t="s">
        <v>23412</v>
      </c>
      <c r="T1231" s="92" t="s">
        <v>14765</v>
      </c>
      <c r="U1231">
        <v>1</v>
      </c>
      <c r="V1231">
        <f>VLOOKUP(T1231,'Data Angt'!$A$5:$F$5810,6,FALSE)</f>
        <v>32</v>
      </c>
      <c r="W1231" s="5" t="str">
        <f t="shared" si="19"/>
        <v>PRODUKTIF</v>
      </c>
      <c r="X1231" s="5" t="str">
        <f>VLOOKUP(T1231,'Data Angt'!$A$5:$H$5810,8,FALSE)</f>
        <v>Wiraswasta</v>
      </c>
      <c r="Y1231" s="5" t="str">
        <f>VLOOKUP(T1231,'Data Angt'!$A$5:$C$5808,3,FALSE)</f>
        <v>JBR</v>
      </c>
    </row>
    <row r="1232" spans="1:25" x14ac:dyDescent="0.3">
      <c r="A1232" s="8">
        <v>1226</v>
      </c>
      <c r="B1232" s="9" t="s">
        <v>8925</v>
      </c>
      <c r="C1232" s="10" t="str">
        <f>VLOOKUP(B1232,'Data Angt'!$A$5:$B$5809,2,FALSE)</f>
        <v>A4057</v>
      </c>
      <c r="D1232" s="11" t="s">
        <v>9833</v>
      </c>
      <c r="E1232" s="12" t="s">
        <v>23413</v>
      </c>
      <c r="F1232" s="13">
        <v>45916</v>
      </c>
      <c r="G1232" s="14">
        <v>45916</v>
      </c>
      <c r="H1232" s="15">
        <v>4000000</v>
      </c>
      <c r="I1232" s="16">
        <v>18</v>
      </c>
      <c r="J1232" s="17">
        <v>24</v>
      </c>
      <c r="K1232" s="9" t="s">
        <v>9827</v>
      </c>
      <c r="L1232" s="10" t="s">
        <v>23414</v>
      </c>
      <c r="M1232" s="9" t="s">
        <v>9862</v>
      </c>
      <c r="N1232" s="10" t="s">
        <v>9834</v>
      </c>
      <c r="O1232" s="15">
        <v>4000000</v>
      </c>
      <c r="P1232" s="147">
        <v>0</v>
      </c>
      <c r="Q1232" s="9"/>
      <c r="R1232" s="146"/>
      <c r="T1232" s="92" t="s">
        <v>14807</v>
      </c>
      <c r="U1232">
        <v>1</v>
      </c>
      <c r="V1232">
        <f>VLOOKUP(T1232,'Data Angt'!$A$5:$F$5810,6,FALSE)</f>
        <v>31</v>
      </c>
      <c r="W1232" s="5" t="str">
        <f t="shared" si="19"/>
        <v>KONSUMTIF</v>
      </c>
      <c r="X1232" s="5" t="str">
        <f>VLOOKUP(T1232,'Data Angt'!$A$5:$H$5810,8,FALSE)</f>
        <v>Karyawan</v>
      </c>
      <c r="Y1232" s="5" t="str">
        <f>VLOOKUP(T1232,'Data Angt'!$A$5:$C$5808,3,FALSE)</f>
        <v>JBR</v>
      </c>
    </row>
    <row r="1233" spans="1:25" x14ac:dyDescent="0.3">
      <c r="A1233" s="8">
        <v>1227</v>
      </c>
      <c r="B1233" s="9" t="s">
        <v>8936</v>
      </c>
      <c r="C1233" s="10" t="str">
        <f>VLOOKUP(B1233,'Data Angt'!$A$5:$B$5809,2,FALSE)</f>
        <v>A4062</v>
      </c>
      <c r="D1233" s="11" t="s">
        <v>9833</v>
      </c>
      <c r="E1233" s="12" t="s">
        <v>17036</v>
      </c>
      <c r="F1233" s="13">
        <v>45693</v>
      </c>
      <c r="G1233" s="14">
        <v>45930</v>
      </c>
      <c r="H1233" s="15">
        <v>5000000</v>
      </c>
      <c r="I1233" s="16">
        <v>12</v>
      </c>
      <c r="J1233" s="17">
        <v>24</v>
      </c>
      <c r="K1233" s="9" t="s">
        <v>9827</v>
      </c>
      <c r="L1233" s="10" t="s">
        <v>17037</v>
      </c>
      <c r="M1233" s="9" t="s">
        <v>9862</v>
      </c>
      <c r="N1233" s="10" t="s">
        <v>9834</v>
      </c>
      <c r="O1233" s="15">
        <v>2083100</v>
      </c>
      <c r="P1233" s="145">
        <v>196949</v>
      </c>
      <c r="Q1233" s="9"/>
      <c r="R1233" s="146"/>
      <c r="T1233" s="92" t="s">
        <v>14899</v>
      </c>
      <c r="U1233">
        <v>1</v>
      </c>
      <c r="V1233">
        <f>VLOOKUP(T1233,'Data Angt'!$A$5:$F$5810,6,FALSE)</f>
        <v>40</v>
      </c>
      <c r="W1233" s="5" t="str">
        <f t="shared" si="19"/>
        <v>PRODUKTIF</v>
      </c>
      <c r="X1233" s="5" t="str">
        <f>VLOOKUP(T1233,'Data Angt'!$A$5:$H$5810,8,FALSE)</f>
        <v>Wiraswasta</v>
      </c>
      <c r="Y1233" s="5" t="str">
        <f>VLOOKUP(T1233,'Data Angt'!$A$5:$C$5808,3,FALSE)</f>
        <v>JBR</v>
      </c>
    </row>
    <row r="1234" spans="1:25" x14ac:dyDescent="0.3">
      <c r="A1234" s="8">
        <v>1228</v>
      </c>
      <c r="B1234" s="9" t="s">
        <v>8960</v>
      </c>
      <c r="C1234" s="10" t="str">
        <f>VLOOKUP(B1234,'Data Angt'!$A$5:$B$5809,2,FALSE)</f>
        <v>A4075</v>
      </c>
      <c r="D1234" s="11" t="s">
        <v>9895</v>
      </c>
      <c r="E1234" s="12" t="s">
        <v>23415</v>
      </c>
      <c r="F1234" s="13">
        <v>45894</v>
      </c>
      <c r="G1234" s="14">
        <v>45920</v>
      </c>
      <c r="H1234" s="15">
        <v>15000000</v>
      </c>
      <c r="I1234" s="16">
        <v>24</v>
      </c>
      <c r="J1234" s="17">
        <v>24</v>
      </c>
      <c r="K1234" s="9" t="s">
        <v>9827</v>
      </c>
      <c r="L1234" s="10" t="s">
        <v>23416</v>
      </c>
      <c r="M1234" s="9" t="s">
        <v>10110</v>
      </c>
      <c r="N1234" s="10" t="s">
        <v>9828</v>
      </c>
      <c r="O1234" s="15">
        <v>14375000</v>
      </c>
      <c r="P1234" s="145">
        <v>112500</v>
      </c>
      <c r="Q1234" s="9"/>
      <c r="R1234" s="146"/>
      <c r="T1234" s="92" t="s">
        <v>14902</v>
      </c>
      <c r="U1234">
        <v>1</v>
      </c>
      <c r="V1234">
        <f>VLOOKUP(T1234,'Data Angt'!$A$5:$F$5810,6,FALSE)</f>
        <v>42</v>
      </c>
      <c r="W1234" s="5" t="str">
        <f t="shared" si="19"/>
        <v>PRODUKTIF</v>
      </c>
      <c r="X1234" s="5" t="str">
        <f>VLOOKUP(T1234,'Data Angt'!$A$5:$H$5810,8,FALSE)</f>
        <v>Karyawan</v>
      </c>
      <c r="Y1234" s="5" t="str">
        <f>VLOOKUP(T1234,'Data Angt'!$A$5:$C$5808,3,FALSE)</f>
        <v>JBR</v>
      </c>
    </row>
    <row r="1235" spans="1:25" x14ac:dyDescent="0.3">
      <c r="A1235" s="8">
        <v>1229</v>
      </c>
      <c r="B1235" s="9" t="s">
        <v>9018</v>
      </c>
      <c r="C1235" s="10" t="str">
        <f>VLOOKUP(B1235,'Data Angt'!$A$5:$B$5809,2,FALSE)</f>
        <v>A4100</v>
      </c>
      <c r="D1235" s="11" t="s">
        <v>9833</v>
      </c>
      <c r="E1235" s="12" t="s">
        <v>10488</v>
      </c>
      <c r="F1235" s="13">
        <v>45145</v>
      </c>
      <c r="G1235" s="14">
        <v>45930</v>
      </c>
      <c r="H1235" s="15">
        <v>5000000</v>
      </c>
      <c r="I1235" s="16">
        <v>12</v>
      </c>
      <c r="J1235" s="17">
        <v>24</v>
      </c>
      <c r="K1235" s="9" t="s">
        <v>9827</v>
      </c>
      <c r="L1235" s="10" t="s">
        <v>10489</v>
      </c>
      <c r="M1235" s="9" t="s">
        <v>10490</v>
      </c>
      <c r="N1235" s="10" t="s">
        <v>9834</v>
      </c>
      <c r="O1235" s="15">
        <v>3333200</v>
      </c>
      <c r="P1235" s="145">
        <v>131287</v>
      </c>
      <c r="Q1235" s="9"/>
      <c r="R1235" s="146"/>
      <c r="T1235" s="92" t="s">
        <v>14931</v>
      </c>
      <c r="U1235">
        <v>1</v>
      </c>
      <c r="V1235">
        <f>VLOOKUP(T1235,'Data Angt'!$A$5:$F$5810,6,FALSE)</f>
        <v>59</v>
      </c>
      <c r="W1235" s="5" t="str">
        <f t="shared" si="19"/>
        <v>PENDIDIKAN</v>
      </c>
      <c r="X1235" s="5" t="str">
        <f>VLOOKUP(T1235,'Data Angt'!$A$5:$H$5810,8,FALSE)</f>
        <v>Tenaga Pengajar</v>
      </c>
      <c r="Y1235" s="5" t="str">
        <f>VLOOKUP(T1235,'Data Angt'!$A$5:$C$5808,3,FALSE)</f>
        <v>JBR</v>
      </c>
    </row>
    <row r="1236" spans="1:25" x14ac:dyDescent="0.3">
      <c r="A1236" s="8">
        <v>1230</v>
      </c>
      <c r="B1236" s="9" t="s">
        <v>9025</v>
      </c>
      <c r="C1236" s="10" t="str">
        <f>VLOOKUP(B1236,'Data Angt'!$A$5:$B$5809,2,FALSE)</f>
        <v>A4103</v>
      </c>
      <c r="D1236" s="11" t="s">
        <v>9833</v>
      </c>
      <c r="E1236" s="12" t="s">
        <v>17038</v>
      </c>
      <c r="F1236" s="13">
        <v>45587</v>
      </c>
      <c r="G1236" s="14">
        <v>45922</v>
      </c>
      <c r="H1236" s="15">
        <v>5000000</v>
      </c>
      <c r="I1236" s="16">
        <v>18</v>
      </c>
      <c r="J1236" s="17">
        <v>24</v>
      </c>
      <c r="K1236" s="9" t="s">
        <v>9827</v>
      </c>
      <c r="L1236" s="10" t="s">
        <v>17039</v>
      </c>
      <c r="M1236" s="9" t="s">
        <v>10359</v>
      </c>
      <c r="N1236" s="10" t="s">
        <v>9834</v>
      </c>
      <c r="O1236" s="15">
        <v>1944200</v>
      </c>
      <c r="P1236" s="145">
        <v>298085</v>
      </c>
      <c r="Q1236" s="9"/>
      <c r="R1236" s="146"/>
      <c r="T1236" s="92" t="s">
        <v>14944</v>
      </c>
      <c r="U1236">
        <v>1</v>
      </c>
      <c r="V1236">
        <f>VLOOKUP(T1236,'Data Angt'!$A$5:$F$5810,6,FALSE)</f>
        <v>30</v>
      </c>
      <c r="W1236" s="5" t="str">
        <f t="shared" si="19"/>
        <v>KESEHATAN</v>
      </c>
      <c r="X1236" s="5" t="str">
        <f>VLOOKUP(T1236,'Data Angt'!$A$5:$H$5810,8,FALSE)</f>
        <v>Karyawan</v>
      </c>
      <c r="Y1236" s="5" t="str">
        <f>VLOOKUP(T1236,'Data Angt'!$A$5:$C$5808,3,FALSE)</f>
        <v>JBR</v>
      </c>
    </row>
    <row r="1237" spans="1:25" x14ac:dyDescent="0.3">
      <c r="A1237" s="8">
        <v>1231</v>
      </c>
      <c r="B1237" s="9" t="s">
        <v>9065</v>
      </c>
      <c r="C1237" s="10" t="str">
        <f>VLOOKUP(B1237,'Data Angt'!$A$5:$B$5809,2,FALSE)</f>
        <v>A4123</v>
      </c>
      <c r="D1237" s="11" t="s">
        <v>9829</v>
      </c>
      <c r="E1237" s="12" t="s">
        <v>17040</v>
      </c>
      <c r="F1237" s="13">
        <v>45409</v>
      </c>
      <c r="G1237" s="14">
        <v>45777</v>
      </c>
      <c r="H1237" s="15">
        <v>20000000</v>
      </c>
      <c r="I1237" s="16">
        <v>24</v>
      </c>
      <c r="J1237" s="17">
        <v>24</v>
      </c>
      <c r="K1237" s="9" t="s">
        <v>9827</v>
      </c>
      <c r="L1237" s="10" t="s">
        <v>17041</v>
      </c>
      <c r="M1237" s="9" t="s">
        <v>9838</v>
      </c>
      <c r="N1237" s="10" t="s">
        <v>9830</v>
      </c>
      <c r="O1237" s="15">
        <v>9999200</v>
      </c>
      <c r="P1237" s="145">
        <v>1387648</v>
      </c>
      <c r="Q1237" s="9" t="s">
        <v>23304</v>
      </c>
      <c r="R1237" s="146" t="s">
        <v>23417</v>
      </c>
      <c r="T1237" s="92" t="s">
        <v>14976</v>
      </c>
      <c r="U1237">
        <v>1</v>
      </c>
      <c r="V1237">
        <f>VLOOKUP(T1237,'Data Angt'!$A$5:$F$5810,6,FALSE)</f>
        <v>48</v>
      </c>
      <c r="W1237" s="5" t="str">
        <f t="shared" si="19"/>
        <v>PRODUKTIF</v>
      </c>
      <c r="X1237" s="5" t="str">
        <f>VLOOKUP(T1237,'Data Angt'!$A$5:$H$5810,8,FALSE)</f>
        <v>Wiraswasta</v>
      </c>
      <c r="Y1237" s="5" t="str">
        <f>VLOOKUP(T1237,'Data Angt'!$A$5:$C$5808,3,FALSE)</f>
        <v>JBR</v>
      </c>
    </row>
    <row r="1238" spans="1:25" x14ac:dyDescent="0.3">
      <c r="A1238" s="8">
        <v>1232</v>
      </c>
      <c r="B1238" s="9" t="s">
        <v>9078</v>
      </c>
      <c r="C1238" s="10" t="str">
        <f>VLOOKUP(B1238,'Data Angt'!$A$5:$B$5809,2,FALSE)</f>
        <v>A4129</v>
      </c>
      <c r="D1238" s="11" t="s">
        <v>9826</v>
      </c>
      <c r="E1238" s="12" t="s">
        <v>23418</v>
      </c>
      <c r="F1238" s="13">
        <v>45845</v>
      </c>
      <c r="G1238" s="14">
        <v>45902</v>
      </c>
      <c r="H1238" s="15">
        <v>5000000</v>
      </c>
      <c r="I1238" s="16">
        <v>12</v>
      </c>
      <c r="J1238" s="17">
        <v>24</v>
      </c>
      <c r="K1238" s="9" t="s">
        <v>9827</v>
      </c>
      <c r="L1238" s="10" t="s">
        <v>23419</v>
      </c>
      <c r="M1238" s="9" t="s">
        <v>10008</v>
      </c>
      <c r="N1238" s="10" t="s">
        <v>17</v>
      </c>
      <c r="O1238" s="15">
        <v>4166600</v>
      </c>
      <c r="P1238" s="145">
        <v>71887</v>
      </c>
      <c r="Q1238" s="9"/>
      <c r="R1238" s="146"/>
      <c r="T1238" s="92" t="s">
        <v>15018</v>
      </c>
      <c r="U1238">
        <v>1</v>
      </c>
      <c r="V1238">
        <f>VLOOKUP(T1238,'Data Angt'!$A$5:$F$5810,6,FALSE)</f>
        <v>41</v>
      </c>
      <c r="W1238" s="5" t="str">
        <f t="shared" si="19"/>
        <v>PENDIDIKAN</v>
      </c>
      <c r="X1238" s="5" t="str">
        <f>VLOOKUP(T1238,'Data Angt'!$A$5:$H$5810,8,FALSE)</f>
        <v>Aparatur/Pejabat Negara</v>
      </c>
      <c r="Y1238" s="5" t="str">
        <f>VLOOKUP(T1238,'Data Angt'!$A$5:$C$5808,3,FALSE)</f>
        <v>JBR</v>
      </c>
    </row>
    <row r="1239" spans="1:25" x14ac:dyDescent="0.3">
      <c r="A1239" s="8">
        <v>1233</v>
      </c>
      <c r="B1239" s="9" t="s">
        <v>9096</v>
      </c>
      <c r="C1239" s="10" t="str">
        <f>VLOOKUP(B1239,'Data Angt'!$A$5:$B$5809,2,FALSE)</f>
        <v>A4139</v>
      </c>
      <c r="D1239" s="11" t="s">
        <v>9833</v>
      </c>
      <c r="E1239" s="12" t="s">
        <v>23420</v>
      </c>
      <c r="F1239" s="13">
        <v>45845</v>
      </c>
      <c r="G1239" s="14">
        <v>45909</v>
      </c>
      <c r="H1239" s="15">
        <v>8000000</v>
      </c>
      <c r="I1239" s="16">
        <v>18</v>
      </c>
      <c r="J1239" s="17">
        <v>24</v>
      </c>
      <c r="K1239" s="9" t="s">
        <v>9827</v>
      </c>
      <c r="L1239" s="10" t="s">
        <v>23421</v>
      </c>
      <c r="M1239" s="9" t="s">
        <v>23422</v>
      </c>
      <c r="N1239" s="10" t="s">
        <v>9834</v>
      </c>
      <c r="O1239" s="15">
        <v>7111000</v>
      </c>
      <c r="P1239" s="145">
        <v>116700</v>
      </c>
      <c r="Q1239" s="9"/>
      <c r="R1239" s="146"/>
      <c r="T1239" s="92" t="s">
        <v>15054</v>
      </c>
      <c r="U1239">
        <v>1</v>
      </c>
      <c r="V1239">
        <f>VLOOKUP(T1239,'Data Angt'!$A$5:$F$5810,6,FALSE)</f>
        <v>47</v>
      </c>
      <c r="W1239" s="5" t="str">
        <f t="shared" si="19"/>
        <v>PRODUKTIF</v>
      </c>
      <c r="X1239" s="5" t="str">
        <f>VLOOKUP(T1239,'Data Angt'!$A$5:$H$5810,8,FALSE)</f>
        <v>Wiraswasta</v>
      </c>
      <c r="Y1239" s="5" t="str">
        <f>VLOOKUP(T1239,'Data Angt'!$A$5:$C$5808,3,FALSE)</f>
        <v>JBR</v>
      </c>
    </row>
    <row r="1240" spans="1:25" x14ac:dyDescent="0.3">
      <c r="A1240" s="8">
        <v>1234</v>
      </c>
      <c r="B1240" s="9" t="s">
        <v>9154</v>
      </c>
      <c r="C1240" s="10" t="str">
        <f>VLOOKUP(B1240,'Data Angt'!$A$5:$B$5809,2,FALSE)</f>
        <v>A4164</v>
      </c>
      <c r="D1240" s="11" t="s">
        <v>9829</v>
      </c>
      <c r="E1240" s="12" t="s">
        <v>17042</v>
      </c>
      <c r="F1240" s="13">
        <v>45723</v>
      </c>
      <c r="G1240" s="14">
        <v>45910</v>
      </c>
      <c r="H1240" s="15">
        <v>2000000</v>
      </c>
      <c r="I1240" s="16">
        <v>12</v>
      </c>
      <c r="J1240" s="17">
        <v>24</v>
      </c>
      <c r="K1240" s="9" t="s">
        <v>9827</v>
      </c>
      <c r="L1240" s="10" t="s">
        <v>17043</v>
      </c>
      <c r="M1240" s="9" t="s">
        <v>10715</v>
      </c>
      <c r="N1240" s="10" t="s">
        <v>9828</v>
      </c>
      <c r="O1240" s="15">
        <v>999800</v>
      </c>
      <c r="P1240" s="145">
        <v>71324</v>
      </c>
      <c r="Q1240" s="9"/>
      <c r="R1240" s="146"/>
      <c r="T1240" s="92" t="s">
        <v>15189</v>
      </c>
      <c r="U1240">
        <v>1</v>
      </c>
      <c r="V1240">
        <f>VLOOKUP(T1240,'Data Angt'!$A$5:$F$5810,6,FALSE)</f>
        <v>59</v>
      </c>
      <c r="W1240" s="5" t="str">
        <f t="shared" si="19"/>
        <v>KONSUMTIF</v>
      </c>
      <c r="X1240" s="5" t="str">
        <f>VLOOKUP(T1240,'Data Angt'!$A$5:$H$5810,8,FALSE)</f>
        <v>Wiraswasta</v>
      </c>
      <c r="Y1240" s="5" t="str">
        <f>VLOOKUP(T1240,'Data Angt'!$A$5:$C$5808,3,FALSE)</f>
        <v>JBR</v>
      </c>
    </row>
    <row r="1241" spans="1:25" x14ac:dyDescent="0.3">
      <c r="A1241" s="8">
        <v>1235</v>
      </c>
      <c r="B1241" s="9" t="s">
        <v>9169</v>
      </c>
      <c r="C1241" s="10" t="str">
        <f>VLOOKUP(B1241,'Data Angt'!$A$5:$B$5809,2,FALSE)</f>
        <v>A4172</v>
      </c>
      <c r="D1241" s="11" t="s">
        <v>9833</v>
      </c>
      <c r="E1241" s="12" t="s">
        <v>23423</v>
      </c>
      <c r="F1241" s="13">
        <v>45898</v>
      </c>
      <c r="G1241" s="14">
        <v>45929</v>
      </c>
      <c r="H1241" s="15">
        <v>15000000</v>
      </c>
      <c r="I1241" s="16">
        <v>24</v>
      </c>
      <c r="J1241" s="17">
        <v>24</v>
      </c>
      <c r="K1241" s="9" t="s">
        <v>9827</v>
      </c>
      <c r="L1241" s="10" t="s">
        <v>23424</v>
      </c>
      <c r="M1241" s="9" t="s">
        <v>9862</v>
      </c>
      <c r="N1241" s="10" t="s">
        <v>9834</v>
      </c>
      <c r="O1241" s="15">
        <v>14375000</v>
      </c>
      <c r="P1241" s="145">
        <v>112500</v>
      </c>
      <c r="Q1241" s="9" t="s">
        <v>23304</v>
      </c>
      <c r="R1241" s="146" t="s">
        <v>23425</v>
      </c>
      <c r="T1241" s="92" t="s">
        <v>15266</v>
      </c>
      <c r="U1241">
        <v>1</v>
      </c>
      <c r="V1241">
        <f>VLOOKUP(T1241,'Data Angt'!$A$5:$F$5810,6,FALSE)</f>
        <v>30</v>
      </c>
      <c r="W1241" s="5" t="str">
        <f t="shared" si="19"/>
        <v>PRODUKTIF</v>
      </c>
      <c r="X1241" s="5" t="str">
        <f>VLOOKUP(T1241,'Data Angt'!$A$5:$H$5810,8,FALSE)</f>
        <v>Wiraswasta</v>
      </c>
      <c r="Y1241" s="5" t="str">
        <f>VLOOKUP(T1241,'Data Angt'!$A$5:$C$5808,3,FALSE)</f>
        <v>JBR</v>
      </c>
    </row>
    <row r="1242" spans="1:25" x14ac:dyDescent="0.3">
      <c r="A1242" s="8">
        <v>1236</v>
      </c>
      <c r="B1242" s="9" t="s">
        <v>9198</v>
      </c>
      <c r="C1242" s="10" t="str">
        <f>VLOOKUP(B1242,'Data Angt'!$A$5:$B$5809,2,FALSE)</f>
        <v>A4185</v>
      </c>
      <c r="D1242" s="11" t="s">
        <v>9833</v>
      </c>
      <c r="E1242" s="12" t="s">
        <v>23426</v>
      </c>
      <c r="F1242" s="13">
        <v>45846</v>
      </c>
      <c r="G1242" s="14">
        <v>45904</v>
      </c>
      <c r="H1242" s="15">
        <v>1500000</v>
      </c>
      <c r="I1242" s="16">
        <v>12</v>
      </c>
      <c r="J1242" s="17">
        <v>24</v>
      </c>
      <c r="K1242" s="9" t="s">
        <v>9827</v>
      </c>
      <c r="L1242" s="10" t="s">
        <v>23427</v>
      </c>
      <c r="M1242" s="9" t="s">
        <v>9862</v>
      </c>
      <c r="N1242" s="10" t="s">
        <v>9834</v>
      </c>
      <c r="O1242" s="15">
        <v>1250000</v>
      </c>
      <c r="P1242" s="145">
        <v>21562</v>
      </c>
      <c r="Q1242" s="9"/>
      <c r="R1242" s="146"/>
      <c r="T1242" s="92" t="s">
        <v>15295</v>
      </c>
      <c r="U1242">
        <v>1</v>
      </c>
      <c r="V1242">
        <f>VLOOKUP(T1242,'Data Angt'!$A$5:$F$5810,6,FALSE)</f>
        <v>38</v>
      </c>
      <c r="W1242" s="5" t="str">
        <f t="shared" si="19"/>
        <v>PENDIDIKAN</v>
      </c>
      <c r="X1242" s="5" t="str">
        <f>VLOOKUP(T1242,'Data Angt'!$A$5:$H$5810,8,FALSE)</f>
        <v>Wiraswasta</v>
      </c>
      <c r="Y1242" s="5" t="str">
        <f>VLOOKUP(T1242,'Data Angt'!$A$5:$C$5808,3,FALSE)</f>
        <v>JBR</v>
      </c>
    </row>
    <row r="1243" spans="1:25" x14ac:dyDescent="0.3">
      <c r="A1243" s="8">
        <v>1237</v>
      </c>
      <c r="B1243" s="9" t="s">
        <v>9199</v>
      </c>
      <c r="C1243" s="10" t="str">
        <f>VLOOKUP(B1243,'Data Angt'!$A$5:$B$5809,2,FALSE)</f>
        <v>A4186</v>
      </c>
      <c r="D1243" s="11" t="s">
        <v>9833</v>
      </c>
      <c r="E1243" s="12" t="s">
        <v>17044</v>
      </c>
      <c r="F1243" s="13">
        <v>45511</v>
      </c>
      <c r="G1243" s="14">
        <v>45716</v>
      </c>
      <c r="H1243" s="15">
        <v>5000000</v>
      </c>
      <c r="I1243" s="16">
        <v>18</v>
      </c>
      <c r="J1243" s="17">
        <v>24</v>
      </c>
      <c r="K1243" s="9" t="s">
        <v>9827</v>
      </c>
      <c r="L1243" s="10" t="s">
        <v>17045</v>
      </c>
      <c r="M1243" s="9" t="s">
        <v>17046</v>
      </c>
      <c r="N1243" s="10" t="s">
        <v>9834</v>
      </c>
      <c r="O1243" s="15">
        <v>3333200</v>
      </c>
      <c r="P1243" s="145">
        <v>193836</v>
      </c>
      <c r="Q1243" s="9"/>
      <c r="R1243" s="146"/>
      <c r="T1243" s="92" t="s">
        <v>15300</v>
      </c>
      <c r="U1243">
        <v>1</v>
      </c>
      <c r="V1243">
        <f>VLOOKUP(T1243,'Data Angt'!$A$5:$F$5810,6,FALSE)</f>
        <v>28</v>
      </c>
      <c r="W1243" s="5" t="str">
        <f t="shared" si="19"/>
        <v>PRODUKTIF</v>
      </c>
      <c r="X1243" s="5" t="str">
        <f>VLOOKUP(T1243,'Data Angt'!$A$5:$H$5810,8,FALSE)</f>
        <v>Karyawan</v>
      </c>
      <c r="Y1243" s="5" t="str">
        <f>VLOOKUP(T1243,'Data Angt'!$A$5:$C$5808,3,FALSE)</f>
        <v>JBR</v>
      </c>
    </row>
    <row r="1244" spans="1:25" x14ac:dyDescent="0.3">
      <c r="A1244" s="8">
        <v>1238</v>
      </c>
      <c r="B1244" s="9" t="s">
        <v>9207</v>
      </c>
      <c r="C1244" s="10" t="str">
        <f>VLOOKUP(B1244,'Data Angt'!$A$5:$B$5809,2,FALSE)</f>
        <v>A4190</v>
      </c>
      <c r="D1244" s="11" t="s">
        <v>9829</v>
      </c>
      <c r="E1244" s="12" t="s">
        <v>17047</v>
      </c>
      <c r="F1244" s="13">
        <v>45679</v>
      </c>
      <c r="G1244" s="14">
        <v>45930</v>
      </c>
      <c r="H1244" s="15">
        <v>2000000</v>
      </c>
      <c r="I1244" s="16">
        <v>12</v>
      </c>
      <c r="J1244" s="17">
        <v>24</v>
      </c>
      <c r="K1244" s="9" t="s">
        <v>9827</v>
      </c>
      <c r="L1244" s="10" t="s">
        <v>17048</v>
      </c>
      <c r="M1244" s="9" t="s">
        <v>9948</v>
      </c>
      <c r="N1244" s="10" t="s">
        <v>9834</v>
      </c>
      <c r="O1244" s="15">
        <v>666400</v>
      </c>
      <c r="P1244" s="145">
        <v>87562</v>
      </c>
      <c r="Q1244" s="9"/>
      <c r="R1244" s="146"/>
      <c r="T1244" s="92" t="s">
        <v>18904</v>
      </c>
      <c r="U1244">
        <v>1</v>
      </c>
      <c r="V1244">
        <f>VLOOKUP(T1244,'Data Angt'!$A$5:$F$5810,6,FALSE)</f>
        <v>57</v>
      </c>
      <c r="W1244" s="5" t="str">
        <f t="shared" si="19"/>
        <v>PRODUKTIF</v>
      </c>
      <c r="X1244" s="5" t="str">
        <f>VLOOKUP(T1244,'Data Angt'!$A$5:$H$5810,8,FALSE)</f>
        <v>Mengurus Rumah Tangga</v>
      </c>
      <c r="Y1244" s="5" t="str">
        <f>VLOOKUP(T1244,'Data Angt'!$A$5:$C$5808,3,FALSE)</f>
        <v>JBR</v>
      </c>
    </row>
    <row r="1245" spans="1:25" x14ac:dyDescent="0.3">
      <c r="A1245" s="8">
        <v>1239</v>
      </c>
      <c r="B1245" s="9" t="s">
        <v>9284</v>
      </c>
      <c r="C1245" s="10" t="str">
        <f>VLOOKUP(B1245,'Data Angt'!$A$5:$B$5809,2,FALSE)</f>
        <v>A4221</v>
      </c>
      <c r="D1245" s="11" t="s">
        <v>9829</v>
      </c>
      <c r="E1245" s="12" t="s">
        <v>17049</v>
      </c>
      <c r="F1245" s="13">
        <v>45631</v>
      </c>
      <c r="G1245" s="14">
        <v>45869</v>
      </c>
      <c r="H1245" s="15">
        <v>10000000</v>
      </c>
      <c r="I1245" s="16">
        <v>12</v>
      </c>
      <c r="J1245" s="17">
        <v>24</v>
      </c>
      <c r="K1245" s="9" t="s">
        <v>9827</v>
      </c>
      <c r="L1245" s="10" t="s">
        <v>17050</v>
      </c>
      <c r="M1245" s="9" t="s">
        <v>9854</v>
      </c>
      <c r="N1245" s="10" t="s">
        <v>17</v>
      </c>
      <c r="O1245" s="15">
        <v>6666400</v>
      </c>
      <c r="P1245" s="145">
        <v>431287</v>
      </c>
      <c r="Q1245" s="9" t="s">
        <v>22240</v>
      </c>
      <c r="R1245" s="146" t="s">
        <v>23428</v>
      </c>
      <c r="T1245" s="92" t="s">
        <v>19000</v>
      </c>
      <c r="U1245">
        <v>1</v>
      </c>
      <c r="V1245">
        <f>VLOOKUP(T1245,'Data Angt'!$A$5:$F$5810,6,FALSE)</f>
        <v>57</v>
      </c>
      <c r="W1245" s="5" t="str">
        <f t="shared" si="19"/>
        <v>PENDIDIKAN</v>
      </c>
      <c r="X1245" s="5" t="str">
        <f>VLOOKUP(T1245,'Data Angt'!$A$5:$H$5810,8,FALSE)</f>
        <v>Wiraswasta</v>
      </c>
      <c r="Y1245" s="5" t="str">
        <f>VLOOKUP(T1245,'Data Angt'!$A$5:$C$5808,3,FALSE)</f>
        <v>JBR</v>
      </c>
    </row>
    <row r="1246" spans="1:25" x14ac:dyDescent="0.3">
      <c r="A1246" s="8">
        <v>1240</v>
      </c>
      <c r="B1246" s="9" t="s">
        <v>9297</v>
      </c>
      <c r="C1246" s="10" t="str">
        <f>VLOOKUP(B1246,'Data Angt'!$A$5:$B$5809,2,FALSE)</f>
        <v>A4226</v>
      </c>
      <c r="D1246" s="11" t="s">
        <v>9833</v>
      </c>
      <c r="E1246" s="12" t="s">
        <v>17051</v>
      </c>
      <c r="F1246" s="13">
        <v>45721</v>
      </c>
      <c r="G1246" s="14">
        <v>45904</v>
      </c>
      <c r="H1246" s="15">
        <v>5000000</v>
      </c>
      <c r="I1246" s="16">
        <v>12</v>
      </c>
      <c r="J1246" s="17">
        <v>24</v>
      </c>
      <c r="K1246" s="9" t="s">
        <v>9827</v>
      </c>
      <c r="L1246" s="10" t="s">
        <v>17052</v>
      </c>
      <c r="M1246" s="9" t="s">
        <v>9862</v>
      </c>
      <c r="N1246" s="10" t="s">
        <v>9834</v>
      </c>
      <c r="O1246" s="15">
        <v>2499800</v>
      </c>
      <c r="P1246" s="145">
        <v>178199</v>
      </c>
      <c r="Q1246" s="9" t="s">
        <v>23304</v>
      </c>
      <c r="R1246" s="146" t="s">
        <v>23429</v>
      </c>
      <c r="T1246" s="92" t="s">
        <v>19051</v>
      </c>
      <c r="U1246">
        <v>1</v>
      </c>
      <c r="V1246">
        <f>VLOOKUP(T1246,'Data Angt'!$A$5:$F$5810,6,FALSE)</f>
        <v>45</v>
      </c>
      <c r="W1246" s="5" t="str">
        <f t="shared" si="19"/>
        <v>PENDIDIKAN</v>
      </c>
      <c r="X1246" s="5" t="str">
        <f>VLOOKUP(T1246,'Data Angt'!$A$5:$H$5810,8,FALSE)</f>
        <v>Mengurus Rumah Tangga</v>
      </c>
      <c r="Y1246" s="5" t="str">
        <f>VLOOKUP(T1246,'Data Angt'!$A$5:$C$5808,3,FALSE)</f>
        <v>JBR</v>
      </c>
    </row>
    <row r="1247" spans="1:25" x14ac:dyDescent="0.3">
      <c r="A1247" s="8">
        <v>1241</v>
      </c>
      <c r="B1247" s="9" t="s">
        <v>9299</v>
      </c>
      <c r="C1247" s="10" t="str">
        <f>VLOOKUP(B1247,'Data Angt'!$A$5:$B$5809,2,FALSE)</f>
        <v>A4227</v>
      </c>
      <c r="D1247" s="11" t="s">
        <v>9833</v>
      </c>
      <c r="E1247" s="12" t="s">
        <v>23430</v>
      </c>
      <c r="F1247" s="13">
        <v>45904</v>
      </c>
      <c r="G1247" s="14">
        <v>45904</v>
      </c>
      <c r="H1247" s="15">
        <v>6500000</v>
      </c>
      <c r="I1247" s="16">
        <v>12</v>
      </c>
      <c r="J1247" s="17">
        <v>24</v>
      </c>
      <c r="K1247" s="9" t="s">
        <v>9827</v>
      </c>
      <c r="L1247" s="10" t="s">
        <v>23431</v>
      </c>
      <c r="M1247" s="9" t="s">
        <v>9862</v>
      </c>
      <c r="N1247" s="10" t="s">
        <v>9834</v>
      </c>
      <c r="O1247" s="15">
        <v>6500000</v>
      </c>
      <c r="P1247" s="147">
        <v>0</v>
      </c>
      <c r="Q1247" s="9"/>
      <c r="R1247" s="146"/>
      <c r="T1247" s="92" t="s">
        <v>19069</v>
      </c>
      <c r="U1247">
        <v>1</v>
      </c>
      <c r="V1247">
        <f>VLOOKUP(T1247,'Data Angt'!$A$5:$F$5810,6,FALSE)</f>
        <v>35</v>
      </c>
      <c r="W1247" s="5" t="str">
        <f t="shared" si="19"/>
        <v>PRODUKTIF</v>
      </c>
      <c r="X1247" s="5" t="str">
        <f>VLOOKUP(T1247,'Data Angt'!$A$5:$H$5810,8,FALSE)</f>
        <v>Karyawan</v>
      </c>
      <c r="Y1247" s="5" t="str">
        <f>VLOOKUP(T1247,'Data Angt'!$A$5:$C$5808,3,FALSE)</f>
        <v>JBR</v>
      </c>
    </row>
    <row r="1248" spans="1:25" x14ac:dyDescent="0.3">
      <c r="A1248" s="8">
        <v>1242</v>
      </c>
      <c r="B1248" s="9" t="s">
        <v>9301</v>
      </c>
      <c r="C1248" s="10" t="str">
        <f>VLOOKUP(B1248,'Data Angt'!$A$5:$B$5809,2,FALSE)</f>
        <v>A4228</v>
      </c>
      <c r="D1248" s="11" t="s">
        <v>9833</v>
      </c>
      <c r="E1248" s="12" t="s">
        <v>17053</v>
      </c>
      <c r="F1248" s="13">
        <v>45792</v>
      </c>
      <c r="G1248" s="14">
        <v>45911</v>
      </c>
      <c r="H1248" s="15">
        <v>3000000</v>
      </c>
      <c r="I1248" s="16">
        <v>24</v>
      </c>
      <c r="J1248" s="17">
        <v>24</v>
      </c>
      <c r="K1248" s="9" t="s">
        <v>9827</v>
      </c>
      <c r="L1248" s="10" t="s">
        <v>17054</v>
      </c>
      <c r="M1248" s="9" t="s">
        <v>9862</v>
      </c>
      <c r="N1248" s="10" t="s">
        <v>9834</v>
      </c>
      <c r="O1248" s="15">
        <v>2500000</v>
      </c>
      <c r="P1248" s="145">
        <v>84374</v>
      </c>
      <c r="Q1248" s="9"/>
      <c r="R1248" s="146"/>
      <c r="T1248" s="92" t="s">
        <v>19174</v>
      </c>
      <c r="U1248">
        <v>2</v>
      </c>
      <c r="V1248">
        <f>VLOOKUP(T1248,'Data Angt'!$A$5:$F$5810,6,FALSE)</f>
        <v>34</v>
      </c>
      <c r="W1248" s="5" t="str">
        <f t="shared" si="19"/>
        <v>PRODUKTIF</v>
      </c>
      <c r="X1248" s="5" t="str">
        <f>VLOOKUP(T1248,'Data Angt'!$A$5:$H$5810,8,FALSE)</f>
        <v>Wiraswasta</v>
      </c>
      <c r="Y1248" s="5" t="str">
        <f>VLOOKUP(T1248,'Data Angt'!$A$5:$C$5808,3,FALSE)</f>
        <v>JBR</v>
      </c>
    </row>
    <row r="1249" spans="1:25" x14ac:dyDescent="0.3">
      <c r="A1249" s="8">
        <v>1243</v>
      </c>
      <c r="B1249" s="9" t="s">
        <v>9349</v>
      </c>
      <c r="C1249" s="10" t="str">
        <f>VLOOKUP(B1249,'Data Angt'!$A$5:$B$5809,2,FALSE)</f>
        <v>A4252</v>
      </c>
      <c r="D1249" s="11" t="s">
        <v>9895</v>
      </c>
      <c r="E1249" s="12" t="s">
        <v>10492</v>
      </c>
      <c r="F1249" s="13">
        <v>45210</v>
      </c>
      <c r="G1249" s="14">
        <v>45911</v>
      </c>
      <c r="H1249" s="15">
        <v>22000000</v>
      </c>
      <c r="I1249" s="16">
        <v>36</v>
      </c>
      <c r="J1249" s="17">
        <v>24</v>
      </c>
      <c r="K1249" s="9" t="s">
        <v>9827</v>
      </c>
      <c r="L1249" s="10" t="s">
        <v>10493</v>
      </c>
      <c r="M1249" s="9" t="s">
        <v>10494</v>
      </c>
      <c r="N1249" s="10" t="s">
        <v>9828</v>
      </c>
      <c r="O1249" s="15">
        <v>7942400</v>
      </c>
      <c r="P1249" s="145">
        <v>2635645</v>
      </c>
      <c r="Q1249" s="9" t="s">
        <v>23304</v>
      </c>
      <c r="R1249" s="146" t="s">
        <v>23432</v>
      </c>
      <c r="T1249" s="92" t="s">
        <v>19249</v>
      </c>
      <c r="U1249">
        <v>1</v>
      </c>
      <c r="V1249">
        <f>VLOOKUP(T1249,'Data Angt'!$A$5:$F$5810,6,FALSE)</f>
        <v>49</v>
      </c>
      <c r="W1249" s="5" t="str">
        <f t="shared" si="19"/>
        <v>PENDIDIKAN</v>
      </c>
      <c r="X1249" s="5" t="str">
        <f>VLOOKUP(T1249,'Data Angt'!$A$5:$H$5810,8,FALSE)</f>
        <v>Wiraswasta</v>
      </c>
      <c r="Y1249" s="5" t="str">
        <f>VLOOKUP(T1249,'Data Angt'!$A$5:$C$5808,3,FALSE)</f>
        <v>JBR</v>
      </c>
    </row>
    <row r="1250" spans="1:25" x14ac:dyDescent="0.3">
      <c r="A1250" s="8">
        <v>1244</v>
      </c>
      <c r="B1250" s="9" t="s">
        <v>9359</v>
      </c>
      <c r="C1250" s="10" t="str">
        <f>VLOOKUP(B1250,'Data Angt'!$A$5:$B$5809,2,FALSE)</f>
        <v>A4257</v>
      </c>
      <c r="D1250" s="11" t="s">
        <v>9829</v>
      </c>
      <c r="E1250" s="12" t="s">
        <v>23433</v>
      </c>
      <c r="F1250" s="13">
        <v>45912</v>
      </c>
      <c r="G1250" s="14">
        <v>45912</v>
      </c>
      <c r="H1250" s="15">
        <v>3000000</v>
      </c>
      <c r="I1250" s="16">
        <v>12</v>
      </c>
      <c r="J1250" s="17">
        <v>24</v>
      </c>
      <c r="K1250" s="9" t="s">
        <v>9827</v>
      </c>
      <c r="L1250" s="10" t="s">
        <v>23434</v>
      </c>
      <c r="M1250" s="9" t="s">
        <v>9854</v>
      </c>
      <c r="N1250" s="10" t="s">
        <v>17</v>
      </c>
      <c r="O1250" s="15">
        <v>3000000</v>
      </c>
      <c r="P1250" s="147">
        <v>0</v>
      </c>
      <c r="Q1250" s="9" t="s">
        <v>23304</v>
      </c>
      <c r="R1250" s="146" t="s">
        <v>23435</v>
      </c>
      <c r="T1250" s="92" t="s">
        <v>19254</v>
      </c>
      <c r="U1250">
        <v>2</v>
      </c>
      <c r="V1250">
        <f>VLOOKUP(T1250,'Data Angt'!$A$5:$F$5810,6,FALSE)</f>
        <v>61</v>
      </c>
      <c r="W1250" s="5" t="str">
        <f t="shared" si="19"/>
        <v>PRODUKTIF</v>
      </c>
      <c r="X1250" s="5" t="str">
        <f>VLOOKUP(T1250,'Data Angt'!$A$5:$H$5810,8,FALSE)</f>
        <v>Wiraswasta</v>
      </c>
      <c r="Y1250" s="5" t="str">
        <f>VLOOKUP(T1250,'Data Angt'!$A$5:$C$5808,3,FALSE)</f>
        <v>JBR</v>
      </c>
    </row>
    <row r="1251" spans="1:25" x14ac:dyDescent="0.3">
      <c r="A1251" s="8">
        <v>1245</v>
      </c>
      <c r="B1251" s="9" t="s">
        <v>9367</v>
      </c>
      <c r="C1251" s="10" t="str">
        <f>VLOOKUP(B1251,'Data Angt'!$A$5:$B$5809,2,FALSE)</f>
        <v>A4261</v>
      </c>
      <c r="D1251" s="11" t="s">
        <v>9833</v>
      </c>
      <c r="E1251" s="12" t="s">
        <v>17055</v>
      </c>
      <c r="F1251" s="13">
        <v>45530</v>
      </c>
      <c r="G1251" s="14">
        <v>45930</v>
      </c>
      <c r="H1251" s="15">
        <v>15000000</v>
      </c>
      <c r="I1251" s="16">
        <v>24</v>
      </c>
      <c r="J1251" s="17">
        <v>24</v>
      </c>
      <c r="K1251" s="9" t="s">
        <v>9827</v>
      </c>
      <c r="L1251" s="10" t="s">
        <v>17056</v>
      </c>
      <c r="M1251" s="9" t="s">
        <v>17057</v>
      </c>
      <c r="N1251" s="10" t="s">
        <v>9834</v>
      </c>
      <c r="O1251" s="15">
        <v>6875000</v>
      </c>
      <c r="P1251" s="145">
        <v>1096872</v>
      </c>
      <c r="Q1251" s="9"/>
      <c r="R1251" s="146"/>
      <c r="T1251" s="92" t="s">
        <v>1782</v>
      </c>
      <c r="U1251">
        <v>1</v>
      </c>
      <c r="V1251">
        <f>VLOOKUP(T1251,'Data Angt'!$A$5:$F$5810,6,FALSE)</f>
        <v>45</v>
      </c>
      <c r="W1251" s="5" t="str">
        <f t="shared" si="19"/>
        <v>PENDIDIKAN</v>
      </c>
      <c r="X1251" s="5" t="str">
        <f>VLOOKUP(T1251,'Data Angt'!$A$5:$H$5810,8,FALSE)</f>
        <v>Aparatur/Pejabat Negara</v>
      </c>
      <c r="Y1251" s="5" t="str">
        <f>VLOOKUP(T1251,'Data Angt'!$A$5:$C$5808,3,FALSE)</f>
        <v>BWI</v>
      </c>
    </row>
    <row r="1252" spans="1:25" x14ac:dyDescent="0.3">
      <c r="A1252" s="8">
        <v>1246</v>
      </c>
      <c r="B1252" s="9" t="s">
        <v>9401</v>
      </c>
      <c r="C1252" s="10" t="str">
        <f>VLOOKUP(B1252,'Data Angt'!$A$5:$B$5809,2,FALSE)</f>
        <v>A4277</v>
      </c>
      <c r="D1252" s="11" t="s">
        <v>9881</v>
      </c>
      <c r="E1252" s="12" t="s">
        <v>17058</v>
      </c>
      <c r="F1252" s="13">
        <v>45654</v>
      </c>
      <c r="G1252" s="14">
        <v>45929</v>
      </c>
      <c r="H1252" s="15">
        <v>1800000</v>
      </c>
      <c r="I1252" s="16">
        <v>10</v>
      </c>
      <c r="J1252" s="17">
        <v>12</v>
      </c>
      <c r="K1252" s="9" t="s">
        <v>9831</v>
      </c>
      <c r="L1252" s="10" t="s">
        <v>17059</v>
      </c>
      <c r="M1252" s="9" t="s">
        <v>17060</v>
      </c>
      <c r="N1252" s="10" t="s">
        <v>9828</v>
      </c>
      <c r="O1252" s="15">
        <v>188100</v>
      </c>
      <c r="P1252" s="145">
        <v>37123</v>
      </c>
      <c r="Q1252" s="9"/>
      <c r="R1252" s="146"/>
      <c r="T1252" s="92" t="s">
        <v>1789</v>
      </c>
      <c r="U1252">
        <v>1</v>
      </c>
      <c r="V1252">
        <f>VLOOKUP(T1252,'Data Angt'!$A$5:$F$5810,6,FALSE)</f>
        <v>47</v>
      </c>
      <c r="W1252" s="5" t="str">
        <f t="shared" si="19"/>
        <v>KONSUMTIF</v>
      </c>
      <c r="X1252" s="5" t="str">
        <f>VLOOKUP(T1252,'Data Angt'!$A$5:$H$5810,8,FALSE)</f>
        <v>Tenaga Pengajar</v>
      </c>
      <c r="Y1252" s="5" t="str">
        <f>VLOOKUP(T1252,'Data Angt'!$A$5:$C$5808,3,FALSE)</f>
        <v>BWI</v>
      </c>
    </row>
    <row r="1253" spans="1:25" x14ac:dyDescent="0.3">
      <c r="A1253" s="8">
        <v>1247</v>
      </c>
      <c r="B1253" s="9" t="s">
        <v>9426</v>
      </c>
      <c r="C1253" s="10" t="str">
        <f>VLOOKUP(B1253,'Data Angt'!$A$5:$B$5809,2,FALSE)</f>
        <v>A4288</v>
      </c>
      <c r="D1253" s="11" t="s">
        <v>9833</v>
      </c>
      <c r="E1253" s="12" t="s">
        <v>23436</v>
      </c>
      <c r="F1253" s="13">
        <v>45849</v>
      </c>
      <c r="G1253" s="14">
        <v>45911</v>
      </c>
      <c r="H1253" s="15">
        <v>17000000</v>
      </c>
      <c r="I1253" s="16">
        <v>24</v>
      </c>
      <c r="J1253" s="17">
        <v>24</v>
      </c>
      <c r="K1253" s="9" t="s">
        <v>9827</v>
      </c>
      <c r="L1253" s="10" t="s">
        <v>23437</v>
      </c>
      <c r="M1253" s="9" t="s">
        <v>9862</v>
      </c>
      <c r="N1253" s="10" t="s">
        <v>9834</v>
      </c>
      <c r="O1253" s="15">
        <v>15583200</v>
      </c>
      <c r="P1253" s="145">
        <v>249712</v>
      </c>
      <c r="Q1253" s="9"/>
      <c r="R1253" s="146"/>
      <c r="T1253" s="92" t="s">
        <v>1793</v>
      </c>
      <c r="U1253">
        <v>1</v>
      </c>
      <c r="V1253">
        <f>VLOOKUP(T1253,'Data Angt'!$A$5:$F$5810,6,FALSE)</f>
        <v>43</v>
      </c>
      <c r="W1253" s="5" t="str">
        <f t="shared" si="19"/>
        <v>PENDIDIKAN</v>
      </c>
      <c r="X1253" s="5" t="str">
        <f>VLOOKUP(T1253,'Data Angt'!$A$5:$H$5810,8,FALSE)</f>
        <v>Tenaga Pengajar</v>
      </c>
      <c r="Y1253" s="5" t="str">
        <f>VLOOKUP(T1253,'Data Angt'!$A$5:$C$5808,3,FALSE)</f>
        <v>BWI</v>
      </c>
    </row>
    <row r="1254" spans="1:25" x14ac:dyDescent="0.3">
      <c r="A1254" s="8">
        <v>1248</v>
      </c>
      <c r="B1254" s="9" t="s">
        <v>9527</v>
      </c>
      <c r="C1254" s="10" t="str">
        <f>VLOOKUP(B1254,'Data Angt'!$A$5:$B$5809,2,FALSE)</f>
        <v>A4331</v>
      </c>
      <c r="D1254" s="11" t="s">
        <v>9833</v>
      </c>
      <c r="E1254" s="12" t="s">
        <v>17061</v>
      </c>
      <c r="F1254" s="13">
        <v>45727</v>
      </c>
      <c r="G1254" s="14">
        <v>45923</v>
      </c>
      <c r="H1254" s="15">
        <v>6000000</v>
      </c>
      <c r="I1254" s="16">
        <v>12</v>
      </c>
      <c r="J1254" s="17">
        <v>24</v>
      </c>
      <c r="K1254" s="9" t="s">
        <v>9827</v>
      </c>
      <c r="L1254" s="10" t="s">
        <v>17062</v>
      </c>
      <c r="M1254" s="9" t="s">
        <v>9862</v>
      </c>
      <c r="N1254" s="10" t="s">
        <v>9834</v>
      </c>
      <c r="O1254" s="15">
        <v>3000000</v>
      </c>
      <c r="P1254" s="145">
        <v>213750</v>
      </c>
      <c r="Q1254" s="9" t="s">
        <v>23304</v>
      </c>
      <c r="R1254" s="146" t="s">
        <v>23438</v>
      </c>
      <c r="T1254" s="92" t="s">
        <v>1798</v>
      </c>
      <c r="U1254">
        <v>1</v>
      </c>
      <c r="V1254">
        <f>VLOOKUP(T1254,'Data Angt'!$A$5:$F$5810,6,FALSE)</f>
        <v>49</v>
      </c>
      <c r="W1254" s="5" t="str">
        <f t="shared" si="19"/>
        <v>PENDIDIKAN</v>
      </c>
      <c r="X1254" s="5" t="str">
        <f>VLOOKUP(T1254,'Data Angt'!$A$5:$H$5810,8,FALSE)</f>
        <v>Karyawan</v>
      </c>
      <c r="Y1254" s="5" t="str">
        <f>VLOOKUP(T1254,'Data Angt'!$A$5:$C$5808,3,FALSE)</f>
        <v>BWI</v>
      </c>
    </row>
    <row r="1255" spans="1:25" x14ac:dyDescent="0.3">
      <c r="A1255" s="8">
        <v>1249</v>
      </c>
      <c r="B1255" s="9" t="s">
        <v>9539</v>
      </c>
      <c r="C1255" s="10" t="str">
        <f>VLOOKUP(B1255,'Data Angt'!$A$5:$B$5809,2,FALSE)</f>
        <v>A4336</v>
      </c>
      <c r="D1255" s="11" t="s">
        <v>9829</v>
      </c>
      <c r="E1255" s="12" t="s">
        <v>17063</v>
      </c>
      <c r="F1255" s="13">
        <v>45825</v>
      </c>
      <c r="G1255" s="14">
        <v>45930</v>
      </c>
      <c r="H1255" s="15">
        <v>25000000</v>
      </c>
      <c r="I1255" s="16">
        <v>36</v>
      </c>
      <c r="J1255" s="17">
        <v>21</v>
      </c>
      <c r="K1255" s="9" t="s">
        <v>9827</v>
      </c>
      <c r="L1255" s="10" t="s">
        <v>17064</v>
      </c>
      <c r="M1255" s="9" t="s">
        <v>17065</v>
      </c>
      <c r="N1255" s="10" t="s">
        <v>9830</v>
      </c>
      <c r="O1255" s="15">
        <v>22916500</v>
      </c>
      <c r="P1255" s="145">
        <v>478537</v>
      </c>
      <c r="Q1255" s="9"/>
      <c r="R1255" s="146"/>
      <c r="T1255" s="92" t="s">
        <v>1815</v>
      </c>
      <c r="U1255">
        <v>1</v>
      </c>
      <c r="V1255">
        <f>VLOOKUP(T1255,'Data Angt'!$A$5:$F$5810,6,FALSE)</f>
        <v>56</v>
      </c>
      <c r="W1255" s="5" t="str">
        <f t="shared" si="19"/>
        <v>PENDIDIKAN</v>
      </c>
      <c r="X1255" s="5" t="str">
        <f>VLOOKUP(T1255,'Data Angt'!$A$5:$H$5810,8,FALSE)</f>
        <v>Lain-Lain</v>
      </c>
      <c r="Y1255" s="5" t="str">
        <f>VLOOKUP(T1255,'Data Angt'!$A$5:$C$5808,3,FALSE)</f>
        <v>BWI</v>
      </c>
    </row>
    <row r="1256" spans="1:25" x14ac:dyDescent="0.3">
      <c r="A1256" s="8">
        <v>1250</v>
      </c>
      <c r="B1256" s="9" t="s">
        <v>9542</v>
      </c>
      <c r="C1256" s="10" t="str">
        <f>VLOOKUP(B1256,'Data Angt'!$A$5:$B$5809,2,FALSE)</f>
        <v>A4337</v>
      </c>
      <c r="D1256" s="11" t="s">
        <v>9829</v>
      </c>
      <c r="E1256" s="12" t="s">
        <v>17066</v>
      </c>
      <c r="F1256" s="13">
        <v>45762</v>
      </c>
      <c r="G1256" s="14">
        <v>45916</v>
      </c>
      <c r="H1256" s="15">
        <v>2500000</v>
      </c>
      <c r="I1256" s="16">
        <v>10</v>
      </c>
      <c r="J1256" s="17">
        <v>24</v>
      </c>
      <c r="K1256" s="9" t="s">
        <v>9827</v>
      </c>
      <c r="L1256" s="10" t="s">
        <v>17067</v>
      </c>
      <c r="M1256" s="9" t="s">
        <v>9838</v>
      </c>
      <c r="N1256" s="10" t="s">
        <v>9830</v>
      </c>
      <c r="O1256" s="15">
        <v>1250000</v>
      </c>
      <c r="P1256" s="145">
        <v>75000</v>
      </c>
      <c r="Q1256" s="9"/>
      <c r="R1256" s="146"/>
      <c r="T1256" s="92" t="s">
        <v>1818</v>
      </c>
      <c r="U1256">
        <v>1</v>
      </c>
      <c r="V1256">
        <f>VLOOKUP(T1256,'Data Angt'!$A$5:$F$5810,6,FALSE)</f>
        <v>57</v>
      </c>
      <c r="W1256" s="5" t="str">
        <f t="shared" si="19"/>
        <v>KONSUMTIF</v>
      </c>
      <c r="X1256" s="5" t="str">
        <f>VLOOKUP(T1256,'Data Angt'!$A$5:$H$5810,8,FALSE)</f>
        <v>Karyawan</v>
      </c>
      <c r="Y1256" s="5" t="str">
        <f>VLOOKUP(T1256,'Data Angt'!$A$5:$C$5808,3,FALSE)</f>
        <v>BWI</v>
      </c>
    </row>
    <row r="1257" spans="1:25" x14ac:dyDescent="0.3">
      <c r="A1257" s="8">
        <v>1251</v>
      </c>
      <c r="B1257" s="9" t="s">
        <v>9545</v>
      </c>
      <c r="C1257" s="10" t="str">
        <f>VLOOKUP(B1257,'Data Angt'!$A$5:$B$5809,2,FALSE)</f>
        <v>A4338</v>
      </c>
      <c r="D1257" s="11" t="s">
        <v>9833</v>
      </c>
      <c r="E1257" s="12" t="s">
        <v>17068</v>
      </c>
      <c r="F1257" s="13">
        <v>45468</v>
      </c>
      <c r="G1257" s="14">
        <v>45744</v>
      </c>
      <c r="H1257" s="15">
        <v>2000000</v>
      </c>
      <c r="I1257" s="16">
        <v>12</v>
      </c>
      <c r="J1257" s="17">
        <v>24</v>
      </c>
      <c r="K1257" s="9" t="s">
        <v>9827</v>
      </c>
      <c r="L1257" s="10" t="s">
        <v>17069</v>
      </c>
      <c r="M1257" s="9" t="s">
        <v>9862</v>
      </c>
      <c r="N1257" s="10" t="s">
        <v>9834</v>
      </c>
      <c r="O1257" s="15">
        <v>999800</v>
      </c>
      <c r="P1257" s="145">
        <v>97649</v>
      </c>
      <c r="Q1257" s="9"/>
      <c r="R1257" s="146"/>
      <c r="T1257" s="92" t="s">
        <v>1823</v>
      </c>
      <c r="U1257">
        <v>1</v>
      </c>
      <c r="V1257">
        <f>VLOOKUP(T1257,'Data Angt'!$A$5:$F$5810,6,FALSE)</f>
        <v>70</v>
      </c>
      <c r="W1257" s="5" t="str">
        <f t="shared" si="19"/>
        <v>KONSUMTIF</v>
      </c>
      <c r="X1257" s="5" t="str">
        <f>VLOOKUP(T1257,'Data Angt'!$A$5:$H$5810,8,FALSE)</f>
        <v>Pensiunan</v>
      </c>
      <c r="Y1257" s="5" t="str">
        <f>VLOOKUP(T1257,'Data Angt'!$A$5:$C$5808,3,FALSE)</f>
        <v>BWI</v>
      </c>
    </row>
    <row r="1258" spans="1:25" x14ac:dyDescent="0.3">
      <c r="A1258" s="8">
        <v>1252</v>
      </c>
      <c r="B1258" s="9" t="s">
        <v>9546</v>
      </c>
      <c r="C1258" s="10" t="str">
        <f>VLOOKUP(B1258,'Data Angt'!$A$5:$B$5809,2,FALSE)</f>
        <v>A4339</v>
      </c>
      <c r="D1258" s="11" t="s">
        <v>9829</v>
      </c>
      <c r="E1258" s="12" t="s">
        <v>17070</v>
      </c>
      <c r="F1258" s="13">
        <v>45666</v>
      </c>
      <c r="G1258" s="14">
        <v>45930</v>
      </c>
      <c r="H1258" s="15">
        <v>2000000</v>
      </c>
      <c r="I1258" s="16">
        <v>12</v>
      </c>
      <c r="J1258" s="17">
        <v>24</v>
      </c>
      <c r="K1258" s="9" t="s">
        <v>9827</v>
      </c>
      <c r="L1258" s="10" t="s">
        <v>17071</v>
      </c>
      <c r="M1258" s="9" t="s">
        <v>9854</v>
      </c>
      <c r="N1258" s="10" t="s">
        <v>17</v>
      </c>
      <c r="O1258" s="15">
        <v>1166500</v>
      </c>
      <c r="P1258" s="145">
        <v>90112</v>
      </c>
      <c r="Q1258" s="9"/>
      <c r="R1258" s="146"/>
      <c r="T1258" s="92" t="s">
        <v>1829</v>
      </c>
      <c r="U1258">
        <v>1</v>
      </c>
      <c r="V1258">
        <f>VLOOKUP(T1258,'Data Angt'!$A$5:$F$5810,6,FALSE)</f>
        <v>67</v>
      </c>
      <c r="W1258" s="5" t="str">
        <f t="shared" si="19"/>
        <v>KONSUMTIF</v>
      </c>
      <c r="X1258" s="5" t="str">
        <f>VLOOKUP(T1258,'Data Angt'!$A$5:$H$5810,8,FALSE)</f>
        <v>Karyawan</v>
      </c>
      <c r="Y1258" s="5" t="str">
        <f>VLOOKUP(T1258,'Data Angt'!$A$5:$C$5808,3,FALSE)</f>
        <v>BWI</v>
      </c>
    </row>
    <row r="1259" spans="1:25" x14ac:dyDescent="0.3">
      <c r="A1259" s="8">
        <v>1253</v>
      </c>
      <c r="B1259" s="9" t="s">
        <v>9560</v>
      </c>
      <c r="C1259" s="10" t="str">
        <f>VLOOKUP(B1259,'Data Angt'!$A$5:$B$5809,2,FALSE)</f>
        <v>A4344</v>
      </c>
      <c r="D1259" s="11" t="s">
        <v>9829</v>
      </c>
      <c r="E1259" s="12" t="s">
        <v>17072</v>
      </c>
      <c r="F1259" s="13">
        <v>45831</v>
      </c>
      <c r="G1259" s="14">
        <v>45923</v>
      </c>
      <c r="H1259" s="15">
        <v>1000000</v>
      </c>
      <c r="I1259" s="16">
        <v>5</v>
      </c>
      <c r="J1259" s="17">
        <v>24</v>
      </c>
      <c r="K1259" s="9" t="s">
        <v>9827</v>
      </c>
      <c r="L1259" s="10" t="s">
        <v>17073</v>
      </c>
      <c r="M1259" s="9" t="s">
        <v>16856</v>
      </c>
      <c r="N1259" s="10" t="s">
        <v>9828</v>
      </c>
      <c r="O1259" s="15">
        <v>400000</v>
      </c>
      <c r="P1259" s="145">
        <v>18000</v>
      </c>
      <c r="Q1259" s="9"/>
      <c r="R1259" s="146"/>
      <c r="T1259" s="92" t="s">
        <v>1837</v>
      </c>
      <c r="U1259">
        <v>1</v>
      </c>
      <c r="V1259">
        <f>VLOOKUP(T1259,'Data Angt'!$A$5:$F$5810,6,FALSE)</f>
        <v>60</v>
      </c>
      <c r="W1259" s="5">
        <f t="shared" si="19"/>
        <v>0</v>
      </c>
      <c r="X1259" s="5" t="str">
        <f>VLOOKUP(T1259,'Data Angt'!$A$5:$H$5810,8,FALSE)</f>
        <v>Mengurus Rumah Tangga</v>
      </c>
      <c r="Y1259" s="5" t="str">
        <f>VLOOKUP(T1259,'Data Angt'!$A$5:$C$5808,3,FALSE)</f>
        <v>BWI</v>
      </c>
    </row>
    <row r="1260" spans="1:25" x14ac:dyDescent="0.3">
      <c r="A1260" s="8">
        <v>1254</v>
      </c>
      <c r="B1260" s="9" t="s">
        <v>9562</v>
      </c>
      <c r="C1260" s="10" t="str">
        <f>VLOOKUP(B1260,'Data Angt'!$A$5:$B$5809,2,FALSE)</f>
        <v>A4345</v>
      </c>
      <c r="D1260" s="11" t="s">
        <v>9829</v>
      </c>
      <c r="E1260" s="12" t="s">
        <v>23439</v>
      </c>
      <c r="F1260" s="13">
        <v>45902</v>
      </c>
      <c r="G1260" s="14">
        <v>45902</v>
      </c>
      <c r="H1260" s="15">
        <v>12000000</v>
      </c>
      <c r="I1260" s="16">
        <v>12</v>
      </c>
      <c r="J1260" s="17">
        <v>24</v>
      </c>
      <c r="K1260" s="9" t="s">
        <v>9827</v>
      </c>
      <c r="L1260" s="10" t="s">
        <v>23440</v>
      </c>
      <c r="M1260" s="9" t="s">
        <v>9854</v>
      </c>
      <c r="N1260" s="10" t="s">
        <v>17</v>
      </c>
      <c r="O1260" s="15">
        <v>12000000</v>
      </c>
      <c r="P1260" s="147">
        <v>0</v>
      </c>
      <c r="Q1260" s="9" t="s">
        <v>23304</v>
      </c>
      <c r="R1260" s="146" t="s">
        <v>23441</v>
      </c>
      <c r="T1260" s="92" t="s">
        <v>1839</v>
      </c>
      <c r="U1260">
        <v>1</v>
      </c>
      <c r="V1260">
        <f>VLOOKUP(T1260,'Data Angt'!$A$5:$F$5810,6,FALSE)</f>
        <v>68</v>
      </c>
      <c r="W1260" s="5" t="str">
        <f t="shared" si="19"/>
        <v>PENDIDIKAN</v>
      </c>
      <c r="X1260" s="5" t="str">
        <f>VLOOKUP(T1260,'Data Angt'!$A$5:$H$5810,8,FALSE)</f>
        <v>Pensiunan</v>
      </c>
      <c r="Y1260" s="5" t="str">
        <f>VLOOKUP(T1260,'Data Angt'!$A$5:$C$5808,3,FALSE)</f>
        <v>BWI</v>
      </c>
    </row>
    <row r="1261" spans="1:25" x14ac:dyDescent="0.3">
      <c r="A1261" s="8">
        <v>1255</v>
      </c>
      <c r="B1261" s="9" t="s">
        <v>12676</v>
      </c>
      <c r="C1261" s="10" t="str">
        <f>VLOOKUP(B1261,'Data Angt'!$A$5:$B$5809,2,FALSE)</f>
        <v>A4390</v>
      </c>
      <c r="D1261" s="11" t="s">
        <v>9829</v>
      </c>
      <c r="E1261" s="12" t="s">
        <v>17075</v>
      </c>
      <c r="F1261" s="13">
        <v>45323</v>
      </c>
      <c r="G1261" s="14">
        <v>45899</v>
      </c>
      <c r="H1261" s="15">
        <v>35000000</v>
      </c>
      <c r="I1261" s="16">
        <v>36</v>
      </c>
      <c r="J1261" s="17">
        <v>21</v>
      </c>
      <c r="K1261" s="9" t="s">
        <v>9831</v>
      </c>
      <c r="L1261" s="10" t="s">
        <v>17076</v>
      </c>
      <c r="M1261" s="9" t="s">
        <v>9838</v>
      </c>
      <c r="N1261" s="10" t="s">
        <v>9830</v>
      </c>
      <c r="O1261" s="15">
        <v>20226300</v>
      </c>
      <c r="P1261" s="145">
        <v>3361085</v>
      </c>
      <c r="Q1261" s="9" t="s">
        <v>23293</v>
      </c>
      <c r="R1261" s="146" t="s">
        <v>23442</v>
      </c>
      <c r="T1261" s="92" t="s">
        <v>1841</v>
      </c>
      <c r="U1261">
        <v>2</v>
      </c>
      <c r="V1261">
        <f>VLOOKUP(T1261,'Data Angt'!$A$5:$F$5810,6,FALSE)</f>
        <v>54</v>
      </c>
      <c r="W1261" s="5" t="str">
        <f t="shared" si="19"/>
        <v>KONSUMTIF</v>
      </c>
      <c r="X1261" s="5" t="str">
        <f>VLOOKUP(T1261,'Data Angt'!$A$5:$H$5810,8,FALSE)</f>
        <v>Wiraswasta</v>
      </c>
      <c r="Y1261" s="5" t="str">
        <f>VLOOKUP(T1261,'Data Angt'!$A$5:$C$5808,3,FALSE)</f>
        <v>BWI</v>
      </c>
    </row>
    <row r="1262" spans="1:25" x14ac:dyDescent="0.3">
      <c r="A1262" s="8">
        <v>1256</v>
      </c>
      <c r="B1262" s="9" t="s">
        <v>12680</v>
      </c>
      <c r="C1262" s="10" t="str">
        <f>VLOOKUP(B1262,'Data Angt'!$A$5:$B$5809,2,FALSE)</f>
        <v>A4392</v>
      </c>
      <c r="D1262" s="11" t="s">
        <v>9833</v>
      </c>
      <c r="E1262" s="12" t="s">
        <v>17077</v>
      </c>
      <c r="F1262" s="13">
        <v>45730</v>
      </c>
      <c r="G1262" s="14">
        <v>45917</v>
      </c>
      <c r="H1262" s="15">
        <v>2500000</v>
      </c>
      <c r="I1262" s="16">
        <v>12</v>
      </c>
      <c r="J1262" s="17">
        <v>24</v>
      </c>
      <c r="K1262" s="9" t="s">
        <v>9831</v>
      </c>
      <c r="L1262" s="10" t="s">
        <v>17078</v>
      </c>
      <c r="M1262" s="9" t="s">
        <v>9862</v>
      </c>
      <c r="N1262" s="10" t="s">
        <v>9834</v>
      </c>
      <c r="O1262" s="15">
        <v>1324400</v>
      </c>
      <c r="P1262" s="145">
        <v>91048</v>
      </c>
      <c r="Q1262" s="9" t="s">
        <v>23304</v>
      </c>
      <c r="R1262" s="146" t="s">
        <v>23443</v>
      </c>
      <c r="T1262" s="92" t="s">
        <v>1844</v>
      </c>
      <c r="U1262">
        <v>1</v>
      </c>
      <c r="V1262">
        <f>VLOOKUP(T1262,'Data Angt'!$A$5:$F$5810,6,FALSE)</f>
        <v>58</v>
      </c>
      <c r="W1262" s="5" t="str">
        <f t="shared" si="19"/>
        <v>PRODUKTIF</v>
      </c>
      <c r="X1262" s="5" t="str">
        <f>VLOOKUP(T1262,'Data Angt'!$A$5:$H$5810,8,FALSE)</f>
        <v>Wiraswasta</v>
      </c>
      <c r="Y1262" s="5" t="str">
        <f>VLOOKUP(T1262,'Data Angt'!$A$5:$C$5808,3,FALSE)</f>
        <v>BWI</v>
      </c>
    </row>
    <row r="1263" spans="1:25" x14ac:dyDescent="0.3">
      <c r="A1263" s="8">
        <v>1257</v>
      </c>
      <c r="B1263" s="9" t="s">
        <v>12726</v>
      </c>
      <c r="C1263" s="10" t="str">
        <f>VLOOKUP(B1263,'Data Angt'!$A$5:$B$5809,2,FALSE)</f>
        <v>A4412</v>
      </c>
      <c r="D1263" s="11" t="s">
        <v>9829</v>
      </c>
      <c r="E1263" s="12" t="s">
        <v>23444</v>
      </c>
      <c r="F1263" s="13">
        <v>45898</v>
      </c>
      <c r="G1263" s="14">
        <v>45930</v>
      </c>
      <c r="H1263" s="15">
        <v>7000000</v>
      </c>
      <c r="I1263" s="16">
        <v>20</v>
      </c>
      <c r="J1263" s="17">
        <v>24</v>
      </c>
      <c r="K1263" s="9" t="s">
        <v>9827</v>
      </c>
      <c r="L1263" s="10" t="s">
        <v>23445</v>
      </c>
      <c r="M1263" s="9" t="s">
        <v>9838</v>
      </c>
      <c r="N1263" s="10" t="s">
        <v>9830</v>
      </c>
      <c r="O1263" s="15">
        <v>6650000</v>
      </c>
      <c r="P1263" s="145">
        <v>52500</v>
      </c>
      <c r="Q1263" s="9"/>
      <c r="R1263" s="146"/>
      <c r="T1263" s="92" t="s">
        <v>1851</v>
      </c>
      <c r="U1263">
        <v>1</v>
      </c>
      <c r="V1263">
        <f>VLOOKUP(T1263,'Data Angt'!$A$5:$F$5810,6,FALSE)</f>
        <v>58</v>
      </c>
      <c r="W1263" s="5" t="str">
        <f t="shared" si="19"/>
        <v>KONSUMTIF</v>
      </c>
      <c r="X1263" s="5" t="str">
        <f>VLOOKUP(T1263,'Data Angt'!$A$5:$H$5810,8,FALSE)</f>
        <v>Aparatur/Pejabat Negara</v>
      </c>
      <c r="Y1263" s="5" t="str">
        <f>VLOOKUP(T1263,'Data Angt'!$A$5:$C$5808,3,FALSE)</f>
        <v>BWI</v>
      </c>
    </row>
    <row r="1264" spans="1:25" x14ac:dyDescent="0.3">
      <c r="A1264" s="8">
        <v>1258</v>
      </c>
      <c r="B1264" s="9" t="s">
        <v>12761</v>
      </c>
      <c r="C1264" s="10" t="str">
        <f>VLOOKUP(B1264,'Data Angt'!$A$5:$B$5809,2,FALSE)</f>
        <v>A4426</v>
      </c>
      <c r="D1264" s="11" t="s">
        <v>9829</v>
      </c>
      <c r="E1264" s="12" t="s">
        <v>23446</v>
      </c>
      <c r="F1264" s="13">
        <v>45861</v>
      </c>
      <c r="G1264" s="14">
        <v>45919</v>
      </c>
      <c r="H1264" s="15">
        <v>3500000</v>
      </c>
      <c r="I1264" s="16">
        <v>12</v>
      </c>
      <c r="J1264" s="17">
        <v>24</v>
      </c>
      <c r="K1264" s="9" t="s">
        <v>9827</v>
      </c>
      <c r="L1264" s="10" t="s">
        <v>23447</v>
      </c>
      <c r="M1264" s="9" t="s">
        <v>23448</v>
      </c>
      <c r="N1264" s="10" t="s">
        <v>9828</v>
      </c>
      <c r="O1264" s="15">
        <v>2916600</v>
      </c>
      <c r="P1264" s="145">
        <v>50325</v>
      </c>
      <c r="Q1264" s="9"/>
      <c r="R1264" s="146"/>
      <c r="T1264" s="92" t="s">
        <v>1855</v>
      </c>
      <c r="U1264">
        <v>1</v>
      </c>
      <c r="V1264">
        <f>VLOOKUP(T1264,'Data Angt'!$A$5:$F$5810,6,FALSE)</f>
        <v>76</v>
      </c>
      <c r="W1264" s="5" t="str">
        <f t="shared" si="19"/>
        <v>KESEJAHTERAAN</v>
      </c>
      <c r="X1264" s="5" t="str">
        <f>VLOOKUP(T1264,'Data Angt'!$A$5:$H$5810,8,FALSE)</f>
        <v>Mengurus Rumah Tangga</v>
      </c>
      <c r="Y1264" s="5" t="str">
        <f>VLOOKUP(T1264,'Data Angt'!$A$5:$C$5808,3,FALSE)</f>
        <v>BWI</v>
      </c>
    </row>
    <row r="1265" spans="1:25" x14ac:dyDescent="0.3">
      <c r="A1265" s="8">
        <v>1259</v>
      </c>
      <c r="B1265" s="9" t="s">
        <v>12806</v>
      </c>
      <c r="C1265" s="10" t="str">
        <f>VLOOKUP(B1265,'Data Angt'!$A$5:$B$5809,2,FALSE)</f>
        <v>A4444</v>
      </c>
      <c r="D1265" s="11" t="s">
        <v>9829</v>
      </c>
      <c r="E1265" s="12" t="s">
        <v>17079</v>
      </c>
      <c r="F1265" s="13">
        <v>45441</v>
      </c>
      <c r="G1265" s="14">
        <v>45930</v>
      </c>
      <c r="H1265" s="15">
        <v>3500000</v>
      </c>
      <c r="I1265" s="16">
        <v>24</v>
      </c>
      <c r="J1265" s="17">
        <v>24</v>
      </c>
      <c r="K1265" s="9" t="s">
        <v>9827</v>
      </c>
      <c r="L1265" s="10" t="s">
        <v>17080</v>
      </c>
      <c r="M1265" s="9" t="s">
        <v>9854</v>
      </c>
      <c r="N1265" s="10" t="s">
        <v>17</v>
      </c>
      <c r="O1265" s="15">
        <v>1165600</v>
      </c>
      <c r="P1265" s="145">
        <v>288971</v>
      </c>
      <c r="Q1265" s="9"/>
      <c r="R1265" s="146"/>
      <c r="T1265" s="92" t="s">
        <v>1857</v>
      </c>
      <c r="U1265">
        <v>1</v>
      </c>
      <c r="V1265">
        <f>VLOOKUP(T1265,'Data Angt'!$A$5:$F$5810,6,FALSE)</f>
        <v>43</v>
      </c>
      <c r="W1265" s="5" t="str">
        <f t="shared" si="19"/>
        <v>KONSUMTIF</v>
      </c>
      <c r="X1265" s="5" t="str">
        <f>VLOOKUP(T1265,'Data Angt'!$A$5:$H$5810,8,FALSE)</f>
        <v>Karyawan</v>
      </c>
      <c r="Y1265" s="5" t="str">
        <f>VLOOKUP(T1265,'Data Angt'!$A$5:$C$5808,3,FALSE)</f>
        <v>BWI</v>
      </c>
    </row>
    <row r="1266" spans="1:25" x14ac:dyDescent="0.3">
      <c r="A1266" s="8">
        <v>1260</v>
      </c>
      <c r="B1266" s="9" t="s">
        <v>12843</v>
      </c>
      <c r="C1266" s="10" t="str">
        <f>VLOOKUP(B1266,'Data Angt'!$A$5:$B$5809,2,FALSE)</f>
        <v>A4462</v>
      </c>
      <c r="D1266" s="11" t="s">
        <v>9833</v>
      </c>
      <c r="E1266" s="12" t="s">
        <v>17081</v>
      </c>
      <c r="F1266" s="13">
        <v>45352</v>
      </c>
      <c r="G1266" s="14">
        <v>45901</v>
      </c>
      <c r="H1266" s="15">
        <v>5000000</v>
      </c>
      <c r="I1266" s="16">
        <v>24</v>
      </c>
      <c r="J1266" s="17">
        <v>24</v>
      </c>
      <c r="K1266" s="9" t="s">
        <v>9827</v>
      </c>
      <c r="L1266" s="10" t="s">
        <v>17082</v>
      </c>
      <c r="M1266" s="9" t="s">
        <v>16089</v>
      </c>
      <c r="N1266" s="10" t="s">
        <v>9834</v>
      </c>
      <c r="O1266" s="15">
        <v>1248800</v>
      </c>
      <c r="P1266" s="145">
        <v>436158</v>
      </c>
      <c r="Q1266" s="9"/>
      <c r="R1266" s="146"/>
      <c r="T1266" s="92" t="s">
        <v>1864</v>
      </c>
      <c r="U1266">
        <v>1</v>
      </c>
      <c r="V1266">
        <f>VLOOKUP(T1266,'Data Angt'!$A$5:$F$5810,6,FALSE)</f>
        <v>66</v>
      </c>
      <c r="W1266" s="5" t="str">
        <f t="shared" si="19"/>
        <v>KONSUMTIF</v>
      </c>
      <c r="X1266" s="5" t="str">
        <f>VLOOKUP(T1266,'Data Angt'!$A$5:$H$5810,8,FALSE)</f>
        <v>Pensiunan</v>
      </c>
      <c r="Y1266" s="5" t="str">
        <f>VLOOKUP(T1266,'Data Angt'!$A$5:$C$5808,3,FALSE)</f>
        <v>BWI</v>
      </c>
    </row>
    <row r="1267" spans="1:25" x14ac:dyDescent="0.3">
      <c r="A1267" s="8">
        <v>1261</v>
      </c>
      <c r="B1267" s="9" t="s">
        <v>12867</v>
      </c>
      <c r="C1267" s="10" t="str">
        <f>VLOOKUP(B1267,'Data Angt'!$A$5:$B$5809,2,FALSE)</f>
        <v>A4472</v>
      </c>
      <c r="D1267" s="11" t="s">
        <v>9829</v>
      </c>
      <c r="E1267" s="12" t="s">
        <v>23449</v>
      </c>
      <c r="F1267" s="13">
        <v>45861</v>
      </c>
      <c r="G1267" s="14">
        <v>45922</v>
      </c>
      <c r="H1267" s="15">
        <v>1350000</v>
      </c>
      <c r="I1267" s="16">
        <v>12</v>
      </c>
      <c r="J1267" s="17">
        <v>24</v>
      </c>
      <c r="K1267" s="9" t="s">
        <v>9827</v>
      </c>
      <c r="L1267" s="10" t="s">
        <v>23450</v>
      </c>
      <c r="M1267" s="9" t="s">
        <v>9854</v>
      </c>
      <c r="N1267" s="10" t="s">
        <v>17</v>
      </c>
      <c r="O1267" s="15">
        <v>1125000</v>
      </c>
      <c r="P1267" s="145">
        <v>19425</v>
      </c>
      <c r="Q1267" s="9"/>
      <c r="R1267" s="146"/>
      <c r="T1267" s="92" t="s">
        <v>1882</v>
      </c>
      <c r="U1267">
        <v>1</v>
      </c>
      <c r="V1267">
        <f>VLOOKUP(T1267,'Data Angt'!$A$5:$F$5810,6,FALSE)</f>
        <v>56</v>
      </c>
      <c r="W1267" s="5">
        <f t="shared" si="19"/>
        <v>0</v>
      </c>
      <c r="X1267" s="5" t="str">
        <f>VLOOKUP(T1267,'Data Angt'!$A$5:$H$5810,8,FALSE)</f>
        <v>Karyawan</v>
      </c>
      <c r="Y1267" s="5" t="str">
        <f>VLOOKUP(T1267,'Data Angt'!$A$5:$C$5808,3,FALSE)</f>
        <v>BWI</v>
      </c>
    </row>
    <row r="1268" spans="1:25" x14ac:dyDescent="0.3">
      <c r="A1268" s="8">
        <v>1262</v>
      </c>
      <c r="B1268" s="9" t="s">
        <v>12873</v>
      </c>
      <c r="C1268" s="10" t="str">
        <f>VLOOKUP(B1268,'Data Angt'!$A$5:$B$5809,2,FALSE)</f>
        <v>A4475</v>
      </c>
      <c r="D1268" s="11" t="s">
        <v>9829</v>
      </c>
      <c r="E1268" s="12" t="s">
        <v>17083</v>
      </c>
      <c r="F1268" s="13">
        <v>45359</v>
      </c>
      <c r="G1268" s="14">
        <v>45565</v>
      </c>
      <c r="H1268" s="15">
        <v>2000000</v>
      </c>
      <c r="I1268" s="16">
        <v>12</v>
      </c>
      <c r="J1268" s="17">
        <v>24</v>
      </c>
      <c r="K1268" s="9" t="s">
        <v>9827</v>
      </c>
      <c r="L1268" s="10" t="s">
        <v>17084</v>
      </c>
      <c r="M1268" s="9" t="s">
        <v>16856</v>
      </c>
      <c r="N1268" s="10" t="s">
        <v>9828</v>
      </c>
      <c r="O1268" s="15">
        <v>1166500</v>
      </c>
      <c r="P1268" s="145">
        <v>80025</v>
      </c>
      <c r="Q1268" s="9"/>
      <c r="R1268" s="146"/>
      <c r="T1268" s="92" t="s">
        <v>1887</v>
      </c>
      <c r="U1268">
        <v>1</v>
      </c>
      <c r="V1268">
        <f>VLOOKUP(T1268,'Data Angt'!$A$5:$F$5810,6,FALSE)</f>
        <v>55</v>
      </c>
      <c r="W1268" s="5">
        <f t="shared" si="19"/>
        <v>0</v>
      </c>
      <c r="X1268" s="5" t="str">
        <f>VLOOKUP(T1268,'Data Angt'!$A$5:$H$5810,8,FALSE)</f>
        <v>Tenaga Pengajar</v>
      </c>
      <c r="Y1268" s="5" t="str">
        <f>VLOOKUP(T1268,'Data Angt'!$A$5:$C$5808,3,FALSE)</f>
        <v>BWI</v>
      </c>
    </row>
    <row r="1269" spans="1:25" x14ac:dyDescent="0.3">
      <c r="A1269" s="8">
        <v>1263</v>
      </c>
      <c r="B1269" s="9" t="s">
        <v>12879</v>
      </c>
      <c r="C1269" s="10" t="str">
        <f>VLOOKUP(B1269,'Data Angt'!$A$5:$B$5809,2,FALSE)</f>
        <v>A4478</v>
      </c>
      <c r="D1269" s="11" t="s">
        <v>9829</v>
      </c>
      <c r="E1269" s="12" t="s">
        <v>17085</v>
      </c>
      <c r="F1269" s="13">
        <v>45681</v>
      </c>
      <c r="G1269" s="14">
        <v>45930</v>
      </c>
      <c r="H1269" s="15">
        <v>8500000</v>
      </c>
      <c r="I1269" s="16">
        <v>24</v>
      </c>
      <c r="J1269" s="17">
        <v>24</v>
      </c>
      <c r="K1269" s="9" t="s">
        <v>9827</v>
      </c>
      <c r="L1269" s="10" t="s">
        <v>17086</v>
      </c>
      <c r="M1269" s="9" t="s">
        <v>17087</v>
      </c>
      <c r="N1269" s="10" t="s">
        <v>9830</v>
      </c>
      <c r="O1269" s="15">
        <v>7083200</v>
      </c>
      <c r="P1269" s="145">
        <v>467662</v>
      </c>
      <c r="Q1269" s="9" t="s">
        <v>23304</v>
      </c>
      <c r="R1269" s="146" t="s">
        <v>23451</v>
      </c>
      <c r="T1269" s="92" t="s">
        <v>1993</v>
      </c>
      <c r="U1269">
        <v>1</v>
      </c>
      <c r="V1269">
        <f>VLOOKUP(T1269,'Data Angt'!$A$5:$F$5810,6,FALSE)</f>
        <v>58</v>
      </c>
      <c r="W1269" s="5" t="str">
        <f t="shared" si="19"/>
        <v>KONSUMTIF</v>
      </c>
      <c r="X1269" s="5" t="str">
        <f>VLOOKUP(T1269,'Data Angt'!$A$5:$H$5810,8,FALSE)</f>
        <v>Wiraswasta</v>
      </c>
      <c r="Y1269" s="5" t="str">
        <f>VLOOKUP(T1269,'Data Angt'!$A$5:$C$5808,3,FALSE)</f>
        <v>BWI</v>
      </c>
    </row>
    <row r="1270" spans="1:25" x14ac:dyDescent="0.3">
      <c r="A1270" s="8">
        <v>1264</v>
      </c>
      <c r="B1270" s="9" t="s">
        <v>12887</v>
      </c>
      <c r="C1270" s="10" t="str">
        <f>VLOOKUP(B1270,'Data Angt'!$A$5:$B$5809,2,FALSE)</f>
        <v>A4482</v>
      </c>
      <c r="D1270" s="11" t="s">
        <v>9829</v>
      </c>
      <c r="E1270" s="12" t="s">
        <v>17088</v>
      </c>
      <c r="F1270" s="13">
        <v>45367</v>
      </c>
      <c r="G1270" s="14">
        <v>45492</v>
      </c>
      <c r="H1270" s="15">
        <v>3000000</v>
      </c>
      <c r="I1270" s="16">
        <v>18</v>
      </c>
      <c r="J1270" s="17">
        <v>24</v>
      </c>
      <c r="K1270" s="9" t="s">
        <v>9827</v>
      </c>
      <c r="L1270" s="10" t="s">
        <v>17089</v>
      </c>
      <c r="M1270" s="9" t="s">
        <v>9854</v>
      </c>
      <c r="N1270" s="10" t="s">
        <v>17</v>
      </c>
      <c r="O1270" s="15">
        <v>2833300</v>
      </c>
      <c r="P1270" s="145">
        <v>90000</v>
      </c>
      <c r="Q1270" s="9"/>
      <c r="R1270" s="146"/>
      <c r="T1270" s="92" t="s">
        <v>2021</v>
      </c>
      <c r="U1270">
        <v>1</v>
      </c>
      <c r="V1270">
        <f>VLOOKUP(T1270,'Data Angt'!$A$5:$F$5810,6,FALSE)</f>
        <v>70</v>
      </c>
      <c r="W1270" s="5" t="str">
        <f t="shared" si="19"/>
        <v>KONSUMTIF</v>
      </c>
      <c r="X1270" s="5" t="str">
        <f>VLOOKUP(T1270,'Data Angt'!$A$5:$H$5810,8,FALSE)</f>
        <v>Pensiunan</v>
      </c>
      <c r="Y1270" s="5" t="str">
        <f>VLOOKUP(T1270,'Data Angt'!$A$5:$C$5808,3,FALSE)</f>
        <v>BWI</v>
      </c>
    </row>
    <row r="1271" spans="1:25" x14ac:dyDescent="0.3">
      <c r="A1271" s="8">
        <v>1265</v>
      </c>
      <c r="B1271" s="9" t="s">
        <v>12889</v>
      </c>
      <c r="C1271" s="10" t="str">
        <f>VLOOKUP(B1271,'Data Angt'!$A$5:$B$5809,2,FALSE)</f>
        <v>A4483</v>
      </c>
      <c r="D1271" s="11" t="s">
        <v>9829</v>
      </c>
      <c r="E1271" s="12" t="s">
        <v>17090</v>
      </c>
      <c r="F1271" s="13">
        <v>45800</v>
      </c>
      <c r="G1271" s="14">
        <v>45923</v>
      </c>
      <c r="H1271" s="15">
        <v>15000000</v>
      </c>
      <c r="I1271" s="16">
        <v>36</v>
      </c>
      <c r="J1271" s="17">
        <v>24</v>
      </c>
      <c r="K1271" s="9" t="s">
        <v>9827</v>
      </c>
      <c r="L1271" s="10" t="s">
        <v>17091</v>
      </c>
      <c r="M1271" s="9" t="s">
        <v>9838</v>
      </c>
      <c r="N1271" s="10" t="s">
        <v>9830</v>
      </c>
      <c r="O1271" s="15">
        <v>13333200</v>
      </c>
      <c r="P1271" s="145">
        <v>431287</v>
      </c>
      <c r="Q1271" s="9" t="s">
        <v>23452</v>
      </c>
      <c r="R1271" s="146" t="s">
        <v>23453</v>
      </c>
      <c r="T1271" s="92" t="s">
        <v>2164</v>
      </c>
      <c r="U1271">
        <v>1</v>
      </c>
      <c r="V1271">
        <f>VLOOKUP(T1271,'Data Angt'!$A$5:$F$5810,6,FALSE)</f>
        <v>38</v>
      </c>
      <c r="W1271" s="5" t="str">
        <f t="shared" si="19"/>
        <v>PRODUKTIF</v>
      </c>
      <c r="X1271" s="5" t="str">
        <f>VLOOKUP(T1271,'Data Angt'!$A$5:$H$5810,8,FALSE)</f>
        <v>Karyawan</v>
      </c>
      <c r="Y1271" s="5" t="str">
        <f>VLOOKUP(T1271,'Data Angt'!$A$5:$C$5808,3,FALSE)</f>
        <v>BWI</v>
      </c>
    </row>
    <row r="1272" spans="1:25" x14ac:dyDescent="0.3">
      <c r="A1272" s="8">
        <v>1266</v>
      </c>
      <c r="B1272" s="9" t="s">
        <v>12898</v>
      </c>
      <c r="C1272" s="10" t="str">
        <f>VLOOKUP(B1272,'Data Angt'!$A$5:$B$5809,2,FALSE)</f>
        <v>A4487</v>
      </c>
      <c r="D1272" s="11" t="s">
        <v>9829</v>
      </c>
      <c r="E1272" s="12" t="s">
        <v>23454</v>
      </c>
      <c r="F1272" s="13">
        <v>45891</v>
      </c>
      <c r="G1272" s="14">
        <v>45922</v>
      </c>
      <c r="H1272" s="15">
        <v>3000000</v>
      </c>
      <c r="I1272" s="16">
        <v>10</v>
      </c>
      <c r="J1272" s="17">
        <v>24</v>
      </c>
      <c r="K1272" s="9" t="s">
        <v>9827</v>
      </c>
      <c r="L1272" s="10" t="s">
        <v>23455</v>
      </c>
      <c r="M1272" s="9" t="s">
        <v>10102</v>
      </c>
      <c r="N1272" s="10" t="s">
        <v>9828</v>
      </c>
      <c r="O1272" s="15">
        <v>2700000</v>
      </c>
      <c r="P1272" s="145">
        <v>22500</v>
      </c>
      <c r="Q1272" s="9"/>
      <c r="R1272" s="146"/>
      <c r="T1272" s="92" t="s">
        <v>2291</v>
      </c>
      <c r="U1272">
        <v>1</v>
      </c>
      <c r="V1272">
        <f>VLOOKUP(T1272,'Data Angt'!$A$5:$F$5810,6,FALSE)</f>
        <v>44</v>
      </c>
      <c r="W1272" s="5" t="str">
        <f t="shared" si="19"/>
        <v>PRODUKTIF</v>
      </c>
      <c r="X1272" s="5" t="str">
        <f>VLOOKUP(T1272,'Data Angt'!$A$5:$H$5810,8,FALSE)</f>
        <v>Wiraswasta</v>
      </c>
      <c r="Y1272" s="5" t="str">
        <f>VLOOKUP(T1272,'Data Angt'!$A$5:$C$5808,3,FALSE)</f>
        <v>BWI</v>
      </c>
    </row>
    <row r="1273" spans="1:25" x14ac:dyDescent="0.3">
      <c r="A1273" s="8">
        <v>1267</v>
      </c>
      <c r="B1273" s="9" t="s">
        <v>12927</v>
      </c>
      <c r="C1273" s="10" t="str">
        <f>VLOOKUP(B1273,'Data Angt'!$A$5:$B$5809,2,FALSE)</f>
        <v>A4502</v>
      </c>
      <c r="D1273" s="11" t="s">
        <v>9833</v>
      </c>
      <c r="E1273" s="12" t="s">
        <v>23456</v>
      </c>
      <c r="F1273" s="13">
        <v>45910</v>
      </c>
      <c r="G1273" s="14">
        <v>45910</v>
      </c>
      <c r="H1273" s="15">
        <v>3000000</v>
      </c>
      <c r="I1273" s="16">
        <v>18</v>
      </c>
      <c r="J1273" s="17">
        <v>24</v>
      </c>
      <c r="K1273" s="9" t="s">
        <v>9827</v>
      </c>
      <c r="L1273" s="10" t="s">
        <v>23457</v>
      </c>
      <c r="M1273" s="9" t="s">
        <v>9862</v>
      </c>
      <c r="N1273" s="10" t="s">
        <v>9834</v>
      </c>
      <c r="O1273" s="15">
        <v>3000000</v>
      </c>
      <c r="P1273" s="147">
        <v>0</v>
      </c>
      <c r="Q1273" s="9"/>
      <c r="R1273" s="146"/>
      <c r="T1273" s="92" t="s">
        <v>2597</v>
      </c>
      <c r="U1273">
        <v>1</v>
      </c>
      <c r="V1273">
        <f>VLOOKUP(T1273,'Data Angt'!$A$5:$F$5810,6,FALSE)</f>
        <v>70</v>
      </c>
      <c r="W1273" s="5" t="str">
        <f t="shared" si="19"/>
        <v>PRODUKTIF</v>
      </c>
      <c r="X1273" s="5" t="str">
        <f>VLOOKUP(T1273,'Data Angt'!$A$5:$H$5810,8,FALSE)</f>
        <v>Pensiunan</v>
      </c>
      <c r="Y1273" s="5" t="str">
        <f>VLOOKUP(T1273,'Data Angt'!$A$5:$C$5808,3,FALSE)</f>
        <v>BWI</v>
      </c>
    </row>
    <row r="1274" spans="1:25" x14ac:dyDescent="0.3">
      <c r="A1274" s="8">
        <v>1268</v>
      </c>
      <c r="B1274" s="9" t="s">
        <v>12963</v>
      </c>
      <c r="C1274" s="10" t="str">
        <f>VLOOKUP(B1274,'Data Angt'!$A$5:$B$5809,2,FALSE)</f>
        <v>A4518</v>
      </c>
      <c r="D1274" s="11" t="s">
        <v>9829</v>
      </c>
      <c r="E1274" s="12" t="s">
        <v>17092</v>
      </c>
      <c r="F1274" s="13">
        <v>45744</v>
      </c>
      <c r="G1274" s="14">
        <v>45930</v>
      </c>
      <c r="H1274" s="15">
        <v>4000000</v>
      </c>
      <c r="I1274" s="16">
        <v>12</v>
      </c>
      <c r="J1274" s="17">
        <v>24</v>
      </c>
      <c r="K1274" s="9" t="s">
        <v>9827</v>
      </c>
      <c r="L1274" s="10" t="s">
        <v>17093</v>
      </c>
      <c r="M1274" s="9" t="s">
        <v>9846</v>
      </c>
      <c r="N1274" s="10" t="s">
        <v>9834</v>
      </c>
      <c r="O1274" s="15">
        <v>1999600</v>
      </c>
      <c r="P1274" s="145">
        <v>142574</v>
      </c>
      <c r="Q1274" s="9"/>
      <c r="R1274" s="146"/>
      <c r="T1274" s="92" t="s">
        <v>2868</v>
      </c>
      <c r="U1274">
        <v>2</v>
      </c>
      <c r="V1274">
        <f>VLOOKUP(T1274,'Data Angt'!$A$5:$F$5810,6,FALSE)</f>
        <v>49</v>
      </c>
      <c r="W1274" s="5">
        <f t="shared" si="19"/>
        <v>0</v>
      </c>
      <c r="X1274" s="5" t="str">
        <f>VLOOKUP(T1274,'Data Angt'!$A$5:$H$5810,8,FALSE)</f>
        <v>Karyawan</v>
      </c>
      <c r="Y1274" s="5" t="str">
        <f>VLOOKUP(T1274,'Data Angt'!$A$5:$C$5808,3,FALSE)</f>
        <v>BWI</v>
      </c>
    </row>
    <row r="1275" spans="1:25" x14ac:dyDescent="0.3">
      <c r="A1275" s="8">
        <v>1269</v>
      </c>
      <c r="B1275" s="9" t="s">
        <v>13049</v>
      </c>
      <c r="C1275" s="10" t="str">
        <f>VLOOKUP(B1275,'Data Angt'!$A$5:$B$5809,2,FALSE)</f>
        <v>A4558</v>
      </c>
      <c r="D1275" s="11" t="s">
        <v>9833</v>
      </c>
      <c r="E1275" s="12" t="s">
        <v>23458</v>
      </c>
      <c r="F1275" s="13">
        <v>45911</v>
      </c>
      <c r="G1275" s="14">
        <v>45911</v>
      </c>
      <c r="H1275" s="15">
        <v>6000000</v>
      </c>
      <c r="I1275" s="16">
        <v>18</v>
      </c>
      <c r="J1275" s="17">
        <v>24</v>
      </c>
      <c r="K1275" s="9" t="s">
        <v>9827</v>
      </c>
      <c r="L1275" s="10" t="s">
        <v>23459</v>
      </c>
      <c r="M1275" s="9" t="s">
        <v>15813</v>
      </c>
      <c r="N1275" s="10" t="s">
        <v>9834</v>
      </c>
      <c r="O1275" s="15">
        <v>6000000</v>
      </c>
      <c r="P1275" s="147">
        <v>0</v>
      </c>
      <c r="Q1275" s="9"/>
      <c r="R1275" s="146"/>
      <c r="T1275" s="92" t="s">
        <v>2872</v>
      </c>
      <c r="U1275">
        <v>1</v>
      </c>
      <c r="V1275">
        <f>VLOOKUP(T1275,'Data Angt'!$A$5:$F$5810,6,FALSE)</f>
        <v>41</v>
      </c>
      <c r="W1275" s="5" t="str">
        <f t="shared" si="19"/>
        <v>PENDIDIKAN</v>
      </c>
      <c r="X1275" s="5" t="str">
        <f>VLOOKUP(T1275,'Data Angt'!$A$5:$H$5810,8,FALSE)</f>
        <v>Karyawan</v>
      </c>
      <c r="Y1275" s="5" t="str">
        <f>VLOOKUP(T1275,'Data Angt'!$A$5:$C$5808,3,FALSE)</f>
        <v>BWI</v>
      </c>
    </row>
    <row r="1276" spans="1:25" x14ac:dyDescent="0.3">
      <c r="A1276" s="8">
        <v>1270</v>
      </c>
      <c r="B1276" s="9" t="s">
        <v>13068</v>
      </c>
      <c r="C1276" s="10" t="str">
        <f>VLOOKUP(B1276,'Data Angt'!$A$5:$B$5809,2,FALSE)</f>
        <v>A4568</v>
      </c>
      <c r="D1276" s="11" t="s">
        <v>9829</v>
      </c>
      <c r="E1276" s="12" t="s">
        <v>17094</v>
      </c>
      <c r="F1276" s="13">
        <v>45821</v>
      </c>
      <c r="G1276" s="14">
        <v>45913</v>
      </c>
      <c r="H1276" s="15">
        <v>2500000</v>
      </c>
      <c r="I1276" s="16">
        <v>12</v>
      </c>
      <c r="J1276" s="17">
        <v>24</v>
      </c>
      <c r="K1276" s="9" t="s">
        <v>9827</v>
      </c>
      <c r="L1276" s="10" t="s">
        <v>17095</v>
      </c>
      <c r="M1276" s="9" t="s">
        <v>9854</v>
      </c>
      <c r="N1276" s="10" t="s">
        <v>17</v>
      </c>
      <c r="O1276" s="15">
        <v>1874800</v>
      </c>
      <c r="P1276" s="145">
        <v>51599</v>
      </c>
      <c r="Q1276" s="9"/>
      <c r="R1276" s="146"/>
      <c r="T1276" s="92" t="s">
        <v>2875</v>
      </c>
      <c r="U1276">
        <v>1</v>
      </c>
      <c r="V1276">
        <f>VLOOKUP(T1276,'Data Angt'!$A$5:$F$5810,6,FALSE)</f>
        <v>52</v>
      </c>
      <c r="W1276" s="5">
        <f t="shared" si="19"/>
        <v>0</v>
      </c>
      <c r="X1276" s="5" t="str">
        <f>VLOOKUP(T1276,'Data Angt'!$A$5:$H$5810,8,FALSE)</f>
        <v>Karyawan</v>
      </c>
      <c r="Y1276" s="5" t="str">
        <f>VLOOKUP(T1276,'Data Angt'!$A$5:$C$5808,3,FALSE)</f>
        <v>BWI</v>
      </c>
    </row>
    <row r="1277" spans="1:25" x14ac:dyDescent="0.3">
      <c r="A1277" s="8">
        <v>1271</v>
      </c>
      <c r="B1277" s="9" t="s">
        <v>13091</v>
      </c>
      <c r="C1277" s="10" t="str">
        <f>VLOOKUP(B1277,'Data Angt'!$A$5:$B$5809,2,FALSE)</f>
        <v>A4580</v>
      </c>
      <c r="D1277" s="11" t="s">
        <v>9829</v>
      </c>
      <c r="E1277" s="12" t="s">
        <v>17096</v>
      </c>
      <c r="F1277" s="13">
        <v>45715</v>
      </c>
      <c r="G1277" s="14">
        <v>45903</v>
      </c>
      <c r="H1277" s="15">
        <v>1500000</v>
      </c>
      <c r="I1277" s="16">
        <v>10</v>
      </c>
      <c r="J1277" s="17">
        <v>24</v>
      </c>
      <c r="K1277" s="9" t="s">
        <v>9827</v>
      </c>
      <c r="L1277" s="10" t="s">
        <v>17097</v>
      </c>
      <c r="M1277" s="9" t="s">
        <v>9854</v>
      </c>
      <c r="N1277" s="10" t="s">
        <v>17</v>
      </c>
      <c r="O1277" s="15">
        <v>450000</v>
      </c>
      <c r="P1277" s="145">
        <v>58500</v>
      </c>
      <c r="Q1277" s="9"/>
      <c r="R1277" s="146"/>
      <c r="T1277" s="92" t="s">
        <v>3051</v>
      </c>
      <c r="U1277">
        <v>1</v>
      </c>
      <c r="V1277">
        <f>VLOOKUP(T1277,'Data Angt'!$A$5:$F$5810,6,FALSE)</f>
        <v>40</v>
      </c>
      <c r="W1277" s="5">
        <f t="shared" si="19"/>
        <v>0</v>
      </c>
      <c r="X1277" s="5" t="str">
        <f>VLOOKUP(T1277,'Data Angt'!$A$5:$H$5810,8,FALSE)</f>
        <v>Karyawan</v>
      </c>
      <c r="Y1277" s="5" t="str">
        <f>VLOOKUP(T1277,'Data Angt'!$A$5:$C$5808,3,FALSE)</f>
        <v>BWI</v>
      </c>
    </row>
    <row r="1278" spans="1:25" x14ac:dyDescent="0.3">
      <c r="A1278" s="8">
        <v>1272</v>
      </c>
      <c r="B1278" s="9" t="s">
        <v>13120</v>
      </c>
      <c r="C1278" s="10" t="str">
        <f>VLOOKUP(B1278,'Data Angt'!$A$5:$B$5809,2,FALSE)</f>
        <v>A4593</v>
      </c>
      <c r="D1278" s="11" t="s">
        <v>9829</v>
      </c>
      <c r="E1278" s="12" t="s">
        <v>23460</v>
      </c>
      <c r="F1278" s="13">
        <v>45862</v>
      </c>
      <c r="G1278" s="14">
        <v>45912</v>
      </c>
      <c r="H1278" s="15">
        <v>2000000</v>
      </c>
      <c r="I1278" s="16">
        <v>24</v>
      </c>
      <c r="J1278" s="17">
        <v>24</v>
      </c>
      <c r="K1278" s="9" t="s">
        <v>9827</v>
      </c>
      <c r="L1278" s="10" t="s">
        <v>23461</v>
      </c>
      <c r="M1278" s="9" t="s">
        <v>9854</v>
      </c>
      <c r="N1278" s="10" t="s">
        <v>17</v>
      </c>
      <c r="O1278" s="15">
        <v>1833200</v>
      </c>
      <c r="P1278" s="145">
        <v>29400</v>
      </c>
      <c r="Q1278" s="9"/>
      <c r="R1278" s="146"/>
      <c r="T1278" s="92" t="s">
        <v>3182</v>
      </c>
      <c r="U1278">
        <v>1</v>
      </c>
      <c r="V1278">
        <f>VLOOKUP(T1278,'Data Angt'!$A$5:$F$5810,6,FALSE)</f>
        <v>39</v>
      </c>
      <c r="W1278" s="5" t="str">
        <f t="shared" si="19"/>
        <v>PENDIDIKAN</v>
      </c>
      <c r="X1278" s="5" t="str">
        <f>VLOOKUP(T1278,'Data Angt'!$A$5:$H$5810,8,FALSE)</f>
        <v>Karyawan</v>
      </c>
      <c r="Y1278" s="5" t="str">
        <f>VLOOKUP(T1278,'Data Angt'!$A$5:$C$5808,3,FALSE)</f>
        <v>BWI</v>
      </c>
    </row>
    <row r="1279" spans="1:25" x14ac:dyDescent="0.3">
      <c r="A1279" s="8">
        <v>1273</v>
      </c>
      <c r="B1279" s="9" t="s">
        <v>13126</v>
      </c>
      <c r="C1279" s="10" t="str">
        <f>VLOOKUP(B1279,'Data Angt'!$A$5:$B$5809,2,FALSE)</f>
        <v>A4595</v>
      </c>
      <c r="D1279" s="11" t="s">
        <v>9829</v>
      </c>
      <c r="E1279" s="12" t="s">
        <v>17098</v>
      </c>
      <c r="F1279" s="13">
        <v>45482</v>
      </c>
      <c r="G1279" s="14">
        <v>45910</v>
      </c>
      <c r="H1279" s="15">
        <v>20000000</v>
      </c>
      <c r="I1279" s="16">
        <v>36</v>
      </c>
      <c r="J1279" s="17">
        <v>24</v>
      </c>
      <c r="K1279" s="9" t="s">
        <v>9827</v>
      </c>
      <c r="L1279" s="10" t="s">
        <v>17099</v>
      </c>
      <c r="M1279" s="9" t="s">
        <v>9838</v>
      </c>
      <c r="N1279" s="10" t="s">
        <v>9830</v>
      </c>
      <c r="O1279" s="15">
        <v>12221600</v>
      </c>
      <c r="P1279" s="145">
        <v>1721022</v>
      </c>
      <c r="Q1279" s="9" t="s">
        <v>22431</v>
      </c>
      <c r="R1279" s="146" t="s">
        <v>23462</v>
      </c>
      <c r="T1279" s="92" t="s">
        <v>3312</v>
      </c>
      <c r="U1279">
        <v>1</v>
      </c>
      <c r="V1279">
        <f>VLOOKUP(T1279,'Data Angt'!$A$5:$F$5810,6,FALSE)</f>
        <v>38</v>
      </c>
      <c r="W1279" s="5" t="str">
        <f t="shared" si="19"/>
        <v>PRODUKTIF</v>
      </c>
      <c r="X1279" s="5" t="str">
        <f>VLOOKUP(T1279,'Data Angt'!$A$5:$H$5810,8,FALSE)</f>
        <v>Wiraswasta</v>
      </c>
      <c r="Y1279" s="5" t="str">
        <f>VLOOKUP(T1279,'Data Angt'!$A$5:$C$5808,3,FALSE)</f>
        <v>BWI</v>
      </c>
    </row>
    <row r="1280" spans="1:25" x14ac:dyDescent="0.3">
      <c r="A1280" s="8">
        <v>1274</v>
      </c>
      <c r="B1280" s="9" t="s">
        <v>13166</v>
      </c>
      <c r="C1280" s="10" t="str">
        <f>VLOOKUP(B1280,'Data Angt'!$A$5:$B$5809,2,FALSE)</f>
        <v>A4612</v>
      </c>
      <c r="D1280" s="11" t="s">
        <v>9833</v>
      </c>
      <c r="E1280" s="12" t="s">
        <v>17100</v>
      </c>
      <c r="F1280" s="13">
        <v>45576</v>
      </c>
      <c r="G1280" s="14">
        <v>45911</v>
      </c>
      <c r="H1280" s="15">
        <v>5000000</v>
      </c>
      <c r="I1280" s="16">
        <v>24</v>
      </c>
      <c r="J1280" s="17">
        <v>24</v>
      </c>
      <c r="K1280" s="9" t="s">
        <v>9827</v>
      </c>
      <c r="L1280" s="10" t="s">
        <v>17101</v>
      </c>
      <c r="M1280" s="9" t="s">
        <v>17102</v>
      </c>
      <c r="N1280" s="10" t="s">
        <v>9834</v>
      </c>
      <c r="O1280" s="15">
        <v>2707600</v>
      </c>
      <c r="P1280" s="145">
        <v>326697</v>
      </c>
      <c r="Q1280" s="9" t="s">
        <v>22240</v>
      </c>
      <c r="R1280" s="146" t="s">
        <v>23463</v>
      </c>
      <c r="T1280" s="92" t="s">
        <v>3873</v>
      </c>
      <c r="U1280">
        <v>1</v>
      </c>
      <c r="V1280">
        <f>VLOOKUP(T1280,'Data Angt'!$A$5:$F$5810,6,FALSE)</f>
        <v>58</v>
      </c>
      <c r="W1280" s="5" t="str">
        <f t="shared" si="19"/>
        <v>KONSUMTIF</v>
      </c>
      <c r="X1280" s="5" t="str">
        <f>VLOOKUP(T1280,'Data Angt'!$A$5:$H$5810,8,FALSE)</f>
        <v>Petani/Pekebun/Nelayan</v>
      </c>
      <c r="Y1280" s="5" t="str">
        <f>VLOOKUP(T1280,'Data Angt'!$A$5:$C$5808,3,FALSE)</f>
        <v>BWI</v>
      </c>
    </row>
    <row r="1281" spans="1:25" x14ac:dyDescent="0.3">
      <c r="A1281" s="8">
        <v>1275</v>
      </c>
      <c r="B1281" s="9" t="s">
        <v>13177</v>
      </c>
      <c r="C1281" s="10" t="str">
        <f>VLOOKUP(B1281,'Data Angt'!$A$5:$B$5809,2,FALSE)</f>
        <v>A4616</v>
      </c>
      <c r="D1281" s="11" t="s">
        <v>9829</v>
      </c>
      <c r="E1281" s="12" t="s">
        <v>23464</v>
      </c>
      <c r="F1281" s="13">
        <v>45849</v>
      </c>
      <c r="G1281" s="14">
        <v>45909</v>
      </c>
      <c r="H1281" s="15">
        <v>2000000</v>
      </c>
      <c r="I1281" s="16">
        <v>10</v>
      </c>
      <c r="J1281" s="17">
        <v>24</v>
      </c>
      <c r="K1281" s="9" t="s">
        <v>9827</v>
      </c>
      <c r="L1281" s="10" t="s">
        <v>23465</v>
      </c>
      <c r="M1281" s="9" t="s">
        <v>9854</v>
      </c>
      <c r="N1281" s="10" t="s">
        <v>17</v>
      </c>
      <c r="O1281" s="15">
        <v>1600000</v>
      </c>
      <c r="P1281" s="145">
        <v>28500</v>
      </c>
      <c r="Q1281" s="9"/>
      <c r="R1281" s="146"/>
      <c r="T1281" s="92" t="s">
        <v>3918</v>
      </c>
      <c r="U1281">
        <v>1</v>
      </c>
      <c r="V1281">
        <f>VLOOKUP(T1281,'Data Angt'!$A$5:$F$5810,6,FALSE)</f>
        <v>50</v>
      </c>
      <c r="W1281" s="5">
        <f t="shared" si="19"/>
        <v>0</v>
      </c>
      <c r="X1281" s="5" t="str">
        <f>VLOOKUP(T1281,'Data Angt'!$A$5:$H$5810,8,FALSE)</f>
        <v>Wiraswasta</v>
      </c>
      <c r="Y1281" s="5" t="str">
        <f>VLOOKUP(T1281,'Data Angt'!$A$5:$C$5808,3,FALSE)</f>
        <v>BWI</v>
      </c>
    </row>
    <row r="1282" spans="1:25" x14ac:dyDescent="0.3">
      <c r="A1282" s="8">
        <v>1276</v>
      </c>
      <c r="B1282" s="9" t="s">
        <v>13526</v>
      </c>
      <c r="C1282" s="10" t="str">
        <f>VLOOKUP(B1282,'Data Angt'!$A$5:$B$5809,2,FALSE)</f>
        <v>A4830</v>
      </c>
      <c r="D1282" s="11" t="s">
        <v>9833</v>
      </c>
      <c r="E1282" s="12" t="s">
        <v>17103</v>
      </c>
      <c r="F1282" s="13">
        <v>45498</v>
      </c>
      <c r="G1282" s="14">
        <v>45570</v>
      </c>
      <c r="H1282" s="15">
        <v>1500000</v>
      </c>
      <c r="I1282" s="16">
        <v>12</v>
      </c>
      <c r="J1282" s="17">
        <v>24</v>
      </c>
      <c r="K1282" s="9" t="s">
        <v>9827</v>
      </c>
      <c r="L1282" s="10" t="s">
        <v>17104</v>
      </c>
      <c r="M1282" s="9" t="s">
        <v>17105</v>
      </c>
      <c r="N1282" s="10" t="s">
        <v>9834</v>
      </c>
      <c r="O1282" s="15">
        <v>1125000</v>
      </c>
      <c r="P1282" s="145">
        <v>30937</v>
      </c>
      <c r="Q1282" s="9"/>
      <c r="R1282" s="146"/>
      <c r="T1282" s="92" t="s">
        <v>3998</v>
      </c>
      <c r="U1282">
        <v>1</v>
      </c>
      <c r="V1282">
        <f>VLOOKUP(T1282,'Data Angt'!$A$5:$F$5810,6,FALSE)</f>
        <v>49</v>
      </c>
      <c r="W1282" s="5">
        <f t="shared" si="19"/>
        <v>0</v>
      </c>
      <c r="X1282" s="5" t="str">
        <f>VLOOKUP(T1282,'Data Angt'!$A$5:$H$5810,8,FALSE)</f>
        <v>Mengurus Rumah Tangga</v>
      </c>
      <c r="Y1282" s="5" t="str">
        <f>VLOOKUP(T1282,'Data Angt'!$A$5:$C$5808,3,FALSE)</f>
        <v>BWI</v>
      </c>
    </row>
    <row r="1283" spans="1:25" x14ac:dyDescent="0.3">
      <c r="A1283" s="8">
        <v>1277</v>
      </c>
      <c r="B1283" s="9" t="s">
        <v>13557</v>
      </c>
      <c r="C1283" s="10" t="str">
        <f>VLOOKUP(B1283,'Data Angt'!$A$5:$B$5809,2,FALSE)</f>
        <v>A4844</v>
      </c>
      <c r="D1283" s="11" t="s">
        <v>9833</v>
      </c>
      <c r="E1283" s="12" t="s">
        <v>17106</v>
      </c>
      <c r="F1283" s="13">
        <v>45509</v>
      </c>
      <c r="G1283" s="14">
        <v>45930</v>
      </c>
      <c r="H1283" s="15">
        <v>1500000</v>
      </c>
      <c r="I1283" s="16">
        <v>12</v>
      </c>
      <c r="J1283" s="17">
        <v>24</v>
      </c>
      <c r="K1283" s="9" t="s">
        <v>9827</v>
      </c>
      <c r="L1283" s="10" t="s">
        <v>17107</v>
      </c>
      <c r="M1283" s="9" t="s">
        <v>9862</v>
      </c>
      <c r="N1283" s="10" t="s">
        <v>9834</v>
      </c>
      <c r="O1283" s="15">
        <v>775000</v>
      </c>
      <c r="P1283" s="145">
        <v>101060</v>
      </c>
      <c r="Q1283" s="9"/>
      <c r="R1283" s="146"/>
      <c r="T1283" s="92" t="s">
        <v>4203</v>
      </c>
      <c r="U1283">
        <v>1</v>
      </c>
      <c r="V1283">
        <f>VLOOKUP(T1283,'Data Angt'!$A$5:$F$5810,6,FALSE)</f>
        <v>46</v>
      </c>
      <c r="W1283" s="5" t="str">
        <f t="shared" si="19"/>
        <v>KONSUMTIF</v>
      </c>
      <c r="X1283" s="5" t="str">
        <f>VLOOKUP(T1283,'Data Angt'!$A$5:$H$5810,8,FALSE)</f>
        <v>Tenaga Pengajar</v>
      </c>
      <c r="Y1283" s="5" t="str">
        <f>VLOOKUP(T1283,'Data Angt'!$A$5:$C$5808,3,FALSE)</f>
        <v>BWI</v>
      </c>
    </row>
    <row r="1284" spans="1:25" x14ac:dyDescent="0.3">
      <c r="A1284" s="8">
        <v>1278</v>
      </c>
      <c r="B1284" s="9" t="s">
        <v>13562</v>
      </c>
      <c r="C1284" s="10" t="str">
        <f>VLOOKUP(B1284,'Data Angt'!$A$5:$B$5809,2,FALSE)</f>
        <v>A4847</v>
      </c>
      <c r="D1284" s="11" t="s">
        <v>9833</v>
      </c>
      <c r="E1284" s="12" t="s">
        <v>17108</v>
      </c>
      <c r="F1284" s="13">
        <v>45713</v>
      </c>
      <c r="G1284" s="14">
        <v>45927</v>
      </c>
      <c r="H1284" s="15">
        <v>3000000</v>
      </c>
      <c r="I1284" s="16">
        <v>12</v>
      </c>
      <c r="J1284" s="17">
        <v>24</v>
      </c>
      <c r="K1284" s="9" t="s">
        <v>9827</v>
      </c>
      <c r="L1284" s="10" t="s">
        <v>17109</v>
      </c>
      <c r="M1284" s="9" t="s">
        <v>17110</v>
      </c>
      <c r="N1284" s="10" t="s">
        <v>9834</v>
      </c>
      <c r="O1284" s="15">
        <v>1250000</v>
      </c>
      <c r="P1284" s="145">
        <v>118125</v>
      </c>
      <c r="Q1284" s="9"/>
      <c r="R1284" s="146"/>
      <c r="T1284" s="92" t="s">
        <v>4256</v>
      </c>
      <c r="U1284">
        <v>1</v>
      </c>
      <c r="V1284">
        <f>VLOOKUP(T1284,'Data Angt'!$A$5:$F$5810,6,FALSE)</f>
        <v>35</v>
      </c>
      <c r="W1284" s="5" t="str">
        <f t="shared" si="19"/>
        <v>KONSUMTIF</v>
      </c>
      <c r="X1284" s="5" t="str">
        <f>VLOOKUP(T1284,'Data Angt'!$A$5:$H$5810,8,FALSE)</f>
        <v>Karyawan</v>
      </c>
      <c r="Y1284" s="5" t="str">
        <f>VLOOKUP(T1284,'Data Angt'!$A$5:$C$5808,3,FALSE)</f>
        <v>BWI</v>
      </c>
    </row>
    <row r="1285" spans="1:25" x14ac:dyDescent="0.3">
      <c r="A1285" s="8">
        <v>1279</v>
      </c>
      <c r="B1285" s="9" t="s">
        <v>13566</v>
      </c>
      <c r="C1285" s="10" t="str">
        <f>VLOOKUP(B1285,'Data Angt'!$A$5:$B$5809,2,FALSE)</f>
        <v>A4848</v>
      </c>
      <c r="D1285" s="11" t="s">
        <v>9833</v>
      </c>
      <c r="E1285" s="12" t="s">
        <v>17111</v>
      </c>
      <c r="F1285" s="13">
        <v>45792</v>
      </c>
      <c r="G1285" s="14">
        <v>45923</v>
      </c>
      <c r="H1285" s="15">
        <v>2500000</v>
      </c>
      <c r="I1285" s="16">
        <v>12</v>
      </c>
      <c r="J1285" s="17">
        <v>24</v>
      </c>
      <c r="K1285" s="9" t="s">
        <v>9827</v>
      </c>
      <c r="L1285" s="10" t="s">
        <v>17112</v>
      </c>
      <c r="M1285" s="9" t="s">
        <v>10521</v>
      </c>
      <c r="N1285" s="10" t="s">
        <v>9834</v>
      </c>
      <c r="O1285" s="15">
        <v>1666400</v>
      </c>
      <c r="P1285" s="145">
        <v>65661</v>
      </c>
      <c r="Q1285" s="9"/>
      <c r="R1285" s="146"/>
      <c r="T1285" s="92" t="s">
        <v>4297</v>
      </c>
      <c r="U1285">
        <v>1</v>
      </c>
      <c r="V1285">
        <f>VLOOKUP(T1285,'Data Angt'!$A$5:$F$5810,6,FALSE)</f>
        <v>42</v>
      </c>
      <c r="W1285" s="5" t="str">
        <f t="shared" si="19"/>
        <v>KONSUMTIF</v>
      </c>
      <c r="X1285" s="5" t="str">
        <f>VLOOKUP(T1285,'Data Angt'!$A$5:$H$5810,8,FALSE)</f>
        <v>Mengurus Rumah Tangga</v>
      </c>
      <c r="Y1285" s="5" t="str">
        <f>VLOOKUP(T1285,'Data Angt'!$A$5:$C$5808,3,FALSE)</f>
        <v>BWI</v>
      </c>
    </row>
    <row r="1286" spans="1:25" x14ac:dyDescent="0.3">
      <c r="A1286" s="8">
        <v>1280</v>
      </c>
      <c r="B1286" s="9" t="s">
        <v>13611</v>
      </c>
      <c r="C1286" s="10" t="str">
        <f>VLOOKUP(B1286,'Data Angt'!$A$5:$B$5809,2,FALSE)</f>
        <v>A4868</v>
      </c>
      <c r="D1286" s="11" t="s">
        <v>9829</v>
      </c>
      <c r="E1286" s="12" t="s">
        <v>17113</v>
      </c>
      <c r="F1286" s="13">
        <v>45729</v>
      </c>
      <c r="G1286" s="14">
        <v>45908</v>
      </c>
      <c r="H1286" s="15">
        <v>2000000</v>
      </c>
      <c r="I1286" s="16">
        <v>12</v>
      </c>
      <c r="J1286" s="17">
        <v>24</v>
      </c>
      <c r="K1286" s="9" t="s">
        <v>9827</v>
      </c>
      <c r="L1286" s="10" t="s">
        <v>17114</v>
      </c>
      <c r="M1286" s="9" t="s">
        <v>17115</v>
      </c>
      <c r="N1286" s="10" t="s">
        <v>9834</v>
      </c>
      <c r="O1286" s="15">
        <v>999800</v>
      </c>
      <c r="P1286" s="145">
        <v>71324</v>
      </c>
      <c r="Q1286" s="9"/>
      <c r="R1286" s="146"/>
      <c r="T1286" s="92" t="s">
        <v>4319</v>
      </c>
      <c r="U1286">
        <v>1</v>
      </c>
      <c r="V1286">
        <f>VLOOKUP(T1286,'Data Angt'!$A$5:$F$5810,6,FALSE)</f>
        <v>35</v>
      </c>
      <c r="W1286" s="5" t="str">
        <f t="shared" si="19"/>
        <v>KONSUMTIF</v>
      </c>
      <c r="X1286" s="5" t="str">
        <f>VLOOKUP(T1286,'Data Angt'!$A$5:$H$5810,8,FALSE)</f>
        <v>Karyawan</v>
      </c>
      <c r="Y1286" s="5" t="str">
        <f>VLOOKUP(T1286,'Data Angt'!$A$5:$C$5808,3,FALSE)</f>
        <v>BWI</v>
      </c>
    </row>
    <row r="1287" spans="1:25" x14ac:dyDescent="0.3">
      <c r="A1287" s="8">
        <v>1281</v>
      </c>
      <c r="B1287" s="9" t="s">
        <v>13613</v>
      </c>
      <c r="C1287" s="10" t="str">
        <f>VLOOKUP(B1287,'Data Angt'!$A$5:$B$5809,2,FALSE)</f>
        <v>A4869</v>
      </c>
      <c r="D1287" s="11" t="s">
        <v>9833</v>
      </c>
      <c r="E1287" s="12" t="s">
        <v>17116</v>
      </c>
      <c r="F1287" s="13">
        <v>45514</v>
      </c>
      <c r="G1287" s="14">
        <v>45808</v>
      </c>
      <c r="H1287" s="15">
        <v>1500000</v>
      </c>
      <c r="I1287" s="16">
        <v>10</v>
      </c>
      <c r="J1287" s="17">
        <v>24</v>
      </c>
      <c r="K1287" s="9" t="s">
        <v>9827</v>
      </c>
      <c r="L1287" s="10" t="s">
        <v>17117</v>
      </c>
      <c r="M1287" s="9" t="s">
        <v>9862</v>
      </c>
      <c r="N1287" s="10" t="s">
        <v>9834</v>
      </c>
      <c r="O1287" s="15">
        <v>600000</v>
      </c>
      <c r="P1287" s="145">
        <v>64125</v>
      </c>
      <c r="Q1287" s="9"/>
      <c r="R1287" s="146"/>
      <c r="T1287" s="92" t="s">
        <v>4333</v>
      </c>
      <c r="U1287">
        <v>1</v>
      </c>
      <c r="V1287">
        <f>VLOOKUP(T1287,'Data Angt'!$A$5:$F$5810,6,FALSE)</f>
        <v>49</v>
      </c>
      <c r="W1287" s="5" t="str">
        <f t="shared" ref="W1287:W1350" si="20">VLOOKUP(T1287,$B$7:$N$1869,13,FALSE)</f>
        <v>PENDIDIKAN</v>
      </c>
      <c r="X1287" s="5" t="str">
        <f>VLOOKUP(T1287,'Data Angt'!$A$5:$H$5810,8,FALSE)</f>
        <v>Wiraswasta</v>
      </c>
      <c r="Y1287" s="5" t="str">
        <f>VLOOKUP(T1287,'Data Angt'!$A$5:$C$5808,3,FALSE)</f>
        <v>BWI</v>
      </c>
    </row>
    <row r="1288" spans="1:25" x14ac:dyDescent="0.3">
      <c r="A1288" s="8">
        <v>1282</v>
      </c>
      <c r="B1288" s="9" t="s">
        <v>13633</v>
      </c>
      <c r="C1288" s="10" t="str">
        <f>VLOOKUP(B1288,'Data Angt'!$A$5:$B$5809,2,FALSE)</f>
        <v>A4877</v>
      </c>
      <c r="D1288" s="11" t="s">
        <v>9833</v>
      </c>
      <c r="E1288" s="12" t="s">
        <v>17118</v>
      </c>
      <c r="F1288" s="13">
        <v>45518</v>
      </c>
      <c r="G1288" s="14">
        <v>45642</v>
      </c>
      <c r="H1288" s="15">
        <v>1500000</v>
      </c>
      <c r="I1288" s="16">
        <v>10</v>
      </c>
      <c r="J1288" s="17">
        <v>24</v>
      </c>
      <c r="K1288" s="9" t="s">
        <v>9827</v>
      </c>
      <c r="L1288" s="10" t="s">
        <v>17119</v>
      </c>
      <c r="M1288" s="9" t="s">
        <v>9862</v>
      </c>
      <c r="N1288" s="10" t="s">
        <v>9834</v>
      </c>
      <c r="O1288" s="15">
        <v>900000</v>
      </c>
      <c r="P1288" s="145">
        <v>38250</v>
      </c>
      <c r="Q1288" s="9"/>
      <c r="R1288" s="146"/>
      <c r="T1288" s="92" t="s">
        <v>4355</v>
      </c>
      <c r="U1288">
        <v>1</v>
      </c>
      <c r="V1288">
        <f>VLOOKUP(T1288,'Data Angt'!$A$5:$F$5810,6,FALSE)</f>
        <v>35</v>
      </c>
      <c r="W1288" s="5" t="str">
        <f t="shared" si="20"/>
        <v>PRODUKTIF</v>
      </c>
      <c r="X1288" s="5" t="str">
        <f>VLOOKUP(T1288,'Data Angt'!$A$5:$H$5810,8,FALSE)</f>
        <v>Karyawan</v>
      </c>
      <c r="Y1288" s="5" t="str">
        <f>VLOOKUP(T1288,'Data Angt'!$A$5:$C$5808,3,FALSE)</f>
        <v>BWI</v>
      </c>
    </row>
    <row r="1289" spans="1:25" x14ac:dyDescent="0.3">
      <c r="A1289" s="8">
        <v>1283</v>
      </c>
      <c r="B1289" s="9" t="s">
        <v>13636</v>
      </c>
      <c r="C1289" s="10" t="str">
        <f>VLOOKUP(B1289,'Data Angt'!$A$5:$B$5809,2,FALSE)</f>
        <v>A4879</v>
      </c>
      <c r="D1289" s="11" t="s">
        <v>9829</v>
      </c>
      <c r="E1289" s="12" t="s">
        <v>23466</v>
      </c>
      <c r="F1289" s="13">
        <v>45891</v>
      </c>
      <c r="G1289" s="14">
        <v>45930</v>
      </c>
      <c r="H1289" s="15">
        <v>4000000</v>
      </c>
      <c r="I1289" s="16">
        <v>18</v>
      </c>
      <c r="J1289" s="17">
        <v>24</v>
      </c>
      <c r="K1289" s="9" t="s">
        <v>9827</v>
      </c>
      <c r="L1289" s="10" t="s">
        <v>23467</v>
      </c>
      <c r="M1289" s="9" t="s">
        <v>9849</v>
      </c>
      <c r="N1289" s="10" t="s">
        <v>9830</v>
      </c>
      <c r="O1289" s="15">
        <v>3777700</v>
      </c>
      <c r="P1289" s="145">
        <v>30000</v>
      </c>
      <c r="Q1289" s="9"/>
      <c r="R1289" s="146"/>
      <c r="T1289" s="92" t="s">
        <v>4429</v>
      </c>
      <c r="U1289">
        <v>1</v>
      </c>
      <c r="V1289">
        <f>VLOOKUP(T1289,'Data Angt'!$A$5:$F$5810,6,FALSE)</f>
        <v>68</v>
      </c>
      <c r="W1289" s="5" t="str">
        <f t="shared" si="20"/>
        <v>KONSUMTIF</v>
      </c>
      <c r="X1289" s="5" t="str">
        <f>VLOOKUP(T1289,'Data Angt'!$A$5:$H$5810,8,FALSE)</f>
        <v>Mengurus Rumah Tangga</v>
      </c>
      <c r="Y1289" s="5" t="str">
        <f>VLOOKUP(T1289,'Data Angt'!$A$5:$C$5808,3,FALSE)</f>
        <v>BWI</v>
      </c>
    </row>
    <row r="1290" spans="1:25" x14ac:dyDescent="0.3">
      <c r="A1290" s="8">
        <v>1284</v>
      </c>
      <c r="B1290" s="9" t="s">
        <v>13665</v>
      </c>
      <c r="C1290" s="10" t="str">
        <f>VLOOKUP(B1290,'Data Angt'!$A$5:$B$5809,2,FALSE)</f>
        <v>A4890</v>
      </c>
      <c r="D1290" s="11" t="s">
        <v>9829</v>
      </c>
      <c r="E1290" s="12" t="s">
        <v>17120</v>
      </c>
      <c r="F1290" s="13">
        <v>45741</v>
      </c>
      <c r="G1290" s="14">
        <v>45930</v>
      </c>
      <c r="H1290" s="15">
        <v>2000000</v>
      </c>
      <c r="I1290" s="16">
        <v>10</v>
      </c>
      <c r="J1290" s="17">
        <v>24</v>
      </c>
      <c r="K1290" s="9" t="s">
        <v>9827</v>
      </c>
      <c r="L1290" s="10" t="s">
        <v>17121</v>
      </c>
      <c r="M1290" s="9" t="s">
        <v>10715</v>
      </c>
      <c r="N1290" s="10" t="s">
        <v>9828</v>
      </c>
      <c r="O1290" s="15">
        <v>800000</v>
      </c>
      <c r="P1290" s="145">
        <v>67500</v>
      </c>
      <c r="Q1290" s="9"/>
      <c r="R1290" s="146"/>
      <c r="T1290" s="92" t="s">
        <v>4509</v>
      </c>
      <c r="U1290">
        <v>1</v>
      </c>
      <c r="V1290">
        <f>VLOOKUP(T1290,'Data Angt'!$A$5:$F$5810,6,FALSE)</f>
        <v>36</v>
      </c>
      <c r="W1290" s="5" t="str">
        <f t="shared" si="20"/>
        <v>PRODUKTIF</v>
      </c>
      <c r="X1290" s="5" t="str">
        <f>VLOOKUP(T1290,'Data Angt'!$A$5:$H$5810,8,FALSE)</f>
        <v>Wiraswasta</v>
      </c>
      <c r="Y1290" s="5" t="str">
        <f>VLOOKUP(T1290,'Data Angt'!$A$5:$C$5808,3,FALSE)</f>
        <v>BWI</v>
      </c>
    </row>
    <row r="1291" spans="1:25" x14ac:dyDescent="0.3">
      <c r="A1291" s="8">
        <v>1285</v>
      </c>
      <c r="B1291" s="9" t="s">
        <v>13696</v>
      </c>
      <c r="C1291" s="10" t="str">
        <f>VLOOKUP(B1291,'Data Angt'!$A$5:$B$5809,2,FALSE)</f>
        <v>A4903</v>
      </c>
      <c r="D1291" s="11" t="s">
        <v>9833</v>
      </c>
      <c r="E1291" s="12" t="s">
        <v>17122</v>
      </c>
      <c r="F1291" s="13">
        <v>45710</v>
      </c>
      <c r="G1291" s="14">
        <v>45922</v>
      </c>
      <c r="H1291" s="15">
        <v>2000000</v>
      </c>
      <c r="I1291" s="16">
        <v>10</v>
      </c>
      <c r="J1291" s="17">
        <v>24</v>
      </c>
      <c r="K1291" s="9" t="s">
        <v>9827</v>
      </c>
      <c r="L1291" s="10" t="s">
        <v>17123</v>
      </c>
      <c r="M1291" s="9" t="s">
        <v>9862</v>
      </c>
      <c r="N1291" s="10" t="s">
        <v>9834</v>
      </c>
      <c r="O1291" s="15">
        <v>600000</v>
      </c>
      <c r="P1291" s="145">
        <v>73500</v>
      </c>
      <c r="Q1291" s="9"/>
      <c r="R1291" s="146"/>
      <c r="T1291" s="92" t="s">
        <v>4547</v>
      </c>
      <c r="U1291">
        <v>1</v>
      </c>
      <c r="V1291">
        <f>VLOOKUP(T1291,'Data Angt'!$A$5:$F$5810,6,FALSE)</f>
        <v>52</v>
      </c>
      <c r="W1291" s="5" t="str">
        <f t="shared" si="20"/>
        <v>PENDIDIKAN</v>
      </c>
      <c r="X1291" s="5" t="str">
        <f>VLOOKUP(T1291,'Data Angt'!$A$5:$H$5810,8,FALSE)</f>
        <v>Wiraswasta</v>
      </c>
      <c r="Y1291" s="5" t="str">
        <f>VLOOKUP(T1291,'Data Angt'!$A$5:$C$5808,3,FALSE)</f>
        <v>BWI</v>
      </c>
    </row>
    <row r="1292" spans="1:25" x14ac:dyDescent="0.3">
      <c r="A1292" s="8">
        <v>1286</v>
      </c>
      <c r="B1292" s="9" t="s">
        <v>13720</v>
      </c>
      <c r="C1292" s="10" t="str">
        <f>VLOOKUP(B1292,'Data Angt'!$A$5:$B$5809,2,FALSE)</f>
        <v>A4915</v>
      </c>
      <c r="D1292" s="11" t="s">
        <v>9829</v>
      </c>
      <c r="E1292" s="12" t="s">
        <v>17124</v>
      </c>
      <c r="F1292" s="13">
        <v>45548</v>
      </c>
      <c r="G1292" s="14">
        <v>45903</v>
      </c>
      <c r="H1292" s="15">
        <v>5000000</v>
      </c>
      <c r="I1292" s="16">
        <v>24</v>
      </c>
      <c r="J1292" s="17">
        <v>24</v>
      </c>
      <c r="K1292" s="9" t="s">
        <v>9827</v>
      </c>
      <c r="L1292" s="10" t="s">
        <v>17125</v>
      </c>
      <c r="M1292" s="9" t="s">
        <v>10461</v>
      </c>
      <c r="N1292" s="10" t="s">
        <v>110</v>
      </c>
      <c r="O1292" s="15">
        <v>2499200</v>
      </c>
      <c r="P1292" s="145">
        <v>347022</v>
      </c>
      <c r="Q1292" s="9" t="s">
        <v>23304</v>
      </c>
      <c r="R1292" s="146" t="s">
        <v>23468</v>
      </c>
      <c r="T1292" s="92" t="s">
        <v>4557</v>
      </c>
      <c r="U1292">
        <v>1</v>
      </c>
      <c r="V1292">
        <f>VLOOKUP(T1292,'Data Angt'!$A$5:$F$5810,6,FALSE)</f>
        <v>58</v>
      </c>
      <c r="W1292" s="5" t="str">
        <f t="shared" si="20"/>
        <v>KONSUMTIF</v>
      </c>
      <c r="X1292" s="5" t="str">
        <f>VLOOKUP(T1292,'Data Angt'!$A$5:$H$5810,8,FALSE)</f>
        <v>Tenaga Pengajar</v>
      </c>
      <c r="Y1292" s="5" t="str">
        <f>VLOOKUP(T1292,'Data Angt'!$A$5:$C$5808,3,FALSE)</f>
        <v>BWI</v>
      </c>
    </row>
    <row r="1293" spans="1:25" x14ac:dyDescent="0.3">
      <c r="A1293" s="8">
        <v>1287</v>
      </c>
      <c r="B1293" s="9" t="s">
        <v>13771</v>
      </c>
      <c r="C1293" s="10" t="str">
        <f>VLOOKUP(B1293,'Data Angt'!$A$5:$B$5809,2,FALSE)</f>
        <v>A4937</v>
      </c>
      <c r="D1293" s="11" t="s">
        <v>9833</v>
      </c>
      <c r="E1293" s="12" t="s">
        <v>17126</v>
      </c>
      <c r="F1293" s="13">
        <v>45810</v>
      </c>
      <c r="G1293" s="14">
        <v>45904</v>
      </c>
      <c r="H1293" s="15">
        <v>1500000</v>
      </c>
      <c r="I1293" s="16">
        <v>12</v>
      </c>
      <c r="J1293" s="17">
        <v>24</v>
      </c>
      <c r="K1293" s="9" t="s">
        <v>9827</v>
      </c>
      <c r="L1293" s="10" t="s">
        <v>17127</v>
      </c>
      <c r="M1293" s="9" t="s">
        <v>9862</v>
      </c>
      <c r="N1293" s="10" t="s">
        <v>9834</v>
      </c>
      <c r="O1293" s="15">
        <v>1125000</v>
      </c>
      <c r="P1293" s="145">
        <v>30937</v>
      </c>
      <c r="Q1293" s="9"/>
      <c r="R1293" s="146"/>
      <c r="T1293" s="92" t="s">
        <v>4854</v>
      </c>
      <c r="U1293">
        <v>1</v>
      </c>
      <c r="V1293">
        <f>VLOOKUP(T1293,'Data Angt'!$A$5:$F$5810,6,FALSE)</f>
        <v>55</v>
      </c>
      <c r="W1293" s="5" t="str">
        <f t="shared" si="20"/>
        <v>PRODUKTIF</v>
      </c>
      <c r="X1293" s="5" t="str">
        <f>VLOOKUP(T1293,'Data Angt'!$A$5:$H$5810,8,FALSE)</f>
        <v>Tenaga Pengajar</v>
      </c>
      <c r="Y1293" s="5" t="str">
        <f>VLOOKUP(T1293,'Data Angt'!$A$5:$C$5808,3,FALSE)</f>
        <v>BWI</v>
      </c>
    </row>
    <row r="1294" spans="1:25" x14ac:dyDescent="0.3">
      <c r="A1294" s="8">
        <v>1288</v>
      </c>
      <c r="B1294" s="9" t="s">
        <v>13850</v>
      </c>
      <c r="C1294" s="10" t="str">
        <f>VLOOKUP(B1294,'Data Angt'!$A$5:$B$5809,2,FALSE)</f>
        <v>A4975</v>
      </c>
      <c r="D1294" s="11" t="s">
        <v>9833</v>
      </c>
      <c r="E1294" s="12" t="s">
        <v>17128</v>
      </c>
      <c r="F1294" s="13">
        <v>45603</v>
      </c>
      <c r="G1294" s="14">
        <v>45908</v>
      </c>
      <c r="H1294" s="15">
        <v>1500000</v>
      </c>
      <c r="I1294" s="16">
        <v>12</v>
      </c>
      <c r="J1294" s="17">
        <v>24</v>
      </c>
      <c r="K1294" s="9" t="s">
        <v>9827</v>
      </c>
      <c r="L1294" s="10" t="s">
        <v>17129</v>
      </c>
      <c r="M1294" s="9" t="s">
        <v>17130</v>
      </c>
      <c r="N1294" s="10" t="s">
        <v>9834</v>
      </c>
      <c r="O1294" s="15">
        <v>250000</v>
      </c>
      <c r="P1294" s="145">
        <v>70310</v>
      </c>
      <c r="Q1294" s="9"/>
      <c r="R1294" s="146"/>
      <c r="T1294" s="92" t="s">
        <v>4874</v>
      </c>
      <c r="U1294">
        <v>2</v>
      </c>
      <c r="V1294">
        <f>VLOOKUP(T1294,'Data Angt'!$A$5:$F$5810,6,FALSE)</f>
        <v>41</v>
      </c>
      <c r="W1294" s="5" t="str">
        <f t="shared" si="20"/>
        <v>PRODUKTIF</v>
      </c>
      <c r="X1294" s="5" t="str">
        <f>VLOOKUP(T1294,'Data Angt'!$A$5:$H$5810,8,FALSE)</f>
        <v>Mengurus Rumah Tangga</v>
      </c>
      <c r="Y1294" s="5" t="str">
        <f>VLOOKUP(T1294,'Data Angt'!$A$5:$C$5808,3,FALSE)</f>
        <v>BWI</v>
      </c>
    </row>
    <row r="1295" spans="1:25" x14ac:dyDescent="0.3">
      <c r="A1295" s="8">
        <v>1289</v>
      </c>
      <c r="B1295" s="9" t="s">
        <v>13852</v>
      </c>
      <c r="C1295" s="10" t="str">
        <f>VLOOKUP(B1295,'Data Angt'!$A$5:$B$5809,2,FALSE)</f>
        <v>A4977</v>
      </c>
      <c r="D1295" s="11" t="s">
        <v>9833</v>
      </c>
      <c r="E1295" s="12" t="s">
        <v>23469</v>
      </c>
      <c r="F1295" s="13">
        <v>45889</v>
      </c>
      <c r="G1295" s="14">
        <v>45922</v>
      </c>
      <c r="H1295" s="15">
        <v>10000000</v>
      </c>
      <c r="I1295" s="16">
        <v>18</v>
      </c>
      <c r="J1295" s="17">
        <v>24</v>
      </c>
      <c r="K1295" s="9" t="s">
        <v>9827</v>
      </c>
      <c r="L1295" s="10" t="s">
        <v>23470</v>
      </c>
      <c r="M1295" s="9" t="s">
        <v>9862</v>
      </c>
      <c r="N1295" s="10" t="s">
        <v>9834</v>
      </c>
      <c r="O1295" s="15">
        <v>9444400</v>
      </c>
      <c r="P1295" s="145">
        <v>75000</v>
      </c>
      <c r="Q1295" s="9"/>
      <c r="R1295" s="146"/>
      <c r="T1295" s="92" t="s">
        <v>4892</v>
      </c>
      <c r="U1295">
        <v>1</v>
      </c>
      <c r="V1295">
        <f>VLOOKUP(T1295,'Data Angt'!$A$5:$F$5810,6,FALSE)</f>
        <v>71</v>
      </c>
      <c r="W1295" s="5" t="str">
        <f t="shared" si="20"/>
        <v>KONSUMTIF</v>
      </c>
      <c r="X1295" s="5" t="str">
        <f>VLOOKUP(T1295,'Data Angt'!$A$5:$H$5810,8,FALSE)</f>
        <v>Wiraswasta</v>
      </c>
      <c r="Y1295" s="5" t="str">
        <f>VLOOKUP(T1295,'Data Angt'!$A$5:$C$5808,3,FALSE)</f>
        <v>BWI</v>
      </c>
    </row>
    <row r="1296" spans="1:25" x14ac:dyDescent="0.3">
      <c r="A1296" s="8">
        <v>1290</v>
      </c>
      <c r="B1296" s="9" t="s">
        <v>13876</v>
      </c>
      <c r="C1296" s="10" t="str">
        <f>VLOOKUP(B1296,'Data Angt'!$A$5:$B$5809,2,FALSE)</f>
        <v>A4989</v>
      </c>
      <c r="D1296" s="11" t="s">
        <v>9829</v>
      </c>
      <c r="E1296" s="12" t="s">
        <v>17131</v>
      </c>
      <c r="F1296" s="13">
        <v>45715</v>
      </c>
      <c r="G1296" s="14">
        <v>45926</v>
      </c>
      <c r="H1296" s="15">
        <v>4000000</v>
      </c>
      <c r="I1296" s="16">
        <v>12</v>
      </c>
      <c r="J1296" s="17">
        <v>24</v>
      </c>
      <c r="K1296" s="9" t="s">
        <v>9827</v>
      </c>
      <c r="L1296" s="10" t="s">
        <v>17132</v>
      </c>
      <c r="M1296" s="9" t="s">
        <v>9838</v>
      </c>
      <c r="N1296" s="10" t="s">
        <v>9830</v>
      </c>
      <c r="O1296" s="15">
        <v>1666200</v>
      </c>
      <c r="P1296" s="145">
        <v>157574</v>
      </c>
      <c r="Q1296" s="9" t="s">
        <v>23304</v>
      </c>
      <c r="R1296" s="146" t="s">
        <v>23471</v>
      </c>
      <c r="T1296" s="92" t="s">
        <v>5119</v>
      </c>
      <c r="U1296">
        <v>1</v>
      </c>
      <c r="V1296">
        <f>VLOOKUP(T1296,'Data Angt'!$A$5:$F$5810,6,FALSE)</f>
        <v>59</v>
      </c>
      <c r="W1296" s="5" t="str">
        <f t="shared" si="20"/>
        <v>PRODUKTIF</v>
      </c>
      <c r="X1296" s="5" t="str">
        <f>VLOOKUP(T1296,'Data Angt'!$A$5:$H$5810,8,FALSE)</f>
        <v>Tenaga Pengajar</v>
      </c>
      <c r="Y1296" s="5" t="str">
        <f>VLOOKUP(T1296,'Data Angt'!$A$5:$C$5808,3,FALSE)</f>
        <v>BWI</v>
      </c>
    </row>
    <row r="1297" spans="1:25" x14ac:dyDescent="0.3">
      <c r="A1297" s="8">
        <v>1291</v>
      </c>
      <c r="B1297" s="9" t="s">
        <v>13890</v>
      </c>
      <c r="C1297" s="10" t="str">
        <f>VLOOKUP(B1297,'Data Angt'!$A$5:$B$5809,2,FALSE)</f>
        <v>A4996</v>
      </c>
      <c r="D1297" s="11" t="s">
        <v>9833</v>
      </c>
      <c r="E1297" s="12" t="s">
        <v>17133</v>
      </c>
      <c r="F1297" s="13">
        <v>45593</v>
      </c>
      <c r="G1297" s="14">
        <v>45869</v>
      </c>
      <c r="H1297" s="15">
        <v>1500000</v>
      </c>
      <c r="I1297" s="16">
        <v>10</v>
      </c>
      <c r="J1297" s="17">
        <v>24</v>
      </c>
      <c r="K1297" s="9" t="s">
        <v>9827</v>
      </c>
      <c r="L1297" s="10" t="s">
        <v>17134</v>
      </c>
      <c r="M1297" s="9" t="s">
        <v>10442</v>
      </c>
      <c r="N1297" s="10" t="s">
        <v>9834</v>
      </c>
      <c r="O1297" s="15">
        <v>150000</v>
      </c>
      <c r="P1297" s="145">
        <v>63000</v>
      </c>
      <c r="Q1297" s="9"/>
      <c r="R1297" s="146"/>
      <c r="T1297" s="92" t="s">
        <v>5129</v>
      </c>
      <c r="U1297">
        <v>1</v>
      </c>
      <c r="V1297">
        <f>VLOOKUP(T1297,'Data Angt'!$A$5:$F$5810,6,FALSE)</f>
        <v>46</v>
      </c>
      <c r="W1297" s="5" t="str">
        <f t="shared" si="20"/>
        <v>PENDIDIKAN</v>
      </c>
      <c r="X1297" s="5" t="str">
        <f>VLOOKUP(T1297,'Data Angt'!$A$5:$H$5810,8,FALSE)</f>
        <v>Karyawan</v>
      </c>
      <c r="Y1297" s="5" t="str">
        <f>VLOOKUP(T1297,'Data Angt'!$A$5:$C$5808,3,FALSE)</f>
        <v>BWI</v>
      </c>
    </row>
    <row r="1298" spans="1:25" x14ac:dyDescent="0.3">
      <c r="A1298" s="8">
        <v>1292</v>
      </c>
      <c r="B1298" s="9" t="s">
        <v>13895</v>
      </c>
      <c r="C1298" s="10" t="str">
        <f>VLOOKUP(B1298,'Data Angt'!$A$5:$B$5809,2,FALSE)</f>
        <v>A4998</v>
      </c>
      <c r="D1298" s="11" t="s">
        <v>9833</v>
      </c>
      <c r="E1298" s="12" t="s">
        <v>17135</v>
      </c>
      <c r="F1298" s="13">
        <v>45713</v>
      </c>
      <c r="G1298" s="14">
        <v>45927</v>
      </c>
      <c r="H1298" s="15">
        <v>2500000</v>
      </c>
      <c r="I1298" s="16">
        <v>12</v>
      </c>
      <c r="J1298" s="17">
        <v>24</v>
      </c>
      <c r="K1298" s="9" t="s">
        <v>9827</v>
      </c>
      <c r="L1298" s="10" t="s">
        <v>17136</v>
      </c>
      <c r="M1298" s="9" t="s">
        <v>17137</v>
      </c>
      <c r="N1298" s="10" t="s">
        <v>9834</v>
      </c>
      <c r="O1298" s="15">
        <v>1041200</v>
      </c>
      <c r="P1298" s="145">
        <v>98511</v>
      </c>
      <c r="Q1298" s="9"/>
      <c r="R1298" s="146"/>
      <c r="T1298" s="92" t="s">
        <v>5137</v>
      </c>
      <c r="U1298">
        <v>1</v>
      </c>
      <c r="V1298">
        <f>VLOOKUP(T1298,'Data Angt'!$A$5:$F$5810,6,FALSE)</f>
        <v>48</v>
      </c>
      <c r="W1298" s="5" t="str">
        <f t="shared" si="20"/>
        <v>PRODUKTIF</v>
      </c>
      <c r="X1298" s="5" t="str">
        <f>VLOOKUP(T1298,'Data Angt'!$A$5:$H$5810,8,FALSE)</f>
        <v>Karyawan</v>
      </c>
      <c r="Y1298" s="5" t="str">
        <f>VLOOKUP(T1298,'Data Angt'!$A$5:$C$5808,3,FALSE)</f>
        <v>BWI</v>
      </c>
    </row>
    <row r="1299" spans="1:25" x14ac:dyDescent="0.3">
      <c r="A1299" s="8">
        <v>1293</v>
      </c>
      <c r="B1299" s="9" t="s">
        <v>13932</v>
      </c>
      <c r="C1299" s="10" t="str">
        <f>VLOOKUP(B1299,'Data Angt'!$A$5:$B$5809,2,FALSE)</f>
        <v>A5013</v>
      </c>
      <c r="D1299" s="11" t="s">
        <v>9829</v>
      </c>
      <c r="E1299" s="12" t="s">
        <v>17138</v>
      </c>
      <c r="F1299" s="13">
        <v>45800</v>
      </c>
      <c r="G1299" s="14">
        <v>45925</v>
      </c>
      <c r="H1299" s="15">
        <v>2000000</v>
      </c>
      <c r="I1299" s="16">
        <v>12</v>
      </c>
      <c r="J1299" s="17">
        <v>24</v>
      </c>
      <c r="K1299" s="9" t="s">
        <v>9827</v>
      </c>
      <c r="L1299" s="10" t="s">
        <v>17139</v>
      </c>
      <c r="M1299" s="9" t="s">
        <v>9854</v>
      </c>
      <c r="N1299" s="10" t="s">
        <v>17</v>
      </c>
      <c r="O1299" s="15">
        <v>1333200</v>
      </c>
      <c r="P1299" s="145">
        <v>52537</v>
      </c>
      <c r="Q1299" s="9"/>
      <c r="R1299" s="146"/>
      <c r="T1299" s="92" t="s">
        <v>5168</v>
      </c>
      <c r="U1299">
        <v>1</v>
      </c>
      <c r="V1299">
        <f>VLOOKUP(T1299,'Data Angt'!$A$5:$F$5810,6,FALSE)</f>
        <v>48</v>
      </c>
      <c r="W1299" s="5" t="str">
        <f t="shared" si="20"/>
        <v>PRODUKTIF</v>
      </c>
      <c r="X1299" s="5" t="str">
        <f>VLOOKUP(T1299,'Data Angt'!$A$5:$H$5810,8,FALSE)</f>
        <v>Wiraswasta</v>
      </c>
      <c r="Y1299" s="5" t="str">
        <f>VLOOKUP(T1299,'Data Angt'!$A$5:$C$5808,3,FALSE)</f>
        <v>BWI</v>
      </c>
    </row>
    <row r="1300" spans="1:25" x14ac:dyDescent="0.3">
      <c r="A1300" s="8">
        <v>1294</v>
      </c>
      <c r="B1300" s="9" t="s">
        <v>14143</v>
      </c>
      <c r="C1300" s="10" t="str">
        <f>VLOOKUP(B1300,'Data Angt'!$A$5:$B$5809,2,FALSE)</f>
        <v>A5107</v>
      </c>
      <c r="D1300" s="11" t="s">
        <v>9829</v>
      </c>
      <c r="E1300" s="12" t="s">
        <v>17140</v>
      </c>
      <c r="F1300" s="13">
        <v>45741</v>
      </c>
      <c r="G1300" s="14">
        <v>45899</v>
      </c>
      <c r="H1300" s="15">
        <v>2000000</v>
      </c>
      <c r="I1300" s="16">
        <v>12</v>
      </c>
      <c r="J1300" s="17">
        <v>24</v>
      </c>
      <c r="K1300" s="9" t="s">
        <v>9827</v>
      </c>
      <c r="L1300" s="10" t="s">
        <v>17141</v>
      </c>
      <c r="M1300" s="9" t="s">
        <v>17142</v>
      </c>
      <c r="N1300" s="10" t="s">
        <v>9828</v>
      </c>
      <c r="O1300" s="15">
        <v>1166500</v>
      </c>
      <c r="P1300" s="145">
        <v>62549</v>
      </c>
      <c r="Q1300" s="9"/>
      <c r="R1300" s="146"/>
      <c r="T1300" s="92" t="s">
        <v>5218</v>
      </c>
      <c r="U1300">
        <v>1</v>
      </c>
      <c r="V1300">
        <f>VLOOKUP(T1300,'Data Angt'!$A$5:$F$5810,6,FALSE)</f>
        <v>36</v>
      </c>
      <c r="W1300" s="5" t="str">
        <f t="shared" si="20"/>
        <v>KONSUMTIF</v>
      </c>
      <c r="X1300" s="5" t="str">
        <f>VLOOKUP(T1300,'Data Angt'!$A$5:$H$5810,8,FALSE)</f>
        <v>Tenaga Pengajar</v>
      </c>
      <c r="Y1300" s="5" t="str">
        <f>VLOOKUP(T1300,'Data Angt'!$A$5:$C$5808,3,FALSE)</f>
        <v>BWI</v>
      </c>
    </row>
    <row r="1301" spans="1:25" x14ac:dyDescent="0.3">
      <c r="A1301" s="8">
        <v>1295</v>
      </c>
      <c r="B1301" s="9" t="s">
        <v>14224</v>
      </c>
      <c r="C1301" s="10" t="str">
        <f>VLOOKUP(B1301,'Data Angt'!$A$5:$B$5809,2,FALSE)</f>
        <v>A5146</v>
      </c>
      <c r="D1301" s="11" t="s">
        <v>9833</v>
      </c>
      <c r="E1301" s="12" t="s">
        <v>23472</v>
      </c>
      <c r="F1301" s="13">
        <v>45912</v>
      </c>
      <c r="G1301" s="14">
        <v>45912</v>
      </c>
      <c r="H1301" s="15">
        <v>10000000</v>
      </c>
      <c r="I1301" s="16">
        <v>12</v>
      </c>
      <c r="J1301" s="17">
        <v>24</v>
      </c>
      <c r="K1301" s="9" t="s">
        <v>9827</v>
      </c>
      <c r="L1301" s="10" t="s">
        <v>23473</v>
      </c>
      <c r="M1301" s="9" t="s">
        <v>9862</v>
      </c>
      <c r="N1301" s="10" t="s">
        <v>9834</v>
      </c>
      <c r="O1301" s="15">
        <v>10000000</v>
      </c>
      <c r="P1301" s="147">
        <v>0</v>
      </c>
      <c r="Q1301" s="9" t="s">
        <v>23304</v>
      </c>
      <c r="R1301" s="146" t="s">
        <v>23474</v>
      </c>
      <c r="T1301" s="92" t="s">
        <v>5230</v>
      </c>
      <c r="U1301">
        <v>1</v>
      </c>
      <c r="V1301">
        <f>VLOOKUP(T1301,'Data Angt'!$A$5:$F$5810,6,FALSE)</f>
        <v>56</v>
      </c>
      <c r="W1301" s="5">
        <f t="shared" si="20"/>
        <v>0</v>
      </c>
      <c r="X1301" s="5" t="str">
        <f>VLOOKUP(T1301,'Data Angt'!$A$5:$H$5810,8,FALSE)</f>
        <v>Wiraswasta</v>
      </c>
      <c r="Y1301" s="5" t="str">
        <f>VLOOKUP(T1301,'Data Angt'!$A$5:$C$5808,3,FALSE)</f>
        <v>BWI</v>
      </c>
    </row>
    <row r="1302" spans="1:25" x14ac:dyDescent="0.3">
      <c r="A1302" s="8">
        <v>1296</v>
      </c>
      <c r="B1302" s="9" t="s">
        <v>14264</v>
      </c>
      <c r="C1302" s="10" t="str">
        <f>VLOOKUP(B1302,'Data Angt'!$A$5:$B$5809,2,FALSE)</f>
        <v>A5166</v>
      </c>
      <c r="D1302" s="11" t="s">
        <v>9829</v>
      </c>
      <c r="E1302" s="12" t="s">
        <v>17143</v>
      </c>
      <c r="F1302" s="13">
        <v>45653</v>
      </c>
      <c r="G1302" s="14">
        <v>45742</v>
      </c>
      <c r="H1302" s="15">
        <v>1500000</v>
      </c>
      <c r="I1302" s="16">
        <v>10</v>
      </c>
      <c r="J1302" s="17">
        <v>24</v>
      </c>
      <c r="K1302" s="9" t="s">
        <v>9827</v>
      </c>
      <c r="L1302" s="10" t="s">
        <v>17144</v>
      </c>
      <c r="M1302" s="9" t="s">
        <v>9854</v>
      </c>
      <c r="N1302" s="10" t="s">
        <v>17</v>
      </c>
      <c r="O1302" s="15">
        <v>1200000</v>
      </c>
      <c r="P1302" s="145">
        <v>31500</v>
      </c>
      <c r="Q1302" s="9"/>
      <c r="R1302" s="146"/>
      <c r="T1302" s="92" t="s">
        <v>5279</v>
      </c>
      <c r="U1302">
        <v>1</v>
      </c>
      <c r="V1302">
        <f>VLOOKUP(T1302,'Data Angt'!$A$5:$F$5810,6,FALSE)</f>
        <v>40</v>
      </c>
      <c r="W1302" s="5" t="str">
        <f t="shared" si="20"/>
        <v>KONSUMTIF</v>
      </c>
      <c r="X1302" s="5" t="str">
        <f>VLOOKUP(T1302,'Data Angt'!$A$5:$H$5810,8,FALSE)</f>
        <v>Wiraswasta</v>
      </c>
      <c r="Y1302" s="5" t="str">
        <f>VLOOKUP(T1302,'Data Angt'!$A$5:$C$5808,3,FALSE)</f>
        <v>BWI</v>
      </c>
    </row>
    <row r="1303" spans="1:25" x14ac:dyDescent="0.3">
      <c r="A1303" s="8">
        <v>1297</v>
      </c>
      <c r="B1303" s="9" t="s">
        <v>14266</v>
      </c>
      <c r="C1303" s="10" t="str">
        <f>VLOOKUP(B1303,'Data Angt'!$A$5:$B$5809,2,FALSE)</f>
        <v>A5167</v>
      </c>
      <c r="D1303" s="11" t="s">
        <v>9833</v>
      </c>
      <c r="E1303" s="12" t="s">
        <v>17145</v>
      </c>
      <c r="F1303" s="13">
        <v>45653</v>
      </c>
      <c r="G1303" s="14">
        <v>45917</v>
      </c>
      <c r="H1303" s="15">
        <v>1500000</v>
      </c>
      <c r="I1303" s="16">
        <v>10</v>
      </c>
      <c r="J1303" s="17">
        <v>24</v>
      </c>
      <c r="K1303" s="9" t="s">
        <v>9827</v>
      </c>
      <c r="L1303" s="10" t="s">
        <v>17146</v>
      </c>
      <c r="M1303" s="9" t="s">
        <v>17147</v>
      </c>
      <c r="N1303" s="10" t="s">
        <v>9834</v>
      </c>
      <c r="O1303" s="15">
        <v>150000</v>
      </c>
      <c r="P1303" s="145">
        <v>61875</v>
      </c>
      <c r="Q1303" s="9"/>
      <c r="R1303" s="146"/>
      <c r="T1303" s="92" t="s">
        <v>5342</v>
      </c>
      <c r="U1303">
        <v>1</v>
      </c>
      <c r="V1303">
        <f>VLOOKUP(T1303,'Data Angt'!$A$5:$F$5810,6,FALSE)</f>
        <v>47</v>
      </c>
      <c r="W1303" s="5" t="str">
        <f t="shared" si="20"/>
        <v>PRODUKTIF</v>
      </c>
      <c r="X1303" s="5" t="str">
        <f>VLOOKUP(T1303,'Data Angt'!$A$5:$H$5810,8,FALSE)</f>
        <v>Wiraswasta</v>
      </c>
      <c r="Y1303" s="5" t="str">
        <f>VLOOKUP(T1303,'Data Angt'!$A$5:$C$5808,3,FALSE)</f>
        <v>BWI</v>
      </c>
    </row>
    <row r="1304" spans="1:25" x14ac:dyDescent="0.3">
      <c r="A1304" s="8">
        <v>1298</v>
      </c>
      <c r="B1304" s="9" t="s">
        <v>14274</v>
      </c>
      <c r="C1304" s="10" t="str">
        <f>VLOOKUP(B1304,'Data Angt'!$A$5:$B$5809,2,FALSE)</f>
        <v>A5170</v>
      </c>
      <c r="D1304" s="11" t="s">
        <v>9833</v>
      </c>
      <c r="E1304" s="12" t="s">
        <v>17148</v>
      </c>
      <c r="F1304" s="13">
        <v>45654</v>
      </c>
      <c r="G1304" s="14">
        <v>45688</v>
      </c>
      <c r="H1304" s="15">
        <v>1500000</v>
      </c>
      <c r="I1304" s="16">
        <v>10</v>
      </c>
      <c r="J1304" s="17">
        <v>24</v>
      </c>
      <c r="K1304" s="9" t="s">
        <v>9827</v>
      </c>
      <c r="L1304" s="10" t="s">
        <v>17149</v>
      </c>
      <c r="M1304" s="9" t="s">
        <v>10359</v>
      </c>
      <c r="N1304" s="10" t="s">
        <v>9834</v>
      </c>
      <c r="O1304" s="15">
        <v>1350000</v>
      </c>
      <c r="P1304" s="145">
        <v>11250</v>
      </c>
      <c r="Q1304" s="9"/>
      <c r="R1304" s="146"/>
      <c r="T1304" s="92" t="s">
        <v>5585</v>
      </c>
      <c r="U1304">
        <v>1</v>
      </c>
      <c r="V1304">
        <f>VLOOKUP(T1304,'Data Angt'!$A$5:$F$5810,6,FALSE)</f>
        <v>48</v>
      </c>
      <c r="W1304" s="5" t="str">
        <f t="shared" si="20"/>
        <v>KESEJAHTERAAN</v>
      </c>
      <c r="X1304" s="5" t="str">
        <f>VLOOKUP(T1304,'Data Angt'!$A$5:$H$5810,8,FALSE)</f>
        <v>Wiraswasta</v>
      </c>
      <c r="Y1304" s="5" t="str">
        <f>VLOOKUP(T1304,'Data Angt'!$A$5:$C$5808,3,FALSE)</f>
        <v>BWI</v>
      </c>
    </row>
    <row r="1305" spans="1:25" x14ac:dyDescent="0.3">
      <c r="A1305" s="8">
        <v>1299</v>
      </c>
      <c r="B1305" s="9" t="s">
        <v>14275</v>
      </c>
      <c r="C1305" s="10" t="str">
        <f>VLOOKUP(B1305,'Data Angt'!$A$5:$B$5809,2,FALSE)</f>
        <v>A5171</v>
      </c>
      <c r="D1305" s="11" t="s">
        <v>9833</v>
      </c>
      <c r="E1305" s="12" t="s">
        <v>17150</v>
      </c>
      <c r="F1305" s="13">
        <v>45656</v>
      </c>
      <c r="G1305" s="14">
        <v>45808</v>
      </c>
      <c r="H1305" s="15">
        <v>1500000</v>
      </c>
      <c r="I1305" s="16">
        <v>10</v>
      </c>
      <c r="J1305" s="17">
        <v>24</v>
      </c>
      <c r="K1305" s="9" t="s">
        <v>9827</v>
      </c>
      <c r="L1305" s="10" t="s">
        <v>17151</v>
      </c>
      <c r="M1305" s="9" t="s">
        <v>17152</v>
      </c>
      <c r="N1305" s="10" t="s">
        <v>9834</v>
      </c>
      <c r="O1305" s="15">
        <v>1350000</v>
      </c>
      <c r="P1305" s="145">
        <v>51750</v>
      </c>
      <c r="Q1305" s="9"/>
      <c r="R1305" s="146"/>
      <c r="T1305" s="92" t="s">
        <v>5594</v>
      </c>
      <c r="U1305">
        <v>1</v>
      </c>
      <c r="V1305">
        <f>VLOOKUP(T1305,'Data Angt'!$A$5:$F$5810,6,FALSE)</f>
        <v>52</v>
      </c>
      <c r="W1305" s="5" t="str">
        <f t="shared" si="20"/>
        <v>PENDIDIKAN</v>
      </c>
      <c r="X1305" s="5" t="str">
        <f>VLOOKUP(T1305,'Data Angt'!$A$5:$H$5810,8,FALSE)</f>
        <v>Mengurus Rumah Tangga</v>
      </c>
      <c r="Y1305" s="5" t="str">
        <f>VLOOKUP(T1305,'Data Angt'!$A$5:$C$5808,3,FALSE)</f>
        <v>BWI</v>
      </c>
    </row>
    <row r="1306" spans="1:25" x14ac:dyDescent="0.3">
      <c r="A1306" s="8">
        <v>1300</v>
      </c>
      <c r="B1306" s="9" t="s">
        <v>14281</v>
      </c>
      <c r="C1306" s="10" t="str">
        <f>VLOOKUP(B1306,'Data Angt'!$A$5:$B$5809,2,FALSE)</f>
        <v>A5174</v>
      </c>
      <c r="D1306" s="11" t="s">
        <v>9829</v>
      </c>
      <c r="E1306" s="12" t="s">
        <v>17153</v>
      </c>
      <c r="F1306" s="13">
        <v>45656</v>
      </c>
      <c r="G1306" s="14">
        <v>45930</v>
      </c>
      <c r="H1306" s="15">
        <v>15000000</v>
      </c>
      <c r="I1306" s="16">
        <v>24</v>
      </c>
      <c r="J1306" s="17">
        <v>24</v>
      </c>
      <c r="K1306" s="9" t="s">
        <v>9831</v>
      </c>
      <c r="L1306" s="10" t="s">
        <v>17154</v>
      </c>
      <c r="M1306" s="9" t="s">
        <v>9838</v>
      </c>
      <c r="N1306" s="10" t="s">
        <v>9830</v>
      </c>
      <c r="O1306" s="15">
        <v>10190300</v>
      </c>
      <c r="P1306" s="145">
        <v>873073</v>
      </c>
      <c r="Q1306" s="9"/>
      <c r="R1306" s="146"/>
      <c r="T1306" s="92" t="s">
        <v>5682</v>
      </c>
      <c r="U1306">
        <v>1</v>
      </c>
      <c r="V1306">
        <f>VLOOKUP(T1306,'Data Angt'!$A$5:$F$5810,6,FALSE)</f>
        <v>54</v>
      </c>
      <c r="W1306" s="5" t="str">
        <f t="shared" si="20"/>
        <v>PRODUKTIF</v>
      </c>
      <c r="X1306" s="5" t="str">
        <f>VLOOKUP(T1306,'Data Angt'!$A$5:$H$5810,8,FALSE)</f>
        <v>Karyawan</v>
      </c>
      <c r="Y1306" s="5" t="str">
        <f>VLOOKUP(T1306,'Data Angt'!$A$5:$C$5808,3,FALSE)</f>
        <v>BWI</v>
      </c>
    </row>
    <row r="1307" spans="1:25" x14ac:dyDescent="0.3">
      <c r="A1307" s="8">
        <v>1301</v>
      </c>
      <c r="B1307" s="9" t="s">
        <v>14377</v>
      </c>
      <c r="C1307" s="10" t="str">
        <f>VLOOKUP(B1307,'Data Angt'!$A$5:$B$5809,2,FALSE)</f>
        <v>A5184</v>
      </c>
      <c r="D1307" s="11" t="s">
        <v>9829</v>
      </c>
      <c r="E1307" s="12" t="s">
        <v>17155</v>
      </c>
      <c r="F1307" s="13">
        <v>45664</v>
      </c>
      <c r="G1307" s="14">
        <v>45930</v>
      </c>
      <c r="H1307" s="15">
        <v>18500000</v>
      </c>
      <c r="I1307" s="16">
        <v>24</v>
      </c>
      <c r="J1307" s="17">
        <v>24</v>
      </c>
      <c r="K1307" s="9" t="s">
        <v>9831</v>
      </c>
      <c r="L1307" s="10" t="s">
        <v>17156</v>
      </c>
      <c r="M1307" s="9" t="s">
        <v>9838</v>
      </c>
      <c r="N1307" s="10" t="s">
        <v>9830</v>
      </c>
      <c r="O1307" s="15">
        <v>13280200</v>
      </c>
      <c r="P1307" s="145">
        <v>977173</v>
      </c>
      <c r="Q1307" s="9"/>
      <c r="R1307" s="146"/>
      <c r="T1307" s="92" t="s">
        <v>5740</v>
      </c>
      <c r="U1307">
        <v>1</v>
      </c>
      <c r="V1307">
        <f>VLOOKUP(T1307,'Data Angt'!$A$5:$F$5810,6,FALSE)</f>
        <v>58</v>
      </c>
      <c r="W1307" s="5">
        <f t="shared" si="20"/>
        <v>0</v>
      </c>
      <c r="X1307" s="5" t="str">
        <f>VLOOKUP(T1307,'Data Angt'!$A$5:$H$5810,8,FALSE)</f>
        <v>Wiraswasta</v>
      </c>
      <c r="Y1307" s="5" t="str">
        <f>VLOOKUP(T1307,'Data Angt'!$A$5:$C$5808,3,FALSE)</f>
        <v>BWI</v>
      </c>
    </row>
    <row r="1308" spans="1:25" x14ac:dyDescent="0.3">
      <c r="A1308" s="8">
        <v>1302</v>
      </c>
      <c r="B1308" s="9" t="s">
        <v>14381</v>
      </c>
      <c r="C1308" s="10" t="str">
        <f>VLOOKUP(B1308,'Data Angt'!$A$5:$B$5809,2,FALSE)</f>
        <v>A5186</v>
      </c>
      <c r="D1308" s="11" t="s">
        <v>9829</v>
      </c>
      <c r="E1308" s="12" t="s">
        <v>23475</v>
      </c>
      <c r="F1308" s="13">
        <v>45897</v>
      </c>
      <c r="G1308" s="14">
        <v>45930</v>
      </c>
      <c r="H1308" s="15">
        <v>10000000</v>
      </c>
      <c r="I1308" s="16">
        <v>36</v>
      </c>
      <c r="J1308" s="17">
        <v>24</v>
      </c>
      <c r="K1308" s="9" t="s">
        <v>9827</v>
      </c>
      <c r="L1308" s="10" t="s">
        <v>23476</v>
      </c>
      <c r="M1308" s="9" t="s">
        <v>9854</v>
      </c>
      <c r="N1308" s="10" t="s">
        <v>17</v>
      </c>
      <c r="O1308" s="15">
        <v>9722200</v>
      </c>
      <c r="P1308" s="145">
        <v>75000</v>
      </c>
      <c r="Q1308" s="9" t="s">
        <v>23293</v>
      </c>
      <c r="R1308" s="146" t="s">
        <v>23477</v>
      </c>
      <c r="T1308" s="92" t="s">
        <v>6127</v>
      </c>
      <c r="U1308">
        <v>1</v>
      </c>
      <c r="V1308">
        <f>VLOOKUP(T1308,'Data Angt'!$A$5:$F$5810,6,FALSE)</f>
        <v>20</v>
      </c>
      <c r="W1308" s="5" t="str">
        <f t="shared" si="20"/>
        <v>KONSUMTIF</v>
      </c>
      <c r="X1308" s="5" t="str">
        <f>VLOOKUP(T1308,'Data Angt'!$A$5:$H$5810,8,FALSE)</f>
        <v>Belum/Tidak Bekerja</v>
      </c>
      <c r="Y1308" s="5" t="str">
        <f>VLOOKUP(T1308,'Data Angt'!$A$5:$C$5808,3,FALSE)</f>
        <v>BWI</v>
      </c>
    </row>
    <row r="1309" spans="1:25" x14ac:dyDescent="0.3">
      <c r="A1309" s="8">
        <v>1303</v>
      </c>
      <c r="B1309" s="9" t="s">
        <v>14387</v>
      </c>
      <c r="C1309" s="10" t="str">
        <f>VLOOKUP(B1309,'Data Angt'!$A$5:$B$5809,2,FALSE)</f>
        <v>A5188</v>
      </c>
      <c r="D1309" s="11" t="s">
        <v>9833</v>
      </c>
      <c r="E1309" s="12" t="s">
        <v>17157</v>
      </c>
      <c r="F1309" s="13">
        <v>45672</v>
      </c>
      <c r="G1309" s="14">
        <v>45777</v>
      </c>
      <c r="H1309" s="15">
        <v>1500000</v>
      </c>
      <c r="I1309" s="16">
        <v>10</v>
      </c>
      <c r="J1309" s="17">
        <v>24</v>
      </c>
      <c r="K1309" s="9" t="s">
        <v>9827</v>
      </c>
      <c r="L1309" s="10" t="s">
        <v>17158</v>
      </c>
      <c r="M1309" s="9" t="s">
        <v>9862</v>
      </c>
      <c r="N1309" s="10" t="s">
        <v>9834</v>
      </c>
      <c r="O1309" s="15">
        <v>1050000</v>
      </c>
      <c r="P1309" s="145">
        <v>30375</v>
      </c>
      <c r="Q1309" s="9"/>
      <c r="R1309" s="146"/>
      <c r="T1309" s="92" t="s">
        <v>6224</v>
      </c>
      <c r="U1309">
        <v>1</v>
      </c>
      <c r="V1309">
        <f>VLOOKUP(T1309,'Data Angt'!$A$5:$F$5810,6,FALSE)</f>
        <v>43</v>
      </c>
      <c r="W1309" s="5" t="str">
        <f t="shared" si="20"/>
        <v>PRODUKTIF</v>
      </c>
      <c r="X1309" s="5" t="str">
        <f>VLOOKUP(T1309,'Data Angt'!$A$5:$H$5810,8,FALSE)</f>
        <v>Mengurus Rumah Tangga</v>
      </c>
      <c r="Y1309" s="5" t="str">
        <f>VLOOKUP(T1309,'Data Angt'!$A$5:$C$5808,3,FALSE)</f>
        <v>BWI</v>
      </c>
    </row>
    <row r="1310" spans="1:25" x14ac:dyDescent="0.3">
      <c r="A1310" s="8">
        <v>1304</v>
      </c>
      <c r="B1310" s="9" t="s">
        <v>14421</v>
      </c>
      <c r="C1310" s="10" t="str">
        <f>VLOOKUP(B1310,'Data Angt'!$A$5:$B$5809,2,FALSE)</f>
        <v>A5203</v>
      </c>
      <c r="D1310" s="11" t="s">
        <v>9833</v>
      </c>
      <c r="E1310" s="12" t="s">
        <v>23478</v>
      </c>
      <c r="F1310" s="13">
        <v>45882</v>
      </c>
      <c r="G1310" s="14">
        <v>45913</v>
      </c>
      <c r="H1310" s="15">
        <v>3000000</v>
      </c>
      <c r="I1310" s="16">
        <v>6</v>
      </c>
      <c r="J1310" s="17">
        <v>24</v>
      </c>
      <c r="K1310" s="9" t="s">
        <v>9827</v>
      </c>
      <c r="L1310" s="10" t="s">
        <v>23479</v>
      </c>
      <c r="M1310" s="9" t="s">
        <v>23480</v>
      </c>
      <c r="N1310" s="10" t="s">
        <v>9834</v>
      </c>
      <c r="O1310" s="15">
        <v>2500000</v>
      </c>
      <c r="P1310" s="145">
        <v>22500</v>
      </c>
      <c r="Q1310" s="9"/>
      <c r="R1310" s="146"/>
      <c r="T1310" s="92" t="s">
        <v>6256</v>
      </c>
      <c r="U1310">
        <v>1</v>
      </c>
      <c r="V1310">
        <f>VLOOKUP(T1310,'Data Angt'!$A$5:$F$5810,6,FALSE)</f>
        <v>41</v>
      </c>
      <c r="W1310" s="5" t="str">
        <f t="shared" si="20"/>
        <v>KONSUMTIF</v>
      </c>
      <c r="X1310" s="5" t="str">
        <f>VLOOKUP(T1310,'Data Angt'!$A$5:$H$5810,8,FALSE)</f>
        <v>Mengurus Rumah Tangga</v>
      </c>
      <c r="Y1310" s="5" t="str">
        <f>VLOOKUP(T1310,'Data Angt'!$A$5:$C$5808,3,FALSE)</f>
        <v>BWI</v>
      </c>
    </row>
    <row r="1311" spans="1:25" x14ac:dyDescent="0.3">
      <c r="A1311" s="8">
        <v>1305</v>
      </c>
      <c r="B1311" s="9" t="s">
        <v>14469</v>
      </c>
      <c r="C1311" s="10" t="str">
        <f>VLOOKUP(B1311,'Data Angt'!$A$5:$B$5809,2,FALSE)</f>
        <v>A5223</v>
      </c>
      <c r="D1311" s="11" t="s">
        <v>9833</v>
      </c>
      <c r="E1311" s="12" t="s">
        <v>17159</v>
      </c>
      <c r="F1311" s="13">
        <v>45682</v>
      </c>
      <c r="G1311" s="14">
        <v>45899</v>
      </c>
      <c r="H1311" s="15">
        <v>1500000</v>
      </c>
      <c r="I1311" s="16">
        <v>10</v>
      </c>
      <c r="J1311" s="17">
        <v>24</v>
      </c>
      <c r="K1311" s="9" t="s">
        <v>9827</v>
      </c>
      <c r="L1311" s="10" t="s">
        <v>17160</v>
      </c>
      <c r="M1311" s="9" t="s">
        <v>17161</v>
      </c>
      <c r="N1311" s="10" t="s">
        <v>9834</v>
      </c>
      <c r="O1311" s="15">
        <v>750000</v>
      </c>
      <c r="P1311" s="145">
        <v>56250</v>
      </c>
      <c r="Q1311" s="9"/>
      <c r="R1311" s="146"/>
      <c r="T1311" s="92" t="s">
        <v>6556</v>
      </c>
      <c r="U1311">
        <v>2</v>
      </c>
      <c r="V1311">
        <f>VLOOKUP(T1311,'Data Angt'!$A$5:$F$5810,6,FALSE)</f>
        <v>51</v>
      </c>
      <c r="W1311" s="5" t="str">
        <f t="shared" si="20"/>
        <v>KONSUMTIF</v>
      </c>
      <c r="X1311" s="5" t="str">
        <f>VLOOKUP(T1311,'Data Angt'!$A$5:$H$5810,8,FALSE)</f>
        <v>Mengurus Rumah Tangga</v>
      </c>
      <c r="Y1311" s="5" t="str">
        <f>VLOOKUP(T1311,'Data Angt'!$A$5:$C$5808,3,FALSE)</f>
        <v>BWI</v>
      </c>
    </row>
    <row r="1312" spans="1:25" x14ac:dyDescent="0.3">
      <c r="A1312" s="8">
        <v>1306</v>
      </c>
      <c r="B1312" s="9" t="s">
        <v>14483</v>
      </c>
      <c r="C1312" s="10" t="str">
        <f>VLOOKUP(B1312,'Data Angt'!$A$5:$B$5809,2,FALSE)</f>
        <v>A5229</v>
      </c>
      <c r="D1312" s="11" t="s">
        <v>9833</v>
      </c>
      <c r="E1312" s="12" t="s">
        <v>23481</v>
      </c>
      <c r="F1312" s="13">
        <v>45913</v>
      </c>
      <c r="G1312" s="14">
        <v>45913</v>
      </c>
      <c r="H1312" s="15">
        <v>2500000</v>
      </c>
      <c r="I1312" s="16">
        <v>12</v>
      </c>
      <c r="J1312" s="17">
        <v>24</v>
      </c>
      <c r="K1312" s="9" t="s">
        <v>9827</v>
      </c>
      <c r="L1312" s="10" t="s">
        <v>23482</v>
      </c>
      <c r="M1312" s="9" t="s">
        <v>17162</v>
      </c>
      <c r="N1312" s="10" t="s">
        <v>9834</v>
      </c>
      <c r="O1312" s="15">
        <v>2500000</v>
      </c>
      <c r="P1312" s="147">
        <v>0</v>
      </c>
      <c r="Q1312" s="9"/>
      <c r="R1312" s="146"/>
      <c r="T1312" s="92" t="s">
        <v>6656</v>
      </c>
      <c r="U1312">
        <v>1</v>
      </c>
      <c r="V1312">
        <f>VLOOKUP(T1312,'Data Angt'!$A$5:$F$5810,6,FALSE)</f>
        <v>43</v>
      </c>
      <c r="W1312" s="5" t="str">
        <f t="shared" si="20"/>
        <v>PENDIDIKAN</v>
      </c>
      <c r="X1312" s="5" t="str">
        <f>VLOOKUP(T1312,'Data Angt'!$A$5:$H$5810,8,FALSE)</f>
        <v>Karyawan</v>
      </c>
      <c r="Y1312" s="5" t="str">
        <f>VLOOKUP(T1312,'Data Angt'!$A$5:$C$5808,3,FALSE)</f>
        <v>BWI</v>
      </c>
    </row>
    <row r="1313" spans="1:25" x14ac:dyDescent="0.3">
      <c r="A1313" s="8">
        <v>1307</v>
      </c>
      <c r="B1313" s="9" t="s">
        <v>14507</v>
      </c>
      <c r="C1313" s="10" t="str">
        <f>VLOOKUP(B1313,'Data Angt'!$A$5:$B$5809,2,FALSE)</f>
        <v>A5239</v>
      </c>
      <c r="D1313" s="11" t="s">
        <v>9833</v>
      </c>
      <c r="E1313" s="12" t="s">
        <v>17163</v>
      </c>
      <c r="F1313" s="13">
        <v>45694</v>
      </c>
      <c r="G1313" s="14">
        <v>45908</v>
      </c>
      <c r="H1313" s="15">
        <v>1500000</v>
      </c>
      <c r="I1313" s="16">
        <v>10</v>
      </c>
      <c r="J1313" s="17">
        <v>24</v>
      </c>
      <c r="K1313" s="9" t="s">
        <v>9827</v>
      </c>
      <c r="L1313" s="10" t="s">
        <v>17164</v>
      </c>
      <c r="M1313" s="9" t="s">
        <v>9862</v>
      </c>
      <c r="N1313" s="10" t="s">
        <v>9834</v>
      </c>
      <c r="O1313" s="15">
        <v>450000</v>
      </c>
      <c r="P1313" s="145">
        <v>55125</v>
      </c>
      <c r="Q1313" s="9"/>
      <c r="R1313" s="146"/>
      <c r="T1313" s="92" t="s">
        <v>12443</v>
      </c>
      <c r="U1313">
        <v>1</v>
      </c>
      <c r="V1313">
        <f>VLOOKUP(T1313,'Data Angt'!$A$5:$F$5810,6,FALSE)</f>
        <v>19</v>
      </c>
      <c r="W1313" s="5" t="str">
        <f t="shared" si="20"/>
        <v>KONSUMTIF</v>
      </c>
      <c r="X1313" s="5" t="str">
        <f>VLOOKUP(T1313,'Data Angt'!$A$5:$H$5810,8,FALSE)</f>
        <v>Pelajar/Mahasiswa</v>
      </c>
      <c r="Y1313" s="5" t="str">
        <f>VLOOKUP(T1313,'Data Angt'!$A$5:$C$5808,3,FALSE)</f>
        <v>BWI</v>
      </c>
    </row>
    <row r="1314" spans="1:25" x14ac:dyDescent="0.3">
      <c r="A1314" s="8">
        <v>1308</v>
      </c>
      <c r="B1314" s="9" t="s">
        <v>14534</v>
      </c>
      <c r="C1314" s="10" t="str">
        <f>VLOOKUP(B1314,'Data Angt'!$A$5:$B$5809,2,FALSE)</f>
        <v>A5251</v>
      </c>
      <c r="D1314" s="11" t="s">
        <v>9829</v>
      </c>
      <c r="E1314" s="12" t="s">
        <v>17165</v>
      </c>
      <c r="F1314" s="13">
        <v>45821</v>
      </c>
      <c r="G1314" s="14">
        <v>45913</v>
      </c>
      <c r="H1314" s="15">
        <v>3000000</v>
      </c>
      <c r="I1314" s="16">
        <v>6</v>
      </c>
      <c r="J1314" s="17">
        <v>24</v>
      </c>
      <c r="K1314" s="9" t="s">
        <v>9827</v>
      </c>
      <c r="L1314" s="10" t="s">
        <v>17166</v>
      </c>
      <c r="M1314" s="9" t="s">
        <v>9862</v>
      </c>
      <c r="N1314" s="10" t="s">
        <v>9834</v>
      </c>
      <c r="O1314" s="15">
        <v>1500000</v>
      </c>
      <c r="P1314" s="145">
        <v>56250</v>
      </c>
      <c r="Q1314" s="9"/>
      <c r="R1314" s="146"/>
      <c r="T1314" s="92" t="s">
        <v>6748</v>
      </c>
      <c r="U1314">
        <v>1</v>
      </c>
      <c r="V1314">
        <f>VLOOKUP(T1314,'Data Angt'!$A$5:$F$5810,6,FALSE)</f>
        <v>30</v>
      </c>
      <c r="W1314" s="5" t="str">
        <f t="shared" si="20"/>
        <v>PRODUKTIF</v>
      </c>
      <c r="X1314" s="5" t="str">
        <f>VLOOKUP(T1314,'Data Angt'!$A$5:$H$5810,8,FALSE)</f>
        <v>Mengurus Rumah Tangga</v>
      </c>
      <c r="Y1314" s="5" t="str">
        <f>VLOOKUP(T1314,'Data Angt'!$A$5:$C$5808,3,FALSE)</f>
        <v>BWI</v>
      </c>
    </row>
    <row r="1315" spans="1:25" x14ac:dyDescent="0.3">
      <c r="A1315" s="8">
        <v>1309</v>
      </c>
      <c r="B1315" s="9" t="s">
        <v>14536</v>
      </c>
      <c r="C1315" s="10" t="str">
        <f>VLOOKUP(B1315,'Data Angt'!$A$5:$B$5809,2,FALSE)</f>
        <v>A5252</v>
      </c>
      <c r="D1315" s="11" t="s">
        <v>9833</v>
      </c>
      <c r="E1315" s="12" t="s">
        <v>17167</v>
      </c>
      <c r="F1315" s="13">
        <v>45709</v>
      </c>
      <c r="G1315" s="14">
        <v>45930</v>
      </c>
      <c r="H1315" s="15">
        <v>5000000</v>
      </c>
      <c r="I1315" s="16">
        <v>24</v>
      </c>
      <c r="J1315" s="17">
        <v>24</v>
      </c>
      <c r="K1315" s="9" t="s">
        <v>9827</v>
      </c>
      <c r="L1315" s="10" t="s">
        <v>17168</v>
      </c>
      <c r="M1315" s="9" t="s">
        <v>16887</v>
      </c>
      <c r="N1315" s="10" t="s">
        <v>9834</v>
      </c>
      <c r="O1315" s="15">
        <v>3541200</v>
      </c>
      <c r="P1315" s="145">
        <v>229761</v>
      </c>
      <c r="Q1315" s="9" t="s">
        <v>23304</v>
      </c>
      <c r="R1315" s="146" t="s">
        <v>23483</v>
      </c>
      <c r="T1315" s="92" t="s">
        <v>6923</v>
      </c>
      <c r="U1315">
        <v>1</v>
      </c>
      <c r="V1315">
        <f>VLOOKUP(T1315,'Data Angt'!$A$5:$F$5810,6,FALSE)</f>
        <v>57</v>
      </c>
      <c r="W1315" s="5" t="str">
        <f t="shared" si="20"/>
        <v>KESEJAHTERAAN</v>
      </c>
      <c r="X1315" s="5" t="str">
        <f>VLOOKUP(T1315,'Data Angt'!$A$5:$H$5810,8,FALSE)</f>
        <v>Wiraswasta</v>
      </c>
      <c r="Y1315" s="5" t="str">
        <f>VLOOKUP(T1315,'Data Angt'!$A$5:$C$5808,3,FALSE)</f>
        <v>BWI</v>
      </c>
    </row>
    <row r="1316" spans="1:25" x14ac:dyDescent="0.3">
      <c r="A1316" s="8">
        <v>1310</v>
      </c>
      <c r="B1316" s="9" t="s">
        <v>14545</v>
      </c>
      <c r="C1316" s="10" t="str">
        <f>VLOOKUP(B1316,'Data Angt'!$A$5:$B$5809,2,FALSE)</f>
        <v>A5256</v>
      </c>
      <c r="D1316" s="11" t="s">
        <v>9833</v>
      </c>
      <c r="E1316" s="12" t="s">
        <v>17169</v>
      </c>
      <c r="F1316" s="13">
        <v>45694</v>
      </c>
      <c r="G1316" s="14">
        <v>45930</v>
      </c>
      <c r="H1316" s="15">
        <v>4500000</v>
      </c>
      <c r="I1316" s="16">
        <v>12</v>
      </c>
      <c r="J1316" s="17">
        <v>24</v>
      </c>
      <c r="K1316" s="9" t="s">
        <v>9827</v>
      </c>
      <c r="L1316" s="10" t="s">
        <v>17170</v>
      </c>
      <c r="M1316" s="9" t="s">
        <v>9862</v>
      </c>
      <c r="N1316" s="10" t="s">
        <v>9834</v>
      </c>
      <c r="O1316" s="15">
        <v>3375000</v>
      </c>
      <c r="P1316" s="145">
        <v>92812</v>
      </c>
      <c r="Q1316" s="9" t="s">
        <v>23304</v>
      </c>
      <c r="R1316" s="146" t="s">
        <v>23484</v>
      </c>
      <c r="T1316" s="92" t="s">
        <v>7179</v>
      </c>
      <c r="U1316">
        <v>1</v>
      </c>
      <c r="V1316">
        <f>VLOOKUP(T1316,'Data Angt'!$A$5:$F$5810,6,FALSE)</f>
        <v>43</v>
      </c>
      <c r="W1316" s="5" t="str">
        <f t="shared" si="20"/>
        <v>PRODUKTIF</v>
      </c>
      <c r="X1316" s="5" t="str">
        <f>VLOOKUP(T1316,'Data Angt'!$A$5:$H$5810,8,FALSE)</f>
        <v>Wiraswasta</v>
      </c>
      <c r="Y1316" s="5" t="str">
        <f>VLOOKUP(T1316,'Data Angt'!$A$5:$C$5808,3,FALSE)</f>
        <v>BWI</v>
      </c>
    </row>
    <row r="1317" spans="1:25" x14ac:dyDescent="0.3">
      <c r="A1317" s="8">
        <v>1311</v>
      </c>
      <c r="B1317" s="9" t="s">
        <v>14557</v>
      </c>
      <c r="C1317" s="10" t="str">
        <f>VLOOKUP(B1317,'Data Angt'!$A$5:$B$5809,2,FALSE)</f>
        <v>A5260</v>
      </c>
      <c r="D1317" s="11" t="s">
        <v>9829</v>
      </c>
      <c r="E1317" s="12" t="s">
        <v>17171</v>
      </c>
      <c r="F1317" s="13">
        <v>45699</v>
      </c>
      <c r="G1317" s="14">
        <v>45911</v>
      </c>
      <c r="H1317" s="15">
        <v>15000000</v>
      </c>
      <c r="I1317" s="16">
        <v>24</v>
      </c>
      <c r="J1317" s="17">
        <v>24</v>
      </c>
      <c r="K1317" s="9" t="s">
        <v>9831</v>
      </c>
      <c r="L1317" s="10" t="s">
        <v>17172</v>
      </c>
      <c r="M1317" s="9" t="s">
        <v>9838</v>
      </c>
      <c r="N1317" s="10" t="s">
        <v>9830</v>
      </c>
      <c r="O1317" s="15">
        <v>11334400</v>
      </c>
      <c r="P1317" s="145">
        <v>707286</v>
      </c>
      <c r="Q1317" s="9"/>
      <c r="R1317" s="146"/>
      <c r="T1317" s="92" t="s">
        <v>7236</v>
      </c>
      <c r="U1317">
        <v>1</v>
      </c>
      <c r="V1317">
        <f>VLOOKUP(T1317,'Data Angt'!$A$5:$F$5810,6,FALSE)</f>
        <v>36</v>
      </c>
      <c r="W1317" s="5" t="str">
        <f t="shared" si="20"/>
        <v>PENDIDIKAN</v>
      </c>
      <c r="X1317" s="5" t="str">
        <f>VLOOKUP(T1317,'Data Angt'!$A$5:$H$5810,8,FALSE)</f>
        <v>Karyawan</v>
      </c>
      <c r="Y1317" s="5" t="str">
        <f>VLOOKUP(T1317,'Data Angt'!$A$5:$C$5808,3,FALSE)</f>
        <v>BWI</v>
      </c>
    </row>
    <row r="1318" spans="1:25" x14ac:dyDescent="0.3">
      <c r="A1318" s="8">
        <v>1312</v>
      </c>
      <c r="B1318" s="9" t="s">
        <v>14575</v>
      </c>
      <c r="C1318" s="10" t="str">
        <f>VLOOKUP(B1318,'Data Angt'!$A$5:$B$5809,2,FALSE)</f>
        <v>A5268</v>
      </c>
      <c r="D1318" s="11" t="s">
        <v>9833</v>
      </c>
      <c r="E1318" s="12" t="s">
        <v>23485</v>
      </c>
      <c r="F1318" s="13">
        <v>45919</v>
      </c>
      <c r="G1318" s="14">
        <v>45919</v>
      </c>
      <c r="H1318" s="15">
        <v>2000000</v>
      </c>
      <c r="I1318" s="16">
        <v>18</v>
      </c>
      <c r="J1318" s="17">
        <v>24</v>
      </c>
      <c r="K1318" s="9" t="s">
        <v>9827</v>
      </c>
      <c r="L1318" s="10" t="s">
        <v>23486</v>
      </c>
      <c r="M1318" s="9" t="s">
        <v>9862</v>
      </c>
      <c r="N1318" s="10" t="s">
        <v>9834</v>
      </c>
      <c r="O1318" s="15">
        <v>2000000</v>
      </c>
      <c r="P1318" s="147">
        <v>0</v>
      </c>
      <c r="Q1318" s="9"/>
      <c r="R1318" s="146"/>
      <c r="T1318" s="92" t="s">
        <v>7304</v>
      </c>
      <c r="U1318">
        <v>1</v>
      </c>
      <c r="V1318">
        <f>VLOOKUP(T1318,'Data Angt'!$A$5:$F$5810,6,FALSE)</f>
        <v>52</v>
      </c>
      <c r="W1318" s="5" t="str">
        <f t="shared" si="20"/>
        <v>PENDIDIKAN</v>
      </c>
      <c r="X1318" s="5" t="str">
        <f>VLOOKUP(T1318,'Data Angt'!$A$5:$H$5810,8,FALSE)</f>
        <v>Karyawan</v>
      </c>
      <c r="Y1318" s="5" t="str">
        <f>VLOOKUP(T1318,'Data Angt'!$A$5:$C$5808,3,FALSE)</f>
        <v>BWI</v>
      </c>
    </row>
    <row r="1319" spans="1:25" x14ac:dyDescent="0.3">
      <c r="A1319" s="8">
        <v>1313</v>
      </c>
      <c r="B1319" s="9" t="s">
        <v>14602</v>
      </c>
      <c r="C1319" s="10" t="str">
        <f>VLOOKUP(B1319,'Data Angt'!$A$5:$B$5809,2,FALSE)</f>
        <v>A5279</v>
      </c>
      <c r="D1319" s="11" t="s">
        <v>9833</v>
      </c>
      <c r="E1319" s="12" t="s">
        <v>17173</v>
      </c>
      <c r="F1319" s="13">
        <v>45699</v>
      </c>
      <c r="G1319" s="14">
        <v>45916</v>
      </c>
      <c r="H1319" s="15">
        <v>1500000</v>
      </c>
      <c r="I1319" s="16">
        <v>12</v>
      </c>
      <c r="J1319" s="17">
        <v>24</v>
      </c>
      <c r="K1319" s="9" t="s">
        <v>9827</v>
      </c>
      <c r="L1319" s="10" t="s">
        <v>17174</v>
      </c>
      <c r="M1319" s="9" t="s">
        <v>9862</v>
      </c>
      <c r="N1319" s="10" t="s">
        <v>9834</v>
      </c>
      <c r="O1319" s="15">
        <v>625000</v>
      </c>
      <c r="P1319" s="145">
        <v>59061</v>
      </c>
      <c r="Q1319" s="9"/>
      <c r="R1319" s="146"/>
      <c r="T1319" s="92" t="s">
        <v>7446</v>
      </c>
      <c r="U1319">
        <v>1</v>
      </c>
      <c r="V1319">
        <f>VLOOKUP(T1319,'Data Angt'!$A$5:$F$5810,6,FALSE)</f>
        <v>45</v>
      </c>
      <c r="W1319" s="5" t="str">
        <f t="shared" si="20"/>
        <v>PRODUKTIF</v>
      </c>
      <c r="X1319" s="5" t="str">
        <f>VLOOKUP(T1319,'Data Angt'!$A$5:$H$5810,8,FALSE)</f>
        <v>Lain-Lain</v>
      </c>
      <c r="Y1319" s="5" t="str">
        <f>VLOOKUP(T1319,'Data Angt'!$A$5:$C$5808,3,FALSE)</f>
        <v>BWI</v>
      </c>
    </row>
    <row r="1320" spans="1:25" x14ac:dyDescent="0.3">
      <c r="A1320" s="8">
        <v>1314</v>
      </c>
      <c r="B1320" s="9" t="s">
        <v>14606</v>
      </c>
      <c r="C1320" s="10" t="str">
        <f>VLOOKUP(B1320,'Data Angt'!$A$5:$B$5809,2,FALSE)</f>
        <v>A5281</v>
      </c>
      <c r="D1320" s="11" t="s">
        <v>9833</v>
      </c>
      <c r="E1320" s="12" t="s">
        <v>17175</v>
      </c>
      <c r="F1320" s="13">
        <v>45703</v>
      </c>
      <c r="G1320" s="14">
        <v>45899</v>
      </c>
      <c r="H1320" s="15">
        <v>1500000</v>
      </c>
      <c r="I1320" s="16">
        <v>8</v>
      </c>
      <c r="J1320" s="17">
        <v>24</v>
      </c>
      <c r="K1320" s="9" t="s">
        <v>9827</v>
      </c>
      <c r="L1320" s="10" t="s">
        <v>17176</v>
      </c>
      <c r="M1320" s="9" t="s">
        <v>17177</v>
      </c>
      <c r="N1320" s="10" t="s">
        <v>9834</v>
      </c>
      <c r="O1320" s="15">
        <v>750000</v>
      </c>
      <c r="P1320" s="145">
        <v>49274</v>
      </c>
      <c r="Q1320" s="9"/>
      <c r="R1320" s="146"/>
      <c r="T1320" s="92" t="s">
        <v>7448</v>
      </c>
      <c r="U1320">
        <v>1</v>
      </c>
      <c r="V1320">
        <f>VLOOKUP(T1320,'Data Angt'!$A$5:$F$5810,6,FALSE)</f>
        <v>40</v>
      </c>
      <c r="W1320" s="5" t="str">
        <f t="shared" si="20"/>
        <v>PRODUKTIF</v>
      </c>
      <c r="X1320" s="5" t="str">
        <f>VLOOKUP(T1320,'Data Angt'!$A$5:$H$5810,8,FALSE)</f>
        <v>Mengurus Rumah Tangga</v>
      </c>
      <c r="Y1320" s="5" t="str">
        <f>VLOOKUP(T1320,'Data Angt'!$A$5:$C$5808,3,FALSE)</f>
        <v>BWI</v>
      </c>
    </row>
    <row r="1321" spans="1:25" x14ac:dyDescent="0.3">
      <c r="A1321" s="8">
        <v>1315</v>
      </c>
      <c r="B1321" s="9" t="s">
        <v>14609</v>
      </c>
      <c r="C1321" s="10" t="str">
        <f>VLOOKUP(B1321,'Data Angt'!$A$5:$B$5809,2,FALSE)</f>
        <v>A5282</v>
      </c>
      <c r="D1321" s="11" t="s">
        <v>9833</v>
      </c>
      <c r="E1321" s="12" t="s">
        <v>17178</v>
      </c>
      <c r="F1321" s="13">
        <v>45708</v>
      </c>
      <c r="G1321" s="14">
        <v>45808</v>
      </c>
      <c r="H1321" s="15">
        <v>1500000</v>
      </c>
      <c r="I1321" s="16">
        <v>8</v>
      </c>
      <c r="J1321" s="17">
        <v>24</v>
      </c>
      <c r="K1321" s="9" t="s">
        <v>9827</v>
      </c>
      <c r="L1321" s="10" t="s">
        <v>17179</v>
      </c>
      <c r="M1321" s="9" t="s">
        <v>9862</v>
      </c>
      <c r="N1321" s="10" t="s">
        <v>9834</v>
      </c>
      <c r="O1321" s="15">
        <v>937500</v>
      </c>
      <c r="P1321" s="145">
        <v>29549</v>
      </c>
      <c r="Q1321" s="9"/>
      <c r="R1321" s="146"/>
      <c r="T1321" s="92" t="s">
        <v>7613</v>
      </c>
      <c r="U1321">
        <v>1</v>
      </c>
      <c r="V1321">
        <f>VLOOKUP(T1321,'Data Angt'!$A$5:$F$5810,6,FALSE)</f>
        <v>45</v>
      </c>
      <c r="W1321" s="5" t="str">
        <f t="shared" si="20"/>
        <v>PENDIDIKAN</v>
      </c>
      <c r="X1321" s="5" t="str">
        <f>VLOOKUP(T1321,'Data Angt'!$A$5:$H$5810,8,FALSE)</f>
        <v>Wiraswasta</v>
      </c>
      <c r="Y1321" s="5" t="str">
        <f>VLOOKUP(T1321,'Data Angt'!$A$5:$C$5808,3,FALSE)</f>
        <v>BWI</v>
      </c>
    </row>
    <row r="1322" spans="1:25" x14ac:dyDescent="0.3">
      <c r="A1322" s="8">
        <v>1316</v>
      </c>
      <c r="B1322" s="9" t="s">
        <v>14612</v>
      </c>
      <c r="C1322" s="10" t="str">
        <f>VLOOKUP(B1322,'Data Angt'!$A$5:$B$5809,2,FALSE)</f>
        <v>A5283</v>
      </c>
      <c r="D1322" s="11" t="s">
        <v>9833</v>
      </c>
      <c r="E1322" s="12" t="s">
        <v>17180</v>
      </c>
      <c r="F1322" s="13">
        <v>45703</v>
      </c>
      <c r="G1322" s="14">
        <v>45808</v>
      </c>
      <c r="H1322" s="15">
        <v>1500000</v>
      </c>
      <c r="I1322" s="16">
        <v>8</v>
      </c>
      <c r="J1322" s="17">
        <v>24</v>
      </c>
      <c r="K1322" s="9" t="s">
        <v>9827</v>
      </c>
      <c r="L1322" s="10" t="s">
        <v>17181</v>
      </c>
      <c r="M1322" s="9" t="s">
        <v>17182</v>
      </c>
      <c r="N1322" s="10" t="s">
        <v>9834</v>
      </c>
      <c r="O1322" s="15">
        <v>937500</v>
      </c>
      <c r="P1322" s="145">
        <v>29549</v>
      </c>
      <c r="Q1322" s="9"/>
      <c r="R1322" s="146"/>
      <c r="T1322" s="92" t="s">
        <v>7617</v>
      </c>
      <c r="U1322">
        <v>1</v>
      </c>
      <c r="V1322">
        <f>VLOOKUP(T1322,'Data Angt'!$A$5:$F$5810,6,FALSE)</f>
        <v>55</v>
      </c>
      <c r="W1322" s="5" t="str">
        <f t="shared" si="20"/>
        <v>KONSUMTIF</v>
      </c>
      <c r="X1322" s="5" t="str">
        <f>VLOOKUP(T1322,'Data Angt'!$A$5:$H$5810,8,FALSE)</f>
        <v>Tenaga Pengajar</v>
      </c>
      <c r="Y1322" s="5" t="str">
        <f>VLOOKUP(T1322,'Data Angt'!$A$5:$C$5808,3,FALSE)</f>
        <v>BWI</v>
      </c>
    </row>
    <row r="1323" spans="1:25" x14ac:dyDescent="0.3">
      <c r="A1323" s="8">
        <v>1317</v>
      </c>
      <c r="B1323" s="9" t="s">
        <v>14616</v>
      </c>
      <c r="C1323" s="10" t="str">
        <f>VLOOKUP(B1323,'Data Angt'!$A$5:$B$5809,2,FALSE)</f>
        <v>A5285</v>
      </c>
      <c r="D1323" s="11" t="s">
        <v>9833</v>
      </c>
      <c r="E1323" s="12" t="s">
        <v>17183</v>
      </c>
      <c r="F1323" s="13">
        <v>45703</v>
      </c>
      <c r="G1323" s="14">
        <v>45777</v>
      </c>
      <c r="H1323" s="15">
        <v>1500000</v>
      </c>
      <c r="I1323" s="16">
        <v>8</v>
      </c>
      <c r="J1323" s="17">
        <v>24</v>
      </c>
      <c r="K1323" s="9" t="s">
        <v>9827</v>
      </c>
      <c r="L1323" s="10" t="s">
        <v>17184</v>
      </c>
      <c r="M1323" s="9" t="s">
        <v>9862</v>
      </c>
      <c r="N1323" s="10" t="s">
        <v>9834</v>
      </c>
      <c r="O1323" s="15">
        <v>1125000</v>
      </c>
      <c r="P1323" s="145">
        <v>21112</v>
      </c>
      <c r="Q1323" s="9"/>
      <c r="R1323" s="146"/>
      <c r="T1323" s="92" t="s">
        <v>7637</v>
      </c>
      <c r="U1323">
        <v>1</v>
      </c>
      <c r="V1323">
        <f>VLOOKUP(T1323,'Data Angt'!$A$5:$F$5810,6,FALSE)</f>
        <v>55</v>
      </c>
      <c r="W1323" s="5" t="str">
        <f t="shared" si="20"/>
        <v>KONSUMTIF</v>
      </c>
      <c r="X1323" s="5" t="str">
        <f>VLOOKUP(T1323,'Data Angt'!$A$5:$H$5810,8,FALSE)</f>
        <v>Lain-Lain</v>
      </c>
      <c r="Y1323" s="5" t="str">
        <f>VLOOKUP(T1323,'Data Angt'!$A$5:$C$5808,3,FALSE)</f>
        <v>BWI</v>
      </c>
    </row>
    <row r="1324" spans="1:25" x14ac:dyDescent="0.3">
      <c r="A1324" s="8">
        <v>1318</v>
      </c>
      <c r="B1324" s="9" t="s">
        <v>14686</v>
      </c>
      <c r="C1324" s="10" t="str">
        <f>VLOOKUP(B1324,'Data Angt'!$A$5:$B$5809,2,FALSE)</f>
        <v>A5316</v>
      </c>
      <c r="D1324" s="11" t="s">
        <v>9833</v>
      </c>
      <c r="E1324" s="12" t="s">
        <v>17185</v>
      </c>
      <c r="F1324" s="13">
        <v>45707</v>
      </c>
      <c r="G1324" s="14">
        <v>45920</v>
      </c>
      <c r="H1324" s="15">
        <v>5000000</v>
      </c>
      <c r="I1324" s="16">
        <v>24</v>
      </c>
      <c r="J1324" s="17">
        <v>24</v>
      </c>
      <c r="K1324" s="9" t="s">
        <v>9827</v>
      </c>
      <c r="L1324" s="10" t="s">
        <v>17186</v>
      </c>
      <c r="M1324" s="9" t="s">
        <v>17187</v>
      </c>
      <c r="N1324" s="10" t="s">
        <v>9834</v>
      </c>
      <c r="O1324" s="15">
        <v>3541200</v>
      </c>
      <c r="P1324" s="145">
        <v>229761</v>
      </c>
      <c r="Q1324" s="9" t="s">
        <v>23304</v>
      </c>
      <c r="R1324" s="146" t="s">
        <v>23487</v>
      </c>
      <c r="T1324" s="92" t="s">
        <v>7659</v>
      </c>
      <c r="U1324">
        <v>1</v>
      </c>
      <c r="V1324">
        <f>VLOOKUP(T1324,'Data Angt'!$A$5:$F$5810,6,FALSE)</f>
        <v>28</v>
      </c>
      <c r="W1324" s="5" t="str">
        <f t="shared" si="20"/>
        <v>PRODUKTIF</v>
      </c>
      <c r="X1324" s="5" t="str">
        <f>VLOOKUP(T1324,'Data Angt'!$A$5:$H$5810,8,FALSE)</f>
        <v>Wiraswasta</v>
      </c>
      <c r="Y1324" s="5" t="str">
        <f>VLOOKUP(T1324,'Data Angt'!$A$5:$C$5808,3,FALSE)</f>
        <v>BWI</v>
      </c>
    </row>
    <row r="1325" spans="1:25" x14ac:dyDescent="0.3">
      <c r="A1325" s="8">
        <v>1319</v>
      </c>
      <c r="B1325" s="9" t="s">
        <v>14720</v>
      </c>
      <c r="C1325" s="10" t="str">
        <f>VLOOKUP(B1325,'Data Angt'!$A$5:$B$5809,2,FALSE)</f>
        <v>A5329</v>
      </c>
      <c r="D1325" s="11" t="s">
        <v>9833</v>
      </c>
      <c r="E1325" s="12" t="s">
        <v>17188</v>
      </c>
      <c r="F1325" s="13">
        <v>45720</v>
      </c>
      <c r="G1325" s="14">
        <v>45904</v>
      </c>
      <c r="H1325" s="15">
        <v>1500000</v>
      </c>
      <c r="I1325" s="16">
        <v>10</v>
      </c>
      <c r="J1325" s="17">
        <v>24</v>
      </c>
      <c r="K1325" s="9" t="s">
        <v>9827</v>
      </c>
      <c r="L1325" s="10" t="s">
        <v>17189</v>
      </c>
      <c r="M1325" s="9" t="s">
        <v>15813</v>
      </c>
      <c r="N1325" s="10" t="s">
        <v>9834</v>
      </c>
      <c r="O1325" s="15">
        <v>600000</v>
      </c>
      <c r="P1325" s="145">
        <v>50625</v>
      </c>
      <c r="Q1325" s="9"/>
      <c r="R1325" s="146"/>
      <c r="T1325" s="92" t="s">
        <v>12510</v>
      </c>
      <c r="U1325">
        <v>1</v>
      </c>
      <c r="V1325">
        <f>VLOOKUP(T1325,'Data Angt'!$A$5:$F$5810,6,FALSE)</f>
        <v>36</v>
      </c>
      <c r="W1325" s="5" t="str">
        <f t="shared" si="20"/>
        <v>PRODUKTIF</v>
      </c>
      <c r="X1325" s="5" t="str">
        <f>VLOOKUP(T1325,'Data Angt'!$A$5:$H$5810,8,FALSE)</f>
        <v>Wiraswasta</v>
      </c>
      <c r="Y1325" s="5" t="str">
        <f>VLOOKUP(T1325,'Data Angt'!$A$5:$C$5808,3,FALSE)</f>
        <v>BWI</v>
      </c>
    </row>
    <row r="1326" spans="1:25" x14ac:dyDescent="0.3">
      <c r="A1326" s="8">
        <v>1320</v>
      </c>
      <c r="B1326" s="9" t="s">
        <v>14765</v>
      </c>
      <c r="C1326" s="10" t="str">
        <f>VLOOKUP(B1326,'Data Angt'!$A$5:$B$5809,2,FALSE)</f>
        <v>A5350</v>
      </c>
      <c r="D1326" s="11" t="s">
        <v>9833</v>
      </c>
      <c r="E1326" s="12" t="s">
        <v>23488</v>
      </c>
      <c r="F1326" s="13">
        <v>45843</v>
      </c>
      <c r="G1326" s="14">
        <v>45930</v>
      </c>
      <c r="H1326" s="15">
        <v>7000000</v>
      </c>
      <c r="I1326" s="16">
        <v>12</v>
      </c>
      <c r="J1326" s="17">
        <v>24</v>
      </c>
      <c r="K1326" s="9" t="s">
        <v>9827</v>
      </c>
      <c r="L1326" s="10" t="s">
        <v>23489</v>
      </c>
      <c r="M1326" s="9" t="s">
        <v>9862</v>
      </c>
      <c r="N1326" s="10" t="s">
        <v>9834</v>
      </c>
      <c r="O1326" s="15">
        <v>5833200</v>
      </c>
      <c r="P1326" s="145">
        <v>100650</v>
      </c>
      <c r="Q1326" s="9"/>
      <c r="R1326" s="146"/>
      <c r="T1326" s="92" t="s">
        <v>7882</v>
      </c>
      <c r="U1326">
        <v>1</v>
      </c>
      <c r="V1326">
        <f>VLOOKUP(T1326,'Data Angt'!$A$5:$F$5810,6,FALSE)</f>
        <v>51</v>
      </c>
      <c r="W1326" s="5" t="str">
        <f t="shared" si="20"/>
        <v>PENDIDIKAN</v>
      </c>
      <c r="X1326" s="5" t="str">
        <f>VLOOKUP(T1326,'Data Angt'!$A$5:$H$5810,8,FALSE)</f>
        <v>Lain-Lain</v>
      </c>
      <c r="Y1326" s="5" t="str">
        <f>VLOOKUP(T1326,'Data Angt'!$A$5:$C$5808,3,FALSE)</f>
        <v>BWI</v>
      </c>
    </row>
    <row r="1327" spans="1:25" x14ac:dyDescent="0.3">
      <c r="A1327" s="8">
        <v>1321</v>
      </c>
      <c r="B1327" s="9" t="s">
        <v>14807</v>
      </c>
      <c r="C1327" s="10" t="str">
        <f>VLOOKUP(B1327,'Data Angt'!$A$5:$B$5809,2,FALSE)</f>
        <v>A5369</v>
      </c>
      <c r="D1327" s="11" t="s">
        <v>9845</v>
      </c>
      <c r="E1327" s="12" t="s">
        <v>17190</v>
      </c>
      <c r="F1327" s="13">
        <v>45712</v>
      </c>
      <c r="G1327" s="14">
        <v>45925</v>
      </c>
      <c r="H1327" s="15">
        <v>4000000</v>
      </c>
      <c r="I1327" s="16">
        <v>15</v>
      </c>
      <c r="J1327" s="17">
        <v>12</v>
      </c>
      <c r="K1327" s="9" t="s">
        <v>9831</v>
      </c>
      <c r="L1327" s="10" t="s">
        <v>17191</v>
      </c>
      <c r="M1327" s="9" t="s">
        <v>9846</v>
      </c>
      <c r="N1327" s="10" t="s">
        <v>9828</v>
      </c>
      <c r="O1327" s="15">
        <v>2207900</v>
      </c>
      <c r="P1327" s="145">
        <v>85274</v>
      </c>
      <c r="Q1327" s="9" t="s">
        <v>23304</v>
      </c>
      <c r="R1327" s="146" t="s">
        <v>23490</v>
      </c>
      <c r="T1327" s="92" t="s">
        <v>7981</v>
      </c>
      <c r="U1327">
        <v>1</v>
      </c>
      <c r="V1327">
        <f>VLOOKUP(T1327,'Data Angt'!$A$5:$F$5810,6,FALSE)</f>
        <v>29</v>
      </c>
      <c r="W1327" s="5" t="str">
        <f t="shared" si="20"/>
        <v>KONSUMTIF</v>
      </c>
      <c r="X1327" s="5" t="str">
        <f>VLOOKUP(T1327,'Data Angt'!$A$5:$H$5810,8,FALSE)</f>
        <v>Karyawan</v>
      </c>
      <c r="Y1327" s="5" t="str">
        <f>VLOOKUP(T1327,'Data Angt'!$A$5:$C$5808,3,FALSE)</f>
        <v>BWI</v>
      </c>
    </row>
    <row r="1328" spans="1:25" x14ac:dyDescent="0.3">
      <c r="A1328" s="8">
        <v>1322</v>
      </c>
      <c r="B1328" s="9" t="s">
        <v>14899</v>
      </c>
      <c r="C1328" s="10" t="str">
        <f>VLOOKUP(B1328,'Data Angt'!$A$5:$B$5809,2,FALSE)</f>
        <v>A5412</v>
      </c>
      <c r="D1328" s="11" t="s">
        <v>9833</v>
      </c>
      <c r="E1328" s="12" t="s">
        <v>17192</v>
      </c>
      <c r="F1328" s="13">
        <v>45723</v>
      </c>
      <c r="G1328" s="14">
        <v>45930</v>
      </c>
      <c r="H1328" s="15">
        <v>1500000</v>
      </c>
      <c r="I1328" s="16">
        <v>6</v>
      </c>
      <c r="J1328" s="17">
        <v>24</v>
      </c>
      <c r="K1328" s="9" t="s">
        <v>9827</v>
      </c>
      <c r="L1328" s="10" t="s">
        <v>17193</v>
      </c>
      <c r="M1328" s="9" t="s">
        <v>17194</v>
      </c>
      <c r="N1328" s="10" t="s">
        <v>9834</v>
      </c>
      <c r="O1328" s="15">
        <v>250000</v>
      </c>
      <c r="P1328" s="145">
        <v>39375</v>
      </c>
      <c r="Q1328" s="9"/>
      <c r="R1328" s="146"/>
      <c r="T1328" s="92" t="s">
        <v>7988</v>
      </c>
      <c r="U1328">
        <v>1</v>
      </c>
      <c r="V1328">
        <f>VLOOKUP(T1328,'Data Angt'!$A$5:$F$5810,6,FALSE)</f>
        <v>35</v>
      </c>
      <c r="W1328" s="5" t="str">
        <f t="shared" si="20"/>
        <v>KONSUMTIF</v>
      </c>
      <c r="X1328" s="5" t="str">
        <f>VLOOKUP(T1328,'Data Angt'!$A$5:$H$5810,8,FALSE)</f>
        <v>Karyawan</v>
      </c>
      <c r="Y1328" s="5" t="str">
        <f>VLOOKUP(T1328,'Data Angt'!$A$5:$C$5808,3,FALSE)</f>
        <v>BWI</v>
      </c>
    </row>
    <row r="1329" spans="1:25" x14ac:dyDescent="0.3">
      <c r="A1329" s="8">
        <v>1323</v>
      </c>
      <c r="B1329" s="9" t="s">
        <v>14902</v>
      </c>
      <c r="C1329" s="10" t="str">
        <f>VLOOKUP(B1329,'Data Angt'!$A$5:$B$5809,2,FALSE)</f>
        <v>A5413</v>
      </c>
      <c r="D1329" s="11" t="s">
        <v>9833</v>
      </c>
      <c r="E1329" s="12" t="s">
        <v>17195</v>
      </c>
      <c r="F1329" s="13">
        <v>45731</v>
      </c>
      <c r="G1329" s="14">
        <v>45916</v>
      </c>
      <c r="H1329" s="15">
        <v>1500000</v>
      </c>
      <c r="I1329" s="16">
        <v>8</v>
      </c>
      <c r="J1329" s="17">
        <v>24</v>
      </c>
      <c r="K1329" s="9" t="s">
        <v>9827</v>
      </c>
      <c r="L1329" s="10" t="s">
        <v>17196</v>
      </c>
      <c r="M1329" s="9" t="s">
        <v>9862</v>
      </c>
      <c r="N1329" s="10" t="s">
        <v>9834</v>
      </c>
      <c r="O1329" s="15">
        <v>375000</v>
      </c>
      <c r="P1329" s="145">
        <v>46461</v>
      </c>
      <c r="Q1329" s="9"/>
      <c r="R1329" s="146"/>
      <c r="T1329" s="92" t="s">
        <v>7993</v>
      </c>
      <c r="U1329">
        <v>1</v>
      </c>
      <c r="V1329">
        <f>VLOOKUP(T1329,'Data Angt'!$A$5:$F$5810,6,FALSE)</f>
        <v>40</v>
      </c>
      <c r="W1329" s="5" t="str">
        <f t="shared" si="20"/>
        <v>PENDIDIKAN</v>
      </c>
      <c r="X1329" s="5" t="str">
        <f>VLOOKUP(T1329,'Data Angt'!$A$5:$H$5810,8,FALSE)</f>
        <v>Wiraswasta</v>
      </c>
      <c r="Y1329" s="5" t="str">
        <f>VLOOKUP(T1329,'Data Angt'!$A$5:$C$5808,3,FALSE)</f>
        <v>BWI</v>
      </c>
    </row>
    <row r="1330" spans="1:25" x14ac:dyDescent="0.3">
      <c r="A1330" s="8">
        <v>1324</v>
      </c>
      <c r="B1330" s="9" t="s">
        <v>14931</v>
      </c>
      <c r="C1330" s="10" t="str">
        <f>VLOOKUP(B1330,'Data Angt'!$A$5:$B$5809,2,FALSE)</f>
        <v>A5425</v>
      </c>
      <c r="D1330" s="11" t="s">
        <v>9829</v>
      </c>
      <c r="E1330" s="12" t="s">
        <v>23491</v>
      </c>
      <c r="F1330" s="13">
        <v>45878</v>
      </c>
      <c r="G1330" s="14">
        <v>45909</v>
      </c>
      <c r="H1330" s="15">
        <v>1500000</v>
      </c>
      <c r="I1330" s="16">
        <v>12</v>
      </c>
      <c r="J1330" s="17">
        <v>24</v>
      </c>
      <c r="K1330" s="9" t="s">
        <v>9827</v>
      </c>
      <c r="L1330" s="10" t="s">
        <v>23492</v>
      </c>
      <c r="M1330" s="9" t="s">
        <v>9854</v>
      </c>
      <c r="N1330" s="10" t="s">
        <v>17</v>
      </c>
      <c r="O1330" s="15">
        <v>1375000</v>
      </c>
      <c r="P1330" s="145">
        <v>11250</v>
      </c>
      <c r="Q1330" s="9"/>
      <c r="R1330" s="146"/>
      <c r="T1330" s="92" t="s">
        <v>8034</v>
      </c>
      <c r="U1330">
        <v>1</v>
      </c>
      <c r="V1330">
        <f>VLOOKUP(T1330,'Data Angt'!$A$5:$F$5810,6,FALSE)</f>
        <v>53</v>
      </c>
      <c r="W1330" s="5" t="str">
        <f t="shared" si="20"/>
        <v>PRODUKTIF</v>
      </c>
      <c r="X1330" s="5" t="str">
        <f>VLOOKUP(T1330,'Data Angt'!$A$5:$H$5810,8,FALSE)</f>
        <v>Wiraswasta</v>
      </c>
      <c r="Y1330" s="5" t="str">
        <f>VLOOKUP(T1330,'Data Angt'!$A$5:$C$5808,3,FALSE)</f>
        <v>BWI</v>
      </c>
    </row>
    <row r="1331" spans="1:25" x14ac:dyDescent="0.3">
      <c r="A1331" s="8">
        <v>1325</v>
      </c>
      <c r="B1331" s="9" t="s">
        <v>14944</v>
      </c>
      <c r="C1331" s="10" t="str">
        <f>VLOOKUP(B1331,'Data Angt'!$A$5:$B$5809,2,FALSE)</f>
        <v>A5432</v>
      </c>
      <c r="D1331" s="11" t="s">
        <v>9829</v>
      </c>
      <c r="E1331" s="12" t="s">
        <v>17197</v>
      </c>
      <c r="F1331" s="13">
        <v>45733</v>
      </c>
      <c r="G1331" s="14">
        <v>45917</v>
      </c>
      <c r="H1331" s="15">
        <v>1500000</v>
      </c>
      <c r="I1331" s="16">
        <v>10</v>
      </c>
      <c r="J1331" s="17">
        <v>24</v>
      </c>
      <c r="K1331" s="9" t="s">
        <v>9827</v>
      </c>
      <c r="L1331" s="10" t="s">
        <v>17198</v>
      </c>
      <c r="M1331" s="9" t="s">
        <v>9993</v>
      </c>
      <c r="N1331" s="10" t="s">
        <v>110</v>
      </c>
      <c r="O1331" s="15">
        <v>600000</v>
      </c>
      <c r="P1331" s="145">
        <v>50625</v>
      </c>
      <c r="Q1331" s="9"/>
      <c r="R1331" s="146"/>
      <c r="T1331" s="92" t="s">
        <v>8055</v>
      </c>
      <c r="U1331">
        <v>1</v>
      </c>
      <c r="V1331">
        <f>VLOOKUP(T1331,'Data Angt'!$A$5:$F$5810,6,FALSE)</f>
        <v>48</v>
      </c>
      <c r="W1331" s="5" t="str">
        <f t="shared" si="20"/>
        <v>PRODUKTIF</v>
      </c>
      <c r="X1331" s="5" t="str">
        <f>VLOOKUP(T1331,'Data Angt'!$A$5:$H$5810,8,FALSE)</f>
        <v>Wiraswasta</v>
      </c>
      <c r="Y1331" s="5" t="str">
        <f>VLOOKUP(T1331,'Data Angt'!$A$5:$C$5808,3,FALSE)</f>
        <v>BWI</v>
      </c>
    </row>
    <row r="1332" spans="1:25" x14ac:dyDescent="0.3">
      <c r="A1332" s="8">
        <v>1326</v>
      </c>
      <c r="B1332" s="9" t="s">
        <v>14976</v>
      </c>
      <c r="C1332" s="10" t="str">
        <f>VLOOKUP(B1332,'Data Angt'!$A$5:$B$5809,2,FALSE)</f>
        <v>A5448</v>
      </c>
      <c r="D1332" s="11" t="s">
        <v>9833</v>
      </c>
      <c r="E1332" s="12" t="s">
        <v>17199</v>
      </c>
      <c r="F1332" s="13">
        <v>45742</v>
      </c>
      <c r="G1332" s="14">
        <v>45777</v>
      </c>
      <c r="H1332" s="15">
        <v>1500000</v>
      </c>
      <c r="I1332" s="16">
        <v>3</v>
      </c>
      <c r="J1332" s="17">
        <v>24</v>
      </c>
      <c r="K1332" s="9" t="s">
        <v>9827</v>
      </c>
      <c r="L1332" s="10" t="s">
        <v>17200</v>
      </c>
      <c r="M1332" s="9" t="s">
        <v>17194</v>
      </c>
      <c r="N1332" s="10" t="s">
        <v>9834</v>
      </c>
      <c r="O1332" s="15">
        <v>1000000</v>
      </c>
      <c r="P1332" s="145">
        <v>11250</v>
      </c>
      <c r="Q1332" s="9"/>
      <c r="R1332" s="146"/>
      <c r="T1332" s="92" t="s">
        <v>8065</v>
      </c>
      <c r="U1332">
        <v>2</v>
      </c>
      <c r="V1332">
        <f>VLOOKUP(T1332,'Data Angt'!$A$5:$F$5810,6,FALSE)</f>
        <v>62</v>
      </c>
      <c r="W1332" s="5" t="str">
        <f t="shared" si="20"/>
        <v>PRODUKTIF</v>
      </c>
      <c r="X1332" s="5" t="str">
        <f>VLOOKUP(T1332,'Data Angt'!$A$5:$H$5810,8,FALSE)</f>
        <v>Wiraswasta</v>
      </c>
      <c r="Y1332" s="5" t="str">
        <f>VLOOKUP(T1332,'Data Angt'!$A$5:$C$5808,3,FALSE)</f>
        <v>BWI</v>
      </c>
    </row>
    <row r="1333" spans="1:25" x14ac:dyDescent="0.3">
      <c r="A1333" s="8">
        <v>1327</v>
      </c>
      <c r="B1333" s="9" t="s">
        <v>15018</v>
      </c>
      <c r="C1333" s="10" t="str">
        <f>VLOOKUP(B1333,'Data Angt'!$A$5:$B$5809,2,FALSE)</f>
        <v>A5468</v>
      </c>
      <c r="D1333" s="11" t="s">
        <v>9829</v>
      </c>
      <c r="E1333" s="12" t="s">
        <v>17201</v>
      </c>
      <c r="F1333" s="13">
        <v>45831</v>
      </c>
      <c r="G1333" s="14">
        <v>45923</v>
      </c>
      <c r="H1333" s="15">
        <v>3000000</v>
      </c>
      <c r="I1333" s="16">
        <v>6</v>
      </c>
      <c r="J1333" s="17">
        <v>24</v>
      </c>
      <c r="K1333" s="9" t="s">
        <v>9827</v>
      </c>
      <c r="L1333" s="10" t="s">
        <v>17202</v>
      </c>
      <c r="M1333" s="9" t="s">
        <v>9854</v>
      </c>
      <c r="N1333" s="10" t="s">
        <v>17</v>
      </c>
      <c r="O1333" s="15">
        <v>1500000</v>
      </c>
      <c r="P1333" s="145">
        <v>56250</v>
      </c>
      <c r="Q1333" s="9"/>
      <c r="R1333" s="146"/>
      <c r="T1333" s="92" t="s">
        <v>8088</v>
      </c>
      <c r="U1333">
        <v>1</v>
      </c>
      <c r="V1333">
        <f>VLOOKUP(T1333,'Data Angt'!$A$5:$F$5810,6,FALSE)</f>
        <v>44</v>
      </c>
      <c r="W1333" s="5" t="str">
        <f t="shared" si="20"/>
        <v>KONSUMTIF</v>
      </c>
      <c r="X1333" s="5" t="str">
        <f>VLOOKUP(T1333,'Data Angt'!$A$5:$H$5810,8,FALSE)</f>
        <v>Wiraswasta</v>
      </c>
      <c r="Y1333" s="5" t="str">
        <f>VLOOKUP(T1333,'Data Angt'!$A$5:$C$5808,3,FALSE)</f>
        <v>BWI</v>
      </c>
    </row>
    <row r="1334" spans="1:25" x14ac:dyDescent="0.3">
      <c r="A1334" s="8">
        <v>1328</v>
      </c>
      <c r="B1334" s="9" t="s">
        <v>15054</v>
      </c>
      <c r="C1334" s="10" t="str">
        <f>VLOOKUP(B1334,'Data Angt'!$A$5:$B$5809,2,FALSE)</f>
        <v>A5484</v>
      </c>
      <c r="D1334" s="11" t="s">
        <v>9833</v>
      </c>
      <c r="E1334" s="12" t="s">
        <v>17203</v>
      </c>
      <c r="F1334" s="13">
        <v>45773</v>
      </c>
      <c r="G1334" s="14">
        <v>45930</v>
      </c>
      <c r="H1334" s="15">
        <v>1000000</v>
      </c>
      <c r="I1334" s="16">
        <v>10</v>
      </c>
      <c r="J1334" s="17">
        <v>24</v>
      </c>
      <c r="K1334" s="9" t="s">
        <v>9827</v>
      </c>
      <c r="L1334" s="10" t="s">
        <v>17204</v>
      </c>
      <c r="M1334" s="9" t="s">
        <v>9862</v>
      </c>
      <c r="N1334" s="10" t="s">
        <v>9834</v>
      </c>
      <c r="O1334" s="15">
        <v>500000</v>
      </c>
      <c r="P1334" s="145">
        <v>30000</v>
      </c>
      <c r="Q1334" s="9"/>
      <c r="R1334" s="146"/>
      <c r="T1334" s="92" t="s">
        <v>8090</v>
      </c>
      <c r="U1334">
        <v>1</v>
      </c>
      <c r="V1334">
        <f>VLOOKUP(T1334,'Data Angt'!$A$5:$F$5810,6,FALSE)</f>
        <v>41</v>
      </c>
      <c r="W1334" s="5" t="str">
        <f t="shared" si="20"/>
        <v>PENDIDIKAN</v>
      </c>
      <c r="X1334" s="5" t="str">
        <f>VLOOKUP(T1334,'Data Angt'!$A$5:$H$5810,8,FALSE)</f>
        <v>Wiraswasta</v>
      </c>
      <c r="Y1334" s="5" t="str">
        <f>VLOOKUP(T1334,'Data Angt'!$A$5:$C$5808,3,FALSE)</f>
        <v>BWI</v>
      </c>
    </row>
    <row r="1335" spans="1:25" x14ac:dyDescent="0.3">
      <c r="A1335" s="8">
        <v>1329</v>
      </c>
      <c r="B1335" s="9" t="s">
        <v>15189</v>
      </c>
      <c r="C1335" s="10" t="str">
        <f>VLOOKUP(B1335,'Data Angt'!$A$5:$B$5809,2,FALSE)</f>
        <v>A5545</v>
      </c>
      <c r="D1335" s="11" t="s">
        <v>9829</v>
      </c>
      <c r="E1335" s="12" t="s">
        <v>17205</v>
      </c>
      <c r="F1335" s="13">
        <v>45829</v>
      </c>
      <c r="G1335" s="14">
        <v>45920</v>
      </c>
      <c r="H1335" s="15">
        <v>1000000</v>
      </c>
      <c r="I1335" s="16">
        <v>10</v>
      </c>
      <c r="J1335" s="17">
        <v>24</v>
      </c>
      <c r="K1335" s="9" t="s">
        <v>9827</v>
      </c>
      <c r="L1335" s="10" t="s">
        <v>17206</v>
      </c>
      <c r="M1335" s="9" t="s">
        <v>16856</v>
      </c>
      <c r="N1335" s="10" t="s">
        <v>9828</v>
      </c>
      <c r="O1335" s="15">
        <v>700000</v>
      </c>
      <c r="P1335" s="145">
        <v>20250</v>
      </c>
      <c r="Q1335" s="9"/>
      <c r="R1335" s="146"/>
      <c r="T1335" s="92" t="s">
        <v>8092</v>
      </c>
      <c r="U1335">
        <v>1</v>
      </c>
      <c r="V1335">
        <f>VLOOKUP(T1335,'Data Angt'!$A$5:$F$5810,6,FALSE)</f>
        <v>39</v>
      </c>
      <c r="W1335" s="5" t="str">
        <f t="shared" si="20"/>
        <v>PRODUKTIF</v>
      </c>
      <c r="X1335" s="5" t="str">
        <f>VLOOKUP(T1335,'Data Angt'!$A$5:$H$5810,8,FALSE)</f>
        <v>Wiraswasta</v>
      </c>
      <c r="Y1335" s="5" t="str">
        <f>VLOOKUP(T1335,'Data Angt'!$A$5:$C$5808,3,FALSE)</f>
        <v>BWI</v>
      </c>
    </row>
    <row r="1336" spans="1:25" x14ac:dyDescent="0.3">
      <c r="A1336" s="8">
        <v>1330</v>
      </c>
      <c r="B1336" s="9" t="s">
        <v>15266</v>
      </c>
      <c r="C1336" s="10" t="str">
        <f>VLOOKUP(B1336,'Data Angt'!$A$5:$B$5809,2,FALSE)</f>
        <v>A5580</v>
      </c>
      <c r="D1336" s="11" t="s">
        <v>9833</v>
      </c>
      <c r="E1336" s="12" t="s">
        <v>17207</v>
      </c>
      <c r="F1336" s="13">
        <v>45824</v>
      </c>
      <c r="G1336" s="14">
        <v>45930</v>
      </c>
      <c r="H1336" s="15">
        <v>15000000</v>
      </c>
      <c r="I1336" s="16">
        <v>18</v>
      </c>
      <c r="J1336" s="17">
        <v>24</v>
      </c>
      <c r="K1336" s="9" t="s">
        <v>9831</v>
      </c>
      <c r="L1336" s="10" t="s">
        <v>17208</v>
      </c>
      <c r="M1336" s="9" t="s">
        <v>10463</v>
      </c>
      <c r="N1336" s="10" t="s">
        <v>9834</v>
      </c>
      <c r="O1336" s="15">
        <v>12855900</v>
      </c>
      <c r="P1336" s="145">
        <v>321637</v>
      </c>
      <c r="Q1336" s="9"/>
      <c r="R1336" s="146"/>
      <c r="T1336" s="92" t="s">
        <v>8094</v>
      </c>
      <c r="U1336">
        <v>1</v>
      </c>
      <c r="V1336">
        <f>VLOOKUP(T1336,'Data Angt'!$A$5:$F$5810,6,FALSE)</f>
        <v>49</v>
      </c>
      <c r="W1336" s="5" t="str">
        <f t="shared" si="20"/>
        <v>PENDIDIKAN</v>
      </c>
      <c r="X1336" s="5" t="str">
        <f>VLOOKUP(T1336,'Data Angt'!$A$5:$H$5810,8,FALSE)</f>
        <v>Wiraswasta</v>
      </c>
      <c r="Y1336" s="5" t="str">
        <f>VLOOKUP(T1336,'Data Angt'!$A$5:$C$5808,3,FALSE)</f>
        <v>BWI</v>
      </c>
    </row>
    <row r="1337" spans="1:25" x14ac:dyDescent="0.3">
      <c r="A1337" s="8">
        <v>1331</v>
      </c>
      <c r="B1337" s="9" t="s">
        <v>15295</v>
      </c>
      <c r="C1337" s="10" t="str">
        <f>VLOOKUP(B1337,'Data Angt'!$A$5:$B$5809,2,FALSE)</f>
        <v>A5594</v>
      </c>
      <c r="D1337" s="11" t="s">
        <v>9829</v>
      </c>
      <c r="E1337" s="12" t="s">
        <v>17209</v>
      </c>
      <c r="F1337" s="13">
        <v>45836</v>
      </c>
      <c r="G1337" s="14">
        <v>45930</v>
      </c>
      <c r="H1337" s="15">
        <v>1500000</v>
      </c>
      <c r="I1337" s="16">
        <v>10</v>
      </c>
      <c r="J1337" s="17">
        <v>24</v>
      </c>
      <c r="K1337" s="9" t="s">
        <v>9827</v>
      </c>
      <c r="L1337" s="10" t="s">
        <v>17210</v>
      </c>
      <c r="M1337" s="9" t="s">
        <v>9854</v>
      </c>
      <c r="N1337" s="10" t="s">
        <v>17</v>
      </c>
      <c r="O1337" s="15">
        <v>1050000</v>
      </c>
      <c r="P1337" s="145">
        <v>30375</v>
      </c>
      <c r="Q1337" s="9"/>
      <c r="R1337" s="146"/>
      <c r="T1337" s="92" t="s">
        <v>8165</v>
      </c>
      <c r="U1337">
        <v>1</v>
      </c>
      <c r="V1337">
        <f>VLOOKUP(T1337,'Data Angt'!$A$5:$F$5810,6,FALSE)</f>
        <v>26</v>
      </c>
      <c r="W1337" s="5" t="str">
        <f t="shared" si="20"/>
        <v>KONSUMTIF</v>
      </c>
      <c r="X1337" s="5" t="str">
        <f>VLOOKUP(T1337,'Data Angt'!$A$5:$H$5810,8,FALSE)</f>
        <v>Karyawan</v>
      </c>
      <c r="Y1337" s="5" t="str">
        <f>VLOOKUP(T1337,'Data Angt'!$A$5:$C$5808,3,FALSE)</f>
        <v>BWI</v>
      </c>
    </row>
    <row r="1338" spans="1:25" x14ac:dyDescent="0.3">
      <c r="A1338" s="8">
        <v>1332</v>
      </c>
      <c r="B1338" s="9" t="s">
        <v>15300</v>
      </c>
      <c r="C1338" s="10" t="str">
        <f>VLOOKUP(B1338,'Data Angt'!$A$5:$B$5809,2,FALSE)</f>
        <v>A5596</v>
      </c>
      <c r="D1338" s="11" t="s">
        <v>9833</v>
      </c>
      <c r="E1338" s="12" t="s">
        <v>17211</v>
      </c>
      <c r="F1338" s="13">
        <v>45836</v>
      </c>
      <c r="G1338" s="14">
        <v>45930</v>
      </c>
      <c r="H1338" s="15">
        <v>1500000</v>
      </c>
      <c r="I1338" s="16">
        <v>10</v>
      </c>
      <c r="J1338" s="17">
        <v>24</v>
      </c>
      <c r="K1338" s="9" t="s">
        <v>9827</v>
      </c>
      <c r="L1338" s="10" t="s">
        <v>17212</v>
      </c>
      <c r="M1338" s="9" t="s">
        <v>9862</v>
      </c>
      <c r="N1338" s="10" t="s">
        <v>9834</v>
      </c>
      <c r="O1338" s="15">
        <v>1050000</v>
      </c>
      <c r="P1338" s="145">
        <v>30375</v>
      </c>
      <c r="Q1338" s="9"/>
      <c r="R1338" s="146"/>
      <c r="T1338" s="92" t="s">
        <v>8194</v>
      </c>
      <c r="U1338">
        <v>1</v>
      </c>
      <c r="V1338">
        <f>VLOOKUP(T1338,'Data Angt'!$A$5:$F$5810,6,FALSE)</f>
        <v>44</v>
      </c>
      <c r="W1338" s="5" t="str">
        <f t="shared" si="20"/>
        <v>PRODUKTIF</v>
      </c>
      <c r="X1338" s="5" t="str">
        <f>VLOOKUP(T1338,'Data Angt'!$A$5:$H$5810,8,FALSE)</f>
        <v>Lain-Lain</v>
      </c>
      <c r="Y1338" s="5" t="str">
        <f>VLOOKUP(T1338,'Data Angt'!$A$5:$C$5808,3,FALSE)</f>
        <v>BWI</v>
      </c>
    </row>
    <row r="1339" spans="1:25" x14ac:dyDescent="0.3">
      <c r="A1339" s="8">
        <v>1333</v>
      </c>
      <c r="B1339" s="9" t="s">
        <v>18904</v>
      </c>
      <c r="C1339" s="10" t="str">
        <f>VLOOKUP(B1339,'Data Angt'!$A$5:$B$5809,2,FALSE)</f>
        <v>A5627</v>
      </c>
      <c r="D1339" s="11" t="s">
        <v>9833</v>
      </c>
      <c r="E1339" s="12" t="s">
        <v>23493</v>
      </c>
      <c r="F1339" s="13">
        <v>45882</v>
      </c>
      <c r="G1339" s="14">
        <v>45915</v>
      </c>
      <c r="H1339" s="15">
        <v>1000000</v>
      </c>
      <c r="I1339" s="16">
        <v>5</v>
      </c>
      <c r="J1339" s="17">
        <v>24</v>
      </c>
      <c r="K1339" s="9" t="s">
        <v>9827</v>
      </c>
      <c r="L1339" s="10" t="s">
        <v>23494</v>
      </c>
      <c r="M1339" s="9" t="s">
        <v>9862</v>
      </c>
      <c r="N1339" s="10" t="s">
        <v>9834</v>
      </c>
      <c r="O1339" s="15">
        <v>800000</v>
      </c>
      <c r="P1339" s="145">
        <v>7500</v>
      </c>
      <c r="Q1339" s="9"/>
      <c r="R1339" s="146"/>
      <c r="T1339" s="92" t="s">
        <v>8366</v>
      </c>
      <c r="U1339">
        <v>1</v>
      </c>
      <c r="V1339">
        <f>VLOOKUP(T1339,'Data Angt'!$A$5:$F$5810,6,FALSE)</f>
        <v>36</v>
      </c>
      <c r="W1339" s="5" t="str">
        <f t="shared" si="20"/>
        <v>PRODUKTIF</v>
      </c>
      <c r="X1339" s="5" t="str">
        <f>VLOOKUP(T1339,'Data Angt'!$A$5:$H$5810,8,FALSE)</f>
        <v>Karyawan</v>
      </c>
      <c r="Y1339" s="5" t="str">
        <f>VLOOKUP(T1339,'Data Angt'!$A$5:$C$5808,3,FALSE)</f>
        <v>BWI</v>
      </c>
    </row>
    <row r="1340" spans="1:25" x14ac:dyDescent="0.3">
      <c r="A1340" s="8">
        <v>1334</v>
      </c>
      <c r="B1340" s="9" t="s">
        <v>19000</v>
      </c>
      <c r="C1340" s="10" t="str">
        <f>VLOOKUP(B1340,'Data Angt'!$A$5:$B$5809,2,FALSE)</f>
        <v>A5672</v>
      </c>
      <c r="D1340" s="11" t="s">
        <v>9829</v>
      </c>
      <c r="E1340" s="12" t="s">
        <v>23495</v>
      </c>
      <c r="F1340" s="13">
        <v>45869</v>
      </c>
      <c r="G1340" s="14">
        <v>45916</v>
      </c>
      <c r="H1340" s="15">
        <v>1000000</v>
      </c>
      <c r="I1340" s="16">
        <v>12</v>
      </c>
      <c r="J1340" s="17">
        <v>24</v>
      </c>
      <c r="K1340" s="9" t="s">
        <v>9827</v>
      </c>
      <c r="L1340" s="10" t="s">
        <v>23496</v>
      </c>
      <c r="M1340" s="9" t="s">
        <v>9854</v>
      </c>
      <c r="N1340" s="10" t="s">
        <v>17</v>
      </c>
      <c r="O1340" s="15">
        <v>833200</v>
      </c>
      <c r="P1340" s="145">
        <v>14400</v>
      </c>
      <c r="Q1340" s="9" t="s">
        <v>23304</v>
      </c>
      <c r="R1340" s="146" t="s">
        <v>23497</v>
      </c>
      <c r="T1340" s="92" t="s">
        <v>8435</v>
      </c>
      <c r="U1340">
        <v>1</v>
      </c>
      <c r="V1340">
        <f>VLOOKUP(T1340,'Data Angt'!$A$5:$F$5810,6,FALSE)</f>
        <v>20</v>
      </c>
      <c r="W1340" s="5" t="str">
        <f t="shared" si="20"/>
        <v>KONSUMTIF</v>
      </c>
      <c r="X1340" s="5" t="str">
        <f>VLOOKUP(T1340,'Data Angt'!$A$5:$H$5810,8,FALSE)</f>
        <v>Tenaga Pengajar</v>
      </c>
      <c r="Y1340" s="5" t="str">
        <f>VLOOKUP(T1340,'Data Angt'!$A$5:$C$5808,3,FALSE)</f>
        <v>BWI</v>
      </c>
    </row>
    <row r="1341" spans="1:25" x14ac:dyDescent="0.3">
      <c r="A1341" s="8">
        <v>1335</v>
      </c>
      <c r="B1341" s="9" t="s">
        <v>19051</v>
      </c>
      <c r="C1341" s="10" t="str">
        <f>VLOOKUP(B1341,'Data Angt'!$A$5:$B$5809,2,FALSE)</f>
        <v>A5695</v>
      </c>
      <c r="D1341" s="11" t="s">
        <v>9829</v>
      </c>
      <c r="E1341" s="12" t="s">
        <v>23498</v>
      </c>
      <c r="F1341" s="13">
        <v>45895</v>
      </c>
      <c r="G1341" s="14">
        <v>45912</v>
      </c>
      <c r="H1341" s="15">
        <v>1500000</v>
      </c>
      <c r="I1341" s="16">
        <v>3</v>
      </c>
      <c r="J1341" s="17">
        <v>24</v>
      </c>
      <c r="K1341" s="9" t="s">
        <v>9827</v>
      </c>
      <c r="L1341" s="10" t="s">
        <v>23499</v>
      </c>
      <c r="M1341" s="9" t="s">
        <v>9854</v>
      </c>
      <c r="N1341" s="10" t="s">
        <v>17</v>
      </c>
      <c r="O1341" s="15">
        <v>1000000</v>
      </c>
      <c r="P1341" s="145">
        <v>11250</v>
      </c>
      <c r="Q1341" s="9"/>
      <c r="R1341" s="146"/>
      <c r="T1341" s="92" t="s">
        <v>8437</v>
      </c>
      <c r="U1341">
        <v>1</v>
      </c>
      <c r="V1341">
        <f>VLOOKUP(T1341,'Data Angt'!$A$5:$F$5810,6,FALSE)</f>
        <v>56</v>
      </c>
      <c r="W1341" s="5" t="str">
        <f t="shared" si="20"/>
        <v>PENDIDIKAN</v>
      </c>
      <c r="X1341" s="5" t="str">
        <f>VLOOKUP(T1341,'Data Angt'!$A$5:$H$5810,8,FALSE)</f>
        <v>Wiraswasta</v>
      </c>
      <c r="Y1341" s="5" t="str">
        <f>VLOOKUP(T1341,'Data Angt'!$A$5:$C$5808,3,FALSE)</f>
        <v>BWI</v>
      </c>
    </row>
    <row r="1342" spans="1:25" x14ac:dyDescent="0.3">
      <c r="A1342" s="8">
        <v>1336</v>
      </c>
      <c r="B1342" s="9" t="s">
        <v>19069</v>
      </c>
      <c r="C1342" s="10" t="str">
        <f>VLOOKUP(B1342,'Data Angt'!$A$5:$B$5809,2,FALSE)</f>
        <v>A5704</v>
      </c>
      <c r="D1342" s="11" t="s">
        <v>9833</v>
      </c>
      <c r="E1342" s="12" t="s">
        <v>23500</v>
      </c>
      <c r="F1342" s="13">
        <v>45882</v>
      </c>
      <c r="G1342" s="14">
        <v>45913</v>
      </c>
      <c r="H1342" s="15">
        <v>3000000</v>
      </c>
      <c r="I1342" s="16">
        <v>12</v>
      </c>
      <c r="J1342" s="17">
        <v>24</v>
      </c>
      <c r="K1342" s="9" t="s">
        <v>9827</v>
      </c>
      <c r="L1342" s="10" t="s">
        <v>23501</v>
      </c>
      <c r="M1342" s="9" t="s">
        <v>10232</v>
      </c>
      <c r="N1342" s="10" t="s">
        <v>9834</v>
      </c>
      <c r="O1342" s="15">
        <v>2750000</v>
      </c>
      <c r="P1342" s="145">
        <v>22500</v>
      </c>
      <c r="Q1342" s="9" t="s">
        <v>23304</v>
      </c>
      <c r="R1342" s="146" t="s">
        <v>23502</v>
      </c>
      <c r="T1342" s="92" t="s">
        <v>8455</v>
      </c>
      <c r="U1342">
        <v>2</v>
      </c>
      <c r="V1342">
        <f>VLOOKUP(T1342,'Data Angt'!$A$5:$F$5810,6,FALSE)</f>
        <v>29</v>
      </c>
      <c r="W1342" s="5" t="str">
        <f t="shared" si="20"/>
        <v>PRODUKTIF</v>
      </c>
      <c r="X1342" s="5" t="str">
        <f>VLOOKUP(T1342,'Data Angt'!$A$5:$H$5810,8,FALSE)</f>
        <v>Wiraswasta</v>
      </c>
      <c r="Y1342" s="5" t="str">
        <f>VLOOKUP(T1342,'Data Angt'!$A$5:$C$5808,3,FALSE)</f>
        <v>BWI</v>
      </c>
    </row>
    <row r="1343" spans="1:25" x14ac:dyDescent="0.3">
      <c r="A1343" s="8">
        <v>1337</v>
      </c>
      <c r="B1343" s="9" t="s">
        <v>19174</v>
      </c>
      <c r="C1343" s="10" t="str">
        <f>VLOOKUP(B1343,'Data Angt'!$A$5:$B$5809,2,FALSE)</f>
        <v>A5751</v>
      </c>
      <c r="D1343" s="11" t="s">
        <v>9833</v>
      </c>
      <c r="E1343" s="12" t="s">
        <v>23503</v>
      </c>
      <c r="F1343" s="13">
        <v>45919</v>
      </c>
      <c r="G1343" s="14">
        <v>45919</v>
      </c>
      <c r="H1343" s="15">
        <v>1000000</v>
      </c>
      <c r="I1343" s="16">
        <v>12</v>
      </c>
      <c r="J1343" s="17">
        <v>24</v>
      </c>
      <c r="K1343" s="9" t="s">
        <v>9827</v>
      </c>
      <c r="L1343" s="10" t="s">
        <v>23504</v>
      </c>
      <c r="M1343" s="9" t="s">
        <v>9862</v>
      </c>
      <c r="N1343" s="10" t="s">
        <v>9834</v>
      </c>
      <c r="O1343" s="15">
        <v>1000000</v>
      </c>
      <c r="P1343" s="147">
        <v>0</v>
      </c>
      <c r="Q1343" s="9"/>
      <c r="R1343" s="146"/>
      <c r="T1343" s="92" t="s">
        <v>8495</v>
      </c>
      <c r="U1343">
        <v>1</v>
      </c>
      <c r="V1343">
        <f>VLOOKUP(T1343,'Data Angt'!$A$5:$F$5810,6,FALSE)</f>
        <v>44</v>
      </c>
      <c r="W1343" s="5" t="str">
        <f t="shared" si="20"/>
        <v>KESEJAHTERAAN</v>
      </c>
      <c r="X1343" s="5" t="str">
        <f>VLOOKUP(T1343,'Data Angt'!$A$5:$H$5810,8,FALSE)</f>
        <v>Wiraswasta</v>
      </c>
      <c r="Y1343" s="5" t="str">
        <f>VLOOKUP(T1343,'Data Angt'!$A$5:$C$5808,3,FALSE)</f>
        <v>BWI</v>
      </c>
    </row>
    <row r="1344" spans="1:25" x14ac:dyDescent="0.3">
      <c r="A1344" s="8">
        <v>1338</v>
      </c>
      <c r="B1344" s="9" t="s">
        <v>19249</v>
      </c>
      <c r="C1344" s="10" t="str">
        <f>VLOOKUP(B1344,'Data Angt'!$A$5:$B$5809,2,FALSE)</f>
        <v>A5785</v>
      </c>
      <c r="D1344" s="11" t="s">
        <v>9829</v>
      </c>
      <c r="E1344" s="12" t="s">
        <v>23505</v>
      </c>
      <c r="F1344" s="13">
        <v>45920</v>
      </c>
      <c r="G1344" s="14">
        <v>45920</v>
      </c>
      <c r="H1344" s="15">
        <v>1500000</v>
      </c>
      <c r="I1344" s="16">
        <v>12</v>
      </c>
      <c r="J1344" s="17">
        <v>24</v>
      </c>
      <c r="K1344" s="9" t="s">
        <v>9827</v>
      </c>
      <c r="L1344" s="10" t="s">
        <v>23506</v>
      </c>
      <c r="M1344" s="9" t="s">
        <v>9854</v>
      </c>
      <c r="N1344" s="10" t="s">
        <v>17</v>
      </c>
      <c r="O1344" s="15">
        <v>1500000</v>
      </c>
      <c r="P1344" s="147">
        <v>0</v>
      </c>
      <c r="Q1344" s="9"/>
      <c r="R1344" s="146"/>
      <c r="T1344" s="92" t="s">
        <v>8502</v>
      </c>
      <c r="U1344">
        <v>1</v>
      </c>
      <c r="V1344">
        <f>VLOOKUP(T1344,'Data Angt'!$A$5:$F$5810,6,FALSE)</f>
        <v>64</v>
      </c>
      <c r="W1344" s="5" t="str">
        <f t="shared" si="20"/>
        <v>KONSUMTIF</v>
      </c>
      <c r="X1344" s="5" t="str">
        <f>VLOOKUP(T1344,'Data Angt'!$A$5:$H$5810,8,FALSE)</f>
        <v>Wiraswasta</v>
      </c>
      <c r="Y1344" s="5" t="str">
        <f>VLOOKUP(T1344,'Data Angt'!$A$5:$C$5808,3,FALSE)</f>
        <v>BWI</v>
      </c>
    </row>
    <row r="1345" spans="1:25" x14ac:dyDescent="0.3">
      <c r="A1345" s="8">
        <v>1339</v>
      </c>
      <c r="B1345" s="9" t="s">
        <v>19254</v>
      </c>
      <c r="C1345" s="10" t="str">
        <f>VLOOKUP(B1345,'Data Angt'!$A$5:$B$5809,2,FALSE)</f>
        <v>A5787</v>
      </c>
      <c r="D1345" s="11" t="s">
        <v>9833</v>
      </c>
      <c r="E1345" s="12" t="s">
        <v>23507</v>
      </c>
      <c r="F1345" s="13">
        <v>45922</v>
      </c>
      <c r="G1345" s="14">
        <v>45922</v>
      </c>
      <c r="H1345" s="15">
        <v>1500000</v>
      </c>
      <c r="I1345" s="16">
        <v>10</v>
      </c>
      <c r="J1345" s="17">
        <v>24</v>
      </c>
      <c r="K1345" s="9" t="s">
        <v>9827</v>
      </c>
      <c r="L1345" s="10" t="s">
        <v>23508</v>
      </c>
      <c r="M1345" s="9" t="s">
        <v>9862</v>
      </c>
      <c r="N1345" s="10" t="s">
        <v>9834</v>
      </c>
      <c r="O1345" s="15">
        <v>1500000</v>
      </c>
      <c r="P1345" s="147">
        <v>0</v>
      </c>
      <c r="Q1345" s="9"/>
      <c r="R1345" s="146"/>
      <c r="T1345" s="92" t="s">
        <v>8558</v>
      </c>
      <c r="U1345">
        <v>1</v>
      </c>
      <c r="V1345">
        <f>VLOOKUP(T1345,'Data Angt'!$A$5:$F$5810,6,FALSE)</f>
        <v>58</v>
      </c>
      <c r="W1345" s="5" t="str">
        <f t="shared" si="20"/>
        <v>PRODUKTIF</v>
      </c>
      <c r="X1345" s="5" t="str">
        <f>VLOOKUP(T1345,'Data Angt'!$A$5:$H$5810,8,FALSE)</f>
        <v>Wiraswasta</v>
      </c>
      <c r="Y1345" s="5" t="str">
        <f>VLOOKUP(T1345,'Data Angt'!$A$5:$C$5808,3,FALSE)</f>
        <v>BWI</v>
      </c>
    </row>
    <row r="1346" spans="1:25" x14ac:dyDescent="0.3">
      <c r="A1346" s="8">
        <v>1340</v>
      </c>
      <c r="B1346" s="9" t="s">
        <v>1782</v>
      </c>
      <c r="C1346" s="10" t="str">
        <f>VLOOKUP(B1346,'Data Angt'!$A$5:$B$5809,2,FALSE)</f>
        <v>A719</v>
      </c>
      <c r="D1346" s="11" t="s">
        <v>9829</v>
      </c>
      <c r="E1346" s="12" t="s">
        <v>17213</v>
      </c>
      <c r="F1346" s="13">
        <v>45600</v>
      </c>
      <c r="G1346" s="14">
        <v>45902</v>
      </c>
      <c r="H1346" s="15">
        <v>15000000</v>
      </c>
      <c r="I1346" s="16">
        <v>12</v>
      </c>
      <c r="J1346" s="17">
        <v>24</v>
      </c>
      <c r="K1346" s="9" t="s">
        <v>9827</v>
      </c>
      <c r="L1346" s="10" t="s">
        <v>17214</v>
      </c>
      <c r="M1346" s="9" t="s">
        <v>10495</v>
      </c>
      <c r="N1346" s="10" t="s">
        <v>17</v>
      </c>
      <c r="O1346" s="15">
        <v>2500000</v>
      </c>
      <c r="P1346" s="145">
        <v>703125</v>
      </c>
      <c r="Q1346" s="9"/>
      <c r="R1346" s="146"/>
      <c r="T1346" s="92" t="s">
        <v>8652</v>
      </c>
      <c r="U1346">
        <v>1</v>
      </c>
      <c r="V1346">
        <f>VLOOKUP(T1346,'Data Angt'!$A$5:$F$5810,6,FALSE)</f>
        <v>57</v>
      </c>
      <c r="W1346" s="5" t="str">
        <f t="shared" si="20"/>
        <v>KONSUMTIF</v>
      </c>
      <c r="X1346" s="5" t="str">
        <f>VLOOKUP(T1346,'Data Angt'!$A$5:$H$5810,8,FALSE)</f>
        <v>Mengurus Rumah Tangga</v>
      </c>
      <c r="Y1346" s="5" t="str">
        <f>VLOOKUP(T1346,'Data Angt'!$A$5:$C$5808,3,FALSE)</f>
        <v>BWI</v>
      </c>
    </row>
    <row r="1347" spans="1:25" x14ac:dyDescent="0.3">
      <c r="A1347" s="8">
        <v>1341</v>
      </c>
      <c r="B1347" s="9" t="s">
        <v>1789</v>
      </c>
      <c r="C1347" s="10" t="str">
        <f>VLOOKUP(B1347,'Data Angt'!$A$5:$B$5809,2,FALSE)</f>
        <v>A721</v>
      </c>
      <c r="D1347" s="11" t="s">
        <v>9826</v>
      </c>
      <c r="E1347" s="12" t="s">
        <v>17218</v>
      </c>
      <c r="F1347" s="13">
        <v>45706</v>
      </c>
      <c r="G1347" s="14">
        <v>45902</v>
      </c>
      <c r="H1347" s="15">
        <v>6000000</v>
      </c>
      <c r="I1347" s="16">
        <v>12</v>
      </c>
      <c r="J1347" s="17">
        <v>11.9</v>
      </c>
      <c r="K1347" s="9" t="s">
        <v>9831</v>
      </c>
      <c r="L1347" s="10" t="s">
        <v>17219</v>
      </c>
      <c r="M1347" s="9" t="s">
        <v>10498</v>
      </c>
      <c r="N1347" s="10" t="s">
        <v>9828</v>
      </c>
      <c r="O1347" s="15">
        <v>2586300</v>
      </c>
      <c r="P1347" s="145">
        <v>118722</v>
      </c>
      <c r="Q1347" s="9"/>
      <c r="R1347" s="146"/>
      <c r="T1347" s="92" t="s">
        <v>8697</v>
      </c>
      <c r="U1347">
        <v>1</v>
      </c>
      <c r="V1347">
        <f>VLOOKUP(T1347,'Data Angt'!$A$5:$F$5810,6,FALSE)</f>
        <v>51</v>
      </c>
      <c r="W1347" s="5" t="str">
        <f t="shared" si="20"/>
        <v>PRODUKTIF</v>
      </c>
      <c r="X1347" s="5" t="str">
        <f>VLOOKUP(T1347,'Data Angt'!$A$5:$H$5810,8,FALSE)</f>
        <v>Mengurus Rumah Tangga</v>
      </c>
      <c r="Y1347" s="5" t="str">
        <f>VLOOKUP(T1347,'Data Angt'!$A$5:$C$5808,3,FALSE)</f>
        <v>BWI</v>
      </c>
    </row>
    <row r="1348" spans="1:25" x14ac:dyDescent="0.3">
      <c r="A1348" s="8">
        <v>1342</v>
      </c>
      <c r="B1348" s="9" t="s">
        <v>1789</v>
      </c>
      <c r="C1348" s="10" t="str">
        <f>VLOOKUP(B1348,'Data Angt'!$A$5:$B$5809,2,FALSE)</f>
        <v>A721</v>
      </c>
      <c r="D1348" s="11" t="s">
        <v>9829</v>
      </c>
      <c r="E1348" s="12" t="s">
        <v>17215</v>
      </c>
      <c r="F1348" s="13">
        <v>45411</v>
      </c>
      <c r="G1348" s="14">
        <v>45902</v>
      </c>
      <c r="H1348" s="15">
        <v>25000000</v>
      </c>
      <c r="I1348" s="16">
        <v>36</v>
      </c>
      <c r="J1348" s="17">
        <v>21</v>
      </c>
      <c r="K1348" s="9" t="s">
        <v>9827</v>
      </c>
      <c r="L1348" s="10" t="s">
        <v>17216</v>
      </c>
      <c r="M1348" s="9" t="s">
        <v>17217</v>
      </c>
      <c r="N1348" s="10" t="s">
        <v>9828</v>
      </c>
      <c r="O1348" s="15">
        <v>13193500</v>
      </c>
      <c r="P1348" s="145">
        <v>2169521</v>
      </c>
      <c r="Q1348" s="9" t="s">
        <v>22189</v>
      </c>
      <c r="R1348" s="146" t="s">
        <v>23509</v>
      </c>
      <c r="T1348" s="92" t="s">
        <v>8813</v>
      </c>
      <c r="U1348">
        <v>1</v>
      </c>
      <c r="V1348">
        <f>VLOOKUP(T1348,'Data Angt'!$A$5:$F$5810,6,FALSE)</f>
        <v>40</v>
      </c>
      <c r="W1348" s="5" t="str">
        <f t="shared" si="20"/>
        <v>KONSUMTIF</v>
      </c>
      <c r="X1348" s="5" t="str">
        <f>VLOOKUP(T1348,'Data Angt'!$A$5:$H$5810,8,FALSE)</f>
        <v>Wiraswasta</v>
      </c>
      <c r="Y1348" s="5" t="str">
        <f>VLOOKUP(T1348,'Data Angt'!$A$5:$C$5808,3,FALSE)</f>
        <v>BWI</v>
      </c>
    </row>
    <row r="1349" spans="1:25" x14ac:dyDescent="0.3">
      <c r="A1349" s="8">
        <v>1343</v>
      </c>
      <c r="B1349" s="9" t="s">
        <v>1793</v>
      </c>
      <c r="C1349" s="10" t="str">
        <f>VLOOKUP(B1349,'Data Angt'!$A$5:$B$5809,2,FALSE)</f>
        <v>A723</v>
      </c>
      <c r="D1349" s="11" t="s">
        <v>9829</v>
      </c>
      <c r="E1349" s="12" t="s">
        <v>17220</v>
      </c>
      <c r="F1349" s="13">
        <v>45315</v>
      </c>
      <c r="G1349" s="14">
        <v>45930</v>
      </c>
      <c r="H1349" s="15">
        <v>10000000</v>
      </c>
      <c r="I1349" s="16">
        <v>36</v>
      </c>
      <c r="J1349" s="17">
        <v>24</v>
      </c>
      <c r="K1349" s="9" t="s">
        <v>9827</v>
      </c>
      <c r="L1349" s="10" t="s">
        <v>17221</v>
      </c>
      <c r="M1349" s="9" t="s">
        <v>10495</v>
      </c>
      <c r="N1349" s="10" t="s">
        <v>17</v>
      </c>
      <c r="O1349" s="15">
        <v>4444000</v>
      </c>
      <c r="P1349" s="145">
        <v>1104483</v>
      </c>
      <c r="Q1349" s="9" t="s">
        <v>22959</v>
      </c>
      <c r="R1349" s="146" t="s">
        <v>23510</v>
      </c>
      <c r="T1349" s="92" t="s">
        <v>8820</v>
      </c>
      <c r="U1349">
        <v>1</v>
      </c>
      <c r="V1349">
        <f>VLOOKUP(T1349,'Data Angt'!$A$5:$F$5810,6,FALSE)</f>
        <v>49</v>
      </c>
      <c r="W1349" s="5" t="str">
        <f t="shared" si="20"/>
        <v>KONSUMTIF</v>
      </c>
      <c r="X1349" s="5" t="str">
        <f>VLOOKUP(T1349,'Data Angt'!$A$5:$H$5810,8,FALSE)</f>
        <v>Wiraswasta</v>
      </c>
      <c r="Y1349" s="5" t="str">
        <f>VLOOKUP(T1349,'Data Angt'!$A$5:$C$5808,3,FALSE)</f>
        <v>BWI</v>
      </c>
    </row>
    <row r="1350" spans="1:25" x14ac:dyDescent="0.3">
      <c r="A1350" s="8">
        <v>1344</v>
      </c>
      <c r="B1350" s="9" t="s">
        <v>1798</v>
      </c>
      <c r="C1350" s="10" t="str">
        <f>VLOOKUP(B1350,'Data Angt'!$A$5:$B$5809,2,FALSE)</f>
        <v>A725</v>
      </c>
      <c r="D1350" s="11" t="s">
        <v>9829</v>
      </c>
      <c r="E1350" s="12" t="s">
        <v>17222</v>
      </c>
      <c r="F1350" s="13">
        <v>45825</v>
      </c>
      <c r="G1350" s="14">
        <v>45902</v>
      </c>
      <c r="H1350" s="15">
        <v>6000000</v>
      </c>
      <c r="I1350" s="16">
        <v>48</v>
      </c>
      <c r="J1350" s="17">
        <v>11.9</v>
      </c>
      <c r="K1350" s="9" t="s">
        <v>9831</v>
      </c>
      <c r="L1350" s="10" t="s">
        <v>17223</v>
      </c>
      <c r="M1350" s="9" t="s">
        <v>10495</v>
      </c>
      <c r="N1350" s="10" t="s">
        <v>17</v>
      </c>
      <c r="O1350" s="15">
        <v>5702300</v>
      </c>
      <c r="P1350" s="145">
        <v>65887</v>
      </c>
      <c r="Q1350" s="9"/>
      <c r="R1350" s="146"/>
      <c r="T1350" s="92" t="s">
        <v>8888</v>
      </c>
      <c r="U1350">
        <v>1</v>
      </c>
      <c r="V1350">
        <f>VLOOKUP(T1350,'Data Angt'!$A$5:$F$5810,6,FALSE)</f>
        <v>52</v>
      </c>
      <c r="W1350" s="5" t="str">
        <f t="shared" si="20"/>
        <v>PENDIDIKAN</v>
      </c>
      <c r="X1350" s="5" t="str">
        <f>VLOOKUP(T1350,'Data Angt'!$A$5:$H$5810,8,FALSE)</f>
        <v>Mengurus Rumah Tangga</v>
      </c>
      <c r="Y1350" s="5" t="str">
        <f>VLOOKUP(T1350,'Data Angt'!$A$5:$C$5808,3,FALSE)</f>
        <v>BWI</v>
      </c>
    </row>
    <row r="1351" spans="1:25" x14ac:dyDescent="0.3">
      <c r="A1351" s="8">
        <v>1345</v>
      </c>
      <c r="B1351" s="9" t="s">
        <v>1815</v>
      </c>
      <c r="C1351" s="10" t="str">
        <f>VLOOKUP(B1351,'Data Angt'!$A$5:$B$5809,2,FALSE)</f>
        <v>A732</v>
      </c>
      <c r="D1351" s="11" t="s">
        <v>9829</v>
      </c>
      <c r="E1351" s="12" t="s">
        <v>23511</v>
      </c>
      <c r="F1351" s="13">
        <v>45881</v>
      </c>
      <c r="G1351" s="14">
        <v>45916</v>
      </c>
      <c r="H1351" s="15">
        <v>5000000</v>
      </c>
      <c r="I1351" s="16">
        <v>20</v>
      </c>
      <c r="J1351" s="17">
        <v>24</v>
      </c>
      <c r="K1351" s="9" t="s">
        <v>9827</v>
      </c>
      <c r="L1351" s="10" t="s">
        <v>23512</v>
      </c>
      <c r="M1351" s="9" t="s">
        <v>10495</v>
      </c>
      <c r="N1351" s="10" t="s">
        <v>17</v>
      </c>
      <c r="O1351" s="15">
        <v>4750000</v>
      </c>
      <c r="P1351" s="145">
        <v>37500</v>
      </c>
      <c r="Q1351" s="9"/>
      <c r="R1351" s="146"/>
      <c r="T1351" s="92" t="s">
        <v>8891</v>
      </c>
      <c r="U1351">
        <v>1</v>
      </c>
      <c r="V1351">
        <f>VLOOKUP(T1351,'Data Angt'!$A$5:$F$5810,6,FALSE)</f>
        <v>48</v>
      </c>
      <c r="W1351" s="5" t="str">
        <f t="shared" ref="W1351:W1414" si="21">VLOOKUP(T1351,$B$7:$N$1869,13,FALSE)</f>
        <v>PRODUKTIF</v>
      </c>
      <c r="X1351" s="5" t="str">
        <f>VLOOKUP(T1351,'Data Angt'!$A$5:$H$5810,8,FALSE)</f>
        <v>Mengurus Rumah Tangga</v>
      </c>
      <c r="Y1351" s="5" t="str">
        <f>VLOOKUP(T1351,'Data Angt'!$A$5:$C$5808,3,FALSE)</f>
        <v>BWI</v>
      </c>
    </row>
    <row r="1352" spans="1:25" x14ac:dyDescent="0.3">
      <c r="A1352" s="8">
        <v>1346</v>
      </c>
      <c r="B1352" s="9" t="s">
        <v>1818</v>
      </c>
      <c r="C1352" s="10" t="str">
        <f>VLOOKUP(B1352,'Data Angt'!$A$5:$B$5809,2,FALSE)</f>
        <v>A733</v>
      </c>
      <c r="D1352" s="11" t="s">
        <v>9826</v>
      </c>
      <c r="E1352" s="12" t="s">
        <v>23513</v>
      </c>
      <c r="F1352" s="13">
        <v>45874</v>
      </c>
      <c r="G1352" s="14">
        <v>45916</v>
      </c>
      <c r="H1352" s="15">
        <v>6000000</v>
      </c>
      <c r="I1352" s="16">
        <v>12</v>
      </c>
      <c r="J1352" s="17">
        <v>11.9</v>
      </c>
      <c r="K1352" s="9" t="s">
        <v>9831</v>
      </c>
      <c r="L1352" s="10" t="s">
        <v>23514</v>
      </c>
      <c r="M1352" s="9" t="s">
        <v>10569</v>
      </c>
      <c r="N1352" s="10" t="s">
        <v>9828</v>
      </c>
      <c r="O1352" s="15">
        <v>5526600</v>
      </c>
      <c r="P1352" s="145">
        <v>22312</v>
      </c>
      <c r="Q1352" s="9"/>
      <c r="R1352" s="146"/>
      <c r="T1352" s="92" t="s">
        <v>8907</v>
      </c>
      <c r="U1352">
        <v>1</v>
      </c>
      <c r="V1352">
        <f>VLOOKUP(T1352,'Data Angt'!$A$5:$F$5810,6,FALSE)</f>
        <v>24</v>
      </c>
      <c r="W1352" s="5" t="str">
        <f t="shared" si="21"/>
        <v>KONSUMTIF</v>
      </c>
      <c r="X1352" s="5" t="str">
        <f>VLOOKUP(T1352,'Data Angt'!$A$5:$H$5810,8,FALSE)</f>
        <v>Tenaga Pengajar</v>
      </c>
      <c r="Y1352" s="5" t="str">
        <f>VLOOKUP(T1352,'Data Angt'!$A$5:$C$5808,3,FALSE)</f>
        <v>BWI</v>
      </c>
    </row>
    <row r="1353" spans="1:25" x14ac:dyDescent="0.3">
      <c r="A1353" s="8">
        <v>1347</v>
      </c>
      <c r="B1353" s="9" t="s">
        <v>1823</v>
      </c>
      <c r="C1353" s="10" t="str">
        <f>VLOOKUP(B1353,'Data Angt'!$A$5:$B$5809,2,FALSE)</f>
        <v>A735</v>
      </c>
      <c r="D1353" s="11" t="s">
        <v>9826</v>
      </c>
      <c r="E1353" s="12" t="s">
        <v>23515</v>
      </c>
      <c r="F1353" s="13">
        <v>45845</v>
      </c>
      <c r="G1353" s="14">
        <v>45904</v>
      </c>
      <c r="H1353" s="15">
        <v>5000000</v>
      </c>
      <c r="I1353" s="16">
        <v>10</v>
      </c>
      <c r="J1353" s="17">
        <v>24</v>
      </c>
      <c r="K1353" s="9" t="s">
        <v>9831</v>
      </c>
      <c r="L1353" s="10" t="s">
        <v>23516</v>
      </c>
      <c r="M1353" s="9" t="s">
        <v>10569</v>
      </c>
      <c r="N1353" s="10" t="s">
        <v>9828</v>
      </c>
      <c r="O1353" s="15">
        <v>4077500</v>
      </c>
      <c r="P1353" s="145">
        <v>71587</v>
      </c>
      <c r="Q1353" s="9"/>
      <c r="R1353" s="146"/>
      <c r="T1353" s="92" t="s">
        <v>8932</v>
      </c>
      <c r="U1353">
        <v>1</v>
      </c>
      <c r="V1353">
        <f>VLOOKUP(T1353,'Data Angt'!$A$5:$F$5810,6,FALSE)</f>
        <v>31</v>
      </c>
      <c r="W1353" s="5" t="str">
        <f t="shared" si="21"/>
        <v>PENDIDIKAN</v>
      </c>
      <c r="X1353" s="5" t="str">
        <f>VLOOKUP(T1353,'Data Angt'!$A$5:$H$5810,8,FALSE)</f>
        <v>Karyawan</v>
      </c>
      <c r="Y1353" s="5" t="str">
        <f>VLOOKUP(T1353,'Data Angt'!$A$5:$C$5808,3,FALSE)</f>
        <v>BWI</v>
      </c>
    </row>
    <row r="1354" spans="1:25" x14ac:dyDescent="0.3">
      <c r="A1354" s="8">
        <v>1348</v>
      </c>
      <c r="B1354" s="9" t="s">
        <v>1823</v>
      </c>
      <c r="C1354" s="10" t="str">
        <f>VLOOKUP(B1354,'Data Angt'!$A$5:$B$5809,2,FALSE)</f>
        <v>A735</v>
      </c>
      <c r="D1354" s="11" t="s">
        <v>9829</v>
      </c>
      <c r="E1354" s="12" t="s">
        <v>17224</v>
      </c>
      <c r="F1354" s="13">
        <v>45405</v>
      </c>
      <c r="G1354" s="14">
        <v>45927</v>
      </c>
      <c r="H1354" s="15">
        <v>60000000</v>
      </c>
      <c r="I1354" s="16">
        <v>48</v>
      </c>
      <c r="J1354" s="17">
        <v>21</v>
      </c>
      <c r="K1354" s="9" t="s">
        <v>9827</v>
      </c>
      <c r="L1354" s="10" t="s">
        <v>17225</v>
      </c>
      <c r="M1354" s="9" t="s">
        <v>17226</v>
      </c>
      <c r="N1354" s="10" t="s">
        <v>9834</v>
      </c>
      <c r="O1354" s="15">
        <v>38750000</v>
      </c>
      <c r="P1354" s="145">
        <v>5578346</v>
      </c>
      <c r="Q1354" s="9"/>
      <c r="R1354" s="146"/>
      <c r="T1354" s="92" t="s">
        <v>9027</v>
      </c>
      <c r="U1354">
        <v>1</v>
      </c>
      <c r="V1354">
        <f>VLOOKUP(T1354,'Data Angt'!$A$5:$F$5810,6,FALSE)</f>
        <v>50</v>
      </c>
      <c r="W1354" s="5" t="str">
        <f t="shared" si="21"/>
        <v>PRODUKTIF</v>
      </c>
      <c r="X1354" s="5" t="str">
        <f>VLOOKUP(T1354,'Data Angt'!$A$5:$H$5810,8,FALSE)</f>
        <v>Wiraswasta</v>
      </c>
      <c r="Y1354" s="5" t="str">
        <f>VLOOKUP(T1354,'Data Angt'!$A$5:$C$5808,3,FALSE)</f>
        <v>BWI</v>
      </c>
    </row>
    <row r="1355" spans="1:25" x14ac:dyDescent="0.3">
      <c r="A1355" s="8">
        <v>1349</v>
      </c>
      <c r="B1355" s="9" t="s">
        <v>1829</v>
      </c>
      <c r="C1355" s="10" t="str">
        <f>VLOOKUP(B1355,'Data Angt'!$A$5:$B$5809,2,FALSE)</f>
        <v>A737</v>
      </c>
      <c r="D1355" s="11" t="s">
        <v>9829</v>
      </c>
      <c r="E1355" s="12" t="s">
        <v>17227</v>
      </c>
      <c r="F1355" s="13">
        <v>45693</v>
      </c>
      <c r="G1355" s="14">
        <v>45906</v>
      </c>
      <c r="H1355" s="15">
        <v>3000000</v>
      </c>
      <c r="I1355" s="16">
        <v>10</v>
      </c>
      <c r="J1355" s="17">
        <v>24</v>
      </c>
      <c r="K1355" s="9" t="s">
        <v>9827</v>
      </c>
      <c r="L1355" s="10" t="s">
        <v>17228</v>
      </c>
      <c r="M1355" s="9" t="s">
        <v>10352</v>
      </c>
      <c r="N1355" s="10" t="s">
        <v>9828</v>
      </c>
      <c r="O1355" s="15">
        <v>900000</v>
      </c>
      <c r="P1355" s="145">
        <v>110250</v>
      </c>
      <c r="Q1355" s="9"/>
      <c r="R1355" s="146"/>
      <c r="T1355" s="92" t="s">
        <v>9032</v>
      </c>
      <c r="U1355">
        <v>1</v>
      </c>
      <c r="V1355">
        <f>VLOOKUP(T1355,'Data Angt'!$A$5:$F$5810,6,FALSE)</f>
        <v>30</v>
      </c>
      <c r="W1355" s="5" t="str">
        <f t="shared" si="21"/>
        <v>KONSUMTIF</v>
      </c>
      <c r="X1355" s="5" t="str">
        <f>VLOOKUP(T1355,'Data Angt'!$A$5:$H$5810,8,FALSE)</f>
        <v>Karyawan</v>
      </c>
      <c r="Y1355" s="5" t="str">
        <f>VLOOKUP(T1355,'Data Angt'!$A$5:$C$5808,3,FALSE)</f>
        <v>BWI</v>
      </c>
    </row>
    <row r="1356" spans="1:25" x14ac:dyDescent="0.3">
      <c r="A1356" s="8">
        <v>1350</v>
      </c>
      <c r="B1356" s="9" t="s">
        <v>1837</v>
      </c>
      <c r="C1356" s="10" t="str">
        <f>VLOOKUP(B1356,'Data Angt'!$A$5:$B$5809,2,FALSE)</f>
        <v>A740</v>
      </c>
      <c r="D1356" s="11" t="s">
        <v>9829</v>
      </c>
      <c r="E1356" s="12" t="s">
        <v>10497</v>
      </c>
      <c r="F1356" s="13">
        <v>41598</v>
      </c>
      <c r="G1356" s="14">
        <v>44237</v>
      </c>
      <c r="H1356" s="15">
        <v>25000000</v>
      </c>
      <c r="I1356" s="16">
        <v>60</v>
      </c>
      <c r="J1356" s="17">
        <v>11.88</v>
      </c>
      <c r="K1356" s="9" t="s">
        <v>9867</v>
      </c>
      <c r="L1356" s="10"/>
      <c r="M1356" s="9"/>
      <c r="N1356" s="10"/>
      <c r="O1356" s="15">
        <v>14999200</v>
      </c>
      <c r="P1356" s="145">
        <v>3141937</v>
      </c>
      <c r="Q1356" s="9"/>
      <c r="R1356" s="146"/>
      <c r="T1356" s="92" t="s">
        <v>12589</v>
      </c>
      <c r="U1356">
        <v>1</v>
      </c>
      <c r="V1356">
        <f>VLOOKUP(T1356,'Data Angt'!$A$5:$F$5810,6,FALSE)</f>
        <v>35</v>
      </c>
      <c r="W1356" s="5" t="str">
        <f t="shared" si="21"/>
        <v>KONSUMTIF</v>
      </c>
      <c r="X1356" s="5" t="str">
        <f>VLOOKUP(T1356,'Data Angt'!$A$5:$H$5810,8,FALSE)</f>
        <v>Mengurus Rumah Tangga</v>
      </c>
      <c r="Y1356" s="5" t="str">
        <f>VLOOKUP(T1356,'Data Angt'!$A$5:$C$5808,3,FALSE)</f>
        <v>BWI</v>
      </c>
    </row>
    <row r="1357" spans="1:25" x14ac:dyDescent="0.3">
      <c r="A1357" s="8">
        <v>1351</v>
      </c>
      <c r="B1357" s="9" t="s">
        <v>1839</v>
      </c>
      <c r="C1357" s="10" t="str">
        <f>VLOOKUP(B1357,'Data Angt'!$A$5:$B$5809,2,FALSE)</f>
        <v>A741</v>
      </c>
      <c r="D1357" s="11" t="s">
        <v>9826</v>
      </c>
      <c r="E1357" s="12" t="s">
        <v>17229</v>
      </c>
      <c r="F1357" s="13">
        <v>45818</v>
      </c>
      <c r="G1357" s="14">
        <v>45902</v>
      </c>
      <c r="H1357" s="15">
        <v>11300000</v>
      </c>
      <c r="I1357" s="16">
        <v>24</v>
      </c>
      <c r="J1357" s="17">
        <v>11.6</v>
      </c>
      <c r="K1357" s="9" t="s">
        <v>9831</v>
      </c>
      <c r="L1357" s="10" t="s">
        <v>17230</v>
      </c>
      <c r="M1357" s="9" t="s">
        <v>9841</v>
      </c>
      <c r="N1357" s="10" t="s">
        <v>17</v>
      </c>
      <c r="O1357" s="15">
        <v>10025900</v>
      </c>
      <c r="P1357" s="145">
        <v>118349</v>
      </c>
      <c r="Q1357" s="9"/>
      <c r="R1357" s="146"/>
      <c r="T1357" s="92" t="s">
        <v>9035</v>
      </c>
      <c r="U1357">
        <v>1</v>
      </c>
      <c r="V1357">
        <f>VLOOKUP(T1357,'Data Angt'!$A$5:$F$5810,6,FALSE)</f>
        <v>29</v>
      </c>
      <c r="W1357" s="5" t="str">
        <f t="shared" si="21"/>
        <v>KONSUMTIF</v>
      </c>
      <c r="X1357" s="5" t="str">
        <f>VLOOKUP(T1357,'Data Angt'!$A$5:$H$5810,8,FALSE)</f>
        <v>Karyawan</v>
      </c>
      <c r="Y1357" s="5" t="str">
        <f>VLOOKUP(T1357,'Data Angt'!$A$5:$C$5808,3,FALSE)</f>
        <v>BWI</v>
      </c>
    </row>
    <row r="1358" spans="1:25" x14ac:dyDescent="0.3">
      <c r="A1358" s="8">
        <v>1352</v>
      </c>
      <c r="B1358" s="9" t="s">
        <v>1841</v>
      </c>
      <c r="C1358" s="10" t="str">
        <f>VLOOKUP(B1358,'Data Angt'!$A$5:$B$5809,2,FALSE)</f>
        <v>A743</v>
      </c>
      <c r="D1358" s="11" t="s">
        <v>9829</v>
      </c>
      <c r="E1358" s="12" t="s">
        <v>17231</v>
      </c>
      <c r="F1358" s="13">
        <v>45785</v>
      </c>
      <c r="G1358" s="14">
        <v>45922</v>
      </c>
      <c r="H1358" s="15">
        <v>8000000</v>
      </c>
      <c r="I1358" s="16">
        <v>8</v>
      </c>
      <c r="J1358" s="17">
        <v>24</v>
      </c>
      <c r="K1358" s="9" t="s">
        <v>9827</v>
      </c>
      <c r="L1358" s="10" t="s">
        <v>17232</v>
      </c>
      <c r="M1358" s="9" t="s">
        <v>17233</v>
      </c>
      <c r="N1358" s="10" t="s">
        <v>9828</v>
      </c>
      <c r="O1358" s="15">
        <v>4000000</v>
      </c>
      <c r="P1358" s="145">
        <v>195000</v>
      </c>
      <c r="Q1358" s="9"/>
      <c r="R1358" s="146"/>
      <c r="T1358" s="92" t="s">
        <v>9038</v>
      </c>
      <c r="U1358">
        <v>1</v>
      </c>
      <c r="V1358">
        <f>VLOOKUP(T1358,'Data Angt'!$A$5:$F$5810,6,FALSE)</f>
        <v>30</v>
      </c>
      <c r="W1358" s="5" t="str">
        <f t="shared" si="21"/>
        <v>PRODUKTIF</v>
      </c>
      <c r="X1358" s="5" t="str">
        <f>VLOOKUP(T1358,'Data Angt'!$A$5:$H$5810,8,FALSE)</f>
        <v>Mengurus Rumah Tangga</v>
      </c>
      <c r="Y1358" s="5" t="str">
        <f>VLOOKUP(T1358,'Data Angt'!$A$5:$C$5808,3,FALSE)</f>
        <v>BWI</v>
      </c>
    </row>
    <row r="1359" spans="1:25" x14ac:dyDescent="0.3">
      <c r="A1359" s="8">
        <v>1353</v>
      </c>
      <c r="B1359" s="9" t="s">
        <v>1844</v>
      </c>
      <c r="C1359" s="10" t="str">
        <f>VLOOKUP(B1359,'Data Angt'!$A$5:$B$5809,2,FALSE)</f>
        <v>A744</v>
      </c>
      <c r="D1359" s="11" t="s">
        <v>9833</v>
      </c>
      <c r="E1359" s="12" t="s">
        <v>23517</v>
      </c>
      <c r="F1359" s="13">
        <v>45925</v>
      </c>
      <c r="G1359" s="14">
        <v>45925</v>
      </c>
      <c r="H1359" s="15">
        <v>6500000</v>
      </c>
      <c r="I1359" s="16">
        <v>24</v>
      </c>
      <c r="J1359" s="17">
        <v>24</v>
      </c>
      <c r="K1359" s="9" t="s">
        <v>9827</v>
      </c>
      <c r="L1359" s="10" t="s">
        <v>23518</v>
      </c>
      <c r="M1359" s="9" t="s">
        <v>23519</v>
      </c>
      <c r="N1359" s="10" t="s">
        <v>9834</v>
      </c>
      <c r="O1359" s="15">
        <v>6500000</v>
      </c>
      <c r="P1359" s="147">
        <v>0</v>
      </c>
      <c r="Q1359" s="9"/>
      <c r="R1359" s="146"/>
      <c r="T1359" s="92" t="s">
        <v>9040</v>
      </c>
      <c r="U1359">
        <v>1</v>
      </c>
      <c r="V1359">
        <f>VLOOKUP(T1359,'Data Angt'!$A$5:$F$5810,6,FALSE)</f>
        <v>25</v>
      </c>
      <c r="W1359" s="5" t="str">
        <f t="shared" si="21"/>
        <v>PRODUKTIF</v>
      </c>
      <c r="X1359" s="5" t="str">
        <f>VLOOKUP(T1359,'Data Angt'!$A$5:$H$5810,8,FALSE)</f>
        <v>Karyawan</v>
      </c>
      <c r="Y1359" s="5" t="str">
        <f>VLOOKUP(T1359,'Data Angt'!$A$5:$C$5808,3,FALSE)</f>
        <v>BWI</v>
      </c>
    </row>
    <row r="1360" spans="1:25" x14ac:dyDescent="0.3">
      <c r="A1360" s="8">
        <v>1354</v>
      </c>
      <c r="B1360" s="9" t="s">
        <v>1851</v>
      </c>
      <c r="C1360" s="10" t="str">
        <f>VLOOKUP(B1360,'Data Angt'!$A$5:$B$5809,2,FALSE)</f>
        <v>A747</v>
      </c>
      <c r="D1360" s="11" t="s">
        <v>9829</v>
      </c>
      <c r="E1360" s="12" t="s">
        <v>10499</v>
      </c>
      <c r="F1360" s="13">
        <v>44994</v>
      </c>
      <c r="G1360" s="14">
        <v>45901</v>
      </c>
      <c r="H1360" s="15">
        <v>25000000</v>
      </c>
      <c r="I1360" s="16">
        <v>36</v>
      </c>
      <c r="J1360" s="17">
        <v>21</v>
      </c>
      <c r="K1360" s="9" t="s">
        <v>9827</v>
      </c>
      <c r="L1360" s="10" t="s">
        <v>10500</v>
      </c>
      <c r="M1360" s="9" t="s">
        <v>2150</v>
      </c>
      <c r="N1360" s="10" t="s">
        <v>9828</v>
      </c>
      <c r="O1360" s="15">
        <v>4165000</v>
      </c>
      <c r="P1360" s="145">
        <v>2939843</v>
      </c>
      <c r="Q1360" s="9"/>
      <c r="R1360" s="146"/>
      <c r="T1360" s="92" t="s">
        <v>9046</v>
      </c>
      <c r="U1360">
        <v>1</v>
      </c>
      <c r="V1360">
        <f>VLOOKUP(T1360,'Data Angt'!$A$5:$F$5810,6,FALSE)</f>
        <v>61</v>
      </c>
      <c r="W1360" s="5" t="str">
        <f t="shared" si="21"/>
        <v>PRODUKTIF</v>
      </c>
      <c r="X1360" s="5" t="str">
        <f>VLOOKUP(T1360,'Data Angt'!$A$5:$H$5810,8,FALSE)</f>
        <v>Wiraswasta</v>
      </c>
      <c r="Y1360" s="5" t="str">
        <f>VLOOKUP(T1360,'Data Angt'!$A$5:$C$5808,3,FALSE)</f>
        <v>BWI</v>
      </c>
    </row>
    <row r="1361" spans="1:25" x14ac:dyDescent="0.3">
      <c r="A1361" s="8">
        <v>1355</v>
      </c>
      <c r="B1361" s="9" t="s">
        <v>1855</v>
      </c>
      <c r="C1361" s="10" t="str">
        <f>VLOOKUP(B1361,'Data Angt'!$A$5:$B$5809,2,FALSE)</f>
        <v>A748</v>
      </c>
      <c r="D1361" s="11" t="s">
        <v>9826</v>
      </c>
      <c r="E1361" s="12" t="s">
        <v>17234</v>
      </c>
      <c r="F1361" s="13">
        <v>45402</v>
      </c>
      <c r="G1361" s="14">
        <v>45920</v>
      </c>
      <c r="H1361" s="15">
        <v>14000000</v>
      </c>
      <c r="I1361" s="16">
        <v>24</v>
      </c>
      <c r="J1361" s="17">
        <v>11.64</v>
      </c>
      <c r="K1361" s="9" t="s">
        <v>9831</v>
      </c>
      <c r="L1361" s="10" t="s">
        <v>17235</v>
      </c>
      <c r="M1361" s="9" t="s">
        <v>17236</v>
      </c>
      <c r="N1361" s="10" t="s">
        <v>9830</v>
      </c>
      <c r="O1361" s="15">
        <v>4423900</v>
      </c>
      <c r="P1361" s="145">
        <v>595420</v>
      </c>
      <c r="Q1361" s="9"/>
      <c r="R1361" s="146"/>
      <c r="T1361" s="92" t="s">
        <v>9050</v>
      </c>
      <c r="U1361">
        <v>1</v>
      </c>
      <c r="V1361">
        <f>VLOOKUP(T1361,'Data Angt'!$A$5:$F$5810,6,FALSE)</f>
        <v>28</v>
      </c>
      <c r="W1361" s="5" t="str">
        <f t="shared" si="21"/>
        <v>PRODUKTIF</v>
      </c>
      <c r="X1361" s="5" t="str">
        <f>VLOOKUP(T1361,'Data Angt'!$A$5:$H$5810,8,FALSE)</f>
        <v>Tenaga Pengajar</v>
      </c>
      <c r="Y1361" s="5" t="str">
        <f>VLOOKUP(T1361,'Data Angt'!$A$5:$C$5808,3,FALSE)</f>
        <v>BWI</v>
      </c>
    </row>
    <row r="1362" spans="1:25" x14ac:dyDescent="0.3">
      <c r="A1362" s="8">
        <v>1356</v>
      </c>
      <c r="B1362" s="9" t="s">
        <v>1857</v>
      </c>
      <c r="C1362" s="10" t="str">
        <f>VLOOKUP(B1362,'Data Angt'!$A$5:$B$5809,2,FALSE)</f>
        <v>A749</v>
      </c>
      <c r="D1362" s="11" t="s">
        <v>9829</v>
      </c>
      <c r="E1362" s="12" t="s">
        <v>17237</v>
      </c>
      <c r="F1362" s="13">
        <v>45563</v>
      </c>
      <c r="G1362" s="14">
        <v>45794</v>
      </c>
      <c r="H1362" s="15">
        <v>118676100</v>
      </c>
      <c r="I1362" s="16">
        <v>72</v>
      </c>
      <c r="J1362" s="17">
        <v>21</v>
      </c>
      <c r="K1362" s="9" t="s">
        <v>9831</v>
      </c>
      <c r="L1362" s="10" t="s">
        <v>17238</v>
      </c>
      <c r="M1362" s="9" t="s">
        <v>9941</v>
      </c>
      <c r="N1362" s="10" t="s">
        <v>9828</v>
      </c>
      <c r="O1362" s="15">
        <v>114190000</v>
      </c>
      <c r="P1362" s="145">
        <v>4972348</v>
      </c>
      <c r="Q1362" s="9" t="s">
        <v>23520</v>
      </c>
      <c r="R1362" s="146" t="s">
        <v>23521</v>
      </c>
      <c r="T1362" s="92" t="s">
        <v>9052</v>
      </c>
      <c r="U1362">
        <v>1</v>
      </c>
      <c r="V1362">
        <f>VLOOKUP(T1362,'Data Angt'!$A$5:$F$5810,6,FALSE)</f>
        <v>28</v>
      </c>
      <c r="W1362" s="5" t="str">
        <f t="shared" si="21"/>
        <v>PRODUKTIF</v>
      </c>
      <c r="X1362" s="5" t="str">
        <f>VLOOKUP(T1362,'Data Angt'!$A$5:$H$5810,8,FALSE)</f>
        <v>Tenaga Pengajar</v>
      </c>
      <c r="Y1362" s="5" t="str">
        <f>VLOOKUP(T1362,'Data Angt'!$A$5:$C$5808,3,FALSE)</f>
        <v>BWI</v>
      </c>
    </row>
    <row r="1363" spans="1:25" x14ac:dyDescent="0.3">
      <c r="A1363" s="8">
        <v>1357</v>
      </c>
      <c r="B1363" s="9" t="s">
        <v>1864</v>
      </c>
      <c r="C1363" s="10" t="str">
        <f>VLOOKUP(B1363,'Data Angt'!$A$5:$B$5809,2,FALSE)</f>
        <v>A751</v>
      </c>
      <c r="D1363" s="11" t="s">
        <v>9826</v>
      </c>
      <c r="E1363" s="12" t="s">
        <v>17239</v>
      </c>
      <c r="F1363" s="13">
        <v>45646</v>
      </c>
      <c r="G1363" s="14">
        <v>45904</v>
      </c>
      <c r="H1363" s="15">
        <v>6500000</v>
      </c>
      <c r="I1363" s="16">
        <v>12</v>
      </c>
      <c r="J1363" s="17">
        <v>11.9</v>
      </c>
      <c r="K1363" s="9" t="s">
        <v>9831</v>
      </c>
      <c r="L1363" s="10" t="s">
        <v>17240</v>
      </c>
      <c r="M1363" s="9" t="s">
        <v>17241</v>
      </c>
      <c r="N1363" s="10" t="s">
        <v>9828</v>
      </c>
      <c r="O1363" s="15">
        <v>1697500</v>
      </c>
      <c r="P1363" s="145">
        <v>147448</v>
      </c>
      <c r="Q1363" s="9"/>
      <c r="R1363" s="146"/>
      <c r="T1363" s="92" t="s">
        <v>9054</v>
      </c>
      <c r="U1363">
        <v>1</v>
      </c>
      <c r="V1363">
        <f>VLOOKUP(T1363,'Data Angt'!$A$5:$F$5810,6,FALSE)</f>
        <v>33</v>
      </c>
      <c r="W1363" s="5" t="str">
        <f t="shared" si="21"/>
        <v>PENDIDIKAN</v>
      </c>
      <c r="X1363" s="5" t="str">
        <f>VLOOKUP(T1363,'Data Angt'!$A$5:$H$5810,8,FALSE)</f>
        <v>Tenaga Pengajar</v>
      </c>
      <c r="Y1363" s="5" t="str">
        <f>VLOOKUP(T1363,'Data Angt'!$A$5:$C$5808,3,FALSE)</f>
        <v>BWI</v>
      </c>
    </row>
    <row r="1364" spans="1:25" x14ac:dyDescent="0.3">
      <c r="A1364" s="8">
        <v>1358</v>
      </c>
      <c r="B1364" s="9" t="s">
        <v>1882</v>
      </c>
      <c r="C1364" s="10" t="str">
        <f>VLOOKUP(B1364,'Data Angt'!$A$5:$B$5809,2,FALSE)</f>
        <v>A761</v>
      </c>
      <c r="D1364" s="11" t="s">
        <v>9829</v>
      </c>
      <c r="E1364" s="12" t="s">
        <v>10501</v>
      </c>
      <c r="F1364" s="13">
        <v>41059</v>
      </c>
      <c r="G1364" s="14">
        <v>45869</v>
      </c>
      <c r="H1364" s="15">
        <v>21000000</v>
      </c>
      <c r="I1364" s="16">
        <v>36</v>
      </c>
      <c r="J1364" s="17">
        <v>14.4</v>
      </c>
      <c r="K1364" s="9" t="s">
        <v>9867</v>
      </c>
      <c r="L1364" s="10"/>
      <c r="M1364" s="9"/>
      <c r="N1364" s="10"/>
      <c r="O1364" s="15">
        <v>12746200</v>
      </c>
      <c r="P1364" s="145">
        <v>4905375</v>
      </c>
      <c r="Q1364" s="9"/>
      <c r="R1364" s="146"/>
      <c r="T1364" s="92" t="s">
        <v>9090</v>
      </c>
      <c r="U1364">
        <v>1</v>
      </c>
      <c r="V1364">
        <f>VLOOKUP(T1364,'Data Angt'!$A$5:$F$5810,6,FALSE)</f>
        <v>30</v>
      </c>
      <c r="W1364" s="5" t="str">
        <f t="shared" si="21"/>
        <v>KONSUMTIF</v>
      </c>
      <c r="X1364" s="5" t="str">
        <f>VLOOKUP(T1364,'Data Angt'!$A$5:$H$5810,8,FALSE)</f>
        <v>Mengurus Rumah Tangga</v>
      </c>
      <c r="Y1364" s="5" t="str">
        <f>VLOOKUP(T1364,'Data Angt'!$A$5:$C$5808,3,FALSE)</f>
        <v>BWI</v>
      </c>
    </row>
    <row r="1365" spans="1:25" x14ac:dyDescent="0.3">
      <c r="A1365" s="8">
        <v>1359</v>
      </c>
      <c r="B1365" s="9" t="s">
        <v>1887</v>
      </c>
      <c r="C1365" s="10" t="str">
        <f>VLOOKUP(B1365,'Data Angt'!$A$5:$B$5809,2,FALSE)</f>
        <v>A763</v>
      </c>
      <c r="D1365" s="11" t="s">
        <v>9829</v>
      </c>
      <c r="E1365" s="12" t="s">
        <v>10502</v>
      </c>
      <c r="F1365" s="13">
        <v>39376</v>
      </c>
      <c r="G1365" s="14">
        <v>44237</v>
      </c>
      <c r="H1365" s="15">
        <v>21218000</v>
      </c>
      <c r="I1365" s="16">
        <v>48</v>
      </c>
      <c r="J1365" s="17">
        <v>24</v>
      </c>
      <c r="K1365" s="9" t="s">
        <v>9827</v>
      </c>
      <c r="L1365" s="10"/>
      <c r="M1365" s="9"/>
      <c r="N1365" s="10"/>
      <c r="O1365" s="15">
        <v>8173100</v>
      </c>
      <c r="P1365" s="145">
        <v>1420875</v>
      </c>
      <c r="Q1365" s="9"/>
      <c r="R1365" s="146"/>
      <c r="T1365" s="92" t="s">
        <v>9145</v>
      </c>
      <c r="U1365">
        <v>1</v>
      </c>
      <c r="V1365">
        <f>VLOOKUP(T1365,'Data Angt'!$A$5:$F$5810,6,FALSE)</f>
        <v>50</v>
      </c>
      <c r="W1365" s="5" t="str">
        <f t="shared" si="21"/>
        <v>PRODUKTIF</v>
      </c>
      <c r="X1365" s="5" t="str">
        <f>VLOOKUP(T1365,'Data Angt'!$A$5:$H$5810,8,FALSE)</f>
        <v>Wiraswasta</v>
      </c>
      <c r="Y1365" s="5" t="str">
        <f>VLOOKUP(T1365,'Data Angt'!$A$5:$C$5808,3,FALSE)</f>
        <v>BWI</v>
      </c>
    </row>
    <row r="1366" spans="1:25" x14ac:dyDescent="0.3">
      <c r="A1366" s="8">
        <v>1360</v>
      </c>
      <c r="B1366" s="9" t="s">
        <v>1993</v>
      </c>
      <c r="C1366" s="10" t="str">
        <f>VLOOKUP(B1366,'Data Angt'!$A$5:$B$5809,2,FALSE)</f>
        <v>A814</v>
      </c>
      <c r="D1366" s="11" t="s">
        <v>9829</v>
      </c>
      <c r="E1366" s="12" t="s">
        <v>17242</v>
      </c>
      <c r="F1366" s="13">
        <v>45826</v>
      </c>
      <c r="G1366" s="14">
        <v>45918</v>
      </c>
      <c r="H1366" s="15">
        <v>31500000</v>
      </c>
      <c r="I1366" s="16">
        <v>48</v>
      </c>
      <c r="J1366" s="17">
        <v>21</v>
      </c>
      <c r="K1366" s="9" t="s">
        <v>9831</v>
      </c>
      <c r="L1366" s="10" t="s">
        <v>17243</v>
      </c>
      <c r="M1366" s="9" t="s">
        <v>10727</v>
      </c>
      <c r="N1366" s="10" t="s">
        <v>9828</v>
      </c>
      <c r="O1366" s="15">
        <v>30205000</v>
      </c>
      <c r="P1366" s="145">
        <v>611811</v>
      </c>
      <c r="Q1366" s="9" t="s">
        <v>23304</v>
      </c>
      <c r="R1366" s="146" t="s">
        <v>23522</v>
      </c>
      <c r="T1366" s="92" t="s">
        <v>9155</v>
      </c>
      <c r="U1366">
        <v>1</v>
      </c>
      <c r="V1366">
        <f>VLOOKUP(T1366,'Data Angt'!$A$5:$F$5810,6,FALSE)</f>
        <v>37</v>
      </c>
      <c r="W1366" s="5" t="str">
        <f t="shared" si="21"/>
        <v>PRODUKTIF</v>
      </c>
      <c r="X1366" s="5" t="str">
        <f>VLOOKUP(T1366,'Data Angt'!$A$5:$H$5810,8,FALSE)</f>
        <v>Wiraswasta</v>
      </c>
      <c r="Y1366" s="5" t="str">
        <f>VLOOKUP(T1366,'Data Angt'!$A$5:$C$5808,3,FALSE)</f>
        <v>BWI</v>
      </c>
    </row>
    <row r="1367" spans="1:25" x14ac:dyDescent="0.3">
      <c r="A1367" s="8">
        <v>1361</v>
      </c>
      <c r="B1367" s="9" t="s">
        <v>2021</v>
      </c>
      <c r="C1367" s="10" t="str">
        <f>VLOOKUP(B1367,'Data Angt'!$A$5:$B$5809,2,FALSE)</f>
        <v>A829</v>
      </c>
      <c r="D1367" s="11" t="s">
        <v>9826</v>
      </c>
      <c r="E1367" s="12" t="s">
        <v>17244</v>
      </c>
      <c r="F1367" s="13">
        <v>45828</v>
      </c>
      <c r="G1367" s="14">
        <v>45904</v>
      </c>
      <c r="H1367" s="15">
        <v>5000000</v>
      </c>
      <c r="I1367" s="16">
        <v>10</v>
      </c>
      <c r="J1367" s="17">
        <v>24</v>
      </c>
      <c r="K1367" s="9" t="s">
        <v>9827</v>
      </c>
      <c r="L1367" s="10" t="s">
        <v>17245</v>
      </c>
      <c r="M1367" s="9" t="s">
        <v>17246</v>
      </c>
      <c r="N1367" s="10" t="s">
        <v>9828</v>
      </c>
      <c r="O1367" s="15">
        <v>3500000</v>
      </c>
      <c r="P1367" s="145">
        <v>101250</v>
      </c>
      <c r="Q1367" s="9"/>
      <c r="R1367" s="146"/>
      <c r="T1367" s="92" t="s">
        <v>9209</v>
      </c>
      <c r="U1367">
        <v>1</v>
      </c>
      <c r="V1367">
        <f>VLOOKUP(T1367,'Data Angt'!$A$5:$F$5810,6,FALSE)</f>
        <v>51</v>
      </c>
      <c r="W1367" s="5" t="str">
        <f t="shared" si="21"/>
        <v>PENDIDIKAN</v>
      </c>
      <c r="X1367" s="5" t="str">
        <f>VLOOKUP(T1367,'Data Angt'!$A$5:$H$5810,8,FALSE)</f>
        <v>Aparatur/Pejabat Negara</v>
      </c>
      <c r="Y1367" s="5" t="str">
        <f>VLOOKUP(T1367,'Data Angt'!$A$5:$C$5808,3,FALSE)</f>
        <v>BWI</v>
      </c>
    </row>
    <row r="1368" spans="1:25" x14ac:dyDescent="0.3">
      <c r="A1368" s="8">
        <v>1362</v>
      </c>
      <c r="B1368" s="9" t="s">
        <v>2021</v>
      </c>
      <c r="C1368" s="10" t="str">
        <f>VLOOKUP(B1368,'Data Angt'!$A$5:$B$5809,2,FALSE)</f>
        <v>A829</v>
      </c>
      <c r="D1368" s="11" t="s">
        <v>9829</v>
      </c>
      <c r="E1368" s="12" t="s">
        <v>23523</v>
      </c>
      <c r="F1368" s="13">
        <v>45920</v>
      </c>
      <c r="G1368" s="14">
        <v>45920</v>
      </c>
      <c r="H1368" s="15">
        <v>60000000</v>
      </c>
      <c r="I1368" s="16">
        <v>48</v>
      </c>
      <c r="J1368" s="17">
        <v>21</v>
      </c>
      <c r="K1368" s="9" t="s">
        <v>9827</v>
      </c>
      <c r="L1368" s="10" t="s">
        <v>23524</v>
      </c>
      <c r="M1368" s="9" t="s">
        <v>17246</v>
      </c>
      <c r="N1368" s="10" t="s">
        <v>9828</v>
      </c>
      <c r="O1368" s="15">
        <v>60000000</v>
      </c>
      <c r="P1368" s="147">
        <v>0</v>
      </c>
      <c r="Q1368" s="9"/>
      <c r="R1368" s="146"/>
      <c r="T1368" s="92" t="s">
        <v>9213</v>
      </c>
      <c r="U1368">
        <v>1</v>
      </c>
      <c r="V1368">
        <f>VLOOKUP(T1368,'Data Angt'!$A$5:$F$5810,6,FALSE)</f>
        <v>31</v>
      </c>
      <c r="W1368" s="5" t="str">
        <f t="shared" si="21"/>
        <v>KONSUMTIF</v>
      </c>
      <c r="X1368" s="5" t="str">
        <f>VLOOKUP(T1368,'Data Angt'!$A$5:$H$5810,8,FALSE)</f>
        <v>Karyawan</v>
      </c>
      <c r="Y1368" s="5" t="str">
        <f>VLOOKUP(T1368,'Data Angt'!$A$5:$C$5808,3,FALSE)</f>
        <v>BWI</v>
      </c>
    </row>
    <row r="1369" spans="1:25" x14ac:dyDescent="0.3">
      <c r="A1369" s="8">
        <v>1363</v>
      </c>
      <c r="B1369" s="9" t="s">
        <v>2164</v>
      </c>
      <c r="C1369" s="10" t="str">
        <f>VLOOKUP(B1369,'Data Angt'!$A$5:$B$5809,2,FALSE)</f>
        <v>A897</v>
      </c>
      <c r="D1369" s="11" t="s">
        <v>9833</v>
      </c>
      <c r="E1369" s="12" t="s">
        <v>17247</v>
      </c>
      <c r="F1369" s="13">
        <v>45709</v>
      </c>
      <c r="G1369" s="14">
        <v>45904</v>
      </c>
      <c r="H1369" s="15">
        <v>10000000</v>
      </c>
      <c r="I1369" s="16">
        <v>10</v>
      </c>
      <c r="J1369" s="17">
        <v>24</v>
      </c>
      <c r="K1369" s="9" t="s">
        <v>9827</v>
      </c>
      <c r="L1369" s="10" t="s">
        <v>17248</v>
      </c>
      <c r="M1369" s="9" t="s">
        <v>17249</v>
      </c>
      <c r="N1369" s="10" t="s">
        <v>9834</v>
      </c>
      <c r="O1369" s="15">
        <v>3000000</v>
      </c>
      <c r="P1369" s="145">
        <v>367500</v>
      </c>
      <c r="Q1369" s="9" t="s">
        <v>23304</v>
      </c>
      <c r="R1369" s="146" t="s">
        <v>23525</v>
      </c>
      <c r="T1369" s="92" t="s">
        <v>9281</v>
      </c>
      <c r="U1369">
        <v>1</v>
      </c>
      <c r="V1369">
        <f>VLOOKUP(T1369,'Data Angt'!$A$5:$F$5810,6,FALSE)</f>
        <v>39</v>
      </c>
      <c r="W1369" s="5" t="str">
        <f t="shared" si="21"/>
        <v>PENDIDIKAN</v>
      </c>
      <c r="X1369" s="5" t="str">
        <f>VLOOKUP(T1369,'Data Angt'!$A$5:$H$5810,8,FALSE)</f>
        <v>Tenaga Pengajar</v>
      </c>
      <c r="Y1369" s="5" t="str">
        <f>VLOOKUP(T1369,'Data Angt'!$A$5:$C$5808,3,FALSE)</f>
        <v>BWI</v>
      </c>
    </row>
    <row r="1370" spans="1:25" x14ac:dyDescent="0.3">
      <c r="A1370" s="8">
        <v>1364</v>
      </c>
      <c r="B1370" s="9" t="s">
        <v>2164</v>
      </c>
      <c r="C1370" s="10" t="str">
        <f>VLOOKUP(B1370,'Data Angt'!$A$5:$B$5809,2,FALSE)</f>
        <v>A897</v>
      </c>
      <c r="D1370" s="11" t="s">
        <v>9826</v>
      </c>
      <c r="E1370" s="12" t="s">
        <v>17250</v>
      </c>
      <c r="F1370" s="13">
        <v>45678</v>
      </c>
      <c r="G1370" s="14">
        <v>45929</v>
      </c>
      <c r="H1370" s="15">
        <v>5000000</v>
      </c>
      <c r="I1370" s="16">
        <v>12</v>
      </c>
      <c r="J1370" s="17">
        <v>11.88</v>
      </c>
      <c r="K1370" s="9" t="s">
        <v>9831</v>
      </c>
      <c r="L1370" s="10" t="s">
        <v>17251</v>
      </c>
      <c r="M1370" s="9" t="s">
        <v>9838</v>
      </c>
      <c r="N1370" s="10" t="s">
        <v>9828</v>
      </c>
      <c r="O1370" s="15">
        <v>1732700</v>
      </c>
      <c r="P1370" s="145">
        <v>106760</v>
      </c>
      <c r="Q1370" s="9"/>
      <c r="R1370" s="146"/>
      <c r="T1370" s="92" t="s">
        <v>9287</v>
      </c>
      <c r="U1370">
        <v>1</v>
      </c>
      <c r="V1370">
        <f>VLOOKUP(T1370,'Data Angt'!$A$5:$F$5810,6,FALSE)</f>
        <v>48</v>
      </c>
      <c r="W1370" s="5" t="str">
        <f t="shared" si="21"/>
        <v>PENDIDIKAN</v>
      </c>
      <c r="X1370" s="5" t="str">
        <f>VLOOKUP(T1370,'Data Angt'!$A$5:$H$5810,8,FALSE)</f>
        <v>Wiraswasta</v>
      </c>
      <c r="Y1370" s="5" t="str">
        <f>VLOOKUP(T1370,'Data Angt'!$A$5:$C$5808,3,FALSE)</f>
        <v>BWI</v>
      </c>
    </row>
    <row r="1371" spans="1:25" x14ac:dyDescent="0.3">
      <c r="A1371" s="8">
        <v>1365</v>
      </c>
      <c r="B1371" s="9" t="s">
        <v>2291</v>
      </c>
      <c r="C1371" s="10" t="str">
        <f>VLOOKUP(B1371,'Data Angt'!$A$5:$B$5809,2,FALSE)</f>
        <v>A953</v>
      </c>
      <c r="D1371" s="11" t="s">
        <v>9833</v>
      </c>
      <c r="E1371" s="12" t="s">
        <v>17252</v>
      </c>
      <c r="F1371" s="13">
        <v>45772</v>
      </c>
      <c r="G1371" s="14">
        <v>45913</v>
      </c>
      <c r="H1371" s="15">
        <v>5000000</v>
      </c>
      <c r="I1371" s="16">
        <v>24</v>
      </c>
      <c r="J1371" s="17">
        <v>24</v>
      </c>
      <c r="K1371" s="9" t="s">
        <v>9831</v>
      </c>
      <c r="L1371" s="10" t="s">
        <v>17253</v>
      </c>
      <c r="M1371" s="9" t="s">
        <v>9962</v>
      </c>
      <c r="N1371" s="10" t="s">
        <v>9834</v>
      </c>
      <c r="O1371" s="15">
        <v>4144700</v>
      </c>
      <c r="P1371" s="145">
        <v>175012</v>
      </c>
      <c r="Q1371" s="9"/>
      <c r="R1371" s="146"/>
      <c r="T1371" s="92" t="s">
        <v>9321</v>
      </c>
      <c r="U1371">
        <v>1</v>
      </c>
      <c r="V1371">
        <f>VLOOKUP(T1371,'Data Angt'!$A$5:$F$5810,6,FALSE)</f>
        <v>58</v>
      </c>
      <c r="W1371" s="5" t="str">
        <f t="shared" si="21"/>
        <v>PENDIDIKAN</v>
      </c>
      <c r="X1371" s="5" t="str">
        <f>VLOOKUP(T1371,'Data Angt'!$A$5:$H$5810,8,FALSE)</f>
        <v>Wiraswasta</v>
      </c>
      <c r="Y1371" s="5" t="str">
        <f>VLOOKUP(T1371,'Data Angt'!$A$5:$C$5808,3,FALSE)</f>
        <v>BWI</v>
      </c>
    </row>
    <row r="1372" spans="1:25" x14ac:dyDescent="0.3">
      <c r="A1372" s="8">
        <v>1366</v>
      </c>
      <c r="B1372" s="9" t="s">
        <v>2597</v>
      </c>
      <c r="C1372" s="10" t="str">
        <f>VLOOKUP(B1372,'Data Angt'!$A$5:$B$5809,2,FALSE)</f>
        <v>A1085</v>
      </c>
      <c r="D1372" s="11" t="s">
        <v>9833</v>
      </c>
      <c r="E1372" s="12" t="s">
        <v>23526</v>
      </c>
      <c r="F1372" s="13">
        <v>45915</v>
      </c>
      <c r="G1372" s="14">
        <v>45915</v>
      </c>
      <c r="H1372" s="15">
        <v>3000000</v>
      </c>
      <c r="I1372" s="16">
        <v>24</v>
      </c>
      <c r="J1372" s="17">
        <v>24</v>
      </c>
      <c r="K1372" s="9" t="s">
        <v>9827</v>
      </c>
      <c r="L1372" s="10" t="s">
        <v>23527</v>
      </c>
      <c r="M1372" s="9" t="s">
        <v>23528</v>
      </c>
      <c r="N1372" s="10" t="s">
        <v>9834</v>
      </c>
      <c r="O1372" s="15">
        <v>3000000</v>
      </c>
      <c r="P1372" s="147">
        <v>0</v>
      </c>
      <c r="Q1372" s="9"/>
      <c r="R1372" s="146"/>
      <c r="T1372" s="92" t="s">
        <v>9322</v>
      </c>
      <c r="U1372">
        <v>1</v>
      </c>
      <c r="V1372">
        <f>VLOOKUP(T1372,'Data Angt'!$A$5:$F$5810,6,FALSE)</f>
        <v>40</v>
      </c>
      <c r="W1372" s="5" t="str">
        <f t="shared" si="21"/>
        <v>PRODUKTIF</v>
      </c>
      <c r="X1372" s="5" t="str">
        <f>VLOOKUP(T1372,'Data Angt'!$A$5:$H$5810,8,FALSE)</f>
        <v>Wiraswasta</v>
      </c>
      <c r="Y1372" s="5" t="str">
        <f>VLOOKUP(T1372,'Data Angt'!$A$5:$C$5808,3,FALSE)</f>
        <v>BWI</v>
      </c>
    </row>
    <row r="1373" spans="1:25" x14ac:dyDescent="0.3">
      <c r="A1373" s="8">
        <v>1367</v>
      </c>
      <c r="B1373" s="9" t="s">
        <v>2868</v>
      </c>
      <c r="C1373" s="10" t="str">
        <f>VLOOKUP(B1373,'Data Angt'!$A$5:$B$5809,2,FALSE)</f>
        <v>A1209</v>
      </c>
      <c r="D1373" s="11" t="s">
        <v>9829</v>
      </c>
      <c r="E1373" s="12" t="s">
        <v>10503</v>
      </c>
      <c r="F1373" s="13">
        <v>41039</v>
      </c>
      <c r="G1373" s="14">
        <v>45929</v>
      </c>
      <c r="H1373" s="15">
        <v>30000000</v>
      </c>
      <c r="I1373" s="16">
        <v>48</v>
      </c>
      <c r="J1373" s="17">
        <v>24</v>
      </c>
      <c r="K1373" s="9" t="s">
        <v>9831</v>
      </c>
      <c r="L1373" s="10"/>
      <c r="M1373" s="9"/>
      <c r="N1373" s="10"/>
      <c r="O1373" s="15">
        <v>11547900</v>
      </c>
      <c r="P1373" s="145">
        <v>7690534</v>
      </c>
      <c r="Q1373" s="9"/>
      <c r="R1373" s="146"/>
      <c r="T1373" s="92" t="s">
        <v>9374</v>
      </c>
      <c r="U1373">
        <v>1</v>
      </c>
      <c r="V1373">
        <f>VLOOKUP(T1373,'Data Angt'!$A$5:$F$5810,6,FALSE)</f>
        <v>26</v>
      </c>
      <c r="W1373" s="5" t="str">
        <f t="shared" si="21"/>
        <v>PRODUKTIF</v>
      </c>
      <c r="X1373" s="5" t="str">
        <f>VLOOKUP(T1373,'Data Angt'!$A$5:$H$5810,8,FALSE)</f>
        <v>Tenaga Pengajar</v>
      </c>
      <c r="Y1373" s="5" t="str">
        <f>VLOOKUP(T1373,'Data Angt'!$A$5:$C$5808,3,FALSE)</f>
        <v>BWI</v>
      </c>
    </row>
    <row r="1374" spans="1:25" x14ac:dyDescent="0.3">
      <c r="A1374" s="8">
        <v>1368</v>
      </c>
      <c r="B1374" s="9" t="s">
        <v>2872</v>
      </c>
      <c r="C1374" s="10" t="str">
        <f>VLOOKUP(B1374,'Data Angt'!$A$5:$B$5809,2,FALSE)</f>
        <v>A1210</v>
      </c>
      <c r="D1374" s="11" t="s">
        <v>9829</v>
      </c>
      <c r="E1374" s="12" t="s">
        <v>17254</v>
      </c>
      <c r="F1374" s="13">
        <v>45373</v>
      </c>
      <c r="G1374" s="14">
        <v>45930</v>
      </c>
      <c r="H1374" s="15">
        <v>100000000</v>
      </c>
      <c r="I1374" s="16">
        <v>60</v>
      </c>
      <c r="J1374" s="17">
        <v>21</v>
      </c>
      <c r="K1374" s="9" t="s">
        <v>9831</v>
      </c>
      <c r="L1374" s="10" t="s">
        <v>17255</v>
      </c>
      <c r="M1374" s="9" t="s">
        <v>9841</v>
      </c>
      <c r="N1374" s="10" t="s">
        <v>17</v>
      </c>
      <c r="O1374" s="15">
        <v>79990400</v>
      </c>
      <c r="P1374" s="145">
        <v>10757846</v>
      </c>
      <c r="Q1374" s="9" t="s">
        <v>23293</v>
      </c>
      <c r="R1374" s="146" t="s">
        <v>23529</v>
      </c>
      <c r="T1374" s="92" t="s">
        <v>9375</v>
      </c>
      <c r="U1374">
        <v>1</v>
      </c>
      <c r="V1374">
        <f>VLOOKUP(T1374,'Data Angt'!$A$5:$F$5810,6,FALSE)</f>
        <v>57</v>
      </c>
      <c r="W1374" s="5" t="str">
        <f t="shared" si="21"/>
        <v>PRODUKTIF</v>
      </c>
      <c r="X1374" s="5" t="str">
        <f>VLOOKUP(T1374,'Data Angt'!$A$5:$H$5810,8,FALSE)</f>
        <v>Tenaga Pengajar</v>
      </c>
      <c r="Y1374" s="5" t="str">
        <f>VLOOKUP(T1374,'Data Angt'!$A$5:$C$5808,3,FALSE)</f>
        <v>BWI</v>
      </c>
    </row>
    <row r="1375" spans="1:25" x14ac:dyDescent="0.3">
      <c r="A1375" s="8">
        <v>1369</v>
      </c>
      <c r="B1375" s="9" t="s">
        <v>2875</v>
      </c>
      <c r="C1375" s="10" t="str">
        <f>VLOOKUP(B1375,'Data Angt'!$A$5:$B$5809,2,FALSE)</f>
        <v>A1211</v>
      </c>
      <c r="D1375" s="11" t="s">
        <v>9842</v>
      </c>
      <c r="E1375" s="12" t="s">
        <v>10504</v>
      </c>
      <c r="F1375" s="13">
        <v>43518</v>
      </c>
      <c r="G1375" s="14">
        <v>45920</v>
      </c>
      <c r="H1375" s="15">
        <v>50000000</v>
      </c>
      <c r="I1375" s="16">
        <v>120</v>
      </c>
      <c r="J1375" s="17">
        <v>11.4</v>
      </c>
      <c r="K1375" s="9" t="s">
        <v>9831</v>
      </c>
      <c r="L1375" s="10" t="s">
        <v>10505</v>
      </c>
      <c r="M1375" s="9"/>
      <c r="N1375" s="10"/>
      <c r="O1375" s="15">
        <v>23679900</v>
      </c>
      <c r="P1375" s="145">
        <v>10873370</v>
      </c>
      <c r="Q1375" s="9" t="s">
        <v>23293</v>
      </c>
      <c r="R1375" s="146" t="s">
        <v>23530</v>
      </c>
      <c r="T1375" s="92" t="s">
        <v>9404</v>
      </c>
      <c r="U1375">
        <v>1</v>
      </c>
      <c r="V1375">
        <f>VLOOKUP(T1375,'Data Angt'!$A$5:$F$5810,6,FALSE)</f>
        <v>25</v>
      </c>
      <c r="W1375" s="5" t="str">
        <f t="shared" si="21"/>
        <v>KONSUMTIF</v>
      </c>
      <c r="X1375" s="5" t="str">
        <f>VLOOKUP(T1375,'Data Angt'!$A$5:$H$5810,8,FALSE)</f>
        <v>Wiraswasta</v>
      </c>
      <c r="Y1375" s="5" t="str">
        <f>VLOOKUP(T1375,'Data Angt'!$A$5:$C$5808,3,FALSE)</f>
        <v>BWI</v>
      </c>
    </row>
    <row r="1376" spans="1:25" x14ac:dyDescent="0.3">
      <c r="A1376" s="8">
        <v>1370</v>
      </c>
      <c r="B1376" s="9" t="s">
        <v>2875</v>
      </c>
      <c r="C1376" s="10" t="str">
        <f>VLOOKUP(B1376,'Data Angt'!$A$5:$B$5809,2,FALSE)</f>
        <v>A1211</v>
      </c>
      <c r="D1376" s="11" t="s">
        <v>9826</v>
      </c>
      <c r="E1376" s="12" t="s">
        <v>17256</v>
      </c>
      <c r="F1376" s="13">
        <v>45721</v>
      </c>
      <c r="G1376" s="14">
        <v>45908</v>
      </c>
      <c r="H1376" s="15">
        <v>5000000</v>
      </c>
      <c r="I1376" s="16">
        <v>12</v>
      </c>
      <c r="J1376" s="17">
        <v>24</v>
      </c>
      <c r="K1376" s="9" t="s">
        <v>9827</v>
      </c>
      <c r="L1376" s="10" t="s">
        <v>17257</v>
      </c>
      <c r="M1376" s="9" t="s">
        <v>17258</v>
      </c>
      <c r="N1376" s="10" t="s">
        <v>9834</v>
      </c>
      <c r="O1376" s="15">
        <v>2499800</v>
      </c>
      <c r="P1376" s="145">
        <v>178199</v>
      </c>
      <c r="Q1376" s="9"/>
      <c r="R1376" s="146"/>
      <c r="T1376" s="92" t="s">
        <v>9412</v>
      </c>
      <c r="U1376">
        <v>1</v>
      </c>
      <c r="V1376">
        <f>VLOOKUP(T1376,'Data Angt'!$A$5:$F$5810,6,FALSE)</f>
        <v>47</v>
      </c>
      <c r="W1376" s="5" t="str">
        <f t="shared" si="21"/>
        <v>KONSUMTIF</v>
      </c>
      <c r="X1376" s="5" t="str">
        <f>VLOOKUP(T1376,'Data Angt'!$A$5:$H$5810,8,FALSE)</f>
        <v>Wiraswasta</v>
      </c>
      <c r="Y1376" s="5" t="str">
        <f>VLOOKUP(T1376,'Data Angt'!$A$5:$C$5808,3,FALSE)</f>
        <v>BWI</v>
      </c>
    </row>
    <row r="1377" spans="1:25" x14ac:dyDescent="0.3">
      <c r="A1377" s="8">
        <v>1371</v>
      </c>
      <c r="B1377" s="9" t="s">
        <v>3051</v>
      </c>
      <c r="C1377" s="10" t="str">
        <f>VLOOKUP(B1377,'Data Angt'!$A$5:$B$5809,2,FALSE)</f>
        <v>A1291</v>
      </c>
      <c r="D1377" s="11" t="s">
        <v>9843</v>
      </c>
      <c r="E1377" s="12" t="s">
        <v>10506</v>
      </c>
      <c r="F1377" s="13">
        <v>43019</v>
      </c>
      <c r="G1377" s="14">
        <v>45904</v>
      </c>
      <c r="H1377" s="15">
        <v>120000000</v>
      </c>
      <c r="I1377" s="16">
        <v>120</v>
      </c>
      <c r="J1377" s="17">
        <v>11.4</v>
      </c>
      <c r="K1377" s="9" t="s">
        <v>9831</v>
      </c>
      <c r="L1377" s="10" t="s">
        <v>10506</v>
      </c>
      <c r="M1377" s="9"/>
      <c r="N1377" s="10"/>
      <c r="O1377" s="15">
        <v>37240100</v>
      </c>
      <c r="P1377" s="145">
        <v>32088088</v>
      </c>
      <c r="Q1377" s="9"/>
      <c r="R1377" s="146"/>
      <c r="T1377" s="92" t="s">
        <v>9415</v>
      </c>
      <c r="U1377">
        <v>1</v>
      </c>
      <c r="V1377">
        <f>VLOOKUP(T1377,'Data Angt'!$A$5:$F$5810,6,FALSE)</f>
        <v>53</v>
      </c>
      <c r="W1377" s="5" t="str">
        <f t="shared" si="21"/>
        <v>KONSUMTIF</v>
      </c>
      <c r="X1377" s="5" t="str">
        <f>VLOOKUP(T1377,'Data Angt'!$A$5:$H$5810,8,FALSE)</f>
        <v>Wiraswasta</v>
      </c>
      <c r="Y1377" s="5" t="str">
        <f>VLOOKUP(T1377,'Data Angt'!$A$5:$C$5808,3,FALSE)</f>
        <v>BWI</v>
      </c>
    </row>
    <row r="1378" spans="1:25" x14ac:dyDescent="0.3">
      <c r="A1378" s="8">
        <v>1372</v>
      </c>
      <c r="B1378" s="9" t="s">
        <v>3182</v>
      </c>
      <c r="C1378" s="10" t="str">
        <f>VLOOKUP(B1378,'Data Angt'!$A$5:$B$5809,2,FALSE)</f>
        <v>A1350</v>
      </c>
      <c r="D1378" s="11" t="s">
        <v>9829</v>
      </c>
      <c r="E1378" s="12" t="s">
        <v>17259</v>
      </c>
      <c r="F1378" s="13">
        <v>45544</v>
      </c>
      <c r="G1378" s="14">
        <v>45929</v>
      </c>
      <c r="H1378" s="15">
        <v>20000000</v>
      </c>
      <c r="I1378" s="16">
        <v>24</v>
      </c>
      <c r="J1378" s="17">
        <v>24</v>
      </c>
      <c r="K1378" s="9" t="s">
        <v>9827</v>
      </c>
      <c r="L1378" s="10" t="s">
        <v>17260</v>
      </c>
      <c r="M1378" s="9" t="s">
        <v>10541</v>
      </c>
      <c r="N1378" s="10" t="s">
        <v>17</v>
      </c>
      <c r="O1378" s="15">
        <v>9999200</v>
      </c>
      <c r="P1378" s="145">
        <v>1387648</v>
      </c>
      <c r="Q1378" s="9" t="s">
        <v>22189</v>
      </c>
      <c r="R1378" s="146" t="s">
        <v>23531</v>
      </c>
      <c r="T1378" s="92" t="s">
        <v>9436</v>
      </c>
      <c r="U1378">
        <v>1</v>
      </c>
      <c r="V1378">
        <f>VLOOKUP(T1378,'Data Angt'!$A$5:$F$5810,6,FALSE)</f>
        <v>54</v>
      </c>
      <c r="W1378" s="5" t="str">
        <f t="shared" si="21"/>
        <v>PRODUKTIF</v>
      </c>
      <c r="X1378" s="5" t="str">
        <f>VLOOKUP(T1378,'Data Angt'!$A$5:$H$5810,8,FALSE)</f>
        <v>Tenaga Pengajar</v>
      </c>
      <c r="Y1378" s="5" t="str">
        <f>VLOOKUP(T1378,'Data Angt'!$A$5:$C$5808,3,FALSE)</f>
        <v>BWI</v>
      </c>
    </row>
    <row r="1379" spans="1:25" x14ac:dyDescent="0.3">
      <c r="A1379" s="8">
        <v>1373</v>
      </c>
      <c r="B1379" s="9" t="s">
        <v>3312</v>
      </c>
      <c r="C1379" s="10" t="str">
        <f>VLOOKUP(B1379,'Data Angt'!$A$5:$B$5809,2,FALSE)</f>
        <v>A1408</v>
      </c>
      <c r="D1379" s="11" t="s">
        <v>9833</v>
      </c>
      <c r="E1379" s="12" t="s">
        <v>17261</v>
      </c>
      <c r="F1379" s="13">
        <v>45547</v>
      </c>
      <c r="G1379" s="14">
        <v>45916</v>
      </c>
      <c r="H1379" s="15">
        <v>10000000</v>
      </c>
      <c r="I1379" s="16">
        <v>18</v>
      </c>
      <c r="J1379" s="17">
        <v>24</v>
      </c>
      <c r="K1379" s="9" t="s">
        <v>9827</v>
      </c>
      <c r="L1379" s="10" t="s">
        <v>17262</v>
      </c>
      <c r="M1379" s="9" t="s">
        <v>17263</v>
      </c>
      <c r="N1379" s="10" t="s">
        <v>9834</v>
      </c>
      <c r="O1379" s="15">
        <v>3332800</v>
      </c>
      <c r="P1379" s="145">
        <v>625160</v>
      </c>
      <c r="Q1379" s="9" t="s">
        <v>22189</v>
      </c>
      <c r="R1379" s="146" t="s">
        <v>23532</v>
      </c>
      <c r="T1379" s="92" t="s">
        <v>9439</v>
      </c>
      <c r="U1379">
        <v>1</v>
      </c>
      <c r="V1379">
        <f>VLOOKUP(T1379,'Data Angt'!$A$5:$F$5810,6,FALSE)</f>
        <v>31</v>
      </c>
      <c r="W1379" s="5" t="str">
        <f t="shared" si="21"/>
        <v>PENDIDIKAN</v>
      </c>
      <c r="X1379" s="5" t="str">
        <f>VLOOKUP(T1379,'Data Angt'!$A$5:$H$5810,8,FALSE)</f>
        <v>Karyawan</v>
      </c>
      <c r="Y1379" s="5" t="str">
        <f>VLOOKUP(T1379,'Data Angt'!$A$5:$C$5808,3,FALSE)</f>
        <v>BWI</v>
      </c>
    </row>
    <row r="1380" spans="1:25" x14ac:dyDescent="0.3">
      <c r="A1380" s="8">
        <v>1374</v>
      </c>
      <c r="B1380" s="9" t="s">
        <v>3873</v>
      </c>
      <c r="C1380" s="10" t="str">
        <f>VLOOKUP(B1380,'Data Angt'!$A$5:$B$5809,2,FALSE)</f>
        <v>A1674</v>
      </c>
      <c r="D1380" s="11" t="s">
        <v>9826</v>
      </c>
      <c r="E1380" s="12" t="s">
        <v>17264</v>
      </c>
      <c r="F1380" s="13">
        <v>45695</v>
      </c>
      <c r="G1380" s="14">
        <v>45930</v>
      </c>
      <c r="H1380" s="15">
        <v>1000000</v>
      </c>
      <c r="I1380" s="16">
        <v>12</v>
      </c>
      <c r="J1380" s="17">
        <v>24</v>
      </c>
      <c r="K1380" s="9" t="s">
        <v>9831</v>
      </c>
      <c r="L1380" s="10" t="s">
        <v>17265</v>
      </c>
      <c r="M1380" s="9" t="s">
        <v>17266</v>
      </c>
      <c r="N1380" s="10" t="s">
        <v>9828</v>
      </c>
      <c r="O1380" s="15">
        <v>481100</v>
      </c>
      <c r="P1380" s="145">
        <v>40461</v>
      </c>
      <c r="Q1380" s="9"/>
      <c r="R1380" s="146"/>
      <c r="T1380" s="92" t="s">
        <v>9453</v>
      </c>
      <c r="U1380">
        <v>1</v>
      </c>
      <c r="V1380">
        <f>VLOOKUP(T1380,'Data Angt'!$A$5:$F$5810,6,FALSE)</f>
        <v>56</v>
      </c>
      <c r="W1380" s="5" t="str">
        <f t="shared" si="21"/>
        <v>PRODUKTIF</v>
      </c>
      <c r="X1380" s="5" t="str">
        <f>VLOOKUP(T1380,'Data Angt'!$A$5:$H$5810,8,FALSE)</f>
        <v>Wiraswasta</v>
      </c>
      <c r="Y1380" s="5" t="str">
        <f>VLOOKUP(T1380,'Data Angt'!$A$5:$C$5808,3,FALSE)</f>
        <v>BWI</v>
      </c>
    </row>
    <row r="1381" spans="1:25" x14ac:dyDescent="0.3">
      <c r="A1381" s="8">
        <v>1375</v>
      </c>
      <c r="B1381" s="9" t="s">
        <v>3918</v>
      </c>
      <c r="C1381" s="10" t="str">
        <f>VLOOKUP(B1381,'Data Angt'!$A$5:$B$5809,2,FALSE)</f>
        <v>A1695</v>
      </c>
      <c r="D1381" s="11" t="s">
        <v>9829</v>
      </c>
      <c r="E1381" s="12" t="s">
        <v>10507</v>
      </c>
      <c r="F1381" s="13">
        <v>42320</v>
      </c>
      <c r="G1381" s="14">
        <v>44242</v>
      </c>
      <c r="H1381" s="15">
        <v>10000000</v>
      </c>
      <c r="I1381" s="16">
        <v>24</v>
      </c>
      <c r="J1381" s="17">
        <v>24</v>
      </c>
      <c r="K1381" s="9" t="s">
        <v>9827</v>
      </c>
      <c r="L1381" s="10"/>
      <c r="M1381" s="9"/>
      <c r="N1381" s="10"/>
      <c r="O1381" s="15">
        <v>10000000</v>
      </c>
      <c r="P1381" s="145">
        <v>1287150</v>
      </c>
      <c r="Q1381" s="9"/>
      <c r="R1381" s="146"/>
      <c r="T1381" s="92" t="s">
        <v>9485</v>
      </c>
      <c r="U1381">
        <v>1</v>
      </c>
      <c r="V1381">
        <f>VLOOKUP(T1381,'Data Angt'!$A$5:$F$5810,6,FALSE)</f>
        <v>26</v>
      </c>
      <c r="W1381" s="5" t="str">
        <f t="shared" si="21"/>
        <v>KONSUMTIF</v>
      </c>
      <c r="X1381" s="5" t="str">
        <f>VLOOKUP(T1381,'Data Angt'!$A$5:$H$5810,8,FALSE)</f>
        <v>Karyawan</v>
      </c>
      <c r="Y1381" s="5" t="str">
        <f>VLOOKUP(T1381,'Data Angt'!$A$5:$C$5808,3,FALSE)</f>
        <v>BWI</v>
      </c>
    </row>
    <row r="1382" spans="1:25" x14ac:dyDescent="0.3">
      <c r="A1382" s="8">
        <v>1376</v>
      </c>
      <c r="B1382" s="9" t="s">
        <v>3998</v>
      </c>
      <c r="C1382" s="10" t="str">
        <f>VLOOKUP(B1382,'Data Angt'!$A$5:$B$5809,2,FALSE)</f>
        <v>A1729</v>
      </c>
      <c r="D1382" s="11" t="s">
        <v>9829</v>
      </c>
      <c r="E1382" s="12" t="s">
        <v>10508</v>
      </c>
      <c r="F1382" s="13">
        <v>42142</v>
      </c>
      <c r="G1382" s="14">
        <v>44242</v>
      </c>
      <c r="H1382" s="15">
        <v>10000000</v>
      </c>
      <c r="I1382" s="16">
        <v>18</v>
      </c>
      <c r="J1382" s="17">
        <v>24</v>
      </c>
      <c r="K1382" s="9" t="s">
        <v>9827</v>
      </c>
      <c r="L1382" s="10"/>
      <c r="M1382" s="9"/>
      <c r="N1382" s="10"/>
      <c r="O1382" s="15">
        <v>5555200</v>
      </c>
      <c r="P1382" s="145">
        <v>223575</v>
      </c>
      <c r="Q1382" s="9"/>
      <c r="R1382" s="146"/>
      <c r="T1382" s="92" t="s">
        <v>9505</v>
      </c>
      <c r="U1382">
        <v>1</v>
      </c>
      <c r="V1382">
        <f>VLOOKUP(T1382,'Data Angt'!$A$5:$F$5810,6,FALSE)</f>
        <v>41</v>
      </c>
      <c r="W1382" s="5" t="str">
        <f t="shared" si="21"/>
        <v>PENDIDIKAN</v>
      </c>
      <c r="X1382" s="5" t="str">
        <f>VLOOKUP(T1382,'Data Angt'!$A$5:$H$5810,8,FALSE)</f>
        <v>Wiraswasta</v>
      </c>
      <c r="Y1382" s="5" t="str">
        <f>VLOOKUP(T1382,'Data Angt'!$A$5:$C$5808,3,FALSE)</f>
        <v>BWI</v>
      </c>
    </row>
    <row r="1383" spans="1:25" x14ac:dyDescent="0.3">
      <c r="A1383" s="8">
        <v>1377</v>
      </c>
      <c r="B1383" s="9" t="s">
        <v>4203</v>
      </c>
      <c r="C1383" s="10" t="str">
        <f>VLOOKUP(B1383,'Data Angt'!$A$5:$B$5809,2,FALSE)</f>
        <v>A1822</v>
      </c>
      <c r="D1383" s="11" t="s">
        <v>9829</v>
      </c>
      <c r="E1383" s="12" t="s">
        <v>17267</v>
      </c>
      <c r="F1383" s="13">
        <v>45783</v>
      </c>
      <c r="G1383" s="14">
        <v>45911</v>
      </c>
      <c r="H1383" s="15">
        <v>25000000</v>
      </c>
      <c r="I1383" s="16">
        <v>12</v>
      </c>
      <c r="J1383" s="17">
        <v>21</v>
      </c>
      <c r="K1383" s="9" t="s">
        <v>9831</v>
      </c>
      <c r="L1383" s="10" t="s">
        <v>17268</v>
      </c>
      <c r="M1383" s="9" t="s">
        <v>10569</v>
      </c>
      <c r="N1383" s="10" t="s">
        <v>9828</v>
      </c>
      <c r="O1383" s="15">
        <v>17237800</v>
      </c>
      <c r="P1383" s="145">
        <v>581024</v>
      </c>
      <c r="Q1383" s="9" t="s">
        <v>23533</v>
      </c>
      <c r="R1383" s="146" t="s">
        <v>23534</v>
      </c>
      <c r="T1383" s="92" t="s">
        <v>9554</v>
      </c>
      <c r="U1383">
        <v>1</v>
      </c>
      <c r="V1383">
        <f>VLOOKUP(T1383,'Data Angt'!$A$5:$F$5810,6,FALSE)</f>
        <v>25</v>
      </c>
      <c r="W1383" s="5" t="str">
        <f t="shared" si="21"/>
        <v>KONSUMTIF</v>
      </c>
      <c r="X1383" s="5" t="str">
        <f>VLOOKUP(T1383,'Data Angt'!$A$5:$H$5810,8,FALSE)</f>
        <v>Karyawan</v>
      </c>
      <c r="Y1383" s="5" t="str">
        <f>VLOOKUP(T1383,'Data Angt'!$A$5:$C$5808,3,FALSE)</f>
        <v>BWI</v>
      </c>
    </row>
    <row r="1384" spans="1:25" x14ac:dyDescent="0.3">
      <c r="A1384" s="8">
        <v>1378</v>
      </c>
      <c r="B1384" s="9" t="s">
        <v>4256</v>
      </c>
      <c r="C1384" s="10" t="str">
        <f>VLOOKUP(B1384,'Data Angt'!$A$5:$B$5809,2,FALSE)</f>
        <v>A1844</v>
      </c>
      <c r="D1384" s="11" t="s">
        <v>9826</v>
      </c>
      <c r="E1384" s="12" t="s">
        <v>17269</v>
      </c>
      <c r="F1384" s="13">
        <v>45762</v>
      </c>
      <c r="G1384" s="14">
        <v>45908</v>
      </c>
      <c r="H1384" s="15">
        <v>5000000</v>
      </c>
      <c r="I1384" s="16">
        <v>12</v>
      </c>
      <c r="J1384" s="17">
        <v>11.88</v>
      </c>
      <c r="K1384" s="9" t="s">
        <v>9831</v>
      </c>
      <c r="L1384" s="10" t="s">
        <v>17270</v>
      </c>
      <c r="M1384" s="9" t="s">
        <v>10498</v>
      </c>
      <c r="N1384" s="10" t="s">
        <v>9828</v>
      </c>
      <c r="O1384" s="15">
        <v>2988200</v>
      </c>
      <c r="P1384" s="145">
        <v>78073</v>
      </c>
      <c r="Q1384" s="9"/>
      <c r="R1384" s="146"/>
      <c r="T1384" s="92" t="s">
        <v>9563</v>
      </c>
      <c r="U1384">
        <v>1</v>
      </c>
      <c r="V1384">
        <f>VLOOKUP(T1384,'Data Angt'!$A$5:$F$5810,6,FALSE)</f>
        <v>35</v>
      </c>
      <c r="W1384" s="5" t="str">
        <f t="shared" si="21"/>
        <v>PRODUKTIF</v>
      </c>
      <c r="X1384" s="5" t="str">
        <f>VLOOKUP(T1384,'Data Angt'!$A$5:$H$5810,8,FALSE)</f>
        <v>Wiraswasta</v>
      </c>
      <c r="Y1384" s="5" t="str">
        <f>VLOOKUP(T1384,'Data Angt'!$A$5:$C$5808,3,FALSE)</f>
        <v>BWI</v>
      </c>
    </row>
    <row r="1385" spans="1:25" x14ac:dyDescent="0.3">
      <c r="A1385" s="8">
        <v>1379</v>
      </c>
      <c r="B1385" s="9" t="s">
        <v>4297</v>
      </c>
      <c r="C1385" s="10" t="str">
        <f>VLOOKUP(B1385,'Data Angt'!$A$5:$B$5809,2,FALSE)</f>
        <v>A1862</v>
      </c>
      <c r="D1385" s="11" t="s">
        <v>9829</v>
      </c>
      <c r="E1385" s="12" t="s">
        <v>10509</v>
      </c>
      <c r="F1385" s="13">
        <v>45289</v>
      </c>
      <c r="G1385" s="14">
        <v>45929</v>
      </c>
      <c r="H1385" s="15">
        <v>67899500</v>
      </c>
      <c r="I1385" s="16">
        <v>72</v>
      </c>
      <c r="J1385" s="17">
        <v>18</v>
      </c>
      <c r="K1385" s="9" t="s">
        <v>9831</v>
      </c>
      <c r="L1385" s="10" t="s">
        <v>10510</v>
      </c>
      <c r="M1385" s="9" t="s">
        <v>10511</v>
      </c>
      <c r="N1385" s="10" t="s">
        <v>9828</v>
      </c>
      <c r="O1385" s="15">
        <v>59190900</v>
      </c>
      <c r="P1385" s="145">
        <v>7448394</v>
      </c>
      <c r="Q1385" s="9" t="s">
        <v>23535</v>
      </c>
      <c r="R1385" s="146" t="s">
        <v>23536</v>
      </c>
      <c r="T1385" s="92" t="s">
        <v>12642</v>
      </c>
      <c r="U1385">
        <v>1</v>
      </c>
      <c r="V1385">
        <f>VLOOKUP(T1385,'Data Angt'!$A$5:$F$5810,6,FALSE)</f>
        <v>25</v>
      </c>
      <c r="W1385" s="5" t="str">
        <f t="shared" si="21"/>
        <v>KONSUMTIF</v>
      </c>
      <c r="X1385" s="5" t="str">
        <f>VLOOKUP(T1385,'Data Angt'!$A$5:$H$5810,8,FALSE)</f>
        <v>Karyawan</v>
      </c>
      <c r="Y1385" s="5" t="str">
        <f>VLOOKUP(T1385,'Data Angt'!$A$5:$C$5808,3,FALSE)</f>
        <v>BWI</v>
      </c>
    </row>
    <row r="1386" spans="1:25" x14ac:dyDescent="0.3">
      <c r="A1386" s="8">
        <v>1380</v>
      </c>
      <c r="B1386" s="9" t="s">
        <v>4319</v>
      </c>
      <c r="C1386" s="10" t="str">
        <f>VLOOKUP(B1386,'Data Angt'!$A$5:$B$5809,2,FALSE)</f>
        <v>A1872</v>
      </c>
      <c r="D1386" s="11" t="s">
        <v>9829</v>
      </c>
      <c r="E1386" s="12" t="s">
        <v>17271</v>
      </c>
      <c r="F1386" s="13">
        <v>45705</v>
      </c>
      <c r="G1386" s="14">
        <v>45902</v>
      </c>
      <c r="H1386" s="15">
        <v>10000000</v>
      </c>
      <c r="I1386" s="16">
        <v>24</v>
      </c>
      <c r="J1386" s="17">
        <v>24</v>
      </c>
      <c r="K1386" s="9" t="s">
        <v>9831</v>
      </c>
      <c r="L1386" s="10" t="s">
        <v>17272</v>
      </c>
      <c r="M1386" s="9" t="s">
        <v>9838</v>
      </c>
      <c r="N1386" s="10" t="s">
        <v>9828</v>
      </c>
      <c r="O1386" s="15">
        <v>7555900</v>
      </c>
      <c r="P1386" s="145">
        <v>471561</v>
      </c>
      <c r="Q1386" s="9" t="s">
        <v>23304</v>
      </c>
      <c r="R1386" s="146" t="s">
        <v>23537</v>
      </c>
      <c r="T1386" s="92" t="s">
        <v>12653</v>
      </c>
      <c r="U1386">
        <v>1</v>
      </c>
      <c r="V1386">
        <f>VLOOKUP(T1386,'Data Angt'!$A$5:$F$5810,6,FALSE)</f>
        <v>39</v>
      </c>
      <c r="W1386" s="5" t="str">
        <f t="shared" si="21"/>
        <v>PRODUKTIF</v>
      </c>
      <c r="X1386" s="5" t="str">
        <f>VLOOKUP(T1386,'Data Angt'!$A$5:$H$5810,8,FALSE)</f>
        <v>Wiraswasta</v>
      </c>
      <c r="Y1386" s="5" t="str">
        <f>VLOOKUP(T1386,'Data Angt'!$A$5:$C$5808,3,FALSE)</f>
        <v>BWI</v>
      </c>
    </row>
    <row r="1387" spans="1:25" x14ac:dyDescent="0.3">
      <c r="A1387" s="8">
        <v>1381</v>
      </c>
      <c r="B1387" s="9" t="s">
        <v>4333</v>
      </c>
      <c r="C1387" s="10" t="str">
        <f>VLOOKUP(B1387,'Data Angt'!$A$5:$B$5809,2,FALSE)</f>
        <v>A1879</v>
      </c>
      <c r="D1387" s="11" t="s">
        <v>9829</v>
      </c>
      <c r="E1387" s="12" t="s">
        <v>17273</v>
      </c>
      <c r="F1387" s="13">
        <v>45681</v>
      </c>
      <c r="G1387" s="14">
        <v>45925</v>
      </c>
      <c r="H1387" s="15">
        <v>13000000</v>
      </c>
      <c r="I1387" s="16">
        <v>12</v>
      </c>
      <c r="J1387" s="17">
        <v>24</v>
      </c>
      <c r="K1387" s="9" t="s">
        <v>9831</v>
      </c>
      <c r="L1387" s="10" t="s">
        <v>17274</v>
      </c>
      <c r="M1387" s="9" t="s">
        <v>9854</v>
      </c>
      <c r="N1387" s="10" t="s">
        <v>17</v>
      </c>
      <c r="O1387" s="15">
        <v>4681000</v>
      </c>
      <c r="P1387" s="145">
        <v>568273</v>
      </c>
      <c r="Q1387" s="9" t="s">
        <v>22975</v>
      </c>
      <c r="R1387" s="146" t="s">
        <v>23538</v>
      </c>
      <c r="T1387" s="92" t="s">
        <v>12708</v>
      </c>
      <c r="U1387">
        <v>1</v>
      </c>
      <c r="V1387">
        <f>VLOOKUP(T1387,'Data Angt'!$A$5:$F$5810,6,FALSE)</f>
        <v>26</v>
      </c>
      <c r="W1387" s="5" t="str">
        <f t="shared" si="21"/>
        <v>PRODUKTIF</v>
      </c>
      <c r="X1387" s="5" t="str">
        <f>VLOOKUP(T1387,'Data Angt'!$A$5:$H$5810,8,FALSE)</f>
        <v>Wiraswasta</v>
      </c>
      <c r="Y1387" s="5" t="str">
        <f>VLOOKUP(T1387,'Data Angt'!$A$5:$C$5808,3,FALSE)</f>
        <v>BWI</v>
      </c>
    </row>
    <row r="1388" spans="1:25" x14ac:dyDescent="0.3">
      <c r="A1388" s="8">
        <v>1382</v>
      </c>
      <c r="B1388" s="9" t="s">
        <v>4355</v>
      </c>
      <c r="C1388" s="10" t="str">
        <f>VLOOKUP(B1388,'Data Angt'!$A$5:$B$5809,2,FALSE)</f>
        <v>A1892</v>
      </c>
      <c r="D1388" s="11" t="s">
        <v>9833</v>
      </c>
      <c r="E1388" s="12" t="s">
        <v>23539</v>
      </c>
      <c r="F1388" s="13">
        <v>45876</v>
      </c>
      <c r="G1388" s="14">
        <v>45904</v>
      </c>
      <c r="H1388" s="15">
        <v>5000000</v>
      </c>
      <c r="I1388" s="16">
        <v>18</v>
      </c>
      <c r="J1388" s="17">
        <v>24</v>
      </c>
      <c r="K1388" s="9" t="s">
        <v>9831</v>
      </c>
      <c r="L1388" s="10" t="s">
        <v>23540</v>
      </c>
      <c r="M1388" s="9" t="s">
        <v>17443</v>
      </c>
      <c r="N1388" s="10" t="s">
        <v>9834</v>
      </c>
      <c r="O1388" s="15">
        <v>4766400</v>
      </c>
      <c r="P1388" s="145">
        <v>37500</v>
      </c>
      <c r="Q1388" s="9"/>
      <c r="R1388" s="146"/>
      <c r="T1388" s="92" t="s">
        <v>12741</v>
      </c>
      <c r="U1388">
        <v>1</v>
      </c>
      <c r="V1388">
        <f>VLOOKUP(T1388,'Data Angt'!$A$5:$F$5810,6,FALSE)</f>
        <v>43</v>
      </c>
      <c r="W1388" s="5" t="str">
        <f t="shared" si="21"/>
        <v>PENDIDIKAN</v>
      </c>
      <c r="X1388" s="5" t="str">
        <f>VLOOKUP(T1388,'Data Angt'!$A$5:$H$5810,8,FALSE)</f>
        <v>Mengurus Rumah Tangga</v>
      </c>
      <c r="Y1388" s="5" t="str">
        <f>VLOOKUP(T1388,'Data Angt'!$A$5:$C$5808,3,FALSE)</f>
        <v>BWI</v>
      </c>
    </row>
    <row r="1389" spans="1:25" x14ac:dyDescent="0.3">
      <c r="A1389" s="8">
        <v>1383</v>
      </c>
      <c r="B1389" s="9" t="s">
        <v>4429</v>
      </c>
      <c r="C1389" s="10" t="str">
        <f>VLOOKUP(B1389,'Data Angt'!$A$5:$B$5809,2,FALSE)</f>
        <v>A1927</v>
      </c>
      <c r="D1389" s="11" t="s">
        <v>9826</v>
      </c>
      <c r="E1389" s="12" t="s">
        <v>17275</v>
      </c>
      <c r="F1389" s="13">
        <v>45679</v>
      </c>
      <c r="G1389" s="14">
        <v>45904</v>
      </c>
      <c r="H1389" s="15">
        <v>5000000</v>
      </c>
      <c r="I1389" s="16">
        <v>12</v>
      </c>
      <c r="J1389" s="17">
        <v>11.9</v>
      </c>
      <c r="K1389" s="9" t="s">
        <v>9831</v>
      </c>
      <c r="L1389" s="10" t="s">
        <v>17276</v>
      </c>
      <c r="M1389" s="9" t="s">
        <v>17277</v>
      </c>
      <c r="N1389" s="10" t="s">
        <v>9828</v>
      </c>
      <c r="O1389" s="15">
        <v>1732600</v>
      </c>
      <c r="P1389" s="145">
        <v>107024</v>
      </c>
      <c r="Q1389" s="9"/>
      <c r="R1389" s="146"/>
      <c r="T1389" s="92" t="s">
        <v>12754</v>
      </c>
      <c r="U1389">
        <v>1</v>
      </c>
      <c r="V1389">
        <f>VLOOKUP(T1389,'Data Angt'!$A$5:$F$5810,6,FALSE)</f>
        <v>25</v>
      </c>
      <c r="W1389" s="5" t="str">
        <f t="shared" si="21"/>
        <v>PENDIDIKAN</v>
      </c>
      <c r="X1389" s="5" t="str">
        <f>VLOOKUP(T1389,'Data Angt'!$A$5:$H$5810,8,FALSE)</f>
        <v>Karyawan</v>
      </c>
      <c r="Y1389" s="5" t="str">
        <f>VLOOKUP(T1389,'Data Angt'!$A$5:$C$5808,3,FALSE)</f>
        <v>BWI</v>
      </c>
    </row>
    <row r="1390" spans="1:25" x14ac:dyDescent="0.3">
      <c r="A1390" s="8">
        <v>1384</v>
      </c>
      <c r="B1390" s="9" t="s">
        <v>4509</v>
      </c>
      <c r="C1390" s="10" t="str">
        <f>VLOOKUP(B1390,'Data Angt'!$A$5:$B$5809,2,FALSE)</f>
        <v>A1965</v>
      </c>
      <c r="D1390" s="11" t="s">
        <v>9833</v>
      </c>
      <c r="E1390" s="12" t="s">
        <v>10513</v>
      </c>
      <c r="F1390" s="13">
        <v>43873</v>
      </c>
      <c r="G1390" s="14">
        <v>45900</v>
      </c>
      <c r="H1390" s="15">
        <v>15000000</v>
      </c>
      <c r="I1390" s="16">
        <v>24</v>
      </c>
      <c r="J1390" s="17">
        <v>18</v>
      </c>
      <c r="K1390" s="9" t="s">
        <v>9831</v>
      </c>
      <c r="L1390" s="10" t="s">
        <v>10514</v>
      </c>
      <c r="M1390" s="9" t="s">
        <v>10515</v>
      </c>
      <c r="N1390" s="10" t="s">
        <v>9834</v>
      </c>
      <c r="O1390" s="15">
        <v>6020900</v>
      </c>
      <c r="P1390" s="145">
        <v>5131712</v>
      </c>
      <c r="Q1390" s="9" t="s">
        <v>23541</v>
      </c>
      <c r="R1390" s="146" t="s">
        <v>23542</v>
      </c>
      <c r="T1390" s="92" t="s">
        <v>12757</v>
      </c>
      <c r="U1390">
        <v>1</v>
      </c>
      <c r="V1390">
        <f>VLOOKUP(T1390,'Data Angt'!$A$5:$F$5810,6,FALSE)</f>
        <v>61</v>
      </c>
      <c r="W1390" s="5" t="str">
        <f t="shared" si="21"/>
        <v>PRODUKTIF</v>
      </c>
      <c r="X1390" s="5" t="str">
        <f>VLOOKUP(T1390,'Data Angt'!$A$5:$H$5810,8,FALSE)</f>
        <v>Wiraswasta</v>
      </c>
      <c r="Y1390" s="5" t="str">
        <f>VLOOKUP(T1390,'Data Angt'!$A$5:$C$5808,3,FALSE)</f>
        <v>BWI</v>
      </c>
    </row>
    <row r="1391" spans="1:25" x14ac:dyDescent="0.3">
      <c r="A1391" s="8">
        <v>1385</v>
      </c>
      <c r="B1391" s="9" t="s">
        <v>4547</v>
      </c>
      <c r="C1391" s="10" t="str">
        <f>VLOOKUP(B1391,'Data Angt'!$A$5:$B$5809,2,FALSE)</f>
        <v>A1980</v>
      </c>
      <c r="D1391" s="11" t="s">
        <v>9829</v>
      </c>
      <c r="E1391" s="12" t="s">
        <v>17278</v>
      </c>
      <c r="F1391" s="13">
        <v>45828</v>
      </c>
      <c r="G1391" s="14">
        <v>45920</v>
      </c>
      <c r="H1391" s="15">
        <v>25000000</v>
      </c>
      <c r="I1391" s="16">
        <v>24</v>
      </c>
      <c r="J1391" s="17">
        <v>21</v>
      </c>
      <c r="K1391" s="9" t="s">
        <v>9831</v>
      </c>
      <c r="L1391" s="10" t="s">
        <v>17279</v>
      </c>
      <c r="M1391" s="9" t="s">
        <v>9854</v>
      </c>
      <c r="N1391" s="10" t="s">
        <v>17</v>
      </c>
      <c r="O1391" s="15">
        <v>22413700</v>
      </c>
      <c r="P1391" s="145">
        <v>475424</v>
      </c>
      <c r="Q1391" s="9" t="s">
        <v>22975</v>
      </c>
      <c r="R1391" s="146" t="s">
        <v>23543</v>
      </c>
      <c r="T1391" s="92" t="s">
        <v>12772</v>
      </c>
      <c r="U1391">
        <v>1</v>
      </c>
      <c r="V1391">
        <f>VLOOKUP(T1391,'Data Angt'!$A$5:$F$5810,6,FALSE)</f>
        <v>46</v>
      </c>
      <c r="W1391" s="5" t="str">
        <f t="shared" si="21"/>
        <v>PRODUKTIF</v>
      </c>
      <c r="X1391" s="5" t="str">
        <f>VLOOKUP(T1391,'Data Angt'!$A$5:$H$5810,8,FALSE)</f>
        <v>Wiraswasta</v>
      </c>
      <c r="Y1391" s="5" t="str">
        <f>VLOOKUP(T1391,'Data Angt'!$A$5:$C$5808,3,FALSE)</f>
        <v>BWI</v>
      </c>
    </row>
    <row r="1392" spans="1:25" x14ac:dyDescent="0.3">
      <c r="A1392" s="8">
        <v>1386</v>
      </c>
      <c r="B1392" s="9" t="s">
        <v>4557</v>
      </c>
      <c r="C1392" s="10" t="str">
        <f>VLOOKUP(B1392,'Data Angt'!$A$5:$B$5809,2,FALSE)</f>
        <v>A1983</v>
      </c>
      <c r="D1392" s="11" t="s">
        <v>9829</v>
      </c>
      <c r="E1392" s="12" t="s">
        <v>17280</v>
      </c>
      <c r="F1392" s="13">
        <v>45600</v>
      </c>
      <c r="G1392" s="14">
        <v>45901</v>
      </c>
      <c r="H1392" s="15">
        <v>5000000</v>
      </c>
      <c r="I1392" s="16">
        <v>12</v>
      </c>
      <c r="J1392" s="17">
        <v>24</v>
      </c>
      <c r="K1392" s="9" t="s">
        <v>9827</v>
      </c>
      <c r="L1392" s="10" t="s">
        <v>17281</v>
      </c>
      <c r="M1392" s="9" t="s">
        <v>17282</v>
      </c>
      <c r="N1392" s="10" t="s">
        <v>9828</v>
      </c>
      <c r="O1392" s="15">
        <v>833000</v>
      </c>
      <c r="P1392" s="145">
        <v>234486</v>
      </c>
      <c r="Q1392" s="9"/>
      <c r="R1392" s="146"/>
      <c r="T1392" s="92" t="s">
        <v>12801</v>
      </c>
      <c r="U1392">
        <v>1</v>
      </c>
      <c r="V1392">
        <f>VLOOKUP(T1392,'Data Angt'!$A$5:$F$5810,6,FALSE)</f>
        <v>58</v>
      </c>
      <c r="W1392" s="5">
        <f t="shared" si="21"/>
        <v>0</v>
      </c>
      <c r="X1392" s="5" t="str">
        <f>VLOOKUP(T1392,'Data Angt'!$A$5:$H$5810,8,FALSE)</f>
        <v>Wiraswasta</v>
      </c>
      <c r="Y1392" s="5" t="str">
        <f>VLOOKUP(T1392,'Data Angt'!$A$5:$C$5808,3,FALSE)</f>
        <v>BWI</v>
      </c>
    </row>
    <row r="1393" spans="1:25" x14ac:dyDescent="0.3">
      <c r="A1393" s="8">
        <v>1387</v>
      </c>
      <c r="B1393" s="9" t="s">
        <v>4854</v>
      </c>
      <c r="C1393" s="10" t="str">
        <f>VLOOKUP(B1393,'Data Angt'!$A$5:$B$5809,2,FALSE)</f>
        <v>A2125</v>
      </c>
      <c r="D1393" s="11" t="s">
        <v>9826</v>
      </c>
      <c r="E1393" s="12" t="s">
        <v>17283</v>
      </c>
      <c r="F1393" s="13">
        <v>45722</v>
      </c>
      <c r="G1393" s="14">
        <v>45906</v>
      </c>
      <c r="H1393" s="15">
        <v>5000000</v>
      </c>
      <c r="I1393" s="16">
        <v>12</v>
      </c>
      <c r="J1393" s="17">
        <v>11.9</v>
      </c>
      <c r="K1393" s="9" t="s">
        <v>9831</v>
      </c>
      <c r="L1393" s="10" t="s">
        <v>17284</v>
      </c>
      <c r="M1393" s="9" t="s">
        <v>9962</v>
      </c>
      <c r="N1393" s="10" t="s">
        <v>9834</v>
      </c>
      <c r="O1393" s="15">
        <v>2573800</v>
      </c>
      <c r="P1393" s="145">
        <v>89399</v>
      </c>
      <c r="Q1393" s="9"/>
      <c r="R1393" s="146"/>
      <c r="T1393" s="92" t="s">
        <v>12830</v>
      </c>
      <c r="U1393">
        <v>1</v>
      </c>
      <c r="V1393">
        <f>VLOOKUP(T1393,'Data Angt'!$A$5:$F$5810,6,FALSE)</f>
        <v>29</v>
      </c>
      <c r="W1393" s="5" t="str">
        <f t="shared" si="21"/>
        <v>PRODUKTIF</v>
      </c>
      <c r="X1393" s="5" t="str">
        <f>VLOOKUP(T1393,'Data Angt'!$A$5:$H$5810,8,FALSE)</f>
        <v>Wiraswasta</v>
      </c>
      <c r="Y1393" s="5" t="str">
        <f>VLOOKUP(T1393,'Data Angt'!$A$5:$C$5808,3,FALSE)</f>
        <v>BWI</v>
      </c>
    </row>
    <row r="1394" spans="1:25" x14ac:dyDescent="0.3">
      <c r="A1394" s="8">
        <v>1388</v>
      </c>
      <c r="B1394" s="9" t="s">
        <v>4854</v>
      </c>
      <c r="C1394" s="10" t="str">
        <f>VLOOKUP(B1394,'Data Angt'!$A$5:$B$5809,2,FALSE)</f>
        <v>A2125</v>
      </c>
      <c r="D1394" s="11" t="s">
        <v>9829</v>
      </c>
      <c r="E1394" s="12" t="s">
        <v>23544</v>
      </c>
      <c r="F1394" s="13">
        <v>45848</v>
      </c>
      <c r="G1394" s="14">
        <v>45911</v>
      </c>
      <c r="H1394" s="15">
        <v>16000000</v>
      </c>
      <c r="I1394" s="16">
        <v>24</v>
      </c>
      <c r="J1394" s="17">
        <v>24</v>
      </c>
      <c r="K1394" s="9" t="s">
        <v>9827</v>
      </c>
      <c r="L1394" s="10" t="s">
        <v>23545</v>
      </c>
      <c r="M1394" s="9" t="s">
        <v>10495</v>
      </c>
      <c r="N1394" s="10" t="s">
        <v>17</v>
      </c>
      <c r="O1394" s="15">
        <v>14666600</v>
      </c>
      <c r="P1394" s="145">
        <v>235012</v>
      </c>
      <c r="Q1394" s="9" t="s">
        <v>22189</v>
      </c>
      <c r="R1394" s="146" t="s">
        <v>23546</v>
      </c>
      <c r="T1394" s="92" t="s">
        <v>12875</v>
      </c>
      <c r="U1394">
        <v>1</v>
      </c>
      <c r="V1394">
        <f>VLOOKUP(T1394,'Data Angt'!$A$5:$F$5810,6,FALSE)</f>
        <v>21</v>
      </c>
      <c r="W1394" s="5" t="str">
        <f t="shared" si="21"/>
        <v>KONSUMTIF</v>
      </c>
      <c r="X1394" s="5" t="str">
        <f>VLOOKUP(T1394,'Data Angt'!$A$5:$H$5810,8,FALSE)</f>
        <v>Karyawan</v>
      </c>
      <c r="Y1394" s="5" t="str">
        <f>VLOOKUP(T1394,'Data Angt'!$A$5:$C$5808,3,FALSE)</f>
        <v>BWI</v>
      </c>
    </row>
    <row r="1395" spans="1:25" x14ac:dyDescent="0.3">
      <c r="A1395" s="8">
        <v>1389</v>
      </c>
      <c r="B1395" s="9" t="s">
        <v>4874</v>
      </c>
      <c r="C1395" s="10" t="str">
        <f>VLOOKUP(B1395,'Data Angt'!$A$5:$B$5809,2,FALSE)</f>
        <v>A2134</v>
      </c>
      <c r="D1395" s="11" t="s">
        <v>9829</v>
      </c>
      <c r="E1395" s="12" t="s">
        <v>10516</v>
      </c>
      <c r="F1395" s="13">
        <v>44551</v>
      </c>
      <c r="G1395" s="14">
        <v>45920</v>
      </c>
      <c r="H1395" s="15">
        <v>150000000</v>
      </c>
      <c r="I1395" s="16">
        <v>60</v>
      </c>
      <c r="J1395" s="17">
        <v>21</v>
      </c>
      <c r="K1395" s="9" t="s">
        <v>9831</v>
      </c>
      <c r="L1395" s="10" t="s">
        <v>10517</v>
      </c>
      <c r="M1395" s="9" t="s">
        <v>10518</v>
      </c>
      <c r="N1395" s="10" t="s">
        <v>9834</v>
      </c>
      <c r="O1395" s="15">
        <v>53127900</v>
      </c>
      <c r="P1395" s="145">
        <v>32153389</v>
      </c>
      <c r="Q1395" s="9" t="s">
        <v>23547</v>
      </c>
      <c r="R1395" s="146" t="s">
        <v>23548</v>
      </c>
      <c r="T1395" s="92" t="s">
        <v>12883</v>
      </c>
      <c r="U1395">
        <v>1</v>
      </c>
      <c r="V1395">
        <f>VLOOKUP(T1395,'Data Angt'!$A$5:$F$5810,6,FALSE)</f>
        <v>53</v>
      </c>
      <c r="W1395" s="5" t="str">
        <f t="shared" si="21"/>
        <v>PRODUKTIF</v>
      </c>
      <c r="X1395" s="5" t="str">
        <f>VLOOKUP(T1395,'Data Angt'!$A$5:$H$5810,8,FALSE)</f>
        <v>Karyawan</v>
      </c>
      <c r="Y1395" s="5" t="str">
        <f>VLOOKUP(T1395,'Data Angt'!$A$5:$C$5808,3,FALSE)</f>
        <v>BWI</v>
      </c>
    </row>
    <row r="1396" spans="1:25" x14ac:dyDescent="0.3">
      <c r="A1396" s="8">
        <v>1390</v>
      </c>
      <c r="B1396" s="9" t="s">
        <v>4892</v>
      </c>
      <c r="C1396" s="10" t="str">
        <f>VLOOKUP(B1396,'Data Angt'!$A$5:$B$5809,2,FALSE)</f>
        <v>A2141</v>
      </c>
      <c r="D1396" s="11" t="s">
        <v>9826</v>
      </c>
      <c r="E1396" s="12" t="s">
        <v>17285</v>
      </c>
      <c r="F1396" s="13">
        <v>45644</v>
      </c>
      <c r="G1396" s="14">
        <v>45915</v>
      </c>
      <c r="H1396" s="15">
        <v>2000000</v>
      </c>
      <c r="I1396" s="16">
        <v>12</v>
      </c>
      <c r="J1396" s="17">
        <v>11.88</v>
      </c>
      <c r="K1396" s="9" t="s">
        <v>9831</v>
      </c>
      <c r="L1396" s="10" t="s">
        <v>17286</v>
      </c>
      <c r="M1396" s="9" t="s">
        <v>10569</v>
      </c>
      <c r="N1396" s="10" t="s">
        <v>9828</v>
      </c>
      <c r="O1396" s="15">
        <v>522600</v>
      </c>
      <c r="P1396" s="145">
        <v>45372</v>
      </c>
      <c r="Q1396" s="9"/>
      <c r="R1396" s="146"/>
      <c r="T1396" s="92" t="s">
        <v>12990</v>
      </c>
      <c r="U1396">
        <v>1</v>
      </c>
      <c r="V1396">
        <f>VLOOKUP(T1396,'Data Angt'!$A$5:$F$5810,6,FALSE)</f>
        <v>56</v>
      </c>
      <c r="W1396" s="5" t="str">
        <f t="shared" si="21"/>
        <v>KONSUMTIF</v>
      </c>
      <c r="X1396" s="5" t="str">
        <f>VLOOKUP(T1396,'Data Angt'!$A$5:$H$5810,8,FALSE)</f>
        <v>Wiraswasta</v>
      </c>
      <c r="Y1396" s="5" t="str">
        <f>VLOOKUP(T1396,'Data Angt'!$A$5:$C$5808,3,FALSE)</f>
        <v>BWI</v>
      </c>
    </row>
    <row r="1397" spans="1:25" x14ac:dyDescent="0.3">
      <c r="A1397" s="8">
        <v>1391</v>
      </c>
      <c r="B1397" s="9" t="s">
        <v>4892</v>
      </c>
      <c r="C1397" s="10" t="str">
        <f>VLOOKUP(B1397,'Data Angt'!$A$5:$B$5809,2,FALSE)</f>
        <v>A2141</v>
      </c>
      <c r="D1397" s="11" t="s">
        <v>9829</v>
      </c>
      <c r="E1397" s="12" t="s">
        <v>17287</v>
      </c>
      <c r="F1397" s="13">
        <v>45793</v>
      </c>
      <c r="G1397" s="14">
        <v>45915</v>
      </c>
      <c r="H1397" s="15">
        <v>10000000</v>
      </c>
      <c r="I1397" s="16">
        <v>12</v>
      </c>
      <c r="J1397" s="17">
        <v>24</v>
      </c>
      <c r="K1397" s="9" t="s">
        <v>9827</v>
      </c>
      <c r="L1397" s="10" t="s">
        <v>17288</v>
      </c>
      <c r="M1397" s="9" t="s">
        <v>9838</v>
      </c>
      <c r="N1397" s="10" t="s">
        <v>9828</v>
      </c>
      <c r="O1397" s="15">
        <v>6666400</v>
      </c>
      <c r="P1397" s="145">
        <v>262537</v>
      </c>
      <c r="Q1397" s="9" t="s">
        <v>23549</v>
      </c>
      <c r="R1397" s="146" t="s">
        <v>23550</v>
      </c>
      <c r="T1397" s="92" t="s">
        <v>13072</v>
      </c>
      <c r="U1397">
        <v>1</v>
      </c>
      <c r="V1397">
        <f>VLOOKUP(T1397,'Data Angt'!$A$5:$F$5810,6,FALSE)</f>
        <v>47</v>
      </c>
      <c r="W1397" s="5" t="str">
        <f t="shared" si="21"/>
        <v>PRODUKTIF</v>
      </c>
      <c r="X1397" s="5" t="str">
        <f>VLOOKUP(T1397,'Data Angt'!$A$5:$H$5810,8,FALSE)</f>
        <v>Wiraswasta</v>
      </c>
      <c r="Y1397" s="5" t="str">
        <f>VLOOKUP(T1397,'Data Angt'!$A$5:$C$5808,3,FALSE)</f>
        <v>BWI</v>
      </c>
    </row>
    <row r="1398" spans="1:25" x14ac:dyDescent="0.3">
      <c r="A1398" s="8">
        <v>1392</v>
      </c>
      <c r="B1398" s="9" t="s">
        <v>5119</v>
      </c>
      <c r="C1398" s="10" t="str">
        <f>VLOOKUP(B1398,'Data Angt'!$A$5:$B$5809,2,FALSE)</f>
        <v>A2249</v>
      </c>
      <c r="D1398" s="11" t="s">
        <v>9833</v>
      </c>
      <c r="E1398" s="12" t="s">
        <v>17289</v>
      </c>
      <c r="F1398" s="13">
        <v>45722</v>
      </c>
      <c r="G1398" s="14">
        <v>45910</v>
      </c>
      <c r="H1398" s="15">
        <v>3000000</v>
      </c>
      <c r="I1398" s="16">
        <v>12</v>
      </c>
      <c r="J1398" s="17">
        <v>24</v>
      </c>
      <c r="K1398" s="9" t="s">
        <v>9831</v>
      </c>
      <c r="L1398" s="10" t="s">
        <v>17290</v>
      </c>
      <c r="M1398" s="9" t="s">
        <v>9962</v>
      </c>
      <c r="N1398" s="10" t="s">
        <v>9834</v>
      </c>
      <c r="O1398" s="15">
        <v>1589200</v>
      </c>
      <c r="P1398" s="145">
        <v>109275</v>
      </c>
      <c r="Q1398" s="9"/>
      <c r="R1398" s="146"/>
      <c r="T1398" s="92" t="s">
        <v>13095</v>
      </c>
      <c r="U1398">
        <v>1</v>
      </c>
      <c r="V1398">
        <f>VLOOKUP(T1398,'Data Angt'!$A$5:$F$5810,6,FALSE)</f>
        <v>30</v>
      </c>
      <c r="W1398" s="5" t="str">
        <f t="shared" si="21"/>
        <v>PRODUKTIF</v>
      </c>
      <c r="X1398" s="5" t="str">
        <f>VLOOKUP(T1398,'Data Angt'!$A$5:$H$5810,8,FALSE)</f>
        <v>Wiraswasta</v>
      </c>
      <c r="Y1398" s="5" t="str">
        <f>VLOOKUP(T1398,'Data Angt'!$A$5:$C$5808,3,FALSE)</f>
        <v>BWI</v>
      </c>
    </row>
    <row r="1399" spans="1:25" x14ac:dyDescent="0.3">
      <c r="A1399" s="8">
        <v>1393</v>
      </c>
      <c r="B1399" s="9" t="s">
        <v>5129</v>
      </c>
      <c r="C1399" s="10" t="str">
        <f>VLOOKUP(B1399,'Data Angt'!$A$5:$B$5809,2,FALSE)</f>
        <v>A2254</v>
      </c>
      <c r="D1399" s="11" t="s">
        <v>9826</v>
      </c>
      <c r="E1399" s="12" t="s">
        <v>23551</v>
      </c>
      <c r="F1399" s="13">
        <v>45912</v>
      </c>
      <c r="G1399" s="14">
        <v>45912</v>
      </c>
      <c r="H1399" s="15">
        <v>3000000</v>
      </c>
      <c r="I1399" s="16">
        <v>12</v>
      </c>
      <c r="J1399" s="17">
        <v>11.9</v>
      </c>
      <c r="K1399" s="9" t="s">
        <v>9831</v>
      </c>
      <c r="L1399" s="10" t="s">
        <v>23552</v>
      </c>
      <c r="M1399" s="9" t="s">
        <v>10495</v>
      </c>
      <c r="N1399" s="10" t="s">
        <v>17</v>
      </c>
      <c r="O1399" s="15">
        <v>3000000</v>
      </c>
      <c r="P1399" s="147">
        <v>0</v>
      </c>
      <c r="Q1399" s="9"/>
      <c r="R1399" s="146"/>
      <c r="T1399" s="92" t="s">
        <v>13128</v>
      </c>
      <c r="U1399">
        <v>1</v>
      </c>
      <c r="V1399">
        <f>VLOOKUP(T1399,'Data Angt'!$A$5:$F$5810,6,FALSE)</f>
        <v>47</v>
      </c>
      <c r="W1399" s="5" t="str">
        <f t="shared" si="21"/>
        <v>KONSUMTIF</v>
      </c>
      <c r="X1399" s="5" t="str">
        <f>VLOOKUP(T1399,'Data Angt'!$A$5:$H$5810,8,FALSE)</f>
        <v>Karyawan</v>
      </c>
      <c r="Y1399" s="5" t="str">
        <f>VLOOKUP(T1399,'Data Angt'!$A$5:$C$5808,3,FALSE)</f>
        <v>BWI</v>
      </c>
    </row>
    <row r="1400" spans="1:25" x14ac:dyDescent="0.3">
      <c r="A1400" s="8">
        <v>1394</v>
      </c>
      <c r="B1400" s="9" t="s">
        <v>5137</v>
      </c>
      <c r="C1400" s="10" t="str">
        <f>VLOOKUP(B1400,'Data Angt'!$A$5:$B$5809,2,FALSE)</f>
        <v>A2258</v>
      </c>
      <c r="D1400" s="11" t="s">
        <v>9826</v>
      </c>
      <c r="E1400" s="12" t="s">
        <v>17291</v>
      </c>
      <c r="F1400" s="13">
        <v>45698</v>
      </c>
      <c r="G1400" s="14">
        <v>45930</v>
      </c>
      <c r="H1400" s="15">
        <v>3000000</v>
      </c>
      <c r="I1400" s="16">
        <v>12</v>
      </c>
      <c r="J1400" s="17">
        <v>11.9</v>
      </c>
      <c r="K1400" s="9" t="s">
        <v>9831</v>
      </c>
      <c r="L1400" s="10" t="s">
        <v>17292</v>
      </c>
      <c r="M1400" s="9" t="s">
        <v>17293</v>
      </c>
      <c r="N1400" s="10" t="s">
        <v>9834</v>
      </c>
      <c r="O1400" s="15">
        <v>1293100</v>
      </c>
      <c r="P1400" s="145">
        <v>59473</v>
      </c>
      <c r="Q1400" s="9"/>
      <c r="R1400" s="146"/>
      <c r="T1400" s="92" t="s">
        <v>13144</v>
      </c>
      <c r="U1400">
        <v>1</v>
      </c>
      <c r="V1400">
        <f>VLOOKUP(T1400,'Data Angt'!$A$5:$F$5810,6,FALSE)</f>
        <v>45</v>
      </c>
      <c r="W1400" s="5" t="str">
        <f t="shared" si="21"/>
        <v>PRODUKTIF</v>
      </c>
      <c r="X1400" s="5" t="str">
        <f>VLOOKUP(T1400,'Data Angt'!$A$5:$H$5810,8,FALSE)</f>
        <v>Wiraswasta</v>
      </c>
      <c r="Y1400" s="5" t="str">
        <f>VLOOKUP(T1400,'Data Angt'!$A$5:$C$5808,3,FALSE)</f>
        <v>BWI</v>
      </c>
    </row>
    <row r="1401" spans="1:25" x14ac:dyDescent="0.3">
      <c r="A1401" s="8">
        <v>1395</v>
      </c>
      <c r="B1401" s="9" t="s">
        <v>5168</v>
      </c>
      <c r="C1401" s="10" t="str">
        <f>VLOOKUP(B1401,'Data Angt'!$A$5:$B$5809,2,FALSE)</f>
        <v>A2273</v>
      </c>
      <c r="D1401" s="11" t="s">
        <v>9833</v>
      </c>
      <c r="E1401" s="12" t="s">
        <v>10519</v>
      </c>
      <c r="F1401" s="13">
        <v>43728</v>
      </c>
      <c r="G1401" s="14">
        <v>45383</v>
      </c>
      <c r="H1401" s="15">
        <v>5000000</v>
      </c>
      <c r="I1401" s="16">
        <v>36</v>
      </c>
      <c r="J1401" s="17">
        <v>24</v>
      </c>
      <c r="K1401" s="9" t="s">
        <v>9831</v>
      </c>
      <c r="L1401" s="10" t="s">
        <v>10520</v>
      </c>
      <c r="M1401" s="9" t="s">
        <v>10521</v>
      </c>
      <c r="N1401" s="10" t="s">
        <v>9834</v>
      </c>
      <c r="O1401" s="15">
        <v>3272500</v>
      </c>
      <c r="P1401" s="145">
        <v>860582</v>
      </c>
      <c r="Q1401" s="9"/>
      <c r="R1401" s="146"/>
      <c r="T1401" s="92" t="s">
        <v>13162</v>
      </c>
      <c r="U1401">
        <v>1</v>
      </c>
      <c r="V1401">
        <f>VLOOKUP(T1401,'Data Angt'!$A$5:$F$5810,6,FALSE)</f>
        <v>48</v>
      </c>
      <c r="W1401" s="5" t="str">
        <f t="shared" si="21"/>
        <v>PRODUKTIF</v>
      </c>
      <c r="X1401" s="5" t="str">
        <f>VLOOKUP(T1401,'Data Angt'!$A$5:$H$5810,8,FALSE)</f>
        <v>Karyawan</v>
      </c>
      <c r="Y1401" s="5" t="str">
        <f>VLOOKUP(T1401,'Data Angt'!$A$5:$C$5808,3,FALSE)</f>
        <v>BWI</v>
      </c>
    </row>
    <row r="1402" spans="1:25" x14ac:dyDescent="0.3">
      <c r="A1402" s="8">
        <v>1396</v>
      </c>
      <c r="B1402" s="9" t="s">
        <v>5218</v>
      </c>
      <c r="C1402" s="10" t="str">
        <f>VLOOKUP(B1402,'Data Angt'!$A$5:$B$5809,2,FALSE)</f>
        <v>A2295</v>
      </c>
      <c r="D1402" s="11" t="s">
        <v>9829</v>
      </c>
      <c r="E1402" s="12" t="s">
        <v>23553</v>
      </c>
      <c r="F1402" s="13">
        <v>45884</v>
      </c>
      <c r="G1402" s="14">
        <v>45917</v>
      </c>
      <c r="H1402" s="15">
        <v>80000000</v>
      </c>
      <c r="I1402" s="16">
        <v>48</v>
      </c>
      <c r="J1402" s="17">
        <v>21</v>
      </c>
      <c r="K1402" s="9" t="s">
        <v>9831</v>
      </c>
      <c r="L1402" s="10" t="s">
        <v>23554</v>
      </c>
      <c r="M1402" s="9" t="s">
        <v>9838</v>
      </c>
      <c r="N1402" s="10" t="s">
        <v>9828</v>
      </c>
      <c r="O1402" s="15">
        <v>78922700</v>
      </c>
      <c r="P1402" s="145">
        <v>525000</v>
      </c>
      <c r="Q1402" s="9" t="s">
        <v>23555</v>
      </c>
      <c r="R1402" s="146" t="s">
        <v>23556</v>
      </c>
      <c r="T1402" s="92" t="s">
        <v>13165</v>
      </c>
      <c r="U1402">
        <v>1</v>
      </c>
      <c r="V1402">
        <f>VLOOKUP(T1402,'Data Angt'!$A$5:$F$5810,6,FALSE)</f>
        <v>56</v>
      </c>
      <c r="W1402" s="5" t="str">
        <f t="shared" si="21"/>
        <v>PRODUKTIF</v>
      </c>
      <c r="X1402" s="5" t="str">
        <f>VLOOKUP(T1402,'Data Angt'!$A$5:$H$5810,8,FALSE)</f>
        <v>Karyawan</v>
      </c>
      <c r="Y1402" s="5" t="str">
        <f>VLOOKUP(T1402,'Data Angt'!$A$5:$C$5808,3,FALSE)</f>
        <v>BWI</v>
      </c>
    </row>
    <row r="1403" spans="1:25" x14ac:dyDescent="0.3">
      <c r="A1403" s="8">
        <v>1397</v>
      </c>
      <c r="B1403" s="9" t="s">
        <v>5230</v>
      </c>
      <c r="C1403" s="10" t="str">
        <f>VLOOKUP(B1403,'Data Angt'!$A$5:$B$5809,2,FALSE)</f>
        <v>A2300</v>
      </c>
      <c r="D1403" s="11" t="s">
        <v>10583</v>
      </c>
      <c r="E1403" s="12" t="s">
        <v>10584</v>
      </c>
      <c r="F1403" s="13">
        <v>42256</v>
      </c>
      <c r="G1403" s="14">
        <v>44042</v>
      </c>
      <c r="H1403" s="15">
        <v>5000000</v>
      </c>
      <c r="I1403" s="16">
        <v>18</v>
      </c>
      <c r="J1403" s="17">
        <v>24</v>
      </c>
      <c r="K1403" s="9"/>
      <c r="L1403" s="10"/>
      <c r="M1403" s="9"/>
      <c r="N1403" s="10"/>
      <c r="O1403" s="15">
        <v>1468400</v>
      </c>
      <c r="P1403" s="145">
        <v>1136849</v>
      </c>
      <c r="Q1403" s="9"/>
      <c r="R1403" s="146"/>
      <c r="T1403" s="92" t="s">
        <v>13560</v>
      </c>
      <c r="U1403">
        <v>1</v>
      </c>
      <c r="V1403">
        <f>VLOOKUP(T1403,'Data Angt'!$A$5:$F$5810,6,FALSE)</f>
        <v>51</v>
      </c>
      <c r="W1403" s="5" t="str">
        <f t="shared" si="21"/>
        <v>PRODUKTIF</v>
      </c>
      <c r="X1403" s="5" t="str">
        <f>VLOOKUP(T1403,'Data Angt'!$A$5:$H$5810,8,FALSE)</f>
        <v>Wiraswasta</v>
      </c>
      <c r="Y1403" s="5" t="str">
        <f>VLOOKUP(T1403,'Data Angt'!$A$5:$C$5808,3,FALSE)</f>
        <v>BWI</v>
      </c>
    </row>
    <row r="1404" spans="1:25" x14ac:dyDescent="0.3">
      <c r="A1404" s="8">
        <v>1398</v>
      </c>
      <c r="B1404" s="9" t="s">
        <v>5279</v>
      </c>
      <c r="C1404" s="10" t="str">
        <f>VLOOKUP(B1404,'Data Angt'!$A$5:$B$5809,2,FALSE)</f>
        <v>A2325</v>
      </c>
      <c r="D1404" s="11" t="s">
        <v>9829</v>
      </c>
      <c r="E1404" s="12" t="s">
        <v>10522</v>
      </c>
      <c r="F1404" s="13">
        <v>44254</v>
      </c>
      <c r="G1404" s="14">
        <v>45929</v>
      </c>
      <c r="H1404" s="15">
        <v>90000000</v>
      </c>
      <c r="I1404" s="16">
        <v>60</v>
      </c>
      <c r="J1404" s="17">
        <v>18</v>
      </c>
      <c r="K1404" s="9" t="s">
        <v>9831</v>
      </c>
      <c r="L1404" s="10" t="s">
        <v>10523</v>
      </c>
      <c r="M1404" s="9" t="s">
        <v>10524</v>
      </c>
      <c r="N1404" s="10" t="s">
        <v>9828</v>
      </c>
      <c r="O1404" s="15">
        <v>77593100</v>
      </c>
      <c r="P1404" s="145">
        <v>24602390</v>
      </c>
      <c r="Q1404" s="9" t="s">
        <v>23293</v>
      </c>
      <c r="R1404" s="146" t="s">
        <v>23557</v>
      </c>
      <c r="T1404" s="92" t="s">
        <v>13652</v>
      </c>
      <c r="U1404">
        <v>1</v>
      </c>
      <c r="V1404">
        <f>VLOOKUP(T1404,'Data Angt'!$A$5:$F$5810,6,FALSE)</f>
        <v>37</v>
      </c>
      <c r="W1404" s="5" t="str">
        <f t="shared" si="21"/>
        <v>PRODUKTIF</v>
      </c>
      <c r="X1404" s="5" t="str">
        <f>VLOOKUP(T1404,'Data Angt'!$A$5:$H$5810,8,FALSE)</f>
        <v>Wiraswasta</v>
      </c>
      <c r="Y1404" s="5" t="str">
        <f>VLOOKUP(T1404,'Data Angt'!$A$5:$C$5808,3,FALSE)</f>
        <v>BWI</v>
      </c>
    </row>
    <row r="1405" spans="1:25" x14ac:dyDescent="0.3">
      <c r="A1405" s="8">
        <v>1399</v>
      </c>
      <c r="B1405" s="9" t="s">
        <v>5342</v>
      </c>
      <c r="C1405" s="10" t="str">
        <f>VLOOKUP(B1405,'Data Angt'!$A$5:$B$5809,2,FALSE)</f>
        <v>A2353</v>
      </c>
      <c r="D1405" s="11" t="s">
        <v>9833</v>
      </c>
      <c r="E1405" s="12" t="s">
        <v>10525</v>
      </c>
      <c r="F1405" s="13">
        <v>45275</v>
      </c>
      <c r="G1405" s="14">
        <v>45929</v>
      </c>
      <c r="H1405" s="15">
        <v>11000000</v>
      </c>
      <c r="I1405" s="16">
        <v>36</v>
      </c>
      <c r="J1405" s="17">
        <v>24</v>
      </c>
      <c r="K1405" s="9" t="s">
        <v>9831</v>
      </c>
      <c r="L1405" s="10" t="s">
        <v>10526</v>
      </c>
      <c r="M1405" s="9" t="s">
        <v>10527</v>
      </c>
      <c r="N1405" s="10" t="s">
        <v>9834</v>
      </c>
      <c r="O1405" s="15">
        <v>5551700</v>
      </c>
      <c r="P1405" s="145">
        <v>1355733</v>
      </c>
      <c r="Q1405" s="9" t="s">
        <v>22189</v>
      </c>
      <c r="R1405" s="146" t="s">
        <v>23558</v>
      </c>
      <c r="T1405" s="92" t="s">
        <v>13655</v>
      </c>
      <c r="U1405">
        <v>1</v>
      </c>
      <c r="V1405">
        <f>VLOOKUP(T1405,'Data Angt'!$A$5:$F$5810,6,FALSE)</f>
        <v>29</v>
      </c>
      <c r="W1405" s="5" t="str">
        <f t="shared" si="21"/>
        <v>PRODUKTIF</v>
      </c>
      <c r="X1405" s="5" t="str">
        <f>VLOOKUP(T1405,'Data Angt'!$A$5:$H$5810,8,FALSE)</f>
        <v>Wiraswasta</v>
      </c>
      <c r="Y1405" s="5" t="str">
        <f>VLOOKUP(T1405,'Data Angt'!$A$5:$C$5808,3,FALSE)</f>
        <v>BWI</v>
      </c>
    </row>
    <row r="1406" spans="1:25" x14ac:dyDescent="0.3">
      <c r="A1406" s="8">
        <v>1400</v>
      </c>
      <c r="B1406" s="9" t="s">
        <v>5585</v>
      </c>
      <c r="C1406" s="10" t="str">
        <f>VLOOKUP(B1406,'Data Angt'!$A$5:$B$5809,2,FALSE)</f>
        <v>A2467</v>
      </c>
      <c r="D1406" s="11" t="s">
        <v>9842</v>
      </c>
      <c r="E1406" s="12" t="s">
        <v>10528</v>
      </c>
      <c r="F1406" s="13">
        <v>43749</v>
      </c>
      <c r="G1406" s="14">
        <v>45930</v>
      </c>
      <c r="H1406" s="15">
        <v>200000000</v>
      </c>
      <c r="I1406" s="16">
        <v>120</v>
      </c>
      <c r="J1406" s="17">
        <v>11.4</v>
      </c>
      <c r="K1406" s="9" t="s">
        <v>9831</v>
      </c>
      <c r="L1406" s="10" t="s">
        <v>10529</v>
      </c>
      <c r="M1406" s="9" t="s">
        <v>10082</v>
      </c>
      <c r="N1406" s="10" t="s">
        <v>9830</v>
      </c>
      <c r="O1406" s="15">
        <v>174778000</v>
      </c>
      <c r="P1406" s="145">
        <v>39490603</v>
      </c>
      <c r="Q1406" s="9" t="s">
        <v>23293</v>
      </c>
      <c r="R1406" s="146" t="s">
        <v>23559</v>
      </c>
      <c r="T1406" s="92" t="s">
        <v>13658</v>
      </c>
      <c r="U1406">
        <v>1</v>
      </c>
      <c r="V1406">
        <f>VLOOKUP(T1406,'Data Angt'!$A$5:$F$5810,6,FALSE)</f>
        <v>37</v>
      </c>
      <c r="W1406" s="5" t="str">
        <f t="shared" si="21"/>
        <v>PENDIDIKAN</v>
      </c>
      <c r="X1406" s="5" t="str">
        <f>VLOOKUP(T1406,'Data Angt'!$A$5:$H$5810,8,FALSE)</f>
        <v>Karyawan</v>
      </c>
      <c r="Y1406" s="5" t="str">
        <f>VLOOKUP(T1406,'Data Angt'!$A$5:$C$5808,3,FALSE)</f>
        <v>BWI</v>
      </c>
    </row>
    <row r="1407" spans="1:25" x14ac:dyDescent="0.3">
      <c r="A1407" s="8">
        <v>1401</v>
      </c>
      <c r="B1407" s="9" t="s">
        <v>5594</v>
      </c>
      <c r="C1407" s="10" t="str">
        <f>VLOOKUP(B1407,'Data Angt'!$A$5:$B$5809,2,FALSE)</f>
        <v>A2470</v>
      </c>
      <c r="D1407" s="11" t="s">
        <v>9829</v>
      </c>
      <c r="E1407" s="12" t="s">
        <v>10530</v>
      </c>
      <c r="F1407" s="13">
        <v>45002</v>
      </c>
      <c r="G1407" s="14">
        <v>45911</v>
      </c>
      <c r="H1407" s="15">
        <v>13000000</v>
      </c>
      <c r="I1407" s="16">
        <v>36</v>
      </c>
      <c r="J1407" s="17">
        <v>24</v>
      </c>
      <c r="K1407" s="9" t="s">
        <v>9827</v>
      </c>
      <c r="L1407" s="10" t="s">
        <v>10531</v>
      </c>
      <c r="M1407" s="9" t="s">
        <v>10532</v>
      </c>
      <c r="N1407" s="10" t="s">
        <v>17</v>
      </c>
      <c r="O1407" s="15">
        <v>2164000</v>
      </c>
      <c r="P1407" s="145">
        <v>1747119</v>
      </c>
      <c r="Q1407" s="9"/>
      <c r="R1407" s="146"/>
      <c r="T1407" s="92" t="s">
        <v>13690</v>
      </c>
      <c r="U1407">
        <v>1</v>
      </c>
      <c r="V1407">
        <f>VLOOKUP(T1407,'Data Angt'!$A$5:$F$5810,6,FALSE)</f>
        <v>46</v>
      </c>
      <c r="W1407" s="5" t="str">
        <f t="shared" si="21"/>
        <v>PRODUKTIF</v>
      </c>
      <c r="X1407" s="5" t="str">
        <f>VLOOKUP(T1407,'Data Angt'!$A$5:$H$5810,8,FALSE)</f>
        <v>Tenaga Pengajar</v>
      </c>
      <c r="Y1407" s="5" t="str">
        <f>VLOOKUP(T1407,'Data Angt'!$A$5:$C$5808,3,FALSE)</f>
        <v>BWI</v>
      </c>
    </row>
    <row r="1408" spans="1:25" x14ac:dyDescent="0.3">
      <c r="A1408" s="8">
        <v>1402</v>
      </c>
      <c r="B1408" s="9" t="s">
        <v>5682</v>
      </c>
      <c r="C1408" s="10" t="str">
        <f>VLOOKUP(B1408,'Data Angt'!$A$5:$B$5809,2,FALSE)</f>
        <v>A2508</v>
      </c>
      <c r="D1408" s="11" t="s">
        <v>9833</v>
      </c>
      <c r="E1408" s="12" t="s">
        <v>17294</v>
      </c>
      <c r="F1408" s="13">
        <v>45722</v>
      </c>
      <c r="G1408" s="14">
        <v>45906</v>
      </c>
      <c r="H1408" s="15">
        <v>3000000</v>
      </c>
      <c r="I1408" s="16">
        <v>12</v>
      </c>
      <c r="J1408" s="17">
        <v>24</v>
      </c>
      <c r="K1408" s="9" t="s">
        <v>9831</v>
      </c>
      <c r="L1408" s="10" t="s">
        <v>17295</v>
      </c>
      <c r="M1408" s="9" t="s">
        <v>9962</v>
      </c>
      <c r="N1408" s="10" t="s">
        <v>9834</v>
      </c>
      <c r="O1408" s="15">
        <v>1589200</v>
      </c>
      <c r="P1408" s="145">
        <v>109275</v>
      </c>
      <c r="Q1408" s="9"/>
      <c r="R1408" s="146"/>
      <c r="T1408" s="92" t="s">
        <v>13722</v>
      </c>
      <c r="U1408">
        <v>1</v>
      </c>
      <c r="V1408">
        <f>VLOOKUP(T1408,'Data Angt'!$A$5:$F$5810,6,FALSE)</f>
        <v>40</v>
      </c>
      <c r="W1408" s="5" t="str">
        <f t="shared" si="21"/>
        <v>PRODUKTIF</v>
      </c>
      <c r="X1408" s="5" t="str">
        <f>VLOOKUP(T1408,'Data Angt'!$A$5:$H$5810,8,FALSE)</f>
        <v>Wiraswasta</v>
      </c>
      <c r="Y1408" s="5" t="str">
        <f>VLOOKUP(T1408,'Data Angt'!$A$5:$C$5808,3,FALSE)</f>
        <v>BWI</v>
      </c>
    </row>
    <row r="1409" spans="1:25" x14ac:dyDescent="0.3">
      <c r="A1409" s="8">
        <v>1403</v>
      </c>
      <c r="B1409" s="9" t="s">
        <v>5740</v>
      </c>
      <c r="C1409" s="10" t="str">
        <f>VLOOKUP(B1409,'Data Angt'!$A$5:$B$5809,2,FALSE)</f>
        <v>A2531</v>
      </c>
      <c r="D1409" s="11" t="s">
        <v>9826</v>
      </c>
      <c r="E1409" s="12" t="s">
        <v>17296</v>
      </c>
      <c r="F1409" s="13">
        <v>45728</v>
      </c>
      <c r="G1409" s="14">
        <v>45911</v>
      </c>
      <c r="H1409" s="15">
        <v>4000000</v>
      </c>
      <c r="I1409" s="16">
        <v>12</v>
      </c>
      <c r="J1409" s="17">
        <v>24</v>
      </c>
      <c r="K1409" s="9" t="s">
        <v>9827</v>
      </c>
      <c r="L1409" s="10" t="s">
        <v>17297</v>
      </c>
      <c r="M1409" s="9"/>
      <c r="N1409" s="10"/>
      <c r="O1409" s="15">
        <v>1999600</v>
      </c>
      <c r="P1409" s="145">
        <v>142574</v>
      </c>
      <c r="Q1409" s="9"/>
      <c r="R1409" s="146"/>
      <c r="T1409" s="92" t="s">
        <v>13725</v>
      </c>
      <c r="U1409">
        <v>1</v>
      </c>
      <c r="V1409">
        <f>VLOOKUP(T1409,'Data Angt'!$A$5:$F$5810,6,FALSE)</f>
        <v>46</v>
      </c>
      <c r="W1409" s="5" t="str">
        <f t="shared" si="21"/>
        <v>PRODUKTIF</v>
      </c>
      <c r="X1409" s="5" t="str">
        <f>VLOOKUP(T1409,'Data Angt'!$A$5:$H$5810,8,FALSE)</f>
        <v>Wiraswasta</v>
      </c>
      <c r="Y1409" s="5" t="str">
        <f>VLOOKUP(T1409,'Data Angt'!$A$5:$C$5808,3,FALSE)</f>
        <v>BWI</v>
      </c>
    </row>
    <row r="1410" spans="1:25" x14ac:dyDescent="0.3">
      <c r="A1410" s="8">
        <v>1404</v>
      </c>
      <c r="B1410" s="9" t="s">
        <v>5740</v>
      </c>
      <c r="C1410" s="10" t="str">
        <f>VLOOKUP(B1410,'Data Angt'!$A$5:$B$5809,2,FALSE)</f>
        <v>A2531</v>
      </c>
      <c r="D1410" s="11" t="s">
        <v>9829</v>
      </c>
      <c r="E1410" s="12" t="s">
        <v>23560</v>
      </c>
      <c r="F1410" s="13">
        <v>45919</v>
      </c>
      <c r="G1410" s="14">
        <v>45919</v>
      </c>
      <c r="H1410" s="15">
        <v>25000000</v>
      </c>
      <c r="I1410" s="16">
        <v>36</v>
      </c>
      <c r="J1410" s="17">
        <v>21</v>
      </c>
      <c r="K1410" s="9" t="s">
        <v>9831</v>
      </c>
      <c r="L1410" s="10" t="s">
        <v>23561</v>
      </c>
      <c r="M1410" s="9" t="s">
        <v>9909</v>
      </c>
      <c r="N1410" s="10" t="s">
        <v>9828</v>
      </c>
      <c r="O1410" s="15">
        <v>25000000</v>
      </c>
      <c r="P1410" s="147">
        <v>0</v>
      </c>
      <c r="Q1410" s="9" t="s">
        <v>23293</v>
      </c>
      <c r="R1410" s="146" t="s">
        <v>23562</v>
      </c>
      <c r="T1410" s="92" t="s">
        <v>13737</v>
      </c>
      <c r="U1410">
        <v>1</v>
      </c>
      <c r="V1410">
        <f>VLOOKUP(T1410,'Data Angt'!$A$5:$F$5810,6,FALSE)</f>
        <v>51</v>
      </c>
      <c r="W1410" s="5" t="str">
        <f t="shared" si="21"/>
        <v>PRODUKTIF</v>
      </c>
      <c r="X1410" s="5" t="str">
        <f>VLOOKUP(T1410,'Data Angt'!$A$5:$H$5810,8,FALSE)</f>
        <v>Wiraswasta</v>
      </c>
      <c r="Y1410" s="5" t="str">
        <f>VLOOKUP(T1410,'Data Angt'!$A$5:$C$5808,3,FALSE)</f>
        <v>BWI</v>
      </c>
    </row>
    <row r="1411" spans="1:25" x14ac:dyDescent="0.3">
      <c r="A1411" s="8">
        <v>1405</v>
      </c>
      <c r="B1411" s="9" t="s">
        <v>6127</v>
      </c>
      <c r="C1411" s="10" t="str">
        <f>VLOOKUP(B1411,'Data Angt'!$A$5:$B$5809,2,FALSE)</f>
        <v>A2714</v>
      </c>
      <c r="D1411" s="11" t="s">
        <v>9829</v>
      </c>
      <c r="E1411" s="12" t="s">
        <v>17298</v>
      </c>
      <c r="F1411" s="13">
        <v>45610</v>
      </c>
      <c r="G1411" s="14">
        <v>45924</v>
      </c>
      <c r="H1411" s="15">
        <v>2500000</v>
      </c>
      <c r="I1411" s="16">
        <v>12</v>
      </c>
      <c r="J1411" s="17">
        <v>24</v>
      </c>
      <c r="K1411" s="9" t="s">
        <v>9827</v>
      </c>
      <c r="L1411" s="10" t="s">
        <v>17299</v>
      </c>
      <c r="M1411" s="9" t="s">
        <v>10102</v>
      </c>
      <c r="N1411" s="10" t="s">
        <v>9828</v>
      </c>
      <c r="O1411" s="15">
        <v>416000</v>
      </c>
      <c r="P1411" s="145">
        <v>117297</v>
      </c>
      <c r="Q1411" s="9"/>
      <c r="R1411" s="146"/>
      <c r="T1411" s="92" t="s">
        <v>13741</v>
      </c>
      <c r="U1411">
        <v>1</v>
      </c>
      <c r="V1411">
        <f>VLOOKUP(T1411,'Data Angt'!$A$5:$F$5810,6,FALSE)</f>
        <v>22</v>
      </c>
      <c r="W1411" s="5">
        <f t="shared" si="21"/>
        <v>0</v>
      </c>
      <c r="X1411" s="5" t="str">
        <f>VLOOKUP(T1411,'Data Angt'!$A$5:$H$5810,8,FALSE)</f>
        <v>Wiraswasta</v>
      </c>
      <c r="Y1411" s="5" t="str">
        <f>VLOOKUP(T1411,'Data Angt'!$A$5:$C$5808,3,FALSE)</f>
        <v>BWI</v>
      </c>
    </row>
    <row r="1412" spans="1:25" x14ac:dyDescent="0.3">
      <c r="A1412" s="8">
        <v>1406</v>
      </c>
      <c r="B1412" s="9" t="s">
        <v>6224</v>
      </c>
      <c r="C1412" s="10" t="str">
        <f>VLOOKUP(B1412,'Data Angt'!$A$5:$B$5809,2,FALSE)</f>
        <v>A2757</v>
      </c>
      <c r="D1412" s="11" t="s">
        <v>9833</v>
      </c>
      <c r="E1412" s="12" t="s">
        <v>17300</v>
      </c>
      <c r="F1412" s="13">
        <v>45517</v>
      </c>
      <c r="G1412" s="14">
        <v>45916</v>
      </c>
      <c r="H1412" s="15">
        <v>10000000</v>
      </c>
      <c r="I1412" s="16">
        <v>24</v>
      </c>
      <c r="J1412" s="17">
        <v>24</v>
      </c>
      <c r="K1412" s="9" t="s">
        <v>9831</v>
      </c>
      <c r="L1412" s="10" t="s">
        <v>17301</v>
      </c>
      <c r="M1412" s="9" t="s">
        <v>17302</v>
      </c>
      <c r="N1412" s="10" t="s">
        <v>9834</v>
      </c>
      <c r="O1412" s="15">
        <v>5173800</v>
      </c>
      <c r="P1412" s="145">
        <v>768072</v>
      </c>
      <c r="Q1412" s="9" t="s">
        <v>22959</v>
      </c>
      <c r="R1412" s="146" t="s">
        <v>23563</v>
      </c>
      <c r="T1412" s="92" t="s">
        <v>13760</v>
      </c>
      <c r="U1412">
        <v>1</v>
      </c>
      <c r="V1412">
        <f>VLOOKUP(T1412,'Data Angt'!$A$5:$F$5810,6,FALSE)</f>
        <v>47</v>
      </c>
      <c r="W1412" s="5" t="str">
        <f t="shared" si="21"/>
        <v>PRODUKTIF</v>
      </c>
      <c r="X1412" s="5" t="str">
        <f>VLOOKUP(T1412,'Data Angt'!$A$5:$H$5810,8,FALSE)</f>
        <v>Aparatur/Pejabat Negara</v>
      </c>
      <c r="Y1412" s="5" t="str">
        <f>VLOOKUP(T1412,'Data Angt'!$A$5:$C$5808,3,FALSE)</f>
        <v>BWI</v>
      </c>
    </row>
    <row r="1413" spans="1:25" x14ac:dyDescent="0.3">
      <c r="A1413" s="8">
        <v>1407</v>
      </c>
      <c r="B1413" s="9" t="s">
        <v>6256</v>
      </c>
      <c r="C1413" s="10" t="str">
        <f>VLOOKUP(B1413,'Data Angt'!$A$5:$B$5809,2,FALSE)</f>
        <v>A2772</v>
      </c>
      <c r="D1413" s="11" t="s">
        <v>9895</v>
      </c>
      <c r="E1413" s="12" t="s">
        <v>17303</v>
      </c>
      <c r="F1413" s="13">
        <v>45593</v>
      </c>
      <c r="G1413" s="14">
        <v>45922</v>
      </c>
      <c r="H1413" s="15">
        <v>40000000</v>
      </c>
      <c r="I1413" s="16">
        <v>24</v>
      </c>
      <c r="J1413" s="17">
        <v>21</v>
      </c>
      <c r="K1413" s="9" t="s">
        <v>9831</v>
      </c>
      <c r="L1413" s="10" t="s">
        <v>17304</v>
      </c>
      <c r="M1413" s="9" t="s">
        <v>17305</v>
      </c>
      <c r="N1413" s="10" t="s">
        <v>9828</v>
      </c>
      <c r="O1413" s="15">
        <v>23714300</v>
      </c>
      <c r="P1413" s="145">
        <v>2371799</v>
      </c>
      <c r="Q1413" s="9" t="s">
        <v>22189</v>
      </c>
      <c r="R1413" s="146" t="s">
        <v>23564</v>
      </c>
      <c r="T1413" s="92" t="s">
        <v>13766</v>
      </c>
      <c r="U1413">
        <v>1</v>
      </c>
      <c r="V1413">
        <f>VLOOKUP(T1413,'Data Angt'!$A$5:$F$5810,6,FALSE)</f>
        <v>31</v>
      </c>
      <c r="W1413" s="5" t="str">
        <f t="shared" si="21"/>
        <v>PRODUKTIF</v>
      </c>
      <c r="X1413" s="5" t="str">
        <f>VLOOKUP(T1413,'Data Angt'!$A$5:$H$5810,8,FALSE)</f>
        <v>Karyawan</v>
      </c>
      <c r="Y1413" s="5" t="str">
        <f>VLOOKUP(T1413,'Data Angt'!$A$5:$C$5808,3,FALSE)</f>
        <v>BWI</v>
      </c>
    </row>
    <row r="1414" spans="1:25" x14ac:dyDescent="0.3">
      <c r="A1414" s="8">
        <v>1408</v>
      </c>
      <c r="B1414" s="9" t="s">
        <v>6556</v>
      </c>
      <c r="C1414" s="10" t="str">
        <f>VLOOKUP(B1414,'Data Angt'!$A$5:$B$5809,2,FALSE)</f>
        <v>A2912</v>
      </c>
      <c r="D1414" s="11" t="s">
        <v>9826</v>
      </c>
      <c r="E1414" s="12" t="s">
        <v>17306</v>
      </c>
      <c r="F1414" s="13">
        <v>45636</v>
      </c>
      <c r="G1414" s="14">
        <v>45916</v>
      </c>
      <c r="H1414" s="15">
        <v>2500000</v>
      </c>
      <c r="I1414" s="16">
        <v>12</v>
      </c>
      <c r="J1414" s="17">
        <v>11.88</v>
      </c>
      <c r="K1414" s="9" t="s">
        <v>9831</v>
      </c>
      <c r="L1414" s="10" t="s">
        <v>17307</v>
      </c>
      <c r="M1414" s="9" t="s">
        <v>17308</v>
      </c>
      <c r="N1414" s="10" t="s">
        <v>9828</v>
      </c>
      <c r="O1414" s="15">
        <v>653200</v>
      </c>
      <c r="P1414" s="145">
        <v>56698</v>
      </c>
      <c r="Q1414" s="9"/>
      <c r="R1414" s="146"/>
      <c r="T1414" s="92" t="s">
        <v>13795</v>
      </c>
      <c r="U1414">
        <v>1</v>
      </c>
      <c r="V1414">
        <f>VLOOKUP(T1414,'Data Angt'!$A$5:$F$5810,6,FALSE)</f>
        <v>36</v>
      </c>
      <c r="W1414" s="5" t="str">
        <f t="shared" si="21"/>
        <v>KONSUMTIF</v>
      </c>
      <c r="X1414" s="5" t="str">
        <f>VLOOKUP(T1414,'Data Angt'!$A$5:$H$5810,8,FALSE)</f>
        <v>Karyawan</v>
      </c>
      <c r="Y1414" s="5" t="str">
        <f>VLOOKUP(T1414,'Data Angt'!$A$5:$C$5808,3,FALSE)</f>
        <v>BWI</v>
      </c>
    </row>
    <row r="1415" spans="1:25" x14ac:dyDescent="0.3">
      <c r="A1415" s="8">
        <v>1409</v>
      </c>
      <c r="B1415" s="9" t="s">
        <v>6656</v>
      </c>
      <c r="C1415" s="10" t="str">
        <f>VLOOKUP(B1415,'Data Angt'!$A$5:$B$5809,2,FALSE)</f>
        <v>A2956</v>
      </c>
      <c r="D1415" s="11" t="s">
        <v>9826</v>
      </c>
      <c r="E1415" s="12" t="s">
        <v>23565</v>
      </c>
      <c r="F1415" s="13">
        <v>45840</v>
      </c>
      <c r="G1415" s="14">
        <v>45910</v>
      </c>
      <c r="H1415" s="15">
        <v>2500000</v>
      </c>
      <c r="I1415" s="16">
        <v>12</v>
      </c>
      <c r="J1415" s="17">
        <v>11.9</v>
      </c>
      <c r="K1415" s="9" t="s">
        <v>9831</v>
      </c>
      <c r="L1415" s="10" t="s">
        <v>23566</v>
      </c>
      <c r="M1415" s="9" t="s">
        <v>10495</v>
      </c>
      <c r="N1415" s="10" t="s">
        <v>17</v>
      </c>
      <c r="O1415" s="15">
        <v>2103500</v>
      </c>
      <c r="P1415" s="145">
        <v>17887</v>
      </c>
      <c r="Q1415" s="9"/>
      <c r="R1415" s="146"/>
      <c r="T1415" s="92" t="s">
        <v>13814</v>
      </c>
      <c r="U1415">
        <v>1</v>
      </c>
      <c r="V1415">
        <f>VLOOKUP(T1415,'Data Angt'!$A$5:$F$5810,6,FALSE)</f>
        <v>25</v>
      </c>
      <c r="W1415" s="5" t="str">
        <f t="shared" ref="W1415:W1478" si="22">VLOOKUP(T1415,$B$7:$N$1869,13,FALSE)</f>
        <v>KONSUMTIF</v>
      </c>
      <c r="X1415" s="5" t="str">
        <f>VLOOKUP(T1415,'Data Angt'!$A$5:$H$5810,8,FALSE)</f>
        <v>Karyawan</v>
      </c>
      <c r="Y1415" s="5" t="str">
        <f>VLOOKUP(T1415,'Data Angt'!$A$5:$C$5808,3,FALSE)</f>
        <v>BWI</v>
      </c>
    </row>
    <row r="1416" spans="1:25" x14ac:dyDescent="0.3">
      <c r="A1416" s="8">
        <v>1410</v>
      </c>
      <c r="B1416" s="9" t="s">
        <v>12443</v>
      </c>
      <c r="C1416" s="10" t="str">
        <f>VLOOKUP(B1416,'Data Angt'!$A$5:$B$5809,2,FALSE)</f>
        <v>A2975</v>
      </c>
      <c r="D1416" s="11" t="s">
        <v>9895</v>
      </c>
      <c r="E1416" s="12" t="s">
        <v>23567</v>
      </c>
      <c r="F1416" s="13">
        <v>45927</v>
      </c>
      <c r="G1416" s="14">
        <v>45927</v>
      </c>
      <c r="H1416" s="15">
        <v>3600000</v>
      </c>
      <c r="I1416" s="16">
        <v>12</v>
      </c>
      <c r="J1416" s="17">
        <v>12</v>
      </c>
      <c r="K1416" s="9" t="s">
        <v>9831</v>
      </c>
      <c r="L1416" s="10" t="s">
        <v>23568</v>
      </c>
      <c r="M1416" s="9" t="s">
        <v>10731</v>
      </c>
      <c r="N1416" s="10" t="s">
        <v>9828</v>
      </c>
      <c r="O1416" s="15">
        <v>3600000</v>
      </c>
      <c r="P1416" s="147">
        <v>0</v>
      </c>
      <c r="Q1416" s="9"/>
      <c r="R1416" s="146"/>
      <c r="T1416" s="92" t="s">
        <v>13835</v>
      </c>
      <c r="U1416">
        <v>1</v>
      </c>
      <c r="V1416">
        <f>VLOOKUP(T1416,'Data Angt'!$A$5:$F$5810,6,FALSE)</f>
        <v>25</v>
      </c>
      <c r="W1416" s="5" t="str">
        <f t="shared" si="22"/>
        <v>KONSUMTIF</v>
      </c>
      <c r="X1416" s="5" t="str">
        <f>VLOOKUP(T1416,'Data Angt'!$A$5:$H$5810,8,FALSE)</f>
        <v>Tenaga Pengajar</v>
      </c>
      <c r="Y1416" s="5" t="str">
        <f>VLOOKUP(T1416,'Data Angt'!$A$5:$C$5808,3,FALSE)</f>
        <v>BWI</v>
      </c>
    </row>
    <row r="1417" spans="1:25" x14ac:dyDescent="0.3">
      <c r="A1417" s="8">
        <v>1411</v>
      </c>
      <c r="B1417" s="9" t="s">
        <v>6748</v>
      </c>
      <c r="C1417" s="10" t="str">
        <f>VLOOKUP(B1417,'Data Angt'!$A$5:$B$5809,2,FALSE)</f>
        <v>A3001</v>
      </c>
      <c r="D1417" s="11" t="s">
        <v>9833</v>
      </c>
      <c r="E1417" s="12" t="s">
        <v>17309</v>
      </c>
      <c r="F1417" s="13">
        <v>45666</v>
      </c>
      <c r="G1417" s="14">
        <v>45917</v>
      </c>
      <c r="H1417" s="15">
        <v>9000000</v>
      </c>
      <c r="I1417" s="16">
        <v>24</v>
      </c>
      <c r="J1417" s="17">
        <v>24</v>
      </c>
      <c r="K1417" s="9" t="s">
        <v>9827</v>
      </c>
      <c r="L1417" s="10" t="s">
        <v>17310</v>
      </c>
      <c r="M1417" s="9" t="s">
        <v>15610</v>
      </c>
      <c r="N1417" s="10" t="s">
        <v>9834</v>
      </c>
      <c r="O1417" s="15">
        <v>6000000</v>
      </c>
      <c r="P1417" s="145">
        <v>461248</v>
      </c>
      <c r="Q1417" s="9" t="s">
        <v>23304</v>
      </c>
      <c r="R1417" s="146" t="s">
        <v>23569</v>
      </c>
      <c r="T1417" s="92" t="s">
        <v>13838</v>
      </c>
      <c r="U1417">
        <v>1</v>
      </c>
      <c r="V1417">
        <f>VLOOKUP(T1417,'Data Angt'!$A$5:$F$5810,6,FALSE)</f>
        <v>19</v>
      </c>
      <c r="W1417" s="5" t="str">
        <f t="shared" si="22"/>
        <v>PRODUKTIF</v>
      </c>
      <c r="X1417" s="5" t="str">
        <f>VLOOKUP(T1417,'Data Angt'!$A$5:$H$5810,8,FALSE)</f>
        <v>Pelajar/Mahasiswa</v>
      </c>
      <c r="Y1417" s="5" t="str">
        <f>VLOOKUP(T1417,'Data Angt'!$A$5:$C$5808,3,FALSE)</f>
        <v>BWI</v>
      </c>
    </row>
    <row r="1418" spans="1:25" x14ac:dyDescent="0.3">
      <c r="A1418" s="8">
        <v>1412</v>
      </c>
      <c r="B1418" s="9" t="s">
        <v>6923</v>
      </c>
      <c r="C1418" s="10" t="str">
        <f>VLOOKUP(B1418,'Data Angt'!$A$5:$B$5809,2,FALSE)</f>
        <v>A3093</v>
      </c>
      <c r="D1418" s="11" t="s">
        <v>9826</v>
      </c>
      <c r="E1418" s="12" t="s">
        <v>17311</v>
      </c>
      <c r="F1418" s="13">
        <v>45642</v>
      </c>
      <c r="G1418" s="14">
        <v>45916</v>
      </c>
      <c r="H1418" s="15">
        <v>2000000</v>
      </c>
      <c r="I1418" s="16">
        <v>12</v>
      </c>
      <c r="J1418" s="17">
        <v>11.9</v>
      </c>
      <c r="K1418" s="9" t="s">
        <v>9831</v>
      </c>
      <c r="L1418" s="10" t="s">
        <v>17312</v>
      </c>
      <c r="M1418" s="9" t="s">
        <v>9861</v>
      </c>
      <c r="N1418" s="10" t="s">
        <v>9830</v>
      </c>
      <c r="O1418" s="15">
        <v>521900</v>
      </c>
      <c r="P1418" s="145">
        <v>45446</v>
      </c>
      <c r="Q1418" s="9"/>
      <c r="R1418" s="146"/>
      <c r="T1418" s="92" t="s">
        <v>13883</v>
      </c>
      <c r="U1418">
        <v>1</v>
      </c>
      <c r="V1418">
        <f>VLOOKUP(T1418,'Data Angt'!$A$5:$F$5810,6,FALSE)</f>
        <v>18</v>
      </c>
      <c r="W1418" s="5" t="str">
        <f t="shared" si="22"/>
        <v>PRODUKTIF</v>
      </c>
      <c r="X1418" s="5" t="str">
        <f>VLOOKUP(T1418,'Data Angt'!$A$5:$H$5810,8,FALSE)</f>
        <v>Wiraswasta</v>
      </c>
      <c r="Y1418" s="5" t="str">
        <f>VLOOKUP(T1418,'Data Angt'!$A$5:$C$5808,3,FALSE)</f>
        <v>BWI</v>
      </c>
    </row>
    <row r="1419" spans="1:25" x14ac:dyDescent="0.3">
      <c r="A1419" s="8">
        <v>1413</v>
      </c>
      <c r="B1419" s="9" t="s">
        <v>7179</v>
      </c>
      <c r="C1419" s="10" t="str">
        <f>VLOOKUP(B1419,'Data Angt'!$A$5:$B$5809,2,FALSE)</f>
        <v>A3211</v>
      </c>
      <c r="D1419" s="11" t="s">
        <v>9833</v>
      </c>
      <c r="E1419" s="12" t="s">
        <v>10535</v>
      </c>
      <c r="F1419" s="13">
        <v>43448</v>
      </c>
      <c r="G1419" s="14">
        <v>44242</v>
      </c>
      <c r="H1419" s="15">
        <v>2000000</v>
      </c>
      <c r="I1419" s="16">
        <v>6</v>
      </c>
      <c r="J1419" s="17">
        <v>24</v>
      </c>
      <c r="K1419" s="9" t="s">
        <v>9827</v>
      </c>
      <c r="L1419" s="10" t="s">
        <v>10536</v>
      </c>
      <c r="M1419" s="9" t="s">
        <v>10537</v>
      </c>
      <c r="N1419" s="10" t="s">
        <v>9834</v>
      </c>
      <c r="O1419" s="15">
        <v>2000000</v>
      </c>
      <c r="P1419" s="145">
        <v>140250</v>
      </c>
      <c r="Q1419" s="9"/>
      <c r="R1419" s="146"/>
      <c r="T1419" s="92" t="s">
        <v>13893</v>
      </c>
      <c r="U1419">
        <v>1</v>
      </c>
      <c r="V1419">
        <f>VLOOKUP(T1419,'Data Angt'!$A$5:$F$5810,6,FALSE)</f>
        <v>51</v>
      </c>
      <c r="W1419" s="5" t="str">
        <f t="shared" si="22"/>
        <v>KONSUMTIF</v>
      </c>
      <c r="X1419" s="5" t="str">
        <f>VLOOKUP(T1419,'Data Angt'!$A$5:$H$5810,8,FALSE)</f>
        <v>Tenaga Pengajar</v>
      </c>
      <c r="Y1419" s="5" t="str">
        <f>VLOOKUP(T1419,'Data Angt'!$A$5:$C$5808,3,FALSE)</f>
        <v>BWI</v>
      </c>
    </row>
    <row r="1420" spans="1:25" x14ac:dyDescent="0.3">
      <c r="A1420" s="8">
        <v>1414</v>
      </c>
      <c r="B1420" s="9" t="s">
        <v>7236</v>
      </c>
      <c r="C1420" s="10" t="str">
        <f>VLOOKUP(B1420,'Data Angt'!$A$5:$B$5809,2,FALSE)</f>
        <v>A3235</v>
      </c>
      <c r="D1420" s="11" t="s">
        <v>9829</v>
      </c>
      <c r="E1420" s="12" t="s">
        <v>17313</v>
      </c>
      <c r="F1420" s="13">
        <v>45694</v>
      </c>
      <c r="G1420" s="14">
        <v>45901</v>
      </c>
      <c r="H1420" s="15">
        <v>16000000</v>
      </c>
      <c r="I1420" s="16">
        <v>36</v>
      </c>
      <c r="J1420" s="17">
        <v>24</v>
      </c>
      <c r="K1420" s="9" t="s">
        <v>9831</v>
      </c>
      <c r="L1420" s="10" t="s">
        <v>17314</v>
      </c>
      <c r="M1420" s="9" t="s">
        <v>17315</v>
      </c>
      <c r="N1420" s="10" t="s">
        <v>17</v>
      </c>
      <c r="O1420" s="15">
        <v>13712000</v>
      </c>
      <c r="P1420" s="145">
        <v>789974</v>
      </c>
      <c r="Q1420" s="9"/>
      <c r="R1420" s="146"/>
      <c r="T1420" s="92" t="s">
        <v>13903</v>
      </c>
      <c r="U1420">
        <v>1</v>
      </c>
      <c r="V1420">
        <f>VLOOKUP(T1420,'Data Angt'!$A$5:$F$5810,6,FALSE)</f>
        <v>31</v>
      </c>
      <c r="W1420" s="5" t="str">
        <f t="shared" si="22"/>
        <v>PRODUKTIF</v>
      </c>
      <c r="X1420" s="5" t="str">
        <f>VLOOKUP(T1420,'Data Angt'!$A$5:$H$5810,8,FALSE)</f>
        <v>Wiraswasta</v>
      </c>
      <c r="Y1420" s="5" t="str">
        <f>VLOOKUP(T1420,'Data Angt'!$A$5:$C$5808,3,FALSE)</f>
        <v>BWI</v>
      </c>
    </row>
    <row r="1421" spans="1:25" x14ac:dyDescent="0.3">
      <c r="A1421" s="8">
        <v>1415</v>
      </c>
      <c r="B1421" s="9" t="s">
        <v>7304</v>
      </c>
      <c r="C1421" s="10" t="str">
        <f>VLOOKUP(B1421,'Data Angt'!$A$5:$B$5809,2,FALSE)</f>
        <v>A3269</v>
      </c>
      <c r="D1421" s="11" t="s">
        <v>9829</v>
      </c>
      <c r="E1421" s="12" t="s">
        <v>23570</v>
      </c>
      <c r="F1421" s="13">
        <v>45897</v>
      </c>
      <c r="G1421" s="14">
        <v>45926</v>
      </c>
      <c r="H1421" s="15">
        <v>4000000</v>
      </c>
      <c r="I1421" s="16">
        <v>12</v>
      </c>
      <c r="J1421" s="17">
        <v>24</v>
      </c>
      <c r="K1421" s="9" t="s">
        <v>9827</v>
      </c>
      <c r="L1421" s="10" t="s">
        <v>23571</v>
      </c>
      <c r="M1421" s="9" t="s">
        <v>10495</v>
      </c>
      <c r="N1421" s="10" t="s">
        <v>17</v>
      </c>
      <c r="O1421" s="15">
        <v>3666600</v>
      </c>
      <c r="P1421" s="145">
        <v>30000</v>
      </c>
      <c r="Q1421" s="9"/>
      <c r="R1421" s="146"/>
      <c r="T1421" s="92" t="s">
        <v>13906</v>
      </c>
      <c r="U1421">
        <v>1</v>
      </c>
      <c r="V1421">
        <f>VLOOKUP(T1421,'Data Angt'!$A$5:$F$5810,6,FALSE)</f>
        <v>21</v>
      </c>
      <c r="W1421" s="5" t="str">
        <f t="shared" si="22"/>
        <v>PRODUKTIF</v>
      </c>
      <c r="X1421" s="5" t="str">
        <f>VLOOKUP(T1421,'Data Angt'!$A$5:$H$5810,8,FALSE)</f>
        <v>Wiraswasta</v>
      </c>
      <c r="Y1421" s="5" t="str">
        <f>VLOOKUP(T1421,'Data Angt'!$A$5:$C$5808,3,FALSE)</f>
        <v>BWI</v>
      </c>
    </row>
    <row r="1422" spans="1:25" x14ac:dyDescent="0.3">
      <c r="A1422" s="8">
        <v>1416</v>
      </c>
      <c r="B1422" s="9" t="s">
        <v>7446</v>
      </c>
      <c r="C1422" s="10" t="str">
        <f>VLOOKUP(B1422,'Data Angt'!$A$5:$B$5809,2,FALSE)</f>
        <v>A3331</v>
      </c>
      <c r="D1422" s="11" t="s">
        <v>9833</v>
      </c>
      <c r="E1422" s="12" t="s">
        <v>17316</v>
      </c>
      <c r="F1422" s="13">
        <v>45647</v>
      </c>
      <c r="G1422" s="14">
        <v>45920</v>
      </c>
      <c r="H1422" s="15">
        <v>5000000</v>
      </c>
      <c r="I1422" s="16">
        <v>12</v>
      </c>
      <c r="J1422" s="17">
        <v>24</v>
      </c>
      <c r="K1422" s="9" t="s">
        <v>9827</v>
      </c>
      <c r="L1422" s="10" t="s">
        <v>17317</v>
      </c>
      <c r="M1422" s="9" t="s">
        <v>10570</v>
      </c>
      <c r="N1422" s="10" t="s">
        <v>9834</v>
      </c>
      <c r="O1422" s="15">
        <v>1249700</v>
      </c>
      <c r="P1422" s="145">
        <v>225111</v>
      </c>
      <c r="Q1422" s="9"/>
      <c r="R1422" s="146"/>
      <c r="T1422" s="92" t="s">
        <v>13920</v>
      </c>
      <c r="U1422">
        <v>1</v>
      </c>
      <c r="V1422">
        <f>VLOOKUP(T1422,'Data Angt'!$A$5:$F$5810,6,FALSE)</f>
        <v>42</v>
      </c>
      <c r="W1422" s="5" t="str">
        <f t="shared" si="22"/>
        <v>PRODUKTIF</v>
      </c>
      <c r="X1422" s="5" t="str">
        <f>VLOOKUP(T1422,'Data Angt'!$A$5:$H$5810,8,FALSE)</f>
        <v>Karyawan</v>
      </c>
      <c r="Y1422" s="5" t="str">
        <f>VLOOKUP(T1422,'Data Angt'!$A$5:$C$5808,3,FALSE)</f>
        <v>BWI</v>
      </c>
    </row>
    <row r="1423" spans="1:25" x14ac:dyDescent="0.3">
      <c r="A1423" s="8">
        <v>1417</v>
      </c>
      <c r="B1423" s="9" t="s">
        <v>7448</v>
      </c>
      <c r="C1423" s="10" t="str">
        <f>VLOOKUP(B1423,'Data Angt'!$A$5:$B$5809,2,FALSE)</f>
        <v>A3332</v>
      </c>
      <c r="D1423" s="11" t="s">
        <v>9833</v>
      </c>
      <c r="E1423" s="12" t="s">
        <v>10539</v>
      </c>
      <c r="F1423" s="13">
        <v>45280</v>
      </c>
      <c r="G1423" s="14">
        <v>45920</v>
      </c>
      <c r="H1423" s="15">
        <v>20000000</v>
      </c>
      <c r="I1423" s="16">
        <v>36</v>
      </c>
      <c r="J1423" s="17">
        <v>24</v>
      </c>
      <c r="K1423" s="9" t="s">
        <v>9827</v>
      </c>
      <c r="L1423" s="10" t="s">
        <v>10540</v>
      </c>
      <c r="M1423" s="9" t="s">
        <v>10060</v>
      </c>
      <c r="N1423" s="10" t="s">
        <v>9834</v>
      </c>
      <c r="O1423" s="15">
        <v>8332400</v>
      </c>
      <c r="P1423" s="145">
        <v>2275270</v>
      </c>
      <c r="Q1423" s="9" t="s">
        <v>22189</v>
      </c>
      <c r="R1423" s="146" t="s">
        <v>23572</v>
      </c>
      <c r="T1423" s="92" t="s">
        <v>13939</v>
      </c>
      <c r="U1423">
        <v>1</v>
      </c>
      <c r="V1423">
        <f>VLOOKUP(T1423,'Data Angt'!$A$5:$F$5810,6,FALSE)</f>
        <v>27</v>
      </c>
      <c r="W1423" s="5" t="str">
        <f t="shared" si="22"/>
        <v>PRODUKTIF</v>
      </c>
      <c r="X1423" s="5" t="str">
        <f>VLOOKUP(T1423,'Data Angt'!$A$5:$H$5810,8,FALSE)</f>
        <v>Wiraswasta</v>
      </c>
      <c r="Y1423" s="5" t="str">
        <f>VLOOKUP(T1423,'Data Angt'!$A$5:$C$5808,3,FALSE)</f>
        <v>BWI</v>
      </c>
    </row>
    <row r="1424" spans="1:25" x14ac:dyDescent="0.3">
      <c r="A1424" s="8">
        <v>1418</v>
      </c>
      <c r="B1424" s="9" t="s">
        <v>7613</v>
      </c>
      <c r="C1424" s="10" t="str">
        <f>VLOOKUP(B1424,'Data Angt'!$A$5:$B$5809,2,FALSE)</f>
        <v>A3410</v>
      </c>
      <c r="D1424" s="11" t="s">
        <v>9829</v>
      </c>
      <c r="E1424" s="12" t="s">
        <v>23573</v>
      </c>
      <c r="F1424" s="13">
        <v>45848</v>
      </c>
      <c r="G1424" s="14">
        <v>45910</v>
      </c>
      <c r="H1424" s="15">
        <v>25000000</v>
      </c>
      <c r="I1424" s="16">
        <v>25</v>
      </c>
      <c r="J1424" s="17">
        <v>21</v>
      </c>
      <c r="K1424" s="9" t="s">
        <v>9827</v>
      </c>
      <c r="L1424" s="10" t="s">
        <v>23574</v>
      </c>
      <c r="M1424" s="9" t="s">
        <v>9841</v>
      </c>
      <c r="N1424" s="10" t="s">
        <v>17</v>
      </c>
      <c r="O1424" s="15">
        <v>23000000</v>
      </c>
      <c r="P1424" s="145">
        <v>321562</v>
      </c>
      <c r="Q1424" s="9" t="s">
        <v>23304</v>
      </c>
      <c r="R1424" s="146" t="s">
        <v>23575</v>
      </c>
      <c r="T1424" s="92" t="s">
        <v>13960</v>
      </c>
      <c r="U1424">
        <v>1</v>
      </c>
      <c r="V1424">
        <f>VLOOKUP(T1424,'Data Angt'!$A$5:$F$5810,6,FALSE)</f>
        <v>17</v>
      </c>
      <c r="W1424" s="5" t="str">
        <f t="shared" si="22"/>
        <v>PRODUKTIF</v>
      </c>
      <c r="X1424" s="5" t="str">
        <f>VLOOKUP(T1424,'Data Angt'!$A$5:$H$5810,8,FALSE)</f>
        <v>Belum/Tidak Bekerja</v>
      </c>
      <c r="Y1424" s="5" t="str">
        <f>VLOOKUP(T1424,'Data Angt'!$A$5:$C$5808,3,FALSE)</f>
        <v>BWI</v>
      </c>
    </row>
    <row r="1425" spans="1:25" x14ac:dyDescent="0.3">
      <c r="A1425" s="8">
        <v>1419</v>
      </c>
      <c r="B1425" s="9" t="s">
        <v>7617</v>
      </c>
      <c r="C1425" s="10" t="str">
        <f>VLOOKUP(B1425,'Data Angt'!$A$5:$B$5809,2,FALSE)</f>
        <v>A3412</v>
      </c>
      <c r="D1425" s="11" t="s">
        <v>9826</v>
      </c>
      <c r="E1425" s="12" t="s">
        <v>17318</v>
      </c>
      <c r="F1425" s="13">
        <v>45740</v>
      </c>
      <c r="G1425" s="14">
        <v>45909</v>
      </c>
      <c r="H1425" s="15">
        <v>3000000</v>
      </c>
      <c r="I1425" s="16">
        <v>12</v>
      </c>
      <c r="J1425" s="17">
        <v>24</v>
      </c>
      <c r="K1425" s="9" t="s">
        <v>9827</v>
      </c>
      <c r="L1425" s="10" t="s">
        <v>17319</v>
      </c>
      <c r="M1425" s="9" t="s">
        <v>10512</v>
      </c>
      <c r="N1425" s="10" t="s">
        <v>9828</v>
      </c>
      <c r="O1425" s="15">
        <v>1500000</v>
      </c>
      <c r="P1425" s="145">
        <v>106875</v>
      </c>
      <c r="Q1425" s="9"/>
      <c r="R1425" s="146"/>
      <c r="T1425" s="92" t="s">
        <v>13962</v>
      </c>
      <c r="U1425">
        <v>1</v>
      </c>
      <c r="V1425">
        <f>VLOOKUP(T1425,'Data Angt'!$A$5:$F$5810,6,FALSE)</f>
        <v>22</v>
      </c>
      <c r="W1425" s="5" t="str">
        <f t="shared" si="22"/>
        <v>KONSUMTIF</v>
      </c>
      <c r="X1425" s="5" t="str">
        <f>VLOOKUP(T1425,'Data Angt'!$A$5:$H$5810,8,FALSE)</f>
        <v>Karyawan</v>
      </c>
      <c r="Y1425" s="5" t="str">
        <f>VLOOKUP(T1425,'Data Angt'!$A$5:$C$5808,3,FALSE)</f>
        <v>BWI</v>
      </c>
    </row>
    <row r="1426" spans="1:25" x14ac:dyDescent="0.3">
      <c r="A1426" s="8">
        <v>1420</v>
      </c>
      <c r="B1426" s="9" t="s">
        <v>7617</v>
      </c>
      <c r="C1426" s="10" t="str">
        <f>VLOOKUP(B1426,'Data Angt'!$A$5:$B$5809,2,FALSE)</f>
        <v>A3412</v>
      </c>
      <c r="D1426" s="11" t="s">
        <v>9829</v>
      </c>
      <c r="E1426" s="12" t="s">
        <v>17320</v>
      </c>
      <c r="F1426" s="13">
        <v>45826</v>
      </c>
      <c r="G1426" s="14">
        <v>45909</v>
      </c>
      <c r="H1426" s="15">
        <v>7500000</v>
      </c>
      <c r="I1426" s="16">
        <v>24</v>
      </c>
      <c r="J1426" s="17">
        <v>24</v>
      </c>
      <c r="K1426" s="9" t="s">
        <v>9827</v>
      </c>
      <c r="L1426" s="10" t="s">
        <v>17321</v>
      </c>
      <c r="M1426" s="9" t="s">
        <v>17322</v>
      </c>
      <c r="N1426" s="10" t="s">
        <v>9828</v>
      </c>
      <c r="O1426" s="15">
        <v>6562500</v>
      </c>
      <c r="P1426" s="145">
        <v>161737</v>
      </c>
      <c r="Q1426" s="9" t="s">
        <v>22189</v>
      </c>
      <c r="R1426" s="146" t="s">
        <v>23576</v>
      </c>
      <c r="T1426" s="92" t="s">
        <v>13972</v>
      </c>
      <c r="U1426">
        <v>1</v>
      </c>
      <c r="V1426">
        <f>VLOOKUP(T1426,'Data Angt'!$A$5:$F$5810,6,FALSE)</f>
        <v>57</v>
      </c>
      <c r="W1426" s="5" t="str">
        <f t="shared" si="22"/>
        <v>PENDIDIKAN</v>
      </c>
      <c r="X1426" s="5" t="str">
        <f>VLOOKUP(T1426,'Data Angt'!$A$5:$H$5810,8,FALSE)</f>
        <v>Wiraswasta</v>
      </c>
      <c r="Y1426" s="5" t="str">
        <f>VLOOKUP(T1426,'Data Angt'!$A$5:$C$5808,3,FALSE)</f>
        <v>BWI</v>
      </c>
    </row>
    <row r="1427" spans="1:25" x14ac:dyDescent="0.3">
      <c r="A1427" s="8">
        <v>1421</v>
      </c>
      <c r="B1427" s="9" t="s">
        <v>7637</v>
      </c>
      <c r="C1427" s="10" t="str">
        <f>VLOOKUP(B1427,'Data Angt'!$A$5:$B$5809,2,FALSE)</f>
        <v>A3420</v>
      </c>
      <c r="D1427" s="11" t="s">
        <v>9829</v>
      </c>
      <c r="E1427" s="12" t="s">
        <v>10542</v>
      </c>
      <c r="F1427" s="13">
        <v>45244</v>
      </c>
      <c r="G1427" s="14">
        <v>45916</v>
      </c>
      <c r="H1427" s="15">
        <v>17000000</v>
      </c>
      <c r="I1427" s="16">
        <v>36</v>
      </c>
      <c r="J1427" s="17">
        <v>24</v>
      </c>
      <c r="K1427" s="9" t="s">
        <v>9827</v>
      </c>
      <c r="L1427" s="10" t="s">
        <v>10543</v>
      </c>
      <c r="M1427" s="9" t="s">
        <v>10095</v>
      </c>
      <c r="N1427" s="10" t="s">
        <v>9828</v>
      </c>
      <c r="O1427" s="15">
        <v>6609400</v>
      </c>
      <c r="P1427" s="145">
        <v>1987157</v>
      </c>
      <c r="Q1427" s="9" t="s">
        <v>22189</v>
      </c>
      <c r="R1427" s="146" t="s">
        <v>23577</v>
      </c>
      <c r="T1427" s="92" t="s">
        <v>13975</v>
      </c>
      <c r="U1427">
        <v>1</v>
      </c>
      <c r="V1427">
        <f>VLOOKUP(T1427,'Data Angt'!$A$5:$F$5810,6,FALSE)</f>
        <v>20</v>
      </c>
      <c r="W1427" s="5" t="str">
        <f t="shared" si="22"/>
        <v>PRODUKTIF</v>
      </c>
      <c r="X1427" s="5" t="str">
        <f>VLOOKUP(T1427,'Data Angt'!$A$5:$H$5810,8,FALSE)</f>
        <v>Karyawan</v>
      </c>
      <c r="Y1427" s="5" t="str">
        <f>VLOOKUP(T1427,'Data Angt'!$A$5:$C$5808,3,FALSE)</f>
        <v>BWI</v>
      </c>
    </row>
    <row r="1428" spans="1:25" x14ac:dyDescent="0.3">
      <c r="A1428" s="8">
        <v>1422</v>
      </c>
      <c r="B1428" s="9" t="s">
        <v>7659</v>
      </c>
      <c r="C1428" s="10" t="str">
        <f>VLOOKUP(B1428,'Data Angt'!$A$5:$B$5809,2,FALSE)</f>
        <v>A3431</v>
      </c>
      <c r="D1428" s="11" t="s">
        <v>9833</v>
      </c>
      <c r="E1428" s="12" t="s">
        <v>17323</v>
      </c>
      <c r="F1428" s="13">
        <v>45365</v>
      </c>
      <c r="G1428" s="14">
        <v>45919</v>
      </c>
      <c r="H1428" s="15">
        <v>12000000</v>
      </c>
      <c r="I1428" s="16">
        <v>24</v>
      </c>
      <c r="J1428" s="17">
        <v>24</v>
      </c>
      <c r="K1428" s="9" t="s">
        <v>9827</v>
      </c>
      <c r="L1428" s="10" t="s">
        <v>17324</v>
      </c>
      <c r="M1428" s="9" t="s">
        <v>17325</v>
      </c>
      <c r="N1428" s="10" t="s">
        <v>9834</v>
      </c>
      <c r="O1428" s="15">
        <v>3000000</v>
      </c>
      <c r="P1428" s="145">
        <v>1046250</v>
      </c>
      <c r="Q1428" s="9" t="s">
        <v>22189</v>
      </c>
      <c r="R1428" s="146" t="s">
        <v>23578</v>
      </c>
      <c r="T1428" s="92" t="s">
        <v>13988</v>
      </c>
      <c r="U1428">
        <v>1</v>
      </c>
      <c r="V1428">
        <f>VLOOKUP(T1428,'Data Angt'!$A$5:$F$5810,6,FALSE)</f>
        <v>22</v>
      </c>
      <c r="W1428" s="5" t="str">
        <f t="shared" si="22"/>
        <v>PRODUKTIF</v>
      </c>
      <c r="X1428" s="5" t="str">
        <f>VLOOKUP(T1428,'Data Angt'!$A$5:$H$5810,8,FALSE)</f>
        <v>Wiraswasta</v>
      </c>
      <c r="Y1428" s="5" t="str">
        <f>VLOOKUP(T1428,'Data Angt'!$A$5:$C$5808,3,FALSE)</f>
        <v>BWI</v>
      </c>
    </row>
    <row r="1429" spans="1:25" x14ac:dyDescent="0.3">
      <c r="A1429" s="8">
        <v>1423</v>
      </c>
      <c r="B1429" s="9" t="s">
        <v>12510</v>
      </c>
      <c r="C1429" s="10" t="str">
        <f>VLOOKUP(B1429,'Data Angt'!$A$5:$B$5809,2,FALSE)</f>
        <v>A3484</v>
      </c>
      <c r="D1429" s="11" t="s">
        <v>9833</v>
      </c>
      <c r="E1429" s="12" t="s">
        <v>17326</v>
      </c>
      <c r="F1429" s="13">
        <v>45796</v>
      </c>
      <c r="G1429" s="14">
        <v>45924</v>
      </c>
      <c r="H1429" s="15">
        <v>15000000</v>
      </c>
      <c r="I1429" s="16">
        <v>18</v>
      </c>
      <c r="J1429" s="17">
        <v>24</v>
      </c>
      <c r="K1429" s="9" t="s">
        <v>9831</v>
      </c>
      <c r="L1429" s="10" t="s">
        <v>17327</v>
      </c>
      <c r="M1429" s="9" t="s">
        <v>17328</v>
      </c>
      <c r="N1429" s="10" t="s">
        <v>9834</v>
      </c>
      <c r="O1429" s="15">
        <v>12112500</v>
      </c>
      <c r="P1429" s="145">
        <v>418087</v>
      </c>
      <c r="Q1429" s="9" t="s">
        <v>23579</v>
      </c>
      <c r="R1429" s="146" t="s">
        <v>23580</v>
      </c>
      <c r="T1429" s="92" t="s">
        <v>13990</v>
      </c>
      <c r="U1429">
        <v>1</v>
      </c>
      <c r="V1429">
        <f>VLOOKUP(T1429,'Data Angt'!$A$5:$F$5810,6,FALSE)</f>
        <v>28</v>
      </c>
      <c r="W1429" s="5" t="str">
        <f t="shared" si="22"/>
        <v>PRODUKTIF</v>
      </c>
      <c r="X1429" s="5" t="str">
        <f>VLOOKUP(T1429,'Data Angt'!$A$5:$H$5810,8,FALSE)</f>
        <v>Wiraswasta</v>
      </c>
      <c r="Y1429" s="5" t="str">
        <f>VLOOKUP(T1429,'Data Angt'!$A$5:$C$5808,3,FALSE)</f>
        <v>BWI</v>
      </c>
    </row>
    <row r="1430" spans="1:25" x14ac:dyDescent="0.3">
      <c r="A1430" s="8">
        <v>1424</v>
      </c>
      <c r="B1430" s="9" t="s">
        <v>7882</v>
      </c>
      <c r="C1430" s="10" t="str">
        <f>VLOOKUP(B1430,'Data Angt'!$A$5:$B$5809,2,FALSE)</f>
        <v>A3548</v>
      </c>
      <c r="D1430" s="11" t="s">
        <v>9829</v>
      </c>
      <c r="E1430" s="12" t="s">
        <v>17329</v>
      </c>
      <c r="F1430" s="13">
        <v>45671</v>
      </c>
      <c r="G1430" s="14">
        <v>45916</v>
      </c>
      <c r="H1430" s="15">
        <v>3000000</v>
      </c>
      <c r="I1430" s="16">
        <v>10</v>
      </c>
      <c r="J1430" s="17">
        <v>24</v>
      </c>
      <c r="K1430" s="9" t="s">
        <v>9827</v>
      </c>
      <c r="L1430" s="10" t="s">
        <v>17330</v>
      </c>
      <c r="M1430" s="9" t="s">
        <v>10495</v>
      </c>
      <c r="N1430" s="10" t="s">
        <v>17</v>
      </c>
      <c r="O1430" s="15">
        <v>600000</v>
      </c>
      <c r="P1430" s="145">
        <v>117000</v>
      </c>
      <c r="Q1430" s="9"/>
      <c r="R1430" s="146"/>
      <c r="T1430" s="92" t="s">
        <v>14017</v>
      </c>
      <c r="U1430">
        <v>1</v>
      </c>
      <c r="V1430">
        <f>VLOOKUP(T1430,'Data Angt'!$A$5:$F$5810,6,FALSE)</f>
        <v>43</v>
      </c>
      <c r="W1430" s="5" t="str">
        <f t="shared" si="22"/>
        <v>PRODUKTIF</v>
      </c>
      <c r="X1430" s="5" t="str">
        <f>VLOOKUP(T1430,'Data Angt'!$A$5:$H$5810,8,FALSE)</f>
        <v>Wiraswasta</v>
      </c>
      <c r="Y1430" s="5" t="str">
        <f>VLOOKUP(T1430,'Data Angt'!$A$5:$C$5808,3,FALSE)</f>
        <v>BWI</v>
      </c>
    </row>
    <row r="1431" spans="1:25" x14ac:dyDescent="0.3">
      <c r="A1431" s="8">
        <v>1425</v>
      </c>
      <c r="B1431" s="9" t="s">
        <v>7981</v>
      </c>
      <c r="C1431" s="10" t="str">
        <f>VLOOKUP(B1431,'Data Angt'!$A$5:$B$5809,2,FALSE)</f>
        <v>A3598</v>
      </c>
      <c r="D1431" s="11" t="s">
        <v>9829</v>
      </c>
      <c r="E1431" s="12" t="s">
        <v>17331</v>
      </c>
      <c r="F1431" s="13">
        <v>45502</v>
      </c>
      <c r="G1431" s="14">
        <v>45919</v>
      </c>
      <c r="H1431" s="15">
        <v>7000000</v>
      </c>
      <c r="I1431" s="16">
        <v>24</v>
      </c>
      <c r="J1431" s="17">
        <v>24</v>
      </c>
      <c r="K1431" s="9" t="s">
        <v>9831</v>
      </c>
      <c r="L1431" s="10" t="s">
        <v>17332</v>
      </c>
      <c r="M1431" s="9" t="s">
        <v>15527</v>
      </c>
      <c r="N1431" s="10" t="s">
        <v>9828</v>
      </c>
      <c r="O1431" s="15">
        <v>3325200</v>
      </c>
      <c r="P1431" s="145">
        <v>564972</v>
      </c>
      <c r="Q1431" s="9" t="s">
        <v>23581</v>
      </c>
      <c r="R1431" s="146" t="s">
        <v>23582</v>
      </c>
      <c r="T1431" s="92" t="s">
        <v>14020</v>
      </c>
      <c r="U1431">
        <v>1</v>
      </c>
      <c r="V1431">
        <f>VLOOKUP(T1431,'Data Angt'!$A$5:$F$5810,6,FALSE)</f>
        <v>36</v>
      </c>
      <c r="W1431" s="5" t="str">
        <f t="shared" si="22"/>
        <v>PRODUKTIF</v>
      </c>
      <c r="X1431" s="5" t="str">
        <f>VLOOKUP(T1431,'Data Angt'!$A$5:$H$5810,8,FALSE)</f>
        <v>Wiraswasta</v>
      </c>
      <c r="Y1431" s="5" t="str">
        <f>VLOOKUP(T1431,'Data Angt'!$A$5:$C$5808,3,FALSE)</f>
        <v>BWI</v>
      </c>
    </row>
    <row r="1432" spans="1:25" x14ac:dyDescent="0.3">
      <c r="A1432" s="8">
        <v>1426</v>
      </c>
      <c r="B1432" s="9" t="s">
        <v>7988</v>
      </c>
      <c r="C1432" s="10" t="str">
        <f>VLOOKUP(B1432,'Data Angt'!$A$5:$B$5809,2,FALSE)</f>
        <v>A3601</v>
      </c>
      <c r="D1432" s="11" t="s">
        <v>9829</v>
      </c>
      <c r="E1432" s="12" t="s">
        <v>23583</v>
      </c>
      <c r="F1432" s="13">
        <v>45896</v>
      </c>
      <c r="G1432" s="14">
        <v>45930</v>
      </c>
      <c r="H1432" s="15">
        <v>10000000</v>
      </c>
      <c r="I1432" s="16">
        <v>24</v>
      </c>
      <c r="J1432" s="17">
        <v>24</v>
      </c>
      <c r="K1432" s="9" t="s">
        <v>9827</v>
      </c>
      <c r="L1432" s="10" t="s">
        <v>23584</v>
      </c>
      <c r="M1432" s="9" t="s">
        <v>2150</v>
      </c>
      <c r="N1432" s="10" t="s">
        <v>9828</v>
      </c>
      <c r="O1432" s="15">
        <v>9583300</v>
      </c>
      <c r="P1432" s="145">
        <v>75000</v>
      </c>
      <c r="Q1432" s="9" t="s">
        <v>23304</v>
      </c>
      <c r="R1432" s="146" t="s">
        <v>23585</v>
      </c>
      <c r="T1432" s="92" t="s">
        <v>14052</v>
      </c>
      <c r="U1432">
        <v>1</v>
      </c>
      <c r="V1432">
        <f>VLOOKUP(T1432,'Data Angt'!$A$5:$F$5810,6,FALSE)</f>
        <v>37</v>
      </c>
      <c r="W1432" s="5" t="str">
        <f t="shared" si="22"/>
        <v>PENDIDIKAN</v>
      </c>
      <c r="X1432" s="5" t="str">
        <f>VLOOKUP(T1432,'Data Angt'!$A$5:$H$5810,8,FALSE)</f>
        <v>Wiraswasta</v>
      </c>
      <c r="Y1432" s="5" t="str">
        <f>VLOOKUP(T1432,'Data Angt'!$A$5:$C$5808,3,FALSE)</f>
        <v>BWI</v>
      </c>
    </row>
    <row r="1433" spans="1:25" x14ac:dyDescent="0.3">
      <c r="A1433" s="8">
        <v>1427</v>
      </c>
      <c r="B1433" s="9" t="s">
        <v>7993</v>
      </c>
      <c r="C1433" s="10" t="str">
        <f>VLOOKUP(B1433,'Data Angt'!$A$5:$B$5809,2,FALSE)</f>
        <v>A3603</v>
      </c>
      <c r="D1433" s="11" t="s">
        <v>9829</v>
      </c>
      <c r="E1433" s="12" t="s">
        <v>17333</v>
      </c>
      <c r="F1433" s="13">
        <v>45518</v>
      </c>
      <c r="G1433" s="14">
        <v>45901</v>
      </c>
      <c r="H1433" s="15">
        <v>7000000</v>
      </c>
      <c r="I1433" s="16">
        <v>18</v>
      </c>
      <c r="J1433" s="17">
        <v>24</v>
      </c>
      <c r="K1433" s="9" t="s">
        <v>9827</v>
      </c>
      <c r="L1433" s="10" t="s">
        <v>17334</v>
      </c>
      <c r="M1433" s="9" t="s">
        <v>17335</v>
      </c>
      <c r="N1433" s="10" t="s">
        <v>17</v>
      </c>
      <c r="O1433" s="15">
        <v>1944300</v>
      </c>
      <c r="P1433" s="145">
        <v>455209</v>
      </c>
      <c r="Q1433" s="9" t="s">
        <v>23586</v>
      </c>
      <c r="R1433" s="146" t="s">
        <v>23587</v>
      </c>
      <c r="T1433" s="92" t="s">
        <v>14085</v>
      </c>
      <c r="U1433">
        <v>1</v>
      </c>
      <c r="V1433">
        <f>VLOOKUP(T1433,'Data Angt'!$A$5:$F$5810,6,FALSE)</f>
        <v>48</v>
      </c>
      <c r="W1433" s="5" t="str">
        <f t="shared" si="22"/>
        <v>KONSUMTIF</v>
      </c>
      <c r="X1433" s="5" t="str">
        <f>VLOOKUP(T1433,'Data Angt'!$A$5:$H$5810,8,FALSE)</f>
        <v>Karyawan</v>
      </c>
      <c r="Y1433" s="5" t="str">
        <f>VLOOKUP(T1433,'Data Angt'!$A$5:$C$5808,3,FALSE)</f>
        <v>BWI</v>
      </c>
    </row>
    <row r="1434" spans="1:25" x14ac:dyDescent="0.3">
      <c r="A1434" s="8">
        <v>1428</v>
      </c>
      <c r="B1434" s="9" t="s">
        <v>8034</v>
      </c>
      <c r="C1434" s="10" t="str">
        <f>VLOOKUP(B1434,'Data Angt'!$A$5:$B$5809,2,FALSE)</f>
        <v>A3623</v>
      </c>
      <c r="D1434" s="11" t="s">
        <v>9833</v>
      </c>
      <c r="E1434" s="12" t="s">
        <v>17336</v>
      </c>
      <c r="F1434" s="13">
        <v>45614</v>
      </c>
      <c r="G1434" s="14">
        <v>45918</v>
      </c>
      <c r="H1434" s="15">
        <v>25000000</v>
      </c>
      <c r="I1434" s="16">
        <v>12</v>
      </c>
      <c r="J1434" s="17">
        <v>21</v>
      </c>
      <c r="K1434" s="9" t="s">
        <v>9827</v>
      </c>
      <c r="L1434" s="10" t="s">
        <v>17337</v>
      </c>
      <c r="M1434" s="9" t="s">
        <v>17338</v>
      </c>
      <c r="N1434" s="10" t="s">
        <v>9834</v>
      </c>
      <c r="O1434" s="15">
        <v>4166000</v>
      </c>
      <c r="P1434" s="145">
        <v>1025548</v>
      </c>
      <c r="Q1434" s="9" t="s">
        <v>22189</v>
      </c>
      <c r="R1434" s="146" t="s">
        <v>23588</v>
      </c>
      <c r="T1434" s="92" t="s">
        <v>14088</v>
      </c>
      <c r="U1434">
        <v>1</v>
      </c>
      <c r="V1434">
        <f>VLOOKUP(T1434,'Data Angt'!$A$5:$F$5810,6,FALSE)</f>
        <v>46</v>
      </c>
      <c r="W1434" s="5" t="str">
        <f t="shared" si="22"/>
        <v>KONSUMTIF</v>
      </c>
      <c r="X1434" s="5" t="str">
        <f>VLOOKUP(T1434,'Data Angt'!$A$5:$H$5810,8,FALSE)</f>
        <v>Wiraswasta</v>
      </c>
      <c r="Y1434" s="5" t="str">
        <f>VLOOKUP(T1434,'Data Angt'!$A$5:$C$5808,3,FALSE)</f>
        <v>BWI</v>
      </c>
    </row>
    <row r="1435" spans="1:25" x14ac:dyDescent="0.3">
      <c r="A1435" s="8">
        <v>1429</v>
      </c>
      <c r="B1435" s="9" t="s">
        <v>8055</v>
      </c>
      <c r="C1435" s="10" t="str">
        <f>VLOOKUP(B1435,'Data Angt'!$A$5:$B$5809,2,FALSE)</f>
        <v>A3638</v>
      </c>
      <c r="D1435" s="11" t="s">
        <v>9833</v>
      </c>
      <c r="E1435" s="12" t="s">
        <v>10545</v>
      </c>
      <c r="F1435" s="13">
        <v>44067</v>
      </c>
      <c r="G1435" s="14">
        <v>45138</v>
      </c>
      <c r="H1435" s="15">
        <v>2000000</v>
      </c>
      <c r="I1435" s="16">
        <v>18</v>
      </c>
      <c r="J1435" s="17">
        <v>24</v>
      </c>
      <c r="K1435" s="9" t="s">
        <v>9831</v>
      </c>
      <c r="L1435" s="10" t="s">
        <v>10546</v>
      </c>
      <c r="M1435" s="9" t="s">
        <v>10547</v>
      </c>
      <c r="N1435" s="10" t="s">
        <v>9834</v>
      </c>
      <c r="O1435" s="15">
        <v>1189400</v>
      </c>
      <c r="P1435" s="145">
        <v>314361</v>
      </c>
      <c r="Q1435" s="9"/>
      <c r="R1435" s="146"/>
      <c r="T1435" s="92" t="s">
        <v>14207</v>
      </c>
      <c r="U1435">
        <v>1</v>
      </c>
      <c r="V1435">
        <f>VLOOKUP(T1435,'Data Angt'!$A$5:$F$5810,6,FALSE)</f>
        <v>51</v>
      </c>
      <c r="W1435" s="5" t="str">
        <f t="shared" si="22"/>
        <v>PRODUKTIF</v>
      </c>
      <c r="X1435" s="5" t="str">
        <f>VLOOKUP(T1435,'Data Angt'!$A$5:$H$5810,8,FALSE)</f>
        <v>Wiraswasta</v>
      </c>
      <c r="Y1435" s="5" t="str">
        <f>VLOOKUP(T1435,'Data Angt'!$A$5:$C$5808,3,FALSE)</f>
        <v>BWI</v>
      </c>
    </row>
    <row r="1436" spans="1:25" x14ac:dyDescent="0.3">
      <c r="A1436" s="8">
        <v>1430</v>
      </c>
      <c r="B1436" s="9" t="s">
        <v>8065</v>
      </c>
      <c r="C1436" s="10" t="str">
        <f>VLOOKUP(B1436,'Data Angt'!$A$5:$B$5809,2,FALSE)</f>
        <v>A3643</v>
      </c>
      <c r="D1436" s="11" t="s">
        <v>9833</v>
      </c>
      <c r="E1436" s="12" t="s">
        <v>10548</v>
      </c>
      <c r="F1436" s="13">
        <v>43858</v>
      </c>
      <c r="G1436" s="14">
        <v>44553</v>
      </c>
      <c r="H1436" s="15">
        <v>2000000</v>
      </c>
      <c r="I1436" s="16">
        <v>12</v>
      </c>
      <c r="J1436" s="17">
        <v>24</v>
      </c>
      <c r="K1436" s="9" t="s">
        <v>9831</v>
      </c>
      <c r="L1436" s="10"/>
      <c r="M1436" s="9" t="s">
        <v>10028</v>
      </c>
      <c r="N1436" s="10" t="s">
        <v>9834</v>
      </c>
      <c r="O1436" s="15">
        <v>1698700</v>
      </c>
      <c r="P1436" s="145">
        <v>121162</v>
      </c>
      <c r="Q1436" s="9" t="s">
        <v>22189</v>
      </c>
      <c r="R1436" s="146" t="s">
        <v>23589</v>
      </c>
      <c r="T1436" s="92" t="s">
        <v>14246</v>
      </c>
      <c r="U1436">
        <v>1</v>
      </c>
      <c r="V1436">
        <f>VLOOKUP(T1436,'Data Angt'!$A$5:$F$5810,6,FALSE)</f>
        <v>49</v>
      </c>
      <c r="W1436" s="5" t="str">
        <f t="shared" si="22"/>
        <v>KONSUMTIF</v>
      </c>
      <c r="X1436" s="5" t="str">
        <f>VLOOKUP(T1436,'Data Angt'!$A$5:$H$5810,8,FALSE)</f>
        <v>Mengurus Rumah Tangga</v>
      </c>
      <c r="Y1436" s="5" t="str">
        <f>VLOOKUP(T1436,'Data Angt'!$A$5:$C$5808,3,FALSE)</f>
        <v>BWI</v>
      </c>
    </row>
    <row r="1437" spans="1:25" x14ac:dyDescent="0.3">
      <c r="A1437" s="8">
        <v>1431</v>
      </c>
      <c r="B1437" s="9" t="s">
        <v>8088</v>
      </c>
      <c r="C1437" s="10" t="str">
        <f>VLOOKUP(B1437,'Data Angt'!$A$5:$B$5809,2,FALSE)</f>
        <v>A3659</v>
      </c>
      <c r="D1437" s="11" t="s">
        <v>9829</v>
      </c>
      <c r="E1437" s="12" t="s">
        <v>10549</v>
      </c>
      <c r="F1437" s="13">
        <v>43882</v>
      </c>
      <c r="G1437" s="14">
        <v>44252</v>
      </c>
      <c r="H1437" s="15">
        <v>1500000</v>
      </c>
      <c r="I1437" s="16">
        <v>10</v>
      </c>
      <c r="J1437" s="17">
        <v>24</v>
      </c>
      <c r="K1437" s="9" t="s">
        <v>9831</v>
      </c>
      <c r="L1437" s="10" t="s">
        <v>10550</v>
      </c>
      <c r="M1437" s="9" t="s">
        <v>10009</v>
      </c>
      <c r="N1437" s="10" t="s">
        <v>9828</v>
      </c>
      <c r="O1437" s="15">
        <v>1363000</v>
      </c>
      <c r="P1437" s="145">
        <v>41849</v>
      </c>
      <c r="Q1437" s="9"/>
      <c r="R1437" s="146"/>
      <c r="T1437" s="92" t="s">
        <v>14271</v>
      </c>
      <c r="U1437">
        <v>1</v>
      </c>
      <c r="V1437">
        <f>VLOOKUP(T1437,'Data Angt'!$A$5:$F$5810,6,FALSE)</f>
        <v>39</v>
      </c>
      <c r="W1437" s="5" t="str">
        <f t="shared" si="22"/>
        <v>PRODUKTIF</v>
      </c>
      <c r="X1437" s="5" t="str">
        <f>VLOOKUP(T1437,'Data Angt'!$A$5:$H$5810,8,FALSE)</f>
        <v>Karyawan</v>
      </c>
      <c r="Y1437" s="5" t="str">
        <f>VLOOKUP(T1437,'Data Angt'!$A$5:$C$5808,3,FALSE)</f>
        <v>BWI</v>
      </c>
    </row>
    <row r="1438" spans="1:25" x14ac:dyDescent="0.3">
      <c r="A1438" s="8">
        <v>1432</v>
      </c>
      <c r="B1438" s="9" t="s">
        <v>8090</v>
      </c>
      <c r="C1438" s="10" t="str">
        <f>VLOOKUP(B1438,'Data Angt'!$A$5:$B$5809,2,FALSE)</f>
        <v>A3660</v>
      </c>
      <c r="D1438" s="11" t="s">
        <v>9829</v>
      </c>
      <c r="E1438" s="12" t="s">
        <v>10551</v>
      </c>
      <c r="F1438" s="13">
        <v>43882</v>
      </c>
      <c r="G1438" s="14">
        <v>44252</v>
      </c>
      <c r="H1438" s="15">
        <v>1500000</v>
      </c>
      <c r="I1438" s="16">
        <v>10</v>
      </c>
      <c r="J1438" s="17">
        <v>24</v>
      </c>
      <c r="K1438" s="9" t="s">
        <v>9831</v>
      </c>
      <c r="L1438" s="10" t="s">
        <v>10552</v>
      </c>
      <c r="M1438" s="9" t="s">
        <v>9841</v>
      </c>
      <c r="N1438" s="10" t="s">
        <v>17</v>
      </c>
      <c r="O1438" s="15">
        <v>1363000</v>
      </c>
      <c r="P1438" s="145">
        <v>41849</v>
      </c>
      <c r="Q1438" s="9"/>
      <c r="R1438" s="146"/>
      <c r="T1438" s="92" t="s">
        <v>14398</v>
      </c>
      <c r="U1438">
        <v>1</v>
      </c>
      <c r="V1438">
        <f>VLOOKUP(T1438,'Data Angt'!$A$5:$F$5810,6,FALSE)</f>
        <v>42</v>
      </c>
      <c r="W1438" s="5" t="str">
        <f t="shared" si="22"/>
        <v>PRODUKTIF</v>
      </c>
      <c r="X1438" s="5" t="str">
        <f>VLOOKUP(T1438,'Data Angt'!$A$5:$H$5810,8,FALSE)</f>
        <v>Tenaga Pengajar</v>
      </c>
      <c r="Y1438" s="5" t="str">
        <f>VLOOKUP(T1438,'Data Angt'!$A$5:$C$5808,3,FALSE)</f>
        <v>BWI</v>
      </c>
    </row>
    <row r="1439" spans="1:25" x14ac:dyDescent="0.3">
      <c r="A1439" s="8">
        <v>1433</v>
      </c>
      <c r="B1439" s="9" t="s">
        <v>8092</v>
      </c>
      <c r="C1439" s="10" t="str">
        <f>VLOOKUP(B1439,'Data Angt'!$A$5:$B$5809,2,FALSE)</f>
        <v>A3661</v>
      </c>
      <c r="D1439" s="11" t="s">
        <v>9833</v>
      </c>
      <c r="E1439" s="12" t="s">
        <v>10553</v>
      </c>
      <c r="F1439" s="13">
        <v>43882</v>
      </c>
      <c r="G1439" s="14">
        <v>44252</v>
      </c>
      <c r="H1439" s="15">
        <v>1500000</v>
      </c>
      <c r="I1439" s="16">
        <v>10</v>
      </c>
      <c r="J1439" s="17">
        <v>24</v>
      </c>
      <c r="K1439" s="9" t="s">
        <v>9831</v>
      </c>
      <c r="L1439" s="10" t="s">
        <v>10554</v>
      </c>
      <c r="M1439" s="9" t="s">
        <v>10496</v>
      </c>
      <c r="N1439" s="10" t="s">
        <v>9834</v>
      </c>
      <c r="O1439" s="15">
        <v>1363000</v>
      </c>
      <c r="P1439" s="145">
        <v>61573</v>
      </c>
      <c r="Q1439" s="9"/>
      <c r="R1439" s="146"/>
      <c r="T1439" s="92" t="s">
        <v>14405</v>
      </c>
      <c r="U1439">
        <v>1</v>
      </c>
      <c r="V1439">
        <f>VLOOKUP(T1439,'Data Angt'!$A$5:$F$5810,6,FALSE)</f>
        <v>50</v>
      </c>
      <c r="W1439" s="5" t="str">
        <f t="shared" si="22"/>
        <v>PRODUKTIF</v>
      </c>
      <c r="X1439" s="5" t="str">
        <f>VLOOKUP(T1439,'Data Angt'!$A$5:$H$5810,8,FALSE)</f>
        <v>Petani/Pekebun/Nelayan</v>
      </c>
      <c r="Y1439" s="5" t="str">
        <f>VLOOKUP(T1439,'Data Angt'!$A$5:$C$5808,3,FALSE)</f>
        <v>BWI</v>
      </c>
    </row>
    <row r="1440" spans="1:25" x14ac:dyDescent="0.3">
      <c r="A1440" s="8">
        <v>1434</v>
      </c>
      <c r="B1440" s="9" t="s">
        <v>8094</v>
      </c>
      <c r="C1440" s="10" t="str">
        <f>VLOOKUP(B1440,'Data Angt'!$A$5:$B$5809,2,FALSE)</f>
        <v>A3662</v>
      </c>
      <c r="D1440" s="11" t="s">
        <v>9829</v>
      </c>
      <c r="E1440" s="12" t="s">
        <v>10555</v>
      </c>
      <c r="F1440" s="13">
        <v>43882</v>
      </c>
      <c r="G1440" s="14">
        <v>45668</v>
      </c>
      <c r="H1440" s="15">
        <v>1500000</v>
      </c>
      <c r="I1440" s="16">
        <v>10</v>
      </c>
      <c r="J1440" s="17">
        <v>24</v>
      </c>
      <c r="K1440" s="9" t="s">
        <v>9831</v>
      </c>
      <c r="L1440" s="10" t="s">
        <v>10556</v>
      </c>
      <c r="M1440" s="9" t="s">
        <v>9841</v>
      </c>
      <c r="N1440" s="10" t="s">
        <v>17</v>
      </c>
      <c r="O1440" s="15">
        <v>1273300</v>
      </c>
      <c r="P1440" s="145">
        <v>39599</v>
      </c>
      <c r="Q1440" s="9"/>
      <c r="R1440" s="146"/>
      <c r="T1440" s="92" t="s">
        <v>14417</v>
      </c>
      <c r="U1440">
        <v>1</v>
      </c>
      <c r="V1440">
        <f>VLOOKUP(T1440,'Data Angt'!$A$5:$F$5810,6,FALSE)</f>
        <v>39</v>
      </c>
      <c r="W1440" s="5" t="str">
        <f t="shared" si="22"/>
        <v>PRODUKTIF</v>
      </c>
      <c r="X1440" s="5" t="str">
        <f>VLOOKUP(T1440,'Data Angt'!$A$5:$H$5810,8,FALSE)</f>
        <v>Mengurus Rumah Tangga</v>
      </c>
      <c r="Y1440" s="5" t="str">
        <f>VLOOKUP(T1440,'Data Angt'!$A$5:$C$5808,3,FALSE)</f>
        <v>BWI</v>
      </c>
    </row>
    <row r="1441" spans="1:25" x14ac:dyDescent="0.3">
      <c r="A1441" s="8">
        <v>1435</v>
      </c>
      <c r="B1441" s="9" t="s">
        <v>8165</v>
      </c>
      <c r="C1441" s="10" t="str">
        <f>VLOOKUP(B1441,'Data Angt'!$A$5:$B$5809,2,FALSE)</f>
        <v>A3697</v>
      </c>
      <c r="D1441" s="11" t="s">
        <v>9829</v>
      </c>
      <c r="E1441" s="12" t="s">
        <v>17339</v>
      </c>
      <c r="F1441" s="13">
        <v>45776</v>
      </c>
      <c r="G1441" s="14">
        <v>45930</v>
      </c>
      <c r="H1441" s="15">
        <v>5000000</v>
      </c>
      <c r="I1441" s="16">
        <v>18</v>
      </c>
      <c r="J1441" s="17">
        <v>24</v>
      </c>
      <c r="K1441" s="9" t="s">
        <v>9827</v>
      </c>
      <c r="L1441" s="10" t="s">
        <v>17340</v>
      </c>
      <c r="M1441" s="9" t="s">
        <v>17341</v>
      </c>
      <c r="N1441" s="10" t="s">
        <v>9828</v>
      </c>
      <c r="O1441" s="15">
        <v>3611000</v>
      </c>
      <c r="P1441" s="145">
        <v>166724</v>
      </c>
      <c r="Q1441" s="9"/>
      <c r="R1441" s="146"/>
      <c r="T1441" s="92" t="s">
        <v>14446</v>
      </c>
      <c r="U1441">
        <v>1</v>
      </c>
      <c r="V1441">
        <f>VLOOKUP(T1441,'Data Angt'!$A$5:$F$5810,6,FALSE)</f>
        <v>42</v>
      </c>
      <c r="W1441" s="5" t="str">
        <f t="shared" si="22"/>
        <v>KONSUMTIF</v>
      </c>
      <c r="X1441" s="5" t="str">
        <f>VLOOKUP(T1441,'Data Angt'!$A$5:$H$5810,8,FALSE)</f>
        <v>Karyawan</v>
      </c>
      <c r="Y1441" s="5" t="str">
        <f>VLOOKUP(T1441,'Data Angt'!$A$5:$C$5808,3,FALSE)</f>
        <v>BWI</v>
      </c>
    </row>
    <row r="1442" spans="1:25" x14ac:dyDescent="0.3">
      <c r="A1442" s="8">
        <v>1436</v>
      </c>
      <c r="B1442" s="9" t="s">
        <v>8194</v>
      </c>
      <c r="C1442" s="10" t="str">
        <f>VLOOKUP(B1442,'Data Angt'!$A$5:$B$5809,2,FALSE)</f>
        <v>A3711</v>
      </c>
      <c r="D1442" s="11" t="s">
        <v>9833</v>
      </c>
      <c r="E1442" s="12" t="s">
        <v>10557</v>
      </c>
      <c r="F1442" s="13">
        <v>45252</v>
      </c>
      <c r="G1442" s="14">
        <v>45922</v>
      </c>
      <c r="H1442" s="15">
        <v>25000000</v>
      </c>
      <c r="I1442" s="16">
        <v>36</v>
      </c>
      <c r="J1442" s="17">
        <v>21</v>
      </c>
      <c r="K1442" s="9" t="s">
        <v>9831</v>
      </c>
      <c r="L1442" s="10" t="s">
        <v>10558</v>
      </c>
      <c r="M1442" s="9" t="s">
        <v>10559</v>
      </c>
      <c r="N1442" s="10" t="s">
        <v>9834</v>
      </c>
      <c r="O1442" s="15">
        <v>11618800</v>
      </c>
      <c r="P1442" s="145">
        <v>2752720</v>
      </c>
      <c r="Q1442" s="9" t="s">
        <v>23555</v>
      </c>
      <c r="R1442" s="146" t="s">
        <v>23590</v>
      </c>
      <c r="T1442" s="92" t="s">
        <v>14478</v>
      </c>
      <c r="U1442">
        <v>1</v>
      </c>
      <c r="V1442">
        <f>VLOOKUP(T1442,'Data Angt'!$A$5:$F$5810,6,FALSE)</f>
        <v>43</v>
      </c>
      <c r="W1442" s="5">
        <f t="shared" si="22"/>
        <v>0</v>
      </c>
      <c r="X1442" s="5" t="str">
        <f>VLOOKUP(T1442,'Data Angt'!$A$5:$H$5810,8,FALSE)</f>
        <v>Wiraswasta</v>
      </c>
      <c r="Y1442" s="5" t="str">
        <f>VLOOKUP(T1442,'Data Angt'!$A$5:$C$5808,3,FALSE)</f>
        <v>BWI</v>
      </c>
    </row>
    <row r="1443" spans="1:25" x14ac:dyDescent="0.3">
      <c r="A1443" s="8">
        <v>1437</v>
      </c>
      <c r="B1443" s="9" t="s">
        <v>8366</v>
      </c>
      <c r="C1443" s="10" t="str">
        <f>VLOOKUP(B1443,'Data Angt'!$A$5:$B$5809,2,FALSE)</f>
        <v>A3792</v>
      </c>
      <c r="D1443" s="11" t="s">
        <v>9833</v>
      </c>
      <c r="E1443" s="12" t="s">
        <v>10560</v>
      </c>
      <c r="F1443" s="13">
        <v>44368</v>
      </c>
      <c r="G1443" s="14">
        <v>45290</v>
      </c>
      <c r="H1443" s="15">
        <v>85000000</v>
      </c>
      <c r="I1443" s="16">
        <v>48</v>
      </c>
      <c r="J1443" s="17">
        <v>21</v>
      </c>
      <c r="K1443" s="9" t="s">
        <v>9827</v>
      </c>
      <c r="L1443" s="10" t="s">
        <v>10561</v>
      </c>
      <c r="M1443" s="9" t="s">
        <v>10562</v>
      </c>
      <c r="N1443" s="10" t="s">
        <v>9834</v>
      </c>
      <c r="O1443" s="15">
        <v>72603700</v>
      </c>
      <c r="P1443" s="145">
        <v>11858362</v>
      </c>
      <c r="Q1443" s="9"/>
      <c r="R1443" s="146"/>
      <c r="T1443" s="92" t="s">
        <v>14501</v>
      </c>
      <c r="U1443">
        <v>1</v>
      </c>
      <c r="V1443">
        <f>VLOOKUP(T1443,'Data Angt'!$A$5:$F$5810,6,FALSE)</f>
        <v>34</v>
      </c>
      <c r="W1443" s="5" t="str">
        <f t="shared" si="22"/>
        <v>KONSUMTIF</v>
      </c>
      <c r="X1443" s="5" t="str">
        <f>VLOOKUP(T1443,'Data Angt'!$A$5:$H$5810,8,FALSE)</f>
        <v>Wiraswasta</v>
      </c>
      <c r="Y1443" s="5" t="str">
        <f>VLOOKUP(T1443,'Data Angt'!$A$5:$C$5808,3,FALSE)</f>
        <v>BWI</v>
      </c>
    </row>
    <row r="1444" spans="1:25" x14ac:dyDescent="0.3">
      <c r="A1444" s="8">
        <v>1438</v>
      </c>
      <c r="B1444" s="9" t="s">
        <v>8435</v>
      </c>
      <c r="C1444" s="10" t="str">
        <f>VLOOKUP(B1444,'Data Angt'!$A$5:$B$5809,2,FALSE)</f>
        <v>A3824</v>
      </c>
      <c r="D1444" s="11" t="s">
        <v>9829</v>
      </c>
      <c r="E1444" s="12" t="s">
        <v>17342</v>
      </c>
      <c r="F1444" s="13">
        <v>45667</v>
      </c>
      <c r="G1444" s="14">
        <v>45927</v>
      </c>
      <c r="H1444" s="15">
        <v>30000000</v>
      </c>
      <c r="I1444" s="16">
        <v>48</v>
      </c>
      <c r="J1444" s="17">
        <v>21</v>
      </c>
      <c r="K1444" s="9" t="s">
        <v>9827</v>
      </c>
      <c r="L1444" s="10" t="s">
        <v>17343</v>
      </c>
      <c r="M1444" s="9" t="s">
        <v>10217</v>
      </c>
      <c r="N1444" s="10" t="s">
        <v>9828</v>
      </c>
      <c r="O1444" s="15">
        <v>25000000</v>
      </c>
      <c r="P1444" s="145">
        <v>1472960</v>
      </c>
      <c r="Q1444" s="9" t="s">
        <v>22240</v>
      </c>
      <c r="R1444" s="146" t="s">
        <v>23591</v>
      </c>
      <c r="T1444" s="92" t="s">
        <v>14504</v>
      </c>
      <c r="U1444">
        <v>1</v>
      </c>
      <c r="V1444">
        <f>VLOOKUP(T1444,'Data Angt'!$A$5:$F$5810,6,FALSE)</f>
        <v>32</v>
      </c>
      <c r="W1444" s="5" t="str">
        <f t="shared" si="22"/>
        <v>KONSUMTIF</v>
      </c>
      <c r="X1444" s="5" t="str">
        <f>VLOOKUP(T1444,'Data Angt'!$A$5:$H$5810,8,FALSE)</f>
        <v>Karyawan</v>
      </c>
      <c r="Y1444" s="5" t="str">
        <f>VLOOKUP(T1444,'Data Angt'!$A$5:$C$5808,3,FALSE)</f>
        <v>BWI</v>
      </c>
    </row>
    <row r="1445" spans="1:25" x14ac:dyDescent="0.3">
      <c r="A1445" s="8">
        <v>1439</v>
      </c>
      <c r="B1445" s="9" t="s">
        <v>8437</v>
      </c>
      <c r="C1445" s="10" t="str">
        <f>VLOOKUP(B1445,'Data Angt'!$A$5:$B$5809,2,FALSE)</f>
        <v>A3825</v>
      </c>
      <c r="D1445" s="11" t="s">
        <v>9826</v>
      </c>
      <c r="E1445" s="12" t="s">
        <v>17344</v>
      </c>
      <c r="F1445" s="13">
        <v>45628</v>
      </c>
      <c r="G1445" s="14">
        <v>45894</v>
      </c>
      <c r="H1445" s="15">
        <v>1500000</v>
      </c>
      <c r="I1445" s="16">
        <v>12</v>
      </c>
      <c r="J1445" s="17">
        <v>11.9</v>
      </c>
      <c r="K1445" s="9" t="s">
        <v>9831</v>
      </c>
      <c r="L1445" s="10" t="s">
        <v>17345</v>
      </c>
      <c r="M1445" s="9" t="s">
        <v>10541</v>
      </c>
      <c r="N1445" s="10" t="s">
        <v>17</v>
      </c>
      <c r="O1445" s="15">
        <v>519600</v>
      </c>
      <c r="P1445" s="145">
        <v>32248</v>
      </c>
      <c r="Q1445" s="9"/>
      <c r="R1445" s="146"/>
      <c r="T1445" s="92" t="s">
        <v>14548</v>
      </c>
      <c r="U1445">
        <v>1</v>
      </c>
      <c r="V1445">
        <f>VLOOKUP(T1445,'Data Angt'!$A$5:$F$5810,6,FALSE)</f>
        <v>54</v>
      </c>
      <c r="W1445" s="5" t="str">
        <f t="shared" si="22"/>
        <v>PENDIDIKAN</v>
      </c>
      <c r="X1445" s="5" t="str">
        <f>VLOOKUP(T1445,'Data Angt'!$A$5:$H$5810,8,FALSE)</f>
        <v>Wiraswasta</v>
      </c>
      <c r="Y1445" s="5" t="str">
        <f>VLOOKUP(T1445,'Data Angt'!$A$5:$C$5808,3,FALSE)</f>
        <v>BWI</v>
      </c>
    </row>
    <row r="1446" spans="1:25" x14ac:dyDescent="0.3">
      <c r="A1446" s="8">
        <v>1440</v>
      </c>
      <c r="B1446" s="9" t="s">
        <v>8437</v>
      </c>
      <c r="C1446" s="10" t="str">
        <f>VLOOKUP(B1446,'Data Angt'!$A$5:$B$5809,2,FALSE)</f>
        <v>A3825</v>
      </c>
      <c r="D1446" s="11" t="s">
        <v>9829</v>
      </c>
      <c r="E1446" s="12" t="s">
        <v>17346</v>
      </c>
      <c r="F1446" s="13">
        <v>45712</v>
      </c>
      <c r="G1446" s="14">
        <v>45869</v>
      </c>
      <c r="H1446" s="15">
        <v>35000000</v>
      </c>
      <c r="I1446" s="16">
        <v>48</v>
      </c>
      <c r="J1446" s="17">
        <v>21</v>
      </c>
      <c r="K1446" s="9" t="s">
        <v>9831</v>
      </c>
      <c r="L1446" s="10" t="s">
        <v>17347</v>
      </c>
      <c r="M1446" s="9" t="s">
        <v>17348</v>
      </c>
      <c r="N1446" s="10" t="s">
        <v>17</v>
      </c>
      <c r="O1446" s="15">
        <v>33064900</v>
      </c>
      <c r="P1446" s="145">
        <v>1050036</v>
      </c>
      <c r="Q1446" s="9" t="s">
        <v>23293</v>
      </c>
      <c r="R1446" s="146" t="s">
        <v>23592</v>
      </c>
      <c r="T1446" s="92" t="s">
        <v>14559</v>
      </c>
      <c r="U1446">
        <v>1</v>
      </c>
      <c r="V1446">
        <f>VLOOKUP(T1446,'Data Angt'!$A$5:$F$5810,6,FALSE)</f>
        <v>44</v>
      </c>
      <c r="W1446" s="5" t="str">
        <f t="shared" si="22"/>
        <v>PRODUKTIF</v>
      </c>
      <c r="X1446" s="5" t="str">
        <f>VLOOKUP(T1446,'Data Angt'!$A$5:$H$5810,8,FALSE)</f>
        <v>Wiraswasta</v>
      </c>
      <c r="Y1446" s="5" t="str">
        <f>VLOOKUP(T1446,'Data Angt'!$A$5:$C$5808,3,FALSE)</f>
        <v>BWI</v>
      </c>
    </row>
    <row r="1447" spans="1:25" x14ac:dyDescent="0.3">
      <c r="A1447" s="8">
        <v>1441</v>
      </c>
      <c r="B1447" s="9" t="s">
        <v>8455</v>
      </c>
      <c r="C1447" s="10" t="str">
        <f>VLOOKUP(B1447,'Data Angt'!$A$5:$B$5809,2,FALSE)</f>
        <v>A3836</v>
      </c>
      <c r="D1447" s="11" t="s">
        <v>9833</v>
      </c>
      <c r="E1447" s="12" t="s">
        <v>10563</v>
      </c>
      <c r="F1447" s="13">
        <v>44392</v>
      </c>
      <c r="G1447" s="14">
        <v>44865</v>
      </c>
      <c r="H1447" s="15">
        <v>1500000</v>
      </c>
      <c r="I1447" s="16">
        <v>5</v>
      </c>
      <c r="J1447" s="17">
        <v>24</v>
      </c>
      <c r="K1447" s="9" t="s">
        <v>9831</v>
      </c>
      <c r="L1447" s="10" t="s">
        <v>10564</v>
      </c>
      <c r="M1447" s="9" t="s">
        <v>10565</v>
      </c>
      <c r="N1447" s="10" t="s">
        <v>9834</v>
      </c>
      <c r="O1447" s="15">
        <v>377700</v>
      </c>
      <c r="P1447" s="145">
        <v>73612</v>
      </c>
      <c r="Q1447" s="9"/>
      <c r="R1447" s="146"/>
      <c r="T1447" s="92" t="s">
        <v>14626</v>
      </c>
      <c r="U1447">
        <v>1</v>
      </c>
      <c r="V1447">
        <f>VLOOKUP(T1447,'Data Angt'!$A$5:$F$5810,6,FALSE)</f>
        <v>22</v>
      </c>
      <c r="W1447" s="5" t="str">
        <f t="shared" si="22"/>
        <v>PENDIDIKAN</v>
      </c>
      <c r="X1447" s="5" t="str">
        <f>VLOOKUP(T1447,'Data Angt'!$A$5:$H$5810,8,FALSE)</f>
        <v>Karyawan</v>
      </c>
      <c r="Y1447" s="5" t="str">
        <f>VLOOKUP(T1447,'Data Angt'!$A$5:$C$5808,3,FALSE)</f>
        <v>BWI</v>
      </c>
    </row>
    <row r="1448" spans="1:25" x14ac:dyDescent="0.3">
      <c r="A1448" s="8">
        <v>1442</v>
      </c>
      <c r="B1448" s="9" t="s">
        <v>8495</v>
      </c>
      <c r="C1448" s="10" t="str">
        <f>VLOOKUP(B1448,'Data Angt'!$A$5:$B$5809,2,FALSE)</f>
        <v>A3852</v>
      </c>
      <c r="D1448" s="11" t="s">
        <v>9829</v>
      </c>
      <c r="E1448" s="12" t="s">
        <v>10566</v>
      </c>
      <c r="F1448" s="13">
        <v>44658</v>
      </c>
      <c r="G1448" s="14">
        <v>45926</v>
      </c>
      <c r="H1448" s="15">
        <v>150000000</v>
      </c>
      <c r="I1448" s="16">
        <v>60</v>
      </c>
      <c r="J1448" s="17">
        <v>21</v>
      </c>
      <c r="K1448" s="9" t="s">
        <v>9831</v>
      </c>
      <c r="L1448" s="10" t="s">
        <v>10567</v>
      </c>
      <c r="M1448" s="9" t="s">
        <v>10568</v>
      </c>
      <c r="N1448" s="10" t="s">
        <v>9830</v>
      </c>
      <c r="O1448" s="15">
        <v>19384000</v>
      </c>
      <c r="P1448" s="145">
        <v>27629540</v>
      </c>
      <c r="Q1448" s="9"/>
      <c r="R1448" s="146"/>
      <c r="T1448" s="92" t="s">
        <v>14638</v>
      </c>
      <c r="U1448">
        <v>1</v>
      </c>
      <c r="V1448">
        <f>VLOOKUP(T1448,'Data Angt'!$A$5:$F$5810,6,FALSE)</f>
        <v>46</v>
      </c>
      <c r="W1448" s="5" t="str">
        <f t="shared" si="22"/>
        <v>PRODUKTIF</v>
      </c>
      <c r="X1448" s="5" t="str">
        <f>VLOOKUP(T1448,'Data Angt'!$A$5:$H$5810,8,FALSE)</f>
        <v>Wiraswasta</v>
      </c>
      <c r="Y1448" s="5" t="str">
        <f>VLOOKUP(T1448,'Data Angt'!$A$5:$C$5808,3,FALSE)</f>
        <v>BWI</v>
      </c>
    </row>
    <row r="1449" spans="1:25" x14ac:dyDescent="0.3">
      <c r="A1449" s="8">
        <v>1443</v>
      </c>
      <c r="B1449" s="9" t="s">
        <v>8502</v>
      </c>
      <c r="C1449" s="10" t="str">
        <f>VLOOKUP(B1449,'Data Angt'!$A$5:$B$5809,2,FALSE)</f>
        <v>A3855</v>
      </c>
      <c r="D1449" s="11" t="s">
        <v>9829</v>
      </c>
      <c r="E1449" s="12" t="s">
        <v>17349</v>
      </c>
      <c r="F1449" s="13">
        <v>45559</v>
      </c>
      <c r="G1449" s="14">
        <v>45927</v>
      </c>
      <c r="H1449" s="15">
        <v>3000000</v>
      </c>
      <c r="I1449" s="16">
        <v>24</v>
      </c>
      <c r="J1449" s="17">
        <v>24</v>
      </c>
      <c r="K1449" s="9" t="s">
        <v>9827</v>
      </c>
      <c r="L1449" s="10" t="s">
        <v>17350</v>
      </c>
      <c r="M1449" s="9" t="s">
        <v>10498</v>
      </c>
      <c r="N1449" s="10" t="s">
        <v>9828</v>
      </c>
      <c r="O1449" s="15">
        <v>1500000</v>
      </c>
      <c r="P1449" s="145">
        <v>208122</v>
      </c>
      <c r="Q1449" s="9"/>
      <c r="R1449" s="146"/>
      <c r="T1449" s="92" t="s">
        <v>14651</v>
      </c>
      <c r="U1449">
        <v>1</v>
      </c>
      <c r="V1449">
        <f>VLOOKUP(T1449,'Data Angt'!$A$5:$F$5810,6,FALSE)</f>
        <v>24</v>
      </c>
      <c r="W1449" s="5" t="str">
        <f t="shared" si="22"/>
        <v>PRODUKTIF</v>
      </c>
      <c r="X1449" s="5" t="str">
        <f>VLOOKUP(T1449,'Data Angt'!$A$5:$H$5810,8,FALSE)</f>
        <v>Wiraswasta</v>
      </c>
      <c r="Y1449" s="5" t="str">
        <f>VLOOKUP(T1449,'Data Angt'!$A$5:$C$5808,3,FALSE)</f>
        <v>BWI</v>
      </c>
    </row>
    <row r="1450" spans="1:25" x14ac:dyDescent="0.3">
      <c r="A1450" s="8">
        <v>1444</v>
      </c>
      <c r="B1450" s="9" t="s">
        <v>8558</v>
      </c>
      <c r="C1450" s="10" t="str">
        <f>VLOOKUP(B1450,'Data Angt'!$A$5:$B$5809,2,FALSE)</f>
        <v>A3882</v>
      </c>
      <c r="D1450" s="11" t="s">
        <v>9833</v>
      </c>
      <c r="E1450" s="12" t="s">
        <v>17351</v>
      </c>
      <c r="F1450" s="13">
        <v>45667</v>
      </c>
      <c r="G1450" s="14">
        <v>45929</v>
      </c>
      <c r="H1450" s="15">
        <v>2500000</v>
      </c>
      <c r="I1450" s="16">
        <v>12</v>
      </c>
      <c r="J1450" s="17">
        <v>24</v>
      </c>
      <c r="K1450" s="9" t="s">
        <v>9827</v>
      </c>
      <c r="L1450" s="10" t="s">
        <v>17352</v>
      </c>
      <c r="M1450" s="9" t="s">
        <v>17353</v>
      </c>
      <c r="N1450" s="10" t="s">
        <v>9834</v>
      </c>
      <c r="O1450" s="15">
        <v>832800</v>
      </c>
      <c r="P1450" s="145">
        <v>106348</v>
      </c>
      <c r="Q1450" s="9"/>
      <c r="R1450" s="146"/>
      <c r="T1450" s="92" t="s">
        <v>14661</v>
      </c>
      <c r="U1450">
        <v>1</v>
      </c>
      <c r="V1450">
        <f>VLOOKUP(T1450,'Data Angt'!$A$5:$F$5810,6,FALSE)</f>
        <v>34</v>
      </c>
      <c r="W1450" s="5" t="str">
        <f t="shared" si="22"/>
        <v>PENDIDIKAN</v>
      </c>
      <c r="X1450" s="5" t="str">
        <f>VLOOKUP(T1450,'Data Angt'!$A$5:$H$5810,8,FALSE)</f>
        <v>Karyawan</v>
      </c>
      <c r="Y1450" s="5" t="str">
        <f>VLOOKUP(T1450,'Data Angt'!$A$5:$C$5808,3,FALSE)</f>
        <v>BWI</v>
      </c>
    </row>
    <row r="1451" spans="1:25" x14ac:dyDescent="0.3">
      <c r="A1451" s="8">
        <v>1445</v>
      </c>
      <c r="B1451" s="9" t="s">
        <v>8652</v>
      </c>
      <c r="C1451" s="10" t="str">
        <f>VLOOKUP(B1451,'Data Angt'!$A$5:$B$5809,2,FALSE)</f>
        <v>A3925</v>
      </c>
      <c r="D1451" s="11" t="s">
        <v>9829</v>
      </c>
      <c r="E1451" s="12" t="s">
        <v>17354</v>
      </c>
      <c r="F1451" s="13">
        <v>45775</v>
      </c>
      <c r="G1451" s="14">
        <v>45929</v>
      </c>
      <c r="H1451" s="15">
        <v>6000000</v>
      </c>
      <c r="I1451" s="16">
        <v>12</v>
      </c>
      <c r="J1451" s="17">
        <v>24</v>
      </c>
      <c r="K1451" s="9" t="s">
        <v>9827</v>
      </c>
      <c r="L1451" s="10" t="s">
        <v>17355</v>
      </c>
      <c r="M1451" s="9" t="s">
        <v>10113</v>
      </c>
      <c r="N1451" s="10" t="s">
        <v>9828</v>
      </c>
      <c r="O1451" s="15">
        <v>3500000</v>
      </c>
      <c r="P1451" s="145">
        <v>187500</v>
      </c>
      <c r="Q1451" s="9"/>
      <c r="R1451" s="146"/>
      <c r="T1451" s="92" t="s">
        <v>14679</v>
      </c>
      <c r="U1451">
        <v>1</v>
      </c>
      <c r="V1451">
        <f>VLOOKUP(T1451,'Data Angt'!$A$5:$F$5810,6,FALSE)</f>
        <v>53</v>
      </c>
      <c r="W1451" s="5" t="str">
        <f t="shared" si="22"/>
        <v>PRODUKTIF</v>
      </c>
      <c r="X1451" s="5" t="str">
        <f>VLOOKUP(T1451,'Data Angt'!$A$5:$H$5810,8,FALSE)</f>
        <v>Mengurus Rumah Tangga</v>
      </c>
      <c r="Y1451" s="5" t="str">
        <f>VLOOKUP(T1451,'Data Angt'!$A$5:$C$5808,3,FALSE)</f>
        <v>BWI</v>
      </c>
    </row>
    <row r="1452" spans="1:25" x14ac:dyDescent="0.3">
      <c r="A1452" s="8">
        <v>1446</v>
      </c>
      <c r="B1452" s="9" t="s">
        <v>8697</v>
      </c>
      <c r="C1452" s="10" t="str">
        <f>VLOOKUP(B1452,'Data Angt'!$A$5:$B$5809,2,FALSE)</f>
        <v>A3947</v>
      </c>
      <c r="D1452" s="11" t="s">
        <v>9833</v>
      </c>
      <c r="E1452" s="12" t="s">
        <v>17356</v>
      </c>
      <c r="F1452" s="13">
        <v>45723</v>
      </c>
      <c r="G1452" s="14">
        <v>45911</v>
      </c>
      <c r="H1452" s="15">
        <v>3000000</v>
      </c>
      <c r="I1452" s="16">
        <v>24</v>
      </c>
      <c r="J1452" s="17">
        <v>24</v>
      </c>
      <c r="K1452" s="9" t="s">
        <v>9827</v>
      </c>
      <c r="L1452" s="10" t="s">
        <v>17357</v>
      </c>
      <c r="M1452" s="9" t="s">
        <v>17358</v>
      </c>
      <c r="N1452" s="10" t="s">
        <v>9834</v>
      </c>
      <c r="O1452" s="15">
        <v>2250000</v>
      </c>
      <c r="P1452" s="145">
        <v>120936</v>
      </c>
      <c r="Q1452" s="9"/>
      <c r="R1452" s="146"/>
      <c r="T1452" s="92" t="s">
        <v>14683</v>
      </c>
      <c r="U1452">
        <v>2</v>
      </c>
      <c r="V1452">
        <f>VLOOKUP(T1452,'Data Angt'!$A$5:$F$5810,6,FALSE)</f>
        <v>25</v>
      </c>
      <c r="W1452" s="5" t="str">
        <f t="shared" si="22"/>
        <v>KONSUMTIF</v>
      </c>
      <c r="X1452" s="5" t="str">
        <f>VLOOKUP(T1452,'Data Angt'!$A$5:$H$5810,8,FALSE)</f>
        <v>Karyawan</v>
      </c>
      <c r="Y1452" s="5" t="str">
        <f>VLOOKUP(T1452,'Data Angt'!$A$5:$C$5808,3,FALSE)</f>
        <v>BWI</v>
      </c>
    </row>
    <row r="1453" spans="1:25" x14ac:dyDescent="0.3">
      <c r="A1453" s="8">
        <v>1447</v>
      </c>
      <c r="B1453" s="9" t="s">
        <v>8813</v>
      </c>
      <c r="C1453" s="10" t="str">
        <f>VLOOKUP(B1453,'Data Angt'!$A$5:$B$5809,2,FALSE)</f>
        <v>A4001</v>
      </c>
      <c r="D1453" s="11" t="s">
        <v>9829</v>
      </c>
      <c r="E1453" s="12" t="s">
        <v>17359</v>
      </c>
      <c r="F1453" s="13">
        <v>45801</v>
      </c>
      <c r="G1453" s="14">
        <v>45924</v>
      </c>
      <c r="H1453" s="15">
        <v>2000000</v>
      </c>
      <c r="I1453" s="16">
        <v>6</v>
      </c>
      <c r="J1453" s="17">
        <v>24</v>
      </c>
      <c r="K1453" s="9" t="s">
        <v>9827</v>
      </c>
      <c r="L1453" s="10" t="s">
        <v>17360</v>
      </c>
      <c r="M1453" s="9" t="s">
        <v>17361</v>
      </c>
      <c r="N1453" s="10" t="s">
        <v>9828</v>
      </c>
      <c r="O1453" s="15">
        <v>666400</v>
      </c>
      <c r="P1453" s="145">
        <v>45037</v>
      </c>
      <c r="Q1453" s="9"/>
      <c r="R1453" s="146"/>
      <c r="T1453" s="92" t="s">
        <v>14692</v>
      </c>
      <c r="U1453">
        <v>1</v>
      </c>
      <c r="V1453">
        <f>VLOOKUP(T1453,'Data Angt'!$A$5:$F$5810,6,FALSE)</f>
        <v>55</v>
      </c>
      <c r="W1453" s="5" t="str">
        <f t="shared" si="22"/>
        <v>PRODUKTIF</v>
      </c>
      <c r="X1453" s="5" t="str">
        <f>VLOOKUP(T1453,'Data Angt'!$A$5:$H$5810,8,FALSE)</f>
        <v>Wiraswasta</v>
      </c>
      <c r="Y1453" s="5" t="str">
        <f>VLOOKUP(T1453,'Data Angt'!$A$5:$C$5808,3,FALSE)</f>
        <v>BWI</v>
      </c>
    </row>
    <row r="1454" spans="1:25" x14ac:dyDescent="0.3">
      <c r="A1454" s="8">
        <v>1448</v>
      </c>
      <c r="B1454" s="9" t="s">
        <v>8820</v>
      </c>
      <c r="C1454" s="10" t="str">
        <f>VLOOKUP(B1454,'Data Angt'!$A$5:$B$5809,2,FALSE)</f>
        <v>A4004</v>
      </c>
      <c r="D1454" s="11" t="s">
        <v>9829</v>
      </c>
      <c r="E1454" s="12" t="s">
        <v>17362</v>
      </c>
      <c r="F1454" s="13">
        <v>45757</v>
      </c>
      <c r="G1454" s="14">
        <v>45916</v>
      </c>
      <c r="H1454" s="15">
        <v>3000000</v>
      </c>
      <c r="I1454" s="16">
        <v>18</v>
      </c>
      <c r="J1454" s="17">
        <v>24</v>
      </c>
      <c r="K1454" s="9" t="s">
        <v>9827</v>
      </c>
      <c r="L1454" s="10" t="s">
        <v>17363</v>
      </c>
      <c r="M1454" s="9" t="s">
        <v>10102</v>
      </c>
      <c r="N1454" s="10" t="s">
        <v>9828</v>
      </c>
      <c r="O1454" s="15">
        <v>2166500</v>
      </c>
      <c r="P1454" s="145">
        <v>100049</v>
      </c>
      <c r="Q1454" s="9"/>
      <c r="R1454" s="146"/>
      <c r="T1454" s="92" t="s">
        <v>14728</v>
      </c>
      <c r="U1454">
        <v>1</v>
      </c>
      <c r="V1454">
        <f>VLOOKUP(T1454,'Data Angt'!$A$5:$F$5810,6,FALSE)</f>
        <v>41</v>
      </c>
      <c r="W1454" s="5" t="str">
        <f t="shared" si="22"/>
        <v>PRODUKTIF</v>
      </c>
      <c r="X1454" s="5" t="str">
        <f>VLOOKUP(T1454,'Data Angt'!$A$5:$H$5810,8,FALSE)</f>
        <v>Wiraswasta</v>
      </c>
      <c r="Y1454" s="5" t="str">
        <f>VLOOKUP(T1454,'Data Angt'!$A$5:$C$5808,3,FALSE)</f>
        <v>BWI</v>
      </c>
    </row>
    <row r="1455" spans="1:25" x14ac:dyDescent="0.3">
      <c r="A1455" s="8">
        <v>1449</v>
      </c>
      <c r="B1455" s="9" t="s">
        <v>8888</v>
      </c>
      <c r="C1455" s="10" t="str">
        <f>VLOOKUP(B1455,'Data Angt'!$A$5:$B$5809,2,FALSE)</f>
        <v>A4037</v>
      </c>
      <c r="D1455" s="11" t="s">
        <v>9829</v>
      </c>
      <c r="E1455" s="12" t="s">
        <v>23593</v>
      </c>
      <c r="F1455" s="13">
        <v>45854</v>
      </c>
      <c r="G1455" s="14">
        <v>45927</v>
      </c>
      <c r="H1455" s="15">
        <v>3000000</v>
      </c>
      <c r="I1455" s="16">
        <v>12</v>
      </c>
      <c r="J1455" s="17">
        <v>24</v>
      </c>
      <c r="K1455" s="9" t="s">
        <v>9831</v>
      </c>
      <c r="L1455" s="10" t="s">
        <v>23594</v>
      </c>
      <c r="M1455" s="9" t="s">
        <v>9841</v>
      </c>
      <c r="N1455" s="10" t="s">
        <v>17</v>
      </c>
      <c r="O1455" s="15">
        <v>2548200</v>
      </c>
      <c r="P1455" s="145">
        <v>43350</v>
      </c>
      <c r="Q1455" s="9"/>
      <c r="R1455" s="146"/>
      <c r="T1455" s="92" t="s">
        <v>14800</v>
      </c>
      <c r="U1455">
        <v>1</v>
      </c>
      <c r="V1455">
        <f>VLOOKUP(T1455,'Data Angt'!$A$5:$F$5810,6,FALSE)</f>
        <v>63</v>
      </c>
      <c r="W1455" s="5" t="str">
        <f t="shared" si="22"/>
        <v>PENDIDIKAN</v>
      </c>
      <c r="X1455" s="5" t="str">
        <f>VLOOKUP(T1455,'Data Angt'!$A$5:$H$5810,8,FALSE)</f>
        <v>Lain-Lain</v>
      </c>
      <c r="Y1455" s="5" t="str">
        <f>VLOOKUP(T1455,'Data Angt'!$A$5:$C$5808,3,FALSE)</f>
        <v>BWI</v>
      </c>
    </row>
    <row r="1456" spans="1:25" x14ac:dyDescent="0.3">
      <c r="A1456" s="8">
        <v>1450</v>
      </c>
      <c r="B1456" s="9" t="s">
        <v>8891</v>
      </c>
      <c r="C1456" s="10" t="str">
        <f>VLOOKUP(B1456,'Data Angt'!$A$5:$B$5809,2,FALSE)</f>
        <v>A4039</v>
      </c>
      <c r="D1456" s="11" t="s">
        <v>9833</v>
      </c>
      <c r="E1456" s="12" t="s">
        <v>17364</v>
      </c>
      <c r="F1456" s="13">
        <v>45726</v>
      </c>
      <c r="G1456" s="14">
        <v>45916</v>
      </c>
      <c r="H1456" s="15">
        <v>2000000</v>
      </c>
      <c r="I1456" s="16">
        <v>12</v>
      </c>
      <c r="J1456" s="17">
        <v>24</v>
      </c>
      <c r="K1456" s="9" t="s">
        <v>9827</v>
      </c>
      <c r="L1456" s="10" t="s">
        <v>17365</v>
      </c>
      <c r="M1456" s="9" t="s">
        <v>10570</v>
      </c>
      <c r="N1456" s="10" t="s">
        <v>9834</v>
      </c>
      <c r="O1456" s="15">
        <v>999800</v>
      </c>
      <c r="P1456" s="145">
        <v>71324</v>
      </c>
      <c r="Q1456" s="9"/>
      <c r="R1456" s="146"/>
      <c r="T1456" s="92" t="s">
        <v>14824</v>
      </c>
      <c r="U1456">
        <v>1</v>
      </c>
      <c r="V1456">
        <f>VLOOKUP(T1456,'Data Angt'!$A$5:$F$5810,6,FALSE)</f>
        <v>43</v>
      </c>
      <c r="W1456" s="5" t="str">
        <f t="shared" si="22"/>
        <v>KESEJAHTERAAN</v>
      </c>
      <c r="X1456" s="5" t="str">
        <f>VLOOKUP(T1456,'Data Angt'!$A$5:$H$5810,8,FALSE)</f>
        <v>Aparatur/Pejabat Negara</v>
      </c>
      <c r="Y1456" s="5" t="str">
        <f>VLOOKUP(T1456,'Data Angt'!$A$5:$C$5808,3,FALSE)</f>
        <v>BWI</v>
      </c>
    </row>
    <row r="1457" spans="1:25" x14ac:dyDescent="0.3">
      <c r="A1457" s="8">
        <v>1451</v>
      </c>
      <c r="B1457" s="9" t="s">
        <v>8907</v>
      </c>
      <c r="C1457" s="10" t="str">
        <f>VLOOKUP(B1457,'Data Angt'!$A$5:$B$5809,2,FALSE)</f>
        <v>A4047</v>
      </c>
      <c r="D1457" s="11" t="s">
        <v>9829</v>
      </c>
      <c r="E1457" s="12" t="s">
        <v>23595</v>
      </c>
      <c r="F1457" s="13">
        <v>45890</v>
      </c>
      <c r="G1457" s="14">
        <v>45918</v>
      </c>
      <c r="H1457" s="15">
        <v>3000000</v>
      </c>
      <c r="I1457" s="16">
        <v>12</v>
      </c>
      <c r="J1457" s="17">
        <v>24</v>
      </c>
      <c r="K1457" s="9" t="s">
        <v>9827</v>
      </c>
      <c r="L1457" s="10" t="s">
        <v>23596</v>
      </c>
      <c r="M1457" s="9" t="s">
        <v>23597</v>
      </c>
      <c r="N1457" s="10" t="s">
        <v>9828</v>
      </c>
      <c r="O1457" s="15">
        <v>2750000</v>
      </c>
      <c r="P1457" s="145">
        <v>22500</v>
      </c>
      <c r="Q1457" s="9"/>
      <c r="R1457" s="146"/>
      <c r="T1457" s="92" t="s">
        <v>14827</v>
      </c>
      <c r="U1457">
        <v>1</v>
      </c>
      <c r="V1457">
        <f>VLOOKUP(T1457,'Data Angt'!$A$5:$F$5810,6,FALSE)</f>
        <v>42</v>
      </c>
      <c r="W1457" s="5" t="str">
        <f t="shared" si="22"/>
        <v>PRODUKTIF</v>
      </c>
      <c r="X1457" s="5" t="str">
        <f>VLOOKUP(T1457,'Data Angt'!$A$5:$H$5810,8,FALSE)</f>
        <v>Wiraswasta</v>
      </c>
      <c r="Y1457" s="5" t="str">
        <f>VLOOKUP(T1457,'Data Angt'!$A$5:$C$5808,3,FALSE)</f>
        <v>BWI</v>
      </c>
    </row>
    <row r="1458" spans="1:25" x14ac:dyDescent="0.3">
      <c r="A1458" s="8">
        <v>1452</v>
      </c>
      <c r="B1458" s="9" t="s">
        <v>8932</v>
      </c>
      <c r="C1458" s="10" t="str">
        <f>VLOOKUP(B1458,'Data Angt'!$A$5:$B$5809,2,FALSE)</f>
        <v>A4060</v>
      </c>
      <c r="D1458" s="11" t="s">
        <v>9829</v>
      </c>
      <c r="E1458" s="12" t="s">
        <v>17366</v>
      </c>
      <c r="F1458" s="13">
        <v>45701</v>
      </c>
      <c r="G1458" s="14">
        <v>45916</v>
      </c>
      <c r="H1458" s="15">
        <v>5000000</v>
      </c>
      <c r="I1458" s="16">
        <v>12</v>
      </c>
      <c r="J1458" s="17">
        <v>24</v>
      </c>
      <c r="K1458" s="9" t="s">
        <v>9827</v>
      </c>
      <c r="L1458" s="10" t="s">
        <v>17367</v>
      </c>
      <c r="M1458" s="9" t="s">
        <v>10495</v>
      </c>
      <c r="N1458" s="10" t="s">
        <v>17</v>
      </c>
      <c r="O1458" s="15">
        <v>2083100</v>
      </c>
      <c r="P1458" s="145">
        <v>196949</v>
      </c>
      <c r="Q1458" s="9" t="s">
        <v>22189</v>
      </c>
      <c r="R1458" s="146" t="s">
        <v>23598</v>
      </c>
      <c r="T1458" s="92" t="s">
        <v>14844</v>
      </c>
      <c r="U1458">
        <v>1</v>
      </c>
      <c r="V1458">
        <f>VLOOKUP(T1458,'Data Angt'!$A$5:$F$5810,6,FALSE)</f>
        <v>33</v>
      </c>
      <c r="W1458" s="5" t="str">
        <f t="shared" si="22"/>
        <v>KONSUMTIF</v>
      </c>
      <c r="X1458" s="5" t="str">
        <f>VLOOKUP(T1458,'Data Angt'!$A$5:$H$5810,8,FALSE)</f>
        <v>Tenaga Pengajar</v>
      </c>
      <c r="Y1458" s="5" t="str">
        <f>VLOOKUP(T1458,'Data Angt'!$A$5:$C$5808,3,FALSE)</f>
        <v>BWI</v>
      </c>
    </row>
    <row r="1459" spans="1:25" x14ac:dyDescent="0.3">
      <c r="A1459" s="8">
        <v>1453</v>
      </c>
      <c r="B1459" s="9" t="s">
        <v>9027</v>
      </c>
      <c r="C1459" s="10" t="str">
        <f>VLOOKUP(B1459,'Data Angt'!$A$5:$B$5809,2,FALSE)</f>
        <v>A4104</v>
      </c>
      <c r="D1459" s="11" t="s">
        <v>9833</v>
      </c>
      <c r="E1459" s="12" t="s">
        <v>17368</v>
      </c>
      <c r="F1459" s="13">
        <v>45727</v>
      </c>
      <c r="G1459" s="14">
        <v>45911</v>
      </c>
      <c r="H1459" s="15">
        <v>2500000</v>
      </c>
      <c r="I1459" s="16">
        <v>18</v>
      </c>
      <c r="J1459" s="17">
        <v>24</v>
      </c>
      <c r="K1459" s="9" t="s">
        <v>9827</v>
      </c>
      <c r="L1459" s="10" t="s">
        <v>17369</v>
      </c>
      <c r="M1459" s="9" t="s">
        <v>17370</v>
      </c>
      <c r="N1459" s="10" t="s">
        <v>9834</v>
      </c>
      <c r="O1459" s="15">
        <v>1666600</v>
      </c>
      <c r="P1459" s="145">
        <v>96973</v>
      </c>
      <c r="Q1459" s="9"/>
      <c r="R1459" s="146"/>
      <c r="T1459" s="92" t="s">
        <v>14869</v>
      </c>
      <c r="U1459">
        <v>1</v>
      </c>
      <c r="V1459">
        <f>VLOOKUP(T1459,'Data Angt'!$A$5:$F$5810,6,FALSE)</f>
        <v>22</v>
      </c>
      <c r="W1459" s="5" t="str">
        <f t="shared" si="22"/>
        <v>KONSUMTIF</v>
      </c>
      <c r="X1459" s="5" t="str">
        <f>VLOOKUP(T1459,'Data Angt'!$A$5:$H$5810,8,FALSE)</f>
        <v>Karyawan</v>
      </c>
      <c r="Y1459" s="5" t="str">
        <f>VLOOKUP(T1459,'Data Angt'!$A$5:$C$5808,3,FALSE)</f>
        <v>BWI</v>
      </c>
    </row>
    <row r="1460" spans="1:25" x14ac:dyDescent="0.3">
      <c r="A1460" s="8">
        <v>1454</v>
      </c>
      <c r="B1460" s="9" t="s">
        <v>9032</v>
      </c>
      <c r="C1460" s="10" t="str">
        <f>VLOOKUP(B1460,'Data Angt'!$A$5:$B$5809,2,FALSE)</f>
        <v>A4106</v>
      </c>
      <c r="D1460" s="11" t="s">
        <v>9829</v>
      </c>
      <c r="E1460" s="12" t="s">
        <v>17371</v>
      </c>
      <c r="F1460" s="13">
        <v>45706</v>
      </c>
      <c r="G1460" s="14">
        <v>45929</v>
      </c>
      <c r="H1460" s="15">
        <v>3500000</v>
      </c>
      <c r="I1460" s="16">
        <v>12</v>
      </c>
      <c r="J1460" s="17">
        <v>24</v>
      </c>
      <c r="K1460" s="9" t="s">
        <v>9827</v>
      </c>
      <c r="L1460" s="10" t="s">
        <v>17372</v>
      </c>
      <c r="M1460" s="9" t="s">
        <v>9835</v>
      </c>
      <c r="N1460" s="10" t="s">
        <v>9828</v>
      </c>
      <c r="O1460" s="15">
        <v>1458100</v>
      </c>
      <c r="P1460" s="145">
        <v>137886</v>
      </c>
      <c r="Q1460" s="9"/>
      <c r="R1460" s="146"/>
      <c r="T1460" s="92" t="s">
        <v>14879</v>
      </c>
      <c r="U1460">
        <v>2</v>
      </c>
      <c r="V1460">
        <f>VLOOKUP(T1460,'Data Angt'!$A$5:$F$5810,6,FALSE)</f>
        <v>38</v>
      </c>
      <c r="W1460" s="5" t="str">
        <f t="shared" si="22"/>
        <v>PRODUKTIF</v>
      </c>
      <c r="X1460" s="5" t="str">
        <f>VLOOKUP(T1460,'Data Angt'!$A$5:$H$5810,8,FALSE)</f>
        <v>Wiraswasta</v>
      </c>
      <c r="Y1460" s="5" t="str">
        <f>VLOOKUP(T1460,'Data Angt'!$A$5:$C$5808,3,FALSE)</f>
        <v>BWI</v>
      </c>
    </row>
    <row r="1461" spans="1:25" x14ac:dyDescent="0.3">
      <c r="A1461" s="8">
        <v>1455</v>
      </c>
      <c r="B1461" s="9" t="s">
        <v>12589</v>
      </c>
      <c r="C1461" s="10" t="str">
        <f>VLOOKUP(B1461,'Data Angt'!$A$5:$B$5809,2,FALSE)</f>
        <v>A4108</v>
      </c>
      <c r="D1461" s="11" t="s">
        <v>9829</v>
      </c>
      <c r="E1461" s="12" t="s">
        <v>17373</v>
      </c>
      <c r="F1461" s="13">
        <v>45693</v>
      </c>
      <c r="G1461" s="14">
        <v>45909</v>
      </c>
      <c r="H1461" s="15">
        <v>2600000</v>
      </c>
      <c r="I1461" s="16">
        <v>10</v>
      </c>
      <c r="J1461" s="17">
        <v>24</v>
      </c>
      <c r="K1461" s="9" t="s">
        <v>9827</v>
      </c>
      <c r="L1461" s="10" t="s">
        <v>17374</v>
      </c>
      <c r="M1461" s="9" t="s">
        <v>17361</v>
      </c>
      <c r="N1461" s="10" t="s">
        <v>9828</v>
      </c>
      <c r="O1461" s="15">
        <v>780000</v>
      </c>
      <c r="P1461" s="145">
        <v>97500</v>
      </c>
      <c r="Q1461" s="9"/>
      <c r="R1461" s="146"/>
      <c r="T1461" s="92" t="s">
        <v>14915</v>
      </c>
      <c r="U1461">
        <v>1</v>
      </c>
      <c r="V1461">
        <f>VLOOKUP(T1461,'Data Angt'!$A$5:$F$5810,6,FALSE)</f>
        <v>28</v>
      </c>
      <c r="W1461" s="5" t="str">
        <f t="shared" si="22"/>
        <v>PRODUKTIF</v>
      </c>
      <c r="X1461" s="5" t="str">
        <f>VLOOKUP(T1461,'Data Angt'!$A$5:$H$5810,8,FALSE)</f>
        <v>Wiraswasta</v>
      </c>
      <c r="Y1461" s="5" t="str">
        <f>VLOOKUP(T1461,'Data Angt'!$A$5:$C$5808,3,FALSE)</f>
        <v>BWI</v>
      </c>
    </row>
    <row r="1462" spans="1:25" x14ac:dyDescent="0.3">
      <c r="A1462" s="8">
        <v>1456</v>
      </c>
      <c r="B1462" s="9" t="s">
        <v>9035</v>
      </c>
      <c r="C1462" s="10" t="str">
        <f>VLOOKUP(B1462,'Data Angt'!$A$5:$B$5809,2,FALSE)</f>
        <v>A4109</v>
      </c>
      <c r="D1462" s="11" t="s">
        <v>9829</v>
      </c>
      <c r="E1462" s="12" t="s">
        <v>17375</v>
      </c>
      <c r="F1462" s="13">
        <v>45506</v>
      </c>
      <c r="G1462" s="14">
        <v>45915</v>
      </c>
      <c r="H1462" s="15">
        <v>8000000</v>
      </c>
      <c r="I1462" s="16">
        <v>20</v>
      </c>
      <c r="J1462" s="17">
        <v>24</v>
      </c>
      <c r="K1462" s="9" t="s">
        <v>9831</v>
      </c>
      <c r="L1462" s="10" t="s">
        <v>17376</v>
      </c>
      <c r="M1462" s="9" t="s">
        <v>17377</v>
      </c>
      <c r="N1462" s="10" t="s">
        <v>9828</v>
      </c>
      <c r="O1462" s="15">
        <v>3390500</v>
      </c>
      <c r="P1462" s="145">
        <v>582784</v>
      </c>
      <c r="Q1462" s="9" t="s">
        <v>23304</v>
      </c>
      <c r="R1462" s="146" t="s">
        <v>23599</v>
      </c>
      <c r="T1462" s="92" t="s">
        <v>14921</v>
      </c>
      <c r="U1462">
        <v>1</v>
      </c>
      <c r="V1462">
        <f>VLOOKUP(T1462,'Data Angt'!$A$5:$F$5810,6,FALSE)</f>
        <v>42</v>
      </c>
      <c r="W1462" s="5" t="str">
        <f t="shared" si="22"/>
        <v>PENDIDIKAN</v>
      </c>
      <c r="X1462" s="5" t="str">
        <f>VLOOKUP(T1462,'Data Angt'!$A$5:$H$5810,8,FALSE)</f>
        <v>Wiraswasta</v>
      </c>
      <c r="Y1462" s="5" t="str">
        <f>VLOOKUP(T1462,'Data Angt'!$A$5:$C$5808,3,FALSE)</f>
        <v>BWI</v>
      </c>
    </row>
    <row r="1463" spans="1:25" x14ac:dyDescent="0.3">
      <c r="A1463" s="8">
        <v>1457</v>
      </c>
      <c r="B1463" s="9" t="s">
        <v>9038</v>
      </c>
      <c r="C1463" s="10" t="str">
        <f>VLOOKUP(B1463,'Data Angt'!$A$5:$B$5809,2,FALSE)</f>
        <v>A4110</v>
      </c>
      <c r="D1463" s="11" t="s">
        <v>9833</v>
      </c>
      <c r="E1463" s="12" t="s">
        <v>23600</v>
      </c>
      <c r="F1463" s="13">
        <v>45842</v>
      </c>
      <c r="G1463" s="14">
        <v>45908</v>
      </c>
      <c r="H1463" s="15">
        <v>3000000</v>
      </c>
      <c r="I1463" s="16">
        <v>12</v>
      </c>
      <c r="J1463" s="17">
        <v>24</v>
      </c>
      <c r="K1463" s="9" t="s">
        <v>9827</v>
      </c>
      <c r="L1463" s="10" t="s">
        <v>23601</v>
      </c>
      <c r="M1463" s="9" t="s">
        <v>17443</v>
      </c>
      <c r="N1463" s="10" t="s">
        <v>9834</v>
      </c>
      <c r="O1463" s="15">
        <v>2500000</v>
      </c>
      <c r="P1463" s="145">
        <v>43125</v>
      </c>
      <c r="Q1463" s="9"/>
      <c r="R1463" s="146"/>
      <c r="T1463" s="92" t="s">
        <v>14933</v>
      </c>
      <c r="U1463">
        <v>1</v>
      </c>
      <c r="V1463">
        <f>VLOOKUP(T1463,'Data Angt'!$A$5:$F$5810,6,FALSE)</f>
        <v>50</v>
      </c>
      <c r="W1463" s="5" t="str">
        <f t="shared" si="22"/>
        <v>KONSUMTIF</v>
      </c>
      <c r="X1463" s="5" t="str">
        <f>VLOOKUP(T1463,'Data Angt'!$A$5:$H$5810,8,FALSE)</f>
        <v>Aparatur/Pejabat Negara</v>
      </c>
      <c r="Y1463" s="5" t="str">
        <f>VLOOKUP(T1463,'Data Angt'!$A$5:$C$5808,3,FALSE)</f>
        <v>BWI</v>
      </c>
    </row>
    <row r="1464" spans="1:25" x14ac:dyDescent="0.3">
      <c r="A1464" s="8">
        <v>1458</v>
      </c>
      <c r="B1464" s="9" t="s">
        <v>9040</v>
      </c>
      <c r="C1464" s="10" t="str">
        <f>VLOOKUP(B1464,'Data Angt'!$A$5:$B$5809,2,FALSE)</f>
        <v>A4111</v>
      </c>
      <c r="D1464" s="11" t="s">
        <v>9833</v>
      </c>
      <c r="E1464" s="12" t="s">
        <v>23602</v>
      </c>
      <c r="F1464" s="13">
        <v>45878</v>
      </c>
      <c r="G1464" s="14">
        <v>45911</v>
      </c>
      <c r="H1464" s="15">
        <v>3000000</v>
      </c>
      <c r="I1464" s="16">
        <v>12</v>
      </c>
      <c r="J1464" s="17">
        <v>24</v>
      </c>
      <c r="K1464" s="9" t="s">
        <v>9827</v>
      </c>
      <c r="L1464" s="10" t="s">
        <v>23603</v>
      </c>
      <c r="M1464" s="9" t="s">
        <v>17443</v>
      </c>
      <c r="N1464" s="10" t="s">
        <v>9834</v>
      </c>
      <c r="O1464" s="15">
        <v>2750000</v>
      </c>
      <c r="P1464" s="145">
        <v>22500</v>
      </c>
      <c r="Q1464" s="9"/>
      <c r="R1464" s="146"/>
      <c r="T1464" s="92" t="s">
        <v>14947</v>
      </c>
      <c r="U1464">
        <v>1</v>
      </c>
      <c r="V1464">
        <f>VLOOKUP(T1464,'Data Angt'!$A$5:$F$5810,6,FALSE)</f>
        <v>30</v>
      </c>
      <c r="W1464" s="5" t="str">
        <f t="shared" si="22"/>
        <v>PENDIDIKAN</v>
      </c>
      <c r="X1464" s="5" t="str">
        <f>VLOOKUP(T1464,'Data Angt'!$A$5:$H$5810,8,FALSE)</f>
        <v>Karyawan</v>
      </c>
      <c r="Y1464" s="5" t="str">
        <f>VLOOKUP(T1464,'Data Angt'!$A$5:$C$5808,3,FALSE)</f>
        <v>BWI</v>
      </c>
    </row>
    <row r="1465" spans="1:25" x14ac:dyDescent="0.3">
      <c r="A1465" s="8">
        <v>1459</v>
      </c>
      <c r="B1465" s="9" t="s">
        <v>9046</v>
      </c>
      <c r="C1465" s="10" t="str">
        <f>VLOOKUP(B1465,'Data Angt'!$A$5:$B$5809,2,FALSE)</f>
        <v>A4113</v>
      </c>
      <c r="D1465" s="11" t="s">
        <v>9833</v>
      </c>
      <c r="E1465" s="12" t="s">
        <v>17378</v>
      </c>
      <c r="F1465" s="13">
        <v>45667</v>
      </c>
      <c r="G1465" s="14">
        <v>45910</v>
      </c>
      <c r="H1465" s="15">
        <v>2000000</v>
      </c>
      <c r="I1465" s="16">
        <v>12</v>
      </c>
      <c r="J1465" s="17">
        <v>24</v>
      </c>
      <c r="K1465" s="9" t="s">
        <v>9827</v>
      </c>
      <c r="L1465" s="10" t="s">
        <v>17379</v>
      </c>
      <c r="M1465" s="9" t="s">
        <v>17380</v>
      </c>
      <c r="N1465" s="10" t="s">
        <v>9834</v>
      </c>
      <c r="O1465" s="15">
        <v>666400</v>
      </c>
      <c r="P1465" s="145">
        <v>85086</v>
      </c>
      <c r="Q1465" s="9"/>
      <c r="R1465" s="146"/>
      <c r="T1465" s="92" t="s">
        <v>14951</v>
      </c>
      <c r="U1465">
        <v>2</v>
      </c>
      <c r="V1465">
        <f>VLOOKUP(T1465,'Data Angt'!$A$5:$F$5810,6,FALSE)</f>
        <v>19</v>
      </c>
      <c r="W1465" s="5" t="str">
        <f t="shared" si="22"/>
        <v>PRODUKTIF</v>
      </c>
      <c r="X1465" s="5" t="str">
        <f>VLOOKUP(T1465,'Data Angt'!$A$5:$H$5810,8,FALSE)</f>
        <v>Karyawan</v>
      </c>
      <c r="Y1465" s="5" t="str">
        <f>VLOOKUP(T1465,'Data Angt'!$A$5:$C$5808,3,FALSE)</f>
        <v>BWI</v>
      </c>
    </row>
    <row r="1466" spans="1:25" x14ac:dyDescent="0.3">
      <c r="A1466" s="8">
        <v>1460</v>
      </c>
      <c r="B1466" s="9" t="s">
        <v>9050</v>
      </c>
      <c r="C1466" s="10" t="str">
        <f>VLOOKUP(B1466,'Data Angt'!$A$5:$B$5809,2,FALSE)</f>
        <v>A4115</v>
      </c>
      <c r="D1466" s="11" t="s">
        <v>9833</v>
      </c>
      <c r="E1466" s="12" t="s">
        <v>17381</v>
      </c>
      <c r="F1466" s="13">
        <v>45722</v>
      </c>
      <c r="G1466" s="14">
        <v>45909</v>
      </c>
      <c r="H1466" s="15">
        <v>3000000</v>
      </c>
      <c r="I1466" s="16">
        <v>12</v>
      </c>
      <c r="J1466" s="17">
        <v>24</v>
      </c>
      <c r="K1466" s="9" t="s">
        <v>9831</v>
      </c>
      <c r="L1466" s="10" t="s">
        <v>17382</v>
      </c>
      <c r="M1466" s="9" t="s">
        <v>9962</v>
      </c>
      <c r="N1466" s="10" t="s">
        <v>9834</v>
      </c>
      <c r="O1466" s="15">
        <v>1589200</v>
      </c>
      <c r="P1466" s="145">
        <v>109275</v>
      </c>
      <c r="Q1466" s="9"/>
      <c r="R1466" s="146"/>
      <c r="T1466" s="92" t="s">
        <v>14968</v>
      </c>
      <c r="U1466">
        <v>2</v>
      </c>
      <c r="V1466">
        <f>VLOOKUP(T1466,'Data Angt'!$A$5:$F$5810,6,FALSE)</f>
        <v>42</v>
      </c>
      <c r="W1466" s="5" t="str">
        <f t="shared" si="22"/>
        <v>PRODUKTIF</v>
      </c>
      <c r="X1466" s="5" t="str">
        <f>VLOOKUP(T1466,'Data Angt'!$A$5:$H$5810,8,FALSE)</f>
        <v>Karyawan</v>
      </c>
      <c r="Y1466" s="5" t="str">
        <f>VLOOKUP(T1466,'Data Angt'!$A$5:$C$5808,3,FALSE)</f>
        <v>BWI</v>
      </c>
    </row>
    <row r="1467" spans="1:25" x14ac:dyDescent="0.3">
      <c r="A1467" s="8">
        <v>1461</v>
      </c>
      <c r="B1467" s="9" t="s">
        <v>9052</v>
      </c>
      <c r="C1467" s="10" t="str">
        <f>VLOOKUP(B1467,'Data Angt'!$A$5:$B$5809,2,FALSE)</f>
        <v>A4116</v>
      </c>
      <c r="D1467" s="11" t="s">
        <v>9833</v>
      </c>
      <c r="E1467" s="12" t="s">
        <v>17383</v>
      </c>
      <c r="F1467" s="13">
        <v>45722</v>
      </c>
      <c r="G1467" s="14">
        <v>45910</v>
      </c>
      <c r="H1467" s="15">
        <v>3000000</v>
      </c>
      <c r="I1467" s="16">
        <v>12</v>
      </c>
      <c r="J1467" s="17">
        <v>24</v>
      </c>
      <c r="K1467" s="9" t="s">
        <v>9831</v>
      </c>
      <c r="L1467" s="10" t="s">
        <v>17384</v>
      </c>
      <c r="M1467" s="9" t="s">
        <v>9962</v>
      </c>
      <c r="N1467" s="10" t="s">
        <v>9834</v>
      </c>
      <c r="O1467" s="15">
        <v>1589200</v>
      </c>
      <c r="P1467" s="145">
        <v>109275</v>
      </c>
      <c r="Q1467" s="9"/>
      <c r="R1467" s="146"/>
      <c r="T1467" s="92" t="s">
        <v>15006</v>
      </c>
      <c r="U1467">
        <v>1</v>
      </c>
      <c r="V1467">
        <f>VLOOKUP(T1467,'Data Angt'!$A$5:$F$5810,6,FALSE)</f>
        <v>37</v>
      </c>
      <c r="W1467" s="5" t="str">
        <f t="shared" si="22"/>
        <v>PENDIDIKAN</v>
      </c>
      <c r="X1467" s="5" t="str">
        <f>VLOOKUP(T1467,'Data Angt'!$A$5:$H$5810,8,FALSE)</f>
        <v>Karyawan</v>
      </c>
      <c r="Y1467" s="5" t="str">
        <f>VLOOKUP(T1467,'Data Angt'!$A$5:$C$5808,3,FALSE)</f>
        <v>BWI</v>
      </c>
    </row>
    <row r="1468" spans="1:25" x14ac:dyDescent="0.3">
      <c r="A1468" s="8">
        <v>1462</v>
      </c>
      <c r="B1468" s="9" t="s">
        <v>9054</v>
      </c>
      <c r="C1468" s="10" t="str">
        <f>VLOOKUP(B1468,'Data Angt'!$A$5:$B$5809,2,FALSE)</f>
        <v>A4117</v>
      </c>
      <c r="D1468" s="11" t="s">
        <v>9829</v>
      </c>
      <c r="E1468" s="12" t="s">
        <v>23604</v>
      </c>
      <c r="F1468" s="13">
        <v>45911</v>
      </c>
      <c r="G1468" s="14">
        <v>45911</v>
      </c>
      <c r="H1468" s="15">
        <v>55000000</v>
      </c>
      <c r="I1468" s="16">
        <v>12</v>
      </c>
      <c r="J1468" s="17">
        <v>21</v>
      </c>
      <c r="K1468" s="9" t="s">
        <v>9831</v>
      </c>
      <c r="L1468" s="10" t="s">
        <v>23605</v>
      </c>
      <c r="M1468" s="9" t="s">
        <v>23606</v>
      </c>
      <c r="N1468" s="10" t="s">
        <v>17</v>
      </c>
      <c r="O1468" s="15">
        <v>55000000</v>
      </c>
      <c r="P1468" s="147">
        <v>0</v>
      </c>
      <c r="Q1468" s="9" t="s">
        <v>22975</v>
      </c>
      <c r="R1468" s="146" t="s">
        <v>23607</v>
      </c>
      <c r="T1468" s="92" t="s">
        <v>15008</v>
      </c>
      <c r="U1468">
        <v>1</v>
      </c>
      <c r="V1468">
        <f>VLOOKUP(T1468,'Data Angt'!$A$5:$F$5810,6,FALSE)</f>
        <v>35</v>
      </c>
      <c r="W1468" s="5" t="str">
        <f t="shared" si="22"/>
        <v>PRODUKTIF</v>
      </c>
      <c r="X1468" s="5" t="str">
        <f>VLOOKUP(T1468,'Data Angt'!$A$5:$H$5810,8,FALSE)</f>
        <v>Karyawan</v>
      </c>
      <c r="Y1468" s="5" t="str">
        <f>VLOOKUP(T1468,'Data Angt'!$A$5:$C$5808,3,FALSE)</f>
        <v>BWI</v>
      </c>
    </row>
    <row r="1469" spans="1:25" x14ac:dyDescent="0.3">
      <c r="A1469" s="8">
        <v>1463</v>
      </c>
      <c r="B1469" s="9" t="s">
        <v>9090</v>
      </c>
      <c r="C1469" s="10" t="str">
        <f>VLOOKUP(B1469,'Data Angt'!$A$5:$B$5809,2,FALSE)</f>
        <v>A4136</v>
      </c>
      <c r="D1469" s="11" t="s">
        <v>9829</v>
      </c>
      <c r="E1469" s="12" t="s">
        <v>23608</v>
      </c>
      <c r="F1469" s="13">
        <v>45852</v>
      </c>
      <c r="G1469" s="14">
        <v>45915</v>
      </c>
      <c r="H1469" s="15">
        <v>6500000</v>
      </c>
      <c r="I1469" s="16">
        <v>24</v>
      </c>
      <c r="J1469" s="17">
        <v>24</v>
      </c>
      <c r="K1469" s="9" t="s">
        <v>9827</v>
      </c>
      <c r="L1469" s="10" t="s">
        <v>23609</v>
      </c>
      <c r="M1469" s="9" t="s">
        <v>9838</v>
      </c>
      <c r="N1469" s="10" t="s">
        <v>9828</v>
      </c>
      <c r="O1469" s="15">
        <v>5958200</v>
      </c>
      <c r="P1469" s="145">
        <v>95475</v>
      </c>
      <c r="Q1469" s="9" t="s">
        <v>23304</v>
      </c>
      <c r="R1469" s="146" t="s">
        <v>23610</v>
      </c>
      <c r="T1469" s="92" t="s">
        <v>15009</v>
      </c>
      <c r="U1469">
        <v>1</v>
      </c>
      <c r="V1469">
        <f>VLOOKUP(T1469,'Data Angt'!$A$5:$F$5810,6,FALSE)</f>
        <v>22</v>
      </c>
      <c r="W1469" s="5" t="str">
        <f t="shared" si="22"/>
        <v>PENDIDIKAN</v>
      </c>
      <c r="X1469" s="5" t="str">
        <f>VLOOKUP(T1469,'Data Angt'!$A$5:$H$5810,8,FALSE)</f>
        <v>Karyawan</v>
      </c>
      <c r="Y1469" s="5" t="str">
        <f>VLOOKUP(T1469,'Data Angt'!$A$5:$C$5808,3,FALSE)</f>
        <v>BWI</v>
      </c>
    </row>
    <row r="1470" spans="1:25" x14ac:dyDescent="0.3">
      <c r="A1470" s="8">
        <v>1464</v>
      </c>
      <c r="B1470" s="9" t="s">
        <v>9145</v>
      </c>
      <c r="C1470" s="10" t="str">
        <f>VLOOKUP(B1470,'Data Angt'!$A$5:$B$5809,2,FALSE)</f>
        <v>A4160</v>
      </c>
      <c r="D1470" s="11" t="s">
        <v>9833</v>
      </c>
      <c r="E1470" s="12" t="s">
        <v>10574</v>
      </c>
      <c r="F1470" s="13">
        <v>45125</v>
      </c>
      <c r="G1470" s="14">
        <v>45744</v>
      </c>
      <c r="H1470" s="15">
        <v>2000000</v>
      </c>
      <c r="I1470" s="16">
        <v>12</v>
      </c>
      <c r="J1470" s="17">
        <v>24</v>
      </c>
      <c r="K1470" s="9" t="s">
        <v>9827</v>
      </c>
      <c r="L1470" s="10" t="s">
        <v>10575</v>
      </c>
      <c r="M1470" s="9" t="s">
        <v>10576</v>
      </c>
      <c r="N1470" s="10" t="s">
        <v>9834</v>
      </c>
      <c r="O1470" s="15">
        <v>1666600</v>
      </c>
      <c r="P1470" s="145">
        <v>220312</v>
      </c>
      <c r="Q1470" s="9"/>
      <c r="R1470" s="146"/>
      <c r="T1470" s="92" t="s">
        <v>15038</v>
      </c>
      <c r="U1470">
        <v>1</v>
      </c>
      <c r="V1470">
        <f>VLOOKUP(T1470,'Data Angt'!$A$5:$F$5810,6,FALSE)</f>
        <v>22</v>
      </c>
      <c r="W1470" s="5" t="str">
        <f t="shared" si="22"/>
        <v>KONSUMTIF</v>
      </c>
      <c r="X1470" s="5" t="str">
        <f>VLOOKUP(T1470,'Data Angt'!$A$5:$H$5810,8,FALSE)</f>
        <v>Karyawan</v>
      </c>
      <c r="Y1470" s="5" t="str">
        <f>VLOOKUP(T1470,'Data Angt'!$A$5:$C$5808,3,FALSE)</f>
        <v>BWI</v>
      </c>
    </row>
    <row r="1471" spans="1:25" x14ac:dyDescent="0.3">
      <c r="A1471" s="8">
        <v>1465</v>
      </c>
      <c r="B1471" s="9" t="s">
        <v>9155</v>
      </c>
      <c r="C1471" s="10" t="str">
        <f>VLOOKUP(B1471,'Data Angt'!$A$5:$B$5809,2,FALSE)</f>
        <v>A4165</v>
      </c>
      <c r="D1471" s="11" t="s">
        <v>9833</v>
      </c>
      <c r="E1471" s="12" t="s">
        <v>17385</v>
      </c>
      <c r="F1471" s="13">
        <v>45807</v>
      </c>
      <c r="G1471" s="14">
        <v>45919</v>
      </c>
      <c r="H1471" s="15">
        <v>2500000</v>
      </c>
      <c r="I1471" s="16">
        <v>12</v>
      </c>
      <c r="J1471" s="17">
        <v>24</v>
      </c>
      <c r="K1471" s="9" t="s">
        <v>9827</v>
      </c>
      <c r="L1471" s="10" t="s">
        <v>17386</v>
      </c>
      <c r="M1471" s="9" t="s">
        <v>17387</v>
      </c>
      <c r="N1471" s="10" t="s">
        <v>9834</v>
      </c>
      <c r="O1471" s="15">
        <v>1666400</v>
      </c>
      <c r="P1471" s="145">
        <v>65661</v>
      </c>
      <c r="Q1471" s="9"/>
      <c r="R1471" s="146"/>
      <c r="T1471" s="92" t="s">
        <v>15040</v>
      </c>
      <c r="U1471">
        <v>1</v>
      </c>
      <c r="V1471">
        <f>VLOOKUP(T1471,'Data Angt'!$A$5:$F$5810,6,FALSE)</f>
        <v>23</v>
      </c>
      <c r="W1471" s="5" t="str">
        <f t="shared" si="22"/>
        <v>KONSUMTIF</v>
      </c>
      <c r="X1471" s="5" t="str">
        <f>VLOOKUP(T1471,'Data Angt'!$A$5:$H$5810,8,FALSE)</f>
        <v>Karyawan</v>
      </c>
      <c r="Y1471" s="5" t="str">
        <f>VLOOKUP(T1471,'Data Angt'!$A$5:$C$5808,3,FALSE)</f>
        <v>BWI</v>
      </c>
    </row>
    <row r="1472" spans="1:25" x14ac:dyDescent="0.3">
      <c r="A1472" s="8">
        <v>1466</v>
      </c>
      <c r="B1472" s="9" t="s">
        <v>9209</v>
      </c>
      <c r="C1472" s="10" t="str">
        <f>VLOOKUP(B1472,'Data Angt'!$A$5:$B$5809,2,FALSE)</f>
        <v>A4191</v>
      </c>
      <c r="D1472" s="11" t="s">
        <v>9829</v>
      </c>
      <c r="E1472" s="12" t="s">
        <v>23611</v>
      </c>
      <c r="F1472" s="13">
        <v>45895</v>
      </c>
      <c r="G1472" s="14">
        <v>45930</v>
      </c>
      <c r="H1472" s="15">
        <v>3000000</v>
      </c>
      <c r="I1472" s="16">
        <v>12</v>
      </c>
      <c r="J1472" s="17">
        <v>24</v>
      </c>
      <c r="K1472" s="9" t="s">
        <v>9827</v>
      </c>
      <c r="L1472" s="10" t="s">
        <v>23612</v>
      </c>
      <c r="M1472" s="9" t="s">
        <v>10495</v>
      </c>
      <c r="N1472" s="10" t="s">
        <v>17</v>
      </c>
      <c r="O1472" s="15">
        <v>2750000</v>
      </c>
      <c r="P1472" s="145">
        <v>22500</v>
      </c>
      <c r="Q1472" s="9"/>
      <c r="R1472" s="146"/>
      <c r="T1472" s="92" t="s">
        <v>15079</v>
      </c>
      <c r="U1472">
        <v>1</v>
      </c>
      <c r="V1472">
        <f>VLOOKUP(T1472,'Data Angt'!$A$5:$F$5810,6,FALSE)</f>
        <v>24</v>
      </c>
      <c r="W1472" s="5" t="str">
        <f t="shared" si="22"/>
        <v>KONSUMTIF</v>
      </c>
      <c r="X1472" s="5" t="str">
        <f>VLOOKUP(T1472,'Data Angt'!$A$5:$H$5810,8,FALSE)</f>
        <v>Karyawan</v>
      </c>
      <c r="Y1472" s="5" t="str">
        <f>VLOOKUP(T1472,'Data Angt'!$A$5:$C$5808,3,FALSE)</f>
        <v>BWI</v>
      </c>
    </row>
    <row r="1473" spans="1:25" x14ac:dyDescent="0.3">
      <c r="A1473" s="8">
        <v>1467</v>
      </c>
      <c r="B1473" s="9" t="s">
        <v>9213</v>
      </c>
      <c r="C1473" s="10" t="str">
        <f>VLOOKUP(B1473,'Data Angt'!$A$5:$B$5809,2,FALSE)</f>
        <v>A4192</v>
      </c>
      <c r="D1473" s="11" t="s">
        <v>9829</v>
      </c>
      <c r="E1473" s="12" t="s">
        <v>17388</v>
      </c>
      <c r="F1473" s="13">
        <v>45784</v>
      </c>
      <c r="G1473" s="14">
        <v>45930</v>
      </c>
      <c r="H1473" s="15">
        <v>3000000</v>
      </c>
      <c r="I1473" s="16">
        <v>12</v>
      </c>
      <c r="J1473" s="17">
        <v>24</v>
      </c>
      <c r="K1473" s="9" t="s">
        <v>9827</v>
      </c>
      <c r="L1473" s="10" t="s">
        <v>17389</v>
      </c>
      <c r="M1473" s="9" t="s">
        <v>17390</v>
      </c>
      <c r="N1473" s="10" t="s">
        <v>9828</v>
      </c>
      <c r="O1473" s="15">
        <v>2250000</v>
      </c>
      <c r="P1473" s="145">
        <v>80625</v>
      </c>
      <c r="Q1473" s="9"/>
      <c r="R1473" s="146"/>
      <c r="T1473" s="92" t="s">
        <v>15093</v>
      </c>
      <c r="U1473">
        <v>1</v>
      </c>
      <c r="V1473">
        <f>VLOOKUP(T1473,'Data Angt'!$A$5:$F$5810,6,FALSE)</f>
        <v>29</v>
      </c>
      <c r="W1473" s="5" t="str">
        <f t="shared" si="22"/>
        <v>PRODUKTIF</v>
      </c>
      <c r="X1473" s="5" t="str">
        <f>VLOOKUP(T1473,'Data Angt'!$A$5:$H$5810,8,FALSE)</f>
        <v>Mengurus Rumah Tangga</v>
      </c>
      <c r="Y1473" s="5" t="str">
        <f>VLOOKUP(T1473,'Data Angt'!$A$5:$C$5808,3,FALSE)</f>
        <v>BWI</v>
      </c>
    </row>
    <row r="1474" spans="1:25" x14ac:dyDescent="0.3">
      <c r="A1474" s="8">
        <v>1468</v>
      </c>
      <c r="B1474" s="9" t="s">
        <v>9281</v>
      </c>
      <c r="C1474" s="10" t="str">
        <f>VLOOKUP(B1474,'Data Angt'!$A$5:$B$5809,2,FALSE)</f>
        <v>A4220</v>
      </c>
      <c r="D1474" s="11" t="s">
        <v>9829</v>
      </c>
      <c r="E1474" s="12" t="s">
        <v>23613</v>
      </c>
      <c r="F1474" s="13">
        <v>45842</v>
      </c>
      <c r="G1474" s="14">
        <v>45908</v>
      </c>
      <c r="H1474" s="15">
        <v>3000000</v>
      </c>
      <c r="I1474" s="16">
        <v>12</v>
      </c>
      <c r="J1474" s="17">
        <v>24</v>
      </c>
      <c r="K1474" s="9" t="s">
        <v>9827</v>
      </c>
      <c r="L1474" s="10" t="s">
        <v>23614</v>
      </c>
      <c r="M1474" s="9" t="s">
        <v>23615</v>
      </c>
      <c r="N1474" s="10" t="s">
        <v>17</v>
      </c>
      <c r="O1474" s="15">
        <v>2500000</v>
      </c>
      <c r="P1474" s="145">
        <v>43125</v>
      </c>
      <c r="Q1474" s="9"/>
      <c r="R1474" s="146"/>
      <c r="T1474" s="92" t="s">
        <v>15104</v>
      </c>
      <c r="U1474">
        <v>2</v>
      </c>
      <c r="V1474">
        <f>VLOOKUP(T1474,'Data Angt'!$A$5:$F$5810,6,FALSE)</f>
        <v>24</v>
      </c>
      <c r="W1474" s="5" t="str">
        <f t="shared" si="22"/>
        <v>PRODUKTIF</v>
      </c>
      <c r="X1474" s="5" t="str">
        <f>VLOOKUP(T1474,'Data Angt'!$A$5:$H$5810,8,FALSE)</f>
        <v>Lain-Lain</v>
      </c>
      <c r="Y1474" s="5" t="str">
        <f>VLOOKUP(T1474,'Data Angt'!$A$5:$C$5808,3,FALSE)</f>
        <v>BWI</v>
      </c>
    </row>
    <row r="1475" spans="1:25" x14ac:dyDescent="0.3">
      <c r="A1475" s="8">
        <v>1469</v>
      </c>
      <c r="B1475" s="9" t="s">
        <v>9287</v>
      </c>
      <c r="C1475" s="10" t="str">
        <f>VLOOKUP(B1475,'Data Angt'!$A$5:$B$5809,2,FALSE)</f>
        <v>A4222</v>
      </c>
      <c r="D1475" s="11" t="s">
        <v>9829</v>
      </c>
      <c r="E1475" s="12" t="s">
        <v>23616</v>
      </c>
      <c r="F1475" s="13">
        <v>45918</v>
      </c>
      <c r="G1475" s="14">
        <v>45918</v>
      </c>
      <c r="H1475" s="15">
        <v>2000000</v>
      </c>
      <c r="I1475" s="16">
        <v>12</v>
      </c>
      <c r="J1475" s="17">
        <v>24</v>
      </c>
      <c r="K1475" s="9" t="s">
        <v>9827</v>
      </c>
      <c r="L1475" s="10" t="s">
        <v>23617</v>
      </c>
      <c r="M1475" s="9" t="s">
        <v>10495</v>
      </c>
      <c r="N1475" s="10" t="s">
        <v>17</v>
      </c>
      <c r="O1475" s="15">
        <v>2000000</v>
      </c>
      <c r="P1475" s="147">
        <v>0</v>
      </c>
      <c r="Q1475" s="9"/>
      <c r="R1475" s="146"/>
      <c r="T1475" s="92" t="s">
        <v>15109</v>
      </c>
      <c r="U1475">
        <v>1</v>
      </c>
      <c r="V1475">
        <f>VLOOKUP(T1475,'Data Angt'!$A$5:$F$5810,6,FALSE)</f>
        <v>23</v>
      </c>
      <c r="W1475" s="5" t="str">
        <f t="shared" si="22"/>
        <v>PRODUKTIF</v>
      </c>
      <c r="X1475" s="5" t="str">
        <f>VLOOKUP(T1475,'Data Angt'!$A$5:$H$5810,8,FALSE)</f>
        <v>Wiraswasta</v>
      </c>
      <c r="Y1475" s="5" t="str">
        <f>VLOOKUP(T1475,'Data Angt'!$A$5:$C$5808,3,FALSE)</f>
        <v>BWI</v>
      </c>
    </row>
    <row r="1476" spans="1:25" x14ac:dyDescent="0.3">
      <c r="A1476" s="8">
        <v>1470</v>
      </c>
      <c r="B1476" s="9" t="s">
        <v>9321</v>
      </c>
      <c r="C1476" s="10" t="str">
        <f>VLOOKUP(B1476,'Data Angt'!$A$5:$B$5809,2,FALSE)</f>
        <v>A4237</v>
      </c>
      <c r="D1476" s="11" t="s">
        <v>9829</v>
      </c>
      <c r="E1476" s="12" t="s">
        <v>23618</v>
      </c>
      <c r="F1476" s="13">
        <v>45880</v>
      </c>
      <c r="G1476" s="14">
        <v>45911</v>
      </c>
      <c r="H1476" s="15">
        <v>3000000</v>
      </c>
      <c r="I1476" s="16">
        <v>12</v>
      </c>
      <c r="J1476" s="17">
        <v>24</v>
      </c>
      <c r="K1476" s="9" t="s">
        <v>9827</v>
      </c>
      <c r="L1476" s="10" t="s">
        <v>23619</v>
      </c>
      <c r="M1476" s="9" t="s">
        <v>10495</v>
      </c>
      <c r="N1476" s="10" t="s">
        <v>17</v>
      </c>
      <c r="O1476" s="15">
        <v>2750000</v>
      </c>
      <c r="P1476" s="145">
        <v>22500</v>
      </c>
      <c r="Q1476" s="9"/>
      <c r="R1476" s="146"/>
      <c r="T1476" s="92" t="s">
        <v>15143</v>
      </c>
      <c r="U1476">
        <v>1</v>
      </c>
      <c r="V1476">
        <f>VLOOKUP(T1476,'Data Angt'!$A$5:$F$5810,6,FALSE)</f>
        <v>30</v>
      </c>
      <c r="W1476" s="5" t="str">
        <f t="shared" si="22"/>
        <v>PRODUKTIF</v>
      </c>
      <c r="X1476" s="5" t="str">
        <f>VLOOKUP(T1476,'Data Angt'!$A$5:$H$5810,8,FALSE)</f>
        <v>Wiraswasta</v>
      </c>
      <c r="Y1476" s="5" t="str">
        <f>VLOOKUP(T1476,'Data Angt'!$A$5:$C$5808,3,FALSE)</f>
        <v>BWI</v>
      </c>
    </row>
    <row r="1477" spans="1:25" x14ac:dyDescent="0.3">
      <c r="A1477" s="8">
        <v>1471</v>
      </c>
      <c r="B1477" s="9" t="s">
        <v>9322</v>
      </c>
      <c r="C1477" s="10" t="str">
        <f>VLOOKUP(B1477,'Data Angt'!$A$5:$B$5809,2,FALSE)</f>
        <v>A4238</v>
      </c>
      <c r="D1477" s="11" t="s">
        <v>9833</v>
      </c>
      <c r="E1477" s="12" t="s">
        <v>10577</v>
      </c>
      <c r="F1477" s="13">
        <v>45188</v>
      </c>
      <c r="G1477" s="14">
        <v>45573</v>
      </c>
      <c r="H1477" s="15">
        <v>2000000</v>
      </c>
      <c r="I1477" s="16">
        <v>12</v>
      </c>
      <c r="J1477" s="17">
        <v>24</v>
      </c>
      <c r="K1477" s="9" t="s">
        <v>9827</v>
      </c>
      <c r="L1477" s="10" t="s">
        <v>10578</v>
      </c>
      <c r="M1477" s="9" t="s">
        <v>10579</v>
      </c>
      <c r="N1477" s="10" t="s">
        <v>9834</v>
      </c>
      <c r="O1477" s="15">
        <v>833100</v>
      </c>
      <c r="P1477" s="145">
        <v>124799</v>
      </c>
      <c r="Q1477" s="9"/>
      <c r="R1477" s="146"/>
      <c r="T1477" s="92" t="s">
        <v>15146</v>
      </c>
      <c r="U1477">
        <v>1</v>
      </c>
      <c r="V1477">
        <f>VLOOKUP(T1477,'Data Angt'!$A$5:$F$5810,6,FALSE)</f>
        <v>52</v>
      </c>
      <c r="W1477" s="5" t="str">
        <f t="shared" si="22"/>
        <v>PRODUKTIF</v>
      </c>
      <c r="X1477" s="5" t="str">
        <f>VLOOKUP(T1477,'Data Angt'!$A$5:$H$5810,8,FALSE)</f>
        <v>Wiraswasta</v>
      </c>
      <c r="Y1477" s="5" t="str">
        <f>VLOOKUP(T1477,'Data Angt'!$A$5:$C$5808,3,FALSE)</f>
        <v>BWI</v>
      </c>
    </row>
    <row r="1478" spans="1:25" x14ac:dyDescent="0.3">
      <c r="A1478" s="8">
        <v>1472</v>
      </c>
      <c r="B1478" s="9" t="s">
        <v>9374</v>
      </c>
      <c r="C1478" s="10" t="str">
        <f>VLOOKUP(B1478,'Data Angt'!$A$5:$B$5809,2,FALSE)</f>
        <v>A4264</v>
      </c>
      <c r="D1478" s="11" t="s">
        <v>9833</v>
      </c>
      <c r="E1478" s="12" t="s">
        <v>17391</v>
      </c>
      <c r="F1478" s="13">
        <v>45722</v>
      </c>
      <c r="G1478" s="14">
        <v>45930</v>
      </c>
      <c r="H1478" s="15">
        <v>3000000</v>
      </c>
      <c r="I1478" s="16">
        <v>12</v>
      </c>
      <c r="J1478" s="17">
        <v>24</v>
      </c>
      <c r="K1478" s="9" t="s">
        <v>9831</v>
      </c>
      <c r="L1478" s="10" t="s">
        <v>17392</v>
      </c>
      <c r="M1478" s="9" t="s">
        <v>9962</v>
      </c>
      <c r="N1478" s="10" t="s">
        <v>9834</v>
      </c>
      <c r="O1478" s="15">
        <v>1589200</v>
      </c>
      <c r="P1478" s="145">
        <v>109275</v>
      </c>
      <c r="Q1478" s="9"/>
      <c r="R1478" s="146"/>
      <c r="T1478" s="92" t="s">
        <v>15147</v>
      </c>
      <c r="U1478">
        <v>1</v>
      </c>
      <c r="V1478">
        <f>VLOOKUP(T1478,'Data Angt'!$A$5:$F$5810,6,FALSE)</f>
        <v>68</v>
      </c>
      <c r="W1478" s="5" t="str">
        <f t="shared" si="22"/>
        <v>PRODUKTIF</v>
      </c>
      <c r="X1478" s="5" t="str">
        <f>VLOOKUP(T1478,'Data Angt'!$A$5:$H$5810,8,FALSE)</f>
        <v>Wiraswasta</v>
      </c>
      <c r="Y1478" s="5" t="str">
        <f>VLOOKUP(T1478,'Data Angt'!$A$5:$C$5808,3,FALSE)</f>
        <v>BWI</v>
      </c>
    </row>
    <row r="1479" spans="1:25" x14ac:dyDescent="0.3">
      <c r="A1479" s="8">
        <v>1473</v>
      </c>
      <c r="B1479" s="9" t="s">
        <v>9375</v>
      </c>
      <c r="C1479" s="10" t="str">
        <f>VLOOKUP(B1479,'Data Angt'!$A$5:$B$5809,2,FALSE)</f>
        <v>A4265</v>
      </c>
      <c r="D1479" s="11" t="s">
        <v>9833</v>
      </c>
      <c r="E1479" s="12" t="s">
        <v>17393</v>
      </c>
      <c r="F1479" s="13">
        <v>45707</v>
      </c>
      <c r="G1479" s="14">
        <v>45930</v>
      </c>
      <c r="H1479" s="15">
        <v>10000000</v>
      </c>
      <c r="I1479" s="16">
        <v>18</v>
      </c>
      <c r="J1479" s="17">
        <v>24</v>
      </c>
      <c r="K1479" s="9" t="s">
        <v>9831</v>
      </c>
      <c r="L1479" s="10" t="s">
        <v>17394</v>
      </c>
      <c r="M1479" s="9" t="s">
        <v>10059</v>
      </c>
      <c r="N1479" s="10" t="s">
        <v>9834</v>
      </c>
      <c r="O1479" s="15">
        <v>7053700</v>
      </c>
      <c r="P1479" s="145">
        <v>449023</v>
      </c>
      <c r="Q1479" s="9" t="s">
        <v>23304</v>
      </c>
      <c r="R1479" s="146" t="s">
        <v>23620</v>
      </c>
      <c r="T1479" s="92" t="s">
        <v>15152</v>
      </c>
      <c r="U1479">
        <v>1</v>
      </c>
      <c r="V1479">
        <f>VLOOKUP(T1479,'Data Angt'!$A$5:$F$5810,6,FALSE)</f>
        <v>55</v>
      </c>
      <c r="W1479" s="5" t="str">
        <f t="shared" ref="W1479:W1542" si="23">VLOOKUP(T1479,$B$7:$N$1869,13,FALSE)</f>
        <v>PRODUKTIF</v>
      </c>
      <c r="X1479" s="5" t="str">
        <f>VLOOKUP(T1479,'Data Angt'!$A$5:$H$5810,8,FALSE)</f>
        <v>Wiraswasta</v>
      </c>
      <c r="Y1479" s="5" t="str">
        <f>VLOOKUP(T1479,'Data Angt'!$A$5:$C$5808,3,FALSE)</f>
        <v>BWI</v>
      </c>
    </row>
    <row r="1480" spans="1:25" x14ac:dyDescent="0.3">
      <c r="A1480" s="8">
        <v>1474</v>
      </c>
      <c r="B1480" s="9" t="s">
        <v>9404</v>
      </c>
      <c r="C1480" s="10" t="str">
        <f>VLOOKUP(B1480,'Data Angt'!$A$5:$B$5809,2,FALSE)</f>
        <v>A4278</v>
      </c>
      <c r="D1480" s="11" t="s">
        <v>9895</v>
      </c>
      <c r="E1480" s="12" t="s">
        <v>17395</v>
      </c>
      <c r="F1480" s="13">
        <v>45441</v>
      </c>
      <c r="G1480" s="14">
        <v>45920</v>
      </c>
      <c r="H1480" s="15">
        <v>25000000</v>
      </c>
      <c r="I1480" s="16">
        <v>36</v>
      </c>
      <c r="J1480" s="17">
        <v>21</v>
      </c>
      <c r="K1480" s="9" t="s">
        <v>9831</v>
      </c>
      <c r="L1480" s="10" t="s">
        <v>17396</v>
      </c>
      <c r="M1480" s="9" t="s">
        <v>17397</v>
      </c>
      <c r="N1480" s="10" t="s">
        <v>9828</v>
      </c>
      <c r="O1480" s="15">
        <v>15812700</v>
      </c>
      <c r="P1480" s="145">
        <v>2206159</v>
      </c>
      <c r="Q1480" s="9"/>
      <c r="R1480" s="146"/>
      <c r="T1480" s="92" t="s">
        <v>15198</v>
      </c>
      <c r="U1480">
        <v>1</v>
      </c>
      <c r="V1480">
        <f>VLOOKUP(T1480,'Data Angt'!$A$5:$F$5810,6,FALSE)</f>
        <v>30</v>
      </c>
      <c r="W1480" s="5" t="str">
        <f t="shared" si="23"/>
        <v>KONSUMTIF</v>
      </c>
      <c r="X1480" s="5" t="str">
        <f>VLOOKUP(T1480,'Data Angt'!$A$5:$H$5810,8,FALSE)</f>
        <v>Karyawan</v>
      </c>
      <c r="Y1480" s="5" t="str">
        <f>VLOOKUP(T1480,'Data Angt'!$A$5:$C$5808,3,FALSE)</f>
        <v>BWI</v>
      </c>
    </row>
    <row r="1481" spans="1:25" x14ac:dyDescent="0.3">
      <c r="A1481" s="8">
        <v>1475</v>
      </c>
      <c r="B1481" s="9" t="s">
        <v>9404</v>
      </c>
      <c r="C1481" s="10" t="str">
        <f>VLOOKUP(B1481,'Data Angt'!$A$5:$B$5809,2,FALSE)</f>
        <v>A4278</v>
      </c>
      <c r="D1481" s="11" t="s">
        <v>9826</v>
      </c>
      <c r="E1481" s="12" t="s">
        <v>23621</v>
      </c>
      <c r="F1481" s="13">
        <v>45880</v>
      </c>
      <c r="G1481" s="14">
        <v>45924</v>
      </c>
      <c r="H1481" s="15">
        <v>2000000</v>
      </c>
      <c r="I1481" s="16">
        <v>10</v>
      </c>
      <c r="J1481" s="17">
        <v>24</v>
      </c>
      <c r="K1481" s="9" t="s">
        <v>9827</v>
      </c>
      <c r="L1481" s="10" t="s">
        <v>23622</v>
      </c>
      <c r="M1481" s="9" t="s">
        <v>17443</v>
      </c>
      <c r="N1481" s="10" t="s">
        <v>9834</v>
      </c>
      <c r="O1481" s="15">
        <v>1800000</v>
      </c>
      <c r="P1481" s="145">
        <v>15000</v>
      </c>
      <c r="Q1481" s="9"/>
      <c r="R1481" s="146"/>
      <c r="T1481" s="92" t="s">
        <v>15226</v>
      </c>
      <c r="U1481">
        <v>1</v>
      </c>
      <c r="V1481">
        <f>VLOOKUP(T1481,'Data Angt'!$A$5:$F$5810,6,FALSE)</f>
        <v>29</v>
      </c>
      <c r="W1481" s="5" t="str">
        <f t="shared" si="23"/>
        <v>PRODUKTIF</v>
      </c>
      <c r="X1481" s="5" t="str">
        <f>VLOOKUP(T1481,'Data Angt'!$A$5:$H$5810,8,FALSE)</f>
        <v>Wiraswasta</v>
      </c>
      <c r="Y1481" s="5" t="str">
        <f>VLOOKUP(T1481,'Data Angt'!$A$5:$C$5808,3,FALSE)</f>
        <v>BWI</v>
      </c>
    </row>
    <row r="1482" spans="1:25" x14ac:dyDescent="0.3">
      <c r="A1482" s="8">
        <v>1476</v>
      </c>
      <c r="B1482" s="9" t="s">
        <v>9412</v>
      </c>
      <c r="C1482" s="10" t="str">
        <f>VLOOKUP(B1482,'Data Angt'!$A$5:$B$5809,2,FALSE)</f>
        <v>A4282</v>
      </c>
      <c r="D1482" s="11" t="s">
        <v>9829</v>
      </c>
      <c r="E1482" s="12" t="s">
        <v>17398</v>
      </c>
      <c r="F1482" s="13">
        <v>45827</v>
      </c>
      <c r="G1482" s="14">
        <v>45930</v>
      </c>
      <c r="H1482" s="15">
        <v>1500000</v>
      </c>
      <c r="I1482" s="16">
        <v>8</v>
      </c>
      <c r="J1482" s="17">
        <v>24</v>
      </c>
      <c r="K1482" s="9" t="s">
        <v>9827</v>
      </c>
      <c r="L1482" s="10" t="s">
        <v>17399</v>
      </c>
      <c r="M1482" s="9" t="s">
        <v>17400</v>
      </c>
      <c r="N1482" s="10" t="s">
        <v>9828</v>
      </c>
      <c r="O1482" s="15">
        <v>937500</v>
      </c>
      <c r="P1482" s="145">
        <v>29549</v>
      </c>
      <c r="Q1482" s="9"/>
      <c r="R1482" s="146"/>
      <c r="T1482" s="92" t="s">
        <v>15248</v>
      </c>
      <c r="U1482">
        <v>1</v>
      </c>
      <c r="V1482">
        <f>VLOOKUP(T1482,'Data Angt'!$A$5:$F$5810,6,FALSE)</f>
        <v>39</v>
      </c>
      <c r="W1482" s="5" t="str">
        <f t="shared" si="23"/>
        <v>PRODUKTIF</v>
      </c>
      <c r="X1482" s="5" t="str">
        <f>VLOOKUP(T1482,'Data Angt'!$A$5:$H$5810,8,FALSE)</f>
        <v>Wiraswasta</v>
      </c>
      <c r="Y1482" s="5" t="str">
        <f>VLOOKUP(T1482,'Data Angt'!$A$5:$C$5808,3,FALSE)</f>
        <v>BWI</v>
      </c>
    </row>
    <row r="1483" spans="1:25" x14ac:dyDescent="0.3">
      <c r="A1483" s="8">
        <v>1477</v>
      </c>
      <c r="B1483" s="9" t="s">
        <v>9415</v>
      </c>
      <c r="C1483" s="10" t="str">
        <f>VLOOKUP(B1483,'Data Angt'!$A$5:$B$5809,2,FALSE)</f>
        <v>A4283</v>
      </c>
      <c r="D1483" s="11" t="s">
        <v>9829</v>
      </c>
      <c r="E1483" s="12" t="s">
        <v>17401</v>
      </c>
      <c r="F1483" s="13">
        <v>45573</v>
      </c>
      <c r="G1483" s="14">
        <v>45911</v>
      </c>
      <c r="H1483" s="15">
        <v>10000000</v>
      </c>
      <c r="I1483" s="16">
        <v>12</v>
      </c>
      <c r="J1483" s="17">
        <v>24</v>
      </c>
      <c r="K1483" s="9" t="s">
        <v>9827</v>
      </c>
      <c r="L1483" s="10" t="s">
        <v>17402</v>
      </c>
      <c r="M1483" s="9" t="s">
        <v>9840</v>
      </c>
      <c r="N1483" s="10" t="s">
        <v>9828</v>
      </c>
      <c r="O1483" s="15">
        <v>832600</v>
      </c>
      <c r="P1483" s="145">
        <v>481386</v>
      </c>
      <c r="Q1483" s="9" t="s">
        <v>23304</v>
      </c>
      <c r="R1483" s="146" t="s">
        <v>23623</v>
      </c>
      <c r="T1483" s="92" t="s">
        <v>15279</v>
      </c>
      <c r="U1483">
        <v>1</v>
      </c>
      <c r="V1483">
        <f>VLOOKUP(T1483,'Data Angt'!$A$5:$F$5810,6,FALSE)</f>
        <v>34</v>
      </c>
      <c r="W1483" s="5" t="str">
        <f t="shared" si="23"/>
        <v>KONSUMTIF</v>
      </c>
      <c r="X1483" s="5" t="str">
        <f>VLOOKUP(T1483,'Data Angt'!$A$5:$H$5810,8,FALSE)</f>
        <v>Karyawan</v>
      </c>
      <c r="Y1483" s="5" t="str">
        <f>VLOOKUP(T1483,'Data Angt'!$A$5:$C$5808,3,FALSE)</f>
        <v>BWI</v>
      </c>
    </row>
    <row r="1484" spans="1:25" x14ac:dyDescent="0.3">
      <c r="A1484" s="8">
        <v>1478</v>
      </c>
      <c r="B1484" s="9" t="s">
        <v>9436</v>
      </c>
      <c r="C1484" s="10" t="str">
        <f>VLOOKUP(B1484,'Data Angt'!$A$5:$B$5809,2,FALSE)</f>
        <v>A4293</v>
      </c>
      <c r="D1484" s="11" t="s">
        <v>9833</v>
      </c>
      <c r="E1484" s="12" t="s">
        <v>23624</v>
      </c>
      <c r="F1484" s="13">
        <v>45891</v>
      </c>
      <c r="G1484" s="14">
        <v>45918</v>
      </c>
      <c r="H1484" s="15">
        <v>3000000</v>
      </c>
      <c r="I1484" s="16">
        <v>12</v>
      </c>
      <c r="J1484" s="17">
        <v>24</v>
      </c>
      <c r="K1484" s="9" t="s">
        <v>9827</v>
      </c>
      <c r="L1484" s="10" t="s">
        <v>23625</v>
      </c>
      <c r="M1484" s="9" t="s">
        <v>23626</v>
      </c>
      <c r="N1484" s="10" t="s">
        <v>9834</v>
      </c>
      <c r="O1484" s="15">
        <v>2750000</v>
      </c>
      <c r="P1484" s="145">
        <v>22500</v>
      </c>
      <c r="Q1484" s="9"/>
      <c r="R1484" s="146"/>
      <c r="T1484" s="92" t="s">
        <v>18867</v>
      </c>
      <c r="U1484">
        <v>1</v>
      </c>
      <c r="V1484">
        <f>VLOOKUP(T1484,'Data Angt'!$A$5:$F$5810,6,FALSE)</f>
        <v>24</v>
      </c>
      <c r="W1484" s="5" t="str">
        <f t="shared" si="23"/>
        <v>KONSUMTIF</v>
      </c>
      <c r="X1484" s="5" t="str">
        <f>VLOOKUP(T1484,'Data Angt'!$A$5:$H$5810,8,FALSE)</f>
        <v>Karyawan</v>
      </c>
      <c r="Y1484" s="5" t="str">
        <f>VLOOKUP(T1484,'Data Angt'!$A$5:$C$5808,3,FALSE)</f>
        <v>BWI</v>
      </c>
    </row>
    <row r="1485" spans="1:25" x14ac:dyDescent="0.3">
      <c r="A1485" s="8">
        <v>1479</v>
      </c>
      <c r="B1485" s="9" t="s">
        <v>9439</v>
      </c>
      <c r="C1485" s="10" t="str">
        <f>VLOOKUP(B1485,'Data Angt'!$A$5:$B$5809,2,FALSE)</f>
        <v>A4294</v>
      </c>
      <c r="D1485" s="11" t="s">
        <v>9829</v>
      </c>
      <c r="E1485" s="12" t="s">
        <v>10580</v>
      </c>
      <c r="F1485" s="13">
        <v>45241</v>
      </c>
      <c r="G1485" s="14">
        <v>45688</v>
      </c>
      <c r="H1485" s="15">
        <v>2000000</v>
      </c>
      <c r="I1485" s="16">
        <v>12</v>
      </c>
      <c r="J1485" s="17">
        <v>24</v>
      </c>
      <c r="K1485" s="9" t="s">
        <v>9827</v>
      </c>
      <c r="L1485" s="10" t="s">
        <v>10581</v>
      </c>
      <c r="M1485" s="9" t="s">
        <v>10495</v>
      </c>
      <c r="N1485" s="10" t="s">
        <v>17</v>
      </c>
      <c r="O1485" s="15">
        <v>1248700</v>
      </c>
      <c r="P1485" s="145">
        <v>163462</v>
      </c>
      <c r="Q1485" s="9"/>
      <c r="R1485" s="146"/>
      <c r="T1485" s="92" t="s">
        <v>18916</v>
      </c>
      <c r="U1485">
        <v>1</v>
      </c>
      <c r="V1485">
        <f>VLOOKUP(T1485,'Data Angt'!$A$5:$F$5810,6,FALSE)</f>
        <v>33</v>
      </c>
      <c r="W1485" s="5" t="str">
        <f t="shared" si="23"/>
        <v>KONSUMTIF</v>
      </c>
      <c r="X1485" s="5" t="str">
        <f>VLOOKUP(T1485,'Data Angt'!$A$5:$H$5810,8,FALSE)</f>
        <v>Tenaga Pengajar</v>
      </c>
      <c r="Y1485" s="5" t="str">
        <f>VLOOKUP(T1485,'Data Angt'!$A$5:$C$5808,3,FALSE)</f>
        <v>BWI</v>
      </c>
    </row>
    <row r="1486" spans="1:25" x14ac:dyDescent="0.3">
      <c r="A1486" s="8">
        <v>1480</v>
      </c>
      <c r="B1486" s="9" t="s">
        <v>9453</v>
      </c>
      <c r="C1486" s="10" t="str">
        <f>VLOOKUP(B1486,'Data Angt'!$A$5:$B$5809,2,FALSE)</f>
        <v>A4300</v>
      </c>
      <c r="D1486" s="11" t="s">
        <v>9833</v>
      </c>
      <c r="E1486" s="12" t="s">
        <v>17403</v>
      </c>
      <c r="F1486" s="13">
        <v>45590</v>
      </c>
      <c r="G1486" s="14">
        <v>45925</v>
      </c>
      <c r="H1486" s="15">
        <v>25000000</v>
      </c>
      <c r="I1486" s="16">
        <v>24</v>
      </c>
      <c r="J1486" s="17">
        <v>21</v>
      </c>
      <c r="K1486" s="9" t="s">
        <v>9831</v>
      </c>
      <c r="L1486" s="10" t="s">
        <v>17404</v>
      </c>
      <c r="M1486" s="9" t="s">
        <v>17405</v>
      </c>
      <c r="N1486" s="10" t="s">
        <v>9834</v>
      </c>
      <c r="O1486" s="15">
        <v>14821600</v>
      </c>
      <c r="P1486" s="145">
        <v>1501723</v>
      </c>
      <c r="Q1486" s="9" t="s">
        <v>22240</v>
      </c>
      <c r="R1486" s="146" t="s">
        <v>23627</v>
      </c>
      <c r="T1486" s="92" t="s">
        <v>18936</v>
      </c>
      <c r="U1486">
        <v>2</v>
      </c>
      <c r="V1486">
        <f>VLOOKUP(T1486,'Data Angt'!$A$5:$F$5810,6,FALSE)</f>
        <v>39</v>
      </c>
      <c r="W1486" s="5" t="str">
        <f t="shared" si="23"/>
        <v>PRODUKTIF</v>
      </c>
      <c r="X1486" s="5" t="str">
        <f>VLOOKUP(T1486,'Data Angt'!$A$5:$H$5810,8,FALSE)</f>
        <v>Wiraswasta</v>
      </c>
      <c r="Y1486" s="5" t="str">
        <f>VLOOKUP(T1486,'Data Angt'!$A$5:$C$5808,3,FALSE)</f>
        <v>BWI</v>
      </c>
    </row>
    <row r="1487" spans="1:25" x14ac:dyDescent="0.3">
      <c r="A1487" s="8">
        <v>1481</v>
      </c>
      <c r="B1487" s="9" t="s">
        <v>9485</v>
      </c>
      <c r="C1487" s="10" t="str">
        <f>VLOOKUP(B1487,'Data Angt'!$A$5:$B$5809,2,FALSE)</f>
        <v>A4315</v>
      </c>
      <c r="D1487" s="11" t="s">
        <v>9829</v>
      </c>
      <c r="E1487" s="12" t="s">
        <v>23628</v>
      </c>
      <c r="F1487" s="13">
        <v>45924</v>
      </c>
      <c r="G1487" s="14">
        <v>45924</v>
      </c>
      <c r="H1487" s="15">
        <v>3500000</v>
      </c>
      <c r="I1487" s="16">
        <v>18</v>
      </c>
      <c r="J1487" s="17">
        <v>24</v>
      </c>
      <c r="K1487" s="9" t="s">
        <v>9827</v>
      </c>
      <c r="L1487" s="10" t="s">
        <v>23629</v>
      </c>
      <c r="M1487" s="9" t="s">
        <v>10569</v>
      </c>
      <c r="N1487" s="10" t="s">
        <v>9828</v>
      </c>
      <c r="O1487" s="15">
        <v>3500000</v>
      </c>
      <c r="P1487" s="147">
        <v>0</v>
      </c>
      <c r="Q1487" s="9"/>
      <c r="R1487" s="146"/>
      <c r="T1487" s="92" t="s">
        <v>18954</v>
      </c>
      <c r="U1487">
        <v>1</v>
      </c>
      <c r="V1487">
        <f>VLOOKUP(T1487,'Data Angt'!$A$5:$F$5810,6,FALSE)</f>
        <v>26</v>
      </c>
      <c r="W1487" s="5" t="str">
        <f t="shared" si="23"/>
        <v>PRODUKTIF</v>
      </c>
      <c r="X1487" s="5">
        <f>VLOOKUP(T1487,'Data Angt'!$A$5:$H$5810,8,FALSE)</f>
        <v>0</v>
      </c>
      <c r="Y1487" s="5" t="str">
        <f>VLOOKUP(T1487,'Data Angt'!$A$5:$C$5808,3,FALSE)</f>
        <v>BWI</v>
      </c>
    </row>
    <row r="1488" spans="1:25" x14ac:dyDescent="0.3">
      <c r="A1488" s="8">
        <v>1482</v>
      </c>
      <c r="B1488" s="9" t="s">
        <v>9505</v>
      </c>
      <c r="C1488" s="10" t="str">
        <f>VLOOKUP(B1488,'Data Angt'!$A$5:$B$5809,2,FALSE)</f>
        <v>A4322</v>
      </c>
      <c r="D1488" s="11" t="s">
        <v>9829</v>
      </c>
      <c r="E1488" s="12" t="s">
        <v>17406</v>
      </c>
      <c r="F1488" s="13">
        <v>45468</v>
      </c>
      <c r="G1488" s="14">
        <v>45743</v>
      </c>
      <c r="H1488" s="15">
        <v>2000000</v>
      </c>
      <c r="I1488" s="16">
        <v>10</v>
      </c>
      <c r="J1488" s="17">
        <v>24</v>
      </c>
      <c r="K1488" s="9" t="s">
        <v>9827</v>
      </c>
      <c r="L1488" s="10" t="s">
        <v>17407</v>
      </c>
      <c r="M1488" s="9" t="s">
        <v>17408</v>
      </c>
      <c r="N1488" s="10" t="s">
        <v>17</v>
      </c>
      <c r="O1488" s="15">
        <v>600000</v>
      </c>
      <c r="P1488" s="145">
        <v>85500</v>
      </c>
      <c r="Q1488" s="9"/>
      <c r="R1488" s="146"/>
      <c r="T1488" s="92" t="s">
        <v>18977</v>
      </c>
      <c r="U1488">
        <v>1</v>
      </c>
      <c r="V1488">
        <f>VLOOKUP(T1488,'Data Angt'!$A$5:$F$5810,6,FALSE)</f>
        <v>47</v>
      </c>
      <c r="W1488" s="5" t="str">
        <f t="shared" si="23"/>
        <v>KONSUMTIF</v>
      </c>
      <c r="X1488" s="5" t="str">
        <f>VLOOKUP(T1488,'Data Angt'!$A$5:$H$5810,8,FALSE)</f>
        <v>Karyawan</v>
      </c>
      <c r="Y1488" s="5" t="str">
        <f>VLOOKUP(T1488,'Data Angt'!$A$5:$C$5808,3,FALSE)</f>
        <v>BWI</v>
      </c>
    </row>
    <row r="1489" spans="1:25" x14ac:dyDescent="0.3">
      <c r="A1489" s="8">
        <v>1483</v>
      </c>
      <c r="B1489" s="9" t="s">
        <v>9554</v>
      </c>
      <c r="C1489" s="10" t="str">
        <f>VLOOKUP(B1489,'Data Angt'!$A$5:$B$5809,2,FALSE)</f>
        <v>A4342</v>
      </c>
      <c r="D1489" s="11" t="s">
        <v>9829</v>
      </c>
      <c r="E1489" s="12" t="s">
        <v>23630</v>
      </c>
      <c r="F1489" s="13">
        <v>45924</v>
      </c>
      <c r="G1489" s="14">
        <v>45924</v>
      </c>
      <c r="H1489" s="15">
        <v>1500000</v>
      </c>
      <c r="I1489" s="16">
        <v>10</v>
      </c>
      <c r="J1489" s="17">
        <v>24</v>
      </c>
      <c r="K1489" s="9" t="s">
        <v>9827</v>
      </c>
      <c r="L1489" s="10" t="s">
        <v>23631</v>
      </c>
      <c r="M1489" s="9" t="s">
        <v>23632</v>
      </c>
      <c r="N1489" s="10" t="s">
        <v>9828</v>
      </c>
      <c r="O1489" s="15">
        <v>1500000</v>
      </c>
      <c r="P1489" s="147">
        <v>0</v>
      </c>
      <c r="Q1489" s="9"/>
      <c r="R1489" s="146"/>
      <c r="T1489" s="92" t="s">
        <v>19080</v>
      </c>
      <c r="U1489">
        <v>1</v>
      </c>
      <c r="V1489">
        <f>VLOOKUP(T1489,'Data Angt'!$A$5:$F$5810,6,FALSE)</f>
        <v>35</v>
      </c>
      <c r="W1489" s="5" t="str">
        <f t="shared" si="23"/>
        <v>KONSUMTIF</v>
      </c>
      <c r="X1489" s="5" t="str">
        <f>VLOOKUP(T1489,'Data Angt'!$A$5:$H$5810,8,FALSE)</f>
        <v>Karyawan</v>
      </c>
      <c r="Y1489" s="5" t="str">
        <f>VLOOKUP(T1489,'Data Angt'!$A$5:$C$5808,3,FALSE)</f>
        <v>BWI</v>
      </c>
    </row>
    <row r="1490" spans="1:25" x14ac:dyDescent="0.3">
      <c r="A1490" s="8">
        <v>1484</v>
      </c>
      <c r="B1490" s="9" t="s">
        <v>9563</v>
      </c>
      <c r="C1490" s="10" t="str">
        <f>VLOOKUP(B1490,'Data Angt'!$A$5:$B$5809,2,FALSE)</f>
        <v>A4346</v>
      </c>
      <c r="D1490" s="11" t="s">
        <v>9833</v>
      </c>
      <c r="E1490" s="12" t="s">
        <v>17409</v>
      </c>
      <c r="F1490" s="13">
        <v>45646</v>
      </c>
      <c r="G1490" s="14">
        <v>45715</v>
      </c>
      <c r="H1490" s="15">
        <v>2000000</v>
      </c>
      <c r="I1490" s="16">
        <v>8</v>
      </c>
      <c r="J1490" s="17">
        <v>24</v>
      </c>
      <c r="K1490" s="9" t="s">
        <v>9827</v>
      </c>
      <c r="L1490" s="10" t="s">
        <v>17410</v>
      </c>
      <c r="M1490" s="9" t="s">
        <v>17411</v>
      </c>
      <c r="N1490" s="10" t="s">
        <v>9834</v>
      </c>
      <c r="O1490" s="15">
        <v>1500000</v>
      </c>
      <c r="P1490" s="145">
        <v>28125</v>
      </c>
      <c r="Q1490" s="9"/>
      <c r="R1490" s="146"/>
      <c r="T1490" s="92" t="s">
        <v>19094</v>
      </c>
      <c r="U1490">
        <v>1</v>
      </c>
      <c r="V1490">
        <f>VLOOKUP(T1490,'Data Angt'!$A$5:$F$5810,6,FALSE)</f>
        <v>36</v>
      </c>
      <c r="W1490" s="5" t="str">
        <f t="shared" si="23"/>
        <v>PRODUKTIF</v>
      </c>
      <c r="X1490" s="5" t="str">
        <f>VLOOKUP(T1490,'Data Angt'!$A$5:$H$5810,8,FALSE)</f>
        <v>Karyawan</v>
      </c>
      <c r="Y1490" s="5" t="str">
        <f>VLOOKUP(T1490,'Data Angt'!$A$5:$C$5808,3,FALSE)</f>
        <v>BWI</v>
      </c>
    </row>
    <row r="1491" spans="1:25" x14ac:dyDescent="0.3">
      <c r="A1491" s="8">
        <v>1485</v>
      </c>
      <c r="B1491" s="9" t="s">
        <v>12642</v>
      </c>
      <c r="C1491" s="10" t="str">
        <f>VLOOKUP(B1491,'Data Angt'!$A$5:$B$5809,2,FALSE)</f>
        <v>A4374</v>
      </c>
      <c r="D1491" s="11" t="s">
        <v>9826</v>
      </c>
      <c r="E1491" s="12" t="s">
        <v>17412</v>
      </c>
      <c r="F1491" s="13">
        <v>45737</v>
      </c>
      <c r="G1491" s="14">
        <v>45929</v>
      </c>
      <c r="H1491" s="15">
        <v>3000000</v>
      </c>
      <c r="I1491" s="16">
        <v>12</v>
      </c>
      <c r="J1491" s="17">
        <v>24</v>
      </c>
      <c r="K1491" s="9" t="s">
        <v>9827</v>
      </c>
      <c r="L1491" s="10" t="s">
        <v>17413</v>
      </c>
      <c r="M1491" s="9" t="s">
        <v>9847</v>
      </c>
      <c r="N1491" s="10" t="s">
        <v>9828</v>
      </c>
      <c r="O1491" s="15">
        <v>1500000</v>
      </c>
      <c r="P1491" s="145">
        <v>106875</v>
      </c>
      <c r="Q1491" s="9"/>
      <c r="R1491" s="146"/>
      <c r="T1491" s="92" t="s">
        <v>19122</v>
      </c>
      <c r="U1491">
        <v>1</v>
      </c>
      <c r="V1491">
        <f>VLOOKUP(T1491,'Data Angt'!$A$5:$F$5810,6,FALSE)</f>
        <v>25</v>
      </c>
      <c r="W1491" s="5" t="str">
        <f t="shared" si="23"/>
        <v>KONSUMTIF</v>
      </c>
      <c r="X1491" s="5" t="str">
        <f>VLOOKUP(T1491,'Data Angt'!$A$5:$H$5810,8,FALSE)</f>
        <v>Karyawan</v>
      </c>
      <c r="Y1491" s="5" t="str">
        <f>VLOOKUP(T1491,'Data Angt'!$A$5:$C$5808,3,FALSE)</f>
        <v>BWI</v>
      </c>
    </row>
    <row r="1492" spans="1:25" x14ac:dyDescent="0.3">
      <c r="A1492" s="8">
        <v>1486</v>
      </c>
      <c r="B1492" s="9" t="s">
        <v>12642</v>
      </c>
      <c r="C1492" s="10" t="str">
        <f>VLOOKUP(B1492,'Data Angt'!$A$5:$B$5809,2,FALSE)</f>
        <v>A4374</v>
      </c>
      <c r="D1492" s="11" t="s">
        <v>9829</v>
      </c>
      <c r="E1492" s="12" t="s">
        <v>17414</v>
      </c>
      <c r="F1492" s="13">
        <v>45803</v>
      </c>
      <c r="G1492" s="14">
        <v>45929</v>
      </c>
      <c r="H1492" s="15">
        <v>17000000</v>
      </c>
      <c r="I1492" s="16">
        <v>24</v>
      </c>
      <c r="J1492" s="17">
        <v>24</v>
      </c>
      <c r="K1492" s="9" t="s">
        <v>9831</v>
      </c>
      <c r="L1492" s="10" t="s">
        <v>17415</v>
      </c>
      <c r="M1492" s="9" t="s">
        <v>17416</v>
      </c>
      <c r="N1492" s="10" t="s">
        <v>9828</v>
      </c>
      <c r="O1492" s="15">
        <v>14696600</v>
      </c>
      <c r="P1492" s="145">
        <v>484574</v>
      </c>
      <c r="Q1492" s="9" t="s">
        <v>23304</v>
      </c>
      <c r="R1492" s="146" t="s">
        <v>23633</v>
      </c>
      <c r="T1492" s="92" t="s">
        <v>19181</v>
      </c>
      <c r="U1492">
        <v>1</v>
      </c>
      <c r="V1492">
        <f>VLOOKUP(T1492,'Data Angt'!$A$5:$F$5810,6,FALSE)</f>
        <v>42</v>
      </c>
      <c r="W1492" s="5" t="str">
        <f t="shared" si="23"/>
        <v>PENDIDIKAN</v>
      </c>
      <c r="X1492" s="5" t="str">
        <f>VLOOKUP(T1492,'Data Angt'!$A$5:$H$5810,8,FALSE)</f>
        <v>Karyawan</v>
      </c>
      <c r="Y1492" s="5" t="str">
        <f>VLOOKUP(T1492,'Data Angt'!$A$5:$C$5808,3,FALSE)</f>
        <v>BWI</v>
      </c>
    </row>
    <row r="1493" spans="1:25" x14ac:dyDescent="0.3">
      <c r="A1493" s="8">
        <v>1487</v>
      </c>
      <c r="B1493" s="9" t="s">
        <v>12653</v>
      </c>
      <c r="C1493" s="10" t="str">
        <f>VLOOKUP(B1493,'Data Angt'!$A$5:$B$5809,2,FALSE)</f>
        <v>A4380</v>
      </c>
      <c r="D1493" s="11" t="s">
        <v>9833</v>
      </c>
      <c r="E1493" s="12" t="s">
        <v>17417</v>
      </c>
      <c r="F1493" s="13">
        <v>45637</v>
      </c>
      <c r="G1493" s="14">
        <v>45916</v>
      </c>
      <c r="H1493" s="15">
        <v>3000000</v>
      </c>
      <c r="I1493" s="16">
        <v>12</v>
      </c>
      <c r="J1493" s="17">
        <v>24</v>
      </c>
      <c r="K1493" s="9" t="s">
        <v>9827</v>
      </c>
      <c r="L1493" s="10" t="s">
        <v>17418</v>
      </c>
      <c r="M1493" s="9" t="s">
        <v>17419</v>
      </c>
      <c r="N1493" s="10" t="s">
        <v>9834</v>
      </c>
      <c r="O1493" s="15">
        <v>750000</v>
      </c>
      <c r="P1493" s="145">
        <v>135000</v>
      </c>
      <c r="Q1493" s="9" t="s">
        <v>23304</v>
      </c>
      <c r="R1493" s="146" t="s">
        <v>23634</v>
      </c>
      <c r="T1493" s="92" t="s">
        <v>19189</v>
      </c>
      <c r="U1493">
        <v>1</v>
      </c>
      <c r="V1493">
        <f>VLOOKUP(T1493,'Data Angt'!$A$5:$F$5810,6,FALSE)</f>
        <v>30</v>
      </c>
      <c r="W1493" s="5" t="str">
        <f t="shared" si="23"/>
        <v>PENDIDIKAN</v>
      </c>
      <c r="X1493" s="5" t="str">
        <f>VLOOKUP(T1493,'Data Angt'!$A$5:$H$5810,8,FALSE)</f>
        <v>Karyawan</v>
      </c>
      <c r="Y1493" s="5" t="str">
        <f>VLOOKUP(T1493,'Data Angt'!$A$5:$C$5808,3,FALSE)</f>
        <v>BWI</v>
      </c>
    </row>
    <row r="1494" spans="1:25" x14ac:dyDescent="0.3">
      <c r="A1494" s="8">
        <v>1488</v>
      </c>
      <c r="B1494" s="9" t="s">
        <v>12708</v>
      </c>
      <c r="C1494" s="10" t="str">
        <f>VLOOKUP(B1494,'Data Angt'!$A$5:$B$5809,2,FALSE)</f>
        <v>A4404</v>
      </c>
      <c r="D1494" s="11" t="s">
        <v>9833</v>
      </c>
      <c r="E1494" s="12" t="s">
        <v>23635</v>
      </c>
      <c r="F1494" s="13">
        <v>45860</v>
      </c>
      <c r="G1494" s="14">
        <v>45923</v>
      </c>
      <c r="H1494" s="15">
        <v>3000000</v>
      </c>
      <c r="I1494" s="16">
        <v>6</v>
      </c>
      <c r="J1494" s="17">
        <v>24</v>
      </c>
      <c r="K1494" s="9" t="s">
        <v>9827</v>
      </c>
      <c r="L1494" s="10" t="s">
        <v>23636</v>
      </c>
      <c r="M1494" s="9" t="s">
        <v>23637</v>
      </c>
      <c r="N1494" s="10" t="s">
        <v>9834</v>
      </c>
      <c r="O1494" s="15">
        <v>2000000</v>
      </c>
      <c r="P1494" s="145">
        <v>41250</v>
      </c>
      <c r="Q1494" s="9"/>
      <c r="R1494" s="146"/>
      <c r="T1494" s="92" t="s">
        <v>22158</v>
      </c>
      <c r="U1494">
        <v>2</v>
      </c>
      <c r="V1494">
        <f>VLOOKUP(T1494,'Data Angt'!$A$5:$F$5810,6,FALSE)</f>
        <v>47</v>
      </c>
      <c r="W1494" s="5" t="str">
        <f t="shared" si="23"/>
        <v>PENDIDIKAN</v>
      </c>
      <c r="X1494" s="5" t="str">
        <f>VLOOKUP(T1494,'Data Angt'!$A$5:$H$5810,8,FALSE)</f>
        <v>Tenaga Pengajar</v>
      </c>
      <c r="Y1494" s="5" t="str">
        <f>VLOOKUP(T1494,'Data Angt'!$A$5:$C$5808,3,FALSE)</f>
        <v>BWI</v>
      </c>
    </row>
    <row r="1495" spans="1:25" x14ac:dyDescent="0.3">
      <c r="A1495" s="8">
        <v>1489</v>
      </c>
      <c r="B1495" s="9" t="s">
        <v>12741</v>
      </c>
      <c r="C1495" s="10" t="str">
        <f>VLOOKUP(B1495,'Data Angt'!$A$5:$B$5809,2,FALSE)</f>
        <v>A4417</v>
      </c>
      <c r="D1495" s="11" t="s">
        <v>9829</v>
      </c>
      <c r="E1495" s="12" t="s">
        <v>23638</v>
      </c>
      <c r="F1495" s="13">
        <v>45922</v>
      </c>
      <c r="G1495" s="14">
        <v>45922</v>
      </c>
      <c r="H1495" s="15">
        <v>4000000</v>
      </c>
      <c r="I1495" s="16">
        <v>12</v>
      </c>
      <c r="J1495" s="17">
        <v>24</v>
      </c>
      <c r="K1495" s="9" t="s">
        <v>9827</v>
      </c>
      <c r="L1495" s="10" t="s">
        <v>23639</v>
      </c>
      <c r="M1495" s="9" t="s">
        <v>23640</v>
      </c>
      <c r="N1495" s="10" t="s">
        <v>17</v>
      </c>
      <c r="O1495" s="15">
        <v>4000000</v>
      </c>
      <c r="P1495" s="147">
        <v>0</v>
      </c>
      <c r="Q1495" s="9" t="s">
        <v>22189</v>
      </c>
      <c r="R1495" s="146" t="s">
        <v>23641</v>
      </c>
      <c r="T1495" s="92" t="s">
        <v>630</v>
      </c>
      <c r="U1495">
        <v>2</v>
      </c>
      <c r="V1495">
        <f>VLOOKUP(T1495,'Data Angt'!$A$5:$F$5810,6,FALSE)</f>
        <v>68</v>
      </c>
      <c r="W1495" s="5" t="str">
        <f t="shared" si="23"/>
        <v>KONSUMTIF</v>
      </c>
      <c r="X1495" s="5" t="str">
        <f>VLOOKUP(T1495,'Data Angt'!$A$5:$H$5810,8,FALSE)</f>
        <v>Pensiunan</v>
      </c>
      <c r="Y1495" s="5" t="str">
        <f>VLOOKUP(T1495,'Data Angt'!$A$5:$C$5808,3,FALSE)</f>
        <v>MJK</v>
      </c>
    </row>
    <row r="1496" spans="1:25" x14ac:dyDescent="0.3">
      <c r="A1496" s="8">
        <v>1490</v>
      </c>
      <c r="B1496" s="9" t="s">
        <v>12754</v>
      </c>
      <c r="C1496" s="10" t="str">
        <f>VLOOKUP(B1496,'Data Angt'!$A$5:$B$5809,2,FALSE)</f>
        <v>A4423</v>
      </c>
      <c r="D1496" s="11" t="s">
        <v>9829</v>
      </c>
      <c r="E1496" s="12" t="s">
        <v>17420</v>
      </c>
      <c r="F1496" s="13">
        <v>45832</v>
      </c>
      <c r="G1496" s="14">
        <v>45922</v>
      </c>
      <c r="H1496" s="15">
        <v>3000000</v>
      </c>
      <c r="I1496" s="16">
        <v>10</v>
      </c>
      <c r="J1496" s="17">
        <v>24</v>
      </c>
      <c r="K1496" s="9" t="s">
        <v>9827</v>
      </c>
      <c r="L1496" s="10" t="s">
        <v>17421</v>
      </c>
      <c r="M1496" s="9" t="s">
        <v>10572</v>
      </c>
      <c r="N1496" s="10" t="s">
        <v>17</v>
      </c>
      <c r="O1496" s="15">
        <v>2100000</v>
      </c>
      <c r="P1496" s="145">
        <v>60750</v>
      </c>
      <c r="Q1496" s="9"/>
      <c r="R1496" s="146"/>
      <c r="T1496" s="92" t="s">
        <v>632</v>
      </c>
      <c r="U1496">
        <v>1</v>
      </c>
      <c r="V1496">
        <f>VLOOKUP(T1496,'Data Angt'!$A$5:$F$5810,6,FALSE)</f>
        <v>54</v>
      </c>
      <c r="W1496" s="5" t="str">
        <f t="shared" si="23"/>
        <v>KESEJAHTERAAN</v>
      </c>
      <c r="X1496" s="5" t="str">
        <f>VLOOKUP(T1496,'Data Angt'!$A$5:$H$5810,8,FALSE)</f>
        <v>Tenaga Pengajar</v>
      </c>
      <c r="Y1496" s="5" t="str">
        <f>VLOOKUP(T1496,'Data Angt'!$A$5:$C$5808,3,FALSE)</f>
        <v>MJK</v>
      </c>
    </row>
    <row r="1497" spans="1:25" x14ac:dyDescent="0.3">
      <c r="A1497" s="8">
        <v>1491</v>
      </c>
      <c r="B1497" s="9" t="s">
        <v>12757</v>
      </c>
      <c r="C1497" s="10" t="str">
        <f>VLOOKUP(B1497,'Data Angt'!$A$5:$B$5809,2,FALSE)</f>
        <v>A4424</v>
      </c>
      <c r="D1497" s="11" t="s">
        <v>9833</v>
      </c>
      <c r="E1497" s="12" t="s">
        <v>17422</v>
      </c>
      <c r="F1497" s="13">
        <v>45335</v>
      </c>
      <c r="G1497" s="14">
        <v>45901</v>
      </c>
      <c r="H1497" s="15">
        <v>3000000</v>
      </c>
      <c r="I1497" s="16">
        <v>24</v>
      </c>
      <c r="J1497" s="17">
        <v>24</v>
      </c>
      <c r="K1497" s="9" t="s">
        <v>9827</v>
      </c>
      <c r="L1497" s="10" t="s">
        <v>17423</v>
      </c>
      <c r="M1497" s="9" t="s">
        <v>10582</v>
      </c>
      <c r="N1497" s="10" t="s">
        <v>9834</v>
      </c>
      <c r="O1497" s="15">
        <v>625000</v>
      </c>
      <c r="P1497" s="145">
        <v>268121</v>
      </c>
      <c r="Q1497" s="9" t="s">
        <v>22189</v>
      </c>
      <c r="R1497" s="146" t="s">
        <v>23642</v>
      </c>
      <c r="T1497" s="92" t="s">
        <v>834</v>
      </c>
      <c r="U1497">
        <v>1</v>
      </c>
      <c r="V1497">
        <f>VLOOKUP(T1497,'Data Angt'!$A$5:$F$5810,6,FALSE)</f>
        <v>72</v>
      </c>
      <c r="W1497" s="5" t="str">
        <f t="shared" si="23"/>
        <v>PRODUKTIF</v>
      </c>
      <c r="X1497" s="5" t="str">
        <f>VLOOKUP(T1497,'Data Angt'!$A$5:$H$5810,8,FALSE)</f>
        <v>Pensiunan</v>
      </c>
      <c r="Y1497" s="5" t="str">
        <f>VLOOKUP(T1497,'Data Angt'!$A$5:$C$5808,3,FALSE)</f>
        <v>MJK</v>
      </c>
    </row>
    <row r="1498" spans="1:25" x14ac:dyDescent="0.3">
      <c r="A1498" s="8">
        <v>1492</v>
      </c>
      <c r="B1498" s="9" t="s">
        <v>12772</v>
      </c>
      <c r="C1498" s="10" t="str">
        <f>VLOOKUP(B1498,'Data Angt'!$A$5:$B$5809,2,FALSE)</f>
        <v>A4430</v>
      </c>
      <c r="D1498" s="11" t="s">
        <v>9833</v>
      </c>
      <c r="E1498" s="12" t="s">
        <v>23643</v>
      </c>
      <c r="F1498" s="13">
        <v>45880</v>
      </c>
      <c r="G1498" s="14">
        <v>45925</v>
      </c>
      <c r="H1498" s="15">
        <v>3000000</v>
      </c>
      <c r="I1498" s="16">
        <v>12</v>
      </c>
      <c r="J1498" s="17">
        <v>24</v>
      </c>
      <c r="K1498" s="9" t="s">
        <v>9827</v>
      </c>
      <c r="L1498" s="10" t="s">
        <v>23644</v>
      </c>
      <c r="M1498" s="9" t="s">
        <v>17424</v>
      </c>
      <c r="N1498" s="10" t="s">
        <v>9834</v>
      </c>
      <c r="O1498" s="15">
        <v>2750000</v>
      </c>
      <c r="P1498" s="145">
        <v>22500</v>
      </c>
      <c r="Q1498" s="9"/>
      <c r="R1498" s="146"/>
      <c r="T1498" s="92" t="s">
        <v>1252</v>
      </c>
      <c r="U1498">
        <v>1</v>
      </c>
      <c r="V1498">
        <f>VLOOKUP(T1498,'Data Angt'!$A$5:$F$5810,6,FALSE)</f>
        <v>71</v>
      </c>
      <c r="W1498" s="5" t="str">
        <f t="shared" si="23"/>
        <v>KONSUMTIF</v>
      </c>
      <c r="X1498" s="5" t="str">
        <f>VLOOKUP(T1498,'Data Angt'!$A$5:$H$5810,8,FALSE)</f>
        <v>Mengurus Rumah Tangga</v>
      </c>
      <c r="Y1498" s="5" t="str">
        <f>VLOOKUP(T1498,'Data Angt'!$A$5:$C$5808,3,FALSE)</f>
        <v>MJK</v>
      </c>
    </row>
    <row r="1499" spans="1:25" ht="22.5" customHeight="1" x14ac:dyDescent="0.3">
      <c r="A1499" s="8">
        <v>1493</v>
      </c>
      <c r="B1499" s="9" t="s">
        <v>12801</v>
      </c>
      <c r="C1499" s="10" t="str">
        <f>VLOOKUP(B1499,'Data Angt'!$A$5:$B$5809,2,FALSE)</f>
        <v>A4442</v>
      </c>
      <c r="D1499" s="11" t="s">
        <v>9829</v>
      </c>
      <c r="E1499" s="12" t="s">
        <v>17425</v>
      </c>
      <c r="F1499" s="13">
        <v>45714</v>
      </c>
      <c r="G1499" s="14">
        <v>45917</v>
      </c>
      <c r="H1499" s="15">
        <v>35000000</v>
      </c>
      <c r="I1499" s="16">
        <v>24</v>
      </c>
      <c r="J1499" s="17">
        <v>21</v>
      </c>
      <c r="K1499" s="9" t="s">
        <v>9827</v>
      </c>
      <c r="L1499" s="10" t="s">
        <v>17426</v>
      </c>
      <c r="M1499" s="9"/>
      <c r="N1499" s="10"/>
      <c r="O1499" s="15">
        <v>24791200</v>
      </c>
      <c r="P1499" s="145">
        <v>1406923</v>
      </c>
      <c r="Q1499" s="9" t="s">
        <v>22975</v>
      </c>
      <c r="R1499" s="146" t="s">
        <v>23645</v>
      </c>
      <c r="T1499" s="92" t="s">
        <v>1379</v>
      </c>
      <c r="U1499">
        <v>2</v>
      </c>
      <c r="V1499">
        <f>VLOOKUP(T1499,'Data Angt'!$A$5:$F$5810,6,FALSE)</f>
        <v>43</v>
      </c>
      <c r="W1499" s="5" t="str">
        <f t="shared" si="23"/>
        <v>PRODUKTIF</v>
      </c>
      <c r="X1499" s="5" t="str">
        <f>VLOOKUP(T1499,'Data Angt'!$A$5:$H$5810,8,FALSE)</f>
        <v>Tenaga Pengajar</v>
      </c>
      <c r="Y1499" s="5" t="str">
        <f>VLOOKUP(T1499,'Data Angt'!$A$5:$C$5808,3,FALSE)</f>
        <v>MJK</v>
      </c>
    </row>
    <row r="1500" spans="1:25" x14ac:dyDescent="0.3">
      <c r="A1500" s="8">
        <v>1494</v>
      </c>
      <c r="B1500" s="9" t="s">
        <v>12830</v>
      </c>
      <c r="C1500" s="10" t="str">
        <f>VLOOKUP(B1500,'Data Angt'!$A$5:$B$5809,2,FALSE)</f>
        <v>A4456</v>
      </c>
      <c r="D1500" s="11" t="s">
        <v>9833</v>
      </c>
      <c r="E1500" s="12" t="s">
        <v>17427</v>
      </c>
      <c r="F1500" s="13">
        <v>45783</v>
      </c>
      <c r="G1500" s="14">
        <v>45930</v>
      </c>
      <c r="H1500" s="15">
        <v>1500000</v>
      </c>
      <c r="I1500" s="16">
        <v>10</v>
      </c>
      <c r="J1500" s="17">
        <v>24</v>
      </c>
      <c r="K1500" s="9" t="s">
        <v>9827</v>
      </c>
      <c r="L1500" s="10" t="s">
        <v>17428</v>
      </c>
      <c r="M1500" s="9" t="s">
        <v>17429</v>
      </c>
      <c r="N1500" s="10" t="s">
        <v>9834</v>
      </c>
      <c r="O1500" s="15">
        <v>1050000</v>
      </c>
      <c r="P1500" s="145">
        <v>38250</v>
      </c>
      <c r="Q1500" s="9"/>
      <c r="R1500" s="146"/>
      <c r="T1500" s="92" t="s">
        <v>1602</v>
      </c>
      <c r="U1500">
        <v>1</v>
      </c>
      <c r="V1500">
        <f>VLOOKUP(T1500,'Data Angt'!$A$5:$F$5810,6,FALSE)</f>
        <v>61</v>
      </c>
      <c r="W1500" s="5" t="str">
        <f t="shared" si="23"/>
        <v>PENDIDIKAN</v>
      </c>
      <c r="X1500" s="5" t="str">
        <f>VLOOKUP(T1500,'Data Angt'!$A$5:$H$5810,8,FALSE)</f>
        <v>Pensiunan</v>
      </c>
      <c r="Y1500" s="5" t="str">
        <f>VLOOKUP(T1500,'Data Angt'!$A$5:$C$5808,3,FALSE)</f>
        <v>MJK</v>
      </c>
    </row>
    <row r="1501" spans="1:25" x14ac:dyDescent="0.3">
      <c r="A1501" s="8">
        <v>1495</v>
      </c>
      <c r="B1501" s="9" t="s">
        <v>12875</v>
      </c>
      <c r="C1501" s="10" t="str">
        <f>VLOOKUP(B1501,'Data Angt'!$A$5:$B$5809,2,FALSE)</f>
        <v>A4476</v>
      </c>
      <c r="D1501" s="11" t="s">
        <v>9829</v>
      </c>
      <c r="E1501" s="12" t="s">
        <v>23646</v>
      </c>
      <c r="F1501" s="13">
        <v>45854</v>
      </c>
      <c r="G1501" s="14">
        <v>45918</v>
      </c>
      <c r="H1501" s="15">
        <v>5000000</v>
      </c>
      <c r="I1501" s="16">
        <v>12</v>
      </c>
      <c r="J1501" s="17">
        <v>24</v>
      </c>
      <c r="K1501" s="9" t="s">
        <v>9827</v>
      </c>
      <c r="L1501" s="10" t="s">
        <v>23647</v>
      </c>
      <c r="M1501" s="9" t="s">
        <v>10498</v>
      </c>
      <c r="N1501" s="10" t="s">
        <v>9828</v>
      </c>
      <c r="O1501" s="15">
        <v>4166600</v>
      </c>
      <c r="P1501" s="145">
        <v>71887</v>
      </c>
      <c r="Q1501" s="9" t="s">
        <v>23304</v>
      </c>
      <c r="R1501" s="146" t="s">
        <v>23648</v>
      </c>
      <c r="T1501" s="92" t="s">
        <v>1608</v>
      </c>
      <c r="U1501">
        <v>1</v>
      </c>
      <c r="V1501">
        <f>VLOOKUP(T1501,'Data Angt'!$A$5:$F$5810,6,FALSE)</f>
        <v>56</v>
      </c>
      <c r="W1501" s="5" t="str">
        <f t="shared" si="23"/>
        <v>KONSUMTIF</v>
      </c>
      <c r="X1501" s="5" t="str">
        <f>VLOOKUP(T1501,'Data Angt'!$A$5:$H$5810,8,FALSE)</f>
        <v>Pensiunan</v>
      </c>
      <c r="Y1501" s="5" t="str">
        <f>VLOOKUP(T1501,'Data Angt'!$A$5:$C$5808,3,FALSE)</f>
        <v>MJK</v>
      </c>
    </row>
    <row r="1502" spans="1:25" x14ac:dyDescent="0.3">
      <c r="A1502" s="8">
        <v>1496</v>
      </c>
      <c r="B1502" s="9" t="s">
        <v>12883</v>
      </c>
      <c r="C1502" s="10" t="str">
        <f>VLOOKUP(B1502,'Data Angt'!$A$5:$B$5809,2,FALSE)</f>
        <v>A4480</v>
      </c>
      <c r="D1502" s="11" t="s">
        <v>9833</v>
      </c>
      <c r="E1502" s="12" t="s">
        <v>17430</v>
      </c>
      <c r="F1502" s="13">
        <v>45665</v>
      </c>
      <c r="G1502" s="14">
        <v>45917</v>
      </c>
      <c r="H1502" s="15">
        <v>2000000</v>
      </c>
      <c r="I1502" s="16">
        <v>10</v>
      </c>
      <c r="J1502" s="17">
        <v>24</v>
      </c>
      <c r="K1502" s="9" t="s">
        <v>9827</v>
      </c>
      <c r="L1502" s="10" t="s">
        <v>17431</v>
      </c>
      <c r="M1502" s="9" t="s">
        <v>17432</v>
      </c>
      <c r="N1502" s="10" t="s">
        <v>9834</v>
      </c>
      <c r="O1502" s="15">
        <v>400000</v>
      </c>
      <c r="P1502" s="145">
        <v>78187</v>
      </c>
      <c r="Q1502" s="9"/>
      <c r="R1502" s="146"/>
      <c r="T1502" s="92" t="s">
        <v>1698</v>
      </c>
      <c r="U1502">
        <v>2</v>
      </c>
      <c r="V1502">
        <f>VLOOKUP(T1502,'Data Angt'!$A$5:$F$5810,6,FALSE)</f>
        <v>51</v>
      </c>
      <c r="W1502" s="5" t="str">
        <f t="shared" si="23"/>
        <v>KONSUMTIF</v>
      </c>
      <c r="X1502" s="5" t="str">
        <f>VLOOKUP(T1502,'Data Angt'!$A$5:$H$5810,8,FALSE)</f>
        <v>Karyawan</v>
      </c>
      <c r="Y1502" s="5" t="str">
        <f>VLOOKUP(T1502,'Data Angt'!$A$5:$C$5808,3,FALSE)</f>
        <v>MJK</v>
      </c>
    </row>
    <row r="1503" spans="1:25" x14ac:dyDescent="0.3">
      <c r="A1503" s="8">
        <v>1497</v>
      </c>
      <c r="B1503" s="9" t="s">
        <v>12990</v>
      </c>
      <c r="C1503" s="10" t="str">
        <f>VLOOKUP(B1503,'Data Angt'!$A$5:$B$5809,2,FALSE)</f>
        <v>A4530</v>
      </c>
      <c r="D1503" s="11" t="s">
        <v>9829</v>
      </c>
      <c r="E1503" s="12" t="s">
        <v>17433</v>
      </c>
      <c r="F1503" s="13">
        <v>45740</v>
      </c>
      <c r="G1503" s="14">
        <v>45929</v>
      </c>
      <c r="H1503" s="15">
        <v>4500000</v>
      </c>
      <c r="I1503" s="16">
        <v>12</v>
      </c>
      <c r="J1503" s="17">
        <v>24</v>
      </c>
      <c r="K1503" s="9" t="s">
        <v>9827</v>
      </c>
      <c r="L1503" s="10" t="s">
        <v>17434</v>
      </c>
      <c r="M1503" s="9" t="s">
        <v>10102</v>
      </c>
      <c r="N1503" s="10" t="s">
        <v>9828</v>
      </c>
      <c r="O1503" s="15">
        <v>2250000</v>
      </c>
      <c r="P1503" s="145">
        <v>160311</v>
      </c>
      <c r="Q1503" s="9" t="s">
        <v>23304</v>
      </c>
      <c r="R1503" s="146" t="s">
        <v>23649</v>
      </c>
      <c r="T1503" s="92" t="s">
        <v>2074</v>
      </c>
      <c r="U1503">
        <v>1</v>
      </c>
      <c r="V1503">
        <f>VLOOKUP(T1503,'Data Angt'!$A$5:$F$5810,6,FALSE)</f>
        <v>51</v>
      </c>
      <c r="W1503" s="5">
        <f t="shared" si="23"/>
        <v>0</v>
      </c>
      <c r="X1503" s="5" t="str">
        <f>VLOOKUP(T1503,'Data Angt'!$A$5:$H$5810,8,FALSE)</f>
        <v>Aparatur/Pejabat Negara</v>
      </c>
      <c r="Y1503" s="5" t="str">
        <f>VLOOKUP(T1503,'Data Angt'!$A$5:$C$5808,3,FALSE)</f>
        <v>MJK</v>
      </c>
    </row>
    <row r="1504" spans="1:25" x14ac:dyDescent="0.3">
      <c r="A1504" s="8">
        <v>1498</v>
      </c>
      <c r="B1504" s="9" t="s">
        <v>13072</v>
      </c>
      <c r="C1504" s="10" t="str">
        <f>VLOOKUP(B1504,'Data Angt'!$A$5:$B$5809,2,FALSE)</f>
        <v>A4570</v>
      </c>
      <c r="D1504" s="11" t="s">
        <v>9833</v>
      </c>
      <c r="E1504" s="12" t="s">
        <v>17435</v>
      </c>
      <c r="F1504" s="13">
        <v>45792</v>
      </c>
      <c r="G1504" s="14">
        <v>45915</v>
      </c>
      <c r="H1504" s="15">
        <v>2000000</v>
      </c>
      <c r="I1504" s="16">
        <v>10</v>
      </c>
      <c r="J1504" s="17">
        <v>24</v>
      </c>
      <c r="K1504" s="9" t="s">
        <v>9827</v>
      </c>
      <c r="L1504" s="10" t="s">
        <v>17436</v>
      </c>
      <c r="M1504" s="9" t="s">
        <v>17437</v>
      </c>
      <c r="N1504" s="10" t="s">
        <v>9834</v>
      </c>
      <c r="O1504" s="15">
        <v>1200000</v>
      </c>
      <c r="P1504" s="145">
        <v>51000</v>
      </c>
      <c r="Q1504" s="9"/>
      <c r="R1504" s="146"/>
      <c r="T1504" s="92" t="s">
        <v>2145</v>
      </c>
      <c r="U1504">
        <v>1</v>
      </c>
      <c r="V1504">
        <f>VLOOKUP(T1504,'Data Angt'!$A$5:$F$5810,6,FALSE)</f>
        <v>41</v>
      </c>
      <c r="W1504" s="5" t="str">
        <f t="shared" si="23"/>
        <v>PENDIDIKAN</v>
      </c>
      <c r="X1504" s="5" t="str">
        <f>VLOOKUP(T1504,'Data Angt'!$A$5:$H$5810,8,FALSE)</f>
        <v>Karyawan</v>
      </c>
      <c r="Y1504" s="5" t="str">
        <f>VLOOKUP(T1504,'Data Angt'!$A$5:$C$5808,3,FALSE)</f>
        <v>MJK</v>
      </c>
    </row>
    <row r="1505" spans="1:25" x14ac:dyDescent="0.3">
      <c r="A1505" s="8">
        <v>1499</v>
      </c>
      <c r="B1505" s="9" t="s">
        <v>13095</v>
      </c>
      <c r="C1505" s="10" t="str">
        <f>VLOOKUP(B1505,'Data Angt'!$A$5:$B$5809,2,FALSE)</f>
        <v>A4582</v>
      </c>
      <c r="D1505" s="11" t="s">
        <v>9833</v>
      </c>
      <c r="E1505" s="12" t="s">
        <v>23650</v>
      </c>
      <c r="F1505" s="13">
        <v>45874</v>
      </c>
      <c r="G1505" s="14">
        <v>45916</v>
      </c>
      <c r="H1505" s="15">
        <v>2000000</v>
      </c>
      <c r="I1505" s="16">
        <v>10</v>
      </c>
      <c r="J1505" s="17">
        <v>24</v>
      </c>
      <c r="K1505" s="9" t="s">
        <v>9827</v>
      </c>
      <c r="L1505" s="10" t="s">
        <v>23651</v>
      </c>
      <c r="M1505" s="9" t="s">
        <v>9962</v>
      </c>
      <c r="N1505" s="10" t="s">
        <v>9834</v>
      </c>
      <c r="O1505" s="15">
        <v>1800000</v>
      </c>
      <c r="P1505" s="145">
        <v>15000</v>
      </c>
      <c r="Q1505" s="9"/>
      <c r="R1505" s="146"/>
      <c r="T1505" s="92" t="s">
        <v>2147</v>
      </c>
      <c r="U1505">
        <v>1</v>
      </c>
      <c r="V1505">
        <f>VLOOKUP(T1505,'Data Angt'!$A$5:$F$5810,6,FALSE)</f>
        <v>40</v>
      </c>
      <c r="W1505" s="5" t="str">
        <f t="shared" si="23"/>
        <v>PRODUKTIF</v>
      </c>
      <c r="X1505" s="5" t="str">
        <f>VLOOKUP(T1505,'Data Angt'!$A$5:$H$5810,8,FALSE)</f>
        <v>Wiraswasta</v>
      </c>
      <c r="Y1505" s="5" t="str">
        <f>VLOOKUP(T1505,'Data Angt'!$A$5:$C$5808,3,FALSE)</f>
        <v>MJK</v>
      </c>
    </row>
    <row r="1506" spans="1:25" x14ac:dyDescent="0.3">
      <c r="A1506" s="8">
        <v>1500</v>
      </c>
      <c r="B1506" s="9" t="s">
        <v>13128</v>
      </c>
      <c r="C1506" s="10" t="str">
        <f>VLOOKUP(B1506,'Data Angt'!$A$5:$B$5809,2,FALSE)</f>
        <v>A4596</v>
      </c>
      <c r="D1506" s="11" t="s">
        <v>9829</v>
      </c>
      <c r="E1506" s="12" t="s">
        <v>17438</v>
      </c>
      <c r="F1506" s="13">
        <v>45771</v>
      </c>
      <c r="G1506" s="14">
        <v>45930</v>
      </c>
      <c r="H1506" s="15">
        <v>3000000</v>
      </c>
      <c r="I1506" s="16">
        <v>10</v>
      </c>
      <c r="J1506" s="17">
        <v>24</v>
      </c>
      <c r="K1506" s="9" t="s">
        <v>9827</v>
      </c>
      <c r="L1506" s="10" t="s">
        <v>17439</v>
      </c>
      <c r="M1506" s="9" t="s">
        <v>17440</v>
      </c>
      <c r="N1506" s="10" t="s">
        <v>9828</v>
      </c>
      <c r="O1506" s="15">
        <v>1601600</v>
      </c>
      <c r="P1506" s="145">
        <v>90600</v>
      </c>
      <c r="Q1506" s="9"/>
      <c r="R1506" s="146"/>
      <c r="T1506" s="92" t="s">
        <v>2258</v>
      </c>
      <c r="U1506">
        <v>1</v>
      </c>
      <c r="V1506">
        <f>VLOOKUP(T1506,'Data Angt'!$A$5:$F$5810,6,FALSE)</f>
        <v>47</v>
      </c>
      <c r="W1506" s="5" t="str">
        <f t="shared" si="23"/>
        <v>PENDIDIKAN</v>
      </c>
      <c r="X1506" s="5" t="str">
        <f>VLOOKUP(T1506,'Data Angt'!$A$5:$H$5810,8,FALSE)</f>
        <v>Tenaga Pengajar</v>
      </c>
      <c r="Y1506" s="5" t="str">
        <f>VLOOKUP(T1506,'Data Angt'!$A$5:$C$5808,3,FALSE)</f>
        <v>MJK</v>
      </c>
    </row>
    <row r="1507" spans="1:25" x14ac:dyDescent="0.3">
      <c r="A1507" s="8">
        <v>1501</v>
      </c>
      <c r="B1507" s="9" t="s">
        <v>13144</v>
      </c>
      <c r="C1507" s="10" t="str">
        <f>VLOOKUP(B1507,'Data Angt'!$A$5:$B$5809,2,FALSE)</f>
        <v>A4603</v>
      </c>
      <c r="D1507" s="11" t="s">
        <v>9833</v>
      </c>
      <c r="E1507" s="12" t="s">
        <v>23652</v>
      </c>
      <c r="F1507" s="13">
        <v>45890</v>
      </c>
      <c r="G1507" s="14">
        <v>45926</v>
      </c>
      <c r="H1507" s="15">
        <v>10000000</v>
      </c>
      <c r="I1507" s="16">
        <v>6</v>
      </c>
      <c r="J1507" s="17">
        <v>24</v>
      </c>
      <c r="K1507" s="9" t="s">
        <v>9827</v>
      </c>
      <c r="L1507" s="10" t="s">
        <v>23653</v>
      </c>
      <c r="M1507" s="9" t="s">
        <v>17443</v>
      </c>
      <c r="N1507" s="10" t="s">
        <v>9834</v>
      </c>
      <c r="O1507" s="15">
        <v>8333300</v>
      </c>
      <c r="P1507" s="145">
        <v>75000</v>
      </c>
      <c r="Q1507" s="9"/>
      <c r="R1507" s="146"/>
      <c r="T1507" s="92" t="s">
        <v>2286</v>
      </c>
      <c r="U1507">
        <v>1</v>
      </c>
      <c r="V1507">
        <f>VLOOKUP(T1507,'Data Angt'!$A$5:$F$5810,6,FALSE)</f>
        <v>46</v>
      </c>
      <c r="W1507" s="5" t="str">
        <f t="shared" si="23"/>
        <v>KONSUMTIF</v>
      </c>
      <c r="X1507" s="5" t="str">
        <f>VLOOKUP(T1507,'Data Angt'!$A$5:$H$5810,8,FALSE)</f>
        <v>Karyawan</v>
      </c>
      <c r="Y1507" s="5" t="str">
        <f>VLOOKUP(T1507,'Data Angt'!$A$5:$C$5808,3,FALSE)</f>
        <v>MJK</v>
      </c>
    </row>
    <row r="1508" spans="1:25" x14ac:dyDescent="0.3">
      <c r="A1508" s="8">
        <v>1502</v>
      </c>
      <c r="B1508" s="9" t="s">
        <v>13162</v>
      </c>
      <c r="C1508" s="10" t="str">
        <f>VLOOKUP(B1508,'Data Angt'!$A$5:$B$5809,2,FALSE)</f>
        <v>A4610</v>
      </c>
      <c r="D1508" s="11" t="s">
        <v>9833</v>
      </c>
      <c r="E1508" s="12" t="s">
        <v>17441</v>
      </c>
      <c r="F1508" s="13">
        <v>45722</v>
      </c>
      <c r="G1508" s="14">
        <v>45910</v>
      </c>
      <c r="H1508" s="15">
        <v>3000000</v>
      </c>
      <c r="I1508" s="16">
        <v>12</v>
      </c>
      <c r="J1508" s="17">
        <v>24</v>
      </c>
      <c r="K1508" s="9" t="s">
        <v>9831</v>
      </c>
      <c r="L1508" s="10" t="s">
        <v>17442</v>
      </c>
      <c r="M1508" s="9" t="s">
        <v>17443</v>
      </c>
      <c r="N1508" s="10" t="s">
        <v>9834</v>
      </c>
      <c r="O1508" s="15">
        <v>1589200</v>
      </c>
      <c r="P1508" s="145">
        <v>109275</v>
      </c>
      <c r="Q1508" s="9"/>
      <c r="R1508" s="146"/>
      <c r="T1508" s="92" t="s">
        <v>2444</v>
      </c>
      <c r="U1508">
        <v>1</v>
      </c>
      <c r="V1508">
        <f>VLOOKUP(T1508,'Data Angt'!$A$5:$F$5810,6,FALSE)</f>
        <v>38</v>
      </c>
      <c r="W1508" s="5" t="str">
        <f t="shared" si="23"/>
        <v>PRODUKTIF</v>
      </c>
      <c r="X1508" s="5" t="str">
        <f>VLOOKUP(T1508,'Data Angt'!$A$5:$H$5810,8,FALSE)</f>
        <v>Karyawan</v>
      </c>
      <c r="Y1508" s="5" t="str">
        <f>VLOOKUP(T1508,'Data Angt'!$A$5:$C$5808,3,FALSE)</f>
        <v>MJK</v>
      </c>
    </row>
    <row r="1509" spans="1:25" x14ac:dyDescent="0.3">
      <c r="A1509" s="8">
        <v>1503</v>
      </c>
      <c r="B1509" s="9" t="s">
        <v>13165</v>
      </c>
      <c r="C1509" s="10" t="str">
        <f>VLOOKUP(B1509,'Data Angt'!$A$5:$B$5809,2,FALSE)</f>
        <v>A4611</v>
      </c>
      <c r="D1509" s="11" t="s">
        <v>9833</v>
      </c>
      <c r="E1509" s="12" t="s">
        <v>17444</v>
      </c>
      <c r="F1509" s="13">
        <v>45722</v>
      </c>
      <c r="G1509" s="14">
        <v>45910</v>
      </c>
      <c r="H1509" s="15">
        <v>3000000</v>
      </c>
      <c r="I1509" s="16">
        <v>12</v>
      </c>
      <c r="J1509" s="17">
        <v>24</v>
      </c>
      <c r="K1509" s="9" t="s">
        <v>9831</v>
      </c>
      <c r="L1509" s="10" t="s">
        <v>17445</v>
      </c>
      <c r="M1509" s="9" t="s">
        <v>9962</v>
      </c>
      <c r="N1509" s="10" t="s">
        <v>9834</v>
      </c>
      <c r="O1509" s="15">
        <v>1589200</v>
      </c>
      <c r="P1509" s="145">
        <v>109275</v>
      </c>
      <c r="Q1509" s="9"/>
      <c r="R1509" s="146"/>
      <c r="T1509" s="92" t="s">
        <v>2569</v>
      </c>
      <c r="U1509">
        <v>1</v>
      </c>
      <c r="V1509">
        <f>VLOOKUP(T1509,'Data Angt'!$A$5:$F$5810,6,FALSE)</f>
        <v>52</v>
      </c>
      <c r="W1509" s="5" t="str">
        <f t="shared" si="23"/>
        <v>PRODUKTIF</v>
      </c>
      <c r="X1509" s="5" t="str">
        <f>VLOOKUP(T1509,'Data Angt'!$A$5:$H$5810,8,FALSE)</f>
        <v>Tenaga Pengajar</v>
      </c>
      <c r="Y1509" s="5" t="str">
        <f>VLOOKUP(T1509,'Data Angt'!$A$5:$C$5808,3,FALSE)</f>
        <v>MJK</v>
      </c>
    </row>
    <row r="1510" spans="1:25" x14ac:dyDescent="0.3">
      <c r="A1510" s="8">
        <v>1504</v>
      </c>
      <c r="B1510" s="9" t="s">
        <v>13560</v>
      </c>
      <c r="C1510" s="10" t="str">
        <f>VLOOKUP(B1510,'Data Angt'!$A$5:$B$5809,2,FALSE)</f>
        <v>A4846</v>
      </c>
      <c r="D1510" s="11" t="s">
        <v>9833</v>
      </c>
      <c r="E1510" s="12" t="s">
        <v>17446</v>
      </c>
      <c r="F1510" s="13">
        <v>45805</v>
      </c>
      <c r="G1510" s="14">
        <v>45908</v>
      </c>
      <c r="H1510" s="15">
        <v>10000000</v>
      </c>
      <c r="I1510" s="16">
        <v>12</v>
      </c>
      <c r="J1510" s="17">
        <v>24</v>
      </c>
      <c r="K1510" s="9" t="s">
        <v>9827</v>
      </c>
      <c r="L1510" s="10" t="s">
        <v>17447</v>
      </c>
      <c r="M1510" s="9" t="s">
        <v>17448</v>
      </c>
      <c r="N1510" s="10" t="s">
        <v>9834</v>
      </c>
      <c r="O1510" s="15">
        <v>6666400</v>
      </c>
      <c r="P1510" s="145">
        <v>262537</v>
      </c>
      <c r="Q1510" s="9"/>
      <c r="R1510" s="146"/>
      <c r="T1510" s="92" t="s">
        <v>2572</v>
      </c>
      <c r="U1510">
        <v>1</v>
      </c>
      <c r="V1510">
        <f>VLOOKUP(T1510,'Data Angt'!$A$5:$F$5810,6,FALSE)</f>
        <v>22</v>
      </c>
      <c r="W1510" s="5" t="str">
        <f t="shared" si="23"/>
        <v>KONSUMTIF</v>
      </c>
      <c r="X1510" s="5" t="str">
        <f>VLOOKUP(T1510,'Data Angt'!$A$5:$H$5810,8,FALSE)</f>
        <v>Karyawan</v>
      </c>
      <c r="Y1510" s="5" t="str">
        <f>VLOOKUP(T1510,'Data Angt'!$A$5:$C$5808,3,FALSE)</f>
        <v>MJK</v>
      </c>
    </row>
    <row r="1511" spans="1:25" x14ac:dyDescent="0.3">
      <c r="A1511" s="8">
        <v>1505</v>
      </c>
      <c r="B1511" s="9" t="s">
        <v>13652</v>
      </c>
      <c r="C1511" s="10" t="str">
        <f>VLOOKUP(B1511,'Data Angt'!$A$5:$B$5809,2,FALSE)</f>
        <v>A4885</v>
      </c>
      <c r="D1511" s="11" t="s">
        <v>9829</v>
      </c>
      <c r="E1511" s="12" t="s">
        <v>17449</v>
      </c>
      <c r="F1511" s="13">
        <v>45531</v>
      </c>
      <c r="G1511" s="14">
        <v>45919</v>
      </c>
      <c r="H1511" s="15">
        <v>4000000</v>
      </c>
      <c r="I1511" s="16">
        <v>18</v>
      </c>
      <c r="J1511" s="17">
        <v>24</v>
      </c>
      <c r="K1511" s="9" t="s">
        <v>9831</v>
      </c>
      <c r="L1511" s="10" t="s">
        <v>17450</v>
      </c>
      <c r="M1511" s="9" t="s">
        <v>17451</v>
      </c>
      <c r="N1511" s="10" t="s">
        <v>9834</v>
      </c>
      <c r="O1511" s="15">
        <v>1266100</v>
      </c>
      <c r="P1511" s="145">
        <v>275922</v>
      </c>
      <c r="Q1511" s="9" t="s">
        <v>23304</v>
      </c>
      <c r="R1511" s="146" t="s">
        <v>23654</v>
      </c>
      <c r="T1511" s="92" t="s">
        <v>2581</v>
      </c>
      <c r="U1511">
        <v>1</v>
      </c>
      <c r="V1511">
        <f>VLOOKUP(T1511,'Data Angt'!$A$5:$F$5810,6,FALSE)</f>
        <v>41</v>
      </c>
      <c r="W1511" s="5" t="str">
        <f t="shared" si="23"/>
        <v>KESEJAHTERAAN</v>
      </c>
      <c r="X1511" s="5" t="str">
        <f>VLOOKUP(T1511,'Data Angt'!$A$5:$H$5810,8,FALSE)</f>
        <v>Karyawan</v>
      </c>
      <c r="Y1511" s="5" t="str">
        <f>VLOOKUP(T1511,'Data Angt'!$A$5:$C$5808,3,FALSE)</f>
        <v>MJK</v>
      </c>
    </row>
    <row r="1512" spans="1:25" x14ac:dyDescent="0.3">
      <c r="A1512" s="8">
        <v>1506</v>
      </c>
      <c r="B1512" s="9" t="s">
        <v>13655</v>
      </c>
      <c r="C1512" s="10" t="str">
        <f>VLOOKUP(B1512,'Data Angt'!$A$5:$B$5809,2,FALSE)</f>
        <v>A4886</v>
      </c>
      <c r="D1512" s="11" t="s">
        <v>9833</v>
      </c>
      <c r="E1512" s="12" t="s">
        <v>17452</v>
      </c>
      <c r="F1512" s="13">
        <v>45727</v>
      </c>
      <c r="G1512" s="14">
        <v>45838</v>
      </c>
      <c r="H1512" s="15">
        <v>3000000</v>
      </c>
      <c r="I1512" s="16">
        <v>12</v>
      </c>
      <c r="J1512" s="17">
        <v>24</v>
      </c>
      <c r="K1512" s="9" t="s">
        <v>9827</v>
      </c>
      <c r="L1512" s="10" t="s">
        <v>17453</v>
      </c>
      <c r="M1512" s="9" t="s">
        <v>17454</v>
      </c>
      <c r="N1512" s="10" t="s">
        <v>9834</v>
      </c>
      <c r="O1512" s="15">
        <v>2250000</v>
      </c>
      <c r="P1512" s="145">
        <v>61875</v>
      </c>
      <c r="Q1512" s="9"/>
      <c r="R1512" s="146"/>
      <c r="T1512" s="92" t="s">
        <v>2967</v>
      </c>
      <c r="U1512">
        <v>1</v>
      </c>
      <c r="V1512">
        <f>VLOOKUP(T1512,'Data Angt'!$A$5:$F$5810,6,FALSE)</f>
        <v>43</v>
      </c>
      <c r="W1512" s="5" t="str">
        <f t="shared" si="23"/>
        <v>KONSUMTIF</v>
      </c>
      <c r="X1512" s="5" t="str">
        <f>VLOOKUP(T1512,'Data Angt'!$A$5:$H$5810,8,FALSE)</f>
        <v>Karyawan</v>
      </c>
      <c r="Y1512" s="5" t="str">
        <f>VLOOKUP(T1512,'Data Angt'!$A$5:$C$5808,3,FALSE)</f>
        <v>MJK</v>
      </c>
    </row>
    <row r="1513" spans="1:25" x14ac:dyDescent="0.3">
      <c r="A1513" s="8">
        <v>1507</v>
      </c>
      <c r="B1513" s="9" t="s">
        <v>13658</v>
      </c>
      <c r="C1513" s="10" t="str">
        <f>VLOOKUP(B1513,'Data Angt'!$A$5:$B$5809,2,FALSE)</f>
        <v>A4887</v>
      </c>
      <c r="D1513" s="11" t="s">
        <v>9829</v>
      </c>
      <c r="E1513" s="12" t="s">
        <v>17455</v>
      </c>
      <c r="F1513" s="13">
        <v>45762</v>
      </c>
      <c r="G1513" s="14">
        <v>45918</v>
      </c>
      <c r="H1513" s="15">
        <v>5000000</v>
      </c>
      <c r="I1513" s="16">
        <v>24</v>
      </c>
      <c r="J1513" s="17">
        <v>24</v>
      </c>
      <c r="K1513" s="9" t="s">
        <v>9827</v>
      </c>
      <c r="L1513" s="10" t="s">
        <v>17456</v>
      </c>
      <c r="M1513" s="9" t="s">
        <v>9841</v>
      </c>
      <c r="N1513" s="10" t="s">
        <v>17</v>
      </c>
      <c r="O1513" s="15">
        <v>3958000</v>
      </c>
      <c r="P1513" s="145">
        <v>171936</v>
      </c>
      <c r="Q1513" s="9" t="s">
        <v>23304</v>
      </c>
      <c r="R1513" s="146" t="s">
        <v>23655</v>
      </c>
      <c r="T1513" s="92" t="s">
        <v>3007</v>
      </c>
      <c r="U1513">
        <v>1</v>
      </c>
      <c r="V1513">
        <f>VLOOKUP(T1513,'Data Angt'!$A$5:$F$5810,6,FALSE)</f>
        <v>45</v>
      </c>
      <c r="W1513" s="5">
        <f t="shared" si="23"/>
        <v>0</v>
      </c>
      <c r="X1513" s="5" t="str">
        <f>VLOOKUP(T1513,'Data Angt'!$A$5:$H$5810,8,FALSE)</f>
        <v>Belum/Tidak Bekerja</v>
      </c>
      <c r="Y1513" s="5" t="str">
        <f>VLOOKUP(T1513,'Data Angt'!$A$5:$C$5808,3,FALSE)</f>
        <v>MJK</v>
      </c>
    </row>
    <row r="1514" spans="1:25" x14ac:dyDescent="0.3">
      <c r="A1514" s="8">
        <v>1508</v>
      </c>
      <c r="B1514" s="9" t="s">
        <v>13690</v>
      </c>
      <c r="C1514" s="10" t="str">
        <f>VLOOKUP(B1514,'Data Angt'!$A$5:$B$5809,2,FALSE)</f>
        <v>A4901</v>
      </c>
      <c r="D1514" s="11" t="s">
        <v>9833</v>
      </c>
      <c r="E1514" s="12" t="s">
        <v>17457</v>
      </c>
      <c r="F1514" s="13">
        <v>45722</v>
      </c>
      <c r="G1514" s="14">
        <v>45910</v>
      </c>
      <c r="H1514" s="15">
        <v>3000000</v>
      </c>
      <c r="I1514" s="16">
        <v>12</v>
      </c>
      <c r="J1514" s="17">
        <v>24</v>
      </c>
      <c r="K1514" s="9" t="s">
        <v>9831</v>
      </c>
      <c r="L1514" s="10" t="s">
        <v>17458</v>
      </c>
      <c r="M1514" s="9" t="s">
        <v>9962</v>
      </c>
      <c r="N1514" s="10" t="s">
        <v>9834</v>
      </c>
      <c r="O1514" s="15">
        <v>1589200</v>
      </c>
      <c r="P1514" s="145">
        <v>109275</v>
      </c>
      <c r="Q1514" s="9"/>
      <c r="R1514" s="146"/>
      <c r="T1514" s="92" t="s">
        <v>3363</v>
      </c>
      <c r="U1514">
        <v>1</v>
      </c>
      <c r="V1514">
        <f>VLOOKUP(T1514,'Data Angt'!$A$5:$F$5810,6,FALSE)</f>
        <v>38</v>
      </c>
      <c r="W1514" s="5" t="str">
        <f t="shared" si="23"/>
        <v>KONSUMTIF</v>
      </c>
      <c r="X1514" s="5" t="str">
        <f>VLOOKUP(T1514,'Data Angt'!$A$5:$H$5810,8,FALSE)</f>
        <v>Tenaga Pengajar</v>
      </c>
      <c r="Y1514" s="5" t="str">
        <f>VLOOKUP(T1514,'Data Angt'!$A$5:$C$5808,3,FALSE)</f>
        <v>MJK</v>
      </c>
    </row>
    <row r="1515" spans="1:25" x14ac:dyDescent="0.3">
      <c r="A1515" s="8">
        <v>1509</v>
      </c>
      <c r="B1515" s="9" t="s">
        <v>13722</v>
      </c>
      <c r="C1515" s="10" t="str">
        <f>VLOOKUP(B1515,'Data Angt'!$A$5:$B$5809,2,FALSE)</f>
        <v>A4916</v>
      </c>
      <c r="D1515" s="11" t="s">
        <v>9833</v>
      </c>
      <c r="E1515" s="12" t="s">
        <v>17459</v>
      </c>
      <c r="F1515" s="13">
        <v>45693</v>
      </c>
      <c r="G1515" s="14">
        <v>45899</v>
      </c>
      <c r="H1515" s="15">
        <v>3000000</v>
      </c>
      <c r="I1515" s="16">
        <v>10</v>
      </c>
      <c r="J1515" s="17">
        <v>24</v>
      </c>
      <c r="K1515" s="9" t="s">
        <v>9827</v>
      </c>
      <c r="L1515" s="10" t="s">
        <v>17460</v>
      </c>
      <c r="M1515" s="9" t="s">
        <v>17461</v>
      </c>
      <c r="N1515" s="10" t="s">
        <v>9834</v>
      </c>
      <c r="O1515" s="15">
        <v>1200000</v>
      </c>
      <c r="P1515" s="145">
        <v>101250</v>
      </c>
      <c r="Q1515" s="9"/>
      <c r="R1515" s="146"/>
      <c r="T1515" s="92" t="s">
        <v>3494</v>
      </c>
      <c r="U1515">
        <v>1</v>
      </c>
      <c r="V1515">
        <f>VLOOKUP(T1515,'Data Angt'!$A$5:$F$5810,6,FALSE)</f>
        <v>38</v>
      </c>
      <c r="W1515" s="5" t="str">
        <f t="shared" si="23"/>
        <v>PENDIDIKAN</v>
      </c>
      <c r="X1515" s="5" t="str">
        <f>VLOOKUP(T1515,'Data Angt'!$A$5:$H$5810,8,FALSE)</f>
        <v>Tenaga Pengajar</v>
      </c>
      <c r="Y1515" s="5" t="str">
        <f>VLOOKUP(T1515,'Data Angt'!$A$5:$C$5808,3,FALSE)</f>
        <v>MJK</v>
      </c>
    </row>
    <row r="1516" spans="1:25" x14ac:dyDescent="0.3">
      <c r="A1516" s="8">
        <v>1510</v>
      </c>
      <c r="B1516" s="9" t="s">
        <v>13725</v>
      </c>
      <c r="C1516" s="10" t="str">
        <f>VLOOKUP(B1516,'Data Angt'!$A$5:$B$5809,2,FALSE)</f>
        <v>A4917</v>
      </c>
      <c r="D1516" s="11" t="s">
        <v>9833</v>
      </c>
      <c r="E1516" s="12" t="s">
        <v>17462</v>
      </c>
      <c r="F1516" s="13">
        <v>45728</v>
      </c>
      <c r="G1516" s="14">
        <v>45915</v>
      </c>
      <c r="H1516" s="15">
        <v>2000000</v>
      </c>
      <c r="I1516" s="16">
        <v>12</v>
      </c>
      <c r="J1516" s="17">
        <v>24</v>
      </c>
      <c r="K1516" s="9" t="s">
        <v>9827</v>
      </c>
      <c r="L1516" s="10" t="s">
        <v>17463</v>
      </c>
      <c r="M1516" s="9" t="s">
        <v>17443</v>
      </c>
      <c r="N1516" s="10" t="s">
        <v>9834</v>
      </c>
      <c r="O1516" s="15">
        <v>999800</v>
      </c>
      <c r="P1516" s="145">
        <v>71324</v>
      </c>
      <c r="Q1516" s="9"/>
      <c r="R1516" s="146"/>
      <c r="T1516" s="92" t="s">
        <v>3498</v>
      </c>
      <c r="U1516">
        <v>1</v>
      </c>
      <c r="V1516">
        <f>VLOOKUP(T1516,'Data Angt'!$A$5:$F$5810,6,FALSE)</f>
        <v>36</v>
      </c>
      <c r="W1516" s="5" t="str">
        <f t="shared" si="23"/>
        <v>KONSUMTIF</v>
      </c>
      <c r="X1516" s="5" t="str">
        <f>VLOOKUP(T1516,'Data Angt'!$A$5:$H$5810,8,FALSE)</f>
        <v>Tenaga Pengajar</v>
      </c>
      <c r="Y1516" s="5" t="str">
        <f>VLOOKUP(T1516,'Data Angt'!$A$5:$C$5808,3,FALSE)</f>
        <v>MJK</v>
      </c>
    </row>
    <row r="1517" spans="1:25" x14ac:dyDescent="0.3">
      <c r="A1517" s="8">
        <v>1511</v>
      </c>
      <c r="B1517" s="9" t="s">
        <v>13737</v>
      </c>
      <c r="C1517" s="10" t="str">
        <f>VLOOKUP(B1517,'Data Angt'!$A$5:$B$5809,2,FALSE)</f>
        <v>A4923</v>
      </c>
      <c r="D1517" s="11" t="s">
        <v>9833</v>
      </c>
      <c r="E1517" s="12" t="s">
        <v>17464</v>
      </c>
      <c r="F1517" s="13">
        <v>45782</v>
      </c>
      <c r="G1517" s="14">
        <v>45916</v>
      </c>
      <c r="H1517" s="15">
        <v>3000000</v>
      </c>
      <c r="I1517" s="16">
        <v>10</v>
      </c>
      <c r="J1517" s="17">
        <v>24</v>
      </c>
      <c r="K1517" s="9" t="s">
        <v>9827</v>
      </c>
      <c r="L1517" s="10" t="s">
        <v>17465</v>
      </c>
      <c r="M1517" s="9" t="s">
        <v>17443</v>
      </c>
      <c r="N1517" s="10" t="s">
        <v>9834</v>
      </c>
      <c r="O1517" s="15">
        <v>1800000</v>
      </c>
      <c r="P1517" s="145">
        <v>76500</v>
      </c>
      <c r="Q1517" s="9"/>
      <c r="R1517" s="146"/>
      <c r="T1517" s="92" t="s">
        <v>3603</v>
      </c>
      <c r="U1517">
        <v>1</v>
      </c>
      <c r="V1517">
        <f>VLOOKUP(T1517,'Data Angt'!$A$5:$F$5810,6,FALSE)</f>
        <v>47</v>
      </c>
      <c r="W1517" s="5" t="str">
        <f t="shared" si="23"/>
        <v>KONSUMTIF</v>
      </c>
      <c r="X1517" s="5" t="str">
        <f>VLOOKUP(T1517,'Data Angt'!$A$5:$H$5810,8,FALSE)</f>
        <v>Wiraswasta</v>
      </c>
      <c r="Y1517" s="5" t="str">
        <f>VLOOKUP(T1517,'Data Angt'!$A$5:$C$5808,3,FALSE)</f>
        <v>MJK</v>
      </c>
    </row>
    <row r="1518" spans="1:25" x14ac:dyDescent="0.3">
      <c r="A1518" s="8">
        <v>1512</v>
      </c>
      <c r="B1518" s="9" t="s">
        <v>13741</v>
      </c>
      <c r="C1518" s="10" t="str">
        <f>VLOOKUP(B1518,'Data Angt'!$A$5:$B$5809,2,FALSE)</f>
        <v>A4924</v>
      </c>
      <c r="D1518" s="11" t="s">
        <v>9833</v>
      </c>
      <c r="E1518" s="12" t="s">
        <v>17466</v>
      </c>
      <c r="F1518" s="13">
        <v>45786</v>
      </c>
      <c r="G1518" s="14">
        <v>45930</v>
      </c>
      <c r="H1518" s="15">
        <v>2500000</v>
      </c>
      <c r="I1518" s="16">
        <v>10</v>
      </c>
      <c r="J1518" s="17">
        <v>24</v>
      </c>
      <c r="K1518" s="9" t="s">
        <v>9827</v>
      </c>
      <c r="L1518" s="10" t="s">
        <v>17467</v>
      </c>
      <c r="M1518" s="9"/>
      <c r="N1518" s="10"/>
      <c r="O1518" s="15">
        <v>1500000</v>
      </c>
      <c r="P1518" s="145">
        <v>63750</v>
      </c>
      <c r="Q1518" s="9"/>
      <c r="R1518" s="146"/>
      <c r="T1518" s="92" t="s">
        <v>3808</v>
      </c>
      <c r="U1518">
        <v>1</v>
      </c>
      <c r="V1518">
        <f>VLOOKUP(T1518,'Data Angt'!$A$5:$F$5810,6,FALSE)</f>
        <v>56</v>
      </c>
      <c r="W1518" s="5" t="str">
        <f t="shared" si="23"/>
        <v>PRODUKTIF</v>
      </c>
      <c r="X1518" s="5" t="str">
        <f>VLOOKUP(T1518,'Data Angt'!$A$5:$H$5810,8,FALSE)</f>
        <v>Wiraswasta</v>
      </c>
      <c r="Y1518" s="5" t="str">
        <f>VLOOKUP(T1518,'Data Angt'!$A$5:$C$5808,3,FALSE)</f>
        <v>MJK</v>
      </c>
    </row>
    <row r="1519" spans="1:25" x14ac:dyDescent="0.3">
      <c r="A1519" s="8">
        <v>1513</v>
      </c>
      <c r="B1519" s="9" t="s">
        <v>13760</v>
      </c>
      <c r="C1519" s="10" t="str">
        <f>VLOOKUP(B1519,'Data Angt'!$A$5:$B$5809,2,FALSE)</f>
        <v>A4932</v>
      </c>
      <c r="D1519" s="11" t="s">
        <v>9833</v>
      </c>
      <c r="E1519" s="12" t="s">
        <v>17468</v>
      </c>
      <c r="F1519" s="13">
        <v>45677</v>
      </c>
      <c r="G1519" s="14">
        <v>45930</v>
      </c>
      <c r="H1519" s="15">
        <v>2000000</v>
      </c>
      <c r="I1519" s="16">
        <v>12</v>
      </c>
      <c r="J1519" s="17">
        <v>24</v>
      </c>
      <c r="K1519" s="9" t="s">
        <v>9827</v>
      </c>
      <c r="L1519" s="10" t="s">
        <v>17469</v>
      </c>
      <c r="M1519" s="9" t="s">
        <v>9962</v>
      </c>
      <c r="N1519" s="10" t="s">
        <v>9834</v>
      </c>
      <c r="O1519" s="15">
        <v>666400</v>
      </c>
      <c r="P1519" s="145">
        <v>85086</v>
      </c>
      <c r="Q1519" s="9"/>
      <c r="R1519" s="146"/>
      <c r="T1519" s="92" t="s">
        <v>3971</v>
      </c>
      <c r="U1519">
        <v>1</v>
      </c>
      <c r="V1519">
        <f>VLOOKUP(T1519,'Data Angt'!$A$5:$F$5810,6,FALSE)</f>
        <v>53</v>
      </c>
      <c r="W1519" s="5" t="str">
        <f t="shared" si="23"/>
        <v>PENDIDIKAN</v>
      </c>
      <c r="X1519" s="5" t="str">
        <f>VLOOKUP(T1519,'Data Angt'!$A$5:$H$5810,8,FALSE)</f>
        <v>Wiraswasta</v>
      </c>
      <c r="Y1519" s="5" t="str">
        <f>VLOOKUP(T1519,'Data Angt'!$A$5:$C$5808,3,FALSE)</f>
        <v>MJK</v>
      </c>
    </row>
    <row r="1520" spans="1:25" x14ac:dyDescent="0.3">
      <c r="A1520" s="8">
        <v>1514</v>
      </c>
      <c r="B1520" s="9" t="s">
        <v>13766</v>
      </c>
      <c r="C1520" s="10" t="str">
        <f>VLOOKUP(B1520,'Data Angt'!$A$5:$B$5809,2,FALSE)</f>
        <v>A4934</v>
      </c>
      <c r="D1520" s="11" t="s">
        <v>9833</v>
      </c>
      <c r="E1520" s="12" t="s">
        <v>17470</v>
      </c>
      <c r="F1520" s="13">
        <v>45832</v>
      </c>
      <c r="G1520" s="14">
        <v>45925</v>
      </c>
      <c r="H1520" s="15">
        <v>3000000</v>
      </c>
      <c r="I1520" s="16">
        <v>10</v>
      </c>
      <c r="J1520" s="17">
        <v>24</v>
      </c>
      <c r="K1520" s="9" t="s">
        <v>9827</v>
      </c>
      <c r="L1520" s="10" t="s">
        <v>17471</v>
      </c>
      <c r="M1520" s="9" t="s">
        <v>10059</v>
      </c>
      <c r="N1520" s="10" t="s">
        <v>9834</v>
      </c>
      <c r="O1520" s="15">
        <v>2100000</v>
      </c>
      <c r="P1520" s="145">
        <v>60750</v>
      </c>
      <c r="Q1520" s="9"/>
      <c r="R1520" s="146"/>
      <c r="T1520" s="92" t="s">
        <v>4059</v>
      </c>
      <c r="U1520">
        <v>1</v>
      </c>
      <c r="V1520">
        <f>VLOOKUP(T1520,'Data Angt'!$A$5:$F$5810,6,FALSE)</f>
        <v>43</v>
      </c>
      <c r="W1520" s="5" t="str">
        <f t="shared" si="23"/>
        <v>PENDIDIKAN</v>
      </c>
      <c r="X1520" s="5" t="str">
        <f>VLOOKUP(T1520,'Data Angt'!$A$5:$H$5810,8,FALSE)</f>
        <v>Tenaga Pengajar</v>
      </c>
      <c r="Y1520" s="5" t="str">
        <f>VLOOKUP(T1520,'Data Angt'!$A$5:$C$5808,3,FALSE)</f>
        <v>MJK</v>
      </c>
    </row>
    <row r="1521" spans="1:25" x14ac:dyDescent="0.3">
      <c r="A1521" s="8">
        <v>1515</v>
      </c>
      <c r="B1521" s="9" t="s">
        <v>13795</v>
      </c>
      <c r="C1521" s="10" t="str">
        <f>VLOOKUP(B1521,'Data Angt'!$A$5:$B$5809,2,FALSE)</f>
        <v>A4949</v>
      </c>
      <c r="D1521" s="11" t="s">
        <v>9829</v>
      </c>
      <c r="E1521" s="12" t="s">
        <v>17472</v>
      </c>
      <c r="F1521" s="13">
        <v>45624</v>
      </c>
      <c r="G1521" s="14">
        <v>45929</v>
      </c>
      <c r="H1521" s="15">
        <v>40000000</v>
      </c>
      <c r="I1521" s="16">
        <v>48</v>
      </c>
      <c r="J1521" s="17">
        <v>21</v>
      </c>
      <c r="K1521" s="9" t="s">
        <v>9831</v>
      </c>
      <c r="L1521" s="10" t="s">
        <v>17473</v>
      </c>
      <c r="M1521" s="9" t="s">
        <v>17474</v>
      </c>
      <c r="N1521" s="10" t="s">
        <v>9828</v>
      </c>
      <c r="O1521" s="15">
        <v>34168800</v>
      </c>
      <c r="P1521" s="145">
        <v>2458423</v>
      </c>
      <c r="Q1521" s="9" t="s">
        <v>22975</v>
      </c>
      <c r="R1521" s="146" t="s">
        <v>23656</v>
      </c>
      <c r="T1521" s="92" t="s">
        <v>4075</v>
      </c>
      <c r="U1521">
        <v>1</v>
      </c>
      <c r="V1521">
        <f>VLOOKUP(T1521,'Data Angt'!$A$5:$F$5810,6,FALSE)</f>
        <v>67</v>
      </c>
      <c r="W1521" s="5" t="str">
        <f t="shared" si="23"/>
        <v>KONSUMTIF</v>
      </c>
      <c r="X1521" s="5" t="str">
        <f>VLOOKUP(T1521,'Data Angt'!$A$5:$H$5810,8,FALSE)</f>
        <v>Pensiunan</v>
      </c>
      <c r="Y1521" s="5" t="str">
        <f>VLOOKUP(T1521,'Data Angt'!$A$5:$C$5808,3,FALSE)</f>
        <v>MJK</v>
      </c>
    </row>
    <row r="1522" spans="1:25" x14ac:dyDescent="0.3">
      <c r="A1522" s="8">
        <v>1516</v>
      </c>
      <c r="B1522" s="9" t="s">
        <v>13814</v>
      </c>
      <c r="C1522" s="10" t="str">
        <f>VLOOKUP(B1522,'Data Angt'!$A$5:$B$5809,2,FALSE)</f>
        <v>A4960</v>
      </c>
      <c r="D1522" s="11" t="s">
        <v>9829</v>
      </c>
      <c r="E1522" s="12" t="s">
        <v>17475</v>
      </c>
      <c r="F1522" s="13">
        <v>45565</v>
      </c>
      <c r="G1522" s="14">
        <v>45923</v>
      </c>
      <c r="H1522" s="15">
        <v>5000000</v>
      </c>
      <c r="I1522" s="16">
        <v>15</v>
      </c>
      <c r="J1522" s="17">
        <v>24</v>
      </c>
      <c r="K1522" s="9" t="s">
        <v>9827</v>
      </c>
      <c r="L1522" s="10" t="s">
        <v>17476</v>
      </c>
      <c r="M1522" s="9" t="s">
        <v>17477</v>
      </c>
      <c r="N1522" s="10" t="s">
        <v>9828</v>
      </c>
      <c r="O1522" s="15">
        <v>999200</v>
      </c>
      <c r="P1522" s="145">
        <v>285148</v>
      </c>
      <c r="Q1522" s="9" t="s">
        <v>22240</v>
      </c>
      <c r="R1522" s="146" t="s">
        <v>23657</v>
      </c>
      <c r="T1522" s="92" t="s">
        <v>4127</v>
      </c>
      <c r="U1522">
        <v>1</v>
      </c>
      <c r="V1522">
        <f>VLOOKUP(T1522,'Data Angt'!$A$5:$F$5810,6,FALSE)</f>
        <v>49</v>
      </c>
      <c r="W1522" s="5" t="str">
        <f t="shared" si="23"/>
        <v>PRODUKTIF</v>
      </c>
      <c r="X1522" s="5" t="str">
        <f>VLOOKUP(T1522,'Data Angt'!$A$5:$H$5810,8,FALSE)</f>
        <v>Wiraswasta</v>
      </c>
      <c r="Y1522" s="5" t="str">
        <f>VLOOKUP(T1522,'Data Angt'!$A$5:$C$5808,3,FALSE)</f>
        <v>MJK</v>
      </c>
    </row>
    <row r="1523" spans="1:25" x14ac:dyDescent="0.3">
      <c r="A1523" s="8">
        <v>1517</v>
      </c>
      <c r="B1523" s="9" t="s">
        <v>13835</v>
      </c>
      <c r="C1523" s="10" t="str">
        <f>VLOOKUP(B1523,'Data Angt'!$A$5:$B$5809,2,FALSE)</f>
        <v>A4970</v>
      </c>
      <c r="D1523" s="11" t="s">
        <v>9895</v>
      </c>
      <c r="E1523" s="12" t="s">
        <v>17478</v>
      </c>
      <c r="F1523" s="13">
        <v>45672</v>
      </c>
      <c r="G1523" s="14">
        <v>45929</v>
      </c>
      <c r="H1523" s="15">
        <v>14000000</v>
      </c>
      <c r="I1523" s="16">
        <v>24</v>
      </c>
      <c r="J1523" s="17">
        <v>24</v>
      </c>
      <c r="K1523" s="9" t="s">
        <v>9827</v>
      </c>
      <c r="L1523" s="10" t="s">
        <v>17479</v>
      </c>
      <c r="M1523" s="9" t="s">
        <v>17480</v>
      </c>
      <c r="N1523" s="10" t="s">
        <v>9828</v>
      </c>
      <c r="O1523" s="15">
        <v>9332800</v>
      </c>
      <c r="P1523" s="145">
        <v>717599</v>
      </c>
      <c r="Q1523" s="9" t="s">
        <v>23304</v>
      </c>
      <c r="R1523" s="146" t="s">
        <v>23658</v>
      </c>
      <c r="T1523" s="92" t="s">
        <v>4173</v>
      </c>
      <c r="U1523">
        <v>1</v>
      </c>
      <c r="V1523">
        <f>VLOOKUP(T1523,'Data Angt'!$A$5:$F$5810,6,FALSE)</f>
        <v>38</v>
      </c>
      <c r="W1523" s="5" t="str">
        <f t="shared" si="23"/>
        <v>KESEJAHTERAAN</v>
      </c>
      <c r="X1523" s="5" t="str">
        <f>VLOOKUP(T1523,'Data Angt'!$A$5:$H$5810,8,FALSE)</f>
        <v>Mengurus Rumah Tangga</v>
      </c>
      <c r="Y1523" s="5" t="str">
        <f>VLOOKUP(T1523,'Data Angt'!$A$5:$C$5808,3,FALSE)</f>
        <v>MJK</v>
      </c>
    </row>
    <row r="1524" spans="1:25" x14ac:dyDescent="0.3">
      <c r="A1524" s="8">
        <v>1518</v>
      </c>
      <c r="B1524" s="9" t="s">
        <v>13838</v>
      </c>
      <c r="C1524" s="10" t="str">
        <f>VLOOKUP(B1524,'Data Angt'!$A$5:$B$5809,2,FALSE)</f>
        <v>A4971</v>
      </c>
      <c r="D1524" s="11" t="s">
        <v>9833</v>
      </c>
      <c r="E1524" s="12" t="s">
        <v>17481</v>
      </c>
      <c r="F1524" s="13">
        <v>45576</v>
      </c>
      <c r="G1524" s="14">
        <v>45911</v>
      </c>
      <c r="H1524" s="15">
        <v>5000000</v>
      </c>
      <c r="I1524" s="16">
        <v>36</v>
      </c>
      <c r="J1524" s="17">
        <v>24</v>
      </c>
      <c r="K1524" s="9" t="s">
        <v>9827</v>
      </c>
      <c r="L1524" s="10" t="s">
        <v>17482</v>
      </c>
      <c r="M1524" s="9" t="s">
        <v>10534</v>
      </c>
      <c r="N1524" s="10" t="s">
        <v>9834</v>
      </c>
      <c r="O1524" s="15">
        <v>3472100</v>
      </c>
      <c r="P1524" s="145">
        <v>355385</v>
      </c>
      <c r="Q1524" s="9" t="s">
        <v>23579</v>
      </c>
      <c r="R1524" s="146" t="s">
        <v>23659</v>
      </c>
      <c r="T1524" s="92" t="s">
        <v>4259</v>
      </c>
      <c r="U1524">
        <v>1</v>
      </c>
      <c r="V1524">
        <f>VLOOKUP(T1524,'Data Angt'!$A$5:$F$5810,6,FALSE)</f>
        <v>49</v>
      </c>
      <c r="W1524" s="5" t="str">
        <f t="shared" si="23"/>
        <v>PENDIDIKAN</v>
      </c>
      <c r="X1524" s="5" t="str">
        <f>VLOOKUP(T1524,'Data Angt'!$A$5:$H$5810,8,FALSE)</f>
        <v>Belum/Tidak Bekerja</v>
      </c>
      <c r="Y1524" s="5" t="str">
        <f>VLOOKUP(T1524,'Data Angt'!$A$5:$C$5808,3,FALSE)</f>
        <v>MJK</v>
      </c>
    </row>
    <row r="1525" spans="1:25" x14ac:dyDescent="0.3">
      <c r="A1525" s="8">
        <v>1519</v>
      </c>
      <c r="B1525" s="9" t="s">
        <v>13883</v>
      </c>
      <c r="C1525" s="10" t="str">
        <f>VLOOKUP(B1525,'Data Angt'!$A$5:$B$5809,2,FALSE)</f>
        <v>A4992</v>
      </c>
      <c r="D1525" s="11" t="s">
        <v>9833</v>
      </c>
      <c r="E1525" s="12" t="s">
        <v>17483</v>
      </c>
      <c r="F1525" s="13">
        <v>45709</v>
      </c>
      <c r="G1525" s="14">
        <v>45918</v>
      </c>
      <c r="H1525" s="15">
        <v>3000000</v>
      </c>
      <c r="I1525" s="16">
        <v>12</v>
      </c>
      <c r="J1525" s="17">
        <v>24</v>
      </c>
      <c r="K1525" s="9" t="s">
        <v>9827</v>
      </c>
      <c r="L1525" s="10" t="s">
        <v>17484</v>
      </c>
      <c r="M1525" s="9" t="s">
        <v>10172</v>
      </c>
      <c r="N1525" s="10" t="s">
        <v>9834</v>
      </c>
      <c r="O1525" s="15">
        <v>1795000</v>
      </c>
      <c r="P1525" s="145">
        <v>123750</v>
      </c>
      <c r="Q1525" s="9"/>
      <c r="R1525" s="146"/>
      <c r="T1525" s="92" t="s">
        <v>4267</v>
      </c>
      <c r="U1525">
        <v>1</v>
      </c>
      <c r="V1525">
        <f>VLOOKUP(T1525,'Data Angt'!$A$5:$F$5810,6,FALSE)</f>
        <v>64</v>
      </c>
      <c r="W1525" s="5" t="str">
        <f t="shared" si="23"/>
        <v>PENDIDIKAN</v>
      </c>
      <c r="X1525" s="5" t="str">
        <f>VLOOKUP(T1525,'Data Angt'!$A$5:$H$5810,8,FALSE)</f>
        <v>Pensiunan</v>
      </c>
      <c r="Y1525" s="5" t="str">
        <f>VLOOKUP(T1525,'Data Angt'!$A$5:$C$5808,3,FALSE)</f>
        <v>MJK</v>
      </c>
    </row>
    <row r="1526" spans="1:25" x14ac:dyDescent="0.3">
      <c r="A1526" s="8">
        <v>1520</v>
      </c>
      <c r="B1526" s="9" t="s">
        <v>13893</v>
      </c>
      <c r="C1526" s="10" t="str">
        <f>VLOOKUP(B1526,'Data Angt'!$A$5:$B$5809,2,FALSE)</f>
        <v>A4997</v>
      </c>
      <c r="D1526" s="11" t="s">
        <v>9829</v>
      </c>
      <c r="E1526" s="12" t="s">
        <v>17485</v>
      </c>
      <c r="F1526" s="13">
        <v>45822</v>
      </c>
      <c r="G1526" s="14">
        <v>45915</v>
      </c>
      <c r="H1526" s="15">
        <v>4000000</v>
      </c>
      <c r="I1526" s="16">
        <v>12</v>
      </c>
      <c r="J1526" s="17">
        <v>24</v>
      </c>
      <c r="K1526" s="9" t="s">
        <v>9827</v>
      </c>
      <c r="L1526" s="10" t="s">
        <v>17486</v>
      </c>
      <c r="M1526" s="9" t="s">
        <v>10102</v>
      </c>
      <c r="N1526" s="10" t="s">
        <v>9828</v>
      </c>
      <c r="O1526" s="15">
        <v>2999800</v>
      </c>
      <c r="P1526" s="145">
        <v>82537</v>
      </c>
      <c r="Q1526" s="9" t="s">
        <v>23304</v>
      </c>
      <c r="R1526" s="146" t="s">
        <v>23660</v>
      </c>
      <c r="T1526" s="92" t="s">
        <v>4324</v>
      </c>
      <c r="U1526">
        <v>1</v>
      </c>
      <c r="V1526">
        <f>VLOOKUP(T1526,'Data Angt'!$A$5:$F$5810,6,FALSE)</f>
        <v>35</v>
      </c>
      <c r="W1526" s="5" t="str">
        <f t="shared" si="23"/>
        <v>KONSUMTIF</v>
      </c>
      <c r="X1526" s="5" t="str">
        <f>VLOOKUP(T1526,'Data Angt'!$A$5:$H$5810,8,FALSE)</f>
        <v>Tenaga Medis</v>
      </c>
      <c r="Y1526" s="5" t="str">
        <f>VLOOKUP(T1526,'Data Angt'!$A$5:$C$5808,3,FALSE)</f>
        <v>MJK</v>
      </c>
    </row>
    <row r="1527" spans="1:25" x14ac:dyDescent="0.3">
      <c r="A1527" s="8">
        <v>1521</v>
      </c>
      <c r="B1527" s="9" t="s">
        <v>13903</v>
      </c>
      <c r="C1527" s="10" t="str">
        <f>VLOOKUP(B1527,'Data Angt'!$A$5:$B$5809,2,FALSE)</f>
        <v>A5001</v>
      </c>
      <c r="D1527" s="11" t="s">
        <v>9833</v>
      </c>
      <c r="E1527" s="12" t="s">
        <v>17487</v>
      </c>
      <c r="F1527" s="13">
        <v>45607</v>
      </c>
      <c r="G1527" s="14">
        <v>45715</v>
      </c>
      <c r="H1527" s="15">
        <v>2000000</v>
      </c>
      <c r="I1527" s="16">
        <v>6</v>
      </c>
      <c r="J1527" s="17">
        <v>24</v>
      </c>
      <c r="K1527" s="9" t="s">
        <v>9827</v>
      </c>
      <c r="L1527" s="10" t="s">
        <v>17488</v>
      </c>
      <c r="M1527" s="9" t="s">
        <v>17489</v>
      </c>
      <c r="N1527" s="10" t="s">
        <v>9834</v>
      </c>
      <c r="O1527" s="15">
        <v>1333200</v>
      </c>
      <c r="P1527" s="145">
        <v>40050</v>
      </c>
      <c r="Q1527" s="9"/>
      <c r="R1527" s="146"/>
      <c r="T1527" s="92" t="s">
        <v>4566</v>
      </c>
      <c r="U1527">
        <v>1</v>
      </c>
      <c r="V1527">
        <f>VLOOKUP(T1527,'Data Angt'!$A$5:$F$5810,6,FALSE)</f>
        <v>59</v>
      </c>
      <c r="W1527" s="5" t="str">
        <f t="shared" si="23"/>
        <v>PENDIDIKAN</v>
      </c>
      <c r="X1527" s="5" t="str">
        <f>VLOOKUP(T1527,'Data Angt'!$A$5:$H$5810,8,FALSE)</f>
        <v>Wiraswasta</v>
      </c>
      <c r="Y1527" s="5" t="str">
        <f>VLOOKUP(T1527,'Data Angt'!$A$5:$C$5808,3,FALSE)</f>
        <v>MJK</v>
      </c>
    </row>
    <row r="1528" spans="1:25" x14ac:dyDescent="0.3">
      <c r="A1528" s="8">
        <v>1522</v>
      </c>
      <c r="B1528" s="9" t="s">
        <v>13906</v>
      </c>
      <c r="C1528" s="10" t="str">
        <f>VLOOKUP(B1528,'Data Angt'!$A$5:$B$5809,2,FALSE)</f>
        <v>A5002</v>
      </c>
      <c r="D1528" s="11" t="s">
        <v>9833</v>
      </c>
      <c r="E1528" s="12" t="s">
        <v>17490</v>
      </c>
      <c r="F1528" s="13">
        <v>45713</v>
      </c>
      <c r="G1528" s="14">
        <v>45898</v>
      </c>
      <c r="H1528" s="15">
        <v>3000000</v>
      </c>
      <c r="I1528" s="16">
        <v>10</v>
      </c>
      <c r="J1528" s="17">
        <v>24</v>
      </c>
      <c r="K1528" s="9" t="s">
        <v>9827</v>
      </c>
      <c r="L1528" s="10" t="s">
        <v>17491</v>
      </c>
      <c r="M1528" s="9" t="s">
        <v>9962</v>
      </c>
      <c r="N1528" s="10" t="s">
        <v>9834</v>
      </c>
      <c r="O1528" s="15">
        <v>1500000</v>
      </c>
      <c r="P1528" s="145">
        <v>101250</v>
      </c>
      <c r="Q1528" s="9"/>
      <c r="R1528" s="146"/>
      <c r="T1528" s="92" t="s">
        <v>4711</v>
      </c>
      <c r="U1528">
        <v>1</v>
      </c>
      <c r="V1528">
        <f>VLOOKUP(T1528,'Data Angt'!$A$5:$F$5810,6,FALSE)</f>
        <v>56</v>
      </c>
      <c r="W1528" s="5" t="str">
        <f t="shared" si="23"/>
        <v>PENDIDIKAN</v>
      </c>
      <c r="X1528" s="5" t="str">
        <f>VLOOKUP(T1528,'Data Angt'!$A$5:$H$5810,8,FALSE)</f>
        <v>Tenaga Pengajar</v>
      </c>
      <c r="Y1528" s="5" t="str">
        <f>VLOOKUP(T1528,'Data Angt'!$A$5:$C$5808,3,FALSE)</f>
        <v>MJK</v>
      </c>
    </row>
    <row r="1529" spans="1:25" x14ac:dyDescent="0.3">
      <c r="A1529" s="8">
        <v>1523</v>
      </c>
      <c r="B1529" s="9" t="s">
        <v>13920</v>
      </c>
      <c r="C1529" s="10" t="str">
        <f>VLOOKUP(B1529,'Data Angt'!$A$5:$B$5809,2,FALSE)</f>
        <v>A5008</v>
      </c>
      <c r="D1529" s="11" t="s">
        <v>9833</v>
      </c>
      <c r="E1529" s="12" t="s">
        <v>17492</v>
      </c>
      <c r="F1529" s="13">
        <v>45695</v>
      </c>
      <c r="G1529" s="14">
        <v>45917</v>
      </c>
      <c r="H1529" s="15">
        <v>3000000</v>
      </c>
      <c r="I1529" s="16">
        <v>12</v>
      </c>
      <c r="J1529" s="17">
        <v>24</v>
      </c>
      <c r="K1529" s="9" t="s">
        <v>9827</v>
      </c>
      <c r="L1529" s="10" t="s">
        <v>17493</v>
      </c>
      <c r="M1529" s="9" t="s">
        <v>17494</v>
      </c>
      <c r="N1529" s="10" t="s">
        <v>9834</v>
      </c>
      <c r="O1529" s="15">
        <v>1250000</v>
      </c>
      <c r="P1529" s="145">
        <v>118125</v>
      </c>
      <c r="Q1529" s="9"/>
      <c r="R1529" s="146"/>
      <c r="T1529" s="92" t="s">
        <v>4718</v>
      </c>
      <c r="U1529">
        <v>1</v>
      </c>
      <c r="V1529">
        <f>VLOOKUP(T1529,'Data Angt'!$A$5:$F$5810,6,FALSE)</f>
        <v>48</v>
      </c>
      <c r="W1529" s="5" t="str">
        <f t="shared" si="23"/>
        <v>KONSUMTIF</v>
      </c>
      <c r="X1529" s="5" t="str">
        <f>VLOOKUP(T1529,'Data Angt'!$A$5:$H$5810,8,FALSE)</f>
        <v>Karyawan</v>
      </c>
      <c r="Y1529" s="5" t="str">
        <f>VLOOKUP(T1529,'Data Angt'!$A$5:$C$5808,3,FALSE)</f>
        <v>MJK</v>
      </c>
    </row>
    <row r="1530" spans="1:25" x14ac:dyDescent="0.3">
      <c r="A1530" s="8">
        <v>1524</v>
      </c>
      <c r="B1530" s="9" t="s">
        <v>13939</v>
      </c>
      <c r="C1530" s="10" t="str">
        <f>VLOOKUP(B1530,'Data Angt'!$A$5:$B$5809,2,FALSE)</f>
        <v>A5017</v>
      </c>
      <c r="D1530" s="11" t="s">
        <v>9833</v>
      </c>
      <c r="E1530" s="12" t="s">
        <v>17495</v>
      </c>
      <c r="F1530" s="13">
        <v>45714</v>
      </c>
      <c r="G1530" s="14">
        <v>45930</v>
      </c>
      <c r="H1530" s="15">
        <v>3000000</v>
      </c>
      <c r="I1530" s="16">
        <v>12</v>
      </c>
      <c r="J1530" s="17">
        <v>24</v>
      </c>
      <c r="K1530" s="9" t="s">
        <v>9827</v>
      </c>
      <c r="L1530" s="10" t="s">
        <v>17496</v>
      </c>
      <c r="M1530" s="9" t="s">
        <v>17497</v>
      </c>
      <c r="N1530" s="10" t="s">
        <v>9834</v>
      </c>
      <c r="O1530" s="15">
        <v>1250000</v>
      </c>
      <c r="P1530" s="145">
        <v>118125</v>
      </c>
      <c r="Q1530" s="9"/>
      <c r="R1530" s="146"/>
      <c r="T1530" s="92" t="s">
        <v>4840</v>
      </c>
      <c r="U1530">
        <v>1</v>
      </c>
      <c r="V1530">
        <f>VLOOKUP(T1530,'Data Angt'!$A$5:$F$5810,6,FALSE)</f>
        <v>31</v>
      </c>
      <c r="W1530" s="5" t="str">
        <f t="shared" si="23"/>
        <v>KONSUMTIF</v>
      </c>
      <c r="X1530" s="5" t="str">
        <f>VLOOKUP(T1530,'Data Angt'!$A$5:$H$5810,8,FALSE)</f>
        <v>Karyawan</v>
      </c>
      <c r="Y1530" s="5" t="str">
        <f>VLOOKUP(T1530,'Data Angt'!$A$5:$C$5808,3,FALSE)</f>
        <v>MJK</v>
      </c>
    </row>
    <row r="1531" spans="1:25" x14ac:dyDescent="0.3">
      <c r="A1531" s="8">
        <v>1525</v>
      </c>
      <c r="B1531" s="9" t="s">
        <v>13960</v>
      </c>
      <c r="C1531" s="10" t="str">
        <f>VLOOKUP(B1531,'Data Angt'!$A$5:$B$5809,2,FALSE)</f>
        <v>A5026</v>
      </c>
      <c r="D1531" s="11" t="s">
        <v>9833</v>
      </c>
      <c r="E1531" s="12" t="s">
        <v>17498</v>
      </c>
      <c r="F1531" s="13">
        <v>45709</v>
      </c>
      <c r="G1531" s="14">
        <v>45918</v>
      </c>
      <c r="H1531" s="15">
        <v>3000000</v>
      </c>
      <c r="I1531" s="16">
        <v>12</v>
      </c>
      <c r="J1531" s="17">
        <v>24</v>
      </c>
      <c r="K1531" s="9" t="s">
        <v>9827</v>
      </c>
      <c r="L1531" s="10" t="s">
        <v>17499</v>
      </c>
      <c r="M1531" s="9" t="s">
        <v>17500</v>
      </c>
      <c r="N1531" s="10" t="s">
        <v>9834</v>
      </c>
      <c r="O1531" s="15">
        <v>1500000</v>
      </c>
      <c r="P1531" s="145">
        <v>123750</v>
      </c>
      <c r="Q1531" s="9"/>
      <c r="R1531" s="146"/>
      <c r="T1531" s="92" t="s">
        <v>4890</v>
      </c>
      <c r="U1531">
        <v>1</v>
      </c>
      <c r="V1531">
        <f>VLOOKUP(T1531,'Data Angt'!$A$5:$F$5810,6,FALSE)</f>
        <v>60</v>
      </c>
      <c r="W1531" s="5" t="str">
        <f t="shared" si="23"/>
        <v>KONSUMTIF</v>
      </c>
      <c r="X1531" s="5" t="str">
        <f>VLOOKUP(T1531,'Data Angt'!$A$5:$H$5810,8,FALSE)</f>
        <v>Aparatur/Pejabat Negara</v>
      </c>
      <c r="Y1531" s="5" t="str">
        <f>VLOOKUP(T1531,'Data Angt'!$A$5:$C$5808,3,FALSE)</f>
        <v>MJK</v>
      </c>
    </row>
    <row r="1532" spans="1:25" x14ac:dyDescent="0.3">
      <c r="A1532" s="8">
        <v>1526</v>
      </c>
      <c r="B1532" s="9" t="s">
        <v>13962</v>
      </c>
      <c r="C1532" s="10" t="str">
        <f>VLOOKUP(B1532,'Data Angt'!$A$5:$B$5809,2,FALSE)</f>
        <v>A5027</v>
      </c>
      <c r="D1532" s="11" t="s">
        <v>9829</v>
      </c>
      <c r="E1532" s="12" t="s">
        <v>17501</v>
      </c>
      <c r="F1532" s="13">
        <v>45635</v>
      </c>
      <c r="G1532" s="14">
        <v>45901</v>
      </c>
      <c r="H1532" s="15">
        <v>1500000</v>
      </c>
      <c r="I1532" s="16">
        <v>12</v>
      </c>
      <c r="J1532" s="17">
        <v>24</v>
      </c>
      <c r="K1532" s="9" t="s">
        <v>9831</v>
      </c>
      <c r="L1532" s="10" t="s">
        <v>17502</v>
      </c>
      <c r="M1532" s="9" t="s">
        <v>17503</v>
      </c>
      <c r="N1532" s="10" t="s">
        <v>9828</v>
      </c>
      <c r="O1532" s="15">
        <v>408700</v>
      </c>
      <c r="P1532" s="145">
        <v>69674</v>
      </c>
      <c r="Q1532" s="9"/>
      <c r="R1532" s="146"/>
      <c r="T1532" s="92" t="s">
        <v>5030</v>
      </c>
      <c r="U1532">
        <v>1</v>
      </c>
      <c r="V1532">
        <f>VLOOKUP(T1532,'Data Angt'!$A$5:$F$5810,6,FALSE)</f>
        <v>57</v>
      </c>
      <c r="W1532" s="5" t="str">
        <f t="shared" si="23"/>
        <v>KESEJAHTERAAN</v>
      </c>
      <c r="X1532" s="5" t="str">
        <f>VLOOKUP(T1532,'Data Angt'!$A$5:$H$5810,8,FALSE)</f>
        <v>Wiraswasta</v>
      </c>
      <c r="Y1532" s="5" t="str">
        <f>VLOOKUP(T1532,'Data Angt'!$A$5:$C$5808,3,FALSE)</f>
        <v>MJK</v>
      </c>
    </row>
    <row r="1533" spans="1:25" x14ac:dyDescent="0.3">
      <c r="A1533" s="8">
        <v>1527</v>
      </c>
      <c r="B1533" s="9" t="s">
        <v>13972</v>
      </c>
      <c r="C1533" s="10" t="str">
        <f>VLOOKUP(B1533,'Data Angt'!$A$5:$B$5809,2,FALSE)</f>
        <v>A5030</v>
      </c>
      <c r="D1533" s="11" t="s">
        <v>9829</v>
      </c>
      <c r="E1533" s="12" t="s">
        <v>23661</v>
      </c>
      <c r="F1533" s="13">
        <v>45915</v>
      </c>
      <c r="G1533" s="14">
        <v>45915</v>
      </c>
      <c r="H1533" s="15">
        <v>6000000</v>
      </c>
      <c r="I1533" s="16">
        <v>24</v>
      </c>
      <c r="J1533" s="17">
        <v>24</v>
      </c>
      <c r="K1533" s="9" t="s">
        <v>9827</v>
      </c>
      <c r="L1533" s="10" t="s">
        <v>23662</v>
      </c>
      <c r="M1533" s="9" t="s">
        <v>9841</v>
      </c>
      <c r="N1533" s="10" t="s">
        <v>17</v>
      </c>
      <c r="O1533" s="15">
        <v>6000000</v>
      </c>
      <c r="P1533" s="147">
        <v>0</v>
      </c>
      <c r="Q1533" s="9" t="s">
        <v>23304</v>
      </c>
      <c r="R1533" s="146" t="s">
        <v>23663</v>
      </c>
      <c r="T1533" s="92" t="s">
        <v>5104</v>
      </c>
      <c r="U1533">
        <v>1</v>
      </c>
      <c r="V1533">
        <f>VLOOKUP(T1533,'Data Angt'!$A$5:$F$5810,6,FALSE)</f>
        <v>56</v>
      </c>
      <c r="W1533" s="5" t="str">
        <f t="shared" si="23"/>
        <v>PENDIDIKAN</v>
      </c>
      <c r="X1533" s="5" t="str">
        <f>VLOOKUP(T1533,'Data Angt'!$A$5:$H$5810,8,FALSE)</f>
        <v>Mengurus Rumah Tangga</v>
      </c>
      <c r="Y1533" s="5" t="str">
        <f>VLOOKUP(T1533,'Data Angt'!$A$5:$C$5808,3,FALSE)</f>
        <v>MJK</v>
      </c>
    </row>
    <row r="1534" spans="1:25" x14ac:dyDescent="0.3">
      <c r="A1534" s="8">
        <v>1528</v>
      </c>
      <c r="B1534" s="9" t="s">
        <v>13975</v>
      </c>
      <c r="C1534" s="10" t="str">
        <f>VLOOKUP(B1534,'Data Angt'!$A$5:$B$5809,2,FALSE)</f>
        <v>A5031</v>
      </c>
      <c r="D1534" s="11" t="s">
        <v>9833</v>
      </c>
      <c r="E1534" s="12" t="s">
        <v>17504</v>
      </c>
      <c r="F1534" s="13">
        <v>45713</v>
      </c>
      <c r="G1534" s="14">
        <v>45899</v>
      </c>
      <c r="H1534" s="15">
        <v>3000000</v>
      </c>
      <c r="I1534" s="16">
        <v>10</v>
      </c>
      <c r="J1534" s="17">
        <v>24</v>
      </c>
      <c r="K1534" s="9" t="s">
        <v>9827</v>
      </c>
      <c r="L1534" s="10" t="s">
        <v>17505</v>
      </c>
      <c r="M1534" s="9" t="s">
        <v>17506</v>
      </c>
      <c r="N1534" s="10" t="s">
        <v>9834</v>
      </c>
      <c r="O1534" s="15">
        <v>1500000</v>
      </c>
      <c r="P1534" s="145">
        <v>101250</v>
      </c>
      <c r="Q1534" s="9"/>
      <c r="R1534" s="146"/>
      <c r="T1534" s="92" t="s">
        <v>5192</v>
      </c>
      <c r="U1534">
        <v>1</v>
      </c>
      <c r="V1534">
        <f>VLOOKUP(T1534,'Data Angt'!$A$5:$F$5810,6,FALSE)</f>
        <v>55</v>
      </c>
      <c r="W1534" s="5" t="str">
        <f t="shared" si="23"/>
        <v>PRODUKTIF</v>
      </c>
      <c r="X1534" s="5" t="str">
        <f>VLOOKUP(T1534,'Data Angt'!$A$5:$H$5810,8,FALSE)</f>
        <v>Tenaga Medis</v>
      </c>
      <c r="Y1534" s="5" t="str">
        <f>VLOOKUP(T1534,'Data Angt'!$A$5:$C$5808,3,FALSE)</f>
        <v>MJK</v>
      </c>
    </row>
    <row r="1535" spans="1:25" x14ac:dyDescent="0.3">
      <c r="A1535" s="8">
        <v>1529</v>
      </c>
      <c r="B1535" s="9" t="s">
        <v>13988</v>
      </c>
      <c r="C1535" s="10" t="str">
        <f>VLOOKUP(B1535,'Data Angt'!$A$5:$B$5809,2,FALSE)</f>
        <v>A5036</v>
      </c>
      <c r="D1535" s="11" t="s">
        <v>9833</v>
      </c>
      <c r="E1535" s="12" t="s">
        <v>17507</v>
      </c>
      <c r="F1535" s="13">
        <v>45713</v>
      </c>
      <c r="G1535" s="14">
        <v>45899</v>
      </c>
      <c r="H1535" s="15">
        <v>3000000</v>
      </c>
      <c r="I1535" s="16">
        <v>10</v>
      </c>
      <c r="J1535" s="17">
        <v>24</v>
      </c>
      <c r="K1535" s="9" t="s">
        <v>9827</v>
      </c>
      <c r="L1535" s="10" t="s">
        <v>17508</v>
      </c>
      <c r="M1535" s="9" t="s">
        <v>9962</v>
      </c>
      <c r="N1535" s="10" t="s">
        <v>9834</v>
      </c>
      <c r="O1535" s="15">
        <v>1500000</v>
      </c>
      <c r="P1535" s="145">
        <v>101250</v>
      </c>
      <c r="Q1535" s="9"/>
      <c r="R1535" s="146"/>
      <c r="T1535" s="92" t="s">
        <v>5250</v>
      </c>
      <c r="U1535">
        <v>1</v>
      </c>
      <c r="V1535">
        <f>VLOOKUP(T1535,'Data Angt'!$A$5:$F$5810,6,FALSE)</f>
        <v>56</v>
      </c>
      <c r="W1535" s="5" t="str">
        <f t="shared" si="23"/>
        <v>PENDIDIKAN</v>
      </c>
      <c r="X1535" s="5" t="str">
        <f>VLOOKUP(T1535,'Data Angt'!$A$5:$H$5810,8,FALSE)</f>
        <v>Karyawan</v>
      </c>
      <c r="Y1535" s="5" t="str">
        <f>VLOOKUP(T1535,'Data Angt'!$A$5:$C$5808,3,FALSE)</f>
        <v>MJK</v>
      </c>
    </row>
    <row r="1536" spans="1:25" x14ac:dyDescent="0.3">
      <c r="A1536" s="8">
        <v>1530</v>
      </c>
      <c r="B1536" s="9" t="s">
        <v>13990</v>
      </c>
      <c r="C1536" s="10" t="str">
        <f>VLOOKUP(B1536,'Data Angt'!$A$5:$B$5809,2,FALSE)</f>
        <v>A5037</v>
      </c>
      <c r="D1536" s="11" t="s">
        <v>9833</v>
      </c>
      <c r="E1536" s="12" t="s">
        <v>17509</v>
      </c>
      <c r="F1536" s="13">
        <v>45694</v>
      </c>
      <c r="G1536" s="14">
        <v>45930</v>
      </c>
      <c r="H1536" s="15">
        <v>3000000</v>
      </c>
      <c r="I1536" s="16">
        <v>12</v>
      </c>
      <c r="J1536" s="17">
        <v>24</v>
      </c>
      <c r="K1536" s="9" t="s">
        <v>9827</v>
      </c>
      <c r="L1536" s="10" t="s">
        <v>17510</v>
      </c>
      <c r="M1536" s="9" t="s">
        <v>17511</v>
      </c>
      <c r="N1536" s="10" t="s">
        <v>9834</v>
      </c>
      <c r="O1536" s="15">
        <v>1750000</v>
      </c>
      <c r="P1536" s="145">
        <v>120000</v>
      </c>
      <c r="Q1536" s="9"/>
      <c r="R1536" s="146"/>
      <c r="T1536" s="92" t="s">
        <v>5258</v>
      </c>
      <c r="U1536">
        <v>1</v>
      </c>
      <c r="V1536">
        <f>VLOOKUP(T1536,'Data Angt'!$A$5:$F$5810,6,FALSE)</f>
        <v>46</v>
      </c>
      <c r="W1536" s="5" t="str">
        <f t="shared" si="23"/>
        <v>PENDIDIKAN</v>
      </c>
      <c r="X1536" s="5" t="str">
        <f>VLOOKUP(T1536,'Data Angt'!$A$5:$H$5810,8,FALSE)</f>
        <v>Karyawan</v>
      </c>
      <c r="Y1536" s="5" t="str">
        <f>VLOOKUP(T1536,'Data Angt'!$A$5:$C$5808,3,FALSE)</f>
        <v>MJK</v>
      </c>
    </row>
    <row r="1537" spans="1:25" x14ac:dyDescent="0.3">
      <c r="A1537" s="8">
        <v>1531</v>
      </c>
      <c r="B1537" s="9" t="s">
        <v>14017</v>
      </c>
      <c r="C1537" s="10" t="str">
        <f>VLOOKUP(B1537,'Data Angt'!$A$5:$B$5809,2,FALSE)</f>
        <v>A5050</v>
      </c>
      <c r="D1537" s="11" t="s">
        <v>9833</v>
      </c>
      <c r="E1537" s="12" t="s">
        <v>17512</v>
      </c>
      <c r="F1537" s="13">
        <v>45832</v>
      </c>
      <c r="G1537" s="14">
        <v>45930</v>
      </c>
      <c r="H1537" s="15">
        <v>3000000</v>
      </c>
      <c r="I1537" s="16">
        <v>10</v>
      </c>
      <c r="J1537" s="17">
        <v>24</v>
      </c>
      <c r="K1537" s="9" t="s">
        <v>9827</v>
      </c>
      <c r="L1537" s="10" t="s">
        <v>17513</v>
      </c>
      <c r="M1537" s="9" t="s">
        <v>17514</v>
      </c>
      <c r="N1537" s="10" t="s">
        <v>9834</v>
      </c>
      <c r="O1537" s="15">
        <v>2100000</v>
      </c>
      <c r="P1537" s="145">
        <v>60750</v>
      </c>
      <c r="Q1537" s="9"/>
      <c r="R1537" s="146"/>
      <c r="T1537" s="92" t="s">
        <v>5347</v>
      </c>
      <c r="U1537">
        <v>1</v>
      </c>
      <c r="V1537">
        <f>VLOOKUP(T1537,'Data Angt'!$A$5:$F$5810,6,FALSE)</f>
        <v>55</v>
      </c>
      <c r="W1537" s="5">
        <f t="shared" si="23"/>
        <v>0</v>
      </c>
      <c r="X1537" s="5" t="str">
        <f>VLOOKUP(T1537,'Data Angt'!$A$5:$H$5810,8,FALSE)</f>
        <v>Karyawan</v>
      </c>
      <c r="Y1537" s="5" t="str">
        <f>VLOOKUP(T1537,'Data Angt'!$A$5:$C$5808,3,FALSE)</f>
        <v>MJK</v>
      </c>
    </row>
    <row r="1538" spans="1:25" x14ac:dyDescent="0.3">
      <c r="A1538" s="8">
        <v>1532</v>
      </c>
      <c r="B1538" s="9" t="s">
        <v>14020</v>
      </c>
      <c r="C1538" s="10" t="str">
        <f>VLOOKUP(B1538,'Data Angt'!$A$5:$B$5809,2,FALSE)</f>
        <v>A5051</v>
      </c>
      <c r="D1538" s="11" t="s">
        <v>9833</v>
      </c>
      <c r="E1538" s="12" t="s">
        <v>17515</v>
      </c>
      <c r="F1538" s="13">
        <v>45709</v>
      </c>
      <c r="G1538" s="14">
        <v>45899</v>
      </c>
      <c r="H1538" s="15">
        <v>3000000</v>
      </c>
      <c r="I1538" s="16">
        <v>12</v>
      </c>
      <c r="J1538" s="17">
        <v>24</v>
      </c>
      <c r="K1538" s="9" t="s">
        <v>9827</v>
      </c>
      <c r="L1538" s="10" t="s">
        <v>17516</v>
      </c>
      <c r="M1538" s="9" t="s">
        <v>17517</v>
      </c>
      <c r="N1538" s="10" t="s">
        <v>9834</v>
      </c>
      <c r="O1538" s="15">
        <v>2138300</v>
      </c>
      <c r="P1538" s="145">
        <v>112125</v>
      </c>
      <c r="Q1538" s="9"/>
      <c r="R1538" s="146"/>
      <c r="T1538" s="92" t="s">
        <v>5353</v>
      </c>
      <c r="U1538">
        <v>1</v>
      </c>
      <c r="V1538">
        <f>VLOOKUP(T1538,'Data Angt'!$A$5:$F$5810,6,FALSE)</f>
        <v>41</v>
      </c>
      <c r="W1538" s="5" t="str">
        <f t="shared" si="23"/>
        <v>KONSUMTIF</v>
      </c>
      <c r="X1538" s="5" t="str">
        <f>VLOOKUP(T1538,'Data Angt'!$A$5:$H$5810,8,FALSE)</f>
        <v>Wiraswasta</v>
      </c>
      <c r="Y1538" s="5" t="str">
        <f>VLOOKUP(T1538,'Data Angt'!$A$5:$C$5808,3,FALSE)</f>
        <v>MJK</v>
      </c>
    </row>
    <row r="1539" spans="1:25" x14ac:dyDescent="0.3">
      <c r="A1539" s="8">
        <v>1533</v>
      </c>
      <c r="B1539" s="9" t="s">
        <v>14052</v>
      </c>
      <c r="C1539" s="10" t="str">
        <f>VLOOKUP(B1539,'Data Angt'!$A$5:$B$5809,2,FALSE)</f>
        <v>A5066</v>
      </c>
      <c r="D1539" s="11" t="s">
        <v>9829</v>
      </c>
      <c r="E1539" s="12" t="s">
        <v>23664</v>
      </c>
      <c r="F1539" s="13">
        <v>45887</v>
      </c>
      <c r="G1539" s="14">
        <v>45918</v>
      </c>
      <c r="H1539" s="15">
        <v>3000000</v>
      </c>
      <c r="I1539" s="16">
        <v>6</v>
      </c>
      <c r="J1539" s="17">
        <v>24</v>
      </c>
      <c r="K1539" s="9" t="s">
        <v>9827</v>
      </c>
      <c r="L1539" s="10" t="s">
        <v>23665</v>
      </c>
      <c r="M1539" s="9" t="s">
        <v>10495</v>
      </c>
      <c r="N1539" s="10" t="s">
        <v>17</v>
      </c>
      <c r="O1539" s="15">
        <v>2500000</v>
      </c>
      <c r="P1539" s="145">
        <v>22500</v>
      </c>
      <c r="Q1539" s="9"/>
      <c r="R1539" s="146"/>
      <c r="T1539" s="92" t="s">
        <v>5404</v>
      </c>
      <c r="U1539">
        <v>1</v>
      </c>
      <c r="V1539">
        <f>VLOOKUP(T1539,'Data Angt'!$A$5:$F$5810,6,FALSE)</f>
        <v>51</v>
      </c>
      <c r="W1539" s="5" t="str">
        <f t="shared" si="23"/>
        <v>PRODUKTIF</v>
      </c>
      <c r="X1539" s="5" t="str">
        <f>VLOOKUP(T1539,'Data Angt'!$A$5:$H$5810,8,FALSE)</f>
        <v>Karyawan</v>
      </c>
      <c r="Y1539" s="5" t="str">
        <f>VLOOKUP(T1539,'Data Angt'!$A$5:$C$5808,3,FALSE)</f>
        <v>MJK</v>
      </c>
    </row>
    <row r="1540" spans="1:25" x14ac:dyDescent="0.3">
      <c r="A1540" s="8">
        <v>1534</v>
      </c>
      <c r="B1540" s="9" t="s">
        <v>14085</v>
      </c>
      <c r="C1540" s="10" t="str">
        <f>VLOOKUP(B1540,'Data Angt'!$A$5:$B$5809,2,FALSE)</f>
        <v>A5078</v>
      </c>
      <c r="D1540" s="11" t="s">
        <v>9829</v>
      </c>
      <c r="E1540" s="12" t="s">
        <v>23666</v>
      </c>
      <c r="F1540" s="13">
        <v>45850</v>
      </c>
      <c r="G1540" s="14">
        <v>45912</v>
      </c>
      <c r="H1540" s="15">
        <v>26000000</v>
      </c>
      <c r="I1540" s="16">
        <v>24</v>
      </c>
      <c r="J1540" s="17">
        <v>21</v>
      </c>
      <c r="K1540" s="9" t="s">
        <v>9827</v>
      </c>
      <c r="L1540" s="10" t="s">
        <v>23667</v>
      </c>
      <c r="M1540" s="9" t="s">
        <v>2150</v>
      </c>
      <c r="N1540" s="10" t="s">
        <v>9828</v>
      </c>
      <c r="O1540" s="15">
        <v>23833200</v>
      </c>
      <c r="P1540" s="145">
        <v>334162</v>
      </c>
      <c r="Q1540" s="9" t="s">
        <v>23304</v>
      </c>
      <c r="R1540" s="146" t="s">
        <v>23668</v>
      </c>
      <c r="T1540" s="92" t="s">
        <v>5449</v>
      </c>
      <c r="U1540">
        <v>1</v>
      </c>
      <c r="V1540">
        <f>VLOOKUP(T1540,'Data Angt'!$A$5:$F$5810,6,FALSE)</f>
        <v>56</v>
      </c>
      <c r="W1540" s="5" t="str">
        <f t="shared" si="23"/>
        <v>KESEJAHTERAAN</v>
      </c>
      <c r="X1540" s="5" t="str">
        <f>VLOOKUP(T1540,'Data Angt'!$A$5:$H$5810,8,FALSE)</f>
        <v>Wiraswasta</v>
      </c>
      <c r="Y1540" s="5" t="str">
        <f>VLOOKUP(T1540,'Data Angt'!$A$5:$C$5808,3,FALSE)</f>
        <v>MJK</v>
      </c>
    </row>
    <row r="1541" spans="1:25" x14ac:dyDescent="0.3">
      <c r="A1541" s="8">
        <v>1535</v>
      </c>
      <c r="B1541" s="9" t="s">
        <v>14088</v>
      </c>
      <c r="C1541" s="10" t="str">
        <f>VLOOKUP(B1541,'Data Angt'!$A$5:$B$5809,2,FALSE)</f>
        <v>A5079</v>
      </c>
      <c r="D1541" s="11" t="s">
        <v>9829</v>
      </c>
      <c r="E1541" s="12" t="s">
        <v>17518</v>
      </c>
      <c r="F1541" s="13">
        <v>45821</v>
      </c>
      <c r="G1541" s="14">
        <v>45915</v>
      </c>
      <c r="H1541" s="15">
        <v>3000000</v>
      </c>
      <c r="I1541" s="16">
        <v>12</v>
      </c>
      <c r="J1541" s="17">
        <v>24</v>
      </c>
      <c r="K1541" s="9" t="s">
        <v>9827</v>
      </c>
      <c r="L1541" s="10" t="s">
        <v>17519</v>
      </c>
      <c r="M1541" s="9" t="s">
        <v>10569</v>
      </c>
      <c r="N1541" s="10" t="s">
        <v>9828</v>
      </c>
      <c r="O1541" s="15">
        <v>2250000</v>
      </c>
      <c r="P1541" s="145">
        <v>61875</v>
      </c>
      <c r="Q1541" s="9"/>
      <c r="R1541" s="146"/>
      <c r="T1541" s="92" t="s">
        <v>5468</v>
      </c>
      <c r="U1541">
        <v>1</v>
      </c>
      <c r="V1541">
        <f>VLOOKUP(T1541,'Data Angt'!$A$5:$F$5810,6,FALSE)</f>
        <v>30</v>
      </c>
      <c r="W1541" s="5" t="str">
        <f t="shared" si="23"/>
        <v>PENDIDIKAN</v>
      </c>
      <c r="X1541" s="5" t="str">
        <f>VLOOKUP(T1541,'Data Angt'!$A$5:$H$5810,8,FALSE)</f>
        <v>Tenaga Pengajar</v>
      </c>
      <c r="Y1541" s="5" t="str">
        <f>VLOOKUP(T1541,'Data Angt'!$A$5:$C$5808,3,FALSE)</f>
        <v>MJK</v>
      </c>
    </row>
    <row r="1542" spans="1:25" x14ac:dyDescent="0.3">
      <c r="A1542" s="8">
        <v>1536</v>
      </c>
      <c r="B1542" s="9" t="s">
        <v>14207</v>
      </c>
      <c r="C1542" s="10" t="str">
        <f>VLOOKUP(B1542,'Data Angt'!$A$5:$B$5809,2,FALSE)</f>
        <v>A5138</v>
      </c>
      <c r="D1542" s="11" t="s">
        <v>9833</v>
      </c>
      <c r="E1542" s="12" t="s">
        <v>23669</v>
      </c>
      <c r="F1542" s="13">
        <v>45894</v>
      </c>
      <c r="G1542" s="14">
        <v>45926</v>
      </c>
      <c r="H1542" s="15">
        <v>4000000</v>
      </c>
      <c r="I1542" s="16">
        <v>7</v>
      </c>
      <c r="J1542" s="17">
        <v>24</v>
      </c>
      <c r="K1542" s="9" t="s">
        <v>9827</v>
      </c>
      <c r="L1542" s="10" t="s">
        <v>23670</v>
      </c>
      <c r="M1542" s="9" t="s">
        <v>23671</v>
      </c>
      <c r="N1542" s="10" t="s">
        <v>9834</v>
      </c>
      <c r="O1542" s="15">
        <v>3428500</v>
      </c>
      <c r="P1542" s="145">
        <v>30000</v>
      </c>
      <c r="Q1542" s="9"/>
      <c r="R1542" s="146"/>
      <c r="T1542" s="92" t="s">
        <v>5663</v>
      </c>
      <c r="U1542">
        <v>1</v>
      </c>
      <c r="V1542">
        <f>VLOOKUP(T1542,'Data Angt'!$A$5:$F$5810,6,FALSE)</f>
        <v>49</v>
      </c>
      <c r="W1542" s="5" t="str">
        <f t="shared" si="23"/>
        <v>KESEJAHTERAAN</v>
      </c>
      <c r="X1542" s="5" t="str">
        <f>VLOOKUP(T1542,'Data Angt'!$A$5:$H$5810,8,FALSE)</f>
        <v>Wiraswasta</v>
      </c>
      <c r="Y1542" s="5" t="str">
        <f>VLOOKUP(T1542,'Data Angt'!$A$5:$C$5808,3,FALSE)</f>
        <v>MJK</v>
      </c>
    </row>
    <row r="1543" spans="1:25" x14ac:dyDescent="0.3">
      <c r="A1543" s="8">
        <v>1537</v>
      </c>
      <c r="B1543" s="9" t="s">
        <v>14246</v>
      </c>
      <c r="C1543" s="10" t="str">
        <f>VLOOKUP(B1543,'Data Angt'!$A$5:$B$5809,2,FALSE)</f>
        <v>A5156</v>
      </c>
      <c r="D1543" s="11" t="s">
        <v>9829</v>
      </c>
      <c r="E1543" s="12" t="s">
        <v>17520</v>
      </c>
      <c r="F1543" s="13">
        <v>45769</v>
      </c>
      <c r="G1543" s="14">
        <v>45911</v>
      </c>
      <c r="H1543" s="15">
        <v>40000000</v>
      </c>
      <c r="I1543" s="16">
        <v>48</v>
      </c>
      <c r="J1543" s="17">
        <v>21</v>
      </c>
      <c r="K1543" s="9" t="s">
        <v>9831</v>
      </c>
      <c r="L1543" s="10" t="s">
        <v>17521</v>
      </c>
      <c r="M1543" s="9" t="s">
        <v>17522</v>
      </c>
      <c r="N1543" s="10" t="s">
        <v>9828</v>
      </c>
      <c r="O1543" s="15">
        <v>37210700</v>
      </c>
      <c r="P1543" s="145">
        <v>1276574</v>
      </c>
      <c r="Q1543" s="9"/>
      <c r="R1543" s="146"/>
      <c r="T1543" s="92" t="s">
        <v>5702</v>
      </c>
      <c r="U1543">
        <v>1</v>
      </c>
      <c r="V1543">
        <f>VLOOKUP(T1543,'Data Angt'!$A$5:$F$5810,6,FALSE)</f>
        <v>44</v>
      </c>
      <c r="W1543" s="5" t="str">
        <f t="shared" ref="W1543:W1606" si="24">VLOOKUP(T1543,$B$7:$N$1869,13,FALSE)</f>
        <v>KESEJAHTERAAN</v>
      </c>
      <c r="X1543" s="5" t="str">
        <f>VLOOKUP(T1543,'Data Angt'!$A$5:$H$5810,8,FALSE)</f>
        <v>Lain-Lain</v>
      </c>
      <c r="Y1543" s="5" t="str">
        <f>VLOOKUP(T1543,'Data Angt'!$A$5:$C$5808,3,FALSE)</f>
        <v>MJK</v>
      </c>
    </row>
    <row r="1544" spans="1:25" x14ac:dyDescent="0.3">
      <c r="A1544" s="8">
        <v>1538</v>
      </c>
      <c r="B1544" s="9" t="s">
        <v>14271</v>
      </c>
      <c r="C1544" s="10" t="str">
        <f>VLOOKUP(B1544,'Data Angt'!$A$5:$B$5809,2,FALSE)</f>
        <v>A5169</v>
      </c>
      <c r="D1544" s="11" t="s">
        <v>9833</v>
      </c>
      <c r="E1544" s="12" t="s">
        <v>17523</v>
      </c>
      <c r="F1544" s="13">
        <v>45771</v>
      </c>
      <c r="G1544" s="14">
        <v>45918</v>
      </c>
      <c r="H1544" s="15">
        <v>1500000</v>
      </c>
      <c r="I1544" s="16">
        <v>6</v>
      </c>
      <c r="J1544" s="17">
        <v>24</v>
      </c>
      <c r="K1544" s="9" t="s">
        <v>9827</v>
      </c>
      <c r="L1544" s="10" t="s">
        <v>17524</v>
      </c>
      <c r="M1544" s="9" t="s">
        <v>9962</v>
      </c>
      <c r="N1544" s="10" t="s">
        <v>9834</v>
      </c>
      <c r="O1544" s="15">
        <v>250000</v>
      </c>
      <c r="P1544" s="145">
        <v>37500</v>
      </c>
      <c r="Q1544" s="9"/>
      <c r="R1544" s="146"/>
      <c r="T1544" s="92" t="s">
        <v>5840</v>
      </c>
      <c r="U1544">
        <v>1</v>
      </c>
      <c r="V1544">
        <f>VLOOKUP(T1544,'Data Angt'!$A$5:$F$5810,6,FALSE)</f>
        <v>43</v>
      </c>
      <c r="W1544" s="5" t="str">
        <f t="shared" si="24"/>
        <v>PENDIDIKAN</v>
      </c>
      <c r="X1544" s="5" t="str">
        <f>VLOOKUP(T1544,'Data Angt'!$A$5:$H$5810,8,FALSE)</f>
        <v>Tenaga Pengajar</v>
      </c>
      <c r="Y1544" s="5" t="str">
        <f>VLOOKUP(T1544,'Data Angt'!$A$5:$C$5808,3,FALSE)</f>
        <v>MJK</v>
      </c>
    </row>
    <row r="1545" spans="1:25" x14ac:dyDescent="0.3">
      <c r="A1545" s="8">
        <v>1539</v>
      </c>
      <c r="B1545" s="9" t="s">
        <v>14398</v>
      </c>
      <c r="C1545" s="10" t="str">
        <f>VLOOKUP(B1545,'Data Angt'!$A$5:$B$5809,2,FALSE)</f>
        <v>A5193</v>
      </c>
      <c r="D1545" s="11" t="s">
        <v>9833</v>
      </c>
      <c r="E1545" s="12" t="s">
        <v>17525</v>
      </c>
      <c r="F1545" s="13">
        <v>45665</v>
      </c>
      <c r="G1545" s="14">
        <v>45930</v>
      </c>
      <c r="H1545" s="15">
        <v>1500000</v>
      </c>
      <c r="I1545" s="16">
        <v>12</v>
      </c>
      <c r="J1545" s="17">
        <v>24</v>
      </c>
      <c r="K1545" s="9" t="s">
        <v>9827</v>
      </c>
      <c r="L1545" s="10" t="s">
        <v>17526</v>
      </c>
      <c r="M1545" s="9" t="s">
        <v>17527</v>
      </c>
      <c r="N1545" s="10" t="s">
        <v>9834</v>
      </c>
      <c r="O1545" s="15">
        <v>500000</v>
      </c>
      <c r="P1545" s="145">
        <v>63748</v>
      </c>
      <c r="Q1545" s="9"/>
      <c r="R1545" s="146"/>
      <c r="T1545" s="92" t="s">
        <v>5901</v>
      </c>
      <c r="U1545">
        <v>1</v>
      </c>
      <c r="V1545">
        <f>VLOOKUP(T1545,'Data Angt'!$A$5:$F$5810,6,FALSE)</f>
        <v>48</v>
      </c>
      <c r="W1545" s="5" t="str">
        <f t="shared" si="24"/>
        <v>KESEJAHTERAAN</v>
      </c>
      <c r="X1545" s="5" t="str">
        <f>VLOOKUP(T1545,'Data Angt'!$A$5:$H$5810,8,FALSE)</f>
        <v>Mengurus Rumah Tangga</v>
      </c>
      <c r="Y1545" s="5" t="str">
        <f>VLOOKUP(T1545,'Data Angt'!$A$5:$C$5808,3,FALSE)</f>
        <v>MJK</v>
      </c>
    </row>
    <row r="1546" spans="1:25" x14ac:dyDescent="0.3">
      <c r="A1546" s="8">
        <v>1540</v>
      </c>
      <c r="B1546" s="9" t="s">
        <v>14405</v>
      </c>
      <c r="C1546" s="10" t="str">
        <f>VLOOKUP(B1546,'Data Angt'!$A$5:$B$5809,2,FALSE)</f>
        <v>A5196</v>
      </c>
      <c r="D1546" s="11" t="s">
        <v>9833</v>
      </c>
      <c r="E1546" s="12" t="s">
        <v>17528</v>
      </c>
      <c r="F1546" s="13">
        <v>45670</v>
      </c>
      <c r="G1546" s="14">
        <v>45915</v>
      </c>
      <c r="H1546" s="15">
        <v>5000000</v>
      </c>
      <c r="I1546" s="16">
        <v>18</v>
      </c>
      <c r="J1546" s="17">
        <v>24</v>
      </c>
      <c r="K1546" s="9" t="s">
        <v>9827</v>
      </c>
      <c r="L1546" s="10" t="s">
        <v>17529</v>
      </c>
      <c r="M1546" s="9" t="s">
        <v>17530</v>
      </c>
      <c r="N1546" s="10" t="s">
        <v>9834</v>
      </c>
      <c r="O1546" s="15">
        <v>2777600</v>
      </c>
      <c r="P1546" s="145">
        <v>241798</v>
      </c>
      <c r="Q1546" s="9" t="s">
        <v>23304</v>
      </c>
      <c r="R1546" s="146" t="s">
        <v>23672</v>
      </c>
      <c r="T1546" s="92" t="s">
        <v>5965</v>
      </c>
      <c r="U1546">
        <v>1</v>
      </c>
      <c r="V1546">
        <f>VLOOKUP(T1546,'Data Angt'!$A$5:$F$5810,6,FALSE)</f>
        <v>32</v>
      </c>
      <c r="W1546" s="5" t="str">
        <f t="shared" si="24"/>
        <v>KONSUMTIF</v>
      </c>
      <c r="X1546" s="5" t="str">
        <f>VLOOKUP(T1546,'Data Angt'!$A$5:$H$5810,8,FALSE)</f>
        <v>Karyawan</v>
      </c>
      <c r="Y1546" s="5" t="str">
        <f>VLOOKUP(T1546,'Data Angt'!$A$5:$C$5808,3,FALSE)</f>
        <v>MJK</v>
      </c>
    </row>
    <row r="1547" spans="1:25" x14ac:dyDescent="0.3">
      <c r="A1547" s="8">
        <v>1541</v>
      </c>
      <c r="B1547" s="9" t="s">
        <v>14417</v>
      </c>
      <c r="C1547" s="10" t="str">
        <f>VLOOKUP(B1547,'Data Angt'!$A$5:$B$5809,2,FALSE)</f>
        <v>A5200</v>
      </c>
      <c r="D1547" s="11" t="s">
        <v>9833</v>
      </c>
      <c r="E1547" s="12" t="s">
        <v>17531</v>
      </c>
      <c r="F1547" s="13">
        <v>45729</v>
      </c>
      <c r="G1547" s="14">
        <v>45913</v>
      </c>
      <c r="H1547" s="15">
        <v>2000000</v>
      </c>
      <c r="I1547" s="16">
        <v>10</v>
      </c>
      <c r="J1547" s="17">
        <v>24</v>
      </c>
      <c r="K1547" s="9" t="s">
        <v>9827</v>
      </c>
      <c r="L1547" s="10" t="s">
        <v>17532</v>
      </c>
      <c r="M1547" s="9" t="s">
        <v>17489</v>
      </c>
      <c r="N1547" s="10" t="s">
        <v>9834</v>
      </c>
      <c r="O1547" s="15">
        <v>800000</v>
      </c>
      <c r="P1547" s="145">
        <v>67500</v>
      </c>
      <c r="Q1547" s="9"/>
      <c r="R1547" s="146"/>
      <c r="T1547" s="92" t="s">
        <v>6205</v>
      </c>
      <c r="U1547">
        <v>1</v>
      </c>
      <c r="V1547">
        <f>VLOOKUP(T1547,'Data Angt'!$A$5:$F$5810,6,FALSE)</f>
        <v>46</v>
      </c>
      <c r="W1547" s="5" t="str">
        <f t="shared" si="24"/>
        <v>KONSUMTIF</v>
      </c>
      <c r="X1547" s="5" t="str">
        <f>VLOOKUP(T1547,'Data Angt'!$A$5:$H$5810,8,FALSE)</f>
        <v>Aparatur/Pejabat Negara</v>
      </c>
      <c r="Y1547" s="5" t="str">
        <f>VLOOKUP(T1547,'Data Angt'!$A$5:$C$5808,3,FALSE)</f>
        <v>MJK</v>
      </c>
    </row>
    <row r="1548" spans="1:25" x14ac:dyDescent="0.3">
      <c r="A1548" s="8">
        <v>1542</v>
      </c>
      <c r="B1548" s="9" t="s">
        <v>14446</v>
      </c>
      <c r="C1548" s="10" t="str">
        <f>VLOOKUP(B1548,'Data Angt'!$A$5:$B$5809,2,FALSE)</f>
        <v>A5214</v>
      </c>
      <c r="D1548" s="11" t="s">
        <v>9829</v>
      </c>
      <c r="E1548" s="12" t="s">
        <v>17533</v>
      </c>
      <c r="F1548" s="13">
        <v>45803</v>
      </c>
      <c r="G1548" s="14">
        <v>45924</v>
      </c>
      <c r="H1548" s="15">
        <v>2000000</v>
      </c>
      <c r="I1548" s="16">
        <v>10</v>
      </c>
      <c r="J1548" s="17">
        <v>24</v>
      </c>
      <c r="K1548" s="9" t="s">
        <v>9827</v>
      </c>
      <c r="L1548" s="10" t="s">
        <v>17534</v>
      </c>
      <c r="M1548" s="9" t="s">
        <v>17535</v>
      </c>
      <c r="N1548" s="10" t="s">
        <v>9828</v>
      </c>
      <c r="O1548" s="15">
        <v>1200000</v>
      </c>
      <c r="P1548" s="145">
        <v>51000</v>
      </c>
      <c r="Q1548" s="9"/>
      <c r="R1548" s="146"/>
      <c r="T1548" s="92" t="s">
        <v>6283</v>
      </c>
      <c r="U1548">
        <v>1</v>
      </c>
      <c r="V1548">
        <f>VLOOKUP(T1548,'Data Angt'!$A$5:$F$5810,6,FALSE)</f>
        <v>28</v>
      </c>
      <c r="W1548" s="5" t="str">
        <f t="shared" si="24"/>
        <v>KONSUMTIF</v>
      </c>
      <c r="X1548" s="5" t="str">
        <f>VLOOKUP(T1548,'Data Angt'!$A$5:$H$5810,8,FALSE)</f>
        <v>Karyawan</v>
      </c>
      <c r="Y1548" s="5" t="str">
        <f>VLOOKUP(T1548,'Data Angt'!$A$5:$C$5808,3,FALSE)</f>
        <v>MJK</v>
      </c>
    </row>
    <row r="1549" spans="1:25" x14ac:dyDescent="0.3">
      <c r="A1549" s="8">
        <v>1543</v>
      </c>
      <c r="B1549" s="9" t="s">
        <v>14478</v>
      </c>
      <c r="C1549" s="10" t="str">
        <f>VLOOKUP(B1549,'Data Angt'!$A$5:$B$5809,2,FALSE)</f>
        <v>A5227</v>
      </c>
      <c r="D1549" s="11" t="s">
        <v>9829</v>
      </c>
      <c r="E1549" s="12" t="s">
        <v>17536</v>
      </c>
      <c r="F1549" s="13">
        <v>45695</v>
      </c>
      <c r="G1549" s="14">
        <v>45917</v>
      </c>
      <c r="H1549" s="15">
        <v>1500000</v>
      </c>
      <c r="I1549" s="16">
        <v>10</v>
      </c>
      <c r="J1549" s="17">
        <v>24</v>
      </c>
      <c r="K1549" s="9" t="s">
        <v>9827</v>
      </c>
      <c r="L1549" s="10" t="s">
        <v>17537</v>
      </c>
      <c r="M1549" s="9"/>
      <c r="N1549" s="10"/>
      <c r="O1549" s="15">
        <v>450000</v>
      </c>
      <c r="P1549" s="145">
        <v>55125</v>
      </c>
      <c r="Q1549" s="9"/>
      <c r="R1549" s="146"/>
      <c r="T1549" s="92" t="s">
        <v>6290</v>
      </c>
      <c r="U1549">
        <v>1</v>
      </c>
      <c r="V1549">
        <f>VLOOKUP(T1549,'Data Angt'!$A$5:$F$5810,6,FALSE)</f>
        <v>50</v>
      </c>
      <c r="W1549" s="5" t="str">
        <f t="shared" si="24"/>
        <v>PENDIDIKAN</v>
      </c>
      <c r="X1549" s="5" t="str">
        <f>VLOOKUP(T1549,'Data Angt'!$A$5:$H$5810,8,FALSE)</f>
        <v>Karyawan</v>
      </c>
      <c r="Y1549" s="5" t="str">
        <f>VLOOKUP(T1549,'Data Angt'!$A$5:$C$5808,3,FALSE)</f>
        <v>MJK</v>
      </c>
    </row>
    <row r="1550" spans="1:25" x14ac:dyDescent="0.3">
      <c r="A1550" s="8">
        <v>1544</v>
      </c>
      <c r="B1550" s="9" t="s">
        <v>14501</v>
      </c>
      <c r="C1550" s="10" t="str">
        <f>VLOOKUP(B1550,'Data Angt'!$A$5:$B$5809,2,FALSE)</f>
        <v>A5237</v>
      </c>
      <c r="D1550" s="11" t="s">
        <v>9829</v>
      </c>
      <c r="E1550" s="12" t="s">
        <v>17538</v>
      </c>
      <c r="F1550" s="13">
        <v>45730</v>
      </c>
      <c r="G1550" s="14">
        <v>45929</v>
      </c>
      <c r="H1550" s="15">
        <v>2000000</v>
      </c>
      <c r="I1550" s="16">
        <v>12</v>
      </c>
      <c r="J1550" s="17">
        <v>24</v>
      </c>
      <c r="K1550" s="9" t="s">
        <v>9827</v>
      </c>
      <c r="L1550" s="10" t="s">
        <v>17539</v>
      </c>
      <c r="M1550" s="9" t="s">
        <v>9838</v>
      </c>
      <c r="N1550" s="10" t="s">
        <v>9828</v>
      </c>
      <c r="O1550" s="15">
        <v>999800</v>
      </c>
      <c r="P1550" s="145">
        <v>71324</v>
      </c>
      <c r="Q1550" s="9"/>
      <c r="R1550" s="146"/>
      <c r="T1550" s="92" t="s">
        <v>6457</v>
      </c>
      <c r="U1550">
        <v>1</v>
      </c>
      <c r="V1550">
        <f>VLOOKUP(T1550,'Data Angt'!$A$5:$F$5810,6,FALSE)</f>
        <v>49</v>
      </c>
      <c r="W1550" s="5" t="str">
        <f t="shared" si="24"/>
        <v>KONSUMTIF</v>
      </c>
      <c r="X1550" s="5" t="str">
        <f>VLOOKUP(T1550,'Data Angt'!$A$5:$H$5810,8,FALSE)</f>
        <v>Mengurus Rumah Tangga</v>
      </c>
      <c r="Y1550" s="5" t="str">
        <f>VLOOKUP(T1550,'Data Angt'!$A$5:$C$5808,3,FALSE)</f>
        <v>MJK</v>
      </c>
    </row>
    <row r="1551" spans="1:25" x14ac:dyDescent="0.3">
      <c r="A1551" s="8">
        <v>1545</v>
      </c>
      <c r="B1551" s="9" t="s">
        <v>14504</v>
      </c>
      <c r="C1551" s="10" t="str">
        <f>VLOOKUP(B1551,'Data Angt'!$A$5:$B$5809,2,FALSE)</f>
        <v>A5238</v>
      </c>
      <c r="D1551" s="11" t="s">
        <v>9829</v>
      </c>
      <c r="E1551" s="12" t="s">
        <v>17540</v>
      </c>
      <c r="F1551" s="13">
        <v>45692</v>
      </c>
      <c r="G1551" s="14">
        <v>45908</v>
      </c>
      <c r="H1551" s="15">
        <v>5000000</v>
      </c>
      <c r="I1551" s="16">
        <v>36</v>
      </c>
      <c r="J1551" s="17">
        <v>24</v>
      </c>
      <c r="K1551" s="9" t="s">
        <v>9827</v>
      </c>
      <c r="L1551" s="10" t="s">
        <v>17541</v>
      </c>
      <c r="M1551" s="9" t="s">
        <v>9838</v>
      </c>
      <c r="N1551" s="10" t="s">
        <v>9828</v>
      </c>
      <c r="O1551" s="15">
        <v>4027700</v>
      </c>
      <c r="P1551" s="145">
        <v>240748</v>
      </c>
      <c r="Q1551" s="9" t="s">
        <v>23304</v>
      </c>
      <c r="R1551" s="146" t="s">
        <v>23673</v>
      </c>
      <c r="T1551" s="92" t="s">
        <v>6481</v>
      </c>
      <c r="U1551">
        <v>1</v>
      </c>
      <c r="V1551">
        <f>VLOOKUP(T1551,'Data Angt'!$A$5:$F$5810,6,FALSE)</f>
        <v>62</v>
      </c>
      <c r="W1551" s="5" t="str">
        <f t="shared" si="24"/>
        <v>PRODUKTIF</v>
      </c>
      <c r="X1551" s="5" t="str">
        <f>VLOOKUP(T1551,'Data Angt'!$A$5:$H$5810,8,FALSE)</f>
        <v>Wiraswasta</v>
      </c>
      <c r="Y1551" s="5" t="str">
        <f>VLOOKUP(T1551,'Data Angt'!$A$5:$C$5808,3,FALSE)</f>
        <v>MJK</v>
      </c>
    </row>
    <row r="1552" spans="1:25" x14ac:dyDescent="0.3">
      <c r="A1552" s="8">
        <v>1546</v>
      </c>
      <c r="B1552" s="9" t="s">
        <v>14548</v>
      </c>
      <c r="C1552" s="10" t="str">
        <f>VLOOKUP(B1552,'Data Angt'!$A$5:$B$5809,2,FALSE)</f>
        <v>A5257</v>
      </c>
      <c r="D1552" s="11" t="s">
        <v>9829</v>
      </c>
      <c r="E1552" s="12" t="s">
        <v>17542</v>
      </c>
      <c r="F1552" s="13">
        <v>45693</v>
      </c>
      <c r="G1552" s="14">
        <v>45908</v>
      </c>
      <c r="H1552" s="15">
        <v>2500000</v>
      </c>
      <c r="I1552" s="16">
        <v>12</v>
      </c>
      <c r="J1552" s="17">
        <v>24</v>
      </c>
      <c r="K1552" s="9" t="s">
        <v>9827</v>
      </c>
      <c r="L1552" s="10" t="s">
        <v>17543</v>
      </c>
      <c r="M1552" s="9" t="s">
        <v>17544</v>
      </c>
      <c r="N1552" s="10" t="s">
        <v>17</v>
      </c>
      <c r="O1552" s="15">
        <v>1041200</v>
      </c>
      <c r="P1552" s="145">
        <v>98511</v>
      </c>
      <c r="Q1552" s="9"/>
      <c r="R1552" s="146"/>
      <c r="T1552" s="92" t="s">
        <v>6610</v>
      </c>
      <c r="U1552">
        <v>1</v>
      </c>
      <c r="V1552">
        <f>VLOOKUP(T1552,'Data Angt'!$A$5:$F$5810,6,FALSE)</f>
        <v>41</v>
      </c>
      <c r="W1552" s="5" t="str">
        <f t="shared" si="24"/>
        <v>PRODUKTIF</v>
      </c>
      <c r="X1552" s="5" t="str">
        <f>VLOOKUP(T1552,'Data Angt'!$A$5:$H$5810,8,FALSE)</f>
        <v>Mengurus Rumah Tangga</v>
      </c>
      <c r="Y1552" s="5" t="str">
        <f>VLOOKUP(T1552,'Data Angt'!$A$5:$C$5808,3,FALSE)</f>
        <v>MJK</v>
      </c>
    </row>
    <row r="1553" spans="1:25" x14ac:dyDescent="0.3">
      <c r="A1553" s="8">
        <v>1547</v>
      </c>
      <c r="B1553" s="9" t="s">
        <v>14559</v>
      </c>
      <c r="C1553" s="10" t="str">
        <f>VLOOKUP(B1553,'Data Angt'!$A$5:$B$5809,2,FALSE)</f>
        <v>A5261</v>
      </c>
      <c r="D1553" s="11" t="s">
        <v>9833</v>
      </c>
      <c r="E1553" s="12" t="s">
        <v>17545</v>
      </c>
      <c r="F1553" s="13">
        <v>45694</v>
      </c>
      <c r="G1553" s="14">
        <v>45929</v>
      </c>
      <c r="H1553" s="15">
        <v>1500000</v>
      </c>
      <c r="I1553" s="16">
        <v>12</v>
      </c>
      <c r="J1553" s="17">
        <v>24</v>
      </c>
      <c r="K1553" s="9" t="s">
        <v>9827</v>
      </c>
      <c r="L1553" s="10" t="s">
        <v>17546</v>
      </c>
      <c r="M1553" s="9" t="s">
        <v>17547</v>
      </c>
      <c r="N1553" s="10" t="s">
        <v>9834</v>
      </c>
      <c r="O1553" s="15">
        <v>750000</v>
      </c>
      <c r="P1553" s="145">
        <v>59061</v>
      </c>
      <c r="Q1553" s="9"/>
      <c r="R1553" s="146"/>
      <c r="T1553" s="92" t="s">
        <v>6871</v>
      </c>
      <c r="U1553">
        <v>1</v>
      </c>
      <c r="V1553">
        <f>VLOOKUP(T1553,'Data Angt'!$A$5:$F$5810,6,FALSE)</f>
        <v>54</v>
      </c>
      <c r="W1553" s="5" t="str">
        <f t="shared" si="24"/>
        <v>PRODUKTIF</v>
      </c>
      <c r="X1553" s="5" t="str">
        <f>VLOOKUP(T1553,'Data Angt'!$A$5:$H$5810,8,FALSE)</f>
        <v>Karyawan</v>
      </c>
      <c r="Y1553" s="5" t="str">
        <f>VLOOKUP(T1553,'Data Angt'!$A$5:$C$5808,3,FALSE)</f>
        <v>MJK</v>
      </c>
    </row>
    <row r="1554" spans="1:25" x14ac:dyDescent="0.3">
      <c r="A1554" s="8">
        <v>1548</v>
      </c>
      <c r="B1554" s="9" t="s">
        <v>14626</v>
      </c>
      <c r="C1554" s="10" t="str">
        <f>VLOOKUP(B1554,'Data Angt'!$A$5:$B$5809,2,FALSE)</f>
        <v>A5290</v>
      </c>
      <c r="D1554" s="11" t="s">
        <v>9829</v>
      </c>
      <c r="E1554" s="12" t="s">
        <v>17548</v>
      </c>
      <c r="F1554" s="13">
        <v>45701</v>
      </c>
      <c r="G1554" s="14">
        <v>45926</v>
      </c>
      <c r="H1554" s="15">
        <v>4500000</v>
      </c>
      <c r="I1554" s="16">
        <v>36</v>
      </c>
      <c r="J1554" s="17">
        <v>24</v>
      </c>
      <c r="K1554" s="9" t="s">
        <v>9831</v>
      </c>
      <c r="L1554" s="10" t="s">
        <v>17549</v>
      </c>
      <c r="M1554" s="9" t="s">
        <v>17550</v>
      </c>
      <c r="N1554" s="10" t="s">
        <v>17</v>
      </c>
      <c r="O1554" s="15">
        <v>3856500</v>
      </c>
      <c r="P1554" s="145">
        <v>222261</v>
      </c>
      <c r="Q1554" s="9"/>
      <c r="R1554" s="146"/>
      <c r="T1554" s="92" t="s">
        <v>6936</v>
      </c>
      <c r="U1554">
        <v>1</v>
      </c>
      <c r="V1554">
        <f>VLOOKUP(T1554,'Data Angt'!$A$5:$F$5810,6,FALSE)</f>
        <v>49</v>
      </c>
      <c r="W1554" s="5" t="str">
        <f t="shared" si="24"/>
        <v>KONSUMTIF</v>
      </c>
      <c r="X1554" s="5" t="str">
        <f>VLOOKUP(T1554,'Data Angt'!$A$5:$H$5810,8,FALSE)</f>
        <v>Karyawan</v>
      </c>
      <c r="Y1554" s="5" t="str">
        <f>VLOOKUP(T1554,'Data Angt'!$A$5:$C$5808,3,FALSE)</f>
        <v>MJK</v>
      </c>
    </row>
    <row r="1555" spans="1:25" x14ac:dyDescent="0.3">
      <c r="A1555" s="8">
        <v>1549</v>
      </c>
      <c r="B1555" s="9" t="s">
        <v>14638</v>
      </c>
      <c r="C1555" s="10" t="str">
        <f>VLOOKUP(B1555,'Data Angt'!$A$5:$B$5809,2,FALSE)</f>
        <v>A5295</v>
      </c>
      <c r="D1555" s="11" t="s">
        <v>9833</v>
      </c>
      <c r="E1555" s="12" t="s">
        <v>17551</v>
      </c>
      <c r="F1555" s="13">
        <v>45699</v>
      </c>
      <c r="G1555" s="14">
        <v>45913</v>
      </c>
      <c r="H1555" s="15">
        <v>2000000</v>
      </c>
      <c r="I1555" s="16">
        <v>12</v>
      </c>
      <c r="J1555" s="17">
        <v>24</v>
      </c>
      <c r="K1555" s="9" t="s">
        <v>9827</v>
      </c>
      <c r="L1555" s="10" t="s">
        <v>17552</v>
      </c>
      <c r="M1555" s="9" t="s">
        <v>17553</v>
      </c>
      <c r="N1555" s="10" t="s">
        <v>9834</v>
      </c>
      <c r="O1555" s="15">
        <v>833100</v>
      </c>
      <c r="P1555" s="145">
        <v>78824</v>
      </c>
      <c r="Q1555" s="9"/>
      <c r="R1555" s="146"/>
      <c r="T1555" s="92" t="s">
        <v>6992</v>
      </c>
      <c r="U1555">
        <v>1</v>
      </c>
      <c r="V1555">
        <f>VLOOKUP(T1555,'Data Angt'!$A$5:$F$5810,6,FALSE)</f>
        <v>30</v>
      </c>
      <c r="W1555" s="5" t="str">
        <f t="shared" si="24"/>
        <v>KESEJAHTERAAN</v>
      </c>
      <c r="X1555" s="5" t="str">
        <f>VLOOKUP(T1555,'Data Angt'!$A$5:$H$5810,8,FALSE)</f>
        <v>Karyawan</v>
      </c>
      <c r="Y1555" s="5" t="str">
        <f>VLOOKUP(T1555,'Data Angt'!$A$5:$C$5808,3,FALSE)</f>
        <v>MJK</v>
      </c>
    </row>
    <row r="1556" spans="1:25" x14ac:dyDescent="0.3">
      <c r="A1556" s="8">
        <v>1550</v>
      </c>
      <c r="B1556" s="9" t="s">
        <v>14651</v>
      </c>
      <c r="C1556" s="10" t="str">
        <f>VLOOKUP(B1556,'Data Angt'!$A$5:$B$5809,2,FALSE)</f>
        <v>A5300</v>
      </c>
      <c r="D1556" s="11" t="s">
        <v>9833</v>
      </c>
      <c r="E1556" s="12" t="s">
        <v>17554</v>
      </c>
      <c r="F1556" s="13">
        <v>45705</v>
      </c>
      <c r="G1556" s="14">
        <v>45927</v>
      </c>
      <c r="H1556" s="15">
        <v>2000000</v>
      </c>
      <c r="I1556" s="16">
        <v>12</v>
      </c>
      <c r="J1556" s="17">
        <v>24</v>
      </c>
      <c r="K1556" s="9" t="s">
        <v>9827</v>
      </c>
      <c r="L1556" s="10" t="s">
        <v>17555</v>
      </c>
      <c r="M1556" s="9" t="s">
        <v>17556</v>
      </c>
      <c r="N1556" s="10" t="s">
        <v>9834</v>
      </c>
      <c r="O1556" s="15">
        <v>833100</v>
      </c>
      <c r="P1556" s="145">
        <v>78824</v>
      </c>
      <c r="Q1556" s="9"/>
      <c r="R1556" s="146"/>
      <c r="T1556" s="92" t="s">
        <v>7784</v>
      </c>
      <c r="U1556">
        <v>1</v>
      </c>
      <c r="V1556">
        <f>VLOOKUP(T1556,'Data Angt'!$A$5:$F$5810,6,FALSE)</f>
        <v>48</v>
      </c>
      <c r="W1556" s="5" t="str">
        <f t="shared" si="24"/>
        <v>PENDIDIKAN</v>
      </c>
      <c r="X1556" s="5" t="str">
        <f>VLOOKUP(T1556,'Data Angt'!$A$5:$H$5810,8,FALSE)</f>
        <v>Wiraswasta</v>
      </c>
      <c r="Y1556" s="5" t="str">
        <f>VLOOKUP(T1556,'Data Angt'!$A$5:$C$5808,3,FALSE)</f>
        <v>MJK</v>
      </c>
    </row>
    <row r="1557" spans="1:25" x14ac:dyDescent="0.3">
      <c r="A1557" s="8">
        <v>1551</v>
      </c>
      <c r="B1557" s="9" t="s">
        <v>14661</v>
      </c>
      <c r="C1557" s="10" t="str">
        <f>VLOOKUP(B1557,'Data Angt'!$A$5:$B$5809,2,FALSE)</f>
        <v>A5305</v>
      </c>
      <c r="D1557" s="11" t="s">
        <v>9829</v>
      </c>
      <c r="E1557" s="12" t="s">
        <v>17557</v>
      </c>
      <c r="F1557" s="13">
        <v>45702</v>
      </c>
      <c r="G1557" s="14">
        <v>45911</v>
      </c>
      <c r="H1557" s="15">
        <v>2500000</v>
      </c>
      <c r="I1557" s="16">
        <v>10</v>
      </c>
      <c r="J1557" s="17">
        <v>24</v>
      </c>
      <c r="K1557" s="9" t="s">
        <v>9827</v>
      </c>
      <c r="L1557" s="10" t="s">
        <v>17558</v>
      </c>
      <c r="M1557" s="9" t="s">
        <v>10136</v>
      </c>
      <c r="N1557" s="10" t="s">
        <v>17</v>
      </c>
      <c r="O1557" s="15">
        <v>750000</v>
      </c>
      <c r="P1557" s="145">
        <v>91875</v>
      </c>
      <c r="Q1557" s="9" t="s">
        <v>23304</v>
      </c>
      <c r="R1557" s="146" t="s">
        <v>23674</v>
      </c>
      <c r="T1557" s="92" t="s">
        <v>7959</v>
      </c>
      <c r="U1557">
        <v>1</v>
      </c>
      <c r="V1557">
        <f>VLOOKUP(T1557,'Data Angt'!$A$5:$F$5810,6,FALSE)</f>
        <v>40</v>
      </c>
      <c r="W1557" s="5" t="str">
        <f t="shared" si="24"/>
        <v>PRODUKTIF</v>
      </c>
      <c r="X1557" s="5" t="str">
        <f>VLOOKUP(T1557,'Data Angt'!$A$5:$H$5810,8,FALSE)</f>
        <v>Wiraswasta</v>
      </c>
      <c r="Y1557" s="5" t="str">
        <f>VLOOKUP(T1557,'Data Angt'!$A$5:$C$5808,3,FALSE)</f>
        <v>MJK</v>
      </c>
    </row>
    <row r="1558" spans="1:25" x14ac:dyDescent="0.3">
      <c r="A1558" s="8">
        <v>1552</v>
      </c>
      <c r="B1558" s="9" t="s">
        <v>14679</v>
      </c>
      <c r="C1558" s="10" t="str">
        <f>VLOOKUP(B1558,'Data Angt'!$A$5:$B$5809,2,FALSE)</f>
        <v>A5313</v>
      </c>
      <c r="D1558" s="11" t="s">
        <v>9833</v>
      </c>
      <c r="E1558" s="12" t="s">
        <v>17559</v>
      </c>
      <c r="F1558" s="13">
        <v>45705</v>
      </c>
      <c r="G1558" s="14">
        <v>45927</v>
      </c>
      <c r="H1558" s="15">
        <v>2000000</v>
      </c>
      <c r="I1558" s="16">
        <v>12</v>
      </c>
      <c r="J1558" s="17">
        <v>24</v>
      </c>
      <c r="K1558" s="9" t="s">
        <v>9827</v>
      </c>
      <c r="L1558" s="10" t="s">
        <v>17560</v>
      </c>
      <c r="M1558" s="9" t="s">
        <v>17561</v>
      </c>
      <c r="N1558" s="10" t="s">
        <v>9834</v>
      </c>
      <c r="O1558" s="15">
        <v>833100</v>
      </c>
      <c r="P1558" s="145">
        <v>78824</v>
      </c>
      <c r="Q1558" s="9"/>
      <c r="R1558" s="146"/>
      <c r="T1558" s="92" t="s">
        <v>8256</v>
      </c>
      <c r="U1558">
        <v>1</v>
      </c>
      <c r="V1558">
        <f>VLOOKUP(T1558,'Data Angt'!$A$5:$F$5810,6,FALSE)</f>
        <v>43</v>
      </c>
      <c r="W1558" s="5" t="str">
        <f t="shared" si="24"/>
        <v>PRODUKTIF</v>
      </c>
      <c r="X1558" s="5" t="str">
        <f>VLOOKUP(T1558,'Data Angt'!$A$5:$H$5810,8,FALSE)</f>
        <v>Karyawan</v>
      </c>
      <c r="Y1558" s="5" t="str">
        <f>VLOOKUP(T1558,'Data Angt'!$A$5:$C$5808,3,FALSE)</f>
        <v>MJK</v>
      </c>
    </row>
    <row r="1559" spans="1:25" x14ac:dyDescent="0.3">
      <c r="A1559" s="8">
        <v>1553</v>
      </c>
      <c r="B1559" s="9" t="s">
        <v>14683</v>
      </c>
      <c r="C1559" s="10" t="str">
        <f>VLOOKUP(B1559,'Data Angt'!$A$5:$B$5809,2,FALSE)</f>
        <v>A5315</v>
      </c>
      <c r="D1559" s="11" t="s">
        <v>9829</v>
      </c>
      <c r="E1559" s="12" t="s">
        <v>17562</v>
      </c>
      <c r="F1559" s="13">
        <v>45702</v>
      </c>
      <c r="G1559" s="14">
        <v>45916</v>
      </c>
      <c r="H1559" s="15">
        <v>2000000</v>
      </c>
      <c r="I1559" s="16">
        <v>10</v>
      </c>
      <c r="J1559" s="17">
        <v>24</v>
      </c>
      <c r="K1559" s="9" t="s">
        <v>9827</v>
      </c>
      <c r="L1559" s="10" t="s">
        <v>17563</v>
      </c>
      <c r="M1559" s="9" t="s">
        <v>10569</v>
      </c>
      <c r="N1559" s="10" t="s">
        <v>9828</v>
      </c>
      <c r="O1559" s="15">
        <v>600000</v>
      </c>
      <c r="P1559" s="145">
        <v>73500</v>
      </c>
      <c r="Q1559" s="9"/>
      <c r="R1559" s="146"/>
      <c r="T1559" s="92" t="s">
        <v>8450</v>
      </c>
      <c r="U1559">
        <v>1</v>
      </c>
      <c r="V1559">
        <f>VLOOKUP(T1559,'Data Angt'!$A$5:$F$5810,6,FALSE)</f>
        <v>29</v>
      </c>
      <c r="W1559" s="5" t="str">
        <f t="shared" si="24"/>
        <v>KONSUMTIF</v>
      </c>
      <c r="X1559" s="5" t="str">
        <f>VLOOKUP(T1559,'Data Angt'!$A$5:$H$5810,8,FALSE)</f>
        <v>Tenaga Pengajar</v>
      </c>
      <c r="Y1559" s="5" t="str">
        <f>VLOOKUP(T1559,'Data Angt'!$A$5:$C$5808,3,FALSE)</f>
        <v>MJK</v>
      </c>
    </row>
    <row r="1560" spans="1:25" x14ac:dyDescent="0.3">
      <c r="A1560" s="8">
        <v>1554</v>
      </c>
      <c r="B1560" s="9" t="s">
        <v>14692</v>
      </c>
      <c r="C1560" s="10" t="str">
        <f>VLOOKUP(B1560,'Data Angt'!$A$5:$B$5809,2,FALSE)</f>
        <v>A5318</v>
      </c>
      <c r="D1560" s="11" t="s">
        <v>9833</v>
      </c>
      <c r="E1560" s="12" t="s">
        <v>17564</v>
      </c>
      <c r="F1560" s="13">
        <v>45709</v>
      </c>
      <c r="G1560" s="14">
        <v>45929</v>
      </c>
      <c r="H1560" s="15">
        <v>2000000</v>
      </c>
      <c r="I1560" s="16">
        <v>10</v>
      </c>
      <c r="J1560" s="17">
        <v>24</v>
      </c>
      <c r="K1560" s="9" t="s">
        <v>9827</v>
      </c>
      <c r="L1560" s="10" t="s">
        <v>17565</v>
      </c>
      <c r="M1560" s="9" t="s">
        <v>17566</v>
      </c>
      <c r="N1560" s="10" t="s">
        <v>9834</v>
      </c>
      <c r="O1560" s="15">
        <v>600000</v>
      </c>
      <c r="P1560" s="145">
        <v>73500</v>
      </c>
      <c r="Q1560" s="9"/>
      <c r="R1560" s="146"/>
      <c r="T1560" s="92" t="s">
        <v>9346</v>
      </c>
      <c r="U1560">
        <v>1</v>
      </c>
      <c r="V1560">
        <f>VLOOKUP(T1560,'Data Angt'!$A$5:$F$5810,6,FALSE)</f>
        <v>54</v>
      </c>
      <c r="W1560" s="5" t="str">
        <f t="shared" si="24"/>
        <v>KONSUMTIF</v>
      </c>
      <c r="X1560" s="5" t="str">
        <f>VLOOKUP(T1560,'Data Angt'!$A$5:$H$5810,8,FALSE)</f>
        <v>Tenaga Pengajar</v>
      </c>
      <c r="Y1560" s="5" t="str">
        <f>VLOOKUP(T1560,'Data Angt'!$A$5:$C$5808,3,FALSE)</f>
        <v>MJK</v>
      </c>
    </row>
    <row r="1561" spans="1:25" x14ac:dyDescent="0.3">
      <c r="A1561" s="8">
        <v>1555</v>
      </c>
      <c r="B1561" s="9" t="s">
        <v>14728</v>
      </c>
      <c r="C1561" s="10" t="str">
        <f>VLOOKUP(B1561,'Data Angt'!$A$5:$B$5809,2,FALSE)</f>
        <v>A5333</v>
      </c>
      <c r="D1561" s="11" t="s">
        <v>9833</v>
      </c>
      <c r="E1561" s="12" t="s">
        <v>17567</v>
      </c>
      <c r="F1561" s="13">
        <v>45707</v>
      </c>
      <c r="G1561" s="14">
        <v>45929</v>
      </c>
      <c r="H1561" s="15">
        <v>2000000</v>
      </c>
      <c r="I1561" s="16">
        <v>10</v>
      </c>
      <c r="J1561" s="17">
        <v>24</v>
      </c>
      <c r="K1561" s="9" t="s">
        <v>9827</v>
      </c>
      <c r="L1561" s="10" t="s">
        <v>17568</v>
      </c>
      <c r="M1561" s="9" t="s">
        <v>17325</v>
      </c>
      <c r="N1561" s="10" t="s">
        <v>9834</v>
      </c>
      <c r="O1561" s="15">
        <v>600000</v>
      </c>
      <c r="P1561" s="145">
        <v>73500</v>
      </c>
      <c r="Q1561" s="9"/>
      <c r="R1561" s="146"/>
      <c r="T1561" s="92" t="s">
        <v>9584</v>
      </c>
      <c r="U1561">
        <v>1</v>
      </c>
      <c r="V1561">
        <f>VLOOKUP(T1561,'Data Angt'!$A$5:$F$5810,6,FALSE)</f>
        <v>28</v>
      </c>
      <c r="W1561" s="5" t="str">
        <f t="shared" si="24"/>
        <v>KONSUMTIF</v>
      </c>
      <c r="X1561" s="5" t="str">
        <f>VLOOKUP(T1561,'Data Angt'!$A$5:$H$5810,8,FALSE)</f>
        <v>Lain-Lain</v>
      </c>
      <c r="Y1561" s="5" t="str">
        <f>VLOOKUP(T1561,'Data Angt'!$A$5:$C$5808,3,FALSE)</f>
        <v>MJK</v>
      </c>
    </row>
    <row r="1562" spans="1:25" x14ac:dyDescent="0.3">
      <c r="A1562" s="8">
        <v>1556</v>
      </c>
      <c r="B1562" s="9" t="s">
        <v>14800</v>
      </c>
      <c r="C1562" s="10" t="str">
        <f>VLOOKUP(B1562,'Data Angt'!$A$5:$B$5809,2,FALSE)</f>
        <v>A5366</v>
      </c>
      <c r="D1562" s="11" t="s">
        <v>9829</v>
      </c>
      <c r="E1562" s="12" t="s">
        <v>17569</v>
      </c>
      <c r="F1562" s="13">
        <v>45825</v>
      </c>
      <c r="G1562" s="14">
        <v>45916</v>
      </c>
      <c r="H1562" s="15">
        <v>10000000</v>
      </c>
      <c r="I1562" s="16">
        <v>20</v>
      </c>
      <c r="J1562" s="17">
        <v>24</v>
      </c>
      <c r="K1562" s="9" t="s">
        <v>9827</v>
      </c>
      <c r="L1562" s="10" t="s">
        <v>17570</v>
      </c>
      <c r="M1562" s="9" t="s">
        <v>10188</v>
      </c>
      <c r="N1562" s="10" t="s">
        <v>17</v>
      </c>
      <c r="O1562" s="15">
        <v>8500000</v>
      </c>
      <c r="P1562" s="145">
        <v>213750</v>
      </c>
      <c r="Q1562" s="9" t="s">
        <v>23579</v>
      </c>
      <c r="R1562" s="146" t="s">
        <v>23675</v>
      </c>
      <c r="T1562" s="92" t="s">
        <v>12612</v>
      </c>
      <c r="U1562">
        <v>1</v>
      </c>
      <c r="V1562">
        <f>VLOOKUP(T1562,'Data Angt'!$A$5:$F$5810,6,FALSE)</f>
        <v>28</v>
      </c>
      <c r="W1562" s="5" t="str">
        <f t="shared" si="24"/>
        <v>KONSUMTIF</v>
      </c>
      <c r="X1562" s="5" t="str">
        <f>VLOOKUP(T1562,'Data Angt'!$A$5:$H$5810,8,FALSE)</f>
        <v>Karyawan</v>
      </c>
      <c r="Y1562" s="5" t="str">
        <f>VLOOKUP(T1562,'Data Angt'!$A$5:$C$5808,3,FALSE)</f>
        <v>MJK</v>
      </c>
    </row>
    <row r="1563" spans="1:25" x14ac:dyDescent="0.3">
      <c r="A1563" s="8">
        <v>1557</v>
      </c>
      <c r="B1563" s="9" t="s">
        <v>14824</v>
      </c>
      <c r="C1563" s="10" t="str">
        <f>VLOOKUP(B1563,'Data Angt'!$A$5:$B$5809,2,FALSE)</f>
        <v>A5379</v>
      </c>
      <c r="D1563" s="11" t="s">
        <v>9829</v>
      </c>
      <c r="E1563" s="12" t="s">
        <v>23676</v>
      </c>
      <c r="F1563" s="13">
        <v>45868</v>
      </c>
      <c r="G1563" s="14">
        <v>45929</v>
      </c>
      <c r="H1563" s="15">
        <v>80000000</v>
      </c>
      <c r="I1563" s="16">
        <v>24</v>
      </c>
      <c r="J1563" s="17">
        <v>21</v>
      </c>
      <c r="K1563" s="9" t="s">
        <v>9831</v>
      </c>
      <c r="L1563" s="10" t="s">
        <v>23677</v>
      </c>
      <c r="M1563" s="9" t="s">
        <v>17005</v>
      </c>
      <c r="N1563" s="10" t="s">
        <v>9830</v>
      </c>
      <c r="O1563" s="15">
        <v>74530800</v>
      </c>
      <c r="P1563" s="145">
        <v>1032225</v>
      </c>
      <c r="Q1563" s="9" t="s">
        <v>22975</v>
      </c>
      <c r="R1563" s="146" t="s">
        <v>23678</v>
      </c>
      <c r="T1563" s="92" t="s">
        <v>12803</v>
      </c>
      <c r="U1563">
        <v>1</v>
      </c>
      <c r="V1563">
        <f>VLOOKUP(T1563,'Data Angt'!$A$5:$F$5810,6,FALSE)</f>
        <v>33</v>
      </c>
      <c r="W1563" s="5" t="str">
        <f t="shared" si="24"/>
        <v>PRODUKTIF</v>
      </c>
      <c r="X1563" s="5" t="str">
        <f>VLOOKUP(T1563,'Data Angt'!$A$5:$H$5810,8,FALSE)</f>
        <v>Wiraswasta</v>
      </c>
      <c r="Y1563" s="5" t="str">
        <f>VLOOKUP(T1563,'Data Angt'!$A$5:$C$5808,3,FALSE)</f>
        <v>MJK</v>
      </c>
    </row>
    <row r="1564" spans="1:25" x14ac:dyDescent="0.3">
      <c r="A1564" s="8">
        <v>1558</v>
      </c>
      <c r="B1564" s="9" t="s">
        <v>14827</v>
      </c>
      <c r="C1564" s="10" t="str">
        <f>VLOOKUP(B1564,'Data Angt'!$A$5:$B$5809,2,FALSE)</f>
        <v>A5380</v>
      </c>
      <c r="D1564" s="11" t="s">
        <v>9833</v>
      </c>
      <c r="E1564" s="12" t="s">
        <v>17571</v>
      </c>
      <c r="F1564" s="13">
        <v>45714</v>
      </c>
      <c r="G1564" s="14">
        <v>45930</v>
      </c>
      <c r="H1564" s="15">
        <v>2000000</v>
      </c>
      <c r="I1564" s="16">
        <v>10</v>
      </c>
      <c r="J1564" s="17">
        <v>24</v>
      </c>
      <c r="K1564" s="9" t="s">
        <v>9827</v>
      </c>
      <c r="L1564" s="10" t="s">
        <v>17572</v>
      </c>
      <c r="M1564" s="9" t="s">
        <v>10496</v>
      </c>
      <c r="N1564" s="10" t="s">
        <v>9834</v>
      </c>
      <c r="O1564" s="15">
        <v>600000</v>
      </c>
      <c r="P1564" s="145">
        <v>73500</v>
      </c>
      <c r="Q1564" s="9"/>
      <c r="R1564" s="146"/>
      <c r="T1564" s="92" t="s">
        <v>12852</v>
      </c>
      <c r="U1564">
        <v>1</v>
      </c>
      <c r="V1564">
        <f>VLOOKUP(T1564,'Data Angt'!$A$5:$F$5810,6,FALSE)</f>
        <v>58</v>
      </c>
      <c r="W1564" s="5" t="str">
        <f t="shared" si="24"/>
        <v>PRODUKTIF</v>
      </c>
      <c r="X1564" s="5" t="str">
        <f>VLOOKUP(T1564,'Data Angt'!$A$5:$H$5810,8,FALSE)</f>
        <v>Wiraswasta</v>
      </c>
      <c r="Y1564" s="5" t="str">
        <f>VLOOKUP(T1564,'Data Angt'!$A$5:$C$5808,3,FALSE)</f>
        <v>MJK</v>
      </c>
    </row>
    <row r="1565" spans="1:25" x14ac:dyDescent="0.3">
      <c r="A1565" s="8">
        <v>1559</v>
      </c>
      <c r="B1565" s="9" t="s">
        <v>14844</v>
      </c>
      <c r="C1565" s="10" t="str">
        <f>VLOOKUP(B1565,'Data Angt'!$A$5:$B$5809,2,FALSE)</f>
        <v>A5387</v>
      </c>
      <c r="D1565" s="11" t="s">
        <v>9829</v>
      </c>
      <c r="E1565" s="12" t="s">
        <v>17573</v>
      </c>
      <c r="F1565" s="13">
        <v>45737</v>
      </c>
      <c r="G1565" s="14">
        <v>45930</v>
      </c>
      <c r="H1565" s="15">
        <v>10000000</v>
      </c>
      <c r="I1565" s="16">
        <v>24</v>
      </c>
      <c r="J1565" s="17">
        <v>24</v>
      </c>
      <c r="K1565" s="9" t="s">
        <v>9827</v>
      </c>
      <c r="L1565" s="10" t="s">
        <v>17574</v>
      </c>
      <c r="M1565" s="9" t="s">
        <v>9838</v>
      </c>
      <c r="N1565" s="10" t="s">
        <v>9828</v>
      </c>
      <c r="O1565" s="15">
        <v>7499800</v>
      </c>
      <c r="P1565" s="145">
        <v>403199</v>
      </c>
      <c r="Q1565" s="9" t="s">
        <v>23304</v>
      </c>
      <c r="R1565" s="146" t="s">
        <v>23679</v>
      </c>
      <c r="T1565" s="92" t="s">
        <v>12946</v>
      </c>
      <c r="U1565">
        <v>1</v>
      </c>
      <c r="V1565">
        <f>VLOOKUP(T1565,'Data Angt'!$A$5:$F$5810,6,FALSE)</f>
        <v>35</v>
      </c>
      <c r="W1565" s="5" t="str">
        <f t="shared" si="24"/>
        <v>KESEJAHTERAAN</v>
      </c>
      <c r="X1565" s="5" t="str">
        <f>VLOOKUP(T1565,'Data Angt'!$A$5:$H$5810,8,FALSE)</f>
        <v>Wiraswasta</v>
      </c>
      <c r="Y1565" s="5" t="str">
        <f>VLOOKUP(T1565,'Data Angt'!$A$5:$C$5808,3,FALSE)</f>
        <v>MJK</v>
      </c>
    </row>
    <row r="1566" spans="1:25" x14ac:dyDescent="0.3">
      <c r="A1566" s="8">
        <v>1560</v>
      </c>
      <c r="B1566" s="9" t="s">
        <v>14869</v>
      </c>
      <c r="C1566" s="10" t="str">
        <f>VLOOKUP(B1566,'Data Angt'!$A$5:$B$5809,2,FALSE)</f>
        <v>A5399</v>
      </c>
      <c r="D1566" s="11" t="s">
        <v>9829</v>
      </c>
      <c r="E1566" s="12" t="s">
        <v>17575</v>
      </c>
      <c r="F1566" s="13">
        <v>45719</v>
      </c>
      <c r="G1566" s="14">
        <v>45903</v>
      </c>
      <c r="H1566" s="15">
        <v>2000000</v>
      </c>
      <c r="I1566" s="16">
        <v>10</v>
      </c>
      <c r="J1566" s="17">
        <v>24</v>
      </c>
      <c r="K1566" s="9" t="s">
        <v>9827</v>
      </c>
      <c r="L1566" s="10" t="s">
        <v>17576</v>
      </c>
      <c r="M1566" s="9" t="s">
        <v>17577</v>
      </c>
      <c r="N1566" s="10" t="s">
        <v>9828</v>
      </c>
      <c r="O1566" s="15">
        <v>800000</v>
      </c>
      <c r="P1566" s="145">
        <v>70500</v>
      </c>
      <c r="Q1566" s="9"/>
      <c r="R1566" s="146"/>
      <c r="T1566" s="92" t="s">
        <v>13080</v>
      </c>
      <c r="U1566">
        <v>1</v>
      </c>
      <c r="V1566">
        <f>VLOOKUP(T1566,'Data Angt'!$A$5:$F$5810,6,FALSE)</f>
        <v>28</v>
      </c>
      <c r="W1566" s="5" t="str">
        <f t="shared" si="24"/>
        <v>PENDIDIKAN</v>
      </c>
      <c r="X1566" s="5" t="str">
        <f>VLOOKUP(T1566,'Data Angt'!$A$5:$H$5810,8,FALSE)</f>
        <v>Karyawan</v>
      </c>
      <c r="Y1566" s="5" t="str">
        <f>VLOOKUP(T1566,'Data Angt'!$A$5:$C$5808,3,FALSE)</f>
        <v>MJK</v>
      </c>
    </row>
    <row r="1567" spans="1:25" x14ac:dyDescent="0.3">
      <c r="A1567" s="8">
        <v>1561</v>
      </c>
      <c r="B1567" s="9" t="s">
        <v>14879</v>
      </c>
      <c r="C1567" s="10" t="str">
        <f>VLOOKUP(B1567,'Data Angt'!$A$5:$B$5809,2,FALSE)</f>
        <v>A5403</v>
      </c>
      <c r="D1567" s="11" t="s">
        <v>9833</v>
      </c>
      <c r="E1567" s="12" t="s">
        <v>17578</v>
      </c>
      <c r="F1567" s="13">
        <v>45734</v>
      </c>
      <c r="G1567" s="14">
        <v>45923</v>
      </c>
      <c r="H1567" s="15">
        <v>2000000</v>
      </c>
      <c r="I1567" s="16">
        <v>10</v>
      </c>
      <c r="J1567" s="17">
        <v>24</v>
      </c>
      <c r="K1567" s="9" t="s">
        <v>9827</v>
      </c>
      <c r="L1567" s="10" t="s">
        <v>17579</v>
      </c>
      <c r="M1567" s="9" t="s">
        <v>17429</v>
      </c>
      <c r="N1567" s="10" t="s">
        <v>9834</v>
      </c>
      <c r="O1567" s="15">
        <v>800000</v>
      </c>
      <c r="P1567" s="145">
        <v>67500</v>
      </c>
      <c r="Q1567" s="9"/>
      <c r="R1567" s="146"/>
      <c r="T1567" s="92" t="s">
        <v>13222</v>
      </c>
      <c r="U1567">
        <v>1</v>
      </c>
      <c r="V1567">
        <f>VLOOKUP(T1567,'Data Angt'!$A$5:$F$5810,6,FALSE)</f>
        <v>51</v>
      </c>
      <c r="W1567" s="5" t="str">
        <f t="shared" si="24"/>
        <v>PRODUKTIF</v>
      </c>
      <c r="X1567" s="5" t="str">
        <f>VLOOKUP(T1567,'Data Angt'!$A$5:$H$5810,8,FALSE)</f>
        <v>Wiraswasta</v>
      </c>
      <c r="Y1567" s="5" t="str">
        <f>VLOOKUP(T1567,'Data Angt'!$A$5:$C$5808,3,FALSE)</f>
        <v>MJK</v>
      </c>
    </row>
    <row r="1568" spans="1:25" x14ac:dyDescent="0.3">
      <c r="A1568" s="8">
        <v>1562</v>
      </c>
      <c r="B1568" s="9" t="s">
        <v>14915</v>
      </c>
      <c r="C1568" s="10" t="str">
        <f>VLOOKUP(B1568,'Data Angt'!$A$5:$B$5809,2,FALSE)</f>
        <v>A5418</v>
      </c>
      <c r="D1568" s="11" t="s">
        <v>9833</v>
      </c>
      <c r="E1568" s="12" t="s">
        <v>17580</v>
      </c>
      <c r="F1568" s="13">
        <v>45728</v>
      </c>
      <c r="G1568" s="14">
        <v>45913</v>
      </c>
      <c r="H1568" s="15">
        <v>4000000</v>
      </c>
      <c r="I1568" s="16">
        <v>12</v>
      </c>
      <c r="J1568" s="17">
        <v>24</v>
      </c>
      <c r="K1568" s="9" t="s">
        <v>9827</v>
      </c>
      <c r="L1568" s="10" t="s">
        <v>17581</v>
      </c>
      <c r="M1568" s="9" t="s">
        <v>10172</v>
      </c>
      <c r="N1568" s="10" t="s">
        <v>9834</v>
      </c>
      <c r="O1568" s="15">
        <v>1999600</v>
      </c>
      <c r="P1568" s="145">
        <v>142574</v>
      </c>
      <c r="Q1568" s="9" t="s">
        <v>23304</v>
      </c>
      <c r="R1568" s="146" t="s">
        <v>23680</v>
      </c>
      <c r="T1568" s="92" t="s">
        <v>13224</v>
      </c>
      <c r="U1568">
        <v>1</v>
      </c>
      <c r="V1568">
        <f>VLOOKUP(T1568,'Data Angt'!$A$5:$F$5810,6,FALSE)</f>
        <v>54</v>
      </c>
      <c r="W1568" s="5" t="str">
        <f t="shared" si="24"/>
        <v>PRODUKTIF</v>
      </c>
      <c r="X1568" s="5" t="str">
        <f>VLOOKUP(T1568,'Data Angt'!$A$5:$H$5810,8,FALSE)</f>
        <v>Wiraswasta</v>
      </c>
      <c r="Y1568" s="5" t="str">
        <f>VLOOKUP(T1568,'Data Angt'!$A$5:$C$5808,3,FALSE)</f>
        <v>MJK</v>
      </c>
    </row>
    <row r="1569" spans="1:25" x14ac:dyDescent="0.3">
      <c r="A1569" s="8">
        <v>1563</v>
      </c>
      <c r="B1569" s="9" t="s">
        <v>14921</v>
      </c>
      <c r="C1569" s="10" t="str">
        <f>VLOOKUP(B1569,'Data Angt'!$A$5:$B$5809,2,FALSE)</f>
        <v>A5420</v>
      </c>
      <c r="D1569" s="11" t="s">
        <v>9829</v>
      </c>
      <c r="E1569" s="12" t="s">
        <v>17582</v>
      </c>
      <c r="F1569" s="13">
        <v>45729</v>
      </c>
      <c r="G1569" s="14">
        <v>45918</v>
      </c>
      <c r="H1569" s="15">
        <v>2000000</v>
      </c>
      <c r="I1569" s="16">
        <v>10</v>
      </c>
      <c r="J1569" s="17">
        <v>24</v>
      </c>
      <c r="K1569" s="9" t="s">
        <v>9827</v>
      </c>
      <c r="L1569" s="10" t="s">
        <v>17583</v>
      </c>
      <c r="M1569" s="9" t="s">
        <v>9841</v>
      </c>
      <c r="N1569" s="10" t="s">
        <v>17</v>
      </c>
      <c r="O1569" s="15">
        <v>800000</v>
      </c>
      <c r="P1569" s="145">
        <v>67500</v>
      </c>
      <c r="Q1569" s="9"/>
      <c r="R1569" s="146"/>
      <c r="T1569" s="92" t="s">
        <v>13627</v>
      </c>
      <c r="U1569">
        <v>1</v>
      </c>
      <c r="V1569">
        <f>VLOOKUP(T1569,'Data Angt'!$A$5:$F$5810,6,FALSE)</f>
        <v>42</v>
      </c>
      <c r="W1569" s="5" t="str">
        <f t="shared" si="24"/>
        <v>PRODUKTIF</v>
      </c>
      <c r="X1569" s="5" t="str">
        <f>VLOOKUP(T1569,'Data Angt'!$A$5:$H$5810,8,FALSE)</f>
        <v>Wiraswasta</v>
      </c>
      <c r="Y1569" s="5" t="str">
        <f>VLOOKUP(T1569,'Data Angt'!$A$5:$C$5808,3,FALSE)</f>
        <v>MJK</v>
      </c>
    </row>
    <row r="1570" spans="1:25" x14ac:dyDescent="0.3">
      <c r="A1570" s="8">
        <v>1564</v>
      </c>
      <c r="B1570" s="9" t="s">
        <v>14933</v>
      </c>
      <c r="C1570" s="10" t="str">
        <f>VLOOKUP(B1570,'Data Angt'!$A$5:$B$5809,2,FALSE)</f>
        <v>A5426</v>
      </c>
      <c r="D1570" s="11" t="s">
        <v>9895</v>
      </c>
      <c r="E1570" s="12" t="s">
        <v>17584</v>
      </c>
      <c r="F1570" s="13">
        <v>45735</v>
      </c>
      <c r="G1570" s="14">
        <v>45924</v>
      </c>
      <c r="H1570" s="15">
        <v>25000000</v>
      </c>
      <c r="I1570" s="16">
        <v>24</v>
      </c>
      <c r="J1570" s="17">
        <v>21</v>
      </c>
      <c r="K1570" s="9" t="s">
        <v>9831</v>
      </c>
      <c r="L1570" s="10" t="s">
        <v>17585</v>
      </c>
      <c r="M1570" s="9" t="s">
        <v>10727</v>
      </c>
      <c r="N1570" s="10" t="s">
        <v>9828</v>
      </c>
      <c r="O1570" s="15">
        <v>19689400</v>
      </c>
      <c r="P1570" s="145">
        <v>899098</v>
      </c>
      <c r="Q1570" s="9" t="s">
        <v>23304</v>
      </c>
      <c r="R1570" s="146" t="s">
        <v>23681</v>
      </c>
      <c r="T1570" s="92" t="s">
        <v>13638</v>
      </c>
      <c r="U1570">
        <v>1</v>
      </c>
      <c r="V1570">
        <f>VLOOKUP(T1570,'Data Angt'!$A$5:$F$5810,6,FALSE)</f>
        <v>59</v>
      </c>
      <c r="W1570" s="5" t="str">
        <f t="shared" si="24"/>
        <v>PRODUKTIF</v>
      </c>
      <c r="X1570" s="5" t="str">
        <f>VLOOKUP(T1570,'Data Angt'!$A$5:$H$5810,8,FALSE)</f>
        <v>Wiraswasta</v>
      </c>
      <c r="Y1570" s="5" t="str">
        <f>VLOOKUP(T1570,'Data Angt'!$A$5:$C$5808,3,FALSE)</f>
        <v>MJK</v>
      </c>
    </row>
    <row r="1571" spans="1:25" x14ac:dyDescent="0.3">
      <c r="A1571" s="8">
        <v>1565</v>
      </c>
      <c r="B1571" s="9" t="s">
        <v>14947</v>
      </c>
      <c r="C1571" s="10" t="str">
        <f>VLOOKUP(B1571,'Data Angt'!$A$5:$B$5809,2,FALSE)</f>
        <v>A5434</v>
      </c>
      <c r="D1571" s="11" t="s">
        <v>9833</v>
      </c>
      <c r="E1571" s="12" t="s">
        <v>17586</v>
      </c>
      <c r="F1571" s="13">
        <v>45731</v>
      </c>
      <c r="G1571" s="14">
        <v>45916</v>
      </c>
      <c r="H1571" s="15">
        <v>2000000</v>
      </c>
      <c r="I1571" s="16">
        <v>12</v>
      </c>
      <c r="J1571" s="17">
        <v>24</v>
      </c>
      <c r="K1571" s="9" t="s">
        <v>9827</v>
      </c>
      <c r="L1571" s="10" t="s">
        <v>17587</v>
      </c>
      <c r="M1571" s="9" t="s">
        <v>9841</v>
      </c>
      <c r="N1571" s="10" t="s">
        <v>17</v>
      </c>
      <c r="O1571" s="15">
        <v>999800</v>
      </c>
      <c r="P1571" s="145">
        <v>71324</v>
      </c>
      <c r="Q1571" s="9"/>
      <c r="R1571" s="146"/>
      <c r="T1571" s="92" t="s">
        <v>13776</v>
      </c>
      <c r="U1571">
        <v>1</v>
      </c>
      <c r="V1571">
        <f>VLOOKUP(T1571,'Data Angt'!$A$5:$F$5810,6,FALSE)</f>
        <v>44</v>
      </c>
      <c r="W1571" s="5" t="str">
        <f t="shared" si="24"/>
        <v>KONSUMTIF</v>
      </c>
      <c r="X1571" s="5" t="str">
        <f>VLOOKUP(T1571,'Data Angt'!$A$5:$H$5810,8,FALSE)</f>
        <v>Wiraswasta</v>
      </c>
      <c r="Y1571" s="5" t="str">
        <f>VLOOKUP(T1571,'Data Angt'!$A$5:$C$5808,3,FALSE)</f>
        <v>MJK</v>
      </c>
    </row>
    <row r="1572" spans="1:25" x14ac:dyDescent="0.3">
      <c r="A1572" s="8">
        <v>1566</v>
      </c>
      <c r="B1572" s="9" t="s">
        <v>14951</v>
      </c>
      <c r="C1572" s="10" t="str">
        <f>VLOOKUP(B1572,'Data Angt'!$A$5:$B$5809,2,FALSE)</f>
        <v>A5437</v>
      </c>
      <c r="D1572" s="11" t="s">
        <v>9833</v>
      </c>
      <c r="E1572" s="12" t="s">
        <v>17588</v>
      </c>
      <c r="F1572" s="13">
        <v>45733</v>
      </c>
      <c r="G1572" s="14">
        <v>45917</v>
      </c>
      <c r="H1572" s="15">
        <v>3000000</v>
      </c>
      <c r="I1572" s="16">
        <v>12</v>
      </c>
      <c r="J1572" s="17">
        <v>24</v>
      </c>
      <c r="K1572" s="9" t="s">
        <v>9827</v>
      </c>
      <c r="L1572" s="10" t="s">
        <v>17589</v>
      </c>
      <c r="M1572" s="9" t="s">
        <v>10570</v>
      </c>
      <c r="N1572" s="10" t="s">
        <v>9834</v>
      </c>
      <c r="O1572" s="15">
        <v>1500000</v>
      </c>
      <c r="P1572" s="145">
        <v>106875</v>
      </c>
      <c r="Q1572" s="9"/>
      <c r="R1572" s="146"/>
      <c r="T1572" s="92" t="s">
        <v>13802</v>
      </c>
      <c r="U1572">
        <v>1</v>
      </c>
      <c r="V1572">
        <f>VLOOKUP(T1572,'Data Angt'!$A$5:$F$5810,6,FALSE)</f>
        <v>55</v>
      </c>
      <c r="W1572" s="5" t="str">
        <f t="shared" si="24"/>
        <v>PENDIDIKAN</v>
      </c>
      <c r="X1572" s="5" t="str">
        <f>VLOOKUP(T1572,'Data Angt'!$A$5:$H$5810,8,FALSE)</f>
        <v>Wiraswasta</v>
      </c>
      <c r="Y1572" s="5" t="str">
        <f>VLOOKUP(T1572,'Data Angt'!$A$5:$C$5808,3,FALSE)</f>
        <v>MJK</v>
      </c>
    </row>
    <row r="1573" spans="1:25" x14ac:dyDescent="0.3">
      <c r="A1573" s="8">
        <v>1567</v>
      </c>
      <c r="B1573" s="9" t="s">
        <v>14968</v>
      </c>
      <c r="C1573" s="10" t="str">
        <f>VLOOKUP(B1573,'Data Angt'!$A$5:$B$5809,2,FALSE)</f>
        <v>A5444</v>
      </c>
      <c r="D1573" s="11" t="s">
        <v>9833</v>
      </c>
      <c r="E1573" s="12" t="s">
        <v>17590</v>
      </c>
      <c r="F1573" s="13">
        <v>45740</v>
      </c>
      <c r="G1573" s="14">
        <v>45930</v>
      </c>
      <c r="H1573" s="15">
        <v>2000000</v>
      </c>
      <c r="I1573" s="16">
        <v>10</v>
      </c>
      <c r="J1573" s="17">
        <v>24</v>
      </c>
      <c r="K1573" s="9" t="s">
        <v>9827</v>
      </c>
      <c r="L1573" s="10" t="s">
        <v>17591</v>
      </c>
      <c r="M1573" s="9" t="s">
        <v>17443</v>
      </c>
      <c r="N1573" s="10" t="s">
        <v>9834</v>
      </c>
      <c r="O1573" s="15">
        <v>1155000</v>
      </c>
      <c r="P1573" s="145">
        <v>72000</v>
      </c>
      <c r="Q1573" s="9"/>
      <c r="R1573" s="146"/>
      <c r="T1573" s="92" t="s">
        <v>13803</v>
      </c>
      <c r="U1573">
        <v>1</v>
      </c>
      <c r="V1573">
        <f>VLOOKUP(T1573,'Data Angt'!$A$5:$F$5810,6,FALSE)</f>
        <v>63</v>
      </c>
      <c r="W1573" s="5" t="str">
        <f t="shared" si="24"/>
        <v>KONSUMTIF</v>
      </c>
      <c r="X1573" s="5" t="str">
        <f>VLOOKUP(T1573,'Data Angt'!$A$5:$H$5810,8,FALSE)</f>
        <v>Mengurus Rumah Tangga</v>
      </c>
      <c r="Y1573" s="5" t="str">
        <f>VLOOKUP(T1573,'Data Angt'!$A$5:$C$5808,3,FALSE)</f>
        <v>MJK</v>
      </c>
    </row>
    <row r="1574" spans="1:25" x14ac:dyDescent="0.3">
      <c r="A1574" s="8">
        <v>1568</v>
      </c>
      <c r="B1574" s="9" t="s">
        <v>15006</v>
      </c>
      <c r="C1574" s="10" t="str">
        <f>VLOOKUP(B1574,'Data Angt'!$A$5:$B$5809,2,FALSE)</f>
        <v>A5462</v>
      </c>
      <c r="D1574" s="11" t="s">
        <v>9829</v>
      </c>
      <c r="E1574" s="12" t="s">
        <v>17592</v>
      </c>
      <c r="F1574" s="13">
        <v>45764</v>
      </c>
      <c r="G1574" s="14">
        <v>45930</v>
      </c>
      <c r="H1574" s="15">
        <v>2000000</v>
      </c>
      <c r="I1574" s="16">
        <v>10</v>
      </c>
      <c r="J1574" s="17">
        <v>24</v>
      </c>
      <c r="K1574" s="9" t="s">
        <v>9827</v>
      </c>
      <c r="L1574" s="10" t="s">
        <v>17593</v>
      </c>
      <c r="M1574" s="9" t="s">
        <v>10495</v>
      </c>
      <c r="N1574" s="10" t="s">
        <v>17</v>
      </c>
      <c r="O1574" s="15">
        <v>1000000</v>
      </c>
      <c r="P1574" s="145">
        <v>60000</v>
      </c>
      <c r="Q1574" s="9"/>
      <c r="R1574" s="146"/>
      <c r="T1574" s="92" t="s">
        <v>14145</v>
      </c>
      <c r="U1574">
        <v>1</v>
      </c>
      <c r="V1574">
        <f>VLOOKUP(T1574,'Data Angt'!$A$5:$F$5810,6,FALSE)</f>
        <v>44</v>
      </c>
      <c r="W1574" s="5" t="str">
        <f t="shared" si="24"/>
        <v>KESEJAHTERAAN</v>
      </c>
      <c r="X1574" s="5" t="str">
        <f>VLOOKUP(T1574,'Data Angt'!$A$5:$H$5810,8,FALSE)</f>
        <v>Karyawan</v>
      </c>
      <c r="Y1574" s="5" t="str">
        <f>VLOOKUP(T1574,'Data Angt'!$A$5:$C$5808,3,FALSE)</f>
        <v>MJK</v>
      </c>
    </row>
    <row r="1575" spans="1:25" x14ac:dyDescent="0.3">
      <c r="A1575" s="8">
        <v>1569</v>
      </c>
      <c r="B1575" s="9" t="s">
        <v>15008</v>
      </c>
      <c r="C1575" s="10" t="str">
        <f>VLOOKUP(B1575,'Data Angt'!$A$5:$B$5809,2,FALSE)</f>
        <v>A5463</v>
      </c>
      <c r="D1575" s="11" t="s">
        <v>9833</v>
      </c>
      <c r="E1575" s="12" t="s">
        <v>17594</v>
      </c>
      <c r="F1575" s="13">
        <v>45764</v>
      </c>
      <c r="G1575" s="14">
        <v>45930</v>
      </c>
      <c r="H1575" s="15">
        <v>2000000</v>
      </c>
      <c r="I1575" s="16">
        <v>10</v>
      </c>
      <c r="J1575" s="17">
        <v>24</v>
      </c>
      <c r="K1575" s="9" t="s">
        <v>9827</v>
      </c>
      <c r="L1575" s="10" t="s">
        <v>17595</v>
      </c>
      <c r="M1575" s="9" t="s">
        <v>17596</v>
      </c>
      <c r="N1575" s="10" t="s">
        <v>9834</v>
      </c>
      <c r="O1575" s="15">
        <v>1000000</v>
      </c>
      <c r="P1575" s="145">
        <v>60000</v>
      </c>
      <c r="Q1575" s="9"/>
      <c r="R1575" s="146"/>
      <c r="T1575" s="92" t="s">
        <v>14209</v>
      </c>
      <c r="U1575">
        <v>2</v>
      </c>
      <c r="V1575">
        <f>VLOOKUP(T1575,'Data Angt'!$A$5:$F$5810,6,FALSE)</f>
        <v>51</v>
      </c>
      <c r="W1575" s="5" t="str">
        <f t="shared" si="24"/>
        <v>KONSUMTIF</v>
      </c>
      <c r="X1575" s="5" t="str">
        <f>VLOOKUP(T1575,'Data Angt'!$A$5:$H$5810,8,FALSE)</f>
        <v>Lain-Lain</v>
      </c>
      <c r="Y1575" s="5" t="str">
        <f>VLOOKUP(T1575,'Data Angt'!$A$5:$C$5808,3,FALSE)</f>
        <v>MJK</v>
      </c>
    </row>
    <row r="1576" spans="1:25" x14ac:dyDescent="0.3">
      <c r="A1576" s="8">
        <v>1570</v>
      </c>
      <c r="B1576" s="9" t="s">
        <v>15009</v>
      </c>
      <c r="C1576" s="10" t="str">
        <f>VLOOKUP(B1576,'Data Angt'!$A$5:$B$5809,2,FALSE)</f>
        <v>A5464</v>
      </c>
      <c r="D1576" s="11" t="s">
        <v>9829</v>
      </c>
      <c r="E1576" s="12" t="s">
        <v>17597</v>
      </c>
      <c r="F1576" s="13">
        <v>45803</v>
      </c>
      <c r="G1576" s="14">
        <v>45930</v>
      </c>
      <c r="H1576" s="15">
        <v>20000000</v>
      </c>
      <c r="I1576" s="16">
        <v>12</v>
      </c>
      <c r="J1576" s="17">
        <v>24</v>
      </c>
      <c r="K1576" s="9" t="s">
        <v>9827</v>
      </c>
      <c r="L1576" s="10" t="s">
        <v>17598</v>
      </c>
      <c r="M1576" s="9" t="s">
        <v>17599</v>
      </c>
      <c r="N1576" s="10" t="s">
        <v>17</v>
      </c>
      <c r="O1576" s="15">
        <v>13333200</v>
      </c>
      <c r="P1576" s="145">
        <v>525787</v>
      </c>
      <c r="Q1576" s="9" t="s">
        <v>23304</v>
      </c>
      <c r="R1576" s="146" t="s">
        <v>23682</v>
      </c>
      <c r="T1576" s="92" t="s">
        <v>14254</v>
      </c>
      <c r="U1576">
        <v>1</v>
      </c>
      <c r="V1576">
        <f>VLOOKUP(T1576,'Data Angt'!$A$5:$F$5810,6,FALSE)</f>
        <v>54</v>
      </c>
      <c r="W1576" s="5" t="str">
        <f t="shared" si="24"/>
        <v>PRODUKTIF</v>
      </c>
      <c r="X1576" s="5" t="str">
        <f>VLOOKUP(T1576,'Data Angt'!$A$5:$H$5810,8,FALSE)</f>
        <v>Wiraswasta</v>
      </c>
      <c r="Y1576" s="5" t="str">
        <f>VLOOKUP(T1576,'Data Angt'!$A$5:$C$5808,3,FALSE)</f>
        <v>MJK</v>
      </c>
    </row>
    <row r="1577" spans="1:25" x14ac:dyDescent="0.3">
      <c r="A1577" s="8">
        <v>1571</v>
      </c>
      <c r="B1577" s="9" t="s">
        <v>15038</v>
      </c>
      <c r="C1577" s="10" t="str">
        <f>VLOOKUP(B1577,'Data Angt'!$A$5:$B$5809,2,FALSE)</f>
        <v>A5477</v>
      </c>
      <c r="D1577" s="11" t="s">
        <v>9829</v>
      </c>
      <c r="E1577" s="12" t="s">
        <v>17600</v>
      </c>
      <c r="F1577" s="13">
        <v>45772</v>
      </c>
      <c r="G1577" s="14">
        <v>45930</v>
      </c>
      <c r="H1577" s="15">
        <v>2000000</v>
      </c>
      <c r="I1577" s="16">
        <v>6</v>
      </c>
      <c r="J1577" s="17">
        <v>24</v>
      </c>
      <c r="K1577" s="9" t="s">
        <v>9827</v>
      </c>
      <c r="L1577" s="10" t="s">
        <v>17601</v>
      </c>
      <c r="M1577" s="9" t="s">
        <v>17602</v>
      </c>
      <c r="N1577" s="10" t="s">
        <v>9828</v>
      </c>
      <c r="O1577" s="15">
        <v>333000</v>
      </c>
      <c r="P1577" s="145">
        <v>50062</v>
      </c>
      <c r="Q1577" s="9"/>
      <c r="R1577" s="146"/>
      <c r="T1577" s="5" t="s">
        <v>14371</v>
      </c>
      <c r="U1577">
        <v>1</v>
      </c>
      <c r="V1577">
        <f>VLOOKUP(T1577,'Data Angt'!$A$5:$F$5810,6,FALSE)</f>
        <v>70</v>
      </c>
      <c r="W1577" s="5" t="str">
        <f t="shared" si="24"/>
        <v>KESEHATAN</v>
      </c>
      <c r="X1577" s="5" t="str">
        <f>VLOOKUP(T1577,'Data Angt'!$A$5:$H$5810,8,FALSE)</f>
        <v>Pensiunan</v>
      </c>
      <c r="Y1577" s="5" t="str">
        <f>VLOOKUP(T1577,'Data Angt'!$A$5:$C$5808,3,FALSE)</f>
        <v>MJK</v>
      </c>
    </row>
    <row r="1578" spans="1:25" x14ac:dyDescent="0.3">
      <c r="A1578" s="8">
        <v>1572</v>
      </c>
      <c r="B1578" s="9" t="s">
        <v>15040</v>
      </c>
      <c r="C1578" s="10" t="str">
        <f>VLOOKUP(B1578,'Data Angt'!$A$5:$B$5809,2,FALSE)</f>
        <v>A5478</v>
      </c>
      <c r="D1578" s="11" t="s">
        <v>9829</v>
      </c>
      <c r="E1578" s="12" t="s">
        <v>17603</v>
      </c>
      <c r="F1578" s="13">
        <v>45772</v>
      </c>
      <c r="G1578" s="14">
        <v>45930</v>
      </c>
      <c r="H1578" s="15">
        <v>2000000</v>
      </c>
      <c r="I1578" s="16">
        <v>6</v>
      </c>
      <c r="J1578" s="17">
        <v>24</v>
      </c>
      <c r="K1578" s="9" t="s">
        <v>9827</v>
      </c>
      <c r="L1578" s="10" t="s">
        <v>17604</v>
      </c>
      <c r="M1578" s="9" t="s">
        <v>17602</v>
      </c>
      <c r="N1578" s="10" t="s">
        <v>9828</v>
      </c>
      <c r="O1578" s="15">
        <v>333000</v>
      </c>
      <c r="P1578" s="145">
        <v>50062</v>
      </c>
      <c r="Q1578" s="9"/>
      <c r="R1578" s="146"/>
      <c r="T1578" s="5" t="s">
        <v>14411</v>
      </c>
      <c r="U1578">
        <v>1</v>
      </c>
      <c r="V1578">
        <f>VLOOKUP(T1578,'Data Angt'!$A$5:$F$5810,6,FALSE)</f>
        <v>59</v>
      </c>
      <c r="W1578" s="5" t="str">
        <f t="shared" si="24"/>
        <v>PRODUKTIF</v>
      </c>
      <c r="X1578" s="5" t="str">
        <f>VLOOKUP(T1578,'Data Angt'!$A$5:$H$5810,8,FALSE)</f>
        <v>Wiraswasta</v>
      </c>
      <c r="Y1578" s="5" t="str">
        <f>VLOOKUP(T1578,'Data Angt'!$A$5:$C$5808,3,FALSE)</f>
        <v>MJK</v>
      </c>
    </row>
    <row r="1579" spans="1:25" x14ac:dyDescent="0.3">
      <c r="A1579" s="8">
        <v>1573</v>
      </c>
      <c r="B1579" s="9" t="s">
        <v>15079</v>
      </c>
      <c r="C1579" s="10" t="str">
        <f>VLOOKUP(B1579,'Data Angt'!$A$5:$B$5809,2,FALSE)</f>
        <v>A5494</v>
      </c>
      <c r="D1579" s="11" t="s">
        <v>9829</v>
      </c>
      <c r="E1579" s="12" t="s">
        <v>17605</v>
      </c>
      <c r="F1579" s="13">
        <v>45779</v>
      </c>
      <c r="G1579" s="14">
        <v>45915</v>
      </c>
      <c r="H1579" s="15">
        <v>2000000</v>
      </c>
      <c r="I1579" s="16">
        <v>10</v>
      </c>
      <c r="J1579" s="17">
        <v>24</v>
      </c>
      <c r="K1579" s="9" t="s">
        <v>9827</v>
      </c>
      <c r="L1579" s="10" t="s">
        <v>17606</v>
      </c>
      <c r="M1579" s="9" t="s">
        <v>17390</v>
      </c>
      <c r="N1579" s="10" t="s">
        <v>9828</v>
      </c>
      <c r="O1579" s="15">
        <v>1200000</v>
      </c>
      <c r="P1579" s="145">
        <v>51000</v>
      </c>
      <c r="Q1579" s="9"/>
      <c r="R1579" s="146"/>
      <c r="T1579" s="5" t="s">
        <v>14526</v>
      </c>
      <c r="U1579">
        <v>1</v>
      </c>
      <c r="V1579">
        <f>VLOOKUP(T1579,'Data Angt'!$A$5:$F$5810,6,FALSE)</f>
        <v>62</v>
      </c>
      <c r="W1579" s="5" t="str">
        <f t="shared" si="24"/>
        <v>PRODUKTIF</v>
      </c>
      <c r="X1579" s="5" t="str">
        <f>VLOOKUP(T1579,'Data Angt'!$A$5:$H$5810,8,FALSE)</f>
        <v>Wiraswasta</v>
      </c>
      <c r="Y1579" s="5" t="str">
        <f>VLOOKUP(T1579,'Data Angt'!$A$5:$C$5808,3,FALSE)</f>
        <v>MJK</v>
      </c>
    </row>
    <row r="1580" spans="1:25" x14ac:dyDescent="0.3">
      <c r="A1580" s="8">
        <v>1574</v>
      </c>
      <c r="B1580" s="9" t="s">
        <v>15093</v>
      </c>
      <c r="C1580" s="10" t="str">
        <f>VLOOKUP(B1580,'Data Angt'!$A$5:$B$5809,2,FALSE)</f>
        <v>A5501</v>
      </c>
      <c r="D1580" s="11" t="s">
        <v>9833</v>
      </c>
      <c r="E1580" s="12" t="s">
        <v>17607</v>
      </c>
      <c r="F1580" s="13">
        <v>45784</v>
      </c>
      <c r="G1580" s="14">
        <v>45919</v>
      </c>
      <c r="H1580" s="15">
        <v>2000000</v>
      </c>
      <c r="I1580" s="16">
        <v>10</v>
      </c>
      <c r="J1580" s="17">
        <v>24</v>
      </c>
      <c r="K1580" s="9" t="s">
        <v>9827</v>
      </c>
      <c r="L1580" s="10" t="s">
        <v>17608</v>
      </c>
      <c r="M1580" s="9" t="s">
        <v>10732</v>
      </c>
      <c r="N1580" s="10" t="s">
        <v>9834</v>
      </c>
      <c r="O1580" s="15">
        <v>1200000</v>
      </c>
      <c r="P1580" s="145">
        <v>51000</v>
      </c>
      <c r="Q1580" s="9"/>
      <c r="R1580" s="146"/>
      <c r="T1580" s="5" t="s">
        <v>14551</v>
      </c>
      <c r="U1580">
        <v>1</v>
      </c>
      <c r="V1580">
        <f>VLOOKUP(T1580,'Data Angt'!$A$5:$F$5810,6,FALSE)</f>
        <v>48</v>
      </c>
      <c r="W1580" s="5" t="str">
        <f t="shared" si="24"/>
        <v>PRODUKTIF</v>
      </c>
      <c r="X1580" s="5" t="str">
        <f>VLOOKUP(T1580,'Data Angt'!$A$5:$H$5810,8,FALSE)</f>
        <v>Wiraswasta</v>
      </c>
      <c r="Y1580" s="5" t="str">
        <f>VLOOKUP(T1580,'Data Angt'!$A$5:$C$5808,3,FALSE)</f>
        <v>MJK</v>
      </c>
    </row>
    <row r="1581" spans="1:25" x14ac:dyDescent="0.3">
      <c r="A1581" s="8">
        <v>1575</v>
      </c>
      <c r="B1581" s="9" t="s">
        <v>15104</v>
      </c>
      <c r="C1581" s="10" t="str">
        <f>VLOOKUP(B1581,'Data Angt'!$A$5:$B$5809,2,FALSE)</f>
        <v>A5507</v>
      </c>
      <c r="D1581" s="11" t="s">
        <v>9833</v>
      </c>
      <c r="E1581" s="12" t="s">
        <v>17609</v>
      </c>
      <c r="F1581" s="13">
        <v>45785</v>
      </c>
      <c r="G1581" s="14">
        <v>45901</v>
      </c>
      <c r="H1581" s="15">
        <v>5000000</v>
      </c>
      <c r="I1581" s="16">
        <v>12</v>
      </c>
      <c r="J1581" s="17">
        <v>24</v>
      </c>
      <c r="K1581" s="9" t="s">
        <v>9827</v>
      </c>
      <c r="L1581" s="10" t="s">
        <v>17610</v>
      </c>
      <c r="M1581" s="9" t="s">
        <v>17611</v>
      </c>
      <c r="N1581" s="10" t="s">
        <v>9834</v>
      </c>
      <c r="O1581" s="15">
        <v>3333200</v>
      </c>
      <c r="P1581" s="145">
        <v>131287</v>
      </c>
      <c r="Q1581" s="9" t="s">
        <v>23304</v>
      </c>
      <c r="R1581" s="146" t="s">
        <v>23683</v>
      </c>
      <c r="T1581" s="5" t="s">
        <v>14620</v>
      </c>
      <c r="U1581">
        <v>1</v>
      </c>
      <c r="V1581">
        <f>VLOOKUP(T1581,'Data Angt'!$A$5:$F$5810,6,FALSE)</f>
        <v>63</v>
      </c>
      <c r="W1581" s="5" t="str">
        <f t="shared" si="24"/>
        <v>KONSUMTIF</v>
      </c>
      <c r="X1581" s="5" t="str">
        <f>VLOOKUP(T1581,'Data Angt'!$A$5:$H$5810,8,FALSE)</f>
        <v>Wiraswasta</v>
      </c>
      <c r="Y1581" s="5" t="str">
        <f>VLOOKUP(T1581,'Data Angt'!$A$5:$C$5808,3,FALSE)</f>
        <v>MJK</v>
      </c>
    </row>
    <row r="1582" spans="1:25" x14ac:dyDescent="0.3">
      <c r="A1582" s="8">
        <v>1576</v>
      </c>
      <c r="B1582" s="9" t="s">
        <v>15109</v>
      </c>
      <c r="C1582" s="10" t="str">
        <f>VLOOKUP(B1582,'Data Angt'!$A$5:$B$5809,2,FALSE)</f>
        <v>A5509</v>
      </c>
      <c r="D1582" s="11" t="s">
        <v>9833</v>
      </c>
      <c r="E1582" s="12" t="s">
        <v>17612</v>
      </c>
      <c r="F1582" s="13">
        <v>45792</v>
      </c>
      <c r="G1582" s="14">
        <v>45923</v>
      </c>
      <c r="H1582" s="15">
        <v>2000000</v>
      </c>
      <c r="I1582" s="16">
        <v>10</v>
      </c>
      <c r="J1582" s="17">
        <v>24</v>
      </c>
      <c r="K1582" s="9" t="s">
        <v>9827</v>
      </c>
      <c r="L1582" s="10" t="s">
        <v>17613</v>
      </c>
      <c r="M1582" s="9" t="s">
        <v>17614</v>
      </c>
      <c r="N1582" s="10" t="s">
        <v>9834</v>
      </c>
      <c r="O1582" s="15">
        <v>1200000</v>
      </c>
      <c r="P1582" s="145">
        <v>51000</v>
      </c>
      <c r="Q1582" s="9"/>
      <c r="R1582" s="146"/>
      <c r="T1582" s="5" t="s">
        <v>14657</v>
      </c>
      <c r="U1582">
        <v>1</v>
      </c>
      <c r="V1582">
        <f>VLOOKUP(T1582,'Data Angt'!$A$5:$F$5810,6,FALSE)</f>
        <v>41</v>
      </c>
      <c r="W1582" s="5" t="str">
        <f t="shared" si="24"/>
        <v>PRODUKTIF</v>
      </c>
      <c r="X1582" s="5" t="str">
        <f>VLOOKUP(T1582,'Data Angt'!$A$5:$H$5810,8,FALSE)</f>
        <v>Wiraswasta</v>
      </c>
      <c r="Y1582" s="5" t="str">
        <f>VLOOKUP(T1582,'Data Angt'!$A$5:$C$5808,3,FALSE)</f>
        <v>MJK</v>
      </c>
    </row>
    <row r="1583" spans="1:25" x14ac:dyDescent="0.3">
      <c r="A1583" s="8">
        <v>1577</v>
      </c>
      <c r="B1583" s="9" t="s">
        <v>15143</v>
      </c>
      <c r="C1583" s="10" t="str">
        <f>VLOOKUP(B1583,'Data Angt'!$A$5:$B$5809,2,FALSE)</f>
        <v>A5525</v>
      </c>
      <c r="D1583" s="11" t="s">
        <v>9833</v>
      </c>
      <c r="E1583" s="12" t="s">
        <v>23684</v>
      </c>
      <c r="F1583" s="13">
        <v>45867</v>
      </c>
      <c r="G1583" s="14">
        <v>45929</v>
      </c>
      <c r="H1583" s="15">
        <v>3000000</v>
      </c>
      <c r="I1583" s="16">
        <v>6</v>
      </c>
      <c r="J1583" s="17">
        <v>24</v>
      </c>
      <c r="K1583" s="9" t="s">
        <v>9827</v>
      </c>
      <c r="L1583" s="10" t="s">
        <v>23685</v>
      </c>
      <c r="M1583" s="9" t="s">
        <v>23686</v>
      </c>
      <c r="N1583" s="10" t="s">
        <v>9834</v>
      </c>
      <c r="O1583" s="15">
        <v>2000000</v>
      </c>
      <c r="P1583" s="145">
        <v>41250</v>
      </c>
      <c r="Q1583" s="9"/>
      <c r="R1583" s="146"/>
      <c r="T1583" s="5" t="s">
        <v>14694</v>
      </c>
      <c r="U1583">
        <v>2</v>
      </c>
      <c r="V1583">
        <f>VLOOKUP(T1583,'Data Angt'!$A$5:$F$5810,6,FALSE)</f>
        <v>44</v>
      </c>
      <c r="W1583" s="5" t="str">
        <f t="shared" si="24"/>
        <v>PRODUKTIF</v>
      </c>
      <c r="X1583" s="5" t="str">
        <f>VLOOKUP(T1583,'Data Angt'!$A$5:$H$5810,8,FALSE)</f>
        <v>Wiraswasta</v>
      </c>
      <c r="Y1583" s="5" t="str">
        <f>VLOOKUP(T1583,'Data Angt'!$A$5:$C$5808,3,FALSE)</f>
        <v>MJK</v>
      </c>
    </row>
    <row r="1584" spans="1:25" x14ac:dyDescent="0.3">
      <c r="A1584" s="8">
        <v>1578</v>
      </c>
      <c r="B1584" s="9" t="s">
        <v>15146</v>
      </c>
      <c r="C1584" s="10" t="str">
        <f>VLOOKUP(B1584,'Data Angt'!$A$5:$B$5809,2,FALSE)</f>
        <v>A5527</v>
      </c>
      <c r="D1584" s="11" t="s">
        <v>9833</v>
      </c>
      <c r="E1584" s="12" t="s">
        <v>17615</v>
      </c>
      <c r="F1584" s="13">
        <v>45797</v>
      </c>
      <c r="G1584" s="14">
        <v>45930</v>
      </c>
      <c r="H1584" s="15">
        <v>2000000</v>
      </c>
      <c r="I1584" s="16">
        <v>10</v>
      </c>
      <c r="J1584" s="17">
        <v>24</v>
      </c>
      <c r="K1584" s="9" t="s">
        <v>9827</v>
      </c>
      <c r="L1584" s="10" t="s">
        <v>17616</v>
      </c>
      <c r="M1584" s="9" t="s">
        <v>17506</v>
      </c>
      <c r="N1584" s="10" t="s">
        <v>9834</v>
      </c>
      <c r="O1584" s="15">
        <v>1200000</v>
      </c>
      <c r="P1584" s="145">
        <v>51000</v>
      </c>
      <c r="Q1584" s="9"/>
      <c r="R1584" s="146"/>
      <c r="T1584" s="5" t="s">
        <v>14696</v>
      </c>
      <c r="U1584">
        <v>1</v>
      </c>
      <c r="V1584">
        <f>VLOOKUP(T1584,'Data Angt'!$A$5:$F$5810,6,FALSE)</f>
        <v>50</v>
      </c>
      <c r="W1584" s="5" t="str">
        <f t="shared" si="24"/>
        <v>PRODUKTIF</v>
      </c>
      <c r="X1584" s="5" t="str">
        <f>VLOOKUP(T1584,'Data Angt'!$A$5:$H$5810,8,FALSE)</f>
        <v>Mengurus Rumah Tangga</v>
      </c>
      <c r="Y1584" s="5" t="str">
        <f>VLOOKUP(T1584,'Data Angt'!$A$5:$C$5808,3,FALSE)</f>
        <v>MJK</v>
      </c>
    </row>
    <row r="1585" spans="1:25" x14ac:dyDescent="0.3">
      <c r="A1585" s="8">
        <v>1579</v>
      </c>
      <c r="B1585" s="9" t="s">
        <v>15147</v>
      </c>
      <c r="C1585" s="10" t="str">
        <f>VLOOKUP(B1585,'Data Angt'!$A$5:$B$5809,2,FALSE)</f>
        <v>A5528</v>
      </c>
      <c r="D1585" s="11" t="s">
        <v>9833</v>
      </c>
      <c r="E1585" s="12" t="s">
        <v>17617</v>
      </c>
      <c r="F1585" s="13">
        <v>45838</v>
      </c>
      <c r="G1585" s="14">
        <v>45930</v>
      </c>
      <c r="H1585" s="15">
        <v>1000000</v>
      </c>
      <c r="I1585" s="16">
        <v>6</v>
      </c>
      <c r="J1585" s="17">
        <v>24</v>
      </c>
      <c r="K1585" s="9" t="s">
        <v>9827</v>
      </c>
      <c r="L1585" s="10" t="s">
        <v>17618</v>
      </c>
      <c r="M1585" s="9" t="s">
        <v>17443</v>
      </c>
      <c r="N1585" s="10" t="s">
        <v>9834</v>
      </c>
      <c r="O1585" s="15">
        <v>499900</v>
      </c>
      <c r="P1585" s="145">
        <v>18787</v>
      </c>
      <c r="Q1585" s="9"/>
      <c r="R1585" s="146"/>
      <c r="T1585" s="5" t="s">
        <v>14717</v>
      </c>
      <c r="U1585">
        <v>1</v>
      </c>
      <c r="V1585">
        <f>VLOOKUP(T1585,'Data Angt'!$A$5:$F$5810,6,FALSE)</f>
        <v>54</v>
      </c>
      <c r="W1585" s="5" t="str">
        <f t="shared" si="24"/>
        <v>PRODUKTIF</v>
      </c>
      <c r="X1585" s="5" t="str">
        <f>VLOOKUP(T1585,'Data Angt'!$A$5:$H$5810,8,FALSE)</f>
        <v>Wiraswasta</v>
      </c>
      <c r="Y1585" s="5" t="str">
        <f>VLOOKUP(T1585,'Data Angt'!$A$5:$C$5808,3,FALSE)</f>
        <v>MJK</v>
      </c>
    </row>
    <row r="1586" spans="1:25" x14ac:dyDescent="0.3">
      <c r="A1586" s="8">
        <v>1580</v>
      </c>
      <c r="B1586" s="9" t="s">
        <v>15152</v>
      </c>
      <c r="C1586" s="10" t="str">
        <f>VLOOKUP(B1586,'Data Angt'!$A$5:$B$5809,2,FALSE)</f>
        <v>A5530</v>
      </c>
      <c r="D1586" s="11" t="s">
        <v>9833</v>
      </c>
      <c r="E1586" s="12" t="s">
        <v>17619</v>
      </c>
      <c r="F1586" s="13">
        <v>45805</v>
      </c>
      <c r="G1586" s="14">
        <v>45930</v>
      </c>
      <c r="H1586" s="15">
        <v>2000000</v>
      </c>
      <c r="I1586" s="16">
        <v>10</v>
      </c>
      <c r="J1586" s="17">
        <v>24</v>
      </c>
      <c r="K1586" s="9" t="s">
        <v>9827</v>
      </c>
      <c r="L1586" s="10" t="s">
        <v>17620</v>
      </c>
      <c r="M1586" s="9" t="s">
        <v>17443</v>
      </c>
      <c r="N1586" s="10" t="s">
        <v>9834</v>
      </c>
      <c r="O1586" s="15">
        <v>1200000</v>
      </c>
      <c r="P1586" s="145">
        <v>51000</v>
      </c>
      <c r="Q1586" s="9"/>
      <c r="R1586" s="146"/>
      <c r="T1586" s="5" t="s">
        <v>14738</v>
      </c>
      <c r="U1586">
        <v>1</v>
      </c>
      <c r="V1586">
        <f>VLOOKUP(T1586,'Data Angt'!$A$5:$F$5810,6,FALSE)</f>
        <v>39</v>
      </c>
      <c r="W1586" s="5" t="str">
        <f t="shared" si="24"/>
        <v>PENDIDIKAN</v>
      </c>
      <c r="X1586" s="5" t="str">
        <f>VLOOKUP(T1586,'Data Angt'!$A$5:$H$5810,8,FALSE)</f>
        <v>Wiraswasta</v>
      </c>
      <c r="Y1586" s="5" t="str">
        <f>VLOOKUP(T1586,'Data Angt'!$A$5:$C$5808,3,FALSE)</f>
        <v>MJK</v>
      </c>
    </row>
    <row r="1587" spans="1:25" x14ac:dyDescent="0.3">
      <c r="A1587" s="8">
        <v>1581</v>
      </c>
      <c r="B1587" s="9" t="s">
        <v>15198</v>
      </c>
      <c r="C1587" s="10" t="str">
        <f>VLOOKUP(B1587,'Data Angt'!$A$5:$B$5809,2,FALSE)</f>
        <v>A5549</v>
      </c>
      <c r="D1587" s="11" t="s">
        <v>9829</v>
      </c>
      <c r="E1587" s="12" t="s">
        <v>17621</v>
      </c>
      <c r="F1587" s="13">
        <v>45804</v>
      </c>
      <c r="G1587" s="14">
        <v>45926</v>
      </c>
      <c r="H1587" s="15">
        <v>2000000</v>
      </c>
      <c r="I1587" s="16">
        <v>10</v>
      </c>
      <c r="J1587" s="17">
        <v>24</v>
      </c>
      <c r="K1587" s="9" t="s">
        <v>9827</v>
      </c>
      <c r="L1587" s="10" t="s">
        <v>17622</v>
      </c>
      <c r="M1587" s="9" t="s">
        <v>17623</v>
      </c>
      <c r="N1587" s="10" t="s">
        <v>9828</v>
      </c>
      <c r="O1587" s="15">
        <v>1200000</v>
      </c>
      <c r="P1587" s="145">
        <v>51000</v>
      </c>
      <c r="Q1587" s="9"/>
      <c r="R1587" s="146"/>
      <c r="T1587" s="5" t="s">
        <v>14779</v>
      </c>
      <c r="U1587">
        <v>1</v>
      </c>
      <c r="V1587">
        <f>VLOOKUP(T1587,'Data Angt'!$A$5:$F$5810,6,FALSE)</f>
        <v>59</v>
      </c>
      <c r="W1587" s="5" t="str">
        <f t="shared" si="24"/>
        <v>PRODUKTIF</v>
      </c>
      <c r="X1587" s="5" t="str">
        <f>VLOOKUP(T1587,'Data Angt'!$A$5:$H$5810,8,FALSE)</f>
        <v>Wiraswasta</v>
      </c>
      <c r="Y1587" s="5" t="str">
        <f>VLOOKUP(T1587,'Data Angt'!$A$5:$C$5808,3,FALSE)</f>
        <v>MJK</v>
      </c>
    </row>
    <row r="1588" spans="1:25" x14ac:dyDescent="0.3">
      <c r="A1588" s="8">
        <v>1582</v>
      </c>
      <c r="B1588" s="9" t="s">
        <v>15226</v>
      </c>
      <c r="C1588" s="10" t="str">
        <f>VLOOKUP(B1588,'Data Angt'!$A$5:$B$5809,2,FALSE)</f>
        <v>A5561</v>
      </c>
      <c r="D1588" s="11" t="s">
        <v>9833</v>
      </c>
      <c r="E1588" s="12" t="s">
        <v>17624</v>
      </c>
      <c r="F1588" s="13">
        <v>45810</v>
      </c>
      <c r="G1588" s="14">
        <v>45903</v>
      </c>
      <c r="H1588" s="15">
        <v>2000000</v>
      </c>
      <c r="I1588" s="16">
        <v>6</v>
      </c>
      <c r="J1588" s="17">
        <v>24</v>
      </c>
      <c r="K1588" s="9" t="s">
        <v>9827</v>
      </c>
      <c r="L1588" s="10" t="s">
        <v>17625</v>
      </c>
      <c r="M1588" s="9" t="s">
        <v>17443</v>
      </c>
      <c r="N1588" s="10" t="s">
        <v>9834</v>
      </c>
      <c r="O1588" s="15">
        <v>999800</v>
      </c>
      <c r="P1588" s="145">
        <v>37537</v>
      </c>
      <c r="Q1588" s="9"/>
      <c r="R1588" s="146"/>
      <c r="T1588" s="5" t="s">
        <v>14783</v>
      </c>
      <c r="U1588">
        <v>1</v>
      </c>
      <c r="V1588">
        <f>VLOOKUP(T1588,'Data Angt'!$A$5:$F$5810,6,FALSE)</f>
        <v>49</v>
      </c>
      <c r="W1588" s="5" t="str">
        <f t="shared" si="24"/>
        <v>PRODUKTIF</v>
      </c>
      <c r="X1588" s="5" t="str">
        <f>VLOOKUP(T1588,'Data Angt'!$A$5:$H$5810,8,FALSE)</f>
        <v>Wiraswasta</v>
      </c>
      <c r="Y1588" s="5" t="str">
        <f>VLOOKUP(T1588,'Data Angt'!$A$5:$C$5808,3,FALSE)</f>
        <v>MJK</v>
      </c>
    </row>
    <row r="1589" spans="1:25" x14ac:dyDescent="0.3">
      <c r="A1589" s="8">
        <v>1583</v>
      </c>
      <c r="B1589" s="9" t="s">
        <v>15248</v>
      </c>
      <c r="C1589" s="10" t="str">
        <f>VLOOKUP(B1589,'Data Angt'!$A$5:$B$5809,2,FALSE)</f>
        <v>A5570</v>
      </c>
      <c r="D1589" s="11" t="s">
        <v>9833</v>
      </c>
      <c r="E1589" s="12" t="s">
        <v>17626</v>
      </c>
      <c r="F1589" s="13">
        <v>45813</v>
      </c>
      <c r="G1589" s="14">
        <v>45916</v>
      </c>
      <c r="H1589" s="15">
        <v>1500000</v>
      </c>
      <c r="I1589" s="16">
        <v>6</v>
      </c>
      <c r="J1589" s="17">
        <v>24</v>
      </c>
      <c r="K1589" s="9" t="s">
        <v>9827</v>
      </c>
      <c r="L1589" s="10" t="s">
        <v>17627</v>
      </c>
      <c r="M1589" s="9" t="s">
        <v>10570</v>
      </c>
      <c r="N1589" s="10" t="s">
        <v>9834</v>
      </c>
      <c r="O1589" s="15">
        <v>750000</v>
      </c>
      <c r="P1589" s="145">
        <v>28125</v>
      </c>
      <c r="Q1589" s="9"/>
      <c r="R1589" s="146"/>
      <c r="T1589" s="5" t="s">
        <v>14785</v>
      </c>
      <c r="U1589">
        <v>1</v>
      </c>
      <c r="V1589">
        <f>VLOOKUP(T1589,'Data Angt'!$A$5:$F$5810,6,FALSE)</f>
        <v>48</v>
      </c>
      <c r="W1589" s="5" t="str">
        <f t="shared" si="24"/>
        <v>PRODUKTIF</v>
      </c>
      <c r="X1589" s="5" t="str">
        <f>VLOOKUP(T1589,'Data Angt'!$A$5:$H$5810,8,FALSE)</f>
        <v>Wiraswasta</v>
      </c>
      <c r="Y1589" s="5" t="str">
        <f>VLOOKUP(T1589,'Data Angt'!$A$5:$C$5808,3,FALSE)</f>
        <v>MJK</v>
      </c>
    </row>
    <row r="1590" spans="1:25" x14ac:dyDescent="0.3">
      <c r="A1590" s="8">
        <v>1584</v>
      </c>
      <c r="B1590" s="9" t="s">
        <v>15279</v>
      </c>
      <c r="C1590" s="10" t="str">
        <f>VLOOKUP(B1590,'Data Angt'!$A$5:$B$5809,2,FALSE)</f>
        <v>A5587</v>
      </c>
      <c r="D1590" s="11" t="s">
        <v>9829</v>
      </c>
      <c r="E1590" s="12" t="s">
        <v>17628</v>
      </c>
      <c r="F1590" s="13">
        <v>45828</v>
      </c>
      <c r="G1590" s="14">
        <v>45930</v>
      </c>
      <c r="H1590" s="15">
        <v>2000000</v>
      </c>
      <c r="I1590" s="16">
        <v>8</v>
      </c>
      <c r="J1590" s="17">
        <v>24</v>
      </c>
      <c r="K1590" s="9" t="s">
        <v>9827</v>
      </c>
      <c r="L1590" s="10" t="s">
        <v>17629</v>
      </c>
      <c r="M1590" s="9" t="s">
        <v>10352</v>
      </c>
      <c r="N1590" s="10" t="s">
        <v>9828</v>
      </c>
      <c r="O1590" s="15">
        <v>1250000</v>
      </c>
      <c r="P1590" s="145">
        <v>39375</v>
      </c>
      <c r="Q1590" s="9"/>
      <c r="R1590" s="146"/>
      <c r="T1590" s="5" t="s">
        <v>14792</v>
      </c>
      <c r="U1590">
        <v>1</v>
      </c>
      <c r="V1590">
        <f>VLOOKUP(T1590,'Data Angt'!$A$5:$F$5810,6,FALSE)</f>
        <v>45</v>
      </c>
      <c r="W1590" s="5" t="str">
        <f t="shared" si="24"/>
        <v>PRODUKTIF</v>
      </c>
      <c r="X1590" s="5" t="str">
        <f>VLOOKUP(T1590,'Data Angt'!$A$5:$H$5810,8,FALSE)</f>
        <v>Wiraswasta</v>
      </c>
      <c r="Y1590" s="5" t="str">
        <f>VLOOKUP(T1590,'Data Angt'!$A$5:$C$5808,3,FALSE)</f>
        <v>MJK</v>
      </c>
    </row>
    <row r="1591" spans="1:25" x14ac:dyDescent="0.3">
      <c r="A1591" s="8">
        <v>1585</v>
      </c>
      <c r="B1591" s="9" t="s">
        <v>18867</v>
      </c>
      <c r="C1591" s="10" t="str">
        <f>VLOOKUP(B1591,'Data Angt'!$A$5:$B$5809,2,FALSE)</f>
        <v>A5613</v>
      </c>
      <c r="D1591" s="11" t="s">
        <v>9829</v>
      </c>
      <c r="E1591" s="12" t="s">
        <v>23687</v>
      </c>
      <c r="F1591" s="13">
        <v>45842</v>
      </c>
      <c r="G1591" s="14">
        <v>45913</v>
      </c>
      <c r="H1591" s="15">
        <v>5000000</v>
      </c>
      <c r="I1591" s="16">
        <v>10</v>
      </c>
      <c r="J1591" s="17">
        <v>24</v>
      </c>
      <c r="K1591" s="9" t="s">
        <v>9827</v>
      </c>
      <c r="L1591" s="10" t="s">
        <v>23688</v>
      </c>
      <c r="M1591" s="9" t="s">
        <v>9838</v>
      </c>
      <c r="N1591" s="10" t="s">
        <v>9828</v>
      </c>
      <c r="O1591" s="15">
        <v>4000000</v>
      </c>
      <c r="P1591" s="145">
        <v>71250</v>
      </c>
      <c r="Q1591" s="9" t="s">
        <v>23304</v>
      </c>
      <c r="R1591" s="146" t="s">
        <v>23689</v>
      </c>
      <c r="T1591" s="5" t="s">
        <v>14796</v>
      </c>
      <c r="U1591">
        <v>1</v>
      </c>
      <c r="V1591">
        <f>VLOOKUP(T1591,'Data Angt'!$A$5:$F$5810,6,FALSE)</f>
        <v>55</v>
      </c>
      <c r="W1591" s="5" t="str">
        <f t="shared" si="24"/>
        <v>PRODUKTIF</v>
      </c>
      <c r="X1591" s="5" t="str">
        <f>VLOOKUP(T1591,'Data Angt'!$A$5:$H$5810,8,FALSE)</f>
        <v>Wiraswasta</v>
      </c>
      <c r="Y1591" s="5" t="str">
        <f>VLOOKUP(T1591,'Data Angt'!$A$5:$C$5808,3,FALSE)</f>
        <v>MJK</v>
      </c>
    </row>
    <row r="1592" spans="1:25" x14ac:dyDescent="0.3">
      <c r="A1592" s="8">
        <v>1586</v>
      </c>
      <c r="B1592" s="9" t="s">
        <v>18916</v>
      </c>
      <c r="C1592" s="10" t="str">
        <f>VLOOKUP(B1592,'Data Angt'!$A$5:$B$5809,2,FALSE)</f>
        <v>A5633</v>
      </c>
      <c r="D1592" s="11" t="s">
        <v>9829</v>
      </c>
      <c r="E1592" s="12" t="s">
        <v>23690</v>
      </c>
      <c r="F1592" s="13">
        <v>45857</v>
      </c>
      <c r="G1592" s="14">
        <v>45919</v>
      </c>
      <c r="H1592" s="15">
        <v>5000000</v>
      </c>
      <c r="I1592" s="16">
        <v>24</v>
      </c>
      <c r="J1592" s="17">
        <v>24</v>
      </c>
      <c r="K1592" s="9" t="s">
        <v>9827</v>
      </c>
      <c r="L1592" s="10" t="s">
        <v>23691</v>
      </c>
      <c r="M1592" s="9" t="s">
        <v>10498</v>
      </c>
      <c r="N1592" s="10" t="s">
        <v>9828</v>
      </c>
      <c r="O1592" s="15">
        <v>4583200</v>
      </c>
      <c r="P1592" s="145">
        <v>73462</v>
      </c>
      <c r="Q1592" s="9" t="s">
        <v>23304</v>
      </c>
      <c r="R1592" s="146" t="s">
        <v>23692</v>
      </c>
      <c r="T1592" s="5" t="s">
        <v>15043</v>
      </c>
      <c r="U1592">
        <v>1</v>
      </c>
      <c r="V1592">
        <f>VLOOKUP(T1592,'Data Angt'!$A$5:$F$5810,6,FALSE)</f>
        <v>48</v>
      </c>
      <c r="W1592" s="5" t="str">
        <f t="shared" si="24"/>
        <v>PRODUKTIF</v>
      </c>
      <c r="X1592" s="5" t="str">
        <f>VLOOKUP(T1592,'Data Angt'!$A$5:$H$5810,8,FALSE)</f>
        <v>Wiraswasta</v>
      </c>
      <c r="Y1592" s="5" t="str">
        <f>VLOOKUP(T1592,'Data Angt'!$A$5:$C$5808,3,FALSE)</f>
        <v>MJK</v>
      </c>
    </row>
    <row r="1593" spans="1:25" x14ac:dyDescent="0.3">
      <c r="A1593" s="8">
        <v>1587</v>
      </c>
      <c r="B1593" s="9" t="s">
        <v>18936</v>
      </c>
      <c r="C1593" s="10" t="str">
        <f>VLOOKUP(B1593,'Data Angt'!$A$5:$B$5809,2,FALSE)</f>
        <v>A5642</v>
      </c>
      <c r="D1593" s="11" t="s">
        <v>9833</v>
      </c>
      <c r="E1593" s="12" t="s">
        <v>23693</v>
      </c>
      <c r="F1593" s="13">
        <v>45859</v>
      </c>
      <c r="G1593" s="14">
        <v>45930</v>
      </c>
      <c r="H1593" s="15">
        <v>2000000</v>
      </c>
      <c r="I1593" s="16">
        <v>10</v>
      </c>
      <c r="J1593" s="17">
        <v>24</v>
      </c>
      <c r="K1593" s="9" t="s">
        <v>9827</v>
      </c>
      <c r="L1593" s="10" t="s">
        <v>23694</v>
      </c>
      <c r="M1593" s="9" t="s">
        <v>23695</v>
      </c>
      <c r="N1593" s="10" t="s">
        <v>9834</v>
      </c>
      <c r="O1593" s="15">
        <v>1600000</v>
      </c>
      <c r="P1593" s="145">
        <v>28500</v>
      </c>
      <c r="Q1593" s="9"/>
      <c r="R1593" s="146"/>
      <c r="T1593" s="5" t="s">
        <v>15261</v>
      </c>
      <c r="U1593">
        <v>1</v>
      </c>
      <c r="V1593">
        <f>VLOOKUP(T1593,'Data Angt'!$A$5:$F$5810,6,FALSE)</f>
        <v>19</v>
      </c>
      <c r="W1593" s="5" t="str">
        <f t="shared" si="24"/>
        <v>KONSUMTIF</v>
      </c>
      <c r="X1593" s="5" t="str">
        <f>VLOOKUP(T1593,'Data Angt'!$A$5:$H$5810,8,FALSE)</f>
        <v>Karyawan</v>
      </c>
      <c r="Y1593" s="5" t="str">
        <f>VLOOKUP(T1593,'Data Angt'!$A$5:$C$5808,3,FALSE)</f>
        <v>MJK</v>
      </c>
    </row>
    <row r="1594" spans="1:25" x14ac:dyDescent="0.3">
      <c r="A1594" s="8">
        <v>1588</v>
      </c>
      <c r="B1594" s="9" t="s">
        <v>18954</v>
      </c>
      <c r="C1594" s="10" t="str">
        <f>VLOOKUP(B1594,'Data Angt'!$A$5:$B$5809,2,FALSE)</f>
        <v>A5651</v>
      </c>
      <c r="D1594" s="11" t="s">
        <v>9833</v>
      </c>
      <c r="E1594" s="12" t="s">
        <v>23696</v>
      </c>
      <c r="F1594" s="13">
        <v>45887</v>
      </c>
      <c r="G1594" s="14">
        <v>45912</v>
      </c>
      <c r="H1594" s="15">
        <v>500000</v>
      </c>
      <c r="I1594" s="16">
        <v>4</v>
      </c>
      <c r="J1594" s="17">
        <v>24</v>
      </c>
      <c r="K1594" s="9" t="s">
        <v>9827</v>
      </c>
      <c r="L1594" s="10" t="s">
        <v>23697</v>
      </c>
      <c r="M1594" s="9" t="s">
        <v>17443</v>
      </c>
      <c r="N1594" s="10" t="s">
        <v>9834</v>
      </c>
      <c r="O1594" s="15">
        <v>375000</v>
      </c>
      <c r="P1594" s="145">
        <v>3750</v>
      </c>
      <c r="Q1594" s="9"/>
      <c r="R1594" s="146"/>
      <c r="T1594" s="5" t="s">
        <v>15276</v>
      </c>
      <c r="U1594">
        <v>1</v>
      </c>
      <c r="V1594">
        <f>VLOOKUP(T1594,'Data Angt'!$A$5:$F$5810,6,FALSE)</f>
        <v>52</v>
      </c>
      <c r="W1594" s="5" t="str">
        <f t="shared" si="24"/>
        <v>PENDIDIKAN</v>
      </c>
      <c r="X1594" s="5" t="str">
        <f>VLOOKUP(T1594,'Data Angt'!$A$5:$H$5810,8,FALSE)</f>
        <v>Wiraswasta</v>
      </c>
      <c r="Y1594" s="5" t="str">
        <f>VLOOKUP(T1594,'Data Angt'!$A$5:$C$5808,3,FALSE)</f>
        <v>MJK</v>
      </c>
    </row>
    <row r="1595" spans="1:25" x14ac:dyDescent="0.3">
      <c r="A1595" s="8">
        <v>1589</v>
      </c>
      <c r="B1595" s="9" t="s">
        <v>18977</v>
      </c>
      <c r="C1595" s="10" t="str">
        <f>VLOOKUP(B1595,'Data Angt'!$A$5:$B$5809,2,FALSE)</f>
        <v>A5662</v>
      </c>
      <c r="D1595" s="11" t="s">
        <v>9829</v>
      </c>
      <c r="E1595" s="12" t="s">
        <v>23698</v>
      </c>
      <c r="F1595" s="13">
        <v>45868</v>
      </c>
      <c r="G1595" s="14">
        <v>45923</v>
      </c>
      <c r="H1595" s="15">
        <v>2500000</v>
      </c>
      <c r="I1595" s="16">
        <v>3</v>
      </c>
      <c r="J1595" s="17">
        <v>24</v>
      </c>
      <c r="K1595" s="9" t="s">
        <v>9827</v>
      </c>
      <c r="L1595" s="10" t="s">
        <v>23699</v>
      </c>
      <c r="M1595" s="9" t="s">
        <v>23700</v>
      </c>
      <c r="N1595" s="10" t="s">
        <v>9828</v>
      </c>
      <c r="O1595" s="15">
        <v>833200</v>
      </c>
      <c r="P1595" s="145">
        <v>31275</v>
      </c>
      <c r="Q1595" s="9"/>
      <c r="R1595" s="146"/>
      <c r="T1595" s="5" t="s">
        <v>15286</v>
      </c>
      <c r="U1595">
        <v>1</v>
      </c>
      <c r="V1595">
        <f>VLOOKUP(T1595,'Data Angt'!$A$5:$F$5810,6,FALSE)</f>
        <v>49</v>
      </c>
      <c r="W1595" s="5" t="str">
        <f t="shared" si="24"/>
        <v>PRODUKTIF</v>
      </c>
      <c r="X1595" s="5" t="str">
        <f>VLOOKUP(T1595,'Data Angt'!$A$5:$H$5810,8,FALSE)</f>
        <v>Wiraswasta</v>
      </c>
      <c r="Y1595" s="5" t="str">
        <f>VLOOKUP(T1595,'Data Angt'!$A$5:$C$5808,3,FALSE)</f>
        <v>MJK</v>
      </c>
    </row>
    <row r="1596" spans="1:25" x14ac:dyDescent="0.3">
      <c r="A1596" s="8">
        <v>1590</v>
      </c>
      <c r="B1596" s="9" t="s">
        <v>19080</v>
      </c>
      <c r="C1596" s="10" t="str">
        <f>VLOOKUP(B1596,'Data Angt'!$A$5:$B$5809,2,FALSE)</f>
        <v>A5709</v>
      </c>
      <c r="D1596" s="11" t="s">
        <v>9829</v>
      </c>
      <c r="E1596" s="12" t="s">
        <v>23701</v>
      </c>
      <c r="F1596" s="13">
        <v>45887</v>
      </c>
      <c r="G1596" s="14">
        <v>45918</v>
      </c>
      <c r="H1596" s="15">
        <v>5000000</v>
      </c>
      <c r="I1596" s="16">
        <v>12</v>
      </c>
      <c r="J1596" s="17">
        <v>24</v>
      </c>
      <c r="K1596" s="9" t="s">
        <v>9827</v>
      </c>
      <c r="L1596" s="10" t="s">
        <v>23702</v>
      </c>
      <c r="M1596" s="9" t="s">
        <v>10498</v>
      </c>
      <c r="N1596" s="10" t="s">
        <v>9828</v>
      </c>
      <c r="O1596" s="15">
        <v>4583300</v>
      </c>
      <c r="P1596" s="145">
        <v>37500</v>
      </c>
      <c r="Q1596" s="9" t="s">
        <v>23304</v>
      </c>
      <c r="R1596" s="146" t="s">
        <v>23703</v>
      </c>
      <c r="T1596" s="5" t="s">
        <v>18950</v>
      </c>
      <c r="U1596">
        <v>1</v>
      </c>
      <c r="V1596">
        <f>VLOOKUP(T1596,'Data Angt'!$A$5:$F$5810,6,FALSE)</f>
        <v>45</v>
      </c>
      <c r="W1596" s="5" t="str">
        <f t="shared" si="24"/>
        <v>PRODUKTIF</v>
      </c>
      <c r="X1596" s="5" t="str">
        <f>VLOOKUP(T1596,'Data Angt'!$A$5:$H$5810,8,FALSE)</f>
        <v>Wiraswasta</v>
      </c>
      <c r="Y1596" s="5" t="str">
        <f>VLOOKUP(T1596,'Data Angt'!$A$5:$C$5808,3,FALSE)</f>
        <v>MJK</v>
      </c>
    </row>
    <row r="1597" spans="1:25" x14ac:dyDescent="0.3">
      <c r="A1597" s="8">
        <v>1591</v>
      </c>
      <c r="B1597" s="9" t="s">
        <v>19094</v>
      </c>
      <c r="C1597" s="10" t="str">
        <f>VLOOKUP(B1597,'Data Angt'!$A$5:$B$5809,2,FALSE)</f>
        <v>A5715</v>
      </c>
      <c r="D1597" s="11" t="s">
        <v>9833</v>
      </c>
      <c r="E1597" s="12" t="s">
        <v>23704</v>
      </c>
      <c r="F1597" s="13">
        <v>45885</v>
      </c>
      <c r="G1597" s="14">
        <v>45918</v>
      </c>
      <c r="H1597" s="15">
        <v>2000000</v>
      </c>
      <c r="I1597" s="16">
        <v>10</v>
      </c>
      <c r="J1597" s="17">
        <v>24</v>
      </c>
      <c r="K1597" s="9" t="s">
        <v>9827</v>
      </c>
      <c r="L1597" s="10" t="s">
        <v>23705</v>
      </c>
      <c r="M1597" s="9" t="s">
        <v>9962</v>
      </c>
      <c r="N1597" s="10" t="s">
        <v>9834</v>
      </c>
      <c r="O1597" s="15">
        <v>1800000</v>
      </c>
      <c r="P1597" s="145">
        <v>15000</v>
      </c>
      <c r="Q1597" s="9"/>
      <c r="R1597" s="146"/>
      <c r="T1597" s="5" t="s">
        <v>18952</v>
      </c>
      <c r="U1597">
        <v>1</v>
      </c>
      <c r="V1597">
        <f>VLOOKUP(T1597,'Data Angt'!$A$5:$F$5810,6,FALSE)</f>
        <v>50</v>
      </c>
      <c r="W1597" s="5" t="str">
        <f t="shared" si="24"/>
        <v>PRODUKTIF</v>
      </c>
      <c r="X1597" s="5" t="str">
        <f>VLOOKUP(T1597,'Data Angt'!$A$5:$H$5810,8,FALSE)</f>
        <v>Wiraswasta</v>
      </c>
      <c r="Y1597" s="5" t="str">
        <f>VLOOKUP(T1597,'Data Angt'!$A$5:$C$5808,3,FALSE)</f>
        <v>MJK</v>
      </c>
    </row>
    <row r="1598" spans="1:25" x14ac:dyDescent="0.3">
      <c r="A1598" s="8">
        <v>1592</v>
      </c>
      <c r="B1598" s="9" t="s">
        <v>19122</v>
      </c>
      <c r="C1598" s="10" t="str">
        <f>VLOOKUP(B1598,'Data Angt'!$A$5:$B$5809,2,FALSE)</f>
        <v>A5728</v>
      </c>
      <c r="D1598" s="11" t="s">
        <v>9829</v>
      </c>
      <c r="E1598" s="12" t="s">
        <v>23706</v>
      </c>
      <c r="F1598" s="13">
        <v>45895</v>
      </c>
      <c r="G1598" s="14">
        <v>45924</v>
      </c>
      <c r="H1598" s="15">
        <v>2500000</v>
      </c>
      <c r="I1598" s="16">
        <v>3</v>
      </c>
      <c r="J1598" s="17">
        <v>24</v>
      </c>
      <c r="K1598" s="9" t="s">
        <v>9827</v>
      </c>
      <c r="L1598" s="10" t="s">
        <v>23707</v>
      </c>
      <c r="M1598" s="9" t="s">
        <v>23700</v>
      </c>
      <c r="N1598" s="10" t="s">
        <v>9828</v>
      </c>
      <c r="O1598" s="15">
        <v>1666600</v>
      </c>
      <c r="P1598" s="145">
        <v>18750</v>
      </c>
      <c r="Q1598" s="9"/>
      <c r="R1598" s="146"/>
      <c r="T1598" s="5" t="s">
        <v>18956</v>
      </c>
      <c r="U1598">
        <v>2</v>
      </c>
      <c r="V1598">
        <f>VLOOKUP(T1598,'Data Angt'!$A$5:$F$5810,6,FALSE)</f>
        <v>54</v>
      </c>
      <c r="W1598" s="5" t="str">
        <f t="shared" si="24"/>
        <v>PRODUKTIF</v>
      </c>
      <c r="X1598" s="5" t="str">
        <f>VLOOKUP(T1598,'Data Angt'!$A$5:$H$5810,8,FALSE)</f>
        <v>Wiraswasta</v>
      </c>
      <c r="Y1598" s="5" t="str">
        <f>VLOOKUP(T1598,'Data Angt'!$A$5:$C$5808,3,FALSE)</f>
        <v>MJK</v>
      </c>
    </row>
    <row r="1599" spans="1:25" x14ac:dyDescent="0.3">
      <c r="A1599" s="8">
        <v>1593</v>
      </c>
      <c r="B1599" s="9" t="s">
        <v>19181</v>
      </c>
      <c r="C1599" s="10" t="str">
        <f>VLOOKUP(B1599,'Data Angt'!$A$5:$B$5809,2,FALSE)</f>
        <v>A5755</v>
      </c>
      <c r="D1599" s="11" t="s">
        <v>9829</v>
      </c>
      <c r="E1599" s="12" t="s">
        <v>23708</v>
      </c>
      <c r="F1599" s="13">
        <v>45904</v>
      </c>
      <c r="G1599" s="14">
        <v>45904</v>
      </c>
      <c r="H1599" s="15">
        <v>4000000</v>
      </c>
      <c r="I1599" s="16">
        <v>9</v>
      </c>
      <c r="J1599" s="17">
        <v>24</v>
      </c>
      <c r="K1599" s="9" t="s">
        <v>9827</v>
      </c>
      <c r="L1599" s="10" t="s">
        <v>23709</v>
      </c>
      <c r="M1599" s="9" t="s">
        <v>23710</v>
      </c>
      <c r="N1599" s="10" t="s">
        <v>17</v>
      </c>
      <c r="O1599" s="15">
        <v>4000000</v>
      </c>
      <c r="P1599" s="147">
        <v>0</v>
      </c>
      <c r="Q1599" s="9" t="s">
        <v>23304</v>
      </c>
      <c r="R1599" s="146" t="s">
        <v>23711</v>
      </c>
      <c r="T1599" s="5" t="s">
        <v>18958</v>
      </c>
      <c r="U1599">
        <v>1</v>
      </c>
      <c r="V1599">
        <f>VLOOKUP(T1599,'Data Angt'!$A$5:$F$5810,6,FALSE)</f>
        <v>49</v>
      </c>
      <c r="W1599" s="5" t="str">
        <f t="shared" si="24"/>
        <v>PRODUKTIF</v>
      </c>
      <c r="X1599" s="5" t="str">
        <f>VLOOKUP(T1599,'Data Angt'!$A$5:$H$5810,8,FALSE)</f>
        <v>Wiraswasta</v>
      </c>
      <c r="Y1599" s="5" t="str">
        <f>VLOOKUP(T1599,'Data Angt'!$A$5:$C$5808,3,FALSE)</f>
        <v>MJK</v>
      </c>
    </row>
    <row r="1600" spans="1:25" x14ac:dyDescent="0.3">
      <c r="A1600" s="8">
        <v>1594</v>
      </c>
      <c r="B1600" s="9" t="s">
        <v>19189</v>
      </c>
      <c r="C1600" s="10" t="str">
        <f>VLOOKUP(B1600,'Data Angt'!$A$5:$B$5809,2,FALSE)</f>
        <v>A5758</v>
      </c>
      <c r="D1600" s="11" t="s">
        <v>9829</v>
      </c>
      <c r="E1600" s="12" t="s">
        <v>23712</v>
      </c>
      <c r="F1600" s="13">
        <v>45908</v>
      </c>
      <c r="G1600" s="14">
        <v>45908</v>
      </c>
      <c r="H1600" s="15">
        <v>1500000</v>
      </c>
      <c r="I1600" s="16">
        <v>5</v>
      </c>
      <c r="J1600" s="17">
        <v>24</v>
      </c>
      <c r="K1600" s="9" t="s">
        <v>9827</v>
      </c>
      <c r="L1600" s="10" t="s">
        <v>23713</v>
      </c>
      <c r="M1600" s="9" t="s">
        <v>10495</v>
      </c>
      <c r="N1600" s="10" t="s">
        <v>17</v>
      </c>
      <c r="O1600" s="15">
        <v>1500000</v>
      </c>
      <c r="P1600" s="147">
        <v>0</v>
      </c>
      <c r="Q1600" s="9"/>
      <c r="R1600" s="146"/>
      <c r="T1600" s="5" t="s">
        <v>204</v>
      </c>
      <c r="U1600">
        <v>1</v>
      </c>
      <c r="V1600">
        <f>VLOOKUP(T1600,'Data Angt'!$A$5:$F$5810,6,FALSE)</f>
        <v>60</v>
      </c>
      <c r="W1600" s="5" t="str">
        <f t="shared" si="24"/>
        <v>PRODUKTIF</v>
      </c>
      <c r="X1600" s="5" t="str">
        <f>VLOOKUP(T1600,'Data Angt'!$A$5:$H$5810,8,FALSE)</f>
        <v>Karyawan</v>
      </c>
      <c r="Y1600" s="5" t="str">
        <f>VLOOKUP(T1600,'Data Angt'!$A$5:$C$5808,3,FALSE)</f>
        <v>MGL</v>
      </c>
    </row>
    <row r="1601" spans="1:25" x14ac:dyDescent="0.3">
      <c r="A1601" s="8">
        <v>1595</v>
      </c>
      <c r="B1601" s="9" t="s">
        <v>22158</v>
      </c>
      <c r="C1601" s="10" t="str">
        <f>VLOOKUP(B1601,'Data Angt'!$A$5:$B$5809,2,FALSE)</f>
        <v>A5794</v>
      </c>
      <c r="D1601" s="11" t="s">
        <v>9829</v>
      </c>
      <c r="E1601" s="12" t="s">
        <v>23714</v>
      </c>
      <c r="F1601" s="13">
        <v>45923</v>
      </c>
      <c r="G1601" s="14">
        <v>45923</v>
      </c>
      <c r="H1601" s="15">
        <v>1500000</v>
      </c>
      <c r="I1601" s="16">
        <v>6</v>
      </c>
      <c r="J1601" s="17">
        <v>24</v>
      </c>
      <c r="K1601" s="9" t="s">
        <v>9827</v>
      </c>
      <c r="L1601" s="10" t="s">
        <v>23715</v>
      </c>
      <c r="M1601" s="9" t="s">
        <v>23716</v>
      </c>
      <c r="N1601" s="10" t="s">
        <v>17</v>
      </c>
      <c r="O1601" s="15">
        <v>1500000</v>
      </c>
      <c r="P1601" s="147">
        <v>0</v>
      </c>
      <c r="Q1601" s="9"/>
      <c r="R1601" s="146"/>
      <c r="T1601" s="5" t="s">
        <v>207</v>
      </c>
      <c r="U1601">
        <v>1</v>
      </c>
      <c r="V1601">
        <f>VLOOKUP(T1601,'Data Angt'!$A$5:$F$5810,6,FALSE)</f>
        <v>56</v>
      </c>
      <c r="W1601" s="5" t="str">
        <f t="shared" si="24"/>
        <v>KESEJAHTERAAN</v>
      </c>
      <c r="X1601" s="5" t="str">
        <f>VLOOKUP(T1601,'Data Angt'!$A$5:$H$5810,8,FALSE)</f>
        <v>Tenaga Pengajar</v>
      </c>
      <c r="Y1601" s="5" t="str">
        <f>VLOOKUP(T1601,'Data Angt'!$A$5:$C$5808,3,FALSE)</f>
        <v>MGL</v>
      </c>
    </row>
    <row r="1602" spans="1:25" x14ac:dyDescent="0.3">
      <c r="A1602" s="8">
        <v>1596</v>
      </c>
      <c r="B1602" s="9" t="s">
        <v>630</v>
      </c>
      <c r="C1602" s="10" t="str">
        <f>VLOOKUP(B1602,'Data Angt'!$A$5:$B$5809,2,FALSE)</f>
        <v>A230</v>
      </c>
      <c r="D1602" s="11" t="s">
        <v>9829</v>
      </c>
      <c r="E1602" s="12" t="s">
        <v>10585</v>
      </c>
      <c r="F1602" s="13">
        <v>45125</v>
      </c>
      <c r="G1602" s="14">
        <v>45896</v>
      </c>
      <c r="H1602" s="15">
        <v>25000000</v>
      </c>
      <c r="I1602" s="16">
        <v>36</v>
      </c>
      <c r="J1602" s="17">
        <v>21</v>
      </c>
      <c r="K1602" s="9" t="s">
        <v>9827</v>
      </c>
      <c r="L1602" s="10" t="s">
        <v>10586</v>
      </c>
      <c r="M1602" s="9" t="s">
        <v>9838</v>
      </c>
      <c r="N1602" s="10" t="s">
        <v>9828</v>
      </c>
      <c r="O1602" s="15">
        <v>8332000</v>
      </c>
      <c r="P1602" s="145">
        <v>2689119</v>
      </c>
      <c r="Q1602" s="9" t="s">
        <v>22276</v>
      </c>
      <c r="R1602" s="146" t="s">
        <v>23717</v>
      </c>
      <c r="T1602" s="5" t="s">
        <v>215</v>
      </c>
      <c r="U1602">
        <v>1</v>
      </c>
      <c r="V1602">
        <f>VLOOKUP(T1602,'Data Angt'!$A$5:$F$5810,6,FALSE)</f>
        <v>62</v>
      </c>
      <c r="W1602" s="5" t="str">
        <f t="shared" si="24"/>
        <v>PRODUKTIF</v>
      </c>
      <c r="X1602" s="5" t="str">
        <f>VLOOKUP(T1602,'Data Angt'!$A$5:$H$5810,8,FALSE)</f>
        <v>Tenaga Medis</v>
      </c>
      <c r="Y1602" s="5" t="str">
        <f>VLOOKUP(T1602,'Data Angt'!$A$5:$C$5808,3,FALSE)</f>
        <v>MGL</v>
      </c>
    </row>
    <row r="1603" spans="1:25" x14ac:dyDescent="0.3">
      <c r="A1603" s="8">
        <v>1597</v>
      </c>
      <c r="B1603" s="9" t="s">
        <v>632</v>
      </c>
      <c r="C1603" s="10" t="str">
        <f>VLOOKUP(B1603,'Data Angt'!$A$5:$B$5809,2,FALSE)</f>
        <v>A231</v>
      </c>
      <c r="D1603" s="11" t="s">
        <v>9842</v>
      </c>
      <c r="E1603" s="12" t="s">
        <v>10587</v>
      </c>
      <c r="F1603" s="13">
        <v>44602</v>
      </c>
      <c r="G1603" s="14">
        <v>45904</v>
      </c>
      <c r="H1603" s="15">
        <v>150000000</v>
      </c>
      <c r="I1603" s="16">
        <v>120</v>
      </c>
      <c r="J1603" s="17">
        <v>11.4</v>
      </c>
      <c r="K1603" s="9" t="s">
        <v>9831</v>
      </c>
      <c r="L1603" s="10" t="s">
        <v>10588</v>
      </c>
      <c r="M1603" s="9" t="s">
        <v>10589</v>
      </c>
      <c r="N1603" s="10" t="s">
        <v>9830</v>
      </c>
      <c r="O1603" s="15">
        <v>114336900</v>
      </c>
      <c r="P1603" s="145">
        <v>20495279</v>
      </c>
      <c r="Q1603" s="9"/>
      <c r="R1603" s="146"/>
      <c r="T1603" s="5" t="s">
        <v>253</v>
      </c>
      <c r="U1603">
        <v>1</v>
      </c>
      <c r="V1603">
        <f>VLOOKUP(T1603,'Data Angt'!$A$5:$F$5810,6,FALSE)</f>
        <v>52</v>
      </c>
      <c r="W1603" s="5" t="str">
        <f t="shared" si="24"/>
        <v>KONSUMTIF</v>
      </c>
      <c r="X1603" s="5" t="str">
        <f>VLOOKUP(T1603,'Data Angt'!$A$5:$H$5810,8,FALSE)</f>
        <v>Karyawan</v>
      </c>
      <c r="Y1603" s="5" t="str">
        <f>VLOOKUP(T1603,'Data Angt'!$A$5:$C$5808,3,FALSE)</f>
        <v>MGL</v>
      </c>
    </row>
    <row r="1604" spans="1:25" x14ac:dyDescent="0.3">
      <c r="A1604" s="8">
        <v>1598</v>
      </c>
      <c r="B1604" s="9" t="s">
        <v>834</v>
      </c>
      <c r="C1604" s="10" t="str">
        <f>VLOOKUP(B1604,'Data Angt'!$A$5:$B$5809,2,FALSE)</f>
        <v>A311</v>
      </c>
      <c r="D1604" s="11" t="s">
        <v>9833</v>
      </c>
      <c r="E1604" s="12" t="s">
        <v>17630</v>
      </c>
      <c r="F1604" s="13">
        <v>45629</v>
      </c>
      <c r="G1604" s="14">
        <v>45904</v>
      </c>
      <c r="H1604" s="15">
        <v>12000000</v>
      </c>
      <c r="I1604" s="16">
        <v>12</v>
      </c>
      <c r="J1604" s="17">
        <v>11.64</v>
      </c>
      <c r="K1604" s="9" t="s">
        <v>9831</v>
      </c>
      <c r="L1604" s="10" t="s">
        <v>17631</v>
      </c>
      <c r="M1604" s="9" t="s">
        <v>17632</v>
      </c>
      <c r="N1604" s="10" t="s">
        <v>9834</v>
      </c>
      <c r="O1604" s="15">
        <v>3131700</v>
      </c>
      <c r="P1604" s="145">
        <v>266061</v>
      </c>
      <c r="Q1604" s="9"/>
      <c r="R1604" s="146"/>
      <c r="T1604" s="5" t="s">
        <v>256</v>
      </c>
      <c r="U1604">
        <v>1</v>
      </c>
      <c r="V1604">
        <f>VLOOKUP(T1604,'Data Angt'!$A$5:$F$5810,6,FALSE)</f>
        <v>58</v>
      </c>
      <c r="W1604" s="5" t="str">
        <f t="shared" si="24"/>
        <v>KONSUMTIF</v>
      </c>
      <c r="X1604" s="5" t="str">
        <f>VLOOKUP(T1604,'Data Angt'!$A$5:$H$5810,8,FALSE)</f>
        <v>Wiraswasta</v>
      </c>
      <c r="Y1604" s="5" t="str">
        <f>VLOOKUP(T1604,'Data Angt'!$A$5:$C$5808,3,FALSE)</f>
        <v>MGL</v>
      </c>
    </row>
    <row r="1605" spans="1:25" x14ac:dyDescent="0.3">
      <c r="A1605" s="8">
        <v>1599</v>
      </c>
      <c r="B1605" s="9" t="s">
        <v>1252</v>
      </c>
      <c r="C1605" s="10" t="str">
        <f>VLOOKUP(B1605,'Data Angt'!$A$5:$B$5809,2,FALSE)</f>
        <v>A487</v>
      </c>
      <c r="D1605" s="11" t="s">
        <v>9829</v>
      </c>
      <c r="E1605" s="12" t="s">
        <v>17633</v>
      </c>
      <c r="F1605" s="13">
        <v>45796</v>
      </c>
      <c r="G1605" s="14">
        <v>45919</v>
      </c>
      <c r="H1605" s="15">
        <v>20000000</v>
      </c>
      <c r="I1605" s="16">
        <v>12</v>
      </c>
      <c r="J1605" s="17">
        <v>24</v>
      </c>
      <c r="K1605" s="9" t="s">
        <v>9831</v>
      </c>
      <c r="L1605" s="10" t="s">
        <v>17634</v>
      </c>
      <c r="M1605" s="9" t="s">
        <v>9880</v>
      </c>
      <c r="N1605" s="10" t="s">
        <v>9828</v>
      </c>
      <c r="O1605" s="15">
        <v>13854000</v>
      </c>
      <c r="P1605" s="145">
        <v>532050</v>
      </c>
      <c r="Q1605" s="9"/>
      <c r="R1605" s="146"/>
      <c r="T1605" s="5" t="s">
        <v>385</v>
      </c>
      <c r="U1605">
        <v>1</v>
      </c>
      <c r="V1605">
        <f>VLOOKUP(T1605,'Data Angt'!$A$5:$F$5810,6,FALSE)</f>
        <v>59</v>
      </c>
      <c r="W1605" s="5">
        <f t="shared" si="24"/>
        <v>0</v>
      </c>
      <c r="X1605" s="5" t="str">
        <f>VLOOKUP(T1605,'Data Angt'!$A$5:$H$5810,8,FALSE)</f>
        <v>Wiraswasta</v>
      </c>
      <c r="Y1605" s="5" t="str">
        <f>VLOOKUP(T1605,'Data Angt'!$A$5:$C$5808,3,FALSE)</f>
        <v>MGL</v>
      </c>
    </row>
    <row r="1606" spans="1:25" x14ac:dyDescent="0.3">
      <c r="A1606" s="8">
        <v>1600</v>
      </c>
      <c r="B1606" s="9" t="s">
        <v>1379</v>
      </c>
      <c r="C1606" s="10" t="str">
        <f>VLOOKUP(B1606,'Data Angt'!$A$5:$B$5809,2,FALSE)</f>
        <v>A540</v>
      </c>
      <c r="D1606" s="11" t="s">
        <v>9833</v>
      </c>
      <c r="E1606" s="12" t="s">
        <v>17635</v>
      </c>
      <c r="F1606" s="13">
        <v>45723</v>
      </c>
      <c r="G1606" s="14">
        <v>45909</v>
      </c>
      <c r="H1606" s="15">
        <v>25000000</v>
      </c>
      <c r="I1606" s="16">
        <v>24</v>
      </c>
      <c r="J1606" s="17">
        <v>21</v>
      </c>
      <c r="K1606" s="9" t="s">
        <v>9831</v>
      </c>
      <c r="L1606" s="10" t="s">
        <v>17636</v>
      </c>
      <c r="M1606" s="9" t="s">
        <v>9962</v>
      </c>
      <c r="N1606" s="10" t="s">
        <v>9834</v>
      </c>
      <c r="O1606" s="15">
        <v>19689400</v>
      </c>
      <c r="P1606" s="145">
        <v>899098</v>
      </c>
      <c r="Q1606" s="9" t="s">
        <v>22526</v>
      </c>
      <c r="R1606" s="146" t="s">
        <v>23718</v>
      </c>
      <c r="T1606" s="5" t="s">
        <v>745</v>
      </c>
      <c r="U1606">
        <v>1</v>
      </c>
      <c r="V1606">
        <f>VLOOKUP(T1606,'Data Angt'!$A$5:$F$5810,6,FALSE)</f>
        <v>50</v>
      </c>
      <c r="W1606" s="5" t="str">
        <f t="shared" si="24"/>
        <v>PRODUKTIF</v>
      </c>
      <c r="X1606" s="5" t="str">
        <f>VLOOKUP(T1606,'Data Angt'!$A$5:$H$5810,8,FALSE)</f>
        <v>Wiraswasta</v>
      </c>
      <c r="Y1606" s="5" t="str">
        <f>VLOOKUP(T1606,'Data Angt'!$A$5:$C$5808,3,FALSE)</f>
        <v>MGL</v>
      </c>
    </row>
    <row r="1607" spans="1:25" x14ac:dyDescent="0.3">
      <c r="A1607" s="8">
        <v>1601</v>
      </c>
      <c r="B1607" s="9" t="s">
        <v>1602</v>
      </c>
      <c r="C1607" s="10" t="str">
        <f>VLOOKUP(B1607,'Data Angt'!$A$5:$B$5809,2,FALSE)</f>
        <v>A636</v>
      </c>
      <c r="D1607" s="11" t="s">
        <v>9829</v>
      </c>
      <c r="E1607" s="12" t="s">
        <v>10590</v>
      </c>
      <c r="F1607" s="13">
        <v>45141</v>
      </c>
      <c r="G1607" s="14">
        <v>45904</v>
      </c>
      <c r="H1607" s="15">
        <v>20000000</v>
      </c>
      <c r="I1607" s="16">
        <v>36</v>
      </c>
      <c r="J1607" s="17">
        <v>24</v>
      </c>
      <c r="K1607" s="9" t="s">
        <v>9827</v>
      </c>
      <c r="L1607" s="10" t="s">
        <v>10591</v>
      </c>
      <c r="M1607" s="9" t="s">
        <v>10008</v>
      </c>
      <c r="N1607" s="10" t="s">
        <v>17</v>
      </c>
      <c r="O1607" s="15">
        <v>6110000</v>
      </c>
      <c r="P1607" s="145">
        <v>2500344</v>
      </c>
      <c r="Q1607" s="9" t="s">
        <v>22200</v>
      </c>
      <c r="R1607" s="146" t="s">
        <v>23719</v>
      </c>
      <c r="T1607" s="5" t="s">
        <v>813</v>
      </c>
      <c r="U1607">
        <v>1</v>
      </c>
      <c r="V1607">
        <f>VLOOKUP(T1607,'Data Angt'!$A$5:$F$5810,6,FALSE)</f>
        <v>54</v>
      </c>
      <c r="W1607" s="5" t="str">
        <f t="shared" ref="W1607:W1670" si="25">VLOOKUP(T1607,$B$7:$N$1869,13,FALSE)</f>
        <v>PENDIDIKAN</v>
      </c>
      <c r="X1607" s="5" t="str">
        <f>VLOOKUP(T1607,'Data Angt'!$A$5:$H$5810,8,FALSE)</f>
        <v>Tenaga Pengajar</v>
      </c>
      <c r="Y1607" s="5" t="str">
        <f>VLOOKUP(T1607,'Data Angt'!$A$5:$C$5808,3,FALSE)</f>
        <v>MGL</v>
      </c>
    </row>
    <row r="1608" spans="1:25" x14ac:dyDescent="0.3">
      <c r="A1608" s="8">
        <v>1602</v>
      </c>
      <c r="B1608" s="9" t="s">
        <v>1608</v>
      </c>
      <c r="C1608" s="10" t="str">
        <f>VLOOKUP(B1608,'Data Angt'!$A$5:$B$5809,2,FALSE)</f>
        <v>A638</v>
      </c>
      <c r="D1608" s="11" t="s">
        <v>9829</v>
      </c>
      <c r="E1608" s="12" t="s">
        <v>17637</v>
      </c>
      <c r="F1608" s="13">
        <v>45687</v>
      </c>
      <c r="G1608" s="14">
        <v>45925</v>
      </c>
      <c r="H1608" s="15">
        <v>10000000</v>
      </c>
      <c r="I1608" s="16">
        <v>15</v>
      </c>
      <c r="J1608" s="17">
        <v>24</v>
      </c>
      <c r="K1608" s="9" t="s">
        <v>9827</v>
      </c>
      <c r="L1608" s="10" t="s">
        <v>17638</v>
      </c>
      <c r="M1608" s="9" t="s">
        <v>10135</v>
      </c>
      <c r="N1608" s="10" t="s">
        <v>9828</v>
      </c>
      <c r="O1608" s="15">
        <v>4666400</v>
      </c>
      <c r="P1608" s="145">
        <v>460086</v>
      </c>
      <c r="Q1608" s="9"/>
      <c r="R1608" s="146"/>
      <c r="T1608" s="5" t="s">
        <v>1303</v>
      </c>
      <c r="U1608">
        <v>1</v>
      </c>
      <c r="V1608">
        <f>VLOOKUP(T1608,'Data Angt'!$A$5:$F$5810,6,FALSE)</f>
        <v>45</v>
      </c>
      <c r="W1608" s="5">
        <f t="shared" si="25"/>
        <v>0</v>
      </c>
      <c r="X1608" s="5" t="str">
        <f>VLOOKUP(T1608,'Data Angt'!$A$5:$H$5810,8,FALSE)</f>
        <v>Wiraswasta</v>
      </c>
      <c r="Y1608" s="5" t="str">
        <f>VLOOKUP(T1608,'Data Angt'!$A$5:$C$5808,3,FALSE)</f>
        <v>MGL</v>
      </c>
    </row>
    <row r="1609" spans="1:25" x14ac:dyDescent="0.3">
      <c r="A1609" s="8">
        <v>1603</v>
      </c>
      <c r="B1609" s="9" t="s">
        <v>1698</v>
      </c>
      <c r="C1609" s="10" t="str">
        <f>VLOOKUP(B1609,'Data Angt'!$A$5:$B$5809,2,FALSE)</f>
        <v>A680</v>
      </c>
      <c r="D1609" s="11" t="s">
        <v>9829</v>
      </c>
      <c r="E1609" s="12" t="s">
        <v>17639</v>
      </c>
      <c r="F1609" s="13">
        <v>45430</v>
      </c>
      <c r="G1609" s="14">
        <v>45920</v>
      </c>
      <c r="H1609" s="15">
        <v>20000000</v>
      </c>
      <c r="I1609" s="16">
        <v>30</v>
      </c>
      <c r="J1609" s="17">
        <v>24</v>
      </c>
      <c r="K1609" s="9" t="s">
        <v>9831</v>
      </c>
      <c r="L1609" s="10" t="s">
        <v>17640</v>
      </c>
      <c r="M1609" s="9" t="s">
        <v>17641</v>
      </c>
      <c r="N1609" s="10" t="s">
        <v>9828</v>
      </c>
      <c r="O1609" s="15">
        <v>10811800</v>
      </c>
      <c r="P1609" s="145">
        <v>1912421</v>
      </c>
      <c r="Q1609" s="9" t="s">
        <v>22240</v>
      </c>
      <c r="R1609" s="146" t="s">
        <v>23720</v>
      </c>
      <c r="T1609" s="5" t="s">
        <v>1326</v>
      </c>
      <c r="U1609">
        <v>1</v>
      </c>
      <c r="V1609">
        <f>VLOOKUP(T1609,'Data Angt'!$A$5:$F$5810,6,FALSE)</f>
        <v>50</v>
      </c>
      <c r="W1609" s="5">
        <f t="shared" si="25"/>
        <v>0</v>
      </c>
      <c r="X1609" s="5" t="str">
        <f>VLOOKUP(T1609,'Data Angt'!$A$5:$H$5810,8,FALSE)</f>
        <v>Karyawan</v>
      </c>
      <c r="Y1609" s="5" t="str">
        <f>VLOOKUP(T1609,'Data Angt'!$A$5:$C$5808,3,FALSE)</f>
        <v>MGL</v>
      </c>
    </row>
    <row r="1610" spans="1:25" x14ac:dyDescent="0.3">
      <c r="A1610" s="8">
        <v>1604</v>
      </c>
      <c r="B1610" s="9" t="s">
        <v>2074</v>
      </c>
      <c r="C1610" s="10" t="str">
        <f>VLOOKUP(B1610,'Data Angt'!$A$5:$B$5809,2,FALSE)</f>
        <v>A852</v>
      </c>
      <c r="D1610" s="11" t="s">
        <v>9843</v>
      </c>
      <c r="E1610" s="12" t="s">
        <v>10592</v>
      </c>
      <c r="F1610" s="13">
        <v>42046</v>
      </c>
      <c r="G1610" s="14">
        <v>45929</v>
      </c>
      <c r="H1610" s="15">
        <v>150000000</v>
      </c>
      <c r="I1610" s="16">
        <v>120</v>
      </c>
      <c r="J1610" s="17">
        <v>12</v>
      </c>
      <c r="K1610" s="9" t="s">
        <v>9831</v>
      </c>
      <c r="L1610" s="10" t="s">
        <v>10592</v>
      </c>
      <c r="M1610" s="9"/>
      <c r="N1610" s="10"/>
      <c r="O1610" s="15">
        <v>91956100</v>
      </c>
      <c r="P1610" s="145">
        <v>42468850</v>
      </c>
      <c r="Q1610" s="9"/>
      <c r="R1610" s="146"/>
      <c r="T1610" s="5" t="s">
        <v>1365</v>
      </c>
      <c r="U1610">
        <v>1</v>
      </c>
      <c r="V1610">
        <f>VLOOKUP(T1610,'Data Angt'!$A$5:$F$5810,6,FALSE)</f>
        <v>54</v>
      </c>
      <c r="W1610" s="5" t="str">
        <f t="shared" si="25"/>
        <v>PRODUKTIF</v>
      </c>
      <c r="X1610" s="5" t="str">
        <f>VLOOKUP(T1610,'Data Angt'!$A$5:$H$5810,8,FALSE)</f>
        <v>Karyawan</v>
      </c>
      <c r="Y1610" s="5" t="str">
        <f>VLOOKUP(T1610,'Data Angt'!$A$5:$C$5808,3,FALSE)</f>
        <v>MGL</v>
      </c>
    </row>
    <row r="1611" spans="1:25" x14ac:dyDescent="0.3">
      <c r="A1611" s="8">
        <v>1605</v>
      </c>
      <c r="B1611" s="9" t="s">
        <v>2145</v>
      </c>
      <c r="C1611" s="10" t="str">
        <f>VLOOKUP(B1611,'Data Angt'!$A$5:$B$5809,2,FALSE)</f>
        <v>A885</v>
      </c>
      <c r="D1611" s="11" t="s">
        <v>9829</v>
      </c>
      <c r="E1611" s="12" t="s">
        <v>17642</v>
      </c>
      <c r="F1611" s="13">
        <v>45829</v>
      </c>
      <c r="G1611" s="14">
        <v>45922</v>
      </c>
      <c r="H1611" s="15">
        <v>10000000</v>
      </c>
      <c r="I1611" s="16">
        <v>24</v>
      </c>
      <c r="J1611" s="17">
        <v>24</v>
      </c>
      <c r="K1611" s="9" t="s">
        <v>9831</v>
      </c>
      <c r="L1611" s="10" t="s">
        <v>17643</v>
      </c>
      <c r="M1611" s="9" t="s">
        <v>9854</v>
      </c>
      <c r="N1611" s="10" t="s">
        <v>17</v>
      </c>
      <c r="O1611" s="15">
        <v>8993900</v>
      </c>
      <c r="P1611" s="145">
        <v>217612</v>
      </c>
      <c r="Q1611" s="9"/>
      <c r="R1611" s="146"/>
      <c r="T1611" s="5" t="s">
        <v>1505</v>
      </c>
      <c r="U1611">
        <v>1</v>
      </c>
      <c r="V1611">
        <f>VLOOKUP(T1611,'Data Angt'!$A$5:$F$5810,6,FALSE)</f>
        <v>67</v>
      </c>
      <c r="W1611" s="5" t="str">
        <f t="shared" si="25"/>
        <v>PRODUKTIF</v>
      </c>
      <c r="X1611" s="5" t="str">
        <f>VLOOKUP(T1611,'Data Angt'!$A$5:$H$5810,8,FALSE)</f>
        <v>Wiraswasta</v>
      </c>
      <c r="Y1611" s="5" t="str">
        <f>VLOOKUP(T1611,'Data Angt'!$A$5:$C$5808,3,FALSE)</f>
        <v>MGL</v>
      </c>
    </row>
    <row r="1612" spans="1:25" x14ac:dyDescent="0.3">
      <c r="A1612" s="8">
        <v>1606</v>
      </c>
      <c r="B1612" s="9" t="s">
        <v>2147</v>
      </c>
      <c r="C1612" s="10" t="str">
        <f>VLOOKUP(B1612,'Data Angt'!$A$5:$B$5809,2,FALSE)</f>
        <v>A886</v>
      </c>
      <c r="D1612" s="11" t="s">
        <v>9833</v>
      </c>
      <c r="E1612" s="12" t="s">
        <v>23721</v>
      </c>
      <c r="F1612" s="13">
        <v>45849</v>
      </c>
      <c r="G1612" s="14">
        <v>45927</v>
      </c>
      <c r="H1612" s="15">
        <v>15000000</v>
      </c>
      <c r="I1612" s="16">
        <v>10</v>
      </c>
      <c r="J1612" s="17">
        <v>24</v>
      </c>
      <c r="K1612" s="9" t="s">
        <v>9827</v>
      </c>
      <c r="L1612" s="10" t="s">
        <v>23722</v>
      </c>
      <c r="M1612" s="9" t="s">
        <v>23723</v>
      </c>
      <c r="N1612" s="10" t="s">
        <v>9834</v>
      </c>
      <c r="O1612" s="15">
        <v>12000000</v>
      </c>
      <c r="P1612" s="145">
        <v>213750</v>
      </c>
      <c r="Q1612" s="9"/>
      <c r="R1612" s="146"/>
      <c r="T1612" s="5" t="s">
        <v>1556</v>
      </c>
      <c r="U1612">
        <v>1</v>
      </c>
      <c r="V1612">
        <f>VLOOKUP(T1612,'Data Angt'!$A$5:$F$5810,6,FALSE)</f>
        <v>59</v>
      </c>
      <c r="W1612" s="5" t="str">
        <f t="shared" si="25"/>
        <v>KESEJAHTERAAN</v>
      </c>
      <c r="X1612" s="5" t="str">
        <f>VLOOKUP(T1612,'Data Angt'!$A$5:$H$5810,8,FALSE)</f>
        <v>Belum/Tidak Bekerja</v>
      </c>
      <c r="Y1612" s="5" t="str">
        <f>VLOOKUP(T1612,'Data Angt'!$A$5:$C$5808,3,FALSE)</f>
        <v>MGL</v>
      </c>
    </row>
    <row r="1613" spans="1:25" x14ac:dyDescent="0.3">
      <c r="A1613" s="8">
        <v>1607</v>
      </c>
      <c r="B1613" s="9" t="s">
        <v>2258</v>
      </c>
      <c r="C1613" s="10" t="str">
        <f>VLOOKUP(B1613,'Data Angt'!$A$5:$B$5809,2,FALSE)</f>
        <v>A940</v>
      </c>
      <c r="D1613" s="11" t="s">
        <v>9829</v>
      </c>
      <c r="E1613" s="12" t="s">
        <v>23724</v>
      </c>
      <c r="F1613" s="13">
        <v>45929</v>
      </c>
      <c r="G1613" s="14">
        <v>45929</v>
      </c>
      <c r="H1613" s="15">
        <v>35000000</v>
      </c>
      <c r="I1613" s="16">
        <v>24</v>
      </c>
      <c r="J1613" s="17">
        <v>21</v>
      </c>
      <c r="K1613" s="9" t="s">
        <v>9831</v>
      </c>
      <c r="L1613" s="10" t="s">
        <v>23725</v>
      </c>
      <c r="M1613" s="9" t="s">
        <v>23726</v>
      </c>
      <c r="N1613" s="10" t="s">
        <v>17</v>
      </c>
      <c r="O1613" s="15">
        <v>35000000</v>
      </c>
      <c r="P1613" s="147">
        <v>0</v>
      </c>
      <c r="Q1613" s="9" t="s">
        <v>22197</v>
      </c>
      <c r="R1613" s="146" t="s">
        <v>23727</v>
      </c>
      <c r="T1613" s="5" t="s">
        <v>1771</v>
      </c>
      <c r="U1613">
        <v>1</v>
      </c>
      <c r="V1613">
        <f>VLOOKUP(T1613,'Data Angt'!$A$5:$F$5810,6,FALSE)</f>
        <v>49</v>
      </c>
      <c r="W1613" s="5" t="str">
        <f t="shared" si="25"/>
        <v>PRODUKTIF</v>
      </c>
      <c r="X1613" s="5" t="str">
        <f>VLOOKUP(T1613,'Data Angt'!$A$5:$H$5810,8,FALSE)</f>
        <v>Karyawan</v>
      </c>
      <c r="Y1613" s="5" t="str">
        <f>VLOOKUP(T1613,'Data Angt'!$A$5:$C$5808,3,FALSE)</f>
        <v>MGL</v>
      </c>
    </row>
    <row r="1614" spans="1:25" x14ac:dyDescent="0.3">
      <c r="A1614" s="8">
        <v>1608</v>
      </c>
      <c r="B1614" s="9" t="s">
        <v>2286</v>
      </c>
      <c r="C1614" s="10" t="str">
        <f>VLOOKUP(B1614,'Data Angt'!$A$5:$B$5809,2,FALSE)</f>
        <v>A951</v>
      </c>
      <c r="D1614" s="11" t="s">
        <v>9826</v>
      </c>
      <c r="E1614" s="12" t="s">
        <v>23728</v>
      </c>
      <c r="F1614" s="13">
        <v>45912</v>
      </c>
      <c r="G1614" s="14">
        <v>45912</v>
      </c>
      <c r="H1614" s="15">
        <v>5000000</v>
      </c>
      <c r="I1614" s="16">
        <v>12</v>
      </c>
      <c r="J1614" s="17">
        <v>24</v>
      </c>
      <c r="K1614" s="9" t="s">
        <v>9831</v>
      </c>
      <c r="L1614" s="10" t="s">
        <v>23729</v>
      </c>
      <c r="M1614" s="9" t="s">
        <v>9838</v>
      </c>
      <c r="N1614" s="10" t="s">
        <v>9828</v>
      </c>
      <c r="O1614" s="15">
        <v>5000000</v>
      </c>
      <c r="P1614" s="147">
        <v>0</v>
      </c>
      <c r="Q1614" s="9"/>
      <c r="R1614" s="146"/>
      <c r="T1614" s="5" t="s">
        <v>1909</v>
      </c>
      <c r="U1614">
        <v>1</v>
      </c>
      <c r="V1614">
        <f>VLOOKUP(T1614,'Data Angt'!$A$5:$F$5810,6,FALSE)</f>
        <v>52</v>
      </c>
      <c r="W1614" s="5" t="str">
        <f t="shared" si="25"/>
        <v>PENDIDIKAN</v>
      </c>
      <c r="X1614" s="5" t="str">
        <f>VLOOKUP(T1614,'Data Angt'!$A$5:$H$5810,8,FALSE)</f>
        <v>Tenaga Pengajar</v>
      </c>
      <c r="Y1614" s="5" t="str">
        <f>VLOOKUP(T1614,'Data Angt'!$A$5:$C$5808,3,FALSE)</f>
        <v>MGL</v>
      </c>
    </row>
    <row r="1615" spans="1:25" x14ac:dyDescent="0.3">
      <c r="A1615" s="8">
        <v>1609</v>
      </c>
      <c r="B1615" s="9" t="s">
        <v>2286</v>
      </c>
      <c r="C1615" s="10" t="str">
        <f>VLOOKUP(B1615,'Data Angt'!$A$5:$B$5809,2,FALSE)</f>
        <v>A951</v>
      </c>
      <c r="D1615" s="11" t="s">
        <v>9829</v>
      </c>
      <c r="E1615" s="12" t="s">
        <v>10593</v>
      </c>
      <c r="F1615" s="13">
        <v>44365</v>
      </c>
      <c r="G1615" s="14">
        <v>45909</v>
      </c>
      <c r="H1615" s="15">
        <v>49000000</v>
      </c>
      <c r="I1615" s="16">
        <v>60</v>
      </c>
      <c r="J1615" s="17">
        <v>21</v>
      </c>
      <c r="K1615" s="9" t="s">
        <v>9831</v>
      </c>
      <c r="L1615" s="10" t="s">
        <v>10594</v>
      </c>
      <c r="M1615" s="9" t="s">
        <v>10595</v>
      </c>
      <c r="N1615" s="10" t="s">
        <v>9830</v>
      </c>
      <c r="O1615" s="15">
        <v>10947600</v>
      </c>
      <c r="P1615" s="145">
        <v>11084350</v>
      </c>
      <c r="Q1615" s="9"/>
      <c r="R1615" s="146"/>
      <c r="T1615" s="5" t="s">
        <v>2041</v>
      </c>
      <c r="U1615">
        <v>1</v>
      </c>
      <c r="V1615">
        <f>VLOOKUP(T1615,'Data Angt'!$A$5:$F$5810,6,FALSE)</f>
        <v>65</v>
      </c>
      <c r="W1615" s="5" t="str">
        <f t="shared" si="25"/>
        <v>PRODUKTIF</v>
      </c>
      <c r="X1615" s="5" t="str">
        <f>VLOOKUP(T1615,'Data Angt'!$A$5:$H$5810,8,FALSE)</f>
        <v>Pensiunan</v>
      </c>
      <c r="Y1615" s="5" t="str">
        <f>VLOOKUP(T1615,'Data Angt'!$A$5:$C$5808,3,FALSE)</f>
        <v>MGL</v>
      </c>
    </row>
    <row r="1616" spans="1:25" x14ac:dyDescent="0.3">
      <c r="A1616" s="8">
        <v>1610</v>
      </c>
      <c r="B1616" s="9" t="s">
        <v>2444</v>
      </c>
      <c r="C1616" s="10" t="str">
        <f>VLOOKUP(B1616,'Data Angt'!$A$5:$B$5809,2,FALSE)</f>
        <v>A1018</v>
      </c>
      <c r="D1616" s="11" t="s">
        <v>9833</v>
      </c>
      <c r="E1616" s="12" t="s">
        <v>17645</v>
      </c>
      <c r="F1616" s="13">
        <v>45786</v>
      </c>
      <c r="G1616" s="14">
        <v>45909</v>
      </c>
      <c r="H1616" s="15">
        <v>100000000</v>
      </c>
      <c r="I1616" s="16">
        <v>60</v>
      </c>
      <c r="J1616" s="17">
        <v>21</v>
      </c>
      <c r="K1616" s="9" t="s">
        <v>9831</v>
      </c>
      <c r="L1616" s="10" t="s">
        <v>17646</v>
      </c>
      <c r="M1616" s="9" t="s">
        <v>17647</v>
      </c>
      <c r="N1616" s="10" t="s">
        <v>9834</v>
      </c>
      <c r="O1616" s="15">
        <v>96077000</v>
      </c>
      <c r="P1616" s="145">
        <v>2586974</v>
      </c>
      <c r="Q1616" s="9" t="s">
        <v>22197</v>
      </c>
      <c r="R1616" s="146" t="s">
        <v>23730</v>
      </c>
      <c r="T1616" s="5" t="s">
        <v>2135</v>
      </c>
      <c r="U1616">
        <v>1</v>
      </c>
      <c r="V1616">
        <f>VLOOKUP(T1616,'Data Angt'!$A$5:$F$5810,6,FALSE)</f>
        <v>48</v>
      </c>
      <c r="W1616" s="5" t="str">
        <f t="shared" si="25"/>
        <v>PRODUKTIF</v>
      </c>
      <c r="X1616" s="5" t="str">
        <f>VLOOKUP(T1616,'Data Angt'!$A$5:$H$5810,8,FALSE)</f>
        <v>Wiraswasta</v>
      </c>
      <c r="Y1616" s="5" t="str">
        <f>VLOOKUP(T1616,'Data Angt'!$A$5:$C$5808,3,FALSE)</f>
        <v>MGL</v>
      </c>
    </row>
    <row r="1617" spans="1:25" x14ac:dyDescent="0.3">
      <c r="A1617" s="8">
        <v>1611</v>
      </c>
      <c r="B1617" s="9" t="s">
        <v>2569</v>
      </c>
      <c r="C1617" s="10" t="str">
        <f>VLOOKUP(B1617,'Data Angt'!$A$5:$B$5809,2,FALSE)</f>
        <v>A1069</v>
      </c>
      <c r="D1617" s="11" t="s">
        <v>9833</v>
      </c>
      <c r="E1617" s="12" t="s">
        <v>23731</v>
      </c>
      <c r="F1617" s="13">
        <v>45897</v>
      </c>
      <c r="G1617" s="14">
        <v>45925</v>
      </c>
      <c r="H1617" s="15">
        <v>3000000</v>
      </c>
      <c r="I1617" s="16">
        <v>4</v>
      </c>
      <c r="J1617" s="17">
        <v>24</v>
      </c>
      <c r="K1617" s="9" t="s">
        <v>9831</v>
      </c>
      <c r="L1617" s="10" t="s">
        <v>23732</v>
      </c>
      <c r="M1617" s="9" t="s">
        <v>23733</v>
      </c>
      <c r="N1617" s="10" t="s">
        <v>9834</v>
      </c>
      <c r="O1617" s="15">
        <v>2272100</v>
      </c>
      <c r="P1617" s="145">
        <v>22500</v>
      </c>
      <c r="Q1617" s="9"/>
      <c r="R1617" s="146"/>
      <c r="T1617" s="5" t="s">
        <v>2142</v>
      </c>
      <c r="U1617">
        <v>1</v>
      </c>
      <c r="V1617">
        <f>VLOOKUP(T1617,'Data Angt'!$A$5:$F$5810,6,FALSE)</f>
        <v>52</v>
      </c>
      <c r="W1617" s="5">
        <f t="shared" si="25"/>
        <v>0</v>
      </c>
      <c r="X1617" s="5" t="str">
        <f>VLOOKUP(T1617,'Data Angt'!$A$5:$H$5810,8,FALSE)</f>
        <v>Wiraswasta</v>
      </c>
      <c r="Y1617" s="5" t="str">
        <f>VLOOKUP(T1617,'Data Angt'!$A$5:$C$5808,3,FALSE)</f>
        <v>MGL</v>
      </c>
    </row>
    <row r="1618" spans="1:25" x14ac:dyDescent="0.3">
      <c r="A1618" s="8">
        <v>1612</v>
      </c>
      <c r="B1618" s="9" t="s">
        <v>2572</v>
      </c>
      <c r="C1618" s="10" t="str">
        <f>VLOOKUP(B1618,'Data Angt'!$A$5:$B$5809,2,FALSE)</f>
        <v>A1070</v>
      </c>
      <c r="D1618" s="11" t="s">
        <v>9829</v>
      </c>
      <c r="E1618" s="12" t="s">
        <v>23734</v>
      </c>
      <c r="F1618" s="13">
        <v>45904</v>
      </c>
      <c r="G1618" s="14">
        <v>45904</v>
      </c>
      <c r="H1618" s="15">
        <v>3000000</v>
      </c>
      <c r="I1618" s="16">
        <v>12</v>
      </c>
      <c r="J1618" s="17">
        <v>11.88</v>
      </c>
      <c r="K1618" s="9" t="s">
        <v>9831</v>
      </c>
      <c r="L1618" s="10" t="s">
        <v>23735</v>
      </c>
      <c r="M1618" s="9" t="s">
        <v>23736</v>
      </c>
      <c r="N1618" s="10" t="s">
        <v>9828</v>
      </c>
      <c r="O1618" s="15">
        <v>3000000</v>
      </c>
      <c r="P1618" s="147">
        <v>0</v>
      </c>
      <c r="Q1618" s="9"/>
      <c r="R1618" s="146"/>
      <c r="T1618" s="5" t="s">
        <v>2276</v>
      </c>
      <c r="U1618">
        <v>1</v>
      </c>
      <c r="V1618">
        <f>VLOOKUP(T1618,'Data Angt'!$A$5:$F$5810,6,FALSE)</f>
        <v>48</v>
      </c>
      <c r="W1618" s="5" t="str">
        <f t="shared" si="25"/>
        <v>PRODUKTIF</v>
      </c>
      <c r="X1618" s="5" t="str">
        <f>VLOOKUP(T1618,'Data Angt'!$A$5:$H$5810,8,FALSE)</f>
        <v>Wiraswasta</v>
      </c>
      <c r="Y1618" s="5" t="str">
        <f>VLOOKUP(T1618,'Data Angt'!$A$5:$C$5808,3,FALSE)</f>
        <v>MGL</v>
      </c>
    </row>
    <row r="1619" spans="1:25" x14ac:dyDescent="0.3">
      <c r="A1619" s="8">
        <v>1613</v>
      </c>
      <c r="B1619" s="9" t="s">
        <v>2581</v>
      </c>
      <c r="C1619" s="10" t="str">
        <f>VLOOKUP(B1619,'Data Angt'!$A$5:$B$5809,2,FALSE)</f>
        <v>A1077</v>
      </c>
      <c r="D1619" s="11" t="s">
        <v>9829</v>
      </c>
      <c r="E1619" s="12" t="s">
        <v>10596</v>
      </c>
      <c r="F1619" s="13">
        <v>43957</v>
      </c>
      <c r="G1619" s="14">
        <v>45924</v>
      </c>
      <c r="H1619" s="15">
        <v>48000000</v>
      </c>
      <c r="I1619" s="16">
        <v>60</v>
      </c>
      <c r="J1619" s="17">
        <v>21</v>
      </c>
      <c r="K1619" s="9" t="s">
        <v>9827</v>
      </c>
      <c r="L1619" s="10" t="s">
        <v>10597</v>
      </c>
      <c r="M1619" s="9" t="s">
        <v>10598</v>
      </c>
      <c r="N1619" s="10" t="s">
        <v>9830</v>
      </c>
      <c r="O1619" s="15">
        <v>14348200</v>
      </c>
      <c r="P1619" s="145">
        <v>9678104</v>
      </c>
      <c r="Q1619" s="9"/>
      <c r="R1619" s="146"/>
      <c r="T1619" s="5" t="s">
        <v>2335</v>
      </c>
      <c r="U1619">
        <v>1</v>
      </c>
      <c r="V1619">
        <f>VLOOKUP(T1619,'Data Angt'!$A$5:$F$5810,6,FALSE)</f>
        <v>58</v>
      </c>
      <c r="W1619" s="5" t="str">
        <f t="shared" si="25"/>
        <v>PRODUKTIF</v>
      </c>
      <c r="X1619" s="5" t="str">
        <f>VLOOKUP(T1619,'Data Angt'!$A$5:$H$5810,8,FALSE)</f>
        <v>Wiraswasta</v>
      </c>
      <c r="Y1619" s="5" t="str">
        <f>VLOOKUP(T1619,'Data Angt'!$A$5:$C$5808,3,FALSE)</f>
        <v>MGL</v>
      </c>
    </row>
    <row r="1620" spans="1:25" x14ac:dyDescent="0.3">
      <c r="A1620" s="8">
        <v>1614</v>
      </c>
      <c r="B1620" s="9" t="s">
        <v>2967</v>
      </c>
      <c r="C1620" s="10" t="str">
        <f>VLOOKUP(B1620,'Data Angt'!$A$5:$B$5809,2,FALSE)</f>
        <v>A1254</v>
      </c>
      <c r="D1620" s="11" t="s">
        <v>9829</v>
      </c>
      <c r="E1620" s="12" t="s">
        <v>10599</v>
      </c>
      <c r="F1620" s="13">
        <v>45013</v>
      </c>
      <c r="G1620" s="14">
        <v>45925</v>
      </c>
      <c r="H1620" s="15">
        <v>150000000</v>
      </c>
      <c r="I1620" s="16">
        <v>48</v>
      </c>
      <c r="J1620" s="17">
        <v>21</v>
      </c>
      <c r="K1620" s="9" t="s">
        <v>9831</v>
      </c>
      <c r="L1620" s="10" t="s">
        <v>10600</v>
      </c>
      <c r="M1620" s="9" t="s">
        <v>10149</v>
      </c>
      <c r="N1620" s="10" t="s">
        <v>9828</v>
      </c>
      <c r="O1620" s="15">
        <v>71191100</v>
      </c>
      <c r="P1620" s="145">
        <v>22701781</v>
      </c>
      <c r="Q1620" s="9" t="s">
        <v>22197</v>
      </c>
      <c r="R1620" s="146" t="s">
        <v>23737</v>
      </c>
      <c r="T1620" s="5" t="s">
        <v>2339</v>
      </c>
      <c r="U1620">
        <v>2</v>
      </c>
      <c r="V1620">
        <f>VLOOKUP(T1620,'Data Angt'!$A$5:$F$5810,6,FALSE)</f>
        <v>51</v>
      </c>
      <c r="W1620" s="5" t="str">
        <f t="shared" si="25"/>
        <v>PENDIDIKAN</v>
      </c>
      <c r="X1620" s="5" t="str">
        <f>VLOOKUP(T1620,'Data Angt'!$A$5:$H$5810,8,FALSE)</f>
        <v>Karyawan</v>
      </c>
      <c r="Y1620" s="5" t="str">
        <f>VLOOKUP(T1620,'Data Angt'!$A$5:$C$5808,3,FALSE)</f>
        <v>MGL</v>
      </c>
    </row>
    <row r="1621" spans="1:25" x14ac:dyDescent="0.3">
      <c r="A1621" s="8">
        <v>1615</v>
      </c>
      <c r="B1621" s="9" t="s">
        <v>3007</v>
      </c>
      <c r="C1621" s="10" t="str">
        <f>VLOOKUP(B1621,'Data Angt'!$A$5:$B$5809,2,FALSE)</f>
        <v>A1271</v>
      </c>
      <c r="D1621" s="11" t="s">
        <v>9843</v>
      </c>
      <c r="E1621" s="12" t="s">
        <v>10601</v>
      </c>
      <c r="F1621" s="13">
        <v>41622</v>
      </c>
      <c r="G1621" s="14">
        <v>45899</v>
      </c>
      <c r="H1621" s="15">
        <v>60000000</v>
      </c>
      <c r="I1621" s="16">
        <v>84</v>
      </c>
      <c r="J1621" s="17">
        <v>12</v>
      </c>
      <c r="K1621" s="9" t="s">
        <v>9831</v>
      </c>
      <c r="L1621" s="10" t="s">
        <v>10601</v>
      </c>
      <c r="M1621" s="9"/>
      <c r="N1621" s="10"/>
      <c r="O1621" s="15">
        <v>38623300</v>
      </c>
      <c r="P1621" s="145">
        <v>8482272</v>
      </c>
      <c r="Q1621" s="9"/>
      <c r="R1621" s="146"/>
      <c r="T1621" s="5" t="s">
        <v>2404</v>
      </c>
      <c r="U1621">
        <v>1</v>
      </c>
      <c r="V1621">
        <f>VLOOKUP(T1621,'Data Angt'!$A$5:$F$5810,6,FALSE)</f>
        <v>62</v>
      </c>
      <c r="W1621" s="5" t="str">
        <f t="shared" si="25"/>
        <v>PRODUKTIF</v>
      </c>
      <c r="X1621" s="5" t="str">
        <f>VLOOKUP(T1621,'Data Angt'!$A$5:$H$5810,8,FALSE)</f>
        <v>Wiraswasta</v>
      </c>
      <c r="Y1621" s="5" t="str">
        <f>VLOOKUP(T1621,'Data Angt'!$A$5:$C$5808,3,FALSE)</f>
        <v>MGL</v>
      </c>
    </row>
    <row r="1622" spans="1:25" x14ac:dyDescent="0.3">
      <c r="A1622" s="8">
        <v>1616</v>
      </c>
      <c r="B1622" s="9" t="s">
        <v>3363</v>
      </c>
      <c r="C1622" s="10" t="str">
        <f>VLOOKUP(B1622,'Data Angt'!$A$5:$B$5809,2,FALSE)</f>
        <v>A1429</v>
      </c>
      <c r="D1622" s="11" t="s">
        <v>9895</v>
      </c>
      <c r="E1622" s="12" t="s">
        <v>23738</v>
      </c>
      <c r="F1622" s="13">
        <v>45902</v>
      </c>
      <c r="G1622" s="14">
        <v>45902</v>
      </c>
      <c r="H1622" s="15">
        <v>20000000</v>
      </c>
      <c r="I1622" s="16">
        <v>12</v>
      </c>
      <c r="J1622" s="17">
        <v>24</v>
      </c>
      <c r="K1622" s="9" t="s">
        <v>9831</v>
      </c>
      <c r="L1622" s="10" t="s">
        <v>23739</v>
      </c>
      <c r="M1622" s="9" t="s">
        <v>15866</v>
      </c>
      <c r="N1622" s="10" t="s">
        <v>9828</v>
      </c>
      <c r="O1622" s="15">
        <v>20000000</v>
      </c>
      <c r="P1622" s="147">
        <v>0</v>
      </c>
      <c r="Q1622" s="9" t="s">
        <v>22240</v>
      </c>
      <c r="R1622" s="146" t="s">
        <v>23740</v>
      </c>
      <c r="T1622" s="5" t="s">
        <v>2513</v>
      </c>
      <c r="U1622">
        <v>1</v>
      </c>
      <c r="V1622">
        <f>VLOOKUP(T1622,'Data Angt'!$A$5:$F$5810,6,FALSE)</f>
        <v>47</v>
      </c>
      <c r="W1622" s="5" t="str">
        <f t="shared" si="25"/>
        <v>PRODUKTIF</v>
      </c>
      <c r="X1622" s="5" t="str">
        <f>VLOOKUP(T1622,'Data Angt'!$A$5:$H$5810,8,FALSE)</f>
        <v>Wiraswasta</v>
      </c>
      <c r="Y1622" s="5" t="str">
        <f>VLOOKUP(T1622,'Data Angt'!$A$5:$C$5808,3,FALSE)</f>
        <v>MGL</v>
      </c>
    </row>
    <row r="1623" spans="1:25" x14ac:dyDescent="0.3">
      <c r="A1623" s="8">
        <v>1617</v>
      </c>
      <c r="B1623" s="9" t="s">
        <v>3494</v>
      </c>
      <c r="C1623" s="10" t="str">
        <f>VLOOKUP(B1623,'Data Angt'!$A$5:$B$5809,2,FALSE)</f>
        <v>A1491</v>
      </c>
      <c r="D1623" s="11" t="s">
        <v>9826</v>
      </c>
      <c r="E1623" s="12" t="s">
        <v>23741</v>
      </c>
      <c r="F1623" s="13">
        <v>45875</v>
      </c>
      <c r="G1623" s="14">
        <v>45909</v>
      </c>
      <c r="H1623" s="15">
        <v>5000000</v>
      </c>
      <c r="I1623" s="16">
        <v>12</v>
      </c>
      <c r="J1623" s="17">
        <v>24</v>
      </c>
      <c r="K1623" s="9" t="s">
        <v>9831</v>
      </c>
      <c r="L1623" s="10" t="s">
        <v>23742</v>
      </c>
      <c r="M1623" s="9" t="s">
        <v>10008</v>
      </c>
      <c r="N1623" s="10" t="s">
        <v>17</v>
      </c>
      <c r="O1623" s="15">
        <v>4627200</v>
      </c>
      <c r="P1623" s="145">
        <v>37500</v>
      </c>
      <c r="Q1623" s="9"/>
      <c r="R1623" s="146"/>
      <c r="T1623" s="5" t="s">
        <v>2553</v>
      </c>
      <c r="U1623">
        <v>1</v>
      </c>
      <c r="V1623">
        <f>VLOOKUP(T1623,'Data Angt'!$A$5:$F$5810,6,FALSE)</f>
        <v>46</v>
      </c>
      <c r="W1623" s="5" t="str">
        <f t="shared" si="25"/>
        <v>PRODUKTIF</v>
      </c>
      <c r="X1623" s="5" t="str">
        <f>VLOOKUP(T1623,'Data Angt'!$A$5:$H$5810,8,FALSE)</f>
        <v>Wiraswasta</v>
      </c>
      <c r="Y1623" s="5" t="str">
        <f>VLOOKUP(T1623,'Data Angt'!$A$5:$C$5808,3,FALSE)</f>
        <v>MGL</v>
      </c>
    </row>
    <row r="1624" spans="1:25" x14ac:dyDescent="0.3">
      <c r="A1624" s="8">
        <v>1618</v>
      </c>
      <c r="B1624" s="9" t="s">
        <v>3494</v>
      </c>
      <c r="C1624" s="10" t="str">
        <f>VLOOKUP(B1624,'Data Angt'!$A$5:$B$5809,2,FALSE)</f>
        <v>A1491</v>
      </c>
      <c r="D1624" s="11" t="s">
        <v>9829</v>
      </c>
      <c r="E1624" s="12" t="s">
        <v>17648</v>
      </c>
      <c r="F1624" s="13">
        <v>45587</v>
      </c>
      <c r="G1624" s="14">
        <v>45917</v>
      </c>
      <c r="H1624" s="15">
        <v>15000000</v>
      </c>
      <c r="I1624" s="16">
        <v>36</v>
      </c>
      <c r="J1624" s="17">
        <v>24</v>
      </c>
      <c r="K1624" s="9" t="s">
        <v>9831</v>
      </c>
      <c r="L1624" s="10" t="s">
        <v>17649</v>
      </c>
      <c r="M1624" s="9" t="s">
        <v>17650</v>
      </c>
      <c r="N1624" s="10" t="s">
        <v>17</v>
      </c>
      <c r="O1624" s="15">
        <v>11490000</v>
      </c>
      <c r="P1624" s="145">
        <v>1111310</v>
      </c>
      <c r="Q1624" s="9" t="s">
        <v>23743</v>
      </c>
      <c r="R1624" s="146" t="s">
        <v>23744</v>
      </c>
      <c r="T1624" s="5" t="s">
        <v>2630</v>
      </c>
      <c r="U1624">
        <v>1</v>
      </c>
      <c r="V1624">
        <f>VLOOKUP(T1624,'Data Angt'!$A$5:$F$5810,6,FALSE)</f>
        <v>44</v>
      </c>
      <c r="W1624" s="5" t="str">
        <f t="shared" si="25"/>
        <v>PRODUKTIF</v>
      </c>
      <c r="X1624" s="5" t="str">
        <f>VLOOKUP(T1624,'Data Angt'!$A$5:$H$5810,8,FALSE)</f>
        <v>Wiraswasta</v>
      </c>
      <c r="Y1624" s="5" t="str">
        <f>VLOOKUP(T1624,'Data Angt'!$A$5:$C$5808,3,FALSE)</f>
        <v>MGL</v>
      </c>
    </row>
    <row r="1625" spans="1:25" x14ac:dyDescent="0.3">
      <c r="A1625" s="8">
        <v>1619</v>
      </c>
      <c r="B1625" s="9" t="s">
        <v>3498</v>
      </c>
      <c r="C1625" s="10" t="str">
        <f>VLOOKUP(B1625,'Data Angt'!$A$5:$B$5809,2,FALSE)</f>
        <v>A1493</v>
      </c>
      <c r="D1625" s="11" t="s">
        <v>9829</v>
      </c>
      <c r="E1625" s="12" t="s">
        <v>10602</v>
      </c>
      <c r="F1625" s="13">
        <v>45145</v>
      </c>
      <c r="G1625" s="14">
        <v>45904</v>
      </c>
      <c r="H1625" s="15">
        <v>35000000</v>
      </c>
      <c r="I1625" s="16">
        <v>48</v>
      </c>
      <c r="J1625" s="17">
        <v>21</v>
      </c>
      <c r="K1625" s="9" t="s">
        <v>9827</v>
      </c>
      <c r="L1625" s="10" t="s">
        <v>10603</v>
      </c>
      <c r="M1625" s="9" t="s">
        <v>9838</v>
      </c>
      <c r="N1625" s="10" t="s">
        <v>9828</v>
      </c>
      <c r="O1625" s="15">
        <v>16770000</v>
      </c>
      <c r="P1625" s="145">
        <v>4307018</v>
      </c>
      <c r="Q1625" s="9" t="s">
        <v>22189</v>
      </c>
      <c r="R1625" s="146" t="s">
        <v>23745</v>
      </c>
      <c r="T1625" s="5" t="s">
        <v>2640</v>
      </c>
      <c r="U1625">
        <v>1</v>
      </c>
      <c r="V1625">
        <f>VLOOKUP(T1625,'Data Angt'!$A$5:$F$5810,6,FALSE)</f>
        <v>54</v>
      </c>
      <c r="W1625" s="5" t="str">
        <f t="shared" si="25"/>
        <v>PENDIDIKAN</v>
      </c>
      <c r="X1625" s="5" t="str">
        <f>VLOOKUP(T1625,'Data Angt'!$A$5:$H$5810,8,FALSE)</f>
        <v>Lain-Lain</v>
      </c>
      <c r="Y1625" s="5" t="str">
        <f>VLOOKUP(T1625,'Data Angt'!$A$5:$C$5808,3,FALSE)</f>
        <v>MGL</v>
      </c>
    </row>
    <row r="1626" spans="1:25" x14ac:dyDescent="0.3">
      <c r="A1626" s="8">
        <v>1620</v>
      </c>
      <c r="B1626" s="9" t="s">
        <v>3603</v>
      </c>
      <c r="C1626" s="10" t="str">
        <f>VLOOKUP(B1626,'Data Angt'!$A$5:$B$5809,2,FALSE)</f>
        <v>A1540</v>
      </c>
      <c r="D1626" s="11" t="s">
        <v>9895</v>
      </c>
      <c r="E1626" s="12" t="s">
        <v>17651</v>
      </c>
      <c r="F1626" s="13">
        <v>45692</v>
      </c>
      <c r="G1626" s="14">
        <v>45908</v>
      </c>
      <c r="H1626" s="15">
        <v>15000000</v>
      </c>
      <c r="I1626" s="16">
        <v>36</v>
      </c>
      <c r="J1626" s="17">
        <v>24</v>
      </c>
      <c r="K1626" s="9" t="s">
        <v>9831</v>
      </c>
      <c r="L1626" s="10" t="s">
        <v>17652</v>
      </c>
      <c r="M1626" s="9" t="s">
        <v>17653</v>
      </c>
      <c r="N1626" s="10" t="s">
        <v>9828</v>
      </c>
      <c r="O1626" s="15">
        <v>12855600</v>
      </c>
      <c r="P1626" s="145">
        <v>740661</v>
      </c>
      <c r="Q1626" s="9" t="s">
        <v>23743</v>
      </c>
      <c r="R1626" s="146" t="s">
        <v>23746</v>
      </c>
      <c r="T1626" s="5" t="s">
        <v>2667</v>
      </c>
      <c r="U1626">
        <v>1</v>
      </c>
      <c r="V1626">
        <f>VLOOKUP(T1626,'Data Angt'!$A$5:$F$5810,6,FALSE)</f>
        <v>38</v>
      </c>
      <c r="W1626" s="5" t="str">
        <f t="shared" si="25"/>
        <v>KESEHATAN</v>
      </c>
      <c r="X1626" s="5" t="str">
        <f>VLOOKUP(T1626,'Data Angt'!$A$5:$H$5810,8,FALSE)</f>
        <v>Karyawan</v>
      </c>
      <c r="Y1626" s="5" t="str">
        <f>VLOOKUP(T1626,'Data Angt'!$A$5:$C$5808,3,FALSE)</f>
        <v>MGL</v>
      </c>
    </row>
    <row r="1627" spans="1:25" x14ac:dyDescent="0.3">
      <c r="A1627" s="8">
        <v>1621</v>
      </c>
      <c r="B1627" s="9" t="s">
        <v>3808</v>
      </c>
      <c r="C1627" s="10" t="str">
        <f>VLOOKUP(B1627,'Data Angt'!$A$5:$B$5809,2,FALSE)</f>
        <v>A1640</v>
      </c>
      <c r="D1627" s="11" t="s">
        <v>9833</v>
      </c>
      <c r="E1627" s="12" t="s">
        <v>23747</v>
      </c>
      <c r="F1627" s="13">
        <v>45913</v>
      </c>
      <c r="G1627" s="14">
        <v>45913</v>
      </c>
      <c r="H1627" s="15">
        <v>2000000</v>
      </c>
      <c r="I1627" s="16">
        <v>20</v>
      </c>
      <c r="J1627" s="17">
        <v>24</v>
      </c>
      <c r="K1627" s="9" t="s">
        <v>9827</v>
      </c>
      <c r="L1627" s="10" t="s">
        <v>23748</v>
      </c>
      <c r="M1627" s="9" t="s">
        <v>23749</v>
      </c>
      <c r="N1627" s="10" t="s">
        <v>9834</v>
      </c>
      <c r="O1627" s="15">
        <v>2000000</v>
      </c>
      <c r="P1627" s="147">
        <v>0</v>
      </c>
      <c r="Q1627" s="9"/>
      <c r="R1627" s="146"/>
      <c r="T1627" s="5" t="s">
        <v>2809</v>
      </c>
      <c r="U1627">
        <v>1</v>
      </c>
      <c r="V1627">
        <f>VLOOKUP(T1627,'Data Angt'!$A$5:$F$5810,6,FALSE)</f>
        <v>60</v>
      </c>
      <c r="W1627" s="5" t="str">
        <f t="shared" si="25"/>
        <v>PRODUKTIF</v>
      </c>
      <c r="X1627" s="5" t="str">
        <f>VLOOKUP(T1627,'Data Angt'!$A$5:$H$5810,8,FALSE)</f>
        <v>Wiraswasta</v>
      </c>
      <c r="Y1627" s="5" t="str">
        <f>VLOOKUP(T1627,'Data Angt'!$A$5:$C$5808,3,FALSE)</f>
        <v>MGL</v>
      </c>
    </row>
    <row r="1628" spans="1:25" x14ac:dyDescent="0.3">
      <c r="A1628" s="8">
        <v>1622</v>
      </c>
      <c r="B1628" s="9" t="s">
        <v>3971</v>
      </c>
      <c r="C1628" s="10" t="str">
        <f>VLOOKUP(B1628,'Data Angt'!$A$5:$B$5809,2,FALSE)</f>
        <v>A1715</v>
      </c>
      <c r="D1628" s="11" t="s">
        <v>9829</v>
      </c>
      <c r="E1628" s="12" t="s">
        <v>23750</v>
      </c>
      <c r="F1628" s="13">
        <v>45882</v>
      </c>
      <c r="G1628" s="14">
        <v>45915</v>
      </c>
      <c r="H1628" s="15">
        <v>7000000</v>
      </c>
      <c r="I1628" s="16">
        <v>18</v>
      </c>
      <c r="J1628" s="17">
        <v>24</v>
      </c>
      <c r="K1628" s="9" t="s">
        <v>9827</v>
      </c>
      <c r="L1628" s="10" t="s">
        <v>23751</v>
      </c>
      <c r="M1628" s="9" t="s">
        <v>10008</v>
      </c>
      <c r="N1628" s="10" t="s">
        <v>17</v>
      </c>
      <c r="O1628" s="15">
        <v>6611100</v>
      </c>
      <c r="P1628" s="145">
        <v>52500</v>
      </c>
      <c r="Q1628" s="9" t="s">
        <v>22189</v>
      </c>
      <c r="R1628" s="146" t="s">
        <v>23752</v>
      </c>
      <c r="T1628" s="5" t="s">
        <v>2829</v>
      </c>
      <c r="U1628">
        <v>1</v>
      </c>
      <c r="V1628">
        <f>VLOOKUP(T1628,'Data Angt'!$A$5:$F$5810,6,FALSE)</f>
        <v>52</v>
      </c>
      <c r="W1628" s="5">
        <f t="shared" si="25"/>
        <v>0</v>
      </c>
      <c r="X1628" s="5" t="str">
        <f>VLOOKUP(T1628,'Data Angt'!$A$5:$H$5810,8,FALSE)</f>
        <v>Wiraswasta</v>
      </c>
      <c r="Y1628" s="5" t="str">
        <f>VLOOKUP(T1628,'Data Angt'!$A$5:$C$5808,3,FALSE)</f>
        <v>MGL</v>
      </c>
    </row>
    <row r="1629" spans="1:25" x14ac:dyDescent="0.3">
      <c r="A1629" s="8">
        <v>1623</v>
      </c>
      <c r="B1629" s="9" t="s">
        <v>4059</v>
      </c>
      <c r="C1629" s="10" t="str">
        <f>VLOOKUP(B1629,'Data Angt'!$A$5:$B$5809,2,FALSE)</f>
        <v>A1760</v>
      </c>
      <c r="D1629" s="11" t="s">
        <v>9826</v>
      </c>
      <c r="E1629" s="12" t="s">
        <v>17654</v>
      </c>
      <c r="F1629" s="13">
        <v>45677</v>
      </c>
      <c r="G1629" s="14">
        <v>45904</v>
      </c>
      <c r="H1629" s="15">
        <v>5000000</v>
      </c>
      <c r="I1629" s="16">
        <v>12</v>
      </c>
      <c r="J1629" s="17">
        <v>24</v>
      </c>
      <c r="K1629" s="9" t="s">
        <v>9831</v>
      </c>
      <c r="L1629" s="10" t="s">
        <v>17655</v>
      </c>
      <c r="M1629" s="9" t="s">
        <v>17656</v>
      </c>
      <c r="N1629" s="10" t="s">
        <v>17</v>
      </c>
      <c r="O1629" s="15">
        <v>1800600</v>
      </c>
      <c r="P1629" s="145">
        <v>218624</v>
      </c>
      <c r="Q1629" s="9"/>
      <c r="R1629" s="146"/>
      <c r="T1629" s="5" t="s">
        <v>2991</v>
      </c>
      <c r="U1629">
        <v>1</v>
      </c>
      <c r="V1629">
        <f>VLOOKUP(T1629,'Data Angt'!$A$5:$F$5810,6,FALSE)</f>
        <v>56</v>
      </c>
      <c r="W1629" s="5" t="str">
        <f t="shared" si="25"/>
        <v>KESEJAHTERAAN</v>
      </c>
      <c r="X1629" s="5" t="str">
        <f>VLOOKUP(T1629,'Data Angt'!$A$5:$H$5810,8,FALSE)</f>
        <v>Tenaga Pengajar</v>
      </c>
      <c r="Y1629" s="5" t="str">
        <f>VLOOKUP(T1629,'Data Angt'!$A$5:$C$5808,3,FALSE)</f>
        <v>MGL</v>
      </c>
    </row>
    <row r="1630" spans="1:25" x14ac:dyDescent="0.3">
      <c r="A1630" s="8">
        <v>1624</v>
      </c>
      <c r="B1630" s="9" t="s">
        <v>4059</v>
      </c>
      <c r="C1630" s="10" t="str">
        <f>VLOOKUP(B1630,'Data Angt'!$A$5:$B$5809,2,FALSE)</f>
        <v>A1760</v>
      </c>
      <c r="D1630" s="11" t="s">
        <v>9829</v>
      </c>
      <c r="E1630" s="12" t="s">
        <v>17657</v>
      </c>
      <c r="F1630" s="13">
        <v>45484</v>
      </c>
      <c r="G1630" s="14">
        <v>45904</v>
      </c>
      <c r="H1630" s="15">
        <v>10000000</v>
      </c>
      <c r="I1630" s="16">
        <v>24</v>
      </c>
      <c r="J1630" s="17">
        <v>24</v>
      </c>
      <c r="K1630" s="9" t="s">
        <v>9831</v>
      </c>
      <c r="L1630" s="10" t="s">
        <v>17658</v>
      </c>
      <c r="M1630" s="9" t="s">
        <v>17659</v>
      </c>
      <c r="N1630" s="10" t="s">
        <v>9828</v>
      </c>
      <c r="O1630" s="15">
        <v>4748500</v>
      </c>
      <c r="P1630" s="145">
        <v>806884</v>
      </c>
      <c r="Q1630" s="9" t="s">
        <v>22189</v>
      </c>
      <c r="R1630" s="146" t="s">
        <v>23753</v>
      </c>
      <c r="T1630" s="5" t="s">
        <v>3057</v>
      </c>
      <c r="U1630">
        <v>1</v>
      </c>
      <c r="V1630">
        <f>VLOOKUP(T1630,'Data Angt'!$A$5:$F$5810,6,FALSE)</f>
        <v>53</v>
      </c>
      <c r="W1630" s="5" t="str">
        <f t="shared" si="25"/>
        <v>PRODUKTIF</v>
      </c>
      <c r="X1630" s="5" t="str">
        <f>VLOOKUP(T1630,'Data Angt'!$A$5:$H$5810,8,FALSE)</f>
        <v>Wiraswasta</v>
      </c>
      <c r="Y1630" s="5" t="str">
        <f>VLOOKUP(T1630,'Data Angt'!$A$5:$C$5808,3,FALSE)</f>
        <v>MGL</v>
      </c>
    </row>
    <row r="1631" spans="1:25" x14ac:dyDescent="0.3">
      <c r="A1631" s="8">
        <v>1625</v>
      </c>
      <c r="B1631" s="9" t="s">
        <v>4075</v>
      </c>
      <c r="C1631" s="10" t="str">
        <f>VLOOKUP(B1631,'Data Angt'!$A$5:$B$5809,2,FALSE)</f>
        <v>A1768</v>
      </c>
      <c r="D1631" s="11" t="s">
        <v>9829</v>
      </c>
      <c r="E1631" s="12" t="s">
        <v>10604</v>
      </c>
      <c r="F1631" s="13">
        <v>45250</v>
      </c>
      <c r="G1631" s="14">
        <v>45915</v>
      </c>
      <c r="H1631" s="15">
        <v>15000000</v>
      </c>
      <c r="I1631" s="16">
        <v>24</v>
      </c>
      <c r="J1631" s="17">
        <v>24</v>
      </c>
      <c r="K1631" s="9" t="s">
        <v>9827</v>
      </c>
      <c r="L1631" s="10" t="s">
        <v>10605</v>
      </c>
      <c r="M1631" s="9" t="s">
        <v>9838</v>
      </c>
      <c r="N1631" s="10" t="s">
        <v>9828</v>
      </c>
      <c r="O1631" s="15">
        <v>1250000</v>
      </c>
      <c r="P1631" s="145">
        <v>1392182</v>
      </c>
      <c r="Q1631" s="9"/>
      <c r="R1631" s="146"/>
      <c r="T1631" s="5" t="s">
        <v>3095</v>
      </c>
      <c r="U1631">
        <v>1</v>
      </c>
      <c r="V1631">
        <f>VLOOKUP(T1631,'Data Angt'!$A$5:$F$5810,6,FALSE)</f>
        <v>62</v>
      </c>
      <c r="W1631" s="5" t="str">
        <f t="shared" si="25"/>
        <v>KONSUMTIF</v>
      </c>
      <c r="X1631" s="5" t="str">
        <f>VLOOKUP(T1631,'Data Angt'!$A$5:$H$5810,8,FALSE)</f>
        <v>Mengurus Rumah Tangga</v>
      </c>
      <c r="Y1631" s="5" t="str">
        <f>VLOOKUP(T1631,'Data Angt'!$A$5:$C$5808,3,FALSE)</f>
        <v>MGL</v>
      </c>
    </row>
    <row r="1632" spans="1:25" x14ac:dyDescent="0.3">
      <c r="A1632" s="8">
        <v>1626</v>
      </c>
      <c r="B1632" s="9" t="s">
        <v>4127</v>
      </c>
      <c r="C1632" s="10" t="str">
        <f>VLOOKUP(B1632,'Data Angt'!$A$5:$B$5809,2,FALSE)</f>
        <v>A1791</v>
      </c>
      <c r="D1632" s="11" t="s">
        <v>9833</v>
      </c>
      <c r="E1632" s="12" t="s">
        <v>17660</v>
      </c>
      <c r="F1632" s="13">
        <v>45712</v>
      </c>
      <c r="G1632" s="14">
        <v>45919</v>
      </c>
      <c r="H1632" s="15">
        <v>2000000</v>
      </c>
      <c r="I1632" s="16">
        <v>12</v>
      </c>
      <c r="J1632" s="17">
        <v>11.88</v>
      </c>
      <c r="K1632" s="9" t="s">
        <v>9831</v>
      </c>
      <c r="L1632" s="10" t="s">
        <v>17661</v>
      </c>
      <c r="M1632" s="9" t="s">
        <v>17662</v>
      </c>
      <c r="N1632" s="10" t="s">
        <v>9834</v>
      </c>
      <c r="O1632" s="15">
        <v>862300</v>
      </c>
      <c r="P1632" s="145">
        <v>39560</v>
      </c>
      <c r="Q1632" s="9"/>
      <c r="R1632" s="146"/>
      <c r="T1632" s="5" t="s">
        <v>3116</v>
      </c>
      <c r="U1632">
        <v>1</v>
      </c>
      <c r="V1632">
        <f>VLOOKUP(T1632,'Data Angt'!$A$5:$F$5810,6,FALSE)</f>
        <v>57</v>
      </c>
      <c r="W1632" s="5" t="str">
        <f t="shared" si="25"/>
        <v>PRODUKTIF</v>
      </c>
      <c r="X1632" s="5" t="str">
        <f>VLOOKUP(T1632,'Data Angt'!$A$5:$H$5810,8,FALSE)</f>
        <v>Wiraswasta</v>
      </c>
      <c r="Y1632" s="5" t="str">
        <f>VLOOKUP(T1632,'Data Angt'!$A$5:$C$5808,3,FALSE)</f>
        <v>MGL</v>
      </c>
    </row>
    <row r="1633" spans="1:25" x14ac:dyDescent="0.3">
      <c r="A1633" s="8">
        <v>1627</v>
      </c>
      <c r="B1633" s="9" t="s">
        <v>4173</v>
      </c>
      <c r="C1633" s="10" t="str">
        <f>VLOOKUP(B1633,'Data Angt'!$A$5:$B$5809,2,FALSE)</f>
        <v>A1810</v>
      </c>
      <c r="D1633" s="11" t="s">
        <v>9842</v>
      </c>
      <c r="E1633" s="12" t="s">
        <v>10606</v>
      </c>
      <c r="F1633" s="13">
        <v>44499</v>
      </c>
      <c r="G1633" s="14">
        <v>45903</v>
      </c>
      <c r="H1633" s="15">
        <v>90000000</v>
      </c>
      <c r="I1633" s="16">
        <v>120</v>
      </c>
      <c r="J1633" s="17">
        <v>11.4</v>
      </c>
      <c r="K1633" s="9" t="s">
        <v>9831</v>
      </c>
      <c r="L1633" s="10" t="s">
        <v>10607</v>
      </c>
      <c r="M1633" s="9" t="s">
        <v>10608</v>
      </c>
      <c r="N1633" s="10" t="s">
        <v>9830</v>
      </c>
      <c r="O1633" s="15">
        <v>66131100</v>
      </c>
      <c r="P1633" s="145">
        <v>13261939</v>
      </c>
      <c r="Q1633" s="9"/>
      <c r="R1633" s="146"/>
      <c r="T1633" s="5" t="s">
        <v>3175</v>
      </c>
      <c r="U1633">
        <v>1</v>
      </c>
      <c r="V1633">
        <f>VLOOKUP(T1633,'Data Angt'!$A$5:$F$5810,6,FALSE)</f>
        <v>55</v>
      </c>
      <c r="W1633" s="5">
        <f t="shared" si="25"/>
        <v>0</v>
      </c>
      <c r="X1633" s="5" t="str">
        <f>VLOOKUP(T1633,'Data Angt'!$A$5:$H$5810,8,FALSE)</f>
        <v>Wiraswasta</v>
      </c>
      <c r="Y1633" s="5" t="str">
        <f>VLOOKUP(T1633,'Data Angt'!$A$5:$C$5808,3,FALSE)</f>
        <v>MGL</v>
      </c>
    </row>
    <row r="1634" spans="1:25" x14ac:dyDescent="0.3">
      <c r="A1634" s="8">
        <v>1628</v>
      </c>
      <c r="B1634" s="9" t="s">
        <v>4259</v>
      </c>
      <c r="C1634" s="10" t="str">
        <f>VLOOKUP(B1634,'Data Angt'!$A$5:$B$5809,2,FALSE)</f>
        <v>A1846</v>
      </c>
      <c r="D1634" s="11" t="s">
        <v>9829</v>
      </c>
      <c r="E1634" s="12" t="s">
        <v>10609</v>
      </c>
      <c r="F1634" s="13">
        <v>43873</v>
      </c>
      <c r="G1634" s="14">
        <v>44242</v>
      </c>
      <c r="H1634" s="15">
        <v>5000000</v>
      </c>
      <c r="I1634" s="16">
        <v>36</v>
      </c>
      <c r="J1634" s="17">
        <v>24</v>
      </c>
      <c r="K1634" s="9" t="s">
        <v>9831</v>
      </c>
      <c r="L1634" s="10" t="s">
        <v>10610</v>
      </c>
      <c r="M1634" s="9" t="s">
        <v>10611</v>
      </c>
      <c r="N1634" s="10" t="s">
        <v>17</v>
      </c>
      <c r="O1634" s="15">
        <v>4603700</v>
      </c>
      <c r="P1634" s="145">
        <v>297562</v>
      </c>
      <c r="Q1634" s="9"/>
      <c r="R1634" s="146"/>
      <c r="T1634" s="5" t="s">
        <v>3238</v>
      </c>
      <c r="U1634">
        <v>1</v>
      </c>
      <c r="V1634">
        <f>VLOOKUP(T1634,'Data Angt'!$A$5:$F$5810,6,FALSE)</f>
        <v>55</v>
      </c>
      <c r="W1634" s="5" t="str">
        <f t="shared" si="25"/>
        <v>PRODUKTIF</v>
      </c>
      <c r="X1634" s="5" t="str">
        <f>VLOOKUP(T1634,'Data Angt'!$A$5:$H$5810,8,FALSE)</f>
        <v>Wiraswasta</v>
      </c>
      <c r="Y1634" s="5" t="str">
        <f>VLOOKUP(T1634,'Data Angt'!$A$5:$C$5808,3,FALSE)</f>
        <v>MGL</v>
      </c>
    </row>
    <row r="1635" spans="1:25" x14ac:dyDescent="0.3">
      <c r="A1635" s="8">
        <v>1629</v>
      </c>
      <c r="B1635" s="9" t="s">
        <v>4267</v>
      </c>
      <c r="C1635" s="10" t="str">
        <f>VLOOKUP(B1635,'Data Angt'!$A$5:$B$5809,2,FALSE)</f>
        <v>A1849</v>
      </c>
      <c r="D1635" s="11" t="s">
        <v>9829</v>
      </c>
      <c r="E1635" s="12" t="s">
        <v>17663</v>
      </c>
      <c r="F1635" s="13">
        <v>45666</v>
      </c>
      <c r="G1635" s="14">
        <v>45910</v>
      </c>
      <c r="H1635" s="15">
        <v>5000000</v>
      </c>
      <c r="I1635" s="16">
        <v>20</v>
      </c>
      <c r="J1635" s="17">
        <v>24</v>
      </c>
      <c r="K1635" s="9" t="s">
        <v>9831</v>
      </c>
      <c r="L1635" s="10" t="s">
        <v>17664</v>
      </c>
      <c r="M1635" s="9" t="s">
        <v>10008</v>
      </c>
      <c r="N1635" s="10" t="s">
        <v>17</v>
      </c>
      <c r="O1635" s="15">
        <v>3234000</v>
      </c>
      <c r="P1635" s="145">
        <v>255147</v>
      </c>
      <c r="Q1635" s="9"/>
      <c r="R1635" s="146"/>
      <c r="T1635" s="5" t="s">
        <v>3254</v>
      </c>
      <c r="U1635">
        <v>1</v>
      </c>
      <c r="V1635">
        <f>VLOOKUP(T1635,'Data Angt'!$A$5:$F$5810,6,FALSE)</f>
        <v>52</v>
      </c>
      <c r="W1635" s="5" t="str">
        <f t="shared" si="25"/>
        <v>PENDIDIKAN</v>
      </c>
      <c r="X1635" s="5" t="str">
        <f>VLOOKUP(T1635,'Data Angt'!$A$5:$H$5810,8,FALSE)</f>
        <v>Tenaga Pengajar</v>
      </c>
      <c r="Y1635" s="5" t="str">
        <f>VLOOKUP(T1635,'Data Angt'!$A$5:$C$5808,3,FALSE)</f>
        <v>MGL</v>
      </c>
    </row>
    <row r="1636" spans="1:25" x14ac:dyDescent="0.3">
      <c r="A1636" s="8">
        <v>1630</v>
      </c>
      <c r="B1636" s="9" t="s">
        <v>4324</v>
      </c>
      <c r="C1636" s="10" t="str">
        <f>VLOOKUP(B1636,'Data Angt'!$A$5:$B$5809,2,FALSE)</f>
        <v>A1875</v>
      </c>
      <c r="D1636" s="11" t="s">
        <v>9829</v>
      </c>
      <c r="E1636" s="12" t="s">
        <v>17665</v>
      </c>
      <c r="F1636" s="13">
        <v>45346</v>
      </c>
      <c r="G1636" s="14">
        <v>45926</v>
      </c>
      <c r="H1636" s="15">
        <v>50000000</v>
      </c>
      <c r="I1636" s="16">
        <v>60</v>
      </c>
      <c r="J1636" s="17">
        <v>21</v>
      </c>
      <c r="K1636" s="9" t="s">
        <v>9827</v>
      </c>
      <c r="L1636" s="10" t="s">
        <v>17666</v>
      </c>
      <c r="M1636" s="9" t="s">
        <v>9838</v>
      </c>
      <c r="N1636" s="10" t="s">
        <v>9828</v>
      </c>
      <c r="O1636" s="15">
        <v>34165400</v>
      </c>
      <c r="P1636" s="145">
        <v>5299494</v>
      </c>
      <c r="Q1636" s="9" t="s">
        <v>22200</v>
      </c>
      <c r="R1636" s="146" t="s">
        <v>23754</v>
      </c>
      <c r="T1636" s="5" t="s">
        <v>3277</v>
      </c>
      <c r="U1636">
        <v>1</v>
      </c>
      <c r="V1636">
        <f>VLOOKUP(T1636,'Data Angt'!$A$5:$F$5810,6,FALSE)</f>
        <v>46</v>
      </c>
      <c r="W1636" s="5">
        <f t="shared" si="25"/>
        <v>0</v>
      </c>
      <c r="X1636" s="5" t="str">
        <f>VLOOKUP(T1636,'Data Angt'!$A$5:$H$5810,8,FALSE)</f>
        <v>Karyawan</v>
      </c>
      <c r="Y1636" s="5" t="str">
        <f>VLOOKUP(T1636,'Data Angt'!$A$5:$C$5808,3,FALSE)</f>
        <v>MGL</v>
      </c>
    </row>
    <row r="1637" spans="1:25" x14ac:dyDescent="0.3">
      <c r="A1637" s="8">
        <v>1631</v>
      </c>
      <c r="B1637" s="9" t="s">
        <v>4566</v>
      </c>
      <c r="C1637" s="10" t="str">
        <f>VLOOKUP(B1637,'Data Angt'!$A$5:$B$5809,2,FALSE)</f>
        <v>A1989</v>
      </c>
      <c r="D1637" s="11" t="s">
        <v>9829</v>
      </c>
      <c r="E1637" s="12" t="s">
        <v>17667</v>
      </c>
      <c r="F1637" s="13">
        <v>45471</v>
      </c>
      <c r="G1637" s="14">
        <v>45925</v>
      </c>
      <c r="H1637" s="15">
        <v>10000000</v>
      </c>
      <c r="I1637" s="16">
        <v>24</v>
      </c>
      <c r="J1637" s="17">
        <v>24</v>
      </c>
      <c r="K1637" s="9" t="s">
        <v>9831</v>
      </c>
      <c r="L1637" s="10" t="s">
        <v>17668</v>
      </c>
      <c r="M1637" s="9" t="s">
        <v>10008</v>
      </c>
      <c r="N1637" s="10" t="s">
        <v>17</v>
      </c>
      <c r="O1637" s="15">
        <v>4314700</v>
      </c>
      <c r="P1637" s="145">
        <v>842509</v>
      </c>
      <c r="Q1637" s="9"/>
      <c r="R1637" s="146"/>
      <c r="T1637" s="5" t="s">
        <v>3471</v>
      </c>
      <c r="U1637">
        <v>1</v>
      </c>
      <c r="V1637">
        <f>VLOOKUP(T1637,'Data Angt'!$A$5:$F$5810,6,FALSE)</f>
        <v>53</v>
      </c>
      <c r="W1637" s="5" t="str">
        <f t="shared" si="25"/>
        <v>PRODUKTIF</v>
      </c>
      <c r="X1637" s="5" t="str">
        <f>VLOOKUP(T1637,'Data Angt'!$A$5:$H$5810,8,FALSE)</f>
        <v>Lain-Lain</v>
      </c>
      <c r="Y1637" s="5" t="str">
        <f>VLOOKUP(T1637,'Data Angt'!$A$5:$C$5808,3,FALSE)</f>
        <v>MGL</v>
      </c>
    </row>
    <row r="1638" spans="1:25" x14ac:dyDescent="0.3">
      <c r="A1638" s="8">
        <v>1632</v>
      </c>
      <c r="B1638" s="9" t="s">
        <v>4711</v>
      </c>
      <c r="C1638" s="10" t="str">
        <f>VLOOKUP(B1638,'Data Angt'!$A$5:$B$5809,2,FALSE)</f>
        <v>A2058</v>
      </c>
      <c r="D1638" s="11" t="s">
        <v>9826</v>
      </c>
      <c r="E1638" s="12" t="s">
        <v>17669</v>
      </c>
      <c r="F1638" s="13">
        <v>45665</v>
      </c>
      <c r="G1638" s="14">
        <v>45908</v>
      </c>
      <c r="H1638" s="15">
        <v>3000000</v>
      </c>
      <c r="I1638" s="16">
        <v>12</v>
      </c>
      <c r="J1638" s="17">
        <v>11.88</v>
      </c>
      <c r="K1638" s="9" t="s">
        <v>9831</v>
      </c>
      <c r="L1638" s="10" t="s">
        <v>17670</v>
      </c>
      <c r="M1638" s="9" t="s">
        <v>9854</v>
      </c>
      <c r="N1638" s="10" t="s">
        <v>17</v>
      </c>
      <c r="O1638" s="15">
        <v>1039800</v>
      </c>
      <c r="P1638" s="145">
        <v>64123</v>
      </c>
      <c r="Q1638" s="9"/>
      <c r="R1638" s="146"/>
      <c r="T1638" s="5" t="s">
        <v>3627</v>
      </c>
      <c r="U1638">
        <v>1</v>
      </c>
      <c r="V1638">
        <f>VLOOKUP(T1638,'Data Angt'!$A$5:$F$5810,6,FALSE)</f>
        <v>50</v>
      </c>
      <c r="W1638" s="5" t="str">
        <f t="shared" si="25"/>
        <v>KONSUMTIF</v>
      </c>
      <c r="X1638" s="5" t="str">
        <f>VLOOKUP(T1638,'Data Angt'!$A$5:$H$5810,8,FALSE)</f>
        <v>Karyawan</v>
      </c>
      <c r="Y1638" s="5" t="str">
        <f>VLOOKUP(T1638,'Data Angt'!$A$5:$C$5808,3,FALSE)</f>
        <v>MGL</v>
      </c>
    </row>
    <row r="1639" spans="1:25" x14ac:dyDescent="0.3">
      <c r="A1639" s="8">
        <v>1633</v>
      </c>
      <c r="B1639" s="9" t="s">
        <v>4711</v>
      </c>
      <c r="C1639" s="10" t="str">
        <f>VLOOKUP(B1639,'Data Angt'!$A$5:$B$5809,2,FALSE)</f>
        <v>A2058</v>
      </c>
      <c r="D1639" s="11" t="s">
        <v>9829</v>
      </c>
      <c r="E1639" s="12" t="s">
        <v>10612</v>
      </c>
      <c r="F1639" s="13">
        <v>44767</v>
      </c>
      <c r="G1639" s="14">
        <v>45917</v>
      </c>
      <c r="H1639" s="15">
        <v>49000000</v>
      </c>
      <c r="I1639" s="16">
        <v>48</v>
      </c>
      <c r="J1639" s="17">
        <v>21</v>
      </c>
      <c r="K1639" s="9" t="s">
        <v>9831</v>
      </c>
      <c r="L1639" s="10" t="s">
        <v>10613</v>
      </c>
      <c r="M1639" s="9" t="s">
        <v>10255</v>
      </c>
      <c r="N1639" s="10" t="s">
        <v>17</v>
      </c>
      <c r="O1639" s="15">
        <v>13807600</v>
      </c>
      <c r="P1639" s="145">
        <v>8425791</v>
      </c>
      <c r="Q1639" s="9"/>
      <c r="R1639" s="146"/>
      <c r="T1639" s="5" t="s">
        <v>3674</v>
      </c>
      <c r="U1639">
        <v>1</v>
      </c>
      <c r="V1639">
        <f>VLOOKUP(T1639,'Data Angt'!$A$5:$F$5810,6,FALSE)</f>
        <v>61</v>
      </c>
      <c r="W1639" s="5" t="str">
        <f t="shared" si="25"/>
        <v>PRODUKTIF</v>
      </c>
      <c r="X1639" s="5" t="str">
        <f>VLOOKUP(T1639,'Data Angt'!$A$5:$H$5810,8,FALSE)</f>
        <v>Lain-Lain</v>
      </c>
      <c r="Y1639" s="5" t="str">
        <f>VLOOKUP(T1639,'Data Angt'!$A$5:$C$5808,3,FALSE)</f>
        <v>MGL</v>
      </c>
    </row>
    <row r="1640" spans="1:25" x14ac:dyDescent="0.3">
      <c r="A1640" s="8">
        <v>1634</v>
      </c>
      <c r="B1640" s="9" t="s">
        <v>4718</v>
      </c>
      <c r="C1640" s="10" t="str">
        <f>VLOOKUP(B1640,'Data Angt'!$A$5:$B$5809,2,FALSE)</f>
        <v>A2061</v>
      </c>
      <c r="D1640" s="11" t="s">
        <v>9895</v>
      </c>
      <c r="E1640" s="12" t="s">
        <v>17671</v>
      </c>
      <c r="F1640" s="13">
        <v>45730</v>
      </c>
      <c r="G1640" s="14">
        <v>45913</v>
      </c>
      <c r="H1640" s="15">
        <v>10000000</v>
      </c>
      <c r="I1640" s="16">
        <v>24</v>
      </c>
      <c r="J1640" s="17">
        <v>24</v>
      </c>
      <c r="K1640" s="9" t="s">
        <v>9831</v>
      </c>
      <c r="L1640" s="10" t="s">
        <v>17672</v>
      </c>
      <c r="M1640" s="9" t="s">
        <v>17653</v>
      </c>
      <c r="N1640" s="10" t="s">
        <v>9828</v>
      </c>
      <c r="O1640" s="15">
        <v>7926100</v>
      </c>
      <c r="P1640" s="145">
        <v>412086</v>
      </c>
      <c r="Q1640" s="9" t="s">
        <v>23755</v>
      </c>
      <c r="R1640" s="146" t="s">
        <v>23756</v>
      </c>
      <c r="T1640" s="5" t="s">
        <v>3706</v>
      </c>
      <c r="U1640">
        <v>1</v>
      </c>
      <c r="V1640">
        <f>VLOOKUP(T1640,'Data Angt'!$A$5:$F$5810,6,FALSE)</f>
        <v>69</v>
      </c>
      <c r="W1640" s="5" t="str">
        <f t="shared" si="25"/>
        <v>KONSUMTIF</v>
      </c>
      <c r="X1640" s="5" t="str">
        <f>VLOOKUP(T1640,'Data Angt'!$A$5:$H$5810,8,FALSE)</f>
        <v>Pensiunan</v>
      </c>
      <c r="Y1640" s="5" t="str">
        <f>VLOOKUP(T1640,'Data Angt'!$A$5:$C$5808,3,FALSE)</f>
        <v>MGL</v>
      </c>
    </row>
    <row r="1641" spans="1:25" x14ac:dyDescent="0.3">
      <c r="A1641" s="8">
        <v>1635</v>
      </c>
      <c r="B1641" s="9" t="s">
        <v>4840</v>
      </c>
      <c r="C1641" s="10" t="str">
        <f>VLOOKUP(B1641,'Data Angt'!$A$5:$B$5809,2,FALSE)</f>
        <v>A2117</v>
      </c>
      <c r="D1641" s="11" t="s">
        <v>9829</v>
      </c>
      <c r="E1641" s="12" t="s">
        <v>17673</v>
      </c>
      <c r="F1641" s="13">
        <v>45434</v>
      </c>
      <c r="G1641" s="14">
        <v>45923</v>
      </c>
      <c r="H1641" s="15">
        <v>10000000</v>
      </c>
      <c r="I1641" s="16">
        <v>24</v>
      </c>
      <c r="J1641" s="17">
        <v>24</v>
      </c>
      <c r="K1641" s="9" t="s">
        <v>9831</v>
      </c>
      <c r="L1641" s="10" t="s">
        <v>17674</v>
      </c>
      <c r="M1641" s="9" t="s">
        <v>9959</v>
      </c>
      <c r="N1641" s="10" t="s">
        <v>9828</v>
      </c>
      <c r="O1641" s="15">
        <v>4314700</v>
      </c>
      <c r="P1641" s="145">
        <v>909972</v>
      </c>
      <c r="Q1641" s="9"/>
      <c r="R1641" s="146"/>
      <c r="T1641" s="5" t="s">
        <v>3757</v>
      </c>
      <c r="U1641">
        <v>1</v>
      </c>
      <c r="V1641">
        <f>VLOOKUP(T1641,'Data Angt'!$A$5:$F$5810,6,FALSE)</f>
        <v>54</v>
      </c>
      <c r="W1641" s="5" t="str">
        <f t="shared" si="25"/>
        <v>KONSUMTIF</v>
      </c>
      <c r="X1641" s="5" t="str">
        <f>VLOOKUP(T1641,'Data Angt'!$A$5:$H$5810,8,FALSE)</f>
        <v>Karyawan</v>
      </c>
      <c r="Y1641" s="5" t="str">
        <f>VLOOKUP(T1641,'Data Angt'!$A$5:$C$5808,3,FALSE)</f>
        <v>MGL</v>
      </c>
    </row>
    <row r="1642" spans="1:25" x14ac:dyDescent="0.3">
      <c r="A1642" s="8">
        <v>1636</v>
      </c>
      <c r="B1642" s="9" t="s">
        <v>4890</v>
      </c>
      <c r="C1642" s="10" t="str">
        <f>VLOOKUP(B1642,'Data Angt'!$A$5:$B$5809,2,FALSE)</f>
        <v>A2140</v>
      </c>
      <c r="D1642" s="11" t="s">
        <v>9829</v>
      </c>
      <c r="E1642" s="12" t="s">
        <v>10614</v>
      </c>
      <c r="F1642" s="13">
        <v>43546</v>
      </c>
      <c r="G1642" s="14">
        <v>45920</v>
      </c>
      <c r="H1642" s="15">
        <v>200000000</v>
      </c>
      <c r="I1642" s="16">
        <v>60</v>
      </c>
      <c r="J1642" s="17">
        <v>21</v>
      </c>
      <c r="K1642" s="9" t="s">
        <v>9831</v>
      </c>
      <c r="L1642" s="10" t="s">
        <v>10615</v>
      </c>
      <c r="M1642" s="9" t="s">
        <v>10616</v>
      </c>
      <c r="N1642" s="10" t="s">
        <v>9828</v>
      </c>
      <c r="O1642" s="15">
        <v>149260800</v>
      </c>
      <c r="P1642" s="145">
        <v>29975359</v>
      </c>
      <c r="Q1642" s="9"/>
      <c r="R1642" s="146"/>
      <c r="T1642" s="5" t="s">
        <v>3764</v>
      </c>
      <c r="U1642">
        <v>1</v>
      </c>
      <c r="V1642">
        <f>VLOOKUP(T1642,'Data Angt'!$A$5:$F$5810,6,FALSE)</f>
        <v>48</v>
      </c>
      <c r="W1642" s="5" t="str">
        <f t="shared" si="25"/>
        <v>KONSUMTIF</v>
      </c>
      <c r="X1642" s="5" t="str">
        <f>VLOOKUP(T1642,'Data Angt'!$A$5:$H$5810,8,FALSE)</f>
        <v>Wiraswasta</v>
      </c>
      <c r="Y1642" s="5" t="str">
        <f>VLOOKUP(T1642,'Data Angt'!$A$5:$C$5808,3,FALSE)</f>
        <v>MGL</v>
      </c>
    </row>
    <row r="1643" spans="1:25" x14ac:dyDescent="0.3">
      <c r="A1643" s="8">
        <v>1637</v>
      </c>
      <c r="B1643" s="9" t="s">
        <v>5030</v>
      </c>
      <c r="C1643" s="10" t="str">
        <f>VLOOKUP(B1643,'Data Angt'!$A$5:$B$5809,2,FALSE)</f>
        <v>A2205</v>
      </c>
      <c r="D1643" s="11" t="s">
        <v>9842</v>
      </c>
      <c r="E1643" s="12" t="s">
        <v>10617</v>
      </c>
      <c r="F1643" s="13">
        <v>43820</v>
      </c>
      <c r="G1643" s="14">
        <v>45930</v>
      </c>
      <c r="H1643" s="15">
        <v>230000000</v>
      </c>
      <c r="I1643" s="16">
        <v>120</v>
      </c>
      <c r="J1643" s="17">
        <v>11.4</v>
      </c>
      <c r="K1643" s="9" t="s">
        <v>9831</v>
      </c>
      <c r="L1643" s="10" t="s">
        <v>10618</v>
      </c>
      <c r="M1643" s="9" t="s">
        <v>10619</v>
      </c>
      <c r="N1643" s="10" t="s">
        <v>9830</v>
      </c>
      <c r="O1643" s="15">
        <v>129764200</v>
      </c>
      <c r="P1643" s="145">
        <v>45744771</v>
      </c>
      <c r="Q1643" s="9"/>
      <c r="R1643" s="146"/>
      <c r="T1643" s="5" t="s">
        <v>3817</v>
      </c>
      <c r="U1643">
        <v>1</v>
      </c>
      <c r="V1643">
        <f>VLOOKUP(T1643,'Data Angt'!$A$5:$F$5810,6,FALSE)</f>
        <v>41</v>
      </c>
      <c r="W1643" s="5">
        <f t="shared" si="25"/>
        <v>0</v>
      </c>
      <c r="X1643" s="5" t="str">
        <f>VLOOKUP(T1643,'Data Angt'!$A$5:$H$5810,8,FALSE)</f>
        <v>Wiraswasta</v>
      </c>
      <c r="Y1643" s="5" t="str">
        <f>VLOOKUP(T1643,'Data Angt'!$A$5:$C$5808,3,FALSE)</f>
        <v>MGL</v>
      </c>
    </row>
    <row r="1644" spans="1:25" x14ac:dyDescent="0.3">
      <c r="A1644" s="8">
        <v>1638</v>
      </c>
      <c r="B1644" s="9" t="s">
        <v>5104</v>
      </c>
      <c r="C1644" s="10" t="str">
        <f>VLOOKUP(B1644,'Data Angt'!$A$5:$B$5809,2,FALSE)</f>
        <v>A2240</v>
      </c>
      <c r="D1644" s="11" t="s">
        <v>9829</v>
      </c>
      <c r="E1644" s="12" t="s">
        <v>10620</v>
      </c>
      <c r="F1644" s="13">
        <v>43481</v>
      </c>
      <c r="G1644" s="14">
        <v>44242</v>
      </c>
      <c r="H1644" s="15">
        <v>7000000</v>
      </c>
      <c r="I1644" s="16">
        <v>36</v>
      </c>
      <c r="J1644" s="17">
        <v>24</v>
      </c>
      <c r="K1644" s="9" t="s">
        <v>9831</v>
      </c>
      <c r="L1644" s="10" t="s">
        <v>10621</v>
      </c>
      <c r="M1644" s="9" t="s">
        <v>10622</v>
      </c>
      <c r="N1644" s="10" t="s">
        <v>17</v>
      </c>
      <c r="O1644" s="15">
        <v>6004900</v>
      </c>
      <c r="P1644" s="145">
        <v>356550</v>
      </c>
      <c r="Q1644" s="9"/>
      <c r="R1644" s="146"/>
      <c r="T1644" s="5" t="s">
        <v>4037</v>
      </c>
      <c r="U1644">
        <v>1</v>
      </c>
      <c r="V1644">
        <f>VLOOKUP(T1644,'Data Angt'!$A$5:$F$5810,6,FALSE)</f>
        <v>38</v>
      </c>
      <c r="W1644" s="5" t="str">
        <f t="shared" si="25"/>
        <v>PRODUKTIF</v>
      </c>
      <c r="X1644" s="5" t="str">
        <f>VLOOKUP(T1644,'Data Angt'!$A$5:$H$5810,8,FALSE)</f>
        <v>Wiraswasta</v>
      </c>
      <c r="Y1644" s="5" t="str">
        <f>VLOOKUP(T1644,'Data Angt'!$A$5:$C$5808,3,FALSE)</f>
        <v>MGL</v>
      </c>
    </row>
    <row r="1645" spans="1:25" x14ac:dyDescent="0.3">
      <c r="A1645" s="8">
        <v>1639</v>
      </c>
      <c r="B1645" s="9" t="s">
        <v>5192</v>
      </c>
      <c r="C1645" s="10" t="str">
        <f>VLOOKUP(B1645,'Data Angt'!$A$5:$B$5809,2,FALSE)</f>
        <v>A2284</v>
      </c>
      <c r="D1645" s="11" t="s">
        <v>9833</v>
      </c>
      <c r="E1645" s="12" t="s">
        <v>23757</v>
      </c>
      <c r="F1645" s="13">
        <v>45839</v>
      </c>
      <c r="G1645" s="14">
        <v>45904</v>
      </c>
      <c r="H1645" s="15">
        <v>15000000</v>
      </c>
      <c r="I1645" s="16">
        <v>24</v>
      </c>
      <c r="J1645" s="17">
        <v>24</v>
      </c>
      <c r="K1645" s="9" t="s">
        <v>9831</v>
      </c>
      <c r="L1645" s="10" t="s">
        <v>23758</v>
      </c>
      <c r="M1645" s="9" t="s">
        <v>23759</v>
      </c>
      <c r="N1645" s="10" t="s">
        <v>9834</v>
      </c>
      <c r="O1645" s="15">
        <v>14004000</v>
      </c>
      <c r="P1645" s="145">
        <v>221325</v>
      </c>
      <c r="Q1645" s="9" t="s">
        <v>22197</v>
      </c>
      <c r="R1645" s="146" t="s">
        <v>23760</v>
      </c>
      <c r="T1645" s="5" t="s">
        <v>4093</v>
      </c>
      <c r="U1645">
        <v>2</v>
      </c>
      <c r="V1645">
        <f>VLOOKUP(T1645,'Data Angt'!$A$5:$F$5810,6,FALSE)</f>
        <v>39</v>
      </c>
      <c r="W1645" s="5" t="str">
        <f t="shared" si="25"/>
        <v>KESEJAHTERAAN</v>
      </c>
      <c r="X1645" s="5" t="str">
        <f>VLOOKUP(T1645,'Data Angt'!$A$5:$H$5810,8,FALSE)</f>
        <v>Karyawan</v>
      </c>
      <c r="Y1645" s="5" t="str">
        <f>VLOOKUP(T1645,'Data Angt'!$A$5:$C$5808,3,FALSE)</f>
        <v>MGL</v>
      </c>
    </row>
    <row r="1646" spans="1:25" x14ac:dyDescent="0.3">
      <c r="A1646" s="8">
        <v>1640</v>
      </c>
      <c r="B1646" s="9" t="s">
        <v>5250</v>
      </c>
      <c r="C1646" s="10" t="str">
        <f>VLOOKUP(B1646,'Data Angt'!$A$5:$B$5809,2,FALSE)</f>
        <v>A2310</v>
      </c>
      <c r="D1646" s="11" t="s">
        <v>9829</v>
      </c>
      <c r="E1646" s="12" t="s">
        <v>10623</v>
      </c>
      <c r="F1646" s="13">
        <v>43780</v>
      </c>
      <c r="G1646" s="14">
        <v>45930</v>
      </c>
      <c r="H1646" s="15">
        <v>15000000</v>
      </c>
      <c r="I1646" s="16">
        <v>12</v>
      </c>
      <c r="J1646" s="17">
        <v>24</v>
      </c>
      <c r="K1646" s="9" t="s">
        <v>9831</v>
      </c>
      <c r="L1646" s="10" t="s">
        <v>10624</v>
      </c>
      <c r="M1646" s="9" t="s">
        <v>10625</v>
      </c>
      <c r="N1646" s="10" t="s">
        <v>17</v>
      </c>
      <c r="O1646" s="15">
        <v>5711900</v>
      </c>
      <c r="P1646" s="145">
        <v>1396047</v>
      </c>
      <c r="Q1646" s="9"/>
      <c r="R1646" s="146"/>
      <c r="T1646" s="5" t="s">
        <v>4456</v>
      </c>
      <c r="U1646">
        <v>1</v>
      </c>
      <c r="V1646">
        <f>VLOOKUP(T1646,'Data Angt'!$A$5:$F$5810,6,FALSE)</f>
        <v>48</v>
      </c>
      <c r="W1646" s="5" t="str">
        <f t="shared" si="25"/>
        <v>PENDIDIKAN</v>
      </c>
      <c r="X1646" s="5" t="str">
        <f>VLOOKUP(T1646,'Data Angt'!$A$5:$H$5810,8,FALSE)</f>
        <v>Karyawan</v>
      </c>
      <c r="Y1646" s="5" t="str">
        <f>VLOOKUP(T1646,'Data Angt'!$A$5:$C$5808,3,FALSE)</f>
        <v>MGL</v>
      </c>
    </row>
    <row r="1647" spans="1:25" x14ac:dyDescent="0.3">
      <c r="A1647" s="8">
        <v>1641</v>
      </c>
      <c r="B1647" s="9" t="s">
        <v>5258</v>
      </c>
      <c r="C1647" s="10" t="str">
        <f>VLOOKUP(B1647,'Data Angt'!$A$5:$B$5809,2,FALSE)</f>
        <v>A2314</v>
      </c>
      <c r="D1647" s="11" t="s">
        <v>9829</v>
      </c>
      <c r="E1647" s="12" t="s">
        <v>17675</v>
      </c>
      <c r="F1647" s="13">
        <v>45762</v>
      </c>
      <c r="G1647" s="14">
        <v>45912</v>
      </c>
      <c r="H1647" s="15">
        <v>4000000</v>
      </c>
      <c r="I1647" s="16">
        <v>24</v>
      </c>
      <c r="J1647" s="17">
        <v>24</v>
      </c>
      <c r="K1647" s="9" t="s">
        <v>9831</v>
      </c>
      <c r="L1647" s="10" t="s">
        <v>17676</v>
      </c>
      <c r="M1647" s="9" t="s">
        <v>10008</v>
      </c>
      <c r="N1647" s="10" t="s">
        <v>17</v>
      </c>
      <c r="O1647" s="15">
        <v>3315800</v>
      </c>
      <c r="P1647" s="145">
        <v>139987</v>
      </c>
      <c r="Q1647" s="9"/>
      <c r="R1647" s="146"/>
      <c r="T1647" s="5" t="s">
        <v>4657</v>
      </c>
      <c r="U1647">
        <v>1</v>
      </c>
      <c r="V1647">
        <f>VLOOKUP(T1647,'Data Angt'!$A$5:$F$5810,6,FALSE)</f>
        <v>48</v>
      </c>
      <c r="W1647" s="5" t="str">
        <f t="shared" si="25"/>
        <v>KONSUMTIF</v>
      </c>
      <c r="X1647" s="5" t="str">
        <f>VLOOKUP(T1647,'Data Angt'!$A$5:$H$5810,8,FALSE)</f>
        <v>Karyawan</v>
      </c>
      <c r="Y1647" s="5" t="str">
        <f>VLOOKUP(T1647,'Data Angt'!$A$5:$C$5808,3,FALSE)</f>
        <v>MGL</v>
      </c>
    </row>
    <row r="1648" spans="1:25" x14ac:dyDescent="0.3">
      <c r="A1648" s="8">
        <v>1642</v>
      </c>
      <c r="B1648" s="9" t="s">
        <v>5347</v>
      </c>
      <c r="C1648" s="10" t="str">
        <f>VLOOKUP(B1648,'Data Angt'!$A$5:$B$5809,2,FALSE)</f>
        <v>A2356</v>
      </c>
      <c r="D1648" s="11" t="s">
        <v>10089</v>
      </c>
      <c r="E1648" s="12" t="s">
        <v>10626</v>
      </c>
      <c r="F1648" s="13">
        <v>42780</v>
      </c>
      <c r="G1648" s="14">
        <v>44242</v>
      </c>
      <c r="H1648" s="15">
        <v>5000000</v>
      </c>
      <c r="I1648" s="16">
        <v>30</v>
      </c>
      <c r="J1648" s="17">
        <v>24</v>
      </c>
      <c r="K1648" s="9" t="s">
        <v>9827</v>
      </c>
      <c r="L1648" s="10"/>
      <c r="M1648" s="9"/>
      <c r="N1648" s="10"/>
      <c r="O1648" s="15">
        <v>2999600</v>
      </c>
      <c r="P1648" s="145">
        <v>778912</v>
      </c>
      <c r="Q1648" s="9"/>
      <c r="R1648" s="146"/>
      <c r="T1648" s="5" t="s">
        <v>4677</v>
      </c>
      <c r="U1648">
        <v>1</v>
      </c>
      <c r="V1648">
        <f>VLOOKUP(T1648,'Data Angt'!$A$5:$F$5810,6,FALSE)</f>
        <v>44</v>
      </c>
      <c r="W1648" s="5" t="str">
        <f t="shared" si="25"/>
        <v>PRODUKTIF</v>
      </c>
      <c r="X1648" s="5" t="str">
        <f>VLOOKUP(T1648,'Data Angt'!$A$5:$H$5810,8,FALSE)</f>
        <v>Wiraswasta</v>
      </c>
      <c r="Y1648" s="5" t="str">
        <f>VLOOKUP(T1648,'Data Angt'!$A$5:$C$5808,3,FALSE)</f>
        <v>MGL</v>
      </c>
    </row>
    <row r="1649" spans="1:25" x14ac:dyDescent="0.3">
      <c r="A1649" s="8">
        <v>1643</v>
      </c>
      <c r="B1649" s="9" t="s">
        <v>5353</v>
      </c>
      <c r="C1649" s="10" t="str">
        <f>VLOOKUP(B1649,'Data Angt'!$A$5:$B$5809,2,FALSE)</f>
        <v>A2359</v>
      </c>
      <c r="D1649" s="11" t="s">
        <v>9829</v>
      </c>
      <c r="E1649" s="12" t="s">
        <v>10627</v>
      </c>
      <c r="F1649" s="13">
        <v>45114</v>
      </c>
      <c r="G1649" s="14">
        <v>45831</v>
      </c>
      <c r="H1649" s="15">
        <v>10000000</v>
      </c>
      <c r="I1649" s="16">
        <v>24</v>
      </c>
      <c r="J1649" s="17">
        <v>24</v>
      </c>
      <c r="K1649" s="9" t="s">
        <v>9827</v>
      </c>
      <c r="L1649" s="10" t="s">
        <v>10628</v>
      </c>
      <c r="M1649" s="9" t="s">
        <v>10214</v>
      </c>
      <c r="N1649" s="10" t="s">
        <v>9828</v>
      </c>
      <c r="O1649" s="15">
        <v>7083100</v>
      </c>
      <c r="P1649" s="145">
        <v>528224</v>
      </c>
      <c r="Q1649" s="9" t="s">
        <v>22189</v>
      </c>
      <c r="R1649" s="146" t="s">
        <v>23761</v>
      </c>
      <c r="T1649" s="5" t="s">
        <v>4713</v>
      </c>
      <c r="U1649">
        <v>1</v>
      </c>
      <c r="V1649">
        <f>VLOOKUP(T1649,'Data Angt'!$A$5:$F$5810,6,FALSE)</f>
        <v>64</v>
      </c>
      <c r="W1649" s="5" t="str">
        <f t="shared" si="25"/>
        <v>PRODUKTIF</v>
      </c>
      <c r="X1649" s="5" t="str">
        <f>VLOOKUP(T1649,'Data Angt'!$A$5:$H$5810,8,FALSE)</f>
        <v>Wiraswasta</v>
      </c>
      <c r="Y1649" s="5" t="str">
        <f>VLOOKUP(T1649,'Data Angt'!$A$5:$C$5808,3,FALSE)</f>
        <v>MGL</v>
      </c>
    </row>
    <row r="1650" spans="1:25" x14ac:dyDescent="0.3">
      <c r="A1650" s="8">
        <v>1644</v>
      </c>
      <c r="B1650" s="9" t="s">
        <v>5404</v>
      </c>
      <c r="C1650" s="10" t="str">
        <f>VLOOKUP(B1650,'Data Angt'!$A$5:$B$5809,2,FALSE)</f>
        <v>A2384</v>
      </c>
      <c r="D1650" s="11" t="s">
        <v>9833</v>
      </c>
      <c r="E1650" s="12" t="s">
        <v>17677</v>
      </c>
      <c r="F1650" s="13">
        <v>45791</v>
      </c>
      <c r="G1650" s="14">
        <v>45913</v>
      </c>
      <c r="H1650" s="15">
        <v>15000000</v>
      </c>
      <c r="I1650" s="16">
        <v>24</v>
      </c>
      <c r="J1650" s="17">
        <v>24</v>
      </c>
      <c r="K1650" s="9" t="s">
        <v>9827</v>
      </c>
      <c r="L1650" s="10" t="s">
        <v>17678</v>
      </c>
      <c r="M1650" s="9" t="s">
        <v>10133</v>
      </c>
      <c r="N1650" s="10" t="s">
        <v>9834</v>
      </c>
      <c r="O1650" s="15">
        <v>12500000</v>
      </c>
      <c r="P1650" s="145">
        <v>421874</v>
      </c>
      <c r="Q1650" s="9" t="s">
        <v>22189</v>
      </c>
      <c r="R1650" s="146" t="s">
        <v>23762</v>
      </c>
      <c r="T1650" s="5" t="s">
        <v>12334</v>
      </c>
      <c r="U1650">
        <v>1</v>
      </c>
      <c r="V1650">
        <f>VLOOKUP(T1650,'Data Angt'!$A$5:$F$5810,6,FALSE)</f>
        <v>22</v>
      </c>
      <c r="W1650" s="5" t="str">
        <f t="shared" si="25"/>
        <v>KONSUMTIF</v>
      </c>
      <c r="X1650" s="5" t="str">
        <f>VLOOKUP(T1650,'Data Angt'!$A$5:$H$5810,8,FALSE)</f>
        <v>Pelajar/Mahasiswa</v>
      </c>
      <c r="Y1650" s="5" t="str">
        <f>VLOOKUP(T1650,'Data Angt'!$A$5:$C$5808,3,FALSE)</f>
        <v>MGL</v>
      </c>
    </row>
    <row r="1651" spans="1:25" x14ac:dyDescent="0.3">
      <c r="A1651" s="8">
        <v>1645</v>
      </c>
      <c r="B1651" s="9" t="s">
        <v>5449</v>
      </c>
      <c r="C1651" s="10" t="str">
        <f>VLOOKUP(B1651,'Data Angt'!$A$5:$B$5809,2,FALSE)</f>
        <v>A2405</v>
      </c>
      <c r="D1651" s="11" t="s">
        <v>9829</v>
      </c>
      <c r="E1651" s="12" t="s">
        <v>10629</v>
      </c>
      <c r="F1651" s="13">
        <v>43284</v>
      </c>
      <c r="G1651" s="14">
        <v>45672</v>
      </c>
      <c r="H1651" s="15">
        <v>25000000</v>
      </c>
      <c r="I1651" s="16">
        <v>36</v>
      </c>
      <c r="J1651" s="17">
        <v>21</v>
      </c>
      <c r="K1651" s="9" t="s">
        <v>9827</v>
      </c>
      <c r="L1651" s="10" t="s">
        <v>10629</v>
      </c>
      <c r="M1651" s="9" t="s">
        <v>10630</v>
      </c>
      <c r="N1651" s="10" t="s">
        <v>9830</v>
      </c>
      <c r="O1651" s="15">
        <v>8332000</v>
      </c>
      <c r="P1651" s="145">
        <v>3377433</v>
      </c>
      <c r="Q1651" s="9" t="s">
        <v>22431</v>
      </c>
      <c r="R1651" s="146" t="s">
        <v>23763</v>
      </c>
      <c r="T1651" s="5" t="s">
        <v>4859</v>
      </c>
      <c r="U1651">
        <v>1</v>
      </c>
      <c r="V1651">
        <f>VLOOKUP(T1651,'Data Angt'!$A$5:$F$5810,6,FALSE)</f>
        <v>46</v>
      </c>
      <c r="W1651" s="5" t="str">
        <f t="shared" si="25"/>
        <v>KONSUMTIF</v>
      </c>
      <c r="X1651" s="5" t="str">
        <f>VLOOKUP(T1651,'Data Angt'!$A$5:$H$5810,8,FALSE)</f>
        <v>Mengurus Rumah Tangga</v>
      </c>
      <c r="Y1651" s="5" t="str">
        <f>VLOOKUP(T1651,'Data Angt'!$A$5:$C$5808,3,FALSE)</f>
        <v>MGL</v>
      </c>
    </row>
    <row r="1652" spans="1:25" x14ac:dyDescent="0.3">
      <c r="A1652" s="8">
        <v>1646</v>
      </c>
      <c r="B1652" s="9" t="s">
        <v>5468</v>
      </c>
      <c r="C1652" s="10" t="str">
        <f>VLOOKUP(B1652,'Data Angt'!$A$5:$B$5809,2,FALSE)</f>
        <v>A2414</v>
      </c>
      <c r="D1652" s="11" t="s">
        <v>9829</v>
      </c>
      <c r="E1652" s="12" t="s">
        <v>23764</v>
      </c>
      <c r="F1652" s="13">
        <v>45923</v>
      </c>
      <c r="G1652" s="14">
        <v>45923</v>
      </c>
      <c r="H1652" s="15">
        <v>3000000</v>
      </c>
      <c r="I1652" s="16">
        <v>6</v>
      </c>
      <c r="J1652" s="17">
        <v>24</v>
      </c>
      <c r="K1652" s="9" t="s">
        <v>9831</v>
      </c>
      <c r="L1652" s="10" t="s">
        <v>23765</v>
      </c>
      <c r="M1652" s="9" t="s">
        <v>23766</v>
      </c>
      <c r="N1652" s="10" t="s">
        <v>17</v>
      </c>
      <c r="O1652" s="15">
        <v>3000000</v>
      </c>
      <c r="P1652" s="147">
        <v>0</v>
      </c>
      <c r="Q1652" s="9"/>
      <c r="R1652" s="146"/>
      <c r="T1652" s="5" t="s">
        <v>4911</v>
      </c>
      <c r="U1652">
        <v>1</v>
      </c>
      <c r="V1652">
        <f>VLOOKUP(T1652,'Data Angt'!$A$5:$F$5810,6,FALSE)</f>
        <v>68</v>
      </c>
      <c r="W1652" s="5" t="str">
        <f t="shared" si="25"/>
        <v>KONSUMTIF</v>
      </c>
      <c r="X1652" s="5" t="str">
        <f>VLOOKUP(T1652,'Data Angt'!$A$5:$H$5810,8,FALSE)</f>
        <v>Mengurus Rumah Tangga</v>
      </c>
      <c r="Y1652" s="5" t="str">
        <f>VLOOKUP(T1652,'Data Angt'!$A$5:$C$5808,3,FALSE)</f>
        <v>MGL</v>
      </c>
    </row>
    <row r="1653" spans="1:25" x14ac:dyDescent="0.3">
      <c r="A1653" s="8">
        <v>1647</v>
      </c>
      <c r="B1653" s="9" t="s">
        <v>5663</v>
      </c>
      <c r="C1653" s="10" t="str">
        <f>VLOOKUP(B1653,'Data Angt'!$A$5:$B$5809,2,FALSE)</f>
        <v>A2499</v>
      </c>
      <c r="D1653" s="11" t="s">
        <v>9895</v>
      </c>
      <c r="E1653" s="12" t="s">
        <v>17680</v>
      </c>
      <c r="F1653" s="13">
        <v>45458</v>
      </c>
      <c r="G1653" s="14">
        <v>45915</v>
      </c>
      <c r="H1653" s="15">
        <v>25000000</v>
      </c>
      <c r="I1653" s="16">
        <v>36</v>
      </c>
      <c r="J1653" s="17">
        <v>21</v>
      </c>
      <c r="K1653" s="9" t="s">
        <v>9831</v>
      </c>
      <c r="L1653" s="10" t="s">
        <v>17681</v>
      </c>
      <c r="M1653" s="9" t="s">
        <v>9896</v>
      </c>
      <c r="N1653" s="10" t="s">
        <v>9830</v>
      </c>
      <c r="O1653" s="15">
        <v>16433700</v>
      </c>
      <c r="P1653" s="145">
        <v>2085821</v>
      </c>
      <c r="Q1653" s="9"/>
      <c r="R1653" s="146"/>
      <c r="T1653" s="5" t="s">
        <v>4914</v>
      </c>
      <c r="U1653">
        <v>1</v>
      </c>
      <c r="V1653">
        <f>VLOOKUP(T1653,'Data Angt'!$A$5:$F$5810,6,FALSE)</f>
        <v>25</v>
      </c>
      <c r="W1653" s="5" t="str">
        <f t="shared" si="25"/>
        <v>PRODUKTIF</v>
      </c>
      <c r="X1653" s="5" t="str">
        <f>VLOOKUP(T1653,'Data Angt'!$A$5:$H$5810,8,FALSE)</f>
        <v>Mengurus Rumah Tangga</v>
      </c>
      <c r="Y1653" s="5" t="str">
        <f>VLOOKUP(T1653,'Data Angt'!$A$5:$C$5808,3,FALSE)</f>
        <v>MGL</v>
      </c>
    </row>
    <row r="1654" spans="1:25" x14ac:dyDescent="0.3">
      <c r="A1654" s="8">
        <v>1648</v>
      </c>
      <c r="B1654" s="9" t="s">
        <v>5702</v>
      </c>
      <c r="C1654" s="10" t="str">
        <f>VLOOKUP(B1654,'Data Angt'!$A$5:$B$5809,2,FALSE)</f>
        <v>A2516</v>
      </c>
      <c r="D1654" s="11" t="s">
        <v>9829</v>
      </c>
      <c r="E1654" s="12" t="s">
        <v>10631</v>
      </c>
      <c r="F1654" s="13">
        <v>44664</v>
      </c>
      <c r="G1654" s="14">
        <v>45896</v>
      </c>
      <c r="H1654" s="15">
        <v>5000000</v>
      </c>
      <c r="I1654" s="16">
        <v>24</v>
      </c>
      <c r="J1654" s="17">
        <v>24</v>
      </c>
      <c r="K1654" s="9" t="s">
        <v>9831</v>
      </c>
      <c r="L1654" s="10" t="s">
        <v>10632</v>
      </c>
      <c r="M1654" s="9" t="s">
        <v>10595</v>
      </c>
      <c r="N1654" s="10" t="s">
        <v>9830</v>
      </c>
      <c r="O1654" s="15">
        <v>3963200</v>
      </c>
      <c r="P1654" s="145">
        <v>206099</v>
      </c>
      <c r="Q1654" s="9"/>
      <c r="R1654" s="146"/>
      <c r="T1654" s="5" t="s">
        <v>4974</v>
      </c>
      <c r="U1654">
        <v>1</v>
      </c>
      <c r="V1654">
        <f>VLOOKUP(T1654,'Data Angt'!$A$5:$F$5810,6,FALSE)</f>
        <v>52</v>
      </c>
      <c r="W1654" s="5" t="str">
        <f t="shared" si="25"/>
        <v>PRODUKTIF</v>
      </c>
      <c r="X1654" s="5" t="str">
        <f>VLOOKUP(T1654,'Data Angt'!$A$5:$H$5810,8,FALSE)</f>
        <v>Wiraswasta</v>
      </c>
      <c r="Y1654" s="5" t="str">
        <f>VLOOKUP(T1654,'Data Angt'!$A$5:$C$5808,3,FALSE)</f>
        <v>MGL</v>
      </c>
    </row>
    <row r="1655" spans="1:25" x14ac:dyDescent="0.3">
      <c r="A1655" s="8">
        <v>1649</v>
      </c>
      <c r="B1655" s="9" t="s">
        <v>5840</v>
      </c>
      <c r="C1655" s="10" t="str">
        <f>VLOOKUP(B1655,'Data Angt'!$A$5:$B$5809,2,FALSE)</f>
        <v>A2577</v>
      </c>
      <c r="D1655" s="11" t="s">
        <v>9829</v>
      </c>
      <c r="E1655" s="12" t="s">
        <v>23767</v>
      </c>
      <c r="F1655" s="13">
        <v>45895</v>
      </c>
      <c r="G1655" s="14">
        <v>45908</v>
      </c>
      <c r="H1655" s="15">
        <v>6500000</v>
      </c>
      <c r="I1655" s="16">
        <v>3</v>
      </c>
      <c r="J1655" s="17">
        <v>24</v>
      </c>
      <c r="K1655" s="9" t="s">
        <v>9827</v>
      </c>
      <c r="L1655" s="10" t="s">
        <v>23768</v>
      </c>
      <c r="M1655" s="9" t="s">
        <v>9854</v>
      </c>
      <c r="N1655" s="10" t="s">
        <v>17</v>
      </c>
      <c r="O1655" s="15">
        <v>4333300</v>
      </c>
      <c r="P1655" s="145">
        <v>48750</v>
      </c>
      <c r="Q1655" s="9"/>
      <c r="R1655" s="146"/>
      <c r="T1655" s="5" t="s">
        <v>5115</v>
      </c>
      <c r="U1655">
        <v>1</v>
      </c>
      <c r="V1655">
        <f>VLOOKUP(T1655,'Data Angt'!$A$5:$F$5810,6,FALSE)</f>
        <v>46</v>
      </c>
      <c r="W1655" s="5">
        <f t="shared" si="25"/>
        <v>0</v>
      </c>
      <c r="X1655" s="5" t="str">
        <f>VLOOKUP(T1655,'Data Angt'!$A$5:$H$5810,8,FALSE)</f>
        <v>Lain-Lain</v>
      </c>
      <c r="Y1655" s="5" t="str">
        <f>VLOOKUP(T1655,'Data Angt'!$A$5:$C$5808,3,FALSE)</f>
        <v>MGL</v>
      </c>
    </row>
    <row r="1656" spans="1:25" x14ac:dyDescent="0.3">
      <c r="A1656" s="8">
        <v>1650</v>
      </c>
      <c r="B1656" s="9" t="s">
        <v>5901</v>
      </c>
      <c r="C1656" s="10" t="str">
        <f>VLOOKUP(B1656,'Data Angt'!$A$5:$B$5809,2,FALSE)</f>
        <v>A2606</v>
      </c>
      <c r="D1656" s="11" t="s">
        <v>9829</v>
      </c>
      <c r="E1656" s="12" t="s">
        <v>10633</v>
      </c>
      <c r="F1656" s="13">
        <v>43888</v>
      </c>
      <c r="G1656" s="14">
        <v>45869</v>
      </c>
      <c r="H1656" s="15">
        <v>80000000</v>
      </c>
      <c r="I1656" s="16">
        <v>56</v>
      </c>
      <c r="J1656" s="17">
        <v>21</v>
      </c>
      <c r="K1656" s="9" t="s">
        <v>9827</v>
      </c>
      <c r="L1656" s="10" t="s">
        <v>10634</v>
      </c>
      <c r="M1656" s="9" t="s">
        <v>10595</v>
      </c>
      <c r="N1656" s="10" t="s">
        <v>9830</v>
      </c>
      <c r="O1656" s="15">
        <v>34284800</v>
      </c>
      <c r="P1656" s="145">
        <v>12318750</v>
      </c>
      <c r="Q1656" s="9"/>
      <c r="R1656" s="146"/>
      <c r="T1656" s="5" t="s">
        <v>5181</v>
      </c>
      <c r="U1656">
        <v>2</v>
      </c>
      <c r="V1656">
        <f>VLOOKUP(T1656,'Data Angt'!$A$5:$F$5810,6,FALSE)</f>
        <v>48</v>
      </c>
      <c r="W1656" s="5" t="str">
        <f t="shared" si="25"/>
        <v>KESEJAHTERAAN</v>
      </c>
      <c r="X1656" s="5" t="str">
        <f>VLOOKUP(T1656,'Data Angt'!$A$5:$H$5810,8,FALSE)</f>
        <v>Wiraswasta</v>
      </c>
      <c r="Y1656" s="5" t="str">
        <f>VLOOKUP(T1656,'Data Angt'!$A$5:$C$5808,3,FALSE)</f>
        <v>MGL</v>
      </c>
    </row>
    <row r="1657" spans="1:25" x14ac:dyDescent="0.3">
      <c r="A1657" s="8">
        <v>1651</v>
      </c>
      <c r="B1657" s="9" t="s">
        <v>5965</v>
      </c>
      <c r="C1657" s="10" t="str">
        <f>VLOOKUP(B1657,'Data Angt'!$A$5:$B$5809,2,FALSE)</f>
        <v>A2633</v>
      </c>
      <c r="D1657" s="11" t="s">
        <v>9895</v>
      </c>
      <c r="E1657" s="12" t="s">
        <v>10635</v>
      </c>
      <c r="F1657" s="13">
        <v>44849</v>
      </c>
      <c r="G1657" s="14">
        <v>45916</v>
      </c>
      <c r="H1657" s="15">
        <v>130000000</v>
      </c>
      <c r="I1657" s="16">
        <v>48</v>
      </c>
      <c r="J1657" s="17">
        <v>21</v>
      </c>
      <c r="K1657" s="9" t="s">
        <v>9827</v>
      </c>
      <c r="L1657" s="10" t="s">
        <v>10636</v>
      </c>
      <c r="M1657" s="9" t="s">
        <v>9871</v>
      </c>
      <c r="N1657" s="10" t="s">
        <v>9828</v>
      </c>
      <c r="O1657" s="15">
        <v>35206000</v>
      </c>
      <c r="P1657" s="145">
        <v>19284546</v>
      </c>
      <c r="Q1657" s="9" t="s">
        <v>22240</v>
      </c>
      <c r="R1657" s="146" t="s">
        <v>23769</v>
      </c>
      <c r="T1657" s="5" t="s">
        <v>5308</v>
      </c>
      <c r="U1657">
        <v>1</v>
      </c>
      <c r="V1657">
        <f>VLOOKUP(T1657,'Data Angt'!$A$5:$F$5810,6,FALSE)</f>
        <v>40</v>
      </c>
      <c r="W1657" s="5" t="str">
        <f t="shared" si="25"/>
        <v>KONSUMTIF</v>
      </c>
      <c r="X1657" s="5" t="str">
        <f>VLOOKUP(T1657,'Data Angt'!$A$5:$H$5810,8,FALSE)</f>
        <v>Karyawan</v>
      </c>
      <c r="Y1657" s="5" t="str">
        <f>VLOOKUP(T1657,'Data Angt'!$A$5:$C$5808,3,FALSE)</f>
        <v>MGL</v>
      </c>
    </row>
    <row r="1658" spans="1:25" x14ac:dyDescent="0.3">
      <c r="A1658" s="8">
        <v>1652</v>
      </c>
      <c r="B1658" s="9" t="s">
        <v>6205</v>
      </c>
      <c r="C1658" s="10" t="str">
        <f>VLOOKUP(B1658,'Data Angt'!$A$5:$B$5809,2,FALSE)</f>
        <v>A2748</v>
      </c>
      <c r="D1658" s="11" t="s">
        <v>9829</v>
      </c>
      <c r="E1658" s="12" t="s">
        <v>17682</v>
      </c>
      <c r="F1658" s="13">
        <v>45442</v>
      </c>
      <c r="G1658" s="14">
        <v>45922</v>
      </c>
      <c r="H1658" s="15">
        <v>125000000</v>
      </c>
      <c r="I1658" s="16">
        <v>60</v>
      </c>
      <c r="J1658" s="17">
        <v>21</v>
      </c>
      <c r="K1658" s="9" t="s">
        <v>9831</v>
      </c>
      <c r="L1658" s="10" t="s">
        <v>17683</v>
      </c>
      <c r="M1658" s="9" t="s">
        <v>17684</v>
      </c>
      <c r="N1658" s="10" t="s">
        <v>9828</v>
      </c>
      <c r="O1658" s="15">
        <v>103169000</v>
      </c>
      <c r="P1658" s="145">
        <v>12103571</v>
      </c>
      <c r="Q1658" s="9" t="s">
        <v>22197</v>
      </c>
      <c r="R1658" s="146" t="s">
        <v>23770</v>
      </c>
      <c r="T1658" s="5" t="s">
        <v>5327</v>
      </c>
      <c r="U1658">
        <v>1</v>
      </c>
      <c r="V1658">
        <f>VLOOKUP(T1658,'Data Angt'!$A$5:$F$5810,6,FALSE)</f>
        <v>58</v>
      </c>
      <c r="W1658" s="5" t="str">
        <f t="shared" si="25"/>
        <v>PRODUKTIF</v>
      </c>
      <c r="X1658" s="5" t="str">
        <f>VLOOKUP(T1658,'Data Angt'!$A$5:$H$5810,8,FALSE)</f>
        <v>Wiraswasta</v>
      </c>
      <c r="Y1658" s="5" t="str">
        <f>VLOOKUP(T1658,'Data Angt'!$A$5:$C$5808,3,FALSE)</f>
        <v>MGL</v>
      </c>
    </row>
    <row r="1659" spans="1:25" x14ac:dyDescent="0.3">
      <c r="A1659" s="8">
        <v>1653</v>
      </c>
      <c r="B1659" s="9" t="s">
        <v>6283</v>
      </c>
      <c r="C1659" s="10" t="str">
        <f>VLOOKUP(B1659,'Data Angt'!$A$5:$B$5809,2,FALSE)</f>
        <v>A2782</v>
      </c>
      <c r="D1659" s="11" t="s">
        <v>9881</v>
      </c>
      <c r="E1659" s="12" t="s">
        <v>23771</v>
      </c>
      <c r="F1659" s="13">
        <v>45929</v>
      </c>
      <c r="G1659" s="14">
        <v>45929</v>
      </c>
      <c r="H1659" s="15">
        <v>5000000</v>
      </c>
      <c r="I1659" s="16">
        <v>12</v>
      </c>
      <c r="J1659" s="17">
        <v>12</v>
      </c>
      <c r="K1659" s="9" t="s">
        <v>9831</v>
      </c>
      <c r="L1659" s="10" t="s">
        <v>23772</v>
      </c>
      <c r="M1659" s="9" t="s">
        <v>9835</v>
      </c>
      <c r="N1659" s="10" t="s">
        <v>9828</v>
      </c>
      <c r="O1659" s="15">
        <v>5000000</v>
      </c>
      <c r="P1659" s="147">
        <v>0</v>
      </c>
      <c r="Q1659" s="9"/>
      <c r="R1659" s="146"/>
      <c r="T1659" s="5" t="s">
        <v>5381</v>
      </c>
      <c r="U1659">
        <v>1</v>
      </c>
      <c r="V1659">
        <f>VLOOKUP(T1659,'Data Angt'!$A$5:$F$5810,6,FALSE)</f>
        <v>43</v>
      </c>
      <c r="W1659" s="5" t="str">
        <f t="shared" si="25"/>
        <v>PENDIDIKAN</v>
      </c>
      <c r="X1659" s="5" t="str">
        <f>VLOOKUP(T1659,'Data Angt'!$A$5:$H$5810,8,FALSE)</f>
        <v>Wiraswasta</v>
      </c>
      <c r="Y1659" s="5" t="str">
        <f>VLOOKUP(T1659,'Data Angt'!$A$5:$C$5808,3,FALSE)</f>
        <v>MGL</v>
      </c>
    </row>
    <row r="1660" spans="1:25" x14ac:dyDescent="0.3">
      <c r="A1660" s="8">
        <v>1654</v>
      </c>
      <c r="B1660" s="9" t="s">
        <v>6283</v>
      </c>
      <c r="C1660" s="10" t="str">
        <f>VLOOKUP(B1660,'Data Angt'!$A$5:$B$5809,2,FALSE)</f>
        <v>A2782</v>
      </c>
      <c r="D1660" s="11" t="s">
        <v>9829</v>
      </c>
      <c r="E1660" s="12" t="s">
        <v>17685</v>
      </c>
      <c r="F1660" s="13">
        <v>45764</v>
      </c>
      <c r="G1660" s="14">
        <v>45901</v>
      </c>
      <c r="H1660" s="15">
        <v>5000000</v>
      </c>
      <c r="I1660" s="16">
        <v>12</v>
      </c>
      <c r="J1660" s="17">
        <v>11.88</v>
      </c>
      <c r="K1660" s="9" t="s">
        <v>9831</v>
      </c>
      <c r="L1660" s="10" t="s">
        <v>17686</v>
      </c>
      <c r="M1660" s="9" t="s">
        <v>9828</v>
      </c>
      <c r="N1660" s="10" t="s">
        <v>9828</v>
      </c>
      <c r="O1660" s="15">
        <v>2988200</v>
      </c>
      <c r="P1660" s="145">
        <v>78073</v>
      </c>
      <c r="Q1660" s="9"/>
      <c r="R1660" s="146"/>
      <c r="T1660" s="5" t="s">
        <v>5397</v>
      </c>
      <c r="U1660">
        <v>1</v>
      </c>
      <c r="V1660">
        <f>VLOOKUP(T1660,'Data Angt'!$A$5:$F$5810,6,FALSE)</f>
        <v>58</v>
      </c>
      <c r="W1660" s="5" t="str">
        <f t="shared" si="25"/>
        <v>PENDIDIKAN</v>
      </c>
      <c r="X1660" s="5" t="str">
        <f>VLOOKUP(T1660,'Data Angt'!$A$5:$H$5810,8,FALSE)</f>
        <v>Aparatur/Pejabat Negara</v>
      </c>
      <c r="Y1660" s="5" t="str">
        <f>VLOOKUP(T1660,'Data Angt'!$A$5:$C$5808,3,FALSE)</f>
        <v>MGL</v>
      </c>
    </row>
    <row r="1661" spans="1:25" x14ac:dyDescent="0.3">
      <c r="A1661" s="8">
        <v>1655</v>
      </c>
      <c r="B1661" s="9" t="s">
        <v>6290</v>
      </c>
      <c r="C1661" s="10" t="str">
        <f>VLOOKUP(B1661,'Data Angt'!$A$5:$B$5809,2,FALSE)</f>
        <v>A2785</v>
      </c>
      <c r="D1661" s="11" t="s">
        <v>9829</v>
      </c>
      <c r="E1661" s="12" t="s">
        <v>17689</v>
      </c>
      <c r="F1661" s="13">
        <v>45723</v>
      </c>
      <c r="G1661" s="14">
        <v>45904</v>
      </c>
      <c r="H1661" s="15">
        <v>12000000</v>
      </c>
      <c r="I1661" s="16">
        <v>24</v>
      </c>
      <c r="J1661" s="17">
        <v>24</v>
      </c>
      <c r="K1661" s="9" t="s">
        <v>9827</v>
      </c>
      <c r="L1661" s="10" t="s">
        <v>17690</v>
      </c>
      <c r="M1661" s="9" t="s">
        <v>9854</v>
      </c>
      <c r="N1661" s="10" t="s">
        <v>17</v>
      </c>
      <c r="O1661" s="15">
        <v>9000000</v>
      </c>
      <c r="P1661" s="145">
        <v>483750</v>
      </c>
      <c r="Q1661" s="9" t="s">
        <v>22189</v>
      </c>
      <c r="R1661" s="146" t="s">
        <v>23773</v>
      </c>
      <c r="T1661" s="5" t="s">
        <v>5446</v>
      </c>
      <c r="U1661">
        <v>1</v>
      </c>
      <c r="V1661">
        <f>VLOOKUP(T1661,'Data Angt'!$A$5:$F$5810,6,FALSE)</f>
        <v>55</v>
      </c>
      <c r="W1661" s="5" t="str">
        <f t="shared" si="25"/>
        <v>PENDIDIKAN</v>
      </c>
      <c r="X1661" s="5" t="str">
        <f>VLOOKUP(T1661,'Data Angt'!$A$5:$H$5810,8,FALSE)</f>
        <v>Tenaga Pengajar</v>
      </c>
      <c r="Y1661" s="5" t="str">
        <f>VLOOKUP(T1661,'Data Angt'!$A$5:$C$5808,3,FALSE)</f>
        <v>MGL</v>
      </c>
    </row>
    <row r="1662" spans="1:25" x14ac:dyDescent="0.3">
      <c r="A1662" s="8">
        <v>1656</v>
      </c>
      <c r="B1662" s="9" t="s">
        <v>6290</v>
      </c>
      <c r="C1662" s="10" t="str">
        <f>VLOOKUP(B1662,'Data Angt'!$A$5:$B$5809,2,FALSE)</f>
        <v>A2785</v>
      </c>
      <c r="D1662" s="11" t="s">
        <v>9826</v>
      </c>
      <c r="E1662" s="12" t="s">
        <v>17687</v>
      </c>
      <c r="F1662" s="13">
        <v>45811</v>
      </c>
      <c r="G1662" s="14">
        <v>45903</v>
      </c>
      <c r="H1662" s="15">
        <v>5000000</v>
      </c>
      <c r="I1662" s="16">
        <v>12</v>
      </c>
      <c r="J1662" s="17">
        <v>24</v>
      </c>
      <c r="K1662" s="9" t="s">
        <v>9831</v>
      </c>
      <c r="L1662" s="10" t="s">
        <v>17688</v>
      </c>
      <c r="M1662" s="9" t="s">
        <v>9854</v>
      </c>
      <c r="N1662" s="10" t="s">
        <v>17</v>
      </c>
      <c r="O1662" s="15">
        <v>3859200</v>
      </c>
      <c r="P1662" s="145">
        <v>104100</v>
      </c>
      <c r="Q1662" s="9"/>
      <c r="R1662" s="146"/>
      <c r="T1662" s="5" t="s">
        <v>5510</v>
      </c>
      <c r="U1662">
        <v>1</v>
      </c>
      <c r="V1662">
        <f>VLOOKUP(T1662,'Data Angt'!$A$5:$F$5810,6,FALSE)</f>
        <v>48</v>
      </c>
      <c r="W1662" s="5">
        <f t="shared" si="25"/>
        <v>0</v>
      </c>
      <c r="X1662" s="5" t="str">
        <f>VLOOKUP(T1662,'Data Angt'!$A$5:$H$5810,8,FALSE)</f>
        <v>Wiraswasta</v>
      </c>
      <c r="Y1662" s="5" t="str">
        <f>VLOOKUP(T1662,'Data Angt'!$A$5:$C$5808,3,FALSE)</f>
        <v>MGL</v>
      </c>
    </row>
    <row r="1663" spans="1:25" x14ac:dyDescent="0.3">
      <c r="A1663" s="8">
        <v>1657</v>
      </c>
      <c r="B1663" s="9" t="s">
        <v>6457</v>
      </c>
      <c r="C1663" s="10" t="str">
        <f>VLOOKUP(B1663,'Data Angt'!$A$5:$B$5809,2,FALSE)</f>
        <v>A2863</v>
      </c>
      <c r="D1663" s="11" t="s">
        <v>9829</v>
      </c>
      <c r="E1663" s="12" t="s">
        <v>17691</v>
      </c>
      <c r="F1663" s="13">
        <v>45531</v>
      </c>
      <c r="G1663" s="14">
        <v>45926</v>
      </c>
      <c r="H1663" s="15">
        <v>20000000</v>
      </c>
      <c r="I1663" s="16">
        <v>30</v>
      </c>
      <c r="J1663" s="17">
        <v>24</v>
      </c>
      <c r="K1663" s="9" t="s">
        <v>9831</v>
      </c>
      <c r="L1663" s="10" t="s">
        <v>17692</v>
      </c>
      <c r="M1663" s="9" t="s">
        <v>17644</v>
      </c>
      <c r="N1663" s="10" t="s">
        <v>9828</v>
      </c>
      <c r="O1663" s="15">
        <v>12787200</v>
      </c>
      <c r="P1663" s="145">
        <v>1648571</v>
      </c>
      <c r="Q1663" s="9" t="s">
        <v>23755</v>
      </c>
      <c r="R1663" s="146" t="s">
        <v>23774</v>
      </c>
      <c r="T1663" s="5" t="s">
        <v>5602</v>
      </c>
      <c r="U1663">
        <v>1</v>
      </c>
      <c r="V1663">
        <f>VLOOKUP(T1663,'Data Angt'!$A$5:$F$5810,6,FALSE)</f>
        <v>47</v>
      </c>
      <c r="W1663" s="5" t="str">
        <f t="shared" si="25"/>
        <v>KONSUMTIF</v>
      </c>
      <c r="X1663" s="5" t="str">
        <f>VLOOKUP(T1663,'Data Angt'!$A$5:$H$5810,8,FALSE)</f>
        <v>Wiraswasta</v>
      </c>
      <c r="Y1663" s="5" t="str">
        <f>VLOOKUP(T1663,'Data Angt'!$A$5:$C$5808,3,FALSE)</f>
        <v>MGL</v>
      </c>
    </row>
    <row r="1664" spans="1:25" x14ac:dyDescent="0.3">
      <c r="A1664" s="8">
        <v>1658</v>
      </c>
      <c r="B1664" s="9" t="s">
        <v>6481</v>
      </c>
      <c r="C1664" s="10" t="str">
        <f>VLOOKUP(B1664,'Data Angt'!$A$5:$B$5809,2,FALSE)</f>
        <v>A2874</v>
      </c>
      <c r="D1664" s="11" t="s">
        <v>9833</v>
      </c>
      <c r="E1664" s="12" t="s">
        <v>23775</v>
      </c>
      <c r="F1664" s="13">
        <v>45909</v>
      </c>
      <c r="G1664" s="14">
        <v>45909</v>
      </c>
      <c r="H1664" s="15">
        <v>5000000</v>
      </c>
      <c r="I1664" s="16">
        <v>36</v>
      </c>
      <c r="J1664" s="17">
        <v>24</v>
      </c>
      <c r="K1664" s="9" t="s">
        <v>9827</v>
      </c>
      <c r="L1664" s="10" t="s">
        <v>23776</v>
      </c>
      <c r="M1664" s="9" t="s">
        <v>23777</v>
      </c>
      <c r="N1664" s="10" t="s">
        <v>9834</v>
      </c>
      <c r="O1664" s="15">
        <v>5000000</v>
      </c>
      <c r="P1664" s="147">
        <v>0</v>
      </c>
      <c r="Q1664" s="9" t="s">
        <v>22189</v>
      </c>
      <c r="R1664" s="146" t="s">
        <v>23778</v>
      </c>
      <c r="T1664" s="5" t="s">
        <v>5605</v>
      </c>
      <c r="U1664">
        <v>1</v>
      </c>
      <c r="V1664">
        <f>VLOOKUP(T1664,'Data Angt'!$A$5:$F$5810,6,FALSE)</f>
        <v>38</v>
      </c>
      <c r="W1664" s="5" t="str">
        <f t="shared" si="25"/>
        <v>KONSUMTIF</v>
      </c>
      <c r="X1664" s="5" t="str">
        <f>VLOOKUP(T1664,'Data Angt'!$A$5:$H$5810,8,FALSE)</f>
        <v>Karyawan</v>
      </c>
      <c r="Y1664" s="5" t="str">
        <f>VLOOKUP(T1664,'Data Angt'!$A$5:$C$5808,3,FALSE)</f>
        <v>MGL</v>
      </c>
    </row>
    <row r="1665" spans="1:25" x14ac:dyDescent="0.3">
      <c r="A1665" s="8">
        <v>1659</v>
      </c>
      <c r="B1665" s="9" t="s">
        <v>6610</v>
      </c>
      <c r="C1665" s="10" t="str">
        <f>VLOOKUP(B1665,'Data Angt'!$A$5:$B$5809,2,FALSE)</f>
        <v>A2936</v>
      </c>
      <c r="D1665" s="11" t="s">
        <v>9833</v>
      </c>
      <c r="E1665" s="12" t="s">
        <v>10637</v>
      </c>
      <c r="F1665" s="13">
        <v>43687</v>
      </c>
      <c r="G1665" s="14">
        <v>44049</v>
      </c>
      <c r="H1665" s="15">
        <v>4000000</v>
      </c>
      <c r="I1665" s="16">
        <v>12</v>
      </c>
      <c r="J1665" s="17">
        <v>24</v>
      </c>
      <c r="K1665" s="9" t="s">
        <v>9831</v>
      </c>
      <c r="L1665" s="10" t="s">
        <v>10638</v>
      </c>
      <c r="M1665" s="9" t="s">
        <v>10639</v>
      </c>
      <c r="N1665" s="10" t="s">
        <v>9834</v>
      </c>
      <c r="O1665" s="15">
        <v>2770700</v>
      </c>
      <c r="P1665" s="145">
        <v>178312</v>
      </c>
      <c r="Q1665" s="9"/>
      <c r="R1665" s="146"/>
      <c r="T1665" s="5" t="s">
        <v>5636</v>
      </c>
      <c r="U1665">
        <v>1</v>
      </c>
      <c r="V1665">
        <f>VLOOKUP(T1665,'Data Angt'!$A$5:$F$5810,6,FALSE)</f>
        <v>38</v>
      </c>
      <c r="W1665" s="5" t="str">
        <f t="shared" si="25"/>
        <v>KONSUMTIF</v>
      </c>
      <c r="X1665" s="5" t="str">
        <f>VLOOKUP(T1665,'Data Angt'!$A$5:$H$5810,8,FALSE)</f>
        <v>Mengurus Rumah Tangga</v>
      </c>
      <c r="Y1665" s="5" t="str">
        <f>VLOOKUP(T1665,'Data Angt'!$A$5:$C$5808,3,FALSE)</f>
        <v>MGL</v>
      </c>
    </row>
    <row r="1666" spans="1:25" x14ac:dyDescent="0.3">
      <c r="A1666" s="8">
        <v>1660</v>
      </c>
      <c r="B1666" s="9" t="s">
        <v>6871</v>
      </c>
      <c r="C1666" s="10" t="str">
        <f>VLOOKUP(B1666,'Data Angt'!$A$5:$B$5809,2,FALSE)</f>
        <v>A3065</v>
      </c>
      <c r="D1666" s="11" t="s">
        <v>9826</v>
      </c>
      <c r="E1666" s="12" t="s">
        <v>23779</v>
      </c>
      <c r="F1666" s="13">
        <v>45918</v>
      </c>
      <c r="G1666" s="14">
        <v>45918</v>
      </c>
      <c r="H1666" s="15">
        <v>5000000</v>
      </c>
      <c r="I1666" s="16">
        <v>12</v>
      </c>
      <c r="J1666" s="17">
        <v>24</v>
      </c>
      <c r="K1666" s="9" t="s">
        <v>9827</v>
      </c>
      <c r="L1666" s="10" t="s">
        <v>23780</v>
      </c>
      <c r="M1666" s="9" t="s">
        <v>10133</v>
      </c>
      <c r="N1666" s="10" t="s">
        <v>9834</v>
      </c>
      <c r="O1666" s="15">
        <v>5000000</v>
      </c>
      <c r="P1666" s="147">
        <v>0</v>
      </c>
      <c r="Q1666" s="9"/>
      <c r="R1666" s="146"/>
      <c r="T1666" s="5" t="s">
        <v>5674</v>
      </c>
      <c r="U1666">
        <v>1</v>
      </c>
      <c r="V1666">
        <f>VLOOKUP(T1666,'Data Angt'!$A$5:$F$5810,6,FALSE)</f>
        <v>57</v>
      </c>
      <c r="W1666" s="5" t="str">
        <f t="shared" si="25"/>
        <v>PENDIDIKAN</v>
      </c>
      <c r="X1666" s="5" t="str">
        <f>VLOOKUP(T1666,'Data Angt'!$A$5:$H$5810,8,FALSE)</f>
        <v>Wiraswasta</v>
      </c>
      <c r="Y1666" s="5" t="str">
        <f>VLOOKUP(T1666,'Data Angt'!$A$5:$C$5808,3,FALSE)</f>
        <v>MGL</v>
      </c>
    </row>
    <row r="1667" spans="1:25" x14ac:dyDescent="0.3">
      <c r="A1667" s="8">
        <v>1661</v>
      </c>
      <c r="B1667" s="9" t="s">
        <v>6871</v>
      </c>
      <c r="C1667" s="10" t="str">
        <f>VLOOKUP(B1667,'Data Angt'!$A$5:$B$5809,2,FALSE)</f>
        <v>A3065</v>
      </c>
      <c r="D1667" s="11" t="s">
        <v>9829</v>
      </c>
      <c r="E1667" s="12" t="s">
        <v>17693</v>
      </c>
      <c r="F1667" s="13">
        <v>45674</v>
      </c>
      <c r="G1667" s="14">
        <v>45911</v>
      </c>
      <c r="H1667" s="15">
        <v>80000000</v>
      </c>
      <c r="I1667" s="16">
        <v>48</v>
      </c>
      <c r="J1667" s="17">
        <v>21</v>
      </c>
      <c r="K1667" s="9" t="s">
        <v>9831</v>
      </c>
      <c r="L1667" s="10" t="s">
        <v>17694</v>
      </c>
      <c r="M1667" s="9" t="s">
        <v>9840</v>
      </c>
      <c r="N1667" s="10" t="s">
        <v>9828</v>
      </c>
      <c r="O1667" s="15">
        <v>70835200</v>
      </c>
      <c r="P1667" s="145">
        <v>3995099</v>
      </c>
      <c r="Q1667" s="9" t="s">
        <v>23781</v>
      </c>
      <c r="R1667" s="146" t="s">
        <v>23782</v>
      </c>
      <c r="T1667" s="5" t="s">
        <v>5748</v>
      </c>
      <c r="U1667">
        <v>2</v>
      </c>
      <c r="V1667">
        <f>VLOOKUP(T1667,'Data Angt'!$A$5:$F$5810,6,FALSE)</f>
        <v>26</v>
      </c>
      <c r="W1667" s="5" t="str">
        <f t="shared" si="25"/>
        <v>PRODUKTIF</v>
      </c>
      <c r="X1667" s="5" t="str">
        <f>VLOOKUP(T1667,'Data Angt'!$A$5:$H$5810,8,FALSE)</f>
        <v>Pelajar/Mahasiswa</v>
      </c>
      <c r="Y1667" s="5" t="str">
        <f>VLOOKUP(T1667,'Data Angt'!$A$5:$C$5808,3,FALSE)</f>
        <v>MGL</v>
      </c>
    </row>
    <row r="1668" spans="1:25" x14ac:dyDescent="0.3">
      <c r="A1668" s="8">
        <v>1662</v>
      </c>
      <c r="B1668" s="9" t="s">
        <v>6936</v>
      </c>
      <c r="C1668" s="10" t="str">
        <f>VLOOKUP(B1668,'Data Angt'!$A$5:$B$5809,2,FALSE)</f>
        <v>A3101</v>
      </c>
      <c r="D1668" s="11" t="s">
        <v>9829</v>
      </c>
      <c r="E1668" s="12" t="s">
        <v>17695</v>
      </c>
      <c r="F1668" s="13">
        <v>45320</v>
      </c>
      <c r="G1668" s="14">
        <v>45913</v>
      </c>
      <c r="H1668" s="15">
        <v>35000000</v>
      </c>
      <c r="I1668" s="16">
        <v>24</v>
      </c>
      <c r="J1668" s="17">
        <v>21</v>
      </c>
      <c r="K1668" s="9" t="s">
        <v>9831</v>
      </c>
      <c r="L1668" s="10" t="s">
        <v>17696</v>
      </c>
      <c r="M1668" s="9" t="s">
        <v>17697</v>
      </c>
      <c r="N1668" s="10" t="s">
        <v>9828</v>
      </c>
      <c r="O1668" s="15">
        <v>6891000</v>
      </c>
      <c r="P1668" s="145">
        <v>2947868</v>
      </c>
      <c r="Q1668" s="9" t="s">
        <v>22200</v>
      </c>
      <c r="R1668" s="146" t="s">
        <v>23783</v>
      </c>
      <c r="T1668" s="5" t="s">
        <v>5752</v>
      </c>
      <c r="U1668">
        <v>1</v>
      </c>
      <c r="V1668">
        <f>VLOOKUP(T1668,'Data Angt'!$A$5:$F$5810,6,FALSE)</f>
        <v>51</v>
      </c>
      <c r="W1668" s="5" t="str">
        <f t="shared" si="25"/>
        <v>KESEJAHTERAAN</v>
      </c>
      <c r="X1668" s="5" t="str">
        <f>VLOOKUP(T1668,'Data Angt'!$A$5:$H$5810,8,FALSE)</f>
        <v>Lain-Lain</v>
      </c>
      <c r="Y1668" s="5" t="str">
        <f>VLOOKUP(T1668,'Data Angt'!$A$5:$C$5808,3,FALSE)</f>
        <v>MGL</v>
      </c>
    </row>
    <row r="1669" spans="1:25" x14ac:dyDescent="0.3">
      <c r="A1669" s="8">
        <v>1663</v>
      </c>
      <c r="B1669" s="9" t="s">
        <v>6992</v>
      </c>
      <c r="C1669" s="10" t="str">
        <f>VLOOKUP(B1669,'Data Angt'!$A$5:$B$5809,2,FALSE)</f>
        <v>A3129</v>
      </c>
      <c r="D1669" s="11" t="s">
        <v>9829</v>
      </c>
      <c r="E1669" s="12" t="s">
        <v>10640</v>
      </c>
      <c r="F1669" s="13">
        <v>43882</v>
      </c>
      <c r="G1669" s="14">
        <v>44447</v>
      </c>
      <c r="H1669" s="15">
        <v>8000000</v>
      </c>
      <c r="I1669" s="16">
        <v>24</v>
      </c>
      <c r="J1669" s="17">
        <v>24</v>
      </c>
      <c r="K1669" s="9" t="s">
        <v>9831</v>
      </c>
      <c r="L1669" s="10" t="s">
        <v>10641</v>
      </c>
      <c r="M1669" s="9" t="s">
        <v>10595</v>
      </c>
      <c r="N1669" s="10" t="s">
        <v>9830</v>
      </c>
      <c r="O1669" s="15">
        <v>7468800</v>
      </c>
      <c r="P1669" s="145">
        <v>232125</v>
      </c>
      <c r="Q1669" s="9"/>
      <c r="R1669" s="146"/>
      <c r="T1669" s="5" t="s">
        <v>5831</v>
      </c>
      <c r="U1669">
        <v>2</v>
      </c>
      <c r="V1669">
        <f>VLOOKUP(T1669,'Data Angt'!$A$5:$F$5810,6,FALSE)</f>
        <v>42</v>
      </c>
      <c r="W1669" s="5" t="str">
        <f t="shared" si="25"/>
        <v>PRODUKTIF</v>
      </c>
      <c r="X1669" s="5" t="str">
        <f>VLOOKUP(T1669,'Data Angt'!$A$5:$H$5810,8,FALSE)</f>
        <v>Wiraswasta</v>
      </c>
      <c r="Y1669" s="5" t="str">
        <f>VLOOKUP(T1669,'Data Angt'!$A$5:$C$5808,3,FALSE)</f>
        <v>MGL</v>
      </c>
    </row>
    <row r="1670" spans="1:25" x14ac:dyDescent="0.3">
      <c r="A1670" s="8">
        <v>1664</v>
      </c>
      <c r="B1670" s="9" t="s">
        <v>7784</v>
      </c>
      <c r="C1670" s="10" t="str">
        <f>VLOOKUP(B1670,'Data Angt'!$A$5:$B$5809,2,FALSE)</f>
        <v>A3495</v>
      </c>
      <c r="D1670" s="11" t="s">
        <v>9826</v>
      </c>
      <c r="E1670" s="12" t="s">
        <v>23784</v>
      </c>
      <c r="F1670" s="13">
        <v>45850</v>
      </c>
      <c r="G1670" s="14">
        <v>45913</v>
      </c>
      <c r="H1670" s="15">
        <v>3000000</v>
      </c>
      <c r="I1670" s="16">
        <v>12</v>
      </c>
      <c r="J1670" s="17">
        <v>11.88</v>
      </c>
      <c r="K1670" s="9" t="s">
        <v>9831</v>
      </c>
      <c r="L1670" s="10" t="s">
        <v>23785</v>
      </c>
      <c r="M1670" s="9" t="s">
        <v>9854</v>
      </c>
      <c r="N1670" s="10" t="s">
        <v>17</v>
      </c>
      <c r="O1670" s="15">
        <v>2524300</v>
      </c>
      <c r="P1670" s="145">
        <v>21412</v>
      </c>
      <c r="Q1670" s="9"/>
      <c r="R1670" s="146"/>
      <c r="T1670" s="5" t="s">
        <v>5856</v>
      </c>
      <c r="U1670">
        <v>1</v>
      </c>
      <c r="V1670">
        <f>VLOOKUP(T1670,'Data Angt'!$A$5:$F$5810,6,FALSE)</f>
        <v>46</v>
      </c>
      <c r="W1670" s="5" t="str">
        <f t="shared" si="25"/>
        <v>KONSUMTIF</v>
      </c>
      <c r="X1670" s="5" t="str">
        <f>VLOOKUP(T1670,'Data Angt'!$A$5:$H$5810,8,FALSE)</f>
        <v>Wiraswasta</v>
      </c>
      <c r="Y1670" s="5" t="str">
        <f>VLOOKUP(T1670,'Data Angt'!$A$5:$C$5808,3,FALSE)</f>
        <v>MGL</v>
      </c>
    </row>
    <row r="1671" spans="1:25" x14ac:dyDescent="0.3">
      <c r="A1671" s="8">
        <v>1665</v>
      </c>
      <c r="B1671" s="9" t="s">
        <v>7784</v>
      </c>
      <c r="C1671" s="10" t="str">
        <f>VLOOKUP(B1671,'Data Angt'!$A$5:$B$5809,2,FALSE)</f>
        <v>A3495</v>
      </c>
      <c r="D1671" s="11" t="s">
        <v>9829</v>
      </c>
      <c r="E1671" s="12" t="s">
        <v>17698</v>
      </c>
      <c r="F1671" s="13">
        <v>45672</v>
      </c>
      <c r="G1671" s="14">
        <v>45918</v>
      </c>
      <c r="H1671" s="15">
        <v>27000000</v>
      </c>
      <c r="I1671" s="16">
        <v>48</v>
      </c>
      <c r="J1671" s="17">
        <v>21</v>
      </c>
      <c r="K1671" s="9" t="s">
        <v>9831</v>
      </c>
      <c r="L1671" s="10" t="s">
        <v>17699</v>
      </c>
      <c r="M1671" s="9" t="s">
        <v>9854</v>
      </c>
      <c r="N1671" s="10" t="s">
        <v>17</v>
      </c>
      <c r="O1671" s="15">
        <v>23907000</v>
      </c>
      <c r="P1671" s="145">
        <v>1348423</v>
      </c>
      <c r="Q1671" s="9" t="s">
        <v>22526</v>
      </c>
      <c r="R1671" s="146" t="s">
        <v>23786</v>
      </c>
      <c r="T1671" s="5" t="s">
        <v>5920</v>
      </c>
      <c r="U1671">
        <v>1</v>
      </c>
      <c r="V1671">
        <f>VLOOKUP(T1671,'Data Angt'!$A$5:$F$5810,6,FALSE)</f>
        <v>34</v>
      </c>
      <c r="W1671" s="5" t="str">
        <f t="shared" ref="W1671:W1734" si="26">VLOOKUP(T1671,$B$7:$N$1869,13,FALSE)</f>
        <v>PRODUKTIF</v>
      </c>
      <c r="X1671" s="5" t="str">
        <f>VLOOKUP(T1671,'Data Angt'!$A$5:$H$5810,8,FALSE)</f>
        <v>Wiraswasta</v>
      </c>
      <c r="Y1671" s="5" t="str">
        <f>VLOOKUP(T1671,'Data Angt'!$A$5:$C$5808,3,FALSE)</f>
        <v>MGL</v>
      </c>
    </row>
    <row r="1672" spans="1:25" x14ac:dyDescent="0.3">
      <c r="A1672" s="8">
        <v>1666</v>
      </c>
      <c r="B1672" s="9" t="s">
        <v>7959</v>
      </c>
      <c r="C1672" s="10" t="str">
        <f>VLOOKUP(B1672,'Data Angt'!$A$5:$B$5809,2,FALSE)</f>
        <v>A3587</v>
      </c>
      <c r="D1672" s="11" t="s">
        <v>9833</v>
      </c>
      <c r="E1672" s="12" t="s">
        <v>17700</v>
      </c>
      <c r="F1672" s="13">
        <v>45603</v>
      </c>
      <c r="G1672" s="14">
        <v>45909</v>
      </c>
      <c r="H1672" s="15">
        <v>2000000</v>
      </c>
      <c r="I1672" s="16">
        <v>24</v>
      </c>
      <c r="J1672" s="17">
        <v>24</v>
      </c>
      <c r="K1672" s="9" t="s">
        <v>9831</v>
      </c>
      <c r="L1672" s="10" t="s">
        <v>17701</v>
      </c>
      <c r="M1672" s="9" t="s">
        <v>17702</v>
      </c>
      <c r="N1672" s="10" t="s">
        <v>9834</v>
      </c>
      <c r="O1672" s="15">
        <v>1280000</v>
      </c>
      <c r="P1672" s="145">
        <v>126749</v>
      </c>
      <c r="Q1672" s="9" t="s">
        <v>23743</v>
      </c>
      <c r="R1672" s="146" t="s">
        <v>23787</v>
      </c>
      <c r="T1672" s="5" t="s">
        <v>6060</v>
      </c>
      <c r="U1672">
        <v>2</v>
      </c>
      <c r="V1672">
        <f>VLOOKUP(T1672,'Data Angt'!$A$5:$F$5810,6,FALSE)</f>
        <v>64</v>
      </c>
      <c r="W1672" s="5" t="str">
        <f t="shared" si="26"/>
        <v>PENDIDIKAN</v>
      </c>
      <c r="X1672" s="5" t="str">
        <f>VLOOKUP(T1672,'Data Angt'!$A$5:$H$5810,8,FALSE)</f>
        <v>Tenaga Pengajar</v>
      </c>
      <c r="Y1672" s="5" t="str">
        <f>VLOOKUP(T1672,'Data Angt'!$A$5:$C$5808,3,FALSE)</f>
        <v>MGL</v>
      </c>
    </row>
    <row r="1673" spans="1:25" x14ac:dyDescent="0.3">
      <c r="A1673" s="8">
        <v>1667</v>
      </c>
      <c r="B1673" s="9" t="s">
        <v>8256</v>
      </c>
      <c r="C1673" s="10" t="str">
        <f>VLOOKUP(B1673,'Data Angt'!$A$5:$B$5809,2,FALSE)</f>
        <v>A3740</v>
      </c>
      <c r="D1673" s="11" t="s">
        <v>9833</v>
      </c>
      <c r="E1673" s="12" t="s">
        <v>17703</v>
      </c>
      <c r="F1673" s="13">
        <v>45714</v>
      </c>
      <c r="G1673" s="14">
        <v>45924</v>
      </c>
      <c r="H1673" s="15">
        <v>3000000</v>
      </c>
      <c r="I1673" s="16">
        <v>12</v>
      </c>
      <c r="J1673" s="17">
        <v>24</v>
      </c>
      <c r="K1673" s="9" t="s">
        <v>9831</v>
      </c>
      <c r="L1673" s="10" t="s">
        <v>17704</v>
      </c>
      <c r="M1673" s="9" t="s">
        <v>16089</v>
      </c>
      <c r="N1673" s="10" t="s">
        <v>9834</v>
      </c>
      <c r="O1673" s="15">
        <v>1337300</v>
      </c>
      <c r="P1673" s="145">
        <v>121200</v>
      </c>
      <c r="Q1673" s="9"/>
      <c r="R1673" s="146"/>
      <c r="T1673" s="5" t="s">
        <v>6129</v>
      </c>
      <c r="U1673">
        <v>1</v>
      </c>
      <c r="V1673">
        <f>VLOOKUP(T1673,'Data Angt'!$A$5:$F$5810,6,FALSE)</f>
        <v>46</v>
      </c>
      <c r="W1673" s="5" t="str">
        <f t="shared" si="26"/>
        <v>KESEHATAN</v>
      </c>
      <c r="X1673" s="5" t="str">
        <f>VLOOKUP(T1673,'Data Angt'!$A$5:$H$5810,8,FALSE)</f>
        <v>Karyawan</v>
      </c>
      <c r="Y1673" s="5" t="str">
        <f>VLOOKUP(T1673,'Data Angt'!$A$5:$C$5808,3,FALSE)</f>
        <v>MGL</v>
      </c>
    </row>
    <row r="1674" spans="1:25" x14ac:dyDescent="0.3">
      <c r="A1674" s="8">
        <v>1668</v>
      </c>
      <c r="B1674" s="9" t="s">
        <v>8450</v>
      </c>
      <c r="C1674" s="10" t="str">
        <f>VLOOKUP(B1674,'Data Angt'!$A$5:$B$5809,2,FALSE)</f>
        <v>A3832</v>
      </c>
      <c r="D1674" s="11" t="s">
        <v>9829</v>
      </c>
      <c r="E1674" s="12" t="s">
        <v>23788</v>
      </c>
      <c r="F1674" s="13">
        <v>45867</v>
      </c>
      <c r="G1674" s="14">
        <v>45925</v>
      </c>
      <c r="H1674" s="15">
        <v>3000000</v>
      </c>
      <c r="I1674" s="16">
        <v>12</v>
      </c>
      <c r="J1674" s="17">
        <v>24</v>
      </c>
      <c r="K1674" s="9" t="s">
        <v>9831</v>
      </c>
      <c r="L1674" s="10" t="s">
        <v>23789</v>
      </c>
      <c r="M1674" s="9" t="s">
        <v>23790</v>
      </c>
      <c r="N1674" s="10" t="s">
        <v>9828</v>
      </c>
      <c r="O1674" s="15">
        <v>2548200</v>
      </c>
      <c r="P1674" s="145">
        <v>43350</v>
      </c>
      <c r="Q1674" s="9"/>
      <c r="R1674" s="146"/>
      <c r="T1674" s="5" t="s">
        <v>6263</v>
      </c>
      <c r="U1674">
        <v>1</v>
      </c>
      <c r="V1674">
        <f>VLOOKUP(T1674,'Data Angt'!$A$5:$F$5810,6,FALSE)</f>
        <v>33</v>
      </c>
      <c r="W1674" s="5" t="str">
        <f t="shared" si="26"/>
        <v>KESEJAHTERAAN</v>
      </c>
      <c r="X1674" s="5" t="str">
        <f>VLOOKUP(T1674,'Data Angt'!$A$5:$H$5810,8,FALSE)</f>
        <v>Karyawan</v>
      </c>
      <c r="Y1674" s="5" t="str">
        <f>VLOOKUP(T1674,'Data Angt'!$A$5:$C$5808,3,FALSE)</f>
        <v>MGL</v>
      </c>
    </row>
    <row r="1675" spans="1:25" x14ac:dyDescent="0.3">
      <c r="A1675" s="8">
        <v>1669</v>
      </c>
      <c r="B1675" s="9" t="s">
        <v>9346</v>
      </c>
      <c r="C1675" s="10" t="str">
        <f>VLOOKUP(B1675,'Data Angt'!$A$5:$B$5809,2,FALSE)</f>
        <v>A4250</v>
      </c>
      <c r="D1675" s="11" t="s">
        <v>9829</v>
      </c>
      <c r="E1675" s="12" t="s">
        <v>17705</v>
      </c>
      <c r="F1675" s="13">
        <v>45600</v>
      </c>
      <c r="G1675" s="14">
        <v>45909</v>
      </c>
      <c r="H1675" s="15">
        <v>5000000</v>
      </c>
      <c r="I1675" s="16">
        <v>24</v>
      </c>
      <c r="J1675" s="17">
        <v>24</v>
      </c>
      <c r="K1675" s="9" t="s">
        <v>9831</v>
      </c>
      <c r="L1675" s="10" t="s">
        <v>17706</v>
      </c>
      <c r="M1675" s="9" t="s">
        <v>17707</v>
      </c>
      <c r="N1675" s="10" t="s">
        <v>9828</v>
      </c>
      <c r="O1675" s="15">
        <v>3200300</v>
      </c>
      <c r="P1675" s="145">
        <v>316611</v>
      </c>
      <c r="Q1675" s="9" t="s">
        <v>23743</v>
      </c>
      <c r="R1675" s="146" t="s">
        <v>23791</v>
      </c>
      <c r="T1675" s="5" t="s">
        <v>6534</v>
      </c>
      <c r="U1675">
        <v>1</v>
      </c>
      <c r="V1675">
        <f>VLOOKUP(T1675,'Data Angt'!$A$5:$F$5810,6,FALSE)</f>
        <v>43</v>
      </c>
      <c r="W1675" s="5" t="str">
        <f t="shared" si="26"/>
        <v>KESEHATAN</v>
      </c>
      <c r="X1675" s="5" t="str">
        <f>VLOOKUP(T1675,'Data Angt'!$A$5:$H$5810,8,FALSE)</f>
        <v>Tenaga Pengajar</v>
      </c>
      <c r="Y1675" s="5" t="str">
        <f>VLOOKUP(T1675,'Data Angt'!$A$5:$C$5808,3,FALSE)</f>
        <v>MGL</v>
      </c>
    </row>
    <row r="1676" spans="1:25" x14ac:dyDescent="0.3">
      <c r="A1676" s="8">
        <v>1670</v>
      </c>
      <c r="B1676" s="9" t="s">
        <v>9584</v>
      </c>
      <c r="C1676" s="10" t="str">
        <f>VLOOKUP(B1676,'Data Angt'!$A$5:$B$5809,2,FALSE)</f>
        <v>A4355</v>
      </c>
      <c r="D1676" s="11" t="s">
        <v>9829</v>
      </c>
      <c r="E1676" s="12" t="s">
        <v>17708</v>
      </c>
      <c r="F1676" s="13">
        <v>45672</v>
      </c>
      <c r="G1676" s="14">
        <v>45925</v>
      </c>
      <c r="H1676" s="15">
        <v>20000000</v>
      </c>
      <c r="I1676" s="16">
        <v>24</v>
      </c>
      <c r="J1676" s="17">
        <v>24</v>
      </c>
      <c r="K1676" s="9" t="s">
        <v>9831</v>
      </c>
      <c r="L1676" s="10" t="s">
        <v>17709</v>
      </c>
      <c r="M1676" s="9" t="s">
        <v>9838</v>
      </c>
      <c r="N1676" s="10" t="s">
        <v>9828</v>
      </c>
      <c r="O1676" s="15">
        <v>14357100</v>
      </c>
      <c r="P1676" s="145">
        <v>1056410</v>
      </c>
      <c r="Q1676" s="9" t="s">
        <v>22197</v>
      </c>
      <c r="R1676" s="146" t="s">
        <v>23792</v>
      </c>
      <c r="T1676" s="5" t="s">
        <v>6548</v>
      </c>
      <c r="U1676">
        <v>1</v>
      </c>
      <c r="V1676">
        <f>VLOOKUP(T1676,'Data Angt'!$A$5:$F$5810,6,FALSE)</f>
        <v>36</v>
      </c>
      <c r="W1676" s="5" t="str">
        <f t="shared" si="26"/>
        <v>PRODUKTIF</v>
      </c>
      <c r="X1676" s="5" t="str">
        <f>VLOOKUP(T1676,'Data Angt'!$A$5:$H$5810,8,FALSE)</f>
        <v>Karyawan</v>
      </c>
      <c r="Y1676" s="5" t="str">
        <f>VLOOKUP(T1676,'Data Angt'!$A$5:$C$5808,3,FALSE)</f>
        <v>MGL</v>
      </c>
    </row>
    <row r="1677" spans="1:25" x14ac:dyDescent="0.3">
      <c r="A1677" s="8">
        <v>1671</v>
      </c>
      <c r="B1677" s="9" t="s">
        <v>12612</v>
      </c>
      <c r="C1677" s="10" t="str">
        <f>VLOOKUP(B1677,'Data Angt'!$A$5:$B$5809,2,FALSE)</f>
        <v>A4360</v>
      </c>
      <c r="D1677" s="11" t="s">
        <v>9829</v>
      </c>
      <c r="E1677" s="12" t="s">
        <v>17710</v>
      </c>
      <c r="F1677" s="13">
        <v>45785</v>
      </c>
      <c r="G1677" s="14">
        <v>45908</v>
      </c>
      <c r="H1677" s="15">
        <v>2000000</v>
      </c>
      <c r="I1677" s="16">
        <v>8</v>
      </c>
      <c r="J1677" s="17">
        <v>24</v>
      </c>
      <c r="K1677" s="9" t="s">
        <v>9827</v>
      </c>
      <c r="L1677" s="10" t="s">
        <v>17711</v>
      </c>
      <c r="M1677" s="9" t="s">
        <v>9828</v>
      </c>
      <c r="N1677" s="10" t="s">
        <v>9828</v>
      </c>
      <c r="O1677" s="15">
        <v>1000000</v>
      </c>
      <c r="P1677" s="145">
        <v>48750</v>
      </c>
      <c r="Q1677" s="9"/>
      <c r="R1677" s="146"/>
      <c r="T1677" s="5" t="s">
        <v>6613</v>
      </c>
      <c r="U1677">
        <v>1</v>
      </c>
      <c r="V1677">
        <f>VLOOKUP(T1677,'Data Angt'!$A$5:$F$5810,6,FALSE)</f>
        <v>37</v>
      </c>
      <c r="W1677" s="5" t="str">
        <f t="shared" si="26"/>
        <v>PRODUKTIF</v>
      </c>
      <c r="X1677" s="5" t="str">
        <f>VLOOKUP(T1677,'Data Angt'!$A$5:$H$5810,8,FALSE)</f>
        <v>Mengurus Rumah Tangga</v>
      </c>
      <c r="Y1677" s="5" t="str">
        <f>VLOOKUP(T1677,'Data Angt'!$A$5:$C$5808,3,FALSE)</f>
        <v>MGL</v>
      </c>
    </row>
    <row r="1678" spans="1:25" x14ac:dyDescent="0.3">
      <c r="A1678" s="8">
        <v>1672</v>
      </c>
      <c r="B1678" s="9" t="s">
        <v>12803</v>
      </c>
      <c r="C1678" s="10" t="str">
        <f>VLOOKUP(B1678,'Data Angt'!$A$5:$B$5809,2,FALSE)</f>
        <v>A4443</v>
      </c>
      <c r="D1678" s="11" t="s">
        <v>9833</v>
      </c>
      <c r="E1678" s="12" t="s">
        <v>17712</v>
      </c>
      <c r="F1678" s="13">
        <v>45688</v>
      </c>
      <c r="G1678" s="14">
        <v>45808</v>
      </c>
      <c r="H1678" s="15">
        <v>10000000</v>
      </c>
      <c r="I1678" s="16">
        <v>12</v>
      </c>
      <c r="J1678" s="17">
        <v>24</v>
      </c>
      <c r="K1678" s="9" t="s">
        <v>9827</v>
      </c>
      <c r="L1678" s="10" t="s">
        <v>17713</v>
      </c>
      <c r="M1678" s="9" t="s">
        <v>17714</v>
      </c>
      <c r="N1678" s="10" t="s">
        <v>9834</v>
      </c>
      <c r="O1678" s="15">
        <v>6666400</v>
      </c>
      <c r="P1678" s="145">
        <v>262537</v>
      </c>
      <c r="Q1678" s="9" t="s">
        <v>22526</v>
      </c>
      <c r="R1678" s="146" t="s">
        <v>23793</v>
      </c>
      <c r="T1678" s="5" t="s">
        <v>6695</v>
      </c>
      <c r="U1678">
        <v>1</v>
      </c>
      <c r="V1678">
        <f>VLOOKUP(T1678,'Data Angt'!$A$5:$F$5810,6,FALSE)</f>
        <v>46</v>
      </c>
      <c r="W1678" s="5" t="str">
        <f t="shared" si="26"/>
        <v>KONSUMTIF</v>
      </c>
      <c r="X1678" s="5" t="str">
        <f>VLOOKUP(T1678,'Data Angt'!$A$5:$H$5810,8,FALSE)</f>
        <v>Karyawan</v>
      </c>
      <c r="Y1678" s="5" t="str">
        <f>VLOOKUP(T1678,'Data Angt'!$A$5:$C$5808,3,FALSE)</f>
        <v>MGL</v>
      </c>
    </row>
    <row r="1679" spans="1:25" x14ac:dyDescent="0.3">
      <c r="A1679" s="8">
        <v>1673</v>
      </c>
      <c r="B1679" s="9" t="s">
        <v>12852</v>
      </c>
      <c r="C1679" s="10" t="str">
        <f>VLOOKUP(B1679,'Data Angt'!$A$5:$B$5809,2,FALSE)</f>
        <v>A4465</v>
      </c>
      <c r="D1679" s="11" t="s">
        <v>9833</v>
      </c>
      <c r="E1679" s="12" t="s">
        <v>23794</v>
      </c>
      <c r="F1679" s="13">
        <v>45852</v>
      </c>
      <c r="G1679" s="14">
        <v>45883</v>
      </c>
      <c r="H1679" s="15">
        <v>4000000</v>
      </c>
      <c r="I1679" s="16">
        <v>12</v>
      </c>
      <c r="J1679" s="17">
        <v>24</v>
      </c>
      <c r="K1679" s="9" t="s">
        <v>9831</v>
      </c>
      <c r="L1679" s="10" t="s">
        <v>23795</v>
      </c>
      <c r="M1679" s="9" t="s">
        <v>23796</v>
      </c>
      <c r="N1679" s="10" t="s">
        <v>9834</v>
      </c>
      <c r="O1679" s="15">
        <v>3701700</v>
      </c>
      <c r="P1679" s="145">
        <v>30000</v>
      </c>
      <c r="Q1679" s="9"/>
      <c r="R1679" s="146"/>
      <c r="T1679" s="5" t="s">
        <v>6795</v>
      </c>
      <c r="U1679">
        <v>1</v>
      </c>
      <c r="V1679">
        <f>VLOOKUP(T1679,'Data Angt'!$A$5:$F$5810,6,FALSE)</f>
        <v>41</v>
      </c>
      <c r="W1679" s="5" t="str">
        <f t="shared" si="26"/>
        <v>KONSUMTIF</v>
      </c>
      <c r="X1679" s="5" t="str">
        <f>VLOOKUP(T1679,'Data Angt'!$A$5:$H$5810,8,FALSE)</f>
        <v>Wiraswasta</v>
      </c>
      <c r="Y1679" s="5" t="str">
        <f>VLOOKUP(T1679,'Data Angt'!$A$5:$C$5808,3,FALSE)</f>
        <v>MGL</v>
      </c>
    </row>
    <row r="1680" spans="1:25" x14ac:dyDescent="0.3">
      <c r="A1680" s="8">
        <v>1674</v>
      </c>
      <c r="B1680" s="9" t="s">
        <v>12946</v>
      </c>
      <c r="C1680" s="10" t="str">
        <f>VLOOKUP(B1680,'Data Angt'!$A$5:$B$5809,2,FALSE)</f>
        <v>A4509</v>
      </c>
      <c r="D1680" s="11" t="s">
        <v>9842</v>
      </c>
      <c r="E1680" s="12" t="s">
        <v>17715</v>
      </c>
      <c r="F1680" s="13">
        <v>45617</v>
      </c>
      <c r="G1680" s="14">
        <v>45930</v>
      </c>
      <c r="H1680" s="15">
        <v>150000000</v>
      </c>
      <c r="I1680" s="16">
        <v>60</v>
      </c>
      <c r="J1680" s="17">
        <v>11.4</v>
      </c>
      <c r="K1680" s="9" t="s">
        <v>9831</v>
      </c>
      <c r="L1680" s="10" t="s">
        <v>17716</v>
      </c>
      <c r="M1680" s="9" t="s">
        <v>10082</v>
      </c>
      <c r="N1680" s="10" t="s">
        <v>9830</v>
      </c>
      <c r="O1680" s="15">
        <v>130518000</v>
      </c>
      <c r="P1680" s="145">
        <v>5036997</v>
      </c>
      <c r="Q1680" s="9" t="s">
        <v>23797</v>
      </c>
      <c r="R1680" s="146" t="s">
        <v>23798</v>
      </c>
      <c r="T1680" s="5" t="s">
        <v>6797</v>
      </c>
      <c r="U1680">
        <v>1</v>
      </c>
      <c r="V1680">
        <f>VLOOKUP(T1680,'Data Angt'!$A$5:$F$5810,6,FALSE)</f>
        <v>61</v>
      </c>
      <c r="W1680" s="5" t="str">
        <f t="shared" si="26"/>
        <v>PRODUKTIF</v>
      </c>
      <c r="X1680" s="5" t="str">
        <f>VLOOKUP(T1680,'Data Angt'!$A$5:$H$5810,8,FALSE)</f>
        <v>Mengurus Rumah Tangga</v>
      </c>
      <c r="Y1680" s="5" t="str">
        <f>VLOOKUP(T1680,'Data Angt'!$A$5:$C$5808,3,FALSE)</f>
        <v>MGL</v>
      </c>
    </row>
    <row r="1681" spans="1:25" x14ac:dyDescent="0.3">
      <c r="A1681" s="8">
        <v>1675</v>
      </c>
      <c r="B1681" s="9" t="s">
        <v>13080</v>
      </c>
      <c r="C1681" s="10" t="str">
        <f>VLOOKUP(B1681,'Data Angt'!$A$5:$B$5809,2,FALSE)</f>
        <v>A4575</v>
      </c>
      <c r="D1681" s="11" t="s">
        <v>9829</v>
      </c>
      <c r="E1681" s="12" t="s">
        <v>17717</v>
      </c>
      <c r="F1681" s="13">
        <v>45604</v>
      </c>
      <c r="G1681" s="14">
        <v>45908</v>
      </c>
      <c r="H1681" s="15">
        <v>2000000</v>
      </c>
      <c r="I1681" s="16">
        <v>12</v>
      </c>
      <c r="J1681" s="17">
        <v>24</v>
      </c>
      <c r="K1681" s="9" t="s">
        <v>9827</v>
      </c>
      <c r="L1681" s="10" t="s">
        <v>17718</v>
      </c>
      <c r="M1681" s="9" t="s">
        <v>17719</v>
      </c>
      <c r="N1681" s="10" t="s">
        <v>17</v>
      </c>
      <c r="O1681" s="15">
        <v>333000</v>
      </c>
      <c r="P1681" s="145">
        <v>93861</v>
      </c>
      <c r="Q1681" s="9"/>
      <c r="R1681" s="146"/>
      <c r="T1681" s="5" t="s">
        <v>7133</v>
      </c>
      <c r="U1681">
        <v>1</v>
      </c>
      <c r="V1681">
        <f>VLOOKUP(T1681,'Data Angt'!$A$5:$F$5810,6,FALSE)</f>
        <v>37</v>
      </c>
      <c r="W1681" s="5" t="str">
        <f t="shared" si="26"/>
        <v>KONSUMTIF</v>
      </c>
      <c r="X1681" s="5" t="str">
        <f>VLOOKUP(T1681,'Data Angt'!$A$5:$H$5810,8,FALSE)</f>
        <v>Tenaga Pengajar</v>
      </c>
      <c r="Y1681" s="5" t="str">
        <f>VLOOKUP(T1681,'Data Angt'!$A$5:$C$5808,3,FALSE)</f>
        <v>MGL</v>
      </c>
    </row>
    <row r="1682" spans="1:25" x14ac:dyDescent="0.3">
      <c r="A1682" s="8">
        <v>1676</v>
      </c>
      <c r="B1682" s="9" t="s">
        <v>13222</v>
      </c>
      <c r="C1682" s="10" t="str">
        <f>VLOOKUP(B1682,'Data Angt'!$A$5:$B$5809,2,FALSE)</f>
        <v>A4635</v>
      </c>
      <c r="D1682" s="11" t="s">
        <v>9833</v>
      </c>
      <c r="E1682" s="12" t="s">
        <v>17720</v>
      </c>
      <c r="F1682" s="13">
        <v>45811</v>
      </c>
      <c r="G1682" s="14">
        <v>45903</v>
      </c>
      <c r="H1682" s="15">
        <v>1000000</v>
      </c>
      <c r="I1682" s="16">
        <v>5</v>
      </c>
      <c r="J1682" s="17">
        <v>24</v>
      </c>
      <c r="K1682" s="9" t="s">
        <v>9831</v>
      </c>
      <c r="L1682" s="10" t="s">
        <v>17721</v>
      </c>
      <c r="M1682" s="9" t="s">
        <v>17722</v>
      </c>
      <c r="N1682" s="10" t="s">
        <v>9834</v>
      </c>
      <c r="O1682" s="15">
        <v>411900</v>
      </c>
      <c r="P1682" s="145">
        <v>18187</v>
      </c>
      <c r="Q1682" s="9"/>
      <c r="R1682" s="146"/>
      <c r="T1682" s="5" t="s">
        <v>7151</v>
      </c>
      <c r="U1682">
        <v>1</v>
      </c>
      <c r="V1682">
        <f>VLOOKUP(T1682,'Data Angt'!$A$5:$F$5810,6,FALSE)</f>
        <v>48</v>
      </c>
      <c r="W1682" s="5" t="str">
        <f t="shared" si="26"/>
        <v>KESEJAHTERAAN</v>
      </c>
      <c r="X1682" s="5" t="str">
        <f>VLOOKUP(T1682,'Data Angt'!$A$5:$H$5810,8,FALSE)</f>
        <v>Karyawan</v>
      </c>
      <c r="Y1682" s="5" t="str">
        <f>VLOOKUP(T1682,'Data Angt'!$A$5:$C$5808,3,FALSE)</f>
        <v>MGL</v>
      </c>
    </row>
    <row r="1683" spans="1:25" x14ac:dyDescent="0.3">
      <c r="A1683" s="8">
        <v>1677</v>
      </c>
      <c r="B1683" s="9" t="s">
        <v>13224</v>
      </c>
      <c r="C1683" s="10" t="str">
        <f>VLOOKUP(B1683,'Data Angt'!$A$5:$B$5809,2,FALSE)</f>
        <v>A4636</v>
      </c>
      <c r="D1683" s="11" t="s">
        <v>9833</v>
      </c>
      <c r="E1683" s="12" t="s">
        <v>23799</v>
      </c>
      <c r="F1683" s="13">
        <v>45874</v>
      </c>
      <c r="G1683" s="14">
        <v>45908</v>
      </c>
      <c r="H1683" s="15">
        <v>20000000</v>
      </c>
      <c r="I1683" s="16">
        <v>8</v>
      </c>
      <c r="J1683" s="17">
        <v>24</v>
      </c>
      <c r="K1683" s="9" t="s">
        <v>9831</v>
      </c>
      <c r="L1683" s="10" t="s">
        <v>23800</v>
      </c>
      <c r="M1683" s="9" t="s">
        <v>9862</v>
      </c>
      <c r="N1683" s="10" t="s">
        <v>9834</v>
      </c>
      <c r="O1683" s="15">
        <v>17669800</v>
      </c>
      <c r="P1683" s="145">
        <v>150000</v>
      </c>
      <c r="Q1683" s="9" t="s">
        <v>22200</v>
      </c>
      <c r="R1683" s="146" t="s">
        <v>23801</v>
      </c>
      <c r="T1683" s="5" t="s">
        <v>7154</v>
      </c>
      <c r="U1683">
        <v>1</v>
      </c>
      <c r="V1683">
        <f>VLOOKUP(T1683,'Data Angt'!$A$5:$F$5810,6,FALSE)</f>
        <v>44</v>
      </c>
      <c r="W1683" s="5" t="str">
        <f t="shared" si="26"/>
        <v>KONSUMTIF</v>
      </c>
      <c r="X1683" s="5" t="str">
        <f>VLOOKUP(T1683,'Data Angt'!$A$5:$H$5810,8,FALSE)</f>
        <v>Karyawan</v>
      </c>
      <c r="Y1683" s="5" t="str">
        <f>VLOOKUP(T1683,'Data Angt'!$A$5:$C$5808,3,FALSE)</f>
        <v>MGL</v>
      </c>
    </row>
    <row r="1684" spans="1:25" x14ac:dyDescent="0.3">
      <c r="A1684" s="8">
        <v>1678</v>
      </c>
      <c r="B1684" s="9" t="s">
        <v>13627</v>
      </c>
      <c r="C1684" s="10" t="str">
        <f>VLOOKUP(B1684,'Data Angt'!$A$5:$B$5809,2,FALSE)</f>
        <v>A4874</v>
      </c>
      <c r="D1684" s="11" t="s">
        <v>9833</v>
      </c>
      <c r="E1684" s="12" t="s">
        <v>23802</v>
      </c>
      <c r="F1684" s="13">
        <v>45855</v>
      </c>
      <c r="G1684" s="14">
        <v>45917</v>
      </c>
      <c r="H1684" s="15">
        <v>1000000</v>
      </c>
      <c r="I1684" s="16">
        <v>5</v>
      </c>
      <c r="J1684" s="17">
        <v>24</v>
      </c>
      <c r="K1684" s="9" t="s">
        <v>9831</v>
      </c>
      <c r="L1684" s="10" t="s">
        <v>23803</v>
      </c>
      <c r="M1684" s="9" t="s">
        <v>23804</v>
      </c>
      <c r="N1684" s="10" t="s">
        <v>9834</v>
      </c>
      <c r="O1684" s="15">
        <v>611800</v>
      </c>
      <c r="P1684" s="145">
        <v>13575</v>
      </c>
      <c r="Q1684" s="9"/>
      <c r="R1684" s="146"/>
      <c r="T1684" s="5" t="s">
        <v>7156</v>
      </c>
      <c r="U1684">
        <v>1</v>
      </c>
      <c r="V1684">
        <f>VLOOKUP(T1684,'Data Angt'!$A$5:$F$5810,6,FALSE)</f>
        <v>66</v>
      </c>
      <c r="W1684" s="5" t="str">
        <f t="shared" si="26"/>
        <v>KONSUMTIF</v>
      </c>
      <c r="X1684" s="5" t="str">
        <f>VLOOKUP(T1684,'Data Angt'!$A$5:$H$5810,8,FALSE)</f>
        <v>Karyawan</v>
      </c>
      <c r="Y1684" s="5" t="str">
        <f>VLOOKUP(T1684,'Data Angt'!$A$5:$C$5808,3,FALSE)</f>
        <v>MGL</v>
      </c>
    </row>
    <row r="1685" spans="1:25" x14ac:dyDescent="0.3">
      <c r="A1685" s="8">
        <v>1679</v>
      </c>
      <c r="B1685" s="9" t="s">
        <v>13638</v>
      </c>
      <c r="C1685" s="10" t="str">
        <f>VLOOKUP(B1685,'Data Angt'!$A$5:$B$5809,2,FALSE)</f>
        <v>A4880</v>
      </c>
      <c r="D1685" s="11" t="s">
        <v>9833</v>
      </c>
      <c r="E1685" s="12" t="s">
        <v>17723</v>
      </c>
      <c r="F1685" s="13">
        <v>45817</v>
      </c>
      <c r="G1685" s="14">
        <v>45909</v>
      </c>
      <c r="H1685" s="15">
        <v>10000000</v>
      </c>
      <c r="I1685" s="16">
        <v>12</v>
      </c>
      <c r="J1685" s="17">
        <v>24</v>
      </c>
      <c r="K1685" s="9" t="s">
        <v>9831</v>
      </c>
      <c r="L1685" s="10" t="s">
        <v>17724</v>
      </c>
      <c r="M1685" s="9" t="s">
        <v>10417</v>
      </c>
      <c r="N1685" s="10" t="s">
        <v>9834</v>
      </c>
      <c r="O1685" s="15">
        <v>7718200</v>
      </c>
      <c r="P1685" s="145">
        <v>208124</v>
      </c>
      <c r="Q1685" s="9" t="s">
        <v>23743</v>
      </c>
      <c r="R1685" s="146" t="s">
        <v>23805</v>
      </c>
      <c r="T1685" s="5" t="s">
        <v>7212</v>
      </c>
      <c r="U1685">
        <v>1</v>
      </c>
      <c r="V1685">
        <f>VLOOKUP(T1685,'Data Angt'!$A$5:$F$5810,6,FALSE)</f>
        <v>42</v>
      </c>
      <c r="W1685" s="5" t="str">
        <f t="shared" si="26"/>
        <v>KESEJAHTERAAN</v>
      </c>
      <c r="X1685" s="5" t="str">
        <f>VLOOKUP(T1685,'Data Angt'!$A$5:$H$5810,8,FALSE)</f>
        <v>Karyawan</v>
      </c>
      <c r="Y1685" s="5" t="str">
        <f>VLOOKUP(T1685,'Data Angt'!$A$5:$C$5808,3,FALSE)</f>
        <v>MGL</v>
      </c>
    </row>
    <row r="1686" spans="1:25" x14ac:dyDescent="0.3">
      <c r="A1686" s="8">
        <v>1680</v>
      </c>
      <c r="B1686" s="9" t="s">
        <v>13776</v>
      </c>
      <c r="C1686" s="10" t="str">
        <f>VLOOKUP(B1686,'Data Angt'!$A$5:$B$5809,2,FALSE)</f>
        <v>A4940</v>
      </c>
      <c r="D1686" s="11" t="s">
        <v>9829</v>
      </c>
      <c r="E1686" s="12" t="s">
        <v>17725</v>
      </c>
      <c r="F1686" s="13">
        <v>45729</v>
      </c>
      <c r="G1686" s="14">
        <v>45911</v>
      </c>
      <c r="H1686" s="15">
        <v>3000000</v>
      </c>
      <c r="I1686" s="16">
        <v>10</v>
      </c>
      <c r="J1686" s="17">
        <v>24</v>
      </c>
      <c r="K1686" s="9" t="s">
        <v>9831</v>
      </c>
      <c r="L1686" s="10" t="s">
        <v>17726</v>
      </c>
      <c r="M1686" s="9" t="s">
        <v>17727</v>
      </c>
      <c r="N1686" s="10" t="s">
        <v>9828</v>
      </c>
      <c r="O1686" s="15">
        <v>1580200</v>
      </c>
      <c r="P1686" s="145">
        <v>105712</v>
      </c>
      <c r="Q1686" s="9"/>
      <c r="R1686" s="146"/>
      <c r="T1686" s="5" t="s">
        <v>7289</v>
      </c>
      <c r="U1686">
        <v>1</v>
      </c>
      <c r="V1686">
        <f>VLOOKUP(T1686,'Data Angt'!$A$5:$F$5810,6,FALSE)</f>
        <v>41</v>
      </c>
      <c r="W1686" s="5" t="str">
        <f t="shared" si="26"/>
        <v>KESEJAHTERAAN</v>
      </c>
      <c r="X1686" s="5" t="str">
        <f>VLOOKUP(T1686,'Data Angt'!$A$5:$H$5810,8,FALSE)</f>
        <v>Mengurus Rumah Tangga</v>
      </c>
      <c r="Y1686" s="5" t="str">
        <f>VLOOKUP(T1686,'Data Angt'!$A$5:$C$5808,3,FALSE)</f>
        <v>MGL</v>
      </c>
    </row>
    <row r="1687" spans="1:25" x14ac:dyDescent="0.3">
      <c r="A1687" s="8">
        <v>1681</v>
      </c>
      <c r="B1687" s="9" t="s">
        <v>13802</v>
      </c>
      <c r="C1687" s="10" t="str">
        <f>VLOOKUP(B1687,'Data Angt'!$A$5:$B$5809,2,FALSE)</f>
        <v>A4952</v>
      </c>
      <c r="D1687" s="11" t="s">
        <v>9845</v>
      </c>
      <c r="E1687" s="12" t="s">
        <v>17728</v>
      </c>
      <c r="F1687" s="13">
        <v>45729</v>
      </c>
      <c r="G1687" s="14">
        <v>45913</v>
      </c>
      <c r="H1687" s="15">
        <v>10000000</v>
      </c>
      <c r="I1687" s="16">
        <v>18</v>
      </c>
      <c r="J1687" s="17">
        <v>12</v>
      </c>
      <c r="K1687" s="9" t="s">
        <v>9831</v>
      </c>
      <c r="L1687" s="10" t="s">
        <v>17729</v>
      </c>
      <c r="M1687" s="9" t="s">
        <v>9846</v>
      </c>
      <c r="N1687" s="10" t="s">
        <v>17</v>
      </c>
      <c r="O1687" s="15">
        <v>6863300</v>
      </c>
      <c r="P1687" s="145">
        <v>196012</v>
      </c>
      <c r="Q1687" s="9" t="s">
        <v>23743</v>
      </c>
      <c r="R1687" s="146" t="s">
        <v>23806</v>
      </c>
      <c r="T1687" s="5" t="s">
        <v>7482</v>
      </c>
      <c r="U1687">
        <v>1</v>
      </c>
      <c r="V1687">
        <f>VLOOKUP(T1687,'Data Angt'!$A$5:$F$5810,6,FALSE)</f>
        <v>32</v>
      </c>
      <c r="W1687" s="5" t="str">
        <f t="shared" si="26"/>
        <v>KONSUMTIF</v>
      </c>
      <c r="X1687" s="5" t="str">
        <f>VLOOKUP(T1687,'Data Angt'!$A$5:$H$5810,8,FALSE)</f>
        <v>Wiraswasta</v>
      </c>
      <c r="Y1687" s="5" t="str">
        <f>VLOOKUP(T1687,'Data Angt'!$A$5:$C$5808,3,FALSE)</f>
        <v>MGL</v>
      </c>
    </row>
    <row r="1688" spans="1:25" x14ac:dyDescent="0.3">
      <c r="A1688" s="8">
        <v>1682</v>
      </c>
      <c r="B1688" s="9" t="s">
        <v>13803</v>
      </c>
      <c r="C1688" s="10" t="str">
        <f>VLOOKUP(B1688,'Data Angt'!$A$5:$B$5809,2,FALSE)</f>
        <v>A4953</v>
      </c>
      <c r="D1688" s="11" t="s">
        <v>9829</v>
      </c>
      <c r="E1688" s="12" t="s">
        <v>17730</v>
      </c>
      <c r="F1688" s="13">
        <v>45728</v>
      </c>
      <c r="G1688" s="14">
        <v>45912</v>
      </c>
      <c r="H1688" s="15">
        <v>1000000</v>
      </c>
      <c r="I1688" s="16">
        <v>10</v>
      </c>
      <c r="J1688" s="17">
        <v>24</v>
      </c>
      <c r="K1688" s="9" t="s">
        <v>9831</v>
      </c>
      <c r="L1688" s="10" t="s">
        <v>17731</v>
      </c>
      <c r="M1688" s="9" t="s">
        <v>16526</v>
      </c>
      <c r="N1688" s="10" t="s">
        <v>9828</v>
      </c>
      <c r="O1688" s="15">
        <v>423700</v>
      </c>
      <c r="P1688" s="145">
        <v>34536</v>
      </c>
      <c r="Q1688" s="9"/>
      <c r="R1688" s="146"/>
      <c r="T1688" s="5" t="s">
        <v>7623</v>
      </c>
      <c r="U1688">
        <v>1</v>
      </c>
      <c r="V1688">
        <f>VLOOKUP(T1688,'Data Angt'!$A$5:$F$5810,6,FALSE)</f>
        <v>46</v>
      </c>
      <c r="W1688" s="5" t="str">
        <f t="shared" si="26"/>
        <v>KONSUMTIF</v>
      </c>
      <c r="X1688" s="5" t="str">
        <f>VLOOKUP(T1688,'Data Angt'!$A$5:$H$5810,8,FALSE)</f>
        <v>Karyawan</v>
      </c>
      <c r="Y1688" s="5" t="str">
        <f>VLOOKUP(T1688,'Data Angt'!$A$5:$C$5808,3,FALSE)</f>
        <v>MGL</v>
      </c>
    </row>
    <row r="1689" spans="1:25" x14ac:dyDescent="0.3">
      <c r="A1689" s="8">
        <v>1683</v>
      </c>
      <c r="B1689" s="9" t="s">
        <v>14145</v>
      </c>
      <c r="C1689" s="10" t="str">
        <f>VLOOKUP(B1689,'Data Angt'!$A$5:$B$5809,2,FALSE)</f>
        <v>A5108</v>
      </c>
      <c r="D1689" s="11" t="s">
        <v>9829</v>
      </c>
      <c r="E1689" s="12" t="s">
        <v>23807</v>
      </c>
      <c r="F1689" s="13">
        <v>45841</v>
      </c>
      <c r="G1689" s="14">
        <v>45908</v>
      </c>
      <c r="H1689" s="15">
        <v>150000000</v>
      </c>
      <c r="I1689" s="16">
        <v>36</v>
      </c>
      <c r="J1689" s="17">
        <v>21</v>
      </c>
      <c r="K1689" s="9" t="s">
        <v>9831</v>
      </c>
      <c r="L1689" s="10" t="s">
        <v>23808</v>
      </c>
      <c r="M1689" s="9" t="s">
        <v>15774</v>
      </c>
      <c r="N1689" s="10" t="s">
        <v>9830</v>
      </c>
      <c r="O1689" s="15">
        <v>143894500</v>
      </c>
      <c r="P1689" s="145">
        <v>1948912</v>
      </c>
      <c r="Q1689" s="9" t="s">
        <v>22197</v>
      </c>
      <c r="R1689" s="146" t="s">
        <v>23809</v>
      </c>
      <c r="T1689" s="5" t="s">
        <v>7753</v>
      </c>
      <c r="U1689">
        <v>1</v>
      </c>
      <c r="V1689">
        <f>VLOOKUP(T1689,'Data Angt'!$A$5:$F$5810,6,FALSE)</f>
        <v>42</v>
      </c>
      <c r="W1689" s="5" t="str">
        <f t="shared" si="26"/>
        <v>KESEJAHTERAAN</v>
      </c>
      <c r="X1689" s="5" t="str">
        <f>VLOOKUP(T1689,'Data Angt'!$A$5:$H$5810,8,FALSE)</f>
        <v>Mengurus Rumah Tangga</v>
      </c>
      <c r="Y1689" s="5" t="str">
        <f>VLOOKUP(T1689,'Data Angt'!$A$5:$C$5808,3,FALSE)</f>
        <v>MGL</v>
      </c>
    </row>
    <row r="1690" spans="1:25" x14ac:dyDescent="0.3">
      <c r="A1690" s="8">
        <v>1684</v>
      </c>
      <c r="B1690" s="9" t="s">
        <v>14209</v>
      </c>
      <c r="C1690" s="10" t="str">
        <f>VLOOKUP(B1690,'Data Angt'!$A$5:$B$5809,2,FALSE)</f>
        <v>A5139</v>
      </c>
      <c r="D1690" s="11" t="s">
        <v>9829</v>
      </c>
      <c r="E1690" s="12" t="s">
        <v>17732</v>
      </c>
      <c r="F1690" s="13">
        <v>45759</v>
      </c>
      <c r="G1690" s="14">
        <v>45912</v>
      </c>
      <c r="H1690" s="15">
        <v>500000</v>
      </c>
      <c r="I1690" s="16">
        <v>5</v>
      </c>
      <c r="J1690" s="17">
        <v>24</v>
      </c>
      <c r="K1690" s="9" t="s">
        <v>9831</v>
      </c>
      <c r="L1690" s="10" t="s">
        <v>17733</v>
      </c>
      <c r="M1690" s="9" t="s">
        <v>17734</v>
      </c>
      <c r="N1690" s="10" t="s">
        <v>9828</v>
      </c>
      <c r="O1690" s="15">
        <v>106100</v>
      </c>
      <c r="P1690" s="145">
        <v>12262</v>
      </c>
      <c r="Q1690" s="9"/>
      <c r="R1690" s="146"/>
      <c r="T1690" s="5" t="s">
        <v>7828</v>
      </c>
      <c r="U1690">
        <v>1</v>
      </c>
      <c r="V1690">
        <f>VLOOKUP(T1690,'Data Angt'!$A$5:$F$5810,6,FALSE)</f>
        <v>33</v>
      </c>
      <c r="W1690" s="5" t="str">
        <f t="shared" si="26"/>
        <v>KESEHATAN</v>
      </c>
      <c r="X1690" s="5" t="str">
        <f>VLOOKUP(T1690,'Data Angt'!$A$5:$H$5810,8,FALSE)</f>
        <v>Karyawan</v>
      </c>
      <c r="Y1690" s="5" t="str">
        <f>VLOOKUP(T1690,'Data Angt'!$A$5:$C$5808,3,FALSE)</f>
        <v>MGL</v>
      </c>
    </row>
    <row r="1691" spans="1:25" x14ac:dyDescent="0.3">
      <c r="A1691" s="8">
        <v>1685</v>
      </c>
      <c r="B1691" s="9" t="s">
        <v>14254</v>
      </c>
      <c r="C1691" s="10" t="str">
        <f>VLOOKUP(B1691,'Data Angt'!$A$5:$B$5809,2,FALSE)</f>
        <v>A5161</v>
      </c>
      <c r="D1691" s="11" t="s">
        <v>9833</v>
      </c>
      <c r="E1691" s="12" t="s">
        <v>23810</v>
      </c>
      <c r="F1691" s="13">
        <v>45848</v>
      </c>
      <c r="G1691" s="14">
        <v>45910</v>
      </c>
      <c r="H1691" s="15">
        <v>3000000</v>
      </c>
      <c r="I1691" s="16">
        <v>6</v>
      </c>
      <c r="J1691" s="17">
        <v>24</v>
      </c>
      <c r="K1691" s="9" t="s">
        <v>9831</v>
      </c>
      <c r="L1691" s="10" t="s">
        <v>23811</v>
      </c>
      <c r="M1691" s="9" t="s">
        <v>9977</v>
      </c>
      <c r="N1691" s="10" t="s">
        <v>9834</v>
      </c>
      <c r="O1691" s="15">
        <v>2039300</v>
      </c>
      <c r="P1691" s="145">
        <v>41437</v>
      </c>
      <c r="Q1691" s="9"/>
      <c r="R1691" s="146"/>
      <c r="T1691" s="5" t="s">
        <v>8044</v>
      </c>
      <c r="U1691">
        <v>1</v>
      </c>
      <c r="V1691">
        <f>VLOOKUP(T1691,'Data Angt'!$A$5:$F$5810,6,FALSE)</f>
        <v>35</v>
      </c>
      <c r="W1691" s="5" t="str">
        <f t="shared" si="26"/>
        <v>KONSUMTIF</v>
      </c>
      <c r="X1691" s="5" t="str">
        <f>VLOOKUP(T1691,'Data Angt'!$A$5:$H$5810,8,FALSE)</f>
        <v>Lain-Lain</v>
      </c>
      <c r="Y1691" s="5" t="str">
        <f>VLOOKUP(T1691,'Data Angt'!$A$5:$C$5808,3,FALSE)</f>
        <v>MGL</v>
      </c>
    </row>
    <row r="1692" spans="1:25" x14ac:dyDescent="0.3">
      <c r="A1692" s="8">
        <v>1686</v>
      </c>
      <c r="B1692" s="9" t="s">
        <v>14371</v>
      </c>
      <c r="C1692" s="10" t="str">
        <f>VLOOKUP(B1692,'Data Angt'!$A$5:$B$5809,2,FALSE)</f>
        <v>A5181</v>
      </c>
      <c r="D1692" s="11" t="s">
        <v>9829</v>
      </c>
      <c r="E1692" s="12" t="s">
        <v>17735</v>
      </c>
      <c r="F1692" s="13">
        <v>45804</v>
      </c>
      <c r="G1692" s="14">
        <v>45923</v>
      </c>
      <c r="H1692" s="15">
        <v>10000000</v>
      </c>
      <c r="I1692" s="16">
        <v>10</v>
      </c>
      <c r="J1692" s="17">
        <v>24</v>
      </c>
      <c r="K1692" s="9" t="s">
        <v>9827</v>
      </c>
      <c r="L1692" s="10" t="s">
        <v>17736</v>
      </c>
      <c r="M1692" s="9" t="s">
        <v>10461</v>
      </c>
      <c r="N1692" s="10" t="s">
        <v>110</v>
      </c>
      <c r="O1692" s="15">
        <v>6000000</v>
      </c>
      <c r="P1692" s="145">
        <v>255000</v>
      </c>
      <c r="Q1692" s="9" t="s">
        <v>23743</v>
      </c>
      <c r="R1692" s="146" t="s">
        <v>23812</v>
      </c>
      <c r="T1692" s="5" t="s">
        <v>8156</v>
      </c>
      <c r="U1692">
        <v>1</v>
      </c>
      <c r="V1692">
        <f>VLOOKUP(T1692,'Data Angt'!$A$5:$F$5810,6,FALSE)</f>
        <v>50</v>
      </c>
      <c r="W1692" s="5" t="str">
        <f t="shared" si="26"/>
        <v>KESEJAHTERAAN</v>
      </c>
      <c r="X1692" s="5" t="str">
        <f>VLOOKUP(T1692,'Data Angt'!$A$5:$H$5810,8,FALSE)</f>
        <v>Karyawan</v>
      </c>
      <c r="Y1692" s="5" t="str">
        <f>VLOOKUP(T1692,'Data Angt'!$A$5:$C$5808,3,FALSE)</f>
        <v>MGL</v>
      </c>
    </row>
    <row r="1693" spans="1:25" x14ac:dyDescent="0.3">
      <c r="A1693" s="8">
        <v>1687</v>
      </c>
      <c r="B1693" s="9" t="s">
        <v>14411</v>
      </c>
      <c r="C1693" s="10" t="str">
        <f>VLOOKUP(B1693,'Data Angt'!$A$5:$B$5809,2,FALSE)</f>
        <v>A5198</v>
      </c>
      <c r="D1693" s="11" t="s">
        <v>9833</v>
      </c>
      <c r="E1693" s="12" t="s">
        <v>23813</v>
      </c>
      <c r="F1693" s="13">
        <v>45864</v>
      </c>
      <c r="G1693" s="14">
        <v>45925</v>
      </c>
      <c r="H1693" s="15">
        <v>1000000</v>
      </c>
      <c r="I1693" s="16">
        <v>3</v>
      </c>
      <c r="J1693" s="17">
        <v>24</v>
      </c>
      <c r="K1693" s="9" t="s">
        <v>9831</v>
      </c>
      <c r="L1693" s="10" t="s">
        <v>23814</v>
      </c>
      <c r="M1693" s="9" t="s">
        <v>17679</v>
      </c>
      <c r="N1693" s="10" t="s">
        <v>9834</v>
      </c>
      <c r="O1693" s="15">
        <v>339900</v>
      </c>
      <c r="P1693" s="145">
        <v>12562</v>
      </c>
      <c r="Q1693" s="9"/>
      <c r="R1693" s="146"/>
      <c r="T1693" s="5" t="s">
        <v>8191</v>
      </c>
      <c r="U1693">
        <v>1</v>
      </c>
      <c r="V1693">
        <f>VLOOKUP(T1693,'Data Angt'!$A$5:$F$5810,6,FALSE)</f>
        <v>49</v>
      </c>
      <c r="W1693" s="5" t="str">
        <f t="shared" si="26"/>
        <v>PRODUKTIF</v>
      </c>
      <c r="X1693" s="5" t="str">
        <f>VLOOKUP(T1693,'Data Angt'!$A$5:$H$5810,8,FALSE)</f>
        <v>Wiraswasta</v>
      </c>
      <c r="Y1693" s="5" t="str">
        <f>VLOOKUP(T1693,'Data Angt'!$A$5:$C$5808,3,FALSE)</f>
        <v>MGL</v>
      </c>
    </row>
    <row r="1694" spans="1:25" x14ac:dyDescent="0.3">
      <c r="A1694" s="8">
        <v>1688</v>
      </c>
      <c r="B1694" s="9" t="s">
        <v>14526</v>
      </c>
      <c r="C1694" s="10" t="str">
        <f>VLOOKUP(B1694,'Data Angt'!$A$5:$B$5809,2,FALSE)</f>
        <v>A5248</v>
      </c>
      <c r="D1694" s="11" t="s">
        <v>9833</v>
      </c>
      <c r="E1694" s="12" t="s">
        <v>23815</v>
      </c>
      <c r="F1694" s="13">
        <v>45852</v>
      </c>
      <c r="G1694" s="14">
        <v>45916</v>
      </c>
      <c r="H1694" s="15">
        <v>1000000</v>
      </c>
      <c r="I1694" s="16">
        <v>6</v>
      </c>
      <c r="J1694" s="17">
        <v>24</v>
      </c>
      <c r="K1694" s="9" t="s">
        <v>9831</v>
      </c>
      <c r="L1694" s="10" t="s">
        <v>23816</v>
      </c>
      <c r="M1694" s="9" t="s">
        <v>9977</v>
      </c>
      <c r="N1694" s="10" t="s">
        <v>9834</v>
      </c>
      <c r="O1694" s="15">
        <v>679700</v>
      </c>
      <c r="P1694" s="145">
        <v>13837</v>
      </c>
      <c r="Q1694" s="9"/>
      <c r="R1694" s="146"/>
      <c r="T1694" s="5" t="s">
        <v>8237</v>
      </c>
      <c r="U1694">
        <v>1</v>
      </c>
      <c r="V1694">
        <f>VLOOKUP(T1694,'Data Angt'!$A$5:$F$5810,6,FALSE)</f>
        <v>40</v>
      </c>
      <c r="W1694" s="5" t="str">
        <f t="shared" si="26"/>
        <v>KONSUMTIF</v>
      </c>
      <c r="X1694" s="5" t="str">
        <f>VLOOKUP(T1694,'Data Angt'!$A$5:$H$5810,8,FALSE)</f>
        <v>Wiraswasta</v>
      </c>
      <c r="Y1694" s="5" t="str">
        <f>VLOOKUP(T1694,'Data Angt'!$A$5:$C$5808,3,FALSE)</f>
        <v>MGL</v>
      </c>
    </row>
    <row r="1695" spans="1:25" x14ac:dyDescent="0.3">
      <c r="A1695" s="8">
        <v>1689</v>
      </c>
      <c r="B1695" s="9" t="s">
        <v>14551</v>
      </c>
      <c r="C1695" s="10" t="str">
        <f>VLOOKUP(B1695,'Data Angt'!$A$5:$B$5809,2,FALSE)</f>
        <v>A5258</v>
      </c>
      <c r="D1695" s="11" t="s">
        <v>9833</v>
      </c>
      <c r="E1695" s="12" t="s">
        <v>17737</v>
      </c>
      <c r="F1695" s="13">
        <v>45791</v>
      </c>
      <c r="G1695" s="14">
        <v>45916</v>
      </c>
      <c r="H1695" s="15">
        <v>25000000</v>
      </c>
      <c r="I1695" s="16">
        <v>20</v>
      </c>
      <c r="J1695" s="17">
        <v>21</v>
      </c>
      <c r="K1695" s="9" t="s">
        <v>9831</v>
      </c>
      <c r="L1695" s="10" t="s">
        <v>17738</v>
      </c>
      <c r="M1695" s="9" t="s">
        <v>17739</v>
      </c>
      <c r="N1695" s="10" t="s">
        <v>9834</v>
      </c>
      <c r="O1695" s="15">
        <v>20668900</v>
      </c>
      <c r="P1695" s="145">
        <v>614286</v>
      </c>
      <c r="Q1695" s="9" t="s">
        <v>22197</v>
      </c>
      <c r="R1695" s="146" t="s">
        <v>23817</v>
      </c>
      <c r="T1695" s="5" t="s">
        <v>8309</v>
      </c>
      <c r="U1695">
        <v>1</v>
      </c>
      <c r="V1695">
        <f>VLOOKUP(T1695,'Data Angt'!$A$5:$F$5810,6,FALSE)</f>
        <v>37</v>
      </c>
      <c r="W1695" s="5" t="str">
        <f t="shared" si="26"/>
        <v>PENDIDIKAN</v>
      </c>
      <c r="X1695" s="5" t="str">
        <f>VLOOKUP(T1695,'Data Angt'!$A$5:$H$5810,8,FALSE)</f>
        <v>Karyawan</v>
      </c>
      <c r="Y1695" s="5" t="str">
        <f>VLOOKUP(T1695,'Data Angt'!$A$5:$C$5808,3,FALSE)</f>
        <v>MGL</v>
      </c>
    </row>
    <row r="1696" spans="1:25" x14ac:dyDescent="0.3">
      <c r="A1696" s="8">
        <v>1690</v>
      </c>
      <c r="B1696" s="9" t="s">
        <v>14620</v>
      </c>
      <c r="C1696" s="10" t="str">
        <f>VLOOKUP(B1696,'Data Angt'!$A$5:$B$5809,2,FALSE)</f>
        <v>A5287</v>
      </c>
      <c r="D1696" s="11" t="s">
        <v>9881</v>
      </c>
      <c r="E1696" s="12" t="s">
        <v>17740</v>
      </c>
      <c r="F1696" s="13">
        <v>45713</v>
      </c>
      <c r="G1696" s="14">
        <v>45923</v>
      </c>
      <c r="H1696" s="15">
        <v>2600000</v>
      </c>
      <c r="I1696" s="16">
        <v>12</v>
      </c>
      <c r="J1696" s="17">
        <v>12</v>
      </c>
      <c r="K1696" s="9" t="s">
        <v>9831</v>
      </c>
      <c r="L1696" s="10" t="s">
        <v>17741</v>
      </c>
      <c r="M1696" s="9" t="s">
        <v>9835</v>
      </c>
      <c r="N1696" s="10" t="s">
        <v>9828</v>
      </c>
      <c r="O1696" s="15">
        <v>1120700</v>
      </c>
      <c r="P1696" s="145">
        <v>51899</v>
      </c>
      <c r="Q1696" s="9"/>
      <c r="R1696" s="146"/>
      <c r="T1696" s="5" t="s">
        <v>8379</v>
      </c>
      <c r="U1696">
        <v>1</v>
      </c>
      <c r="V1696">
        <f>VLOOKUP(T1696,'Data Angt'!$A$5:$F$5810,6,FALSE)</f>
        <v>36</v>
      </c>
      <c r="W1696" s="5" t="str">
        <f t="shared" si="26"/>
        <v>PRODUKTIF</v>
      </c>
      <c r="X1696" s="5" t="str">
        <f>VLOOKUP(T1696,'Data Angt'!$A$5:$H$5810,8,FALSE)</f>
        <v>Wiraswasta</v>
      </c>
      <c r="Y1696" s="5" t="str">
        <f>VLOOKUP(T1696,'Data Angt'!$A$5:$C$5808,3,FALSE)</f>
        <v>MGL</v>
      </c>
    </row>
    <row r="1697" spans="1:25" x14ac:dyDescent="0.3">
      <c r="A1697" s="8">
        <v>1691</v>
      </c>
      <c r="B1697" s="9" t="s">
        <v>14657</v>
      </c>
      <c r="C1697" s="10" t="str">
        <f>VLOOKUP(B1697,'Data Angt'!$A$5:$B$5809,2,FALSE)</f>
        <v>A5303</v>
      </c>
      <c r="D1697" s="11" t="s">
        <v>9833</v>
      </c>
      <c r="E1697" s="12" t="s">
        <v>23818</v>
      </c>
      <c r="F1697" s="13">
        <v>45889</v>
      </c>
      <c r="G1697" s="14">
        <v>45920</v>
      </c>
      <c r="H1697" s="15">
        <v>1500000</v>
      </c>
      <c r="I1697" s="16">
        <v>5</v>
      </c>
      <c r="J1697" s="17">
        <v>24</v>
      </c>
      <c r="K1697" s="9" t="s">
        <v>9831</v>
      </c>
      <c r="L1697" s="10" t="s">
        <v>23819</v>
      </c>
      <c r="M1697" s="9" t="s">
        <v>9885</v>
      </c>
      <c r="N1697" s="10" t="s">
        <v>9834</v>
      </c>
      <c r="O1697" s="15">
        <v>1211700</v>
      </c>
      <c r="P1697" s="145">
        <v>11250</v>
      </c>
      <c r="Q1697" s="9"/>
      <c r="R1697" s="146"/>
      <c r="T1697" s="5" t="s">
        <v>8439</v>
      </c>
      <c r="U1697">
        <v>1</v>
      </c>
      <c r="V1697">
        <f>VLOOKUP(T1697,'Data Angt'!$A$5:$F$5810,6,FALSE)</f>
        <v>62</v>
      </c>
      <c r="W1697" s="5" t="str">
        <f t="shared" si="26"/>
        <v>PRODUKTIF</v>
      </c>
      <c r="X1697" s="5" t="str">
        <f>VLOOKUP(T1697,'Data Angt'!$A$5:$H$5810,8,FALSE)</f>
        <v>Pensiunan</v>
      </c>
      <c r="Y1697" s="5" t="str">
        <f>VLOOKUP(T1697,'Data Angt'!$A$5:$C$5808,3,FALSE)</f>
        <v>MGL</v>
      </c>
    </row>
    <row r="1698" spans="1:25" x14ac:dyDescent="0.3">
      <c r="A1698" s="8">
        <v>1692</v>
      </c>
      <c r="B1698" s="9" t="s">
        <v>14694</v>
      </c>
      <c r="C1698" s="10" t="str">
        <f>VLOOKUP(B1698,'Data Angt'!$A$5:$B$5809,2,FALSE)</f>
        <v>A5319</v>
      </c>
      <c r="D1698" s="11" t="s">
        <v>9833</v>
      </c>
      <c r="E1698" s="12" t="s">
        <v>23820</v>
      </c>
      <c r="F1698" s="13">
        <v>45864</v>
      </c>
      <c r="G1698" s="14">
        <v>45930</v>
      </c>
      <c r="H1698" s="15">
        <v>1500000</v>
      </c>
      <c r="I1698" s="16">
        <v>5</v>
      </c>
      <c r="J1698" s="17">
        <v>24</v>
      </c>
      <c r="K1698" s="9" t="s">
        <v>9831</v>
      </c>
      <c r="L1698" s="10" t="s">
        <v>23821</v>
      </c>
      <c r="M1698" s="9" t="s">
        <v>9862</v>
      </c>
      <c r="N1698" s="10" t="s">
        <v>9834</v>
      </c>
      <c r="O1698" s="15">
        <v>917700</v>
      </c>
      <c r="P1698" s="145">
        <v>20362</v>
      </c>
      <c r="Q1698" s="9"/>
      <c r="R1698" s="146"/>
      <c r="T1698" s="5" t="s">
        <v>8446</v>
      </c>
      <c r="U1698">
        <v>1</v>
      </c>
      <c r="V1698">
        <f>VLOOKUP(T1698,'Data Angt'!$A$5:$F$5810,6,FALSE)</f>
        <v>36</v>
      </c>
      <c r="W1698" s="5" t="str">
        <f t="shared" si="26"/>
        <v>PRODUKTIF</v>
      </c>
      <c r="X1698" s="5" t="str">
        <f>VLOOKUP(T1698,'Data Angt'!$A$5:$H$5810,8,FALSE)</f>
        <v>Karyawan</v>
      </c>
      <c r="Y1698" s="5" t="str">
        <f>VLOOKUP(T1698,'Data Angt'!$A$5:$C$5808,3,FALSE)</f>
        <v>MGL</v>
      </c>
    </row>
    <row r="1699" spans="1:25" x14ac:dyDescent="0.3">
      <c r="A1699" s="8">
        <v>1693</v>
      </c>
      <c r="B1699" s="9" t="s">
        <v>14696</v>
      </c>
      <c r="C1699" s="10" t="str">
        <f>VLOOKUP(B1699,'Data Angt'!$A$5:$B$5809,2,FALSE)</f>
        <v>A5320</v>
      </c>
      <c r="D1699" s="11" t="s">
        <v>9833</v>
      </c>
      <c r="E1699" s="12" t="s">
        <v>23822</v>
      </c>
      <c r="F1699" s="13">
        <v>45929</v>
      </c>
      <c r="G1699" s="14">
        <v>45929</v>
      </c>
      <c r="H1699" s="15">
        <v>1300000</v>
      </c>
      <c r="I1699" s="16">
        <v>7</v>
      </c>
      <c r="J1699" s="17">
        <v>24</v>
      </c>
      <c r="K1699" s="9" t="s">
        <v>9831</v>
      </c>
      <c r="L1699" s="10" t="s">
        <v>23823</v>
      </c>
      <c r="M1699" s="9" t="s">
        <v>9885</v>
      </c>
      <c r="N1699" s="10" t="s">
        <v>9834</v>
      </c>
      <c r="O1699" s="15">
        <v>1300000</v>
      </c>
      <c r="P1699" s="147">
        <v>0</v>
      </c>
      <c r="Q1699" s="9"/>
      <c r="R1699" s="146"/>
      <c r="T1699" s="5" t="s">
        <v>8448</v>
      </c>
      <c r="U1699">
        <v>1</v>
      </c>
      <c r="V1699">
        <f>VLOOKUP(T1699,'Data Angt'!$A$5:$F$5810,6,FALSE)</f>
        <v>42</v>
      </c>
      <c r="W1699" s="5" t="str">
        <f t="shared" si="26"/>
        <v>PRODUKTIF</v>
      </c>
      <c r="X1699" s="5" t="str">
        <f>VLOOKUP(T1699,'Data Angt'!$A$5:$H$5810,8,FALSE)</f>
        <v>Karyawan</v>
      </c>
      <c r="Y1699" s="5" t="str">
        <f>VLOOKUP(T1699,'Data Angt'!$A$5:$C$5808,3,FALSE)</f>
        <v>MGL</v>
      </c>
    </row>
    <row r="1700" spans="1:25" x14ac:dyDescent="0.3">
      <c r="A1700" s="8">
        <v>1694</v>
      </c>
      <c r="B1700" s="9" t="s">
        <v>14717</v>
      </c>
      <c r="C1700" s="10" t="str">
        <f>VLOOKUP(B1700,'Data Angt'!$A$5:$B$5809,2,FALSE)</f>
        <v>A5328</v>
      </c>
      <c r="D1700" s="11" t="s">
        <v>9833</v>
      </c>
      <c r="E1700" s="12" t="s">
        <v>17742</v>
      </c>
      <c r="F1700" s="13">
        <v>45707</v>
      </c>
      <c r="G1700" s="14">
        <v>45919</v>
      </c>
      <c r="H1700" s="15">
        <v>3000000</v>
      </c>
      <c r="I1700" s="16">
        <v>12</v>
      </c>
      <c r="J1700" s="17">
        <v>24</v>
      </c>
      <c r="K1700" s="9" t="s">
        <v>9831</v>
      </c>
      <c r="L1700" s="10" t="s">
        <v>17743</v>
      </c>
      <c r="M1700" s="9" t="s">
        <v>9862</v>
      </c>
      <c r="N1700" s="10" t="s">
        <v>9834</v>
      </c>
      <c r="O1700" s="15">
        <v>1589200</v>
      </c>
      <c r="P1700" s="145">
        <v>121200</v>
      </c>
      <c r="Q1700" s="9" t="s">
        <v>23743</v>
      </c>
      <c r="R1700" s="146" t="s">
        <v>23824</v>
      </c>
      <c r="T1700" s="5" t="s">
        <v>8453</v>
      </c>
      <c r="U1700">
        <v>1</v>
      </c>
      <c r="V1700">
        <f>VLOOKUP(T1700,'Data Angt'!$A$5:$F$5810,6,FALSE)</f>
        <v>47</v>
      </c>
      <c r="W1700" s="5" t="str">
        <f t="shared" si="26"/>
        <v>KONSUMTIF</v>
      </c>
      <c r="X1700" s="5" t="str">
        <f>VLOOKUP(T1700,'Data Angt'!$A$5:$H$5810,8,FALSE)</f>
        <v>Karyawan</v>
      </c>
      <c r="Y1700" s="5" t="str">
        <f>VLOOKUP(T1700,'Data Angt'!$A$5:$C$5808,3,FALSE)</f>
        <v>MGL</v>
      </c>
    </row>
    <row r="1701" spans="1:25" x14ac:dyDescent="0.3">
      <c r="A1701" s="8">
        <v>1695</v>
      </c>
      <c r="B1701" s="9" t="s">
        <v>14738</v>
      </c>
      <c r="C1701" s="10" t="str">
        <f>VLOOKUP(B1701,'Data Angt'!$A$5:$B$5809,2,FALSE)</f>
        <v>A5338</v>
      </c>
      <c r="D1701" s="11" t="s">
        <v>9829</v>
      </c>
      <c r="E1701" s="12" t="s">
        <v>23825</v>
      </c>
      <c r="F1701" s="13">
        <v>45885</v>
      </c>
      <c r="G1701" s="14">
        <v>45913</v>
      </c>
      <c r="H1701" s="15">
        <v>1500000</v>
      </c>
      <c r="I1701" s="16">
        <v>5</v>
      </c>
      <c r="J1701" s="17">
        <v>24</v>
      </c>
      <c r="K1701" s="9" t="s">
        <v>9831</v>
      </c>
      <c r="L1701" s="10" t="s">
        <v>23826</v>
      </c>
      <c r="M1701" s="9" t="s">
        <v>9854</v>
      </c>
      <c r="N1701" s="10" t="s">
        <v>17</v>
      </c>
      <c r="O1701" s="15">
        <v>1211700</v>
      </c>
      <c r="P1701" s="145">
        <v>11250</v>
      </c>
      <c r="Q1701" s="9"/>
      <c r="R1701" s="146"/>
      <c r="T1701" s="5" t="s">
        <v>8488</v>
      </c>
      <c r="U1701">
        <v>1</v>
      </c>
      <c r="V1701">
        <f>VLOOKUP(T1701,'Data Angt'!$A$5:$F$5810,6,FALSE)</f>
        <v>45</v>
      </c>
      <c r="W1701" s="5" t="str">
        <f t="shared" si="26"/>
        <v>PRODUKTIF</v>
      </c>
      <c r="X1701" s="5" t="str">
        <f>VLOOKUP(T1701,'Data Angt'!$A$5:$H$5810,8,FALSE)</f>
        <v>Lain-Lain</v>
      </c>
      <c r="Y1701" s="5" t="str">
        <f>VLOOKUP(T1701,'Data Angt'!$A$5:$C$5808,3,FALSE)</f>
        <v>MGL</v>
      </c>
    </row>
    <row r="1702" spans="1:25" x14ac:dyDescent="0.3">
      <c r="A1702" s="8">
        <v>1696</v>
      </c>
      <c r="B1702" s="9" t="s">
        <v>14779</v>
      </c>
      <c r="C1702" s="10" t="str">
        <f>VLOOKUP(B1702,'Data Angt'!$A$5:$B$5809,2,FALSE)</f>
        <v>A5357</v>
      </c>
      <c r="D1702" s="11" t="s">
        <v>9833</v>
      </c>
      <c r="E1702" s="12" t="s">
        <v>17744</v>
      </c>
      <c r="F1702" s="13">
        <v>45710</v>
      </c>
      <c r="G1702" s="14">
        <v>45922</v>
      </c>
      <c r="H1702" s="15">
        <v>1000000</v>
      </c>
      <c r="I1702" s="16">
        <v>10</v>
      </c>
      <c r="J1702" s="17">
        <v>24</v>
      </c>
      <c r="K1702" s="9" t="s">
        <v>9831</v>
      </c>
      <c r="L1702" s="10" t="s">
        <v>17745</v>
      </c>
      <c r="M1702" s="9" t="s">
        <v>17746</v>
      </c>
      <c r="N1702" s="10" t="s">
        <v>9834</v>
      </c>
      <c r="O1702" s="15">
        <v>320800</v>
      </c>
      <c r="P1702" s="145">
        <v>37723</v>
      </c>
      <c r="Q1702" s="9"/>
      <c r="R1702" s="146"/>
      <c r="T1702" s="5" t="s">
        <v>8511</v>
      </c>
      <c r="U1702">
        <v>1</v>
      </c>
      <c r="V1702">
        <f>VLOOKUP(T1702,'Data Angt'!$A$5:$F$5810,6,FALSE)</f>
        <v>27</v>
      </c>
      <c r="W1702" s="5" t="str">
        <f t="shared" si="26"/>
        <v>KESEJAHTERAAN</v>
      </c>
      <c r="X1702" s="5" t="str">
        <f>VLOOKUP(T1702,'Data Angt'!$A$5:$H$5810,8,FALSE)</f>
        <v>Karyawan</v>
      </c>
      <c r="Y1702" s="5" t="str">
        <f>VLOOKUP(T1702,'Data Angt'!$A$5:$C$5808,3,FALSE)</f>
        <v>MGL</v>
      </c>
    </row>
    <row r="1703" spans="1:25" x14ac:dyDescent="0.3">
      <c r="A1703" s="8">
        <v>1697</v>
      </c>
      <c r="B1703" s="9" t="s">
        <v>14783</v>
      </c>
      <c r="C1703" s="10" t="str">
        <f>VLOOKUP(B1703,'Data Angt'!$A$5:$B$5809,2,FALSE)</f>
        <v>A5358</v>
      </c>
      <c r="D1703" s="11" t="s">
        <v>9833</v>
      </c>
      <c r="E1703" s="12" t="s">
        <v>17747</v>
      </c>
      <c r="F1703" s="13">
        <v>45710</v>
      </c>
      <c r="G1703" s="14">
        <v>45891</v>
      </c>
      <c r="H1703" s="15">
        <v>1000000</v>
      </c>
      <c r="I1703" s="16">
        <v>10</v>
      </c>
      <c r="J1703" s="17">
        <v>24</v>
      </c>
      <c r="K1703" s="9" t="s">
        <v>9831</v>
      </c>
      <c r="L1703" s="10" t="s">
        <v>17748</v>
      </c>
      <c r="M1703" s="9" t="s">
        <v>17749</v>
      </c>
      <c r="N1703" s="10" t="s">
        <v>9834</v>
      </c>
      <c r="O1703" s="15">
        <v>423700</v>
      </c>
      <c r="P1703" s="145">
        <v>34536</v>
      </c>
      <c r="Q1703" s="9"/>
      <c r="R1703" s="146"/>
      <c r="T1703" s="5" t="s">
        <v>8552</v>
      </c>
      <c r="U1703">
        <v>1</v>
      </c>
      <c r="V1703">
        <f>VLOOKUP(T1703,'Data Angt'!$A$5:$F$5810,6,FALSE)</f>
        <v>36</v>
      </c>
      <c r="W1703" s="5" t="str">
        <f t="shared" si="26"/>
        <v>KESEJAHTERAAN</v>
      </c>
      <c r="X1703" s="5" t="str">
        <f>VLOOKUP(T1703,'Data Angt'!$A$5:$H$5810,8,FALSE)</f>
        <v>Lain-Lain</v>
      </c>
      <c r="Y1703" s="5" t="str">
        <f>VLOOKUP(T1703,'Data Angt'!$A$5:$C$5808,3,FALSE)</f>
        <v>MGL</v>
      </c>
    </row>
    <row r="1704" spans="1:25" x14ac:dyDescent="0.3">
      <c r="A1704" s="8">
        <v>1698</v>
      </c>
      <c r="B1704" s="9" t="s">
        <v>14785</v>
      </c>
      <c r="C1704" s="10" t="str">
        <f>VLOOKUP(B1704,'Data Angt'!$A$5:$B$5809,2,FALSE)</f>
        <v>A5359</v>
      </c>
      <c r="D1704" s="11" t="s">
        <v>9833</v>
      </c>
      <c r="E1704" s="12" t="s">
        <v>17750</v>
      </c>
      <c r="F1704" s="13">
        <v>45710</v>
      </c>
      <c r="G1704" s="14">
        <v>45922</v>
      </c>
      <c r="H1704" s="15">
        <v>1000000</v>
      </c>
      <c r="I1704" s="16">
        <v>10</v>
      </c>
      <c r="J1704" s="17">
        <v>24</v>
      </c>
      <c r="K1704" s="9" t="s">
        <v>9831</v>
      </c>
      <c r="L1704" s="10" t="s">
        <v>17751</v>
      </c>
      <c r="M1704" s="9" t="s">
        <v>9862</v>
      </c>
      <c r="N1704" s="10" t="s">
        <v>9834</v>
      </c>
      <c r="O1704" s="15">
        <v>320800</v>
      </c>
      <c r="P1704" s="145">
        <v>37723</v>
      </c>
      <c r="Q1704" s="9"/>
      <c r="R1704" s="146"/>
      <c r="T1704" s="5" t="s">
        <v>8642</v>
      </c>
      <c r="U1704">
        <v>1</v>
      </c>
      <c r="V1704">
        <f>VLOOKUP(T1704,'Data Angt'!$A$5:$F$5810,6,FALSE)</f>
        <v>48</v>
      </c>
      <c r="W1704" s="5" t="str">
        <f t="shared" si="26"/>
        <v>PENDIDIKAN</v>
      </c>
      <c r="X1704" s="5" t="str">
        <f>VLOOKUP(T1704,'Data Angt'!$A$5:$H$5810,8,FALSE)</f>
        <v>Mengurus Rumah Tangga</v>
      </c>
      <c r="Y1704" s="5" t="str">
        <f>VLOOKUP(T1704,'Data Angt'!$A$5:$C$5808,3,FALSE)</f>
        <v>MGL</v>
      </c>
    </row>
    <row r="1705" spans="1:25" x14ac:dyDescent="0.3">
      <c r="A1705" s="8">
        <v>1699</v>
      </c>
      <c r="B1705" s="9" t="s">
        <v>14792</v>
      </c>
      <c r="C1705" s="10" t="str">
        <f>VLOOKUP(B1705,'Data Angt'!$A$5:$B$5809,2,FALSE)</f>
        <v>A5362</v>
      </c>
      <c r="D1705" s="11" t="s">
        <v>9833</v>
      </c>
      <c r="E1705" s="12" t="s">
        <v>17752</v>
      </c>
      <c r="F1705" s="13">
        <v>45710</v>
      </c>
      <c r="G1705" s="14">
        <v>45922</v>
      </c>
      <c r="H1705" s="15">
        <v>1000000</v>
      </c>
      <c r="I1705" s="16">
        <v>10</v>
      </c>
      <c r="J1705" s="17">
        <v>24</v>
      </c>
      <c r="K1705" s="9" t="s">
        <v>9831</v>
      </c>
      <c r="L1705" s="10" t="s">
        <v>17753</v>
      </c>
      <c r="M1705" s="9" t="s">
        <v>9862</v>
      </c>
      <c r="N1705" s="10" t="s">
        <v>9834</v>
      </c>
      <c r="O1705" s="15">
        <v>320800</v>
      </c>
      <c r="P1705" s="145">
        <v>37723</v>
      </c>
      <c r="Q1705" s="9"/>
      <c r="R1705" s="146"/>
      <c r="T1705" s="5" t="s">
        <v>8650</v>
      </c>
      <c r="U1705">
        <v>1</v>
      </c>
      <c r="V1705">
        <f>VLOOKUP(T1705,'Data Angt'!$A$5:$F$5810,6,FALSE)</f>
        <v>43</v>
      </c>
      <c r="W1705" s="5" t="str">
        <f t="shared" si="26"/>
        <v>PRODUKTIF</v>
      </c>
      <c r="X1705" s="5" t="str">
        <f>VLOOKUP(T1705,'Data Angt'!$A$5:$H$5810,8,FALSE)</f>
        <v>Karyawan</v>
      </c>
      <c r="Y1705" s="5" t="str">
        <f>VLOOKUP(T1705,'Data Angt'!$A$5:$C$5808,3,FALSE)</f>
        <v>MGL</v>
      </c>
    </row>
    <row r="1706" spans="1:25" x14ac:dyDescent="0.3">
      <c r="A1706" s="8">
        <v>1700</v>
      </c>
      <c r="B1706" s="9" t="s">
        <v>14796</v>
      </c>
      <c r="C1706" s="10" t="str">
        <f>VLOOKUP(B1706,'Data Angt'!$A$5:$B$5809,2,FALSE)</f>
        <v>A5364</v>
      </c>
      <c r="D1706" s="11" t="s">
        <v>9833</v>
      </c>
      <c r="E1706" s="12" t="s">
        <v>17754</v>
      </c>
      <c r="F1706" s="13">
        <v>45710</v>
      </c>
      <c r="G1706" s="14">
        <v>45922</v>
      </c>
      <c r="H1706" s="15">
        <v>1000000</v>
      </c>
      <c r="I1706" s="16">
        <v>10</v>
      </c>
      <c r="J1706" s="17">
        <v>24</v>
      </c>
      <c r="K1706" s="9" t="s">
        <v>9831</v>
      </c>
      <c r="L1706" s="10" t="s">
        <v>17755</v>
      </c>
      <c r="M1706" s="9" t="s">
        <v>17756</v>
      </c>
      <c r="N1706" s="10" t="s">
        <v>9834</v>
      </c>
      <c r="O1706" s="15">
        <v>320800</v>
      </c>
      <c r="P1706" s="145">
        <v>37723</v>
      </c>
      <c r="Q1706" s="9"/>
      <c r="R1706" s="146"/>
      <c r="T1706" s="5" t="s">
        <v>8699</v>
      </c>
      <c r="U1706">
        <v>1</v>
      </c>
      <c r="V1706">
        <f>VLOOKUP(T1706,'Data Angt'!$A$5:$F$5810,6,FALSE)</f>
        <v>30</v>
      </c>
      <c r="W1706" s="5" t="str">
        <f t="shared" si="26"/>
        <v>PRODUKTIF</v>
      </c>
      <c r="X1706" s="5" t="str">
        <f>VLOOKUP(T1706,'Data Angt'!$A$5:$H$5810,8,FALSE)</f>
        <v>Lain-Lain</v>
      </c>
      <c r="Y1706" s="5" t="str">
        <f>VLOOKUP(T1706,'Data Angt'!$A$5:$C$5808,3,FALSE)</f>
        <v>MGL</v>
      </c>
    </row>
    <row r="1707" spans="1:25" x14ac:dyDescent="0.3">
      <c r="A1707" s="8">
        <v>1701</v>
      </c>
      <c r="B1707" s="9" t="s">
        <v>15043</v>
      </c>
      <c r="C1707" s="10" t="str">
        <f>VLOOKUP(B1707,'Data Angt'!$A$5:$B$5809,2,FALSE)</f>
        <v>A5479</v>
      </c>
      <c r="D1707" s="11" t="s">
        <v>9833</v>
      </c>
      <c r="E1707" s="12" t="s">
        <v>23827</v>
      </c>
      <c r="F1707" s="13">
        <v>45876</v>
      </c>
      <c r="G1707" s="14">
        <v>45909</v>
      </c>
      <c r="H1707" s="15">
        <v>300000</v>
      </c>
      <c r="I1707" s="16">
        <v>3</v>
      </c>
      <c r="J1707" s="17">
        <v>24</v>
      </c>
      <c r="K1707" s="9" t="s">
        <v>9831</v>
      </c>
      <c r="L1707" s="10" t="s">
        <v>23828</v>
      </c>
      <c r="M1707" s="9" t="s">
        <v>9885</v>
      </c>
      <c r="N1707" s="10" t="s">
        <v>9834</v>
      </c>
      <c r="O1707" s="15">
        <v>201900</v>
      </c>
      <c r="P1707" s="145">
        <v>2250</v>
      </c>
      <c r="Q1707" s="9"/>
      <c r="R1707" s="146"/>
      <c r="T1707" s="5" t="s">
        <v>8750</v>
      </c>
      <c r="U1707">
        <v>1</v>
      </c>
      <c r="V1707">
        <f>VLOOKUP(T1707,'Data Angt'!$A$5:$F$5810,6,FALSE)</f>
        <v>32</v>
      </c>
      <c r="W1707" s="5" t="str">
        <f t="shared" si="26"/>
        <v>PRODUKTIF</v>
      </c>
      <c r="X1707" s="5" t="str">
        <f>VLOOKUP(T1707,'Data Angt'!$A$5:$H$5810,8,FALSE)</f>
        <v>Wiraswasta</v>
      </c>
      <c r="Y1707" s="5" t="str">
        <f>VLOOKUP(T1707,'Data Angt'!$A$5:$C$5808,3,FALSE)</f>
        <v>MGL</v>
      </c>
    </row>
    <row r="1708" spans="1:25" x14ac:dyDescent="0.3">
      <c r="A1708" s="8">
        <v>1702</v>
      </c>
      <c r="B1708" s="9" t="s">
        <v>15261</v>
      </c>
      <c r="C1708" s="10" t="str">
        <f>VLOOKUP(B1708,'Data Angt'!$A$5:$B$5809,2,FALSE)</f>
        <v>A5576</v>
      </c>
      <c r="D1708" s="11" t="s">
        <v>9829</v>
      </c>
      <c r="E1708" s="12" t="s">
        <v>17757</v>
      </c>
      <c r="F1708" s="13">
        <v>45825</v>
      </c>
      <c r="G1708" s="14">
        <v>45904</v>
      </c>
      <c r="H1708" s="15">
        <v>5000000</v>
      </c>
      <c r="I1708" s="16">
        <v>12</v>
      </c>
      <c r="J1708" s="17">
        <v>24</v>
      </c>
      <c r="K1708" s="9" t="s">
        <v>9831</v>
      </c>
      <c r="L1708" s="10" t="s">
        <v>17758</v>
      </c>
      <c r="M1708" s="9" t="s">
        <v>17759</v>
      </c>
      <c r="N1708" s="10" t="s">
        <v>9828</v>
      </c>
      <c r="O1708" s="15">
        <v>3859200</v>
      </c>
      <c r="P1708" s="145">
        <v>104100</v>
      </c>
      <c r="Q1708" s="9"/>
      <c r="R1708" s="146"/>
      <c r="T1708" s="5" t="s">
        <v>8760</v>
      </c>
      <c r="U1708">
        <v>1</v>
      </c>
      <c r="V1708">
        <f>VLOOKUP(T1708,'Data Angt'!$A$5:$F$5810,6,FALSE)</f>
        <v>49</v>
      </c>
      <c r="W1708" s="5" t="str">
        <f t="shared" si="26"/>
        <v>KONSUMTIF</v>
      </c>
      <c r="X1708" s="5" t="str">
        <f>VLOOKUP(T1708,'Data Angt'!$A$5:$H$5810,8,FALSE)</f>
        <v>Wiraswasta</v>
      </c>
      <c r="Y1708" s="5" t="str">
        <f>VLOOKUP(T1708,'Data Angt'!$A$5:$C$5808,3,FALSE)</f>
        <v>MGL</v>
      </c>
    </row>
    <row r="1709" spans="1:25" x14ac:dyDescent="0.3">
      <c r="A1709" s="8">
        <v>1703</v>
      </c>
      <c r="B1709" s="9" t="s">
        <v>15276</v>
      </c>
      <c r="C1709" s="10" t="str">
        <f>VLOOKUP(B1709,'Data Angt'!$A$5:$B$5809,2,FALSE)</f>
        <v>A5586</v>
      </c>
      <c r="D1709" s="11" t="s">
        <v>9829</v>
      </c>
      <c r="E1709" s="12" t="s">
        <v>23829</v>
      </c>
      <c r="F1709" s="13">
        <v>45870</v>
      </c>
      <c r="G1709" s="14">
        <v>45901</v>
      </c>
      <c r="H1709" s="15">
        <v>2500000</v>
      </c>
      <c r="I1709" s="16">
        <v>18</v>
      </c>
      <c r="J1709" s="17">
        <v>24</v>
      </c>
      <c r="K1709" s="9" t="s">
        <v>9827</v>
      </c>
      <c r="L1709" s="10" t="s">
        <v>23830</v>
      </c>
      <c r="M1709" s="9" t="s">
        <v>9854</v>
      </c>
      <c r="N1709" s="10" t="s">
        <v>17</v>
      </c>
      <c r="O1709" s="15">
        <v>2361100</v>
      </c>
      <c r="P1709" s="145">
        <v>18750</v>
      </c>
      <c r="Q1709" s="9"/>
      <c r="R1709" s="146"/>
      <c r="T1709" s="5" t="s">
        <v>8851</v>
      </c>
      <c r="U1709">
        <v>1</v>
      </c>
      <c r="V1709">
        <f>VLOOKUP(T1709,'Data Angt'!$A$5:$F$5810,6,FALSE)</f>
        <v>47</v>
      </c>
      <c r="W1709" s="5" t="str">
        <f t="shared" si="26"/>
        <v>PRODUKTIF</v>
      </c>
      <c r="X1709" s="5" t="str">
        <f>VLOOKUP(T1709,'Data Angt'!$A$5:$H$5810,8,FALSE)</f>
        <v>Wiraswasta</v>
      </c>
      <c r="Y1709" s="5" t="str">
        <f>VLOOKUP(T1709,'Data Angt'!$A$5:$C$5808,3,FALSE)</f>
        <v>MGL</v>
      </c>
    </row>
    <row r="1710" spans="1:25" x14ac:dyDescent="0.3">
      <c r="A1710" s="8">
        <v>1704</v>
      </c>
      <c r="B1710" s="9" t="s">
        <v>15286</v>
      </c>
      <c r="C1710" s="10" t="str">
        <f>VLOOKUP(B1710,'Data Angt'!$A$5:$B$5809,2,FALSE)</f>
        <v>A5591</v>
      </c>
      <c r="D1710" s="11" t="s">
        <v>9833</v>
      </c>
      <c r="E1710" s="12" t="s">
        <v>23831</v>
      </c>
      <c r="F1710" s="13">
        <v>45861</v>
      </c>
      <c r="G1710" s="14">
        <v>45901</v>
      </c>
      <c r="H1710" s="15">
        <v>500000</v>
      </c>
      <c r="I1710" s="16">
        <v>3</v>
      </c>
      <c r="J1710" s="17">
        <v>24</v>
      </c>
      <c r="K1710" s="9" t="s">
        <v>9831</v>
      </c>
      <c r="L1710" s="10" t="s">
        <v>23832</v>
      </c>
      <c r="M1710" s="9" t="s">
        <v>9862</v>
      </c>
      <c r="N1710" s="10" t="s">
        <v>9834</v>
      </c>
      <c r="O1710" s="15">
        <v>3000</v>
      </c>
      <c r="P1710" s="145">
        <v>7575</v>
      </c>
      <c r="Q1710" s="9"/>
      <c r="R1710" s="146"/>
      <c r="T1710" s="5" t="s">
        <v>8868</v>
      </c>
      <c r="U1710">
        <v>1</v>
      </c>
      <c r="V1710">
        <f>VLOOKUP(T1710,'Data Angt'!$A$5:$F$5810,6,FALSE)</f>
        <v>53</v>
      </c>
      <c r="W1710" s="5" t="str">
        <f t="shared" si="26"/>
        <v>PRODUKTIF</v>
      </c>
      <c r="X1710" s="5" t="str">
        <f>VLOOKUP(T1710,'Data Angt'!$A$5:$H$5810,8,FALSE)</f>
        <v>Wiraswasta</v>
      </c>
      <c r="Y1710" s="5" t="str">
        <f>VLOOKUP(T1710,'Data Angt'!$A$5:$C$5808,3,FALSE)</f>
        <v>MGL</v>
      </c>
    </row>
    <row r="1711" spans="1:25" x14ac:dyDescent="0.3">
      <c r="A1711" s="8">
        <v>1705</v>
      </c>
      <c r="B1711" s="9" t="s">
        <v>18950</v>
      </c>
      <c r="C1711" s="10" t="str">
        <f>VLOOKUP(B1711,'Data Angt'!$A$5:$B$5809,2,FALSE)</f>
        <v>A5649</v>
      </c>
      <c r="D1711" s="11" t="s">
        <v>9833</v>
      </c>
      <c r="E1711" s="12" t="s">
        <v>23833</v>
      </c>
      <c r="F1711" s="13">
        <v>45860</v>
      </c>
      <c r="G1711" s="14">
        <v>45899</v>
      </c>
      <c r="H1711" s="15">
        <v>500000</v>
      </c>
      <c r="I1711" s="16">
        <v>3</v>
      </c>
      <c r="J1711" s="17">
        <v>24</v>
      </c>
      <c r="K1711" s="9" t="s">
        <v>9831</v>
      </c>
      <c r="L1711" s="10" t="s">
        <v>23834</v>
      </c>
      <c r="M1711" s="9" t="s">
        <v>9862</v>
      </c>
      <c r="N1711" s="10" t="s">
        <v>9834</v>
      </c>
      <c r="O1711" s="15">
        <v>336600</v>
      </c>
      <c r="P1711" s="145">
        <v>3750</v>
      </c>
      <c r="Q1711" s="9"/>
      <c r="R1711" s="146"/>
      <c r="T1711" s="5" t="s">
        <v>8899</v>
      </c>
      <c r="U1711">
        <v>1</v>
      </c>
      <c r="V1711">
        <f>VLOOKUP(T1711,'Data Angt'!$A$5:$F$5810,6,FALSE)</f>
        <v>51</v>
      </c>
      <c r="W1711" s="5" t="str">
        <f t="shared" si="26"/>
        <v>KONSUMTIF</v>
      </c>
      <c r="X1711" s="5" t="str">
        <f>VLOOKUP(T1711,'Data Angt'!$A$5:$H$5810,8,FALSE)</f>
        <v>Wiraswasta</v>
      </c>
      <c r="Y1711" s="5" t="str">
        <f>VLOOKUP(T1711,'Data Angt'!$A$5:$C$5808,3,FALSE)</f>
        <v>MGL</v>
      </c>
    </row>
    <row r="1712" spans="1:25" x14ac:dyDescent="0.3">
      <c r="A1712" s="8">
        <v>1706</v>
      </c>
      <c r="B1712" s="9" t="s">
        <v>18952</v>
      </c>
      <c r="C1712" s="10" t="str">
        <f>VLOOKUP(B1712,'Data Angt'!$A$5:$B$5809,2,FALSE)</f>
        <v>A5650</v>
      </c>
      <c r="D1712" s="11" t="s">
        <v>9833</v>
      </c>
      <c r="E1712" s="12" t="s">
        <v>23835</v>
      </c>
      <c r="F1712" s="13">
        <v>45860</v>
      </c>
      <c r="G1712" s="14">
        <v>45929</v>
      </c>
      <c r="H1712" s="15">
        <v>500000</v>
      </c>
      <c r="I1712" s="16">
        <v>3</v>
      </c>
      <c r="J1712" s="17">
        <v>24</v>
      </c>
      <c r="K1712" s="9" t="s">
        <v>9831</v>
      </c>
      <c r="L1712" s="10" t="s">
        <v>23836</v>
      </c>
      <c r="M1712" s="9" t="s">
        <v>9862</v>
      </c>
      <c r="N1712" s="10" t="s">
        <v>9834</v>
      </c>
      <c r="O1712" s="15">
        <v>170000</v>
      </c>
      <c r="P1712" s="145">
        <v>6300</v>
      </c>
      <c r="Q1712" s="9"/>
      <c r="R1712" s="146"/>
      <c r="T1712" s="5" t="s">
        <v>8930</v>
      </c>
      <c r="U1712">
        <v>1</v>
      </c>
      <c r="V1712">
        <f>VLOOKUP(T1712,'Data Angt'!$A$5:$F$5810,6,FALSE)</f>
        <v>37</v>
      </c>
      <c r="W1712" s="5" t="str">
        <f t="shared" si="26"/>
        <v>PRODUKTIF</v>
      </c>
      <c r="X1712" s="5" t="str">
        <f>VLOOKUP(T1712,'Data Angt'!$A$5:$H$5810,8,FALSE)</f>
        <v>Wiraswasta</v>
      </c>
      <c r="Y1712" s="5" t="str">
        <f>VLOOKUP(T1712,'Data Angt'!$A$5:$C$5808,3,FALSE)</f>
        <v>MGL</v>
      </c>
    </row>
    <row r="1713" spans="1:25" x14ac:dyDescent="0.3">
      <c r="A1713" s="8">
        <v>1707</v>
      </c>
      <c r="B1713" s="9" t="s">
        <v>18956</v>
      </c>
      <c r="C1713" s="10" t="str">
        <f>VLOOKUP(B1713,'Data Angt'!$A$5:$B$5809,2,FALSE)</f>
        <v>A5652</v>
      </c>
      <c r="D1713" s="11" t="s">
        <v>9833</v>
      </c>
      <c r="E1713" s="12" t="s">
        <v>23837</v>
      </c>
      <c r="F1713" s="13">
        <v>45860</v>
      </c>
      <c r="G1713" s="14">
        <v>45910</v>
      </c>
      <c r="H1713" s="15">
        <v>500000</v>
      </c>
      <c r="I1713" s="16">
        <v>3</v>
      </c>
      <c r="J1713" s="17">
        <v>24</v>
      </c>
      <c r="K1713" s="9" t="s">
        <v>9831</v>
      </c>
      <c r="L1713" s="10" t="s">
        <v>23838</v>
      </c>
      <c r="M1713" s="9" t="s">
        <v>9862</v>
      </c>
      <c r="N1713" s="10" t="s">
        <v>9834</v>
      </c>
      <c r="O1713" s="15">
        <v>170000</v>
      </c>
      <c r="P1713" s="145">
        <v>6300</v>
      </c>
      <c r="Q1713" s="9"/>
      <c r="R1713" s="146"/>
      <c r="T1713" s="5" t="s">
        <v>8952</v>
      </c>
      <c r="U1713">
        <v>1</v>
      </c>
      <c r="V1713">
        <f>VLOOKUP(T1713,'Data Angt'!$A$5:$F$5810,6,FALSE)</f>
        <v>40</v>
      </c>
      <c r="W1713" s="5" t="str">
        <f t="shared" si="26"/>
        <v>PRODUKTIF</v>
      </c>
      <c r="X1713" s="5" t="str">
        <f>VLOOKUP(T1713,'Data Angt'!$A$5:$H$5810,8,FALSE)</f>
        <v>Wiraswasta</v>
      </c>
      <c r="Y1713" s="5" t="str">
        <f>VLOOKUP(T1713,'Data Angt'!$A$5:$C$5808,3,FALSE)</f>
        <v>MGL</v>
      </c>
    </row>
    <row r="1714" spans="1:25" x14ac:dyDescent="0.3">
      <c r="A1714" s="8">
        <v>1708</v>
      </c>
      <c r="B1714" s="9" t="s">
        <v>18958</v>
      </c>
      <c r="C1714" s="10" t="str">
        <f>VLOOKUP(B1714,'Data Angt'!$A$5:$B$5809,2,FALSE)</f>
        <v>A5653</v>
      </c>
      <c r="D1714" s="11" t="s">
        <v>9833</v>
      </c>
      <c r="E1714" s="12" t="s">
        <v>23839</v>
      </c>
      <c r="F1714" s="13">
        <v>45860</v>
      </c>
      <c r="G1714" s="14">
        <v>45930</v>
      </c>
      <c r="H1714" s="15">
        <v>500000</v>
      </c>
      <c r="I1714" s="16">
        <v>3</v>
      </c>
      <c r="J1714" s="17">
        <v>24</v>
      </c>
      <c r="K1714" s="9" t="s">
        <v>9831</v>
      </c>
      <c r="L1714" s="10" t="s">
        <v>23840</v>
      </c>
      <c r="M1714" s="9" t="s">
        <v>9862</v>
      </c>
      <c r="N1714" s="10" t="s">
        <v>9834</v>
      </c>
      <c r="O1714" s="15">
        <v>170000</v>
      </c>
      <c r="P1714" s="145">
        <v>6300</v>
      </c>
      <c r="Q1714" s="9"/>
      <c r="R1714" s="146"/>
      <c r="T1714" s="5" t="s">
        <v>8977</v>
      </c>
      <c r="U1714">
        <v>1</v>
      </c>
      <c r="V1714">
        <f>VLOOKUP(T1714,'Data Angt'!$A$5:$F$5810,6,FALSE)</f>
        <v>28</v>
      </c>
      <c r="W1714" s="5" t="str">
        <f t="shared" si="26"/>
        <v>PRODUKTIF</v>
      </c>
      <c r="X1714" s="5" t="str">
        <f>VLOOKUP(T1714,'Data Angt'!$A$5:$H$5810,8,FALSE)</f>
        <v>Karyawan</v>
      </c>
      <c r="Y1714" s="5" t="str">
        <f>VLOOKUP(T1714,'Data Angt'!$A$5:$C$5808,3,FALSE)</f>
        <v>MGL</v>
      </c>
    </row>
    <row r="1715" spans="1:25" x14ac:dyDescent="0.3">
      <c r="A1715" s="8">
        <v>1709</v>
      </c>
      <c r="B1715" s="9" t="s">
        <v>204</v>
      </c>
      <c r="C1715" s="10" t="str">
        <f>VLOOKUP(B1715,'Data Angt'!$A$5:$B$5809,2,FALSE)</f>
        <v>A65</v>
      </c>
      <c r="D1715" s="11" t="s">
        <v>9833</v>
      </c>
      <c r="E1715" s="12" t="s">
        <v>17760</v>
      </c>
      <c r="F1715" s="13">
        <v>45666</v>
      </c>
      <c r="G1715" s="14">
        <v>45904</v>
      </c>
      <c r="H1715" s="15">
        <v>10000000</v>
      </c>
      <c r="I1715" s="16">
        <v>24</v>
      </c>
      <c r="J1715" s="17">
        <v>24</v>
      </c>
      <c r="K1715" s="9" t="s">
        <v>9831</v>
      </c>
      <c r="L1715" s="10" t="s">
        <v>17761</v>
      </c>
      <c r="M1715" s="9" t="s">
        <v>10060</v>
      </c>
      <c r="N1715" s="10" t="s">
        <v>9834</v>
      </c>
      <c r="O1715" s="15">
        <v>7185600</v>
      </c>
      <c r="P1715" s="145">
        <v>530997</v>
      </c>
      <c r="Q1715" s="9"/>
      <c r="R1715" s="146"/>
      <c r="T1715" s="5" t="s">
        <v>9069</v>
      </c>
      <c r="U1715">
        <v>1</v>
      </c>
      <c r="V1715">
        <f>VLOOKUP(T1715,'Data Angt'!$A$5:$F$5810,6,FALSE)</f>
        <v>58</v>
      </c>
      <c r="W1715" s="5" t="str">
        <f t="shared" si="26"/>
        <v>KONSUMTIF</v>
      </c>
      <c r="X1715" s="5" t="str">
        <f>VLOOKUP(T1715,'Data Angt'!$A$5:$H$5810,8,FALSE)</f>
        <v>Wiraswasta</v>
      </c>
      <c r="Y1715" s="5" t="str">
        <f>VLOOKUP(T1715,'Data Angt'!$A$5:$C$5808,3,FALSE)</f>
        <v>MGL</v>
      </c>
    </row>
    <row r="1716" spans="1:25" x14ac:dyDescent="0.3">
      <c r="A1716" s="8">
        <v>1710</v>
      </c>
      <c r="B1716" s="9" t="s">
        <v>207</v>
      </c>
      <c r="C1716" s="10" t="str">
        <f>VLOOKUP(B1716,'Data Angt'!$A$5:$B$5809,2,FALSE)</f>
        <v>A66</v>
      </c>
      <c r="D1716" s="11" t="s">
        <v>9842</v>
      </c>
      <c r="E1716" s="12" t="s">
        <v>10643</v>
      </c>
      <c r="F1716" s="13">
        <v>43886</v>
      </c>
      <c r="G1716" s="14">
        <v>45688</v>
      </c>
      <c r="H1716" s="15">
        <v>80000000</v>
      </c>
      <c r="I1716" s="16">
        <v>72</v>
      </c>
      <c r="J1716" s="17">
        <v>11.4</v>
      </c>
      <c r="K1716" s="9" t="s">
        <v>9831</v>
      </c>
      <c r="L1716" s="10" t="s">
        <v>10644</v>
      </c>
      <c r="M1716" s="9" t="s">
        <v>9838</v>
      </c>
      <c r="N1716" s="10" t="s">
        <v>9830</v>
      </c>
      <c r="O1716" s="15">
        <v>18740300</v>
      </c>
      <c r="P1716" s="145">
        <v>11082398</v>
      </c>
      <c r="Q1716" s="9"/>
      <c r="R1716" s="146"/>
      <c r="T1716" s="5" t="s">
        <v>9157</v>
      </c>
      <c r="U1716">
        <v>1</v>
      </c>
      <c r="V1716">
        <f>VLOOKUP(T1716,'Data Angt'!$A$5:$F$5810,6,FALSE)</f>
        <v>72</v>
      </c>
      <c r="W1716" s="5" t="str">
        <f t="shared" si="26"/>
        <v>KESEJAHTERAAN</v>
      </c>
      <c r="X1716" s="5" t="str">
        <f>VLOOKUP(T1716,'Data Angt'!$A$5:$H$5810,8,FALSE)</f>
        <v>Petani/Pekebun/Nelayan</v>
      </c>
      <c r="Y1716" s="5" t="str">
        <f>VLOOKUP(T1716,'Data Angt'!$A$5:$C$5808,3,FALSE)</f>
        <v>MGL</v>
      </c>
    </row>
    <row r="1717" spans="1:25" x14ac:dyDescent="0.3">
      <c r="A1717" s="8">
        <v>1711</v>
      </c>
      <c r="B1717" s="9" t="s">
        <v>215</v>
      </c>
      <c r="C1717" s="10" t="str">
        <f>VLOOKUP(B1717,'Data Angt'!$A$5:$B$5809,2,FALSE)</f>
        <v>A68</v>
      </c>
      <c r="D1717" s="11" t="s">
        <v>9833</v>
      </c>
      <c r="E1717" s="12" t="s">
        <v>17762</v>
      </c>
      <c r="F1717" s="13">
        <v>45826</v>
      </c>
      <c r="G1717" s="14">
        <v>45909</v>
      </c>
      <c r="H1717" s="15">
        <v>30000000</v>
      </c>
      <c r="I1717" s="16">
        <v>12</v>
      </c>
      <c r="J1717" s="17">
        <v>21</v>
      </c>
      <c r="K1717" s="9" t="s">
        <v>9831</v>
      </c>
      <c r="L1717" s="10" t="s">
        <v>17763</v>
      </c>
      <c r="M1717" s="9" t="s">
        <v>9962</v>
      </c>
      <c r="N1717" s="10" t="s">
        <v>9834</v>
      </c>
      <c r="O1717" s="15">
        <v>23074900</v>
      </c>
      <c r="P1717" s="145">
        <v>545775</v>
      </c>
      <c r="Q1717" s="9"/>
      <c r="R1717" s="146"/>
      <c r="T1717" s="5" t="s">
        <v>9163</v>
      </c>
      <c r="U1717">
        <v>1</v>
      </c>
      <c r="V1717">
        <f>VLOOKUP(T1717,'Data Angt'!$A$5:$F$5810,6,FALSE)</f>
        <v>48</v>
      </c>
      <c r="W1717" s="5" t="str">
        <f t="shared" si="26"/>
        <v>PENDIDIKAN</v>
      </c>
      <c r="X1717" s="5" t="str">
        <f>VLOOKUP(T1717,'Data Angt'!$A$5:$H$5810,8,FALSE)</f>
        <v>Karyawan</v>
      </c>
      <c r="Y1717" s="5" t="str">
        <f>VLOOKUP(T1717,'Data Angt'!$A$5:$C$5808,3,FALSE)</f>
        <v>MGL</v>
      </c>
    </row>
    <row r="1718" spans="1:25" x14ac:dyDescent="0.3">
      <c r="A1718" s="8">
        <v>1712</v>
      </c>
      <c r="B1718" s="9" t="s">
        <v>253</v>
      </c>
      <c r="C1718" s="10" t="str">
        <f>VLOOKUP(B1718,'Data Angt'!$A$5:$B$5809,2,FALSE)</f>
        <v>A80</v>
      </c>
      <c r="D1718" s="11" t="s">
        <v>9895</v>
      </c>
      <c r="E1718" s="12" t="s">
        <v>17764</v>
      </c>
      <c r="F1718" s="13">
        <v>45327</v>
      </c>
      <c r="G1718" s="14">
        <v>45908</v>
      </c>
      <c r="H1718" s="15">
        <v>34000000</v>
      </c>
      <c r="I1718" s="16">
        <v>42</v>
      </c>
      <c r="J1718" s="17">
        <v>21</v>
      </c>
      <c r="K1718" s="9" t="s">
        <v>9831</v>
      </c>
      <c r="L1718" s="10" t="s">
        <v>17765</v>
      </c>
      <c r="M1718" s="9" t="s">
        <v>10727</v>
      </c>
      <c r="N1718" s="10" t="s">
        <v>9828</v>
      </c>
      <c r="O1718" s="15">
        <v>23856300</v>
      </c>
      <c r="P1718" s="145">
        <v>3636109</v>
      </c>
      <c r="Q1718" s="9" t="s">
        <v>23304</v>
      </c>
      <c r="R1718" s="146" t="s">
        <v>23841</v>
      </c>
      <c r="T1718" s="5" t="s">
        <v>9191</v>
      </c>
      <c r="U1718">
        <v>1</v>
      </c>
      <c r="V1718">
        <f>VLOOKUP(T1718,'Data Angt'!$A$5:$F$5810,6,FALSE)</f>
        <v>56</v>
      </c>
      <c r="W1718" s="5" t="str">
        <f t="shared" si="26"/>
        <v>PRODUKTIF</v>
      </c>
      <c r="X1718" s="5" t="str">
        <f>VLOOKUP(T1718,'Data Angt'!$A$5:$H$5810,8,FALSE)</f>
        <v>Mengurus Rumah Tangga</v>
      </c>
      <c r="Y1718" s="5" t="str">
        <f>VLOOKUP(T1718,'Data Angt'!$A$5:$C$5808,3,FALSE)</f>
        <v>MGL</v>
      </c>
    </row>
    <row r="1719" spans="1:25" x14ac:dyDescent="0.3">
      <c r="A1719" s="8">
        <v>1713</v>
      </c>
      <c r="B1719" s="9" t="s">
        <v>256</v>
      </c>
      <c r="C1719" s="10" t="str">
        <f>VLOOKUP(B1719,'Data Angt'!$A$5:$B$5809,2,FALSE)</f>
        <v>A81</v>
      </c>
      <c r="D1719" s="11" t="s">
        <v>9829</v>
      </c>
      <c r="E1719" s="12" t="s">
        <v>10645</v>
      </c>
      <c r="F1719" s="13">
        <v>45267</v>
      </c>
      <c r="G1719" s="14">
        <v>45903</v>
      </c>
      <c r="H1719" s="15">
        <v>25000000</v>
      </c>
      <c r="I1719" s="16">
        <v>36</v>
      </c>
      <c r="J1719" s="17">
        <v>21</v>
      </c>
      <c r="K1719" s="9" t="s">
        <v>9831</v>
      </c>
      <c r="L1719" s="10" t="s">
        <v>10646</v>
      </c>
      <c r="M1719" s="9" t="s">
        <v>9896</v>
      </c>
      <c r="N1719" s="10" t="s">
        <v>9828</v>
      </c>
      <c r="O1719" s="15">
        <v>12344500</v>
      </c>
      <c r="P1719" s="145">
        <v>2671645</v>
      </c>
      <c r="Q1719" s="9" t="s">
        <v>23304</v>
      </c>
      <c r="R1719" s="146" t="s">
        <v>23842</v>
      </c>
      <c r="T1719" s="5" t="s">
        <v>9334</v>
      </c>
      <c r="U1719">
        <v>1</v>
      </c>
      <c r="V1719">
        <f>VLOOKUP(T1719,'Data Angt'!$A$5:$F$5810,6,FALSE)</f>
        <v>51</v>
      </c>
      <c r="W1719" s="5" t="str">
        <f t="shared" si="26"/>
        <v>KONSUMTIF</v>
      </c>
      <c r="X1719" s="5" t="str">
        <f>VLOOKUP(T1719,'Data Angt'!$A$5:$H$5810,8,FALSE)</f>
        <v>Tenaga Medis</v>
      </c>
      <c r="Y1719" s="5" t="str">
        <f>VLOOKUP(T1719,'Data Angt'!$A$5:$C$5808,3,FALSE)</f>
        <v>MGL</v>
      </c>
    </row>
    <row r="1720" spans="1:25" x14ac:dyDescent="0.3">
      <c r="A1720" s="8">
        <v>1714</v>
      </c>
      <c r="B1720" s="9" t="s">
        <v>385</v>
      </c>
      <c r="C1720" s="10" t="str">
        <f>VLOOKUP(B1720,'Data Angt'!$A$5:$B$5809,2,FALSE)</f>
        <v>A132</v>
      </c>
      <c r="D1720" s="11" t="s">
        <v>9829</v>
      </c>
      <c r="E1720" s="12" t="s">
        <v>10647</v>
      </c>
      <c r="F1720" s="13">
        <v>43117</v>
      </c>
      <c r="G1720" s="14">
        <v>45196</v>
      </c>
      <c r="H1720" s="15">
        <v>25000000</v>
      </c>
      <c r="I1720" s="16">
        <v>24</v>
      </c>
      <c r="J1720" s="17">
        <v>27</v>
      </c>
      <c r="K1720" s="9" t="s">
        <v>9827</v>
      </c>
      <c r="L1720" s="10"/>
      <c r="M1720" s="9"/>
      <c r="N1720" s="10"/>
      <c r="O1720" s="15">
        <v>15916600</v>
      </c>
      <c r="P1720" s="145">
        <v>3332244</v>
      </c>
      <c r="Q1720" s="9"/>
      <c r="R1720" s="146"/>
      <c r="T1720" s="5" t="s">
        <v>9410</v>
      </c>
      <c r="U1720">
        <v>1</v>
      </c>
      <c r="V1720">
        <f>VLOOKUP(T1720,'Data Angt'!$A$5:$F$5810,6,FALSE)</f>
        <v>27</v>
      </c>
      <c r="W1720" s="5" t="str">
        <f t="shared" si="26"/>
        <v>KONSUMTIF</v>
      </c>
      <c r="X1720" s="5" t="str">
        <f>VLOOKUP(T1720,'Data Angt'!$A$5:$H$5810,8,FALSE)</f>
        <v>Lain-Lain</v>
      </c>
      <c r="Y1720" s="5" t="str">
        <f>VLOOKUP(T1720,'Data Angt'!$A$5:$C$5808,3,FALSE)</f>
        <v>MGL</v>
      </c>
    </row>
    <row r="1721" spans="1:25" x14ac:dyDescent="0.3">
      <c r="A1721" s="8">
        <v>1715</v>
      </c>
      <c r="B1721" s="9" t="s">
        <v>745</v>
      </c>
      <c r="C1721" s="10" t="str">
        <f>VLOOKUP(B1721,'Data Angt'!$A$5:$B$5809,2,FALSE)</f>
        <v>A277</v>
      </c>
      <c r="D1721" s="11" t="s">
        <v>9829</v>
      </c>
      <c r="E1721" s="12" t="s">
        <v>10648</v>
      </c>
      <c r="F1721" s="13">
        <v>45003</v>
      </c>
      <c r="G1721" s="14">
        <v>45866</v>
      </c>
      <c r="H1721" s="15">
        <v>40000000</v>
      </c>
      <c r="I1721" s="16">
        <v>36</v>
      </c>
      <c r="J1721" s="17">
        <v>21</v>
      </c>
      <c r="K1721" s="9" t="s">
        <v>9831</v>
      </c>
      <c r="L1721" s="10" t="s">
        <v>10649</v>
      </c>
      <c r="M1721" s="9" t="s">
        <v>9962</v>
      </c>
      <c r="N1721" s="10" t="s">
        <v>9834</v>
      </c>
      <c r="O1721" s="15">
        <v>33133900</v>
      </c>
      <c r="P1721" s="145">
        <v>2460935</v>
      </c>
      <c r="Q1721" s="9" t="s">
        <v>23843</v>
      </c>
      <c r="R1721" s="146" t="s">
        <v>23844</v>
      </c>
      <c r="T1721" s="5" t="s">
        <v>9452</v>
      </c>
      <c r="U1721">
        <v>1</v>
      </c>
      <c r="V1721">
        <f>VLOOKUP(T1721,'Data Angt'!$A$5:$F$5810,6,FALSE)</f>
        <v>44</v>
      </c>
      <c r="W1721" s="5" t="str">
        <f t="shared" si="26"/>
        <v>PENDIDIKAN</v>
      </c>
      <c r="X1721" s="5" t="str">
        <f>VLOOKUP(T1721,'Data Angt'!$A$5:$H$5810,8,FALSE)</f>
        <v>Aparatur/Pejabat Negara</v>
      </c>
      <c r="Y1721" s="5" t="str">
        <f>VLOOKUP(T1721,'Data Angt'!$A$5:$C$5808,3,FALSE)</f>
        <v>MGL</v>
      </c>
    </row>
    <row r="1722" spans="1:25" x14ac:dyDescent="0.3">
      <c r="A1722" s="8">
        <v>1716</v>
      </c>
      <c r="B1722" s="9" t="s">
        <v>813</v>
      </c>
      <c r="C1722" s="10" t="str">
        <f>VLOOKUP(B1722,'Data Angt'!$A$5:$B$5809,2,FALSE)</f>
        <v>A303</v>
      </c>
      <c r="D1722" s="11" t="s">
        <v>9829</v>
      </c>
      <c r="E1722" s="12" t="s">
        <v>17766</v>
      </c>
      <c r="F1722" s="13">
        <v>45342</v>
      </c>
      <c r="G1722" s="14">
        <v>45925</v>
      </c>
      <c r="H1722" s="15">
        <v>65000000</v>
      </c>
      <c r="I1722" s="16">
        <v>36</v>
      </c>
      <c r="J1722" s="17">
        <v>21</v>
      </c>
      <c r="K1722" s="9" t="s">
        <v>9831</v>
      </c>
      <c r="L1722" s="10" t="s">
        <v>17767</v>
      </c>
      <c r="M1722" s="9" t="s">
        <v>9841</v>
      </c>
      <c r="N1722" s="10" t="s">
        <v>17</v>
      </c>
      <c r="O1722" s="15">
        <v>35741900</v>
      </c>
      <c r="P1722" s="145">
        <v>6476620</v>
      </c>
      <c r="Q1722" s="9" t="s">
        <v>22197</v>
      </c>
      <c r="R1722" s="146" t="s">
        <v>23845</v>
      </c>
      <c r="T1722" s="5" t="s">
        <v>9472</v>
      </c>
      <c r="U1722">
        <v>1</v>
      </c>
      <c r="V1722">
        <f>VLOOKUP(T1722,'Data Angt'!$A$5:$F$5810,6,FALSE)</f>
        <v>41</v>
      </c>
      <c r="W1722" s="5" t="str">
        <f t="shared" si="26"/>
        <v>PRODUKTIF</v>
      </c>
      <c r="X1722" s="5" t="str">
        <f>VLOOKUP(T1722,'Data Angt'!$A$5:$H$5810,8,FALSE)</f>
        <v>Belum/Tidak Bekerja</v>
      </c>
      <c r="Y1722" s="5" t="str">
        <f>VLOOKUP(T1722,'Data Angt'!$A$5:$C$5808,3,FALSE)</f>
        <v>MGL</v>
      </c>
    </row>
    <row r="1723" spans="1:25" x14ac:dyDescent="0.3">
      <c r="A1723" s="8">
        <v>1717</v>
      </c>
      <c r="B1723" s="9" t="s">
        <v>1303</v>
      </c>
      <c r="C1723" s="10" t="str">
        <f>VLOOKUP(B1723,'Data Angt'!$A$5:$B$5809,2,FALSE)</f>
        <v>A507</v>
      </c>
      <c r="D1723" s="11" t="s">
        <v>9829</v>
      </c>
      <c r="E1723" s="12" t="s">
        <v>10650</v>
      </c>
      <c r="F1723" s="13">
        <v>42338</v>
      </c>
      <c r="G1723" s="14">
        <v>43524</v>
      </c>
      <c r="H1723" s="15">
        <v>50000000</v>
      </c>
      <c r="I1723" s="16">
        <v>60</v>
      </c>
      <c r="J1723" s="17">
        <v>16.600000000000001</v>
      </c>
      <c r="K1723" s="9" t="s">
        <v>9867</v>
      </c>
      <c r="L1723" s="10"/>
      <c r="M1723" s="9"/>
      <c r="N1723" s="10"/>
      <c r="O1723" s="15">
        <v>45583000</v>
      </c>
      <c r="P1723" s="145">
        <v>6662550</v>
      </c>
      <c r="Q1723" s="9"/>
      <c r="R1723" s="146"/>
      <c r="T1723" s="5" t="s">
        <v>12641</v>
      </c>
      <c r="U1723">
        <v>1</v>
      </c>
      <c r="V1723">
        <f>VLOOKUP(T1723,'Data Angt'!$A$5:$F$5810,6,FALSE)</f>
        <v>24</v>
      </c>
      <c r="W1723" s="5" t="str">
        <f t="shared" si="26"/>
        <v>PRODUKTIF</v>
      </c>
      <c r="X1723" s="5" t="str">
        <f>VLOOKUP(T1723,'Data Angt'!$A$5:$H$5810,8,FALSE)</f>
        <v>Karyawan</v>
      </c>
      <c r="Y1723" s="5" t="str">
        <f>VLOOKUP(T1723,'Data Angt'!$A$5:$C$5808,3,FALSE)</f>
        <v>MGL</v>
      </c>
    </row>
    <row r="1724" spans="1:25" x14ac:dyDescent="0.3">
      <c r="A1724" s="8">
        <v>1718</v>
      </c>
      <c r="B1724" s="9" t="s">
        <v>1326</v>
      </c>
      <c r="C1724" s="10" t="str">
        <f>VLOOKUP(B1724,'Data Angt'!$A$5:$B$5809,2,FALSE)</f>
        <v>A518</v>
      </c>
      <c r="D1724" s="11" t="s">
        <v>9829</v>
      </c>
      <c r="E1724" s="12" t="s">
        <v>10651</v>
      </c>
      <c r="F1724" s="13">
        <v>42100</v>
      </c>
      <c r="G1724" s="14">
        <v>45898</v>
      </c>
      <c r="H1724" s="15">
        <v>19000000</v>
      </c>
      <c r="I1724" s="16">
        <v>60</v>
      </c>
      <c r="J1724" s="17">
        <v>18</v>
      </c>
      <c r="K1724" s="9" t="s">
        <v>9827</v>
      </c>
      <c r="L1724" s="10"/>
      <c r="M1724" s="9"/>
      <c r="N1724" s="10"/>
      <c r="O1724" s="15">
        <v>14216200</v>
      </c>
      <c r="P1724" s="145">
        <v>708987</v>
      </c>
      <c r="Q1724" s="9"/>
      <c r="R1724" s="146"/>
      <c r="T1724" s="5" t="s">
        <v>12943</v>
      </c>
      <c r="U1724">
        <v>1</v>
      </c>
      <c r="V1724">
        <f>VLOOKUP(T1724,'Data Angt'!$A$5:$F$5810,6,FALSE)</f>
        <v>48</v>
      </c>
      <c r="W1724" s="5" t="str">
        <f t="shared" si="26"/>
        <v>PENDIDIKAN</v>
      </c>
      <c r="X1724" s="5" t="str">
        <f>VLOOKUP(T1724,'Data Angt'!$A$5:$H$5810,8,FALSE)</f>
        <v>Karyawan</v>
      </c>
      <c r="Y1724" s="5" t="str">
        <f>VLOOKUP(T1724,'Data Angt'!$A$5:$C$5808,3,FALSE)</f>
        <v>MGL</v>
      </c>
    </row>
    <row r="1725" spans="1:25" x14ac:dyDescent="0.3">
      <c r="A1725" s="8">
        <v>1719</v>
      </c>
      <c r="B1725" s="9" t="s">
        <v>1365</v>
      </c>
      <c r="C1725" s="10" t="str">
        <f>VLOOKUP(B1725,'Data Angt'!$A$5:$B$5809,2,FALSE)</f>
        <v>A535</v>
      </c>
      <c r="D1725" s="11" t="s">
        <v>9833</v>
      </c>
      <c r="E1725" s="12" t="s">
        <v>17768</v>
      </c>
      <c r="F1725" s="13">
        <v>45682</v>
      </c>
      <c r="G1725" s="14">
        <v>45925</v>
      </c>
      <c r="H1725" s="15">
        <v>3000000</v>
      </c>
      <c r="I1725" s="16">
        <v>10</v>
      </c>
      <c r="J1725" s="17">
        <v>24</v>
      </c>
      <c r="K1725" s="9" t="s">
        <v>9831</v>
      </c>
      <c r="L1725" s="10" t="s">
        <v>17769</v>
      </c>
      <c r="M1725" s="9" t="s">
        <v>10172</v>
      </c>
      <c r="N1725" s="10" t="s">
        <v>9834</v>
      </c>
      <c r="O1725" s="15">
        <v>648700</v>
      </c>
      <c r="P1725" s="145">
        <v>120260</v>
      </c>
      <c r="Q1725" s="9"/>
      <c r="R1725" s="146"/>
      <c r="T1725" s="5" t="s">
        <v>12948</v>
      </c>
      <c r="U1725">
        <v>1</v>
      </c>
      <c r="V1725">
        <f>VLOOKUP(T1725,'Data Angt'!$A$5:$F$5810,6,FALSE)</f>
        <v>40</v>
      </c>
      <c r="W1725" s="5" t="str">
        <f t="shared" si="26"/>
        <v>PRODUKTIF</v>
      </c>
      <c r="X1725" s="5" t="str">
        <f>VLOOKUP(T1725,'Data Angt'!$A$5:$H$5810,8,FALSE)</f>
        <v>Wiraswasta</v>
      </c>
      <c r="Y1725" s="5" t="str">
        <f>VLOOKUP(T1725,'Data Angt'!$A$5:$C$5808,3,FALSE)</f>
        <v>MGL</v>
      </c>
    </row>
    <row r="1726" spans="1:25" x14ac:dyDescent="0.3">
      <c r="A1726" s="8">
        <v>1720</v>
      </c>
      <c r="B1726" s="9" t="s">
        <v>1505</v>
      </c>
      <c r="C1726" s="10" t="str">
        <f>VLOOKUP(B1726,'Data Angt'!$A$5:$B$5809,2,FALSE)</f>
        <v>A594</v>
      </c>
      <c r="D1726" s="11" t="s">
        <v>9829</v>
      </c>
      <c r="E1726" s="12" t="s">
        <v>10653</v>
      </c>
      <c r="F1726" s="13">
        <v>45022</v>
      </c>
      <c r="G1726" s="14">
        <v>45895</v>
      </c>
      <c r="H1726" s="15">
        <v>6000000</v>
      </c>
      <c r="I1726" s="16">
        <v>24</v>
      </c>
      <c r="J1726" s="17">
        <v>27</v>
      </c>
      <c r="K1726" s="9" t="s">
        <v>9831</v>
      </c>
      <c r="L1726" s="10" t="s">
        <v>10654</v>
      </c>
      <c r="M1726" s="9" t="s">
        <v>9962</v>
      </c>
      <c r="N1726" s="10" t="s">
        <v>9834</v>
      </c>
      <c r="O1726" s="15">
        <v>3891600</v>
      </c>
      <c r="P1726" s="145">
        <v>432973</v>
      </c>
      <c r="Q1726" s="9"/>
      <c r="R1726" s="146"/>
      <c r="T1726" s="5" t="s">
        <v>13021</v>
      </c>
      <c r="U1726">
        <v>1</v>
      </c>
      <c r="V1726">
        <f>VLOOKUP(T1726,'Data Angt'!$A$5:$F$5810,6,FALSE)</f>
        <v>52</v>
      </c>
      <c r="W1726" s="5" t="str">
        <f t="shared" si="26"/>
        <v>PENDIDIKAN</v>
      </c>
      <c r="X1726" s="5" t="str">
        <f>VLOOKUP(T1726,'Data Angt'!$A$5:$H$5810,8,FALSE)</f>
        <v>Karyawan</v>
      </c>
      <c r="Y1726" s="5" t="str">
        <f>VLOOKUP(T1726,'Data Angt'!$A$5:$C$5808,3,FALSE)</f>
        <v>MGL</v>
      </c>
    </row>
    <row r="1727" spans="1:25" x14ac:dyDescent="0.3">
      <c r="A1727" s="8">
        <v>1721</v>
      </c>
      <c r="B1727" s="9" t="s">
        <v>1556</v>
      </c>
      <c r="C1727" s="10" t="str">
        <f>VLOOKUP(B1727,'Data Angt'!$A$5:$B$5809,2,FALSE)</f>
        <v>A615</v>
      </c>
      <c r="D1727" s="11" t="s">
        <v>9829</v>
      </c>
      <c r="E1727" s="12" t="s">
        <v>10655</v>
      </c>
      <c r="F1727" s="13">
        <v>45049</v>
      </c>
      <c r="G1727" s="14">
        <v>45716</v>
      </c>
      <c r="H1727" s="15">
        <v>8000000</v>
      </c>
      <c r="I1727" s="16">
        <v>24</v>
      </c>
      <c r="J1727" s="17">
        <v>27</v>
      </c>
      <c r="K1727" s="9" t="s">
        <v>9827</v>
      </c>
      <c r="L1727" s="10" t="s">
        <v>10656</v>
      </c>
      <c r="M1727" s="9" t="s">
        <v>10657</v>
      </c>
      <c r="N1727" s="10" t="s">
        <v>9830</v>
      </c>
      <c r="O1727" s="15">
        <v>998600</v>
      </c>
      <c r="P1727" s="145">
        <v>840934</v>
      </c>
      <c r="Q1727" s="9"/>
      <c r="R1727" s="146"/>
      <c r="T1727" s="5" t="s">
        <v>13118</v>
      </c>
      <c r="U1727">
        <v>1</v>
      </c>
      <c r="V1727">
        <f>VLOOKUP(T1727,'Data Angt'!$A$5:$F$5810,6,FALSE)</f>
        <v>51</v>
      </c>
      <c r="W1727" s="5" t="str">
        <f t="shared" si="26"/>
        <v>KESEJAHTERAAN</v>
      </c>
      <c r="X1727" s="5" t="str">
        <f>VLOOKUP(T1727,'Data Angt'!$A$5:$H$5810,8,FALSE)</f>
        <v>Karyawan</v>
      </c>
      <c r="Y1727" s="5" t="str">
        <f>VLOOKUP(T1727,'Data Angt'!$A$5:$C$5808,3,FALSE)</f>
        <v>MGL</v>
      </c>
    </row>
    <row r="1728" spans="1:25" x14ac:dyDescent="0.3">
      <c r="A1728" s="8">
        <v>1722</v>
      </c>
      <c r="B1728" s="9" t="s">
        <v>1771</v>
      </c>
      <c r="C1728" s="10" t="str">
        <f>VLOOKUP(B1728,'Data Angt'!$A$5:$B$5809,2,FALSE)</f>
        <v>A714</v>
      </c>
      <c r="D1728" s="11" t="s">
        <v>9833</v>
      </c>
      <c r="E1728" s="12" t="s">
        <v>23846</v>
      </c>
      <c r="F1728" s="13">
        <v>45912</v>
      </c>
      <c r="G1728" s="14">
        <v>45912</v>
      </c>
      <c r="H1728" s="15">
        <v>100000000</v>
      </c>
      <c r="I1728" s="16">
        <v>3</v>
      </c>
      <c r="J1728" s="17">
        <v>21</v>
      </c>
      <c r="K1728" s="9" t="s">
        <v>9831</v>
      </c>
      <c r="L1728" s="10" t="s">
        <v>23847</v>
      </c>
      <c r="M1728" s="9" t="s">
        <v>9962</v>
      </c>
      <c r="N1728" s="10" t="s">
        <v>9834</v>
      </c>
      <c r="O1728" s="15">
        <v>100000000</v>
      </c>
      <c r="P1728" s="147">
        <v>0</v>
      </c>
      <c r="Q1728" s="9" t="s">
        <v>22240</v>
      </c>
      <c r="R1728" s="146" t="s">
        <v>23848</v>
      </c>
      <c r="T1728" s="5" t="s">
        <v>13123</v>
      </c>
      <c r="U1728">
        <v>1</v>
      </c>
      <c r="V1728">
        <f>VLOOKUP(T1728,'Data Angt'!$A$5:$F$5810,6,FALSE)</f>
        <v>32</v>
      </c>
      <c r="W1728" s="5" t="str">
        <f t="shared" si="26"/>
        <v>PRODUKTIF</v>
      </c>
      <c r="X1728" s="5" t="str">
        <f>VLOOKUP(T1728,'Data Angt'!$A$5:$H$5810,8,FALSE)</f>
        <v>Wiraswasta</v>
      </c>
      <c r="Y1728" s="5" t="str">
        <f>VLOOKUP(T1728,'Data Angt'!$A$5:$C$5808,3,FALSE)</f>
        <v>MGL</v>
      </c>
    </row>
    <row r="1729" spans="1:25" x14ac:dyDescent="0.3">
      <c r="A1729" s="8">
        <v>1723</v>
      </c>
      <c r="B1729" s="9" t="s">
        <v>1909</v>
      </c>
      <c r="C1729" s="10" t="str">
        <f>VLOOKUP(B1729,'Data Angt'!$A$5:$B$5809,2,FALSE)</f>
        <v>A772</v>
      </c>
      <c r="D1729" s="11" t="s">
        <v>9829</v>
      </c>
      <c r="E1729" s="12" t="s">
        <v>23849</v>
      </c>
      <c r="F1729" s="13">
        <v>45839</v>
      </c>
      <c r="G1729" s="14">
        <v>45904</v>
      </c>
      <c r="H1729" s="15">
        <v>9000000</v>
      </c>
      <c r="I1729" s="16">
        <v>24</v>
      </c>
      <c r="J1729" s="17">
        <v>24</v>
      </c>
      <c r="K1729" s="9" t="s">
        <v>9827</v>
      </c>
      <c r="L1729" s="10" t="s">
        <v>23850</v>
      </c>
      <c r="M1729" s="9" t="s">
        <v>9841</v>
      </c>
      <c r="N1729" s="10" t="s">
        <v>17</v>
      </c>
      <c r="O1729" s="15">
        <v>8250000</v>
      </c>
      <c r="P1729" s="145">
        <v>132187</v>
      </c>
      <c r="Q1729" s="9" t="s">
        <v>23304</v>
      </c>
      <c r="R1729" s="146" t="s">
        <v>23851</v>
      </c>
      <c r="T1729" s="5" t="s">
        <v>13525</v>
      </c>
      <c r="U1729">
        <v>1</v>
      </c>
      <c r="V1729">
        <f>VLOOKUP(T1729,'Data Angt'!$A$5:$F$5810,6,FALSE)</f>
        <v>27</v>
      </c>
      <c r="W1729" s="5" t="str">
        <f t="shared" si="26"/>
        <v>PRODUKTIF</v>
      </c>
      <c r="X1729" s="5" t="str">
        <f>VLOOKUP(T1729,'Data Angt'!$A$5:$H$5810,8,FALSE)</f>
        <v>Karyawan</v>
      </c>
      <c r="Y1729" s="5" t="str">
        <f>VLOOKUP(T1729,'Data Angt'!$A$5:$C$5808,3,FALSE)</f>
        <v>MGL</v>
      </c>
    </row>
    <row r="1730" spans="1:25" x14ac:dyDescent="0.3">
      <c r="A1730" s="8">
        <v>1724</v>
      </c>
      <c r="B1730" s="9" t="s">
        <v>2041</v>
      </c>
      <c r="C1730" s="10" t="str">
        <f>VLOOKUP(B1730,'Data Angt'!$A$5:$B$5809,2,FALSE)</f>
        <v>A838</v>
      </c>
      <c r="D1730" s="11" t="s">
        <v>9833</v>
      </c>
      <c r="E1730" s="12" t="s">
        <v>17770</v>
      </c>
      <c r="F1730" s="13">
        <v>45467</v>
      </c>
      <c r="G1730" s="14">
        <v>45769</v>
      </c>
      <c r="H1730" s="15">
        <v>10000000</v>
      </c>
      <c r="I1730" s="16">
        <v>24</v>
      </c>
      <c r="J1730" s="17">
        <v>24</v>
      </c>
      <c r="K1730" s="9" t="s">
        <v>9831</v>
      </c>
      <c r="L1730" s="10" t="s">
        <v>17771</v>
      </c>
      <c r="M1730" s="9" t="s">
        <v>17772</v>
      </c>
      <c r="N1730" s="10" t="s">
        <v>9834</v>
      </c>
      <c r="O1730" s="15">
        <v>6800100</v>
      </c>
      <c r="P1730" s="145">
        <v>584848</v>
      </c>
      <c r="Q1730" s="9"/>
      <c r="R1730" s="146"/>
      <c r="T1730" s="5" t="s">
        <v>13605</v>
      </c>
      <c r="U1730">
        <v>1</v>
      </c>
      <c r="V1730">
        <f>VLOOKUP(T1730,'Data Angt'!$A$5:$F$5810,6,FALSE)</f>
        <v>30</v>
      </c>
      <c r="W1730" s="5" t="str">
        <f t="shared" si="26"/>
        <v>KESEJAHTERAAN</v>
      </c>
      <c r="X1730" s="5" t="str">
        <f>VLOOKUP(T1730,'Data Angt'!$A$5:$H$5810,8,FALSE)</f>
        <v>Karyawan</v>
      </c>
      <c r="Y1730" s="5" t="str">
        <f>VLOOKUP(T1730,'Data Angt'!$A$5:$C$5808,3,FALSE)</f>
        <v>MGL</v>
      </c>
    </row>
    <row r="1731" spans="1:25" x14ac:dyDescent="0.3">
      <c r="A1731" s="8">
        <v>1725</v>
      </c>
      <c r="B1731" s="9" t="s">
        <v>2135</v>
      </c>
      <c r="C1731" s="10" t="str">
        <f>VLOOKUP(B1731,'Data Angt'!$A$5:$B$5809,2,FALSE)</f>
        <v>A880</v>
      </c>
      <c r="D1731" s="11" t="s">
        <v>9833</v>
      </c>
      <c r="E1731" s="12" t="s">
        <v>10658</v>
      </c>
      <c r="F1731" s="13">
        <v>45161</v>
      </c>
      <c r="G1731" s="14">
        <v>45716</v>
      </c>
      <c r="H1731" s="15">
        <v>15000000</v>
      </c>
      <c r="I1731" s="16">
        <v>36</v>
      </c>
      <c r="J1731" s="17">
        <v>27</v>
      </c>
      <c r="K1731" s="9" t="s">
        <v>9831</v>
      </c>
      <c r="L1731" s="10" t="s">
        <v>10659</v>
      </c>
      <c r="M1731" s="9" t="s">
        <v>10660</v>
      </c>
      <c r="N1731" s="10" t="s">
        <v>9834</v>
      </c>
      <c r="O1731" s="15">
        <v>9000300</v>
      </c>
      <c r="P1731" s="145">
        <v>1883810</v>
      </c>
      <c r="Q1731" s="9"/>
      <c r="R1731" s="146"/>
      <c r="T1731" s="5" t="s">
        <v>13679</v>
      </c>
      <c r="U1731">
        <v>1</v>
      </c>
      <c r="V1731">
        <f>VLOOKUP(T1731,'Data Angt'!$A$5:$F$5810,6,FALSE)</f>
        <v>56</v>
      </c>
      <c r="W1731" s="5" t="str">
        <f t="shared" si="26"/>
        <v>PRODUKTIF</v>
      </c>
      <c r="X1731" s="5" t="str">
        <f>VLOOKUP(T1731,'Data Angt'!$A$5:$H$5810,8,FALSE)</f>
        <v>Wiraswasta</v>
      </c>
      <c r="Y1731" s="5" t="str">
        <f>VLOOKUP(T1731,'Data Angt'!$A$5:$C$5808,3,FALSE)</f>
        <v>MGL</v>
      </c>
    </row>
    <row r="1732" spans="1:25" x14ac:dyDescent="0.3">
      <c r="A1732" s="8">
        <v>1726</v>
      </c>
      <c r="B1732" s="9" t="s">
        <v>2142</v>
      </c>
      <c r="C1732" s="10" t="str">
        <f>VLOOKUP(B1732,'Data Angt'!$A$5:$B$5809,2,FALSE)</f>
        <v>A884</v>
      </c>
      <c r="D1732" s="11" t="s">
        <v>9829</v>
      </c>
      <c r="E1732" s="12" t="s">
        <v>10661</v>
      </c>
      <c r="F1732" s="13">
        <v>42304</v>
      </c>
      <c r="G1732" s="14">
        <v>44238</v>
      </c>
      <c r="H1732" s="15">
        <v>6500000</v>
      </c>
      <c r="I1732" s="16">
        <v>24</v>
      </c>
      <c r="J1732" s="17">
        <v>27</v>
      </c>
      <c r="K1732" s="9" t="s">
        <v>9827</v>
      </c>
      <c r="L1732" s="10"/>
      <c r="M1732" s="9"/>
      <c r="N1732" s="10"/>
      <c r="O1732" s="15">
        <v>4716400</v>
      </c>
      <c r="P1732" s="145">
        <v>232061</v>
      </c>
      <c r="Q1732" s="9"/>
      <c r="R1732" s="146"/>
      <c r="T1732" s="5" t="s">
        <v>13773</v>
      </c>
      <c r="U1732">
        <v>1</v>
      </c>
      <c r="V1732">
        <f>VLOOKUP(T1732,'Data Angt'!$A$5:$F$5810,6,FALSE)</f>
        <v>60</v>
      </c>
      <c r="W1732" s="5" t="str">
        <f t="shared" si="26"/>
        <v>PRODUKTIF</v>
      </c>
      <c r="X1732" s="5" t="str">
        <f>VLOOKUP(T1732,'Data Angt'!$A$5:$H$5810,8,FALSE)</f>
        <v>Wiraswasta</v>
      </c>
      <c r="Y1732" s="5" t="str">
        <f>VLOOKUP(T1732,'Data Angt'!$A$5:$C$5808,3,FALSE)</f>
        <v>MGL</v>
      </c>
    </row>
    <row r="1733" spans="1:25" x14ac:dyDescent="0.3">
      <c r="A1733" s="8">
        <v>1727</v>
      </c>
      <c r="B1733" s="9" t="s">
        <v>2276</v>
      </c>
      <c r="C1733" s="10" t="str">
        <f>VLOOKUP(B1733,'Data Angt'!$A$5:$B$5809,2,FALSE)</f>
        <v>A946</v>
      </c>
      <c r="D1733" s="11" t="s">
        <v>9833</v>
      </c>
      <c r="E1733" s="12" t="s">
        <v>10662</v>
      </c>
      <c r="F1733" s="13">
        <v>43845</v>
      </c>
      <c r="G1733" s="14">
        <v>45777</v>
      </c>
      <c r="H1733" s="15">
        <v>30000000</v>
      </c>
      <c r="I1733" s="16">
        <v>24</v>
      </c>
      <c r="J1733" s="17">
        <v>21</v>
      </c>
      <c r="K1733" s="9" t="s">
        <v>9827</v>
      </c>
      <c r="L1733" s="10" t="s">
        <v>10663</v>
      </c>
      <c r="M1733" s="9" t="s">
        <v>10664</v>
      </c>
      <c r="N1733" s="10" t="s">
        <v>9834</v>
      </c>
      <c r="O1733" s="15">
        <v>10736000</v>
      </c>
      <c r="P1733" s="145">
        <v>3691420</v>
      </c>
      <c r="Q1733" s="9" t="s">
        <v>23304</v>
      </c>
      <c r="R1733" s="146" t="s">
        <v>23852</v>
      </c>
      <c r="T1733" s="5" t="s">
        <v>13886</v>
      </c>
      <c r="U1733">
        <v>1</v>
      </c>
      <c r="V1733">
        <f>VLOOKUP(T1733,'Data Angt'!$A$5:$F$5810,6,FALSE)</f>
        <v>28</v>
      </c>
      <c r="W1733" s="5" t="str">
        <f t="shared" si="26"/>
        <v>KESEJAHTERAAN</v>
      </c>
      <c r="X1733" s="5" t="str">
        <f>VLOOKUP(T1733,'Data Angt'!$A$5:$H$5810,8,FALSE)</f>
        <v>Tenaga Medis</v>
      </c>
      <c r="Y1733" s="5" t="str">
        <f>VLOOKUP(T1733,'Data Angt'!$A$5:$C$5808,3,FALSE)</f>
        <v>MGL</v>
      </c>
    </row>
    <row r="1734" spans="1:25" x14ac:dyDescent="0.3">
      <c r="A1734" s="8">
        <v>1728</v>
      </c>
      <c r="B1734" s="9" t="s">
        <v>2335</v>
      </c>
      <c r="C1734" s="10" t="str">
        <f>VLOOKUP(B1734,'Data Angt'!$A$5:$B$5809,2,FALSE)</f>
        <v>A971</v>
      </c>
      <c r="D1734" s="11" t="s">
        <v>9829</v>
      </c>
      <c r="E1734" s="12" t="s">
        <v>10665</v>
      </c>
      <c r="F1734" s="13">
        <v>43396</v>
      </c>
      <c r="G1734" s="14">
        <v>44345</v>
      </c>
      <c r="H1734" s="15">
        <v>35000000</v>
      </c>
      <c r="I1734" s="16">
        <v>24</v>
      </c>
      <c r="J1734" s="17">
        <v>27</v>
      </c>
      <c r="K1734" s="9" t="s">
        <v>9831</v>
      </c>
      <c r="L1734" s="10" t="s">
        <v>10666</v>
      </c>
      <c r="M1734" s="9" t="s">
        <v>10667</v>
      </c>
      <c r="N1734" s="10" t="s">
        <v>9834</v>
      </c>
      <c r="O1734" s="15">
        <v>25076500</v>
      </c>
      <c r="P1734" s="145">
        <v>1956051</v>
      </c>
      <c r="Q1734" s="9" t="s">
        <v>23355</v>
      </c>
      <c r="R1734" s="146" t="s">
        <v>23853</v>
      </c>
      <c r="T1734" s="5" t="s">
        <v>14030</v>
      </c>
      <c r="U1734">
        <v>1</v>
      </c>
      <c r="V1734">
        <f>VLOOKUP(T1734,'Data Angt'!$A$5:$F$5810,6,FALSE)</f>
        <v>56</v>
      </c>
      <c r="W1734" s="5" t="str">
        <f t="shared" si="26"/>
        <v>KONSUMTIF</v>
      </c>
      <c r="X1734" s="5" t="str">
        <f>VLOOKUP(T1734,'Data Angt'!$A$5:$H$5810,8,FALSE)</f>
        <v>Lain-Lain</v>
      </c>
      <c r="Y1734" s="5" t="str">
        <f>VLOOKUP(T1734,'Data Angt'!$A$5:$C$5808,3,FALSE)</f>
        <v>MGL</v>
      </c>
    </row>
    <row r="1735" spans="1:25" x14ac:dyDescent="0.3">
      <c r="A1735" s="8">
        <v>1729</v>
      </c>
      <c r="B1735" s="9" t="s">
        <v>2339</v>
      </c>
      <c r="C1735" s="10" t="str">
        <f>VLOOKUP(B1735,'Data Angt'!$A$5:$B$5809,2,FALSE)</f>
        <v>A972</v>
      </c>
      <c r="D1735" s="11" t="s">
        <v>9829</v>
      </c>
      <c r="E1735" s="12" t="s">
        <v>17773</v>
      </c>
      <c r="F1735" s="13">
        <v>45825</v>
      </c>
      <c r="G1735" s="14">
        <v>45917</v>
      </c>
      <c r="H1735" s="15">
        <v>14500000</v>
      </c>
      <c r="I1735" s="16">
        <v>36</v>
      </c>
      <c r="J1735" s="17">
        <v>24</v>
      </c>
      <c r="K1735" s="9" t="s">
        <v>9831</v>
      </c>
      <c r="L1735" s="10" t="s">
        <v>17774</v>
      </c>
      <c r="M1735" s="9" t="s">
        <v>9841</v>
      </c>
      <c r="N1735" s="10" t="s">
        <v>17</v>
      </c>
      <c r="O1735" s="15">
        <v>13646600</v>
      </c>
      <c r="P1735" s="145">
        <v>319987</v>
      </c>
      <c r="Q1735" s="9" t="s">
        <v>22905</v>
      </c>
      <c r="R1735" s="146" t="s">
        <v>23854</v>
      </c>
      <c r="T1735" s="5" t="s">
        <v>14105</v>
      </c>
      <c r="U1735">
        <v>1</v>
      </c>
      <c r="V1735">
        <f>VLOOKUP(T1735,'Data Angt'!$A$5:$F$5810,6,FALSE)</f>
        <v>47</v>
      </c>
      <c r="W1735" s="5" t="str">
        <f t="shared" ref="W1735:W1744" si="27">VLOOKUP(T1735,$B$7:$N$1869,13,FALSE)</f>
        <v>KONSUMTIF</v>
      </c>
      <c r="X1735" s="5" t="str">
        <f>VLOOKUP(T1735,'Data Angt'!$A$5:$H$5810,8,FALSE)</f>
        <v>Karyawan</v>
      </c>
      <c r="Y1735" s="5" t="str">
        <f>VLOOKUP(T1735,'Data Angt'!$A$5:$C$5808,3,FALSE)</f>
        <v>MGL</v>
      </c>
    </row>
    <row r="1736" spans="1:25" x14ac:dyDescent="0.3">
      <c r="A1736" s="8">
        <v>1730</v>
      </c>
      <c r="B1736" s="9" t="s">
        <v>2404</v>
      </c>
      <c r="C1736" s="10" t="str">
        <f>VLOOKUP(B1736,'Data Angt'!$A$5:$B$5809,2,FALSE)</f>
        <v>A1001</v>
      </c>
      <c r="D1736" s="11" t="s">
        <v>9829</v>
      </c>
      <c r="E1736" s="12" t="s">
        <v>10668</v>
      </c>
      <c r="F1736" s="13">
        <v>43609</v>
      </c>
      <c r="G1736" s="14">
        <v>45923</v>
      </c>
      <c r="H1736" s="15">
        <v>50000000</v>
      </c>
      <c r="I1736" s="16">
        <v>24</v>
      </c>
      <c r="J1736" s="17">
        <v>27</v>
      </c>
      <c r="K1736" s="9" t="s">
        <v>9827</v>
      </c>
      <c r="L1736" s="10" t="s">
        <v>10669</v>
      </c>
      <c r="M1736" s="9" t="s">
        <v>10670</v>
      </c>
      <c r="N1736" s="10" t="s">
        <v>9834</v>
      </c>
      <c r="O1736" s="15">
        <v>32532800</v>
      </c>
      <c r="P1736" s="145">
        <v>5730598</v>
      </c>
      <c r="Q1736" s="9" t="s">
        <v>22431</v>
      </c>
      <c r="R1736" s="146" t="s">
        <v>23855</v>
      </c>
      <c r="T1736" s="5" t="s">
        <v>14130</v>
      </c>
      <c r="U1736">
        <v>1</v>
      </c>
      <c r="V1736">
        <f>VLOOKUP(T1736,'Data Angt'!$A$5:$F$5810,6,FALSE)</f>
        <v>19</v>
      </c>
      <c r="W1736" s="5" t="str">
        <f t="shared" si="27"/>
        <v>PRODUKTIF</v>
      </c>
      <c r="X1736" s="5" t="str">
        <f>VLOOKUP(T1736,'Data Angt'!$A$5:$H$5810,8,FALSE)</f>
        <v>Mengurus Rumah Tangga</v>
      </c>
      <c r="Y1736" s="5" t="str">
        <f>VLOOKUP(T1736,'Data Angt'!$A$5:$C$5808,3,FALSE)</f>
        <v>MGL</v>
      </c>
    </row>
    <row r="1737" spans="1:25" x14ac:dyDescent="0.3">
      <c r="A1737" s="8">
        <v>1731</v>
      </c>
      <c r="B1737" s="9" t="s">
        <v>2513</v>
      </c>
      <c r="C1737" s="10" t="str">
        <f>VLOOKUP(B1737,'Data Angt'!$A$5:$B$5809,2,FALSE)</f>
        <v>A1047</v>
      </c>
      <c r="D1737" s="11" t="s">
        <v>9826</v>
      </c>
      <c r="E1737" s="12" t="s">
        <v>17775</v>
      </c>
      <c r="F1737" s="13">
        <v>45566</v>
      </c>
      <c r="G1737" s="14">
        <v>45904</v>
      </c>
      <c r="H1737" s="15">
        <v>15000000</v>
      </c>
      <c r="I1737" s="16">
        <v>18</v>
      </c>
      <c r="J1737" s="17">
        <v>11.6</v>
      </c>
      <c r="K1737" s="9" t="s">
        <v>9831</v>
      </c>
      <c r="L1737" s="10" t="s">
        <v>17776</v>
      </c>
      <c r="M1737" s="9" t="s">
        <v>9962</v>
      </c>
      <c r="N1737" s="10" t="s">
        <v>9834</v>
      </c>
      <c r="O1737" s="15">
        <v>6143700</v>
      </c>
      <c r="P1737" s="145">
        <v>440885</v>
      </c>
      <c r="Q1737" s="9"/>
      <c r="R1737" s="146"/>
      <c r="T1737" s="5" t="s">
        <v>14132</v>
      </c>
      <c r="U1737">
        <v>1</v>
      </c>
      <c r="V1737">
        <f>VLOOKUP(T1737,'Data Angt'!$A$5:$F$5810,6,FALSE)</f>
        <v>22</v>
      </c>
      <c r="W1737" s="5" t="str">
        <f t="shared" si="27"/>
        <v>KONSUMTIF</v>
      </c>
      <c r="X1737" s="5" t="str">
        <f>VLOOKUP(T1737,'Data Angt'!$A$5:$H$5810,8,FALSE)</f>
        <v>Karyawan</v>
      </c>
      <c r="Y1737" s="5" t="str">
        <f>VLOOKUP(T1737,'Data Angt'!$A$5:$C$5808,3,FALSE)</f>
        <v>MGL</v>
      </c>
    </row>
    <row r="1738" spans="1:25" x14ac:dyDescent="0.3">
      <c r="A1738" s="8">
        <v>1732</v>
      </c>
      <c r="B1738" s="9" t="s">
        <v>2553</v>
      </c>
      <c r="C1738" s="10" t="str">
        <f>VLOOKUP(B1738,'Data Angt'!$A$5:$B$5809,2,FALSE)</f>
        <v>A1064</v>
      </c>
      <c r="D1738" s="11" t="s">
        <v>9833</v>
      </c>
      <c r="E1738" s="12" t="s">
        <v>10671</v>
      </c>
      <c r="F1738" s="13">
        <v>43750</v>
      </c>
      <c r="G1738" s="14">
        <v>44238</v>
      </c>
      <c r="H1738" s="15">
        <v>20000000</v>
      </c>
      <c r="I1738" s="16">
        <v>24</v>
      </c>
      <c r="J1738" s="17">
        <v>27</v>
      </c>
      <c r="K1738" s="9" t="s">
        <v>9827</v>
      </c>
      <c r="L1738" s="10" t="s">
        <v>10672</v>
      </c>
      <c r="M1738" s="9" t="s">
        <v>10673</v>
      </c>
      <c r="N1738" s="10" t="s">
        <v>9834</v>
      </c>
      <c r="O1738" s="15">
        <v>16666400</v>
      </c>
      <c r="P1738" s="145">
        <v>1431313</v>
      </c>
      <c r="Q1738" s="9" t="s">
        <v>22240</v>
      </c>
      <c r="R1738" s="146" t="s">
        <v>23856</v>
      </c>
      <c r="T1738" s="5" t="s">
        <v>14151</v>
      </c>
      <c r="U1738">
        <v>1</v>
      </c>
      <c r="V1738">
        <f>VLOOKUP(T1738,'Data Angt'!$A$5:$F$5810,6,FALSE)</f>
        <v>50</v>
      </c>
      <c r="W1738" s="5" t="str">
        <f t="shared" si="27"/>
        <v>KONSUMTIF</v>
      </c>
      <c r="X1738" s="5" t="str">
        <f>VLOOKUP(T1738,'Data Angt'!$A$5:$H$5810,8,FALSE)</f>
        <v>Lain-Lain</v>
      </c>
      <c r="Y1738" s="5" t="str">
        <f>VLOOKUP(T1738,'Data Angt'!$A$5:$C$5808,3,FALSE)</f>
        <v>MGL</v>
      </c>
    </row>
    <row r="1739" spans="1:25" x14ac:dyDescent="0.3">
      <c r="A1739" s="8">
        <v>1733</v>
      </c>
      <c r="B1739" s="9" t="s">
        <v>2630</v>
      </c>
      <c r="C1739" s="10" t="str">
        <f>VLOOKUP(B1739,'Data Angt'!$A$5:$B$5809,2,FALSE)</f>
        <v>A1100</v>
      </c>
      <c r="D1739" s="11" t="s">
        <v>9833</v>
      </c>
      <c r="E1739" s="12" t="s">
        <v>17777</v>
      </c>
      <c r="F1739" s="13">
        <v>45469</v>
      </c>
      <c r="G1739" s="14">
        <v>45688</v>
      </c>
      <c r="H1739" s="15">
        <v>15000000</v>
      </c>
      <c r="I1739" s="16">
        <v>12</v>
      </c>
      <c r="J1739" s="17">
        <v>24</v>
      </c>
      <c r="K1739" s="9" t="s">
        <v>9831</v>
      </c>
      <c r="L1739" s="10" t="s">
        <v>17778</v>
      </c>
      <c r="M1739" s="9" t="s">
        <v>17779</v>
      </c>
      <c r="N1739" s="10" t="s">
        <v>9834</v>
      </c>
      <c r="O1739" s="15">
        <v>6686000</v>
      </c>
      <c r="P1739" s="145">
        <v>605548</v>
      </c>
      <c r="Q1739" s="9"/>
      <c r="R1739" s="146"/>
      <c r="T1739" s="5" t="s">
        <v>14727</v>
      </c>
      <c r="U1739">
        <v>1</v>
      </c>
      <c r="V1739">
        <f>VLOOKUP(T1739,'Data Angt'!$A$5:$F$5810,6,FALSE)</f>
        <v>51</v>
      </c>
      <c r="W1739" s="5" t="str">
        <f t="shared" si="27"/>
        <v>PENDIDIKAN</v>
      </c>
      <c r="X1739" s="5" t="str">
        <f>VLOOKUP(T1739,'Data Angt'!$A$5:$H$5810,8,FALSE)</f>
        <v>Lain-Lain</v>
      </c>
      <c r="Y1739" s="5" t="str">
        <f>VLOOKUP(T1739,'Data Angt'!$A$5:$C$5808,3,FALSE)</f>
        <v>MGL</v>
      </c>
    </row>
    <row r="1740" spans="1:25" x14ac:dyDescent="0.3">
      <c r="A1740" s="8">
        <v>1734</v>
      </c>
      <c r="B1740" s="9" t="s">
        <v>2640</v>
      </c>
      <c r="C1740" s="10" t="str">
        <f>VLOOKUP(B1740,'Data Angt'!$A$5:$B$5809,2,FALSE)</f>
        <v>A1104</v>
      </c>
      <c r="D1740" s="11" t="s">
        <v>9829</v>
      </c>
      <c r="E1740" s="12" t="s">
        <v>17780</v>
      </c>
      <c r="F1740" s="13">
        <v>45805</v>
      </c>
      <c r="G1740" s="14">
        <v>45925</v>
      </c>
      <c r="H1740" s="15">
        <v>5000000</v>
      </c>
      <c r="I1740" s="16">
        <v>12</v>
      </c>
      <c r="J1740" s="17">
        <v>24</v>
      </c>
      <c r="K1740" s="9" t="s">
        <v>9831</v>
      </c>
      <c r="L1740" s="10" t="s">
        <v>17781</v>
      </c>
      <c r="M1740" s="9" t="s">
        <v>17</v>
      </c>
      <c r="N1740" s="10" t="s">
        <v>17</v>
      </c>
      <c r="O1740" s="15">
        <v>3463600</v>
      </c>
      <c r="P1740" s="145">
        <v>133050</v>
      </c>
      <c r="Q1740" s="9"/>
      <c r="R1740" s="146"/>
      <c r="T1740" s="5" t="s">
        <v>14788</v>
      </c>
      <c r="U1740">
        <v>1</v>
      </c>
      <c r="V1740">
        <f>VLOOKUP(T1740,'Data Angt'!$A$5:$F$5810,6,FALSE)</f>
        <v>55</v>
      </c>
      <c r="W1740" s="5" t="str">
        <f t="shared" si="27"/>
        <v>PRODUKTIF</v>
      </c>
      <c r="X1740" s="5" t="str">
        <f>VLOOKUP(T1740,'Data Angt'!$A$5:$H$5810,8,FALSE)</f>
        <v>Wiraswasta</v>
      </c>
      <c r="Y1740" s="5" t="str">
        <f>VLOOKUP(T1740,'Data Angt'!$A$5:$C$5808,3,FALSE)</f>
        <v>MGL</v>
      </c>
    </row>
    <row r="1741" spans="1:25" x14ac:dyDescent="0.3">
      <c r="A1741" s="8">
        <v>1735</v>
      </c>
      <c r="B1741" s="9" t="s">
        <v>2667</v>
      </c>
      <c r="C1741" s="10" t="str">
        <f>VLOOKUP(B1741,'Data Angt'!$A$5:$B$5809,2,FALSE)</f>
        <v>A1115</v>
      </c>
      <c r="D1741" s="11" t="s">
        <v>9829</v>
      </c>
      <c r="E1741" s="12" t="s">
        <v>10674</v>
      </c>
      <c r="F1741" s="13">
        <v>44702</v>
      </c>
      <c r="G1741" s="14">
        <v>45927</v>
      </c>
      <c r="H1741" s="15">
        <v>12500000</v>
      </c>
      <c r="I1741" s="16">
        <v>48</v>
      </c>
      <c r="J1741" s="17">
        <v>27</v>
      </c>
      <c r="K1741" s="9" t="s">
        <v>9831</v>
      </c>
      <c r="L1741" s="10" t="s">
        <v>10675</v>
      </c>
      <c r="M1741" s="9" t="s">
        <v>10676</v>
      </c>
      <c r="N1741" s="10" t="s">
        <v>110</v>
      </c>
      <c r="O1741" s="15">
        <v>3104500</v>
      </c>
      <c r="P1741" s="145">
        <v>2905677</v>
      </c>
      <c r="Q1741" s="9"/>
      <c r="R1741" s="146"/>
      <c r="T1741" s="5" t="s">
        <v>14790</v>
      </c>
      <c r="U1741">
        <v>1</v>
      </c>
      <c r="V1741">
        <f>VLOOKUP(T1741,'Data Angt'!$A$5:$F$5810,6,FALSE)</f>
        <v>37</v>
      </c>
      <c r="W1741" s="5" t="str">
        <f t="shared" si="27"/>
        <v>PENDIDIKAN</v>
      </c>
      <c r="X1741" s="5" t="str">
        <f>VLOOKUP(T1741,'Data Angt'!$A$5:$H$5810,8,FALSE)</f>
        <v>Mengurus Rumah Tangga</v>
      </c>
      <c r="Y1741" s="5" t="str">
        <f>VLOOKUP(T1741,'Data Angt'!$A$5:$C$5808,3,FALSE)</f>
        <v>MGL</v>
      </c>
    </row>
    <row r="1742" spans="1:25" x14ac:dyDescent="0.3">
      <c r="A1742" s="8">
        <v>1736</v>
      </c>
      <c r="B1742" s="9" t="s">
        <v>2809</v>
      </c>
      <c r="C1742" s="10" t="str">
        <f>VLOOKUP(B1742,'Data Angt'!$A$5:$B$5809,2,FALSE)</f>
        <v>A1181</v>
      </c>
      <c r="D1742" s="11" t="s">
        <v>9833</v>
      </c>
      <c r="E1742" s="12" t="s">
        <v>17782</v>
      </c>
      <c r="F1742" s="13">
        <v>45579</v>
      </c>
      <c r="G1742" s="14">
        <v>45923</v>
      </c>
      <c r="H1742" s="15">
        <v>10000000</v>
      </c>
      <c r="I1742" s="16">
        <v>24</v>
      </c>
      <c r="J1742" s="17">
        <v>24</v>
      </c>
      <c r="K1742" s="9" t="s">
        <v>9831</v>
      </c>
      <c r="L1742" s="10" t="s">
        <v>17783</v>
      </c>
      <c r="M1742" s="9" t="s">
        <v>9962</v>
      </c>
      <c r="N1742" s="10" t="s">
        <v>9834</v>
      </c>
      <c r="O1742" s="15">
        <v>6015100</v>
      </c>
      <c r="P1742" s="145">
        <v>686961</v>
      </c>
      <c r="Q1742" s="9" t="s">
        <v>22254</v>
      </c>
      <c r="R1742" s="146" t="s">
        <v>23857</v>
      </c>
      <c r="T1742" s="5" t="s">
        <v>14856</v>
      </c>
      <c r="U1742">
        <v>1</v>
      </c>
      <c r="V1742">
        <f>VLOOKUP(T1742,'Data Angt'!$A$5:$F$5810,6,FALSE)</f>
        <v>39</v>
      </c>
      <c r="W1742" s="5" t="str">
        <f t="shared" si="27"/>
        <v>KONSUMTIF</v>
      </c>
      <c r="X1742" s="5" t="str">
        <f>VLOOKUP(T1742,'Data Angt'!$A$5:$H$5810,8,FALSE)</f>
        <v>Karyawan</v>
      </c>
      <c r="Y1742" s="5" t="str">
        <f>VLOOKUP(T1742,'Data Angt'!$A$5:$C$5808,3,FALSE)</f>
        <v>MGL</v>
      </c>
    </row>
    <row r="1743" spans="1:25" x14ac:dyDescent="0.3">
      <c r="A1743" s="8">
        <v>1737</v>
      </c>
      <c r="B1743" s="9" t="s">
        <v>2829</v>
      </c>
      <c r="C1743" s="10" t="str">
        <f>VLOOKUP(B1743,'Data Angt'!$A$5:$B$5809,2,FALSE)</f>
        <v>A1194</v>
      </c>
      <c r="D1743" s="11" t="s">
        <v>9829</v>
      </c>
      <c r="E1743" s="12" t="s">
        <v>10677</v>
      </c>
      <c r="F1743" s="13">
        <v>40988</v>
      </c>
      <c r="G1743" s="14">
        <v>44238</v>
      </c>
      <c r="H1743" s="15">
        <v>11000000</v>
      </c>
      <c r="I1743" s="16">
        <v>24</v>
      </c>
      <c r="J1743" s="17">
        <v>15.6</v>
      </c>
      <c r="K1743" s="9" t="s">
        <v>9827</v>
      </c>
      <c r="L1743" s="10"/>
      <c r="M1743" s="9"/>
      <c r="N1743" s="10"/>
      <c r="O1743" s="15">
        <v>5145500</v>
      </c>
      <c r="P1743" s="145">
        <v>13537</v>
      </c>
      <c r="Q1743" s="9"/>
      <c r="R1743" s="146"/>
      <c r="T1743" s="5" t="s">
        <v>14918</v>
      </c>
      <c r="U1743">
        <v>1</v>
      </c>
      <c r="V1743">
        <f>VLOOKUP(T1743,'Data Angt'!$A$5:$F$5810,6,FALSE)</f>
        <v>38</v>
      </c>
      <c r="W1743" s="5" t="str">
        <f t="shared" si="27"/>
        <v>PENDIDIKAN</v>
      </c>
      <c r="X1743" s="5" t="str">
        <f>VLOOKUP(T1743,'Data Angt'!$A$5:$H$5810,8,FALSE)</f>
        <v>Karyawan</v>
      </c>
      <c r="Y1743" s="5" t="str">
        <f>VLOOKUP(T1743,'Data Angt'!$A$5:$C$5808,3,FALSE)</f>
        <v>MGL</v>
      </c>
    </row>
    <row r="1744" spans="1:25" x14ac:dyDescent="0.3">
      <c r="A1744" s="8">
        <v>1738</v>
      </c>
      <c r="B1744" s="9" t="s">
        <v>2991</v>
      </c>
      <c r="C1744" s="10" t="str">
        <f>VLOOKUP(B1744,'Data Angt'!$A$5:$B$5809,2,FALSE)</f>
        <v>A1264</v>
      </c>
      <c r="D1744" s="11" t="s">
        <v>9842</v>
      </c>
      <c r="E1744" s="12" t="s">
        <v>10678</v>
      </c>
      <c r="F1744" s="13">
        <v>44671</v>
      </c>
      <c r="G1744" s="14">
        <v>45915</v>
      </c>
      <c r="H1744" s="15">
        <v>150000000</v>
      </c>
      <c r="I1744" s="16">
        <v>120</v>
      </c>
      <c r="J1744" s="17">
        <v>11.4</v>
      </c>
      <c r="K1744" s="9" t="s">
        <v>9831</v>
      </c>
      <c r="L1744" s="10" t="s">
        <v>10679</v>
      </c>
      <c r="M1744" s="9" t="s">
        <v>10680</v>
      </c>
      <c r="N1744" s="10" t="s">
        <v>9830</v>
      </c>
      <c r="O1744" s="15">
        <v>116336700</v>
      </c>
      <c r="P1744" s="145">
        <v>19669904</v>
      </c>
      <c r="Q1744" s="9"/>
      <c r="R1744" s="146"/>
      <c r="T1744" s="5" t="s">
        <v>15303</v>
      </c>
      <c r="U1744">
        <v>1</v>
      </c>
      <c r="V1744">
        <f>VLOOKUP(T1744,'Data Angt'!$A$5:$F$5810,6,FALSE)</f>
        <v>30</v>
      </c>
      <c r="W1744" s="5" t="str">
        <f t="shared" si="27"/>
        <v>PRODUKTIF</v>
      </c>
      <c r="X1744" s="5" t="str">
        <f>VLOOKUP(T1744,'Data Angt'!$A$5:$H$5810,8,FALSE)</f>
        <v>Karyawan</v>
      </c>
      <c r="Y1744" s="5" t="str">
        <f>VLOOKUP(T1744,'Data Angt'!$A$5:$C$5808,3,FALSE)</f>
        <v>MGL</v>
      </c>
    </row>
    <row r="1745" spans="1:20" x14ac:dyDescent="0.3">
      <c r="A1745" s="8">
        <v>1739</v>
      </c>
      <c r="B1745" s="9" t="s">
        <v>2991</v>
      </c>
      <c r="C1745" s="10" t="str">
        <f>VLOOKUP(B1745,'Data Angt'!$A$5:$B$5809,2,FALSE)</f>
        <v>A1264</v>
      </c>
      <c r="D1745" s="11" t="s">
        <v>9826</v>
      </c>
      <c r="E1745" s="12" t="s">
        <v>17784</v>
      </c>
      <c r="F1745" s="13">
        <v>45782</v>
      </c>
      <c r="G1745" s="14">
        <v>45904</v>
      </c>
      <c r="H1745" s="15">
        <v>5000000</v>
      </c>
      <c r="I1745" s="16">
        <v>6</v>
      </c>
      <c r="J1745" s="17">
        <v>24</v>
      </c>
      <c r="K1745" s="9" t="s">
        <v>9827</v>
      </c>
      <c r="L1745" s="10" t="s">
        <v>17785</v>
      </c>
      <c r="M1745" s="9" t="s">
        <v>9835</v>
      </c>
      <c r="N1745" s="10" t="s">
        <v>9828</v>
      </c>
      <c r="O1745" s="15">
        <v>1666400</v>
      </c>
      <c r="P1745" s="145">
        <v>112537</v>
      </c>
      <c r="Q1745" s="9"/>
      <c r="R1745" s="146"/>
      <c r="T1745"/>
    </row>
    <row r="1746" spans="1:20" x14ac:dyDescent="0.3">
      <c r="A1746" s="8">
        <v>1740</v>
      </c>
      <c r="B1746" s="9" t="s">
        <v>3057</v>
      </c>
      <c r="C1746" s="10" t="str">
        <f>VLOOKUP(B1746,'Data Angt'!$A$5:$B$5809,2,FALSE)</f>
        <v>A1294</v>
      </c>
      <c r="D1746" s="11" t="s">
        <v>9829</v>
      </c>
      <c r="E1746" s="12" t="s">
        <v>10681</v>
      </c>
      <c r="F1746" s="13">
        <v>44320</v>
      </c>
      <c r="G1746" s="14">
        <v>45868</v>
      </c>
      <c r="H1746" s="15">
        <v>15000000</v>
      </c>
      <c r="I1746" s="16">
        <v>30</v>
      </c>
      <c r="J1746" s="17">
        <v>27</v>
      </c>
      <c r="K1746" s="9" t="s">
        <v>9831</v>
      </c>
      <c r="L1746" s="10" t="s">
        <v>10682</v>
      </c>
      <c r="M1746" s="9" t="s">
        <v>10683</v>
      </c>
      <c r="N1746" s="10" t="s">
        <v>9834</v>
      </c>
      <c r="O1746" s="15">
        <v>11922200</v>
      </c>
      <c r="P1746" s="145">
        <v>928199</v>
      </c>
      <c r="Q1746" s="9" t="s">
        <v>22431</v>
      </c>
      <c r="R1746" s="146" t="s">
        <v>23858</v>
      </c>
      <c r="T1746"/>
    </row>
    <row r="1747" spans="1:20" x14ac:dyDescent="0.3">
      <c r="A1747" s="8">
        <v>1741</v>
      </c>
      <c r="B1747" s="9" t="s">
        <v>3095</v>
      </c>
      <c r="C1747" s="10" t="str">
        <f>VLOOKUP(B1747,'Data Angt'!$A$5:$B$5809,2,FALSE)</f>
        <v>A1310</v>
      </c>
      <c r="D1747" s="11" t="s">
        <v>9829</v>
      </c>
      <c r="E1747" s="12" t="s">
        <v>23859</v>
      </c>
      <c r="F1747" s="13">
        <v>45925</v>
      </c>
      <c r="G1747" s="14">
        <v>45925</v>
      </c>
      <c r="H1747" s="15">
        <v>7000000</v>
      </c>
      <c r="I1747" s="16">
        <v>12</v>
      </c>
      <c r="J1747" s="17">
        <v>24</v>
      </c>
      <c r="K1747" s="9" t="s">
        <v>9831</v>
      </c>
      <c r="L1747" s="10" t="s">
        <v>23860</v>
      </c>
      <c r="M1747" s="9" t="s">
        <v>9838</v>
      </c>
      <c r="N1747" s="10" t="s">
        <v>9828</v>
      </c>
      <c r="O1747" s="15">
        <v>7000000</v>
      </c>
      <c r="P1747" s="147">
        <v>0</v>
      </c>
      <c r="Q1747" s="9" t="s">
        <v>23304</v>
      </c>
      <c r="R1747" s="146" t="s">
        <v>23861</v>
      </c>
      <c r="T1747"/>
    </row>
    <row r="1748" spans="1:20" x14ac:dyDescent="0.3">
      <c r="A1748" s="8">
        <v>1742</v>
      </c>
      <c r="B1748" s="9" t="s">
        <v>3116</v>
      </c>
      <c r="C1748" s="10" t="str">
        <f>VLOOKUP(B1748,'Data Angt'!$A$5:$B$5809,2,FALSE)</f>
        <v>A1319</v>
      </c>
      <c r="D1748" s="11" t="s">
        <v>9829</v>
      </c>
      <c r="E1748" s="12" t="s">
        <v>10684</v>
      </c>
      <c r="F1748" s="13">
        <v>44916</v>
      </c>
      <c r="G1748" s="14">
        <v>45016</v>
      </c>
      <c r="H1748" s="15">
        <v>10000000</v>
      </c>
      <c r="I1748" s="16">
        <v>24</v>
      </c>
      <c r="J1748" s="17">
        <v>27</v>
      </c>
      <c r="K1748" s="9" t="s">
        <v>9831</v>
      </c>
      <c r="L1748" s="10" t="s">
        <v>10685</v>
      </c>
      <c r="M1748" s="9" t="s">
        <v>10686</v>
      </c>
      <c r="N1748" s="10" t="s">
        <v>9834</v>
      </c>
      <c r="O1748" s="15">
        <v>9355200</v>
      </c>
      <c r="P1748" s="145">
        <v>166124</v>
      </c>
      <c r="Q1748" s="9" t="s">
        <v>23304</v>
      </c>
      <c r="R1748" s="146" t="s">
        <v>23862</v>
      </c>
      <c r="T1748"/>
    </row>
    <row r="1749" spans="1:20" x14ac:dyDescent="0.3">
      <c r="A1749" s="8">
        <v>1743</v>
      </c>
      <c r="B1749" s="9" t="s">
        <v>3175</v>
      </c>
      <c r="C1749" s="10" t="str">
        <f>VLOOKUP(B1749,'Data Angt'!$A$5:$B$5809,2,FALSE)</f>
        <v>A1346</v>
      </c>
      <c r="D1749" s="11" t="s">
        <v>9829</v>
      </c>
      <c r="E1749" s="12" t="s">
        <v>10687</v>
      </c>
      <c r="F1749" s="13">
        <v>42195</v>
      </c>
      <c r="G1749" s="14">
        <v>44238</v>
      </c>
      <c r="H1749" s="15">
        <v>12500000</v>
      </c>
      <c r="I1749" s="16">
        <v>36</v>
      </c>
      <c r="J1749" s="17">
        <v>15.6</v>
      </c>
      <c r="K1749" s="9" t="s">
        <v>9867</v>
      </c>
      <c r="L1749" s="10"/>
      <c r="M1749" s="9"/>
      <c r="N1749" s="10"/>
      <c r="O1749" s="15">
        <v>7789500</v>
      </c>
      <c r="P1749" s="145">
        <v>1546317</v>
      </c>
      <c r="Q1749" s="9"/>
      <c r="R1749" s="146"/>
      <c r="T1749"/>
    </row>
    <row r="1750" spans="1:20" x14ac:dyDescent="0.3">
      <c r="A1750" s="8">
        <v>1744</v>
      </c>
      <c r="B1750" s="9" t="s">
        <v>3238</v>
      </c>
      <c r="C1750" s="10" t="str">
        <f>VLOOKUP(B1750,'Data Angt'!$A$5:$B$5809,2,FALSE)</f>
        <v>A1373</v>
      </c>
      <c r="D1750" s="11" t="s">
        <v>9833</v>
      </c>
      <c r="E1750" s="12" t="s">
        <v>17786</v>
      </c>
      <c r="F1750" s="13">
        <v>45673</v>
      </c>
      <c r="G1750" s="14">
        <v>45915</v>
      </c>
      <c r="H1750" s="15">
        <v>6000000</v>
      </c>
      <c r="I1750" s="16">
        <v>12</v>
      </c>
      <c r="J1750" s="17">
        <v>24</v>
      </c>
      <c r="K1750" s="9" t="s">
        <v>9831</v>
      </c>
      <c r="L1750" s="10" t="s">
        <v>17787</v>
      </c>
      <c r="M1750" s="9" t="s">
        <v>9962</v>
      </c>
      <c r="N1750" s="10" t="s">
        <v>9834</v>
      </c>
      <c r="O1750" s="15">
        <v>2170500</v>
      </c>
      <c r="P1750" s="145">
        <v>266135</v>
      </c>
      <c r="Q1750" s="9" t="s">
        <v>23304</v>
      </c>
      <c r="R1750" s="146" t="s">
        <v>23863</v>
      </c>
      <c r="T1750"/>
    </row>
    <row r="1751" spans="1:20" x14ac:dyDescent="0.3">
      <c r="A1751" s="8">
        <v>1745</v>
      </c>
      <c r="B1751" s="9" t="s">
        <v>3254</v>
      </c>
      <c r="C1751" s="10" t="str">
        <f>VLOOKUP(B1751,'Data Angt'!$A$5:$B$5809,2,FALSE)</f>
        <v>A1380</v>
      </c>
      <c r="D1751" s="11" t="s">
        <v>9829</v>
      </c>
      <c r="E1751" s="12" t="s">
        <v>17788</v>
      </c>
      <c r="F1751" s="13">
        <v>45782</v>
      </c>
      <c r="G1751" s="14">
        <v>45902</v>
      </c>
      <c r="H1751" s="15">
        <v>15000000</v>
      </c>
      <c r="I1751" s="16">
        <v>18</v>
      </c>
      <c r="J1751" s="17">
        <v>24</v>
      </c>
      <c r="K1751" s="9" t="s">
        <v>9831</v>
      </c>
      <c r="L1751" s="10" t="s">
        <v>17789</v>
      </c>
      <c r="M1751" s="9" t="s">
        <v>9841</v>
      </c>
      <c r="N1751" s="10" t="s">
        <v>17</v>
      </c>
      <c r="O1751" s="15">
        <v>12112500</v>
      </c>
      <c r="P1751" s="145">
        <v>418087</v>
      </c>
      <c r="Q1751" s="9" t="s">
        <v>23864</v>
      </c>
      <c r="R1751" s="146" t="s">
        <v>23865</v>
      </c>
      <c r="T1751"/>
    </row>
    <row r="1752" spans="1:20" x14ac:dyDescent="0.3">
      <c r="A1752" s="8">
        <v>1746</v>
      </c>
      <c r="B1752" s="9" t="s">
        <v>3277</v>
      </c>
      <c r="C1752" s="10" t="str">
        <f>VLOOKUP(B1752,'Data Angt'!$A$5:$B$5809,2,FALSE)</f>
        <v>A1391</v>
      </c>
      <c r="D1752" s="11" t="s">
        <v>9843</v>
      </c>
      <c r="E1752" s="12" t="s">
        <v>10688</v>
      </c>
      <c r="F1752" s="13">
        <v>42326</v>
      </c>
      <c r="G1752" s="14">
        <v>45903</v>
      </c>
      <c r="H1752" s="15">
        <v>95000000</v>
      </c>
      <c r="I1752" s="16">
        <v>120</v>
      </c>
      <c r="J1752" s="17">
        <v>8.02</v>
      </c>
      <c r="K1752" s="9" t="s">
        <v>9831</v>
      </c>
      <c r="L1752" s="10" t="s">
        <v>10688</v>
      </c>
      <c r="M1752" s="9"/>
      <c r="N1752" s="10"/>
      <c r="O1752" s="15">
        <v>1432800</v>
      </c>
      <c r="P1752" s="145">
        <v>31350293</v>
      </c>
      <c r="Q1752" s="9"/>
      <c r="R1752" s="146"/>
      <c r="T1752"/>
    </row>
    <row r="1753" spans="1:20" x14ac:dyDescent="0.3">
      <c r="A1753" s="8">
        <v>1747</v>
      </c>
      <c r="B1753" s="9" t="s">
        <v>3471</v>
      </c>
      <c r="C1753" s="10" t="str">
        <f>VLOOKUP(B1753,'Data Angt'!$A$5:$B$5809,2,FALSE)</f>
        <v>A1480</v>
      </c>
      <c r="D1753" s="11" t="s">
        <v>9833</v>
      </c>
      <c r="E1753" s="12" t="s">
        <v>17790</v>
      </c>
      <c r="F1753" s="13">
        <v>45497</v>
      </c>
      <c r="G1753" s="14">
        <v>45909</v>
      </c>
      <c r="H1753" s="15">
        <v>10000000</v>
      </c>
      <c r="I1753" s="16">
        <v>36</v>
      </c>
      <c r="J1753" s="17">
        <v>24</v>
      </c>
      <c r="K1753" s="9" t="s">
        <v>9831</v>
      </c>
      <c r="L1753" s="10" t="s">
        <v>17791</v>
      </c>
      <c r="M1753" s="9" t="s">
        <v>9962</v>
      </c>
      <c r="N1753" s="10" t="s">
        <v>9834</v>
      </c>
      <c r="O1753" s="15">
        <v>6927200</v>
      </c>
      <c r="P1753" s="145">
        <v>907798</v>
      </c>
      <c r="Q1753" s="9"/>
      <c r="R1753" s="146"/>
      <c r="T1753"/>
    </row>
    <row r="1754" spans="1:20" x14ac:dyDescent="0.3">
      <c r="A1754" s="8">
        <v>1748</v>
      </c>
      <c r="B1754" s="9" t="s">
        <v>3471</v>
      </c>
      <c r="C1754" s="10" t="str">
        <f>VLOOKUP(B1754,'Data Angt'!$A$5:$B$5809,2,FALSE)</f>
        <v>A1480</v>
      </c>
      <c r="D1754" s="11" t="s">
        <v>9826</v>
      </c>
      <c r="E1754" s="12" t="s">
        <v>17792</v>
      </c>
      <c r="F1754" s="13">
        <v>45730</v>
      </c>
      <c r="G1754" s="14">
        <v>45909</v>
      </c>
      <c r="H1754" s="15">
        <v>3000000</v>
      </c>
      <c r="I1754" s="16">
        <v>12</v>
      </c>
      <c r="J1754" s="17">
        <v>24</v>
      </c>
      <c r="K1754" s="9" t="s">
        <v>9831</v>
      </c>
      <c r="L1754" s="10" t="s">
        <v>17793</v>
      </c>
      <c r="M1754" s="9" t="s">
        <v>17794</v>
      </c>
      <c r="N1754" s="10" t="s">
        <v>9828</v>
      </c>
      <c r="O1754" s="15">
        <v>1589200</v>
      </c>
      <c r="P1754" s="145">
        <v>109275</v>
      </c>
      <c r="Q1754" s="9"/>
      <c r="R1754" s="146"/>
      <c r="T1754"/>
    </row>
    <row r="1755" spans="1:20" x14ac:dyDescent="0.3">
      <c r="A1755" s="8">
        <v>1749</v>
      </c>
      <c r="B1755" s="9" t="s">
        <v>3627</v>
      </c>
      <c r="C1755" s="10" t="str">
        <f>VLOOKUP(B1755,'Data Angt'!$A$5:$B$5809,2,FALSE)</f>
        <v>A1554</v>
      </c>
      <c r="D1755" s="11" t="s">
        <v>9829</v>
      </c>
      <c r="E1755" s="12" t="s">
        <v>17795</v>
      </c>
      <c r="F1755" s="13">
        <v>45433</v>
      </c>
      <c r="G1755" s="14">
        <v>45927</v>
      </c>
      <c r="H1755" s="15">
        <v>12000000</v>
      </c>
      <c r="I1755" s="16">
        <v>36</v>
      </c>
      <c r="J1755" s="17">
        <v>24</v>
      </c>
      <c r="K1755" s="9" t="s">
        <v>9831</v>
      </c>
      <c r="L1755" s="10" t="s">
        <v>17796</v>
      </c>
      <c r="M1755" s="9" t="s">
        <v>10352</v>
      </c>
      <c r="N1755" s="10" t="s">
        <v>9828</v>
      </c>
      <c r="O1755" s="15">
        <v>7716700</v>
      </c>
      <c r="P1755" s="145">
        <v>1218560</v>
      </c>
      <c r="Q1755" s="9" t="s">
        <v>22254</v>
      </c>
      <c r="R1755" s="146" t="s">
        <v>23866</v>
      </c>
      <c r="T1755"/>
    </row>
    <row r="1756" spans="1:20" x14ac:dyDescent="0.3">
      <c r="A1756" s="8">
        <v>1750</v>
      </c>
      <c r="B1756" s="9" t="s">
        <v>3674</v>
      </c>
      <c r="C1756" s="10" t="str">
        <f>VLOOKUP(B1756,'Data Angt'!$A$5:$B$5809,2,FALSE)</f>
        <v>A1578</v>
      </c>
      <c r="D1756" s="11" t="s">
        <v>9833</v>
      </c>
      <c r="E1756" s="12" t="s">
        <v>17797</v>
      </c>
      <c r="F1756" s="13">
        <v>45563</v>
      </c>
      <c r="G1756" s="14">
        <v>45908</v>
      </c>
      <c r="H1756" s="15">
        <v>10000000</v>
      </c>
      <c r="I1756" s="16">
        <v>36</v>
      </c>
      <c r="J1756" s="17">
        <v>24</v>
      </c>
      <c r="K1756" s="9" t="s">
        <v>9831</v>
      </c>
      <c r="L1756" s="10" t="s">
        <v>17798</v>
      </c>
      <c r="M1756" s="9" t="s">
        <v>9962</v>
      </c>
      <c r="N1756" s="10" t="s">
        <v>9834</v>
      </c>
      <c r="O1756" s="15">
        <v>8578400</v>
      </c>
      <c r="P1756" s="145">
        <v>690449</v>
      </c>
      <c r="Q1756" s="9" t="s">
        <v>23867</v>
      </c>
      <c r="R1756" s="146" t="s">
        <v>23868</v>
      </c>
      <c r="T1756"/>
    </row>
    <row r="1757" spans="1:20" x14ac:dyDescent="0.3">
      <c r="A1757" s="8">
        <v>1751</v>
      </c>
      <c r="B1757" s="9" t="s">
        <v>3706</v>
      </c>
      <c r="C1757" s="10" t="str">
        <f>VLOOKUP(B1757,'Data Angt'!$A$5:$B$5809,2,FALSE)</f>
        <v>A1593</v>
      </c>
      <c r="D1757" s="11" t="s">
        <v>9829</v>
      </c>
      <c r="E1757" s="12" t="s">
        <v>23869</v>
      </c>
      <c r="F1757" s="13">
        <v>45889</v>
      </c>
      <c r="G1757" s="14">
        <v>45918</v>
      </c>
      <c r="H1757" s="15">
        <v>4000000</v>
      </c>
      <c r="I1757" s="16">
        <v>12</v>
      </c>
      <c r="J1757" s="17">
        <v>24</v>
      </c>
      <c r="K1757" s="9" t="s">
        <v>9831</v>
      </c>
      <c r="L1757" s="10" t="s">
        <v>23870</v>
      </c>
      <c r="M1757" s="9" t="s">
        <v>10352</v>
      </c>
      <c r="N1757" s="10" t="s">
        <v>9828</v>
      </c>
      <c r="O1757" s="15">
        <v>3701700</v>
      </c>
      <c r="P1757" s="145">
        <v>30000</v>
      </c>
      <c r="Q1757" s="9"/>
      <c r="R1757" s="146"/>
      <c r="T1757"/>
    </row>
    <row r="1758" spans="1:20" x14ac:dyDescent="0.3">
      <c r="A1758" s="8">
        <v>1752</v>
      </c>
      <c r="B1758" s="9" t="s">
        <v>3757</v>
      </c>
      <c r="C1758" s="10" t="str">
        <f>VLOOKUP(B1758,'Data Angt'!$A$5:$B$5809,2,FALSE)</f>
        <v>A1616</v>
      </c>
      <c r="D1758" s="11" t="s">
        <v>9829</v>
      </c>
      <c r="E1758" s="12" t="s">
        <v>17799</v>
      </c>
      <c r="F1758" s="13">
        <v>45337</v>
      </c>
      <c r="G1758" s="14">
        <v>45902</v>
      </c>
      <c r="H1758" s="15">
        <v>10000000</v>
      </c>
      <c r="I1758" s="16">
        <v>24</v>
      </c>
      <c r="J1758" s="17">
        <v>24</v>
      </c>
      <c r="K1758" s="9" t="s">
        <v>9831</v>
      </c>
      <c r="L1758" s="10" t="s">
        <v>17800</v>
      </c>
      <c r="M1758" s="9" t="s">
        <v>9962</v>
      </c>
      <c r="N1758" s="10" t="s">
        <v>9828</v>
      </c>
      <c r="O1758" s="15">
        <v>2500400</v>
      </c>
      <c r="P1758" s="145">
        <v>955346</v>
      </c>
      <c r="Q1758" s="9" t="s">
        <v>22905</v>
      </c>
      <c r="R1758" s="146" t="s">
        <v>23871</v>
      </c>
      <c r="T1758"/>
    </row>
    <row r="1759" spans="1:20" x14ac:dyDescent="0.3">
      <c r="A1759" s="8">
        <v>1753</v>
      </c>
      <c r="B1759" s="9" t="s">
        <v>3764</v>
      </c>
      <c r="C1759" s="10" t="str">
        <f>VLOOKUP(B1759,'Data Angt'!$A$5:$B$5809,2,FALSE)</f>
        <v>A1620</v>
      </c>
      <c r="D1759" s="11" t="s">
        <v>9895</v>
      </c>
      <c r="E1759" s="12" t="s">
        <v>17801</v>
      </c>
      <c r="F1759" s="13">
        <v>45351</v>
      </c>
      <c r="G1759" s="14">
        <v>45920</v>
      </c>
      <c r="H1759" s="15">
        <v>14000000</v>
      </c>
      <c r="I1759" s="16">
        <v>36</v>
      </c>
      <c r="J1759" s="17">
        <v>24</v>
      </c>
      <c r="K1759" s="9" t="s">
        <v>9831</v>
      </c>
      <c r="L1759" s="10" t="s">
        <v>17802</v>
      </c>
      <c r="M1759" s="9" t="s">
        <v>15903</v>
      </c>
      <c r="N1759" s="10" t="s">
        <v>9828</v>
      </c>
      <c r="O1759" s="15">
        <v>7865100</v>
      </c>
      <c r="P1759" s="145">
        <v>1613171</v>
      </c>
      <c r="Q1759" s="9" t="s">
        <v>22905</v>
      </c>
      <c r="R1759" s="146" t="s">
        <v>23872</v>
      </c>
      <c r="T1759"/>
    </row>
    <row r="1760" spans="1:20" x14ac:dyDescent="0.3">
      <c r="A1760" s="8">
        <v>1754</v>
      </c>
      <c r="B1760" s="9" t="s">
        <v>3817</v>
      </c>
      <c r="C1760" s="10" t="str">
        <f>VLOOKUP(B1760,'Data Angt'!$A$5:$B$5809,2,FALSE)</f>
        <v>A1646</v>
      </c>
      <c r="D1760" s="11" t="s">
        <v>10089</v>
      </c>
      <c r="E1760" s="12" t="s">
        <v>10689</v>
      </c>
      <c r="F1760" s="13">
        <v>42474</v>
      </c>
      <c r="G1760" s="14">
        <v>45797</v>
      </c>
      <c r="H1760" s="15">
        <v>8000000</v>
      </c>
      <c r="I1760" s="16">
        <v>36</v>
      </c>
      <c r="J1760" s="17">
        <v>27</v>
      </c>
      <c r="K1760" s="9" t="s">
        <v>9827</v>
      </c>
      <c r="L1760" s="10"/>
      <c r="M1760" s="9"/>
      <c r="N1760" s="10"/>
      <c r="O1760" s="15">
        <v>7327700</v>
      </c>
      <c r="P1760" s="145">
        <v>202473</v>
      </c>
      <c r="Q1760" s="9"/>
      <c r="R1760" s="146"/>
      <c r="T1760"/>
    </row>
    <row r="1761" spans="1:20" x14ac:dyDescent="0.3">
      <c r="A1761" s="8">
        <v>1755</v>
      </c>
      <c r="B1761" s="9" t="s">
        <v>4037</v>
      </c>
      <c r="C1761" s="10" t="str">
        <f>VLOOKUP(B1761,'Data Angt'!$A$5:$B$5809,2,FALSE)</f>
        <v>A1749</v>
      </c>
      <c r="D1761" s="11" t="s">
        <v>9833</v>
      </c>
      <c r="E1761" s="12" t="s">
        <v>17803</v>
      </c>
      <c r="F1761" s="13">
        <v>45740</v>
      </c>
      <c r="G1761" s="14">
        <v>45903</v>
      </c>
      <c r="H1761" s="15">
        <v>40000000</v>
      </c>
      <c r="I1761" s="16">
        <v>24</v>
      </c>
      <c r="J1761" s="17">
        <v>21</v>
      </c>
      <c r="K1761" s="9" t="s">
        <v>9827</v>
      </c>
      <c r="L1761" s="10" t="s">
        <v>17804</v>
      </c>
      <c r="M1761" s="9" t="s">
        <v>17805</v>
      </c>
      <c r="N1761" s="10" t="s">
        <v>9834</v>
      </c>
      <c r="O1761" s="15">
        <v>29999800</v>
      </c>
      <c r="P1761" s="145">
        <v>1411011</v>
      </c>
      <c r="Q1761" s="9"/>
      <c r="R1761" s="146"/>
      <c r="T1761"/>
    </row>
    <row r="1762" spans="1:20" x14ac:dyDescent="0.3">
      <c r="A1762" s="8">
        <v>1756</v>
      </c>
      <c r="B1762" s="9" t="s">
        <v>4093</v>
      </c>
      <c r="C1762" s="10" t="str">
        <f>VLOOKUP(B1762,'Data Angt'!$A$5:$B$5809,2,FALSE)</f>
        <v>A1778</v>
      </c>
      <c r="D1762" s="11" t="s">
        <v>9829</v>
      </c>
      <c r="E1762" s="12" t="s">
        <v>10690</v>
      </c>
      <c r="F1762" s="13">
        <v>44978</v>
      </c>
      <c r="G1762" s="14">
        <v>45716</v>
      </c>
      <c r="H1762" s="15">
        <v>30000000</v>
      </c>
      <c r="I1762" s="16">
        <v>30</v>
      </c>
      <c r="J1762" s="17">
        <v>21</v>
      </c>
      <c r="K1762" s="9" t="s">
        <v>9827</v>
      </c>
      <c r="L1762" s="10" t="s">
        <v>10691</v>
      </c>
      <c r="M1762" s="9" t="s">
        <v>9838</v>
      </c>
      <c r="N1762" s="10" t="s">
        <v>9830</v>
      </c>
      <c r="O1762" s="15">
        <v>6000000</v>
      </c>
      <c r="P1762" s="145">
        <v>2913744</v>
      </c>
      <c r="Q1762" s="9" t="s">
        <v>23304</v>
      </c>
      <c r="R1762" s="146" t="s">
        <v>23873</v>
      </c>
      <c r="T1762"/>
    </row>
    <row r="1763" spans="1:20" x14ac:dyDescent="0.3">
      <c r="A1763" s="8">
        <v>1757</v>
      </c>
      <c r="B1763" s="9" t="s">
        <v>4456</v>
      </c>
      <c r="C1763" s="10" t="str">
        <f>VLOOKUP(B1763,'Data Angt'!$A$5:$B$5809,2,FALSE)</f>
        <v>A1940</v>
      </c>
      <c r="D1763" s="11" t="s">
        <v>9829</v>
      </c>
      <c r="E1763" s="12" t="s">
        <v>17806</v>
      </c>
      <c r="F1763" s="13">
        <v>45356</v>
      </c>
      <c r="G1763" s="14">
        <v>45859</v>
      </c>
      <c r="H1763" s="15">
        <v>7000000</v>
      </c>
      <c r="I1763" s="16">
        <v>24</v>
      </c>
      <c r="J1763" s="17">
        <v>24</v>
      </c>
      <c r="K1763" s="9" t="s">
        <v>9831</v>
      </c>
      <c r="L1763" s="10" t="s">
        <v>17807</v>
      </c>
      <c r="M1763" s="9" t="s">
        <v>9841</v>
      </c>
      <c r="N1763" s="10" t="s">
        <v>17</v>
      </c>
      <c r="O1763" s="15">
        <v>3330700</v>
      </c>
      <c r="P1763" s="145">
        <v>566997</v>
      </c>
      <c r="Q1763" s="9"/>
      <c r="R1763" s="146"/>
      <c r="T1763"/>
    </row>
    <row r="1764" spans="1:20" x14ac:dyDescent="0.3">
      <c r="A1764" s="8">
        <v>1758</v>
      </c>
      <c r="B1764" s="9" t="s">
        <v>4657</v>
      </c>
      <c r="C1764" s="10" t="str">
        <f>VLOOKUP(B1764,'Data Angt'!$A$5:$B$5809,2,FALSE)</f>
        <v>A2033</v>
      </c>
      <c r="D1764" s="11" t="s">
        <v>9829</v>
      </c>
      <c r="E1764" s="12" t="s">
        <v>17808</v>
      </c>
      <c r="F1764" s="13">
        <v>45603</v>
      </c>
      <c r="G1764" s="14">
        <v>45904</v>
      </c>
      <c r="H1764" s="15">
        <v>13000000</v>
      </c>
      <c r="I1764" s="16">
        <v>30</v>
      </c>
      <c r="J1764" s="17">
        <v>24</v>
      </c>
      <c r="K1764" s="9" t="s">
        <v>9831</v>
      </c>
      <c r="L1764" s="10" t="s">
        <v>17809</v>
      </c>
      <c r="M1764" s="9" t="s">
        <v>9828</v>
      </c>
      <c r="N1764" s="10" t="s">
        <v>9828</v>
      </c>
      <c r="O1764" s="15">
        <v>9490900</v>
      </c>
      <c r="P1764" s="145">
        <v>860961</v>
      </c>
      <c r="Q1764" s="9" t="s">
        <v>23304</v>
      </c>
      <c r="R1764" s="146" t="s">
        <v>23874</v>
      </c>
      <c r="T1764"/>
    </row>
    <row r="1765" spans="1:20" x14ac:dyDescent="0.3">
      <c r="A1765" s="8">
        <v>1759</v>
      </c>
      <c r="B1765" s="9" t="s">
        <v>4677</v>
      </c>
      <c r="C1765" s="10" t="str">
        <f>VLOOKUP(B1765,'Data Angt'!$A$5:$B$5809,2,FALSE)</f>
        <v>A2043</v>
      </c>
      <c r="D1765" s="11" t="s">
        <v>9829</v>
      </c>
      <c r="E1765" s="12" t="s">
        <v>10692</v>
      </c>
      <c r="F1765" s="13">
        <v>44519</v>
      </c>
      <c r="G1765" s="14">
        <v>45777</v>
      </c>
      <c r="H1765" s="15">
        <v>8000000</v>
      </c>
      <c r="I1765" s="16">
        <v>24</v>
      </c>
      <c r="J1765" s="17">
        <v>27</v>
      </c>
      <c r="K1765" s="9" t="s">
        <v>9827</v>
      </c>
      <c r="L1765" s="10" t="s">
        <v>10693</v>
      </c>
      <c r="M1765" s="9" t="s">
        <v>10694</v>
      </c>
      <c r="N1765" s="10" t="s">
        <v>9834</v>
      </c>
      <c r="O1765" s="15">
        <v>6999800</v>
      </c>
      <c r="P1765" s="145">
        <v>379687</v>
      </c>
      <c r="Q1765" s="9"/>
      <c r="R1765" s="146"/>
      <c r="T1765"/>
    </row>
    <row r="1766" spans="1:20" x14ac:dyDescent="0.3">
      <c r="A1766" s="8">
        <v>1760</v>
      </c>
      <c r="B1766" s="9" t="s">
        <v>4713</v>
      </c>
      <c r="C1766" s="10" t="str">
        <f>VLOOKUP(B1766,'Data Angt'!$A$5:$B$5809,2,FALSE)</f>
        <v>A2059</v>
      </c>
      <c r="D1766" s="11" t="s">
        <v>9826</v>
      </c>
      <c r="E1766" s="12" t="s">
        <v>17810</v>
      </c>
      <c r="F1766" s="13">
        <v>45412</v>
      </c>
      <c r="G1766" s="14">
        <v>45688</v>
      </c>
      <c r="H1766" s="15">
        <v>20000000</v>
      </c>
      <c r="I1766" s="16">
        <v>30</v>
      </c>
      <c r="J1766" s="17">
        <v>11.9</v>
      </c>
      <c r="K1766" s="9" t="s">
        <v>9831</v>
      </c>
      <c r="L1766" s="10" t="s">
        <v>17811</v>
      </c>
      <c r="M1766" s="9" t="s">
        <v>9962</v>
      </c>
      <c r="N1766" s="10" t="s">
        <v>9834</v>
      </c>
      <c r="O1766" s="15">
        <v>14608300</v>
      </c>
      <c r="P1766" s="145">
        <v>590697</v>
      </c>
      <c r="Q1766" s="9"/>
      <c r="R1766" s="146"/>
      <c r="T1766"/>
    </row>
    <row r="1767" spans="1:20" x14ac:dyDescent="0.3">
      <c r="A1767" s="8">
        <v>1761</v>
      </c>
      <c r="B1767" s="9" t="s">
        <v>12334</v>
      </c>
      <c r="C1767" s="10" t="str">
        <f>VLOOKUP(B1767,'Data Angt'!$A$5:$B$5809,2,FALSE)</f>
        <v>A2067</v>
      </c>
      <c r="D1767" s="11" t="s">
        <v>9895</v>
      </c>
      <c r="E1767" s="12" t="s">
        <v>17812</v>
      </c>
      <c r="F1767" s="13">
        <v>45387</v>
      </c>
      <c r="G1767" s="14">
        <v>45903</v>
      </c>
      <c r="H1767" s="15">
        <v>40000000</v>
      </c>
      <c r="I1767" s="16">
        <v>48</v>
      </c>
      <c r="J1767" s="17">
        <v>21</v>
      </c>
      <c r="K1767" s="9" t="s">
        <v>9831</v>
      </c>
      <c r="L1767" s="10" t="s">
        <v>17813</v>
      </c>
      <c r="M1767" s="9" t="s">
        <v>10722</v>
      </c>
      <c r="N1767" s="10" t="s">
        <v>9828</v>
      </c>
      <c r="O1767" s="15">
        <v>29441500</v>
      </c>
      <c r="P1767" s="145">
        <v>3937272</v>
      </c>
      <c r="Q1767" s="9" t="s">
        <v>22905</v>
      </c>
      <c r="R1767" s="146" t="s">
        <v>23875</v>
      </c>
      <c r="T1767"/>
    </row>
    <row r="1768" spans="1:20" x14ac:dyDescent="0.3">
      <c r="A1768" s="8">
        <v>1762</v>
      </c>
      <c r="B1768" s="9" t="s">
        <v>4859</v>
      </c>
      <c r="C1768" s="10" t="str">
        <f>VLOOKUP(B1768,'Data Angt'!$A$5:$B$5809,2,FALSE)</f>
        <v>A2127</v>
      </c>
      <c r="D1768" s="11" t="s">
        <v>9829</v>
      </c>
      <c r="E1768" s="12" t="s">
        <v>17814</v>
      </c>
      <c r="F1768" s="13">
        <v>45477</v>
      </c>
      <c r="G1768" s="14">
        <v>45903</v>
      </c>
      <c r="H1768" s="15">
        <v>15000000</v>
      </c>
      <c r="I1768" s="16">
        <v>15</v>
      </c>
      <c r="J1768" s="17">
        <v>24</v>
      </c>
      <c r="K1768" s="9" t="s">
        <v>9831</v>
      </c>
      <c r="L1768" s="10" t="s">
        <v>17815</v>
      </c>
      <c r="M1768" s="9" t="s">
        <v>17816</v>
      </c>
      <c r="N1768" s="10" t="s">
        <v>9828</v>
      </c>
      <c r="O1768" s="15">
        <v>1145100</v>
      </c>
      <c r="P1768" s="145">
        <v>933261</v>
      </c>
      <c r="Q1768" s="9"/>
      <c r="R1768" s="146"/>
      <c r="T1768"/>
    </row>
    <row r="1769" spans="1:20" x14ac:dyDescent="0.3">
      <c r="A1769" s="8">
        <v>1763</v>
      </c>
      <c r="B1769" s="9" t="s">
        <v>4911</v>
      </c>
      <c r="C1769" s="10" t="str">
        <f>VLOOKUP(B1769,'Data Angt'!$A$5:$B$5809,2,FALSE)</f>
        <v>A2149</v>
      </c>
      <c r="D1769" s="11" t="s">
        <v>9826</v>
      </c>
      <c r="E1769" s="12" t="s">
        <v>17817</v>
      </c>
      <c r="F1769" s="13">
        <v>45700</v>
      </c>
      <c r="G1769" s="14">
        <v>45860</v>
      </c>
      <c r="H1769" s="15">
        <v>3000000</v>
      </c>
      <c r="I1769" s="16">
        <v>12</v>
      </c>
      <c r="J1769" s="17">
        <v>24</v>
      </c>
      <c r="K1769" s="9" t="s">
        <v>9831</v>
      </c>
      <c r="L1769" s="10" t="s">
        <v>17818</v>
      </c>
      <c r="M1769" s="9" t="s">
        <v>17819</v>
      </c>
      <c r="N1769" s="10" t="s">
        <v>9828</v>
      </c>
      <c r="O1769" s="15">
        <v>2315500</v>
      </c>
      <c r="P1769" s="145">
        <v>62475</v>
      </c>
      <c r="Q1769" s="9"/>
      <c r="R1769" s="146"/>
      <c r="T1769"/>
    </row>
    <row r="1770" spans="1:20" x14ac:dyDescent="0.3">
      <c r="A1770" s="8">
        <v>1764</v>
      </c>
      <c r="B1770" s="9" t="s">
        <v>4914</v>
      </c>
      <c r="C1770" s="10" t="str">
        <f>VLOOKUP(B1770,'Data Angt'!$A$5:$B$5809,2,FALSE)</f>
        <v>A2150</v>
      </c>
      <c r="D1770" s="11" t="s">
        <v>9833</v>
      </c>
      <c r="E1770" s="12" t="s">
        <v>17820</v>
      </c>
      <c r="F1770" s="13">
        <v>45741</v>
      </c>
      <c r="G1770" s="14">
        <v>45880</v>
      </c>
      <c r="H1770" s="15">
        <v>5000000</v>
      </c>
      <c r="I1770" s="16">
        <v>36</v>
      </c>
      <c r="J1770" s="17">
        <v>24</v>
      </c>
      <c r="K1770" s="9" t="s">
        <v>9831</v>
      </c>
      <c r="L1770" s="10" t="s">
        <v>17821</v>
      </c>
      <c r="M1770" s="9" t="s">
        <v>17822</v>
      </c>
      <c r="N1770" s="10" t="s">
        <v>9834</v>
      </c>
      <c r="O1770" s="15">
        <v>4603700</v>
      </c>
      <c r="P1770" s="145">
        <v>145687</v>
      </c>
      <c r="Q1770" s="9"/>
      <c r="R1770" s="146"/>
      <c r="T1770"/>
    </row>
    <row r="1771" spans="1:20" x14ac:dyDescent="0.3">
      <c r="A1771" s="8">
        <v>1765</v>
      </c>
      <c r="B1771" s="9" t="s">
        <v>4974</v>
      </c>
      <c r="C1771" s="10" t="str">
        <f>VLOOKUP(B1771,'Data Angt'!$A$5:$B$5809,2,FALSE)</f>
        <v>A2181</v>
      </c>
      <c r="D1771" s="11" t="s">
        <v>9833</v>
      </c>
      <c r="E1771" s="12" t="s">
        <v>17823</v>
      </c>
      <c r="F1771" s="13">
        <v>45385</v>
      </c>
      <c r="G1771" s="14">
        <v>45860</v>
      </c>
      <c r="H1771" s="15">
        <v>10000000</v>
      </c>
      <c r="I1771" s="16">
        <v>18</v>
      </c>
      <c r="J1771" s="17">
        <v>24</v>
      </c>
      <c r="K1771" s="9" t="s">
        <v>9831</v>
      </c>
      <c r="L1771" s="10" t="s">
        <v>17824</v>
      </c>
      <c r="M1771" s="9" t="s">
        <v>9962</v>
      </c>
      <c r="N1771" s="10" t="s">
        <v>9834</v>
      </c>
      <c r="O1771" s="15">
        <v>7569400</v>
      </c>
      <c r="P1771" s="145">
        <v>532274</v>
      </c>
      <c r="Q1771" s="9" t="s">
        <v>23304</v>
      </c>
      <c r="R1771" s="146" t="s">
        <v>23876</v>
      </c>
      <c r="T1771"/>
    </row>
    <row r="1772" spans="1:20" x14ac:dyDescent="0.3">
      <c r="A1772" s="8">
        <v>1766</v>
      </c>
      <c r="B1772" s="9" t="s">
        <v>5115</v>
      </c>
      <c r="C1772" s="10" t="str">
        <f>VLOOKUP(B1772,'Data Angt'!$A$5:$B$5809,2,FALSE)</f>
        <v>A2247</v>
      </c>
      <c r="D1772" s="11" t="s">
        <v>10089</v>
      </c>
      <c r="E1772" s="12" t="s">
        <v>10695</v>
      </c>
      <c r="F1772" s="13">
        <v>42546</v>
      </c>
      <c r="G1772" s="14">
        <v>44238</v>
      </c>
      <c r="H1772" s="15">
        <v>20000000</v>
      </c>
      <c r="I1772" s="16">
        <v>48</v>
      </c>
      <c r="J1772" s="17">
        <v>15.6</v>
      </c>
      <c r="K1772" s="9" t="s">
        <v>9867</v>
      </c>
      <c r="L1772" s="10"/>
      <c r="M1772" s="9"/>
      <c r="N1772" s="10"/>
      <c r="O1772" s="15">
        <v>14999600</v>
      </c>
      <c r="P1772" s="145">
        <v>2410459</v>
      </c>
      <c r="Q1772" s="9"/>
      <c r="R1772" s="146"/>
      <c r="T1772"/>
    </row>
    <row r="1773" spans="1:20" x14ac:dyDescent="0.3">
      <c r="A1773" s="8">
        <v>1767</v>
      </c>
      <c r="B1773" s="9" t="s">
        <v>5181</v>
      </c>
      <c r="C1773" s="10" t="str">
        <f>VLOOKUP(B1773,'Data Angt'!$A$5:$B$5809,2,FALSE)</f>
        <v>A2279</v>
      </c>
      <c r="D1773" s="11" t="s">
        <v>9829</v>
      </c>
      <c r="E1773" s="12" t="s">
        <v>10696</v>
      </c>
      <c r="F1773" s="13">
        <v>45191</v>
      </c>
      <c r="G1773" s="14">
        <v>45929</v>
      </c>
      <c r="H1773" s="15">
        <v>18000000</v>
      </c>
      <c r="I1773" s="16">
        <v>60</v>
      </c>
      <c r="J1773" s="17">
        <v>24</v>
      </c>
      <c r="K1773" s="9" t="s">
        <v>9831</v>
      </c>
      <c r="L1773" s="10" t="s">
        <v>10697</v>
      </c>
      <c r="M1773" s="9" t="s">
        <v>10698</v>
      </c>
      <c r="N1773" s="10" t="s">
        <v>9830</v>
      </c>
      <c r="O1773" s="15">
        <v>13686500</v>
      </c>
      <c r="P1773" s="145">
        <v>2654919</v>
      </c>
      <c r="Q1773" s="9" t="s">
        <v>23304</v>
      </c>
      <c r="R1773" s="146" t="s">
        <v>23877</v>
      </c>
      <c r="T1773"/>
    </row>
    <row r="1774" spans="1:20" x14ac:dyDescent="0.3">
      <c r="A1774" s="8">
        <v>1768</v>
      </c>
      <c r="B1774" s="9" t="s">
        <v>5308</v>
      </c>
      <c r="C1774" s="10" t="str">
        <f>VLOOKUP(B1774,'Data Angt'!$A$5:$B$5809,2,FALSE)</f>
        <v>A2337</v>
      </c>
      <c r="D1774" s="11" t="s">
        <v>9829</v>
      </c>
      <c r="E1774" s="12" t="s">
        <v>10699</v>
      </c>
      <c r="F1774" s="13">
        <v>45119</v>
      </c>
      <c r="G1774" s="14">
        <v>45716</v>
      </c>
      <c r="H1774" s="15">
        <v>9000000</v>
      </c>
      <c r="I1774" s="16">
        <v>30</v>
      </c>
      <c r="J1774" s="17">
        <v>27</v>
      </c>
      <c r="K1774" s="9" t="s">
        <v>9831</v>
      </c>
      <c r="L1774" s="10" t="s">
        <v>10700</v>
      </c>
      <c r="M1774" s="9" t="s">
        <v>9838</v>
      </c>
      <c r="N1774" s="10" t="s">
        <v>9828</v>
      </c>
      <c r="O1774" s="15">
        <v>4020200</v>
      </c>
      <c r="P1774" s="145">
        <v>1095146</v>
      </c>
      <c r="Q1774" s="9"/>
      <c r="R1774" s="146"/>
      <c r="T1774"/>
    </row>
    <row r="1775" spans="1:20" x14ac:dyDescent="0.3">
      <c r="A1775" s="8">
        <v>1769</v>
      </c>
      <c r="B1775" s="9" t="s">
        <v>5327</v>
      </c>
      <c r="C1775" s="10" t="str">
        <f>VLOOKUP(B1775,'Data Angt'!$A$5:$B$5809,2,FALSE)</f>
        <v>A2346</v>
      </c>
      <c r="D1775" s="11" t="s">
        <v>9833</v>
      </c>
      <c r="E1775" s="12" t="s">
        <v>23878</v>
      </c>
      <c r="F1775" s="13">
        <v>45840</v>
      </c>
      <c r="G1775" s="14">
        <v>45902</v>
      </c>
      <c r="H1775" s="15">
        <v>35000000</v>
      </c>
      <c r="I1775" s="16">
        <v>10</v>
      </c>
      <c r="J1775" s="17">
        <v>21</v>
      </c>
      <c r="K1775" s="9" t="s">
        <v>9827</v>
      </c>
      <c r="L1775" s="10" t="s">
        <v>23879</v>
      </c>
      <c r="M1775" s="9" t="s">
        <v>9962</v>
      </c>
      <c r="N1775" s="10" t="s">
        <v>9834</v>
      </c>
      <c r="O1775" s="15">
        <v>28000000</v>
      </c>
      <c r="P1775" s="145">
        <v>436424</v>
      </c>
      <c r="Q1775" s="9" t="s">
        <v>23880</v>
      </c>
      <c r="R1775" s="146" t="s">
        <v>23881</v>
      </c>
      <c r="T1775"/>
    </row>
    <row r="1776" spans="1:20" x14ac:dyDescent="0.3">
      <c r="A1776" s="8">
        <v>1770</v>
      </c>
      <c r="B1776" s="9" t="s">
        <v>5381</v>
      </c>
      <c r="C1776" s="10" t="str">
        <f>VLOOKUP(B1776,'Data Angt'!$A$5:$B$5809,2,FALSE)</f>
        <v>A2374</v>
      </c>
      <c r="D1776" s="11" t="s">
        <v>9829</v>
      </c>
      <c r="E1776" s="12" t="s">
        <v>17825</v>
      </c>
      <c r="F1776" s="13">
        <v>45464</v>
      </c>
      <c r="G1776" s="14">
        <v>45744</v>
      </c>
      <c r="H1776" s="15">
        <v>10000000</v>
      </c>
      <c r="I1776" s="16">
        <v>24</v>
      </c>
      <c r="J1776" s="17">
        <v>24</v>
      </c>
      <c r="K1776" s="9" t="s">
        <v>9831</v>
      </c>
      <c r="L1776" s="10" t="s">
        <v>17826</v>
      </c>
      <c r="M1776" s="9" t="s">
        <v>9866</v>
      </c>
      <c r="N1776" s="10" t="s">
        <v>17</v>
      </c>
      <c r="O1776" s="15">
        <v>6793100</v>
      </c>
      <c r="P1776" s="145">
        <v>582111</v>
      </c>
      <c r="Q1776" s="9"/>
      <c r="R1776" s="146"/>
      <c r="T1776"/>
    </row>
    <row r="1777" spans="1:20" x14ac:dyDescent="0.3">
      <c r="A1777" s="8">
        <v>1771</v>
      </c>
      <c r="B1777" s="9" t="s">
        <v>5397</v>
      </c>
      <c r="C1777" s="10" t="str">
        <f>VLOOKUP(B1777,'Data Angt'!$A$5:$B$5809,2,FALSE)</f>
        <v>A2381</v>
      </c>
      <c r="D1777" s="11" t="s">
        <v>9829</v>
      </c>
      <c r="E1777" s="12" t="s">
        <v>17827</v>
      </c>
      <c r="F1777" s="13">
        <v>45670</v>
      </c>
      <c r="G1777" s="14">
        <v>45925</v>
      </c>
      <c r="H1777" s="15">
        <v>5000000</v>
      </c>
      <c r="I1777" s="16">
        <v>18</v>
      </c>
      <c r="J1777" s="17">
        <v>24</v>
      </c>
      <c r="K1777" s="9" t="s">
        <v>9831</v>
      </c>
      <c r="L1777" s="10" t="s">
        <v>17828</v>
      </c>
      <c r="M1777" s="9" t="s">
        <v>9832</v>
      </c>
      <c r="N1777" s="10" t="s">
        <v>17</v>
      </c>
      <c r="O1777" s="15">
        <v>2995400</v>
      </c>
      <c r="P1777" s="145">
        <v>249074</v>
      </c>
      <c r="Q1777" s="9"/>
      <c r="R1777" s="146"/>
      <c r="T1777"/>
    </row>
    <row r="1778" spans="1:20" x14ac:dyDescent="0.3">
      <c r="A1778" s="8">
        <v>1772</v>
      </c>
      <c r="B1778" s="9" t="s">
        <v>5446</v>
      </c>
      <c r="C1778" s="10" t="str">
        <f>VLOOKUP(B1778,'Data Angt'!$A$5:$B$5809,2,FALSE)</f>
        <v>A2404</v>
      </c>
      <c r="D1778" s="11" t="s">
        <v>9829</v>
      </c>
      <c r="E1778" s="12" t="s">
        <v>17829</v>
      </c>
      <c r="F1778" s="13">
        <v>45600</v>
      </c>
      <c r="G1778" s="14">
        <v>45919</v>
      </c>
      <c r="H1778" s="15">
        <v>7000000</v>
      </c>
      <c r="I1778" s="16">
        <v>12</v>
      </c>
      <c r="J1778" s="17">
        <v>24</v>
      </c>
      <c r="K1778" s="9" t="s">
        <v>9831</v>
      </c>
      <c r="L1778" s="10" t="s">
        <v>17830</v>
      </c>
      <c r="M1778" s="9" t="s">
        <v>17</v>
      </c>
      <c r="N1778" s="10" t="s">
        <v>17</v>
      </c>
      <c r="O1778" s="15">
        <v>1284600</v>
      </c>
      <c r="P1778" s="145">
        <v>339224</v>
      </c>
      <c r="Q1778" s="9" t="s">
        <v>23304</v>
      </c>
      <c r="R1778" s="146" t="s">
        <v>23882</v>
      </c>
      <c r="T1778"/>
    </row>
    <row r="1779" spans="1:20" x14ac:dyDescent="0.3">
      <c r="A1779" s="8">
        <v>1773</v>
      </c>
      <c r="B1779" s="9" t="s">
        <v>5510</v>
      </c>
      <c r="C1779" s="10" t="str">
        <f>VLOOKUP(B1779,'Data Angt'!$A$5:$B$5809,2,FALSE)</f>
        <v>A2433</v>
      </c>
      <c r="D1779" s="11" t="s">
        <v>10089</v>
      </c>
      <c r="E1779" s="12" t="s">
        <v>10701</v>
      </c>
      <c r="F1779" s="13">
        <v>43085</v>
      </c>
      <c r="G1779" s="14">
        <v>44238</v>
      </c>
      <c r="H1779" s="15">
        <v>5000000</v>
      </c>
      <c r="I1779" s="16">
        <v>12</v>
      </c>
      <c r="J1779" s="17">
        <v>27</v>
      </c>
      <c r="K1779" s="9" t="s">
        <v>9831</v>
      </c>
      <c r="L1779" s="10"/>
      <c r="M1779" s="9"/>
      <c r="N1779" s="10"/>
      <c r="O1779" s="15">
        <v>4264800</v>
      </c>
      <c r="P1779" s="145">
        <v>360184</v>
      </c>
      <c r="Q1779" s="9"/>
      <c r="R1779" s="146"/>
      <c r="T1779"/>
    </row>
    <row r="1780" spans="1:20" x14ac:dyDescent="0.3">
      <c r="A1780" s="8">
        <v>1774</v>
      </c>
      <c r="B1780" s="9" t="s">
        <v>5602</v>
      </c>
      <c r="C1780" s="10" t="str">
        <f>VLOOKUP(B1780,'Data Angt'!$A$5:$B$5809,2,FALSE)</f>
        <v>A2474</v>
      </c>
      <c r="D1780" s="11" t="s">
        <v>9829</v>
      </c>
      <c r="E1780" s="12" t="s">
        <v>10702</v>
      </c>
      <c r="F1780" s="13">
        <v>43791</v>
      </c>
      <c r="G1780" s="14">
        <v>44238</v>
      </c>
      <c r="H1780" s="15">
        <v>5000000</v>
      </c>
      <c r="I1780" s="16">
        <v>12</v>
      </c>
      <c r="J1780" s="17">
        <v>27</v>
      </c>
      <c r="K1780" s="9" t="s">
        <v>9827</v>
      </c>
      <c r="L1780" s="10" t="s">
        <v>10703</v>
      </c>
      <c r="M1780" s="9" t="s">
        <v>10704</v>
      </c>
      <c r="N1780" s="10" t="s">
        <v>9828</v>
      </c>
      <c r="O1780" s="15">
        <v>3333200</v>
      </c>
      <c r="P1780" s="145">
        <v>348139</v>
      </c>
      <c r="Q1780" s="9"/>
      <c r="R1780" s="146"/>
      <c r="T1780"/>
    </row>
    <row r="1781" spans="1:20" x14ac:dyDescent="0.3">
      <c r="A1781" s="8">
        <v>1775</v>
      </c>
      <c r="B1781" s="9" t="s">
        <v>5605</v>
      </c>
      <c r="C1781" s="10" t="str">
        <f>VLOOKUP(B1781,'Data Angt'!$A$5:$B$5809,2,FALSE)</f>
        <v>A2476</v>
      </c>
      <c r="D1781" s="11" t="s">
        <v>9829</v>
      </c>
      <c r="E1781" s="12" t="s">
        <v>10705</v>
      </c>
      <c r="F1781" s="13">
        <v>45205</v>
      </c>
      <c r="G1781" s="14">
        <v>45881</v>
      </c>
      <c r="H1781" s="15">
        <v>3000000</v>
      </c>
      <c r="I1781" s="16">
        <v>24</v>
      </c>
      <c r="J1781" s="17">
        <v>24</v>
      </c>
      <c r="K1781" s="9" t="s">
        <v>9831</v>
      </c>
      <c r="L1781" s="10" t="s">
        <v>10706</v>
      </c>
      <c r="M1781" s="9" t="s">
        <v>10352</v>
      </c>
      <c r="N1781" s="10" t="s">
        <v>9828</v>
      </c>
      <c r="O1781" s="15">
        <v>315400</v>
      </c>
      <c r="P1781" s="145">
        <v>302544</v>
      </c>
      <c r="Q1781" s="9"/>
      <c r="R1781" s="146"/>
      <c r="T1781"/>
    </row>
    <row r="1782" spans="1:20" x14ac:dyDescent="0.3">
      <c r="A1782" s="8">
        <v>1776</v>
      </c>
      <c r="B1782" s="9" t="s">
        <v>5636</v>
      </c>
      <c r="C1782" s="10" t="str">
        <f>VLOOKUP(B1782,'Data Angt'!$A$5:$B$5809,2,FALSE)</f>
        <v>A2488</v>
      </c>
      <c r="D1782" s="11" t="s">
        <v>9829</v>
      </c>
      <c r="E1782" s="12" t="s">
        <v>10707</v>
      </c>
      <c r="F1782" s="13">
        <v>45196</v>
      </c>
      <c r="G1782" s="14">
        <v>45716</v>
      </c>
      <c r="H1782" s="15">
        <v>7000000</v>
      </c>
      <c r="I1782" s="16">
        <v>24</v>
      </c>
      <c r="J1782" s="17">
        <v>24</v>
      </c>
      <c r="K1782" s="9" t="s">
        <v>9831</v>
      </c>
      <c r="L1782" s="10" t="s">
        <v>10708</v>
      </c>
      <c r="M1782" s="9" t="s">
        <v>10709</v>
      </c>
      <c r="N1782" s="10" t="s">
        <v>9828</v>
      </c>
      <c r="O1782" s="15">
        <v>2402500</v>
      </c>
      <c r="P1782" s="145">
        <v>635323</v>
      </c>
      <c r="Q1782" s="9"/>
      <c r="R1782" s="146"/>
      <c r="T1782"/>
    </row>
    <row r="1783" spans="1:20" x14ac:dyDescent="0.3">
      <c r="A1783" s="8">
        <v>1777</v>
      </c>
      <c r="B1783" s="9" t="s">
        <v>5674</v>
      </c>
      <c r="C1783" s="10" t="str">
        <f>VLOOKUP(B1783,'Data Angt'!$A$5:$B$5809,2,FALSE)</f>
        <v>A2505</v>
      </c>
      <c r="D1783" s="11" t="s">
        <v>9829</v>
      </c>
      <c r="E1783" s="12" t="s">
        <v>17831</v>
      </c>
      <c r="F1783" s="13">
        <v>45693</v>
      </c>
      <c r="G1783" s="14">
        <v>45904</v>
      </c>
      <c r="H1783" s="15">
        <v>10000000</v>
      </c>
      <c r="I1783" s="16">
        <v>12</v>
      </c>
      <c r="J1783" s="17">
        <v>24</v>
      </c>
      <c r="K1783" s="9" t="s">
        <v>9831</v>
      </c>
      <c r="L1783" s="10" t="s">
        <v>17832</v>
      </c>
      <c r="M1783" s="9" t="s">
        <v>9841</v>
      </c>
      <c r="N1783" s="10" t="s">
        <v>17</v>
      </c>
      <c r="O1783" s="15">
        <v>4457200</v>
      </c>
      <c r="P1783" s="145">
        <v>403649</v>
      </c>
      <c r="Q1783" s="9" t="s">
        <v>22905</v>
      </c>
      <c r="R1783" s="146" t="s">
        <v>23883</v>
      </c>
      <c r="T1783"/>
    </row>
    <row r="1784" spans="1:20" x14ac:dyDescent="0.3">
      <c r="A1784" s="8">
        <v>1778</v>
      </c>
      <c r="B1784" s="9" t="s">
        <v>5748</v>
      </c>
      <c r="C1784" s="10" t="str">
        <f>VLOOKUP(B1784,'Data Angt'!$A$5:$B$5809,2,FALSE)</f>
        <v>A2535</v>
      </c>
      <c r="D1784" s="11" t="s">
        <v>9833</v>
      </c>
      <c r="E1784" s="12" t="s">
        <v>17833</v>
      </c>
      <c r="F1784" s="13">
        <v>45726</v>
      </c>
      <c r="G1784" s="14">
        <v>45901</v>
      </c>
      <c r="H1784" s="15">
        <v>3000000</v>
      </c>
      <c r="I1784" s="16">
        <v>12</v>
      </c>
      <c r="J1784" s="17">
        <v>24</v>
      </c>
      <c r="K1784" s="9" t="s">
        <v>9831</v>
      </c>
      <c r="L1784" s="10" t="s">
        <v>17834</v>
      </c>
      <c r="M1784" s="9" t="s">
        <v>9862</v>
      </c>
      <c r="N1784" s="10" t="s">
        <v>9834</v>
      </c>
      <c r="O1784" s="15">
        <v>1589200</v>
      </c>
      <c r="P1784" s="145">
        <v>109275</v>
      </c>
      <c r="Q1784" s="9"/>
      <c r="R1784" s="146"/>
      <c r="T1784"/>
    </row>
    <row r="1785" spans="1:20" x14ac:dyDescent="0.3">
      <c r="A1785" s="8">
        <v>1779</v>
      </c>
      <c r="B1785" s="9" t="s">
        <v>5752</v>
      </c>
      <c r="C1785" s="10" t="str">
        <f>VLOOKUP(B1785,'Data Angt'!$A$5:$B$5809,2,FALSE)</f>
        <v>A2537</v>
      </c>
      <c r="D1785" s="11" t="s">
        <v>9829</v>
      </c>
      <c r="E1785" s="12" t="s">
        <v>17835</v>
      </c>
      <c r="F1785" s="13">
        <v>45356</v>
      </c>
      <c r="G1785" s="14">
        <v>45910</v>
      </c>
      <c r="H1785" s="15">
        <v>13000000</v>
      </c>
      <c r="I1785" s="16">
        <v>30</v>
      </c>
      <c r="J1785" s="17">
        <v>24</v>
      </c>
      <c r="K1785" s="9" t="s">
        <v>9831</v>
      </c>
      <c r="L1785" s="10" t="s">
        <v>17836</v>
      </c>
      <c r="M1785" s="9" t="s">
        <v>9838</v>
      </c>
      <c r="N1785" s="10" t="s">
        <v>9830</v>
      </c>
      <c r="O1785" s="15">
        <v>6138300</v>
      </c>
      <c r="P1785" s="145">
        <v>1345234</v>
      </c>
      <c r="Q1785" s="9" t="s">
        <v>23042</v>
      </c>
      <c r="R1785" s="146" t="s">
        <v>23884</v>
      </c>
      <c r="T1785"/>
    </row>
    <row r="1786" spans="1:20" x14ac:dyDescent="0.3">
      <c r="A1786" s="8">
        <v>1780</v>
      </c>
      <c r="B1786" s="9" t="s">
        <v>5831</v>
      </c>
      <c r="C1786" s="10" t="str">
        <f>VLOOKUP(B1786,'Data Angt'!$A$5:$B$5809,2,FALSE)</f>
        <v>A2572</v>
      </c>
      <c r="D1786" s="11" t="s">
        <v>9829</v>
      </c>
      <c r="E1786" s="12" t="s">
        <v>10710</v>
      </c>
      <c r="F1786" s="13">
        <v>44365</v>
      </c>
      <c r="G1786" s="14">
        <v>44681</v>
      </c>
      <c r="H1786" s="15">
        <v>25000000</v>
      </c>
      <c r="I1786" s="16">
        <v>24</v>
      </c>
      <c r="J1786" s="17">
        <v>24</v>
      </c>
      <c r="K1786" s="9" t="s">
        <v>9831</v>
      </c>
      <c r="L1786" s="10" t="s">
        <v>10711</v>
      </c>
      <c r="M1786" s="9" t="s">
        <v>9962</v>
      </c>
      <c r="N1786" s="10" t="s">
        <v>9834</v>
      </c>
      <c r="O1786" s="15">
        <v>19816100</v>
      </c>
      <c r="P1786" s="145">
        <v>1340960</v>
      </c>
      <c r="Q1786" s="9" t="s">
        <v>22254</v>
      </c>
      <c r="R1786" s="146" t="s">
        <v>23885</v>
      </c>
      <c r="T1786"/>
    </row>
    <row r="1787" spans="1:20" x14ac:dyDescent="0.3">
      <c r="A1787" s="8">
        <v>1781</v>
      </c>
      <c r="B1787" s="9" t="s">
        <v>5856</v>
      </c>
      <c r="C1787" s="10" t="str">
        <f>VLOOKUP(B1787,'Data Angt'!$A$5:$B$5809,2,FALSE)</f>
        <v>A2586</v>
      </c>
      <c r="D1787" s="11" t="s">
        <v>9829</v>
      </c>
      <c r="E1787" s="12" t="s">
        <v>17837</v>
      </c>
      <c r="F1787" s="13">
        <v>45371</v>
      </c>
      <c r="G1787" s="14">
        <v>45891</v>
      </c>
      <c r="H1787" s="15">
        <v>15000000</v>
      </c>
      <c r="I1787" s="16">
        <v>36</v>
      </c>
      <c r="J1787" s="17">
        <v>24</v>
      </c>
      <c r="K1787" s="9" t="s">
        <v>9831</v>
      </c>
      <c r="L1787" s="10" t="s">
        <v>16110</v>
      </c>
      <c r="M1787" s="9" t="s">
        <v>17838</v>
      </c>
      <c r="N1787" s="10" t="s">
        <v>9828</v>
      </c>
      <c r="O1787" s="15">
        <v>12160100</v>
      </c>
      <c r="P1787" s="145">
        <v>1123723</v>
      </c>
      <c r="Q1787" s="9" t="s">
        <v>22905</v>
      </c>
      <c r="R1787" s="146" t="s">
        <v>23886</v>
      </c>
      <c r="T1787"/>
    </row>
    <row r="1788" spans="1:20" x14ac:dyDescent="0.3">
      <c r="A1788" s="8">
        <v>1782</v>
      </c>
      <c r="B1788" s="9" t="s">
        <v>5920</v>
      </c>
      <c r="C1788" s="10" t="str">
        <f>VLOOKUP(B1788,'Data Angt'!$A$5:$B$5809,2,FALSE)</f>
        <v>A2614</v>
      </c>
      <c r="D1788" s="11" t="s">
        <v>9829</v>
      </c>
      <c r="E1788" s="12" t="s">
        <v>10712</v>
      </c>
      <c r="F1788" s="13">
        <v>44756</v>
      </c>
      <c r="G1788" s="14">
        <v>45531</v>
      </c>
      <c r="H1788" s="15">
        <v>25000000</v>
      </c>
      <c r="I1788" s="16">
        <v>24</v>
      </c>
      <c r="J1788" s="17">
        <v>21</v>
      </c>
      <c r="K1788" s="9" t="s">
        <v>9831</v>
      </c>
      <c r="L1788" s="10" t="s">
        <v>10713</v>
      </c>
      <c r="M1788" s="9" t="s">
        <v>9962</v>
      </c>
      <c r="N1788" s="10" t="s">
        <v>9834</v>
      </c>
      <c r="O1788" s="15">
        <v>16274700</v>
      </c>
      <c r="P1788" s="145">
        <v>672786</v>
      </c>
      <c r="Q1788" s="9" t="s">
        <v>23887</v>
      </c>
      <c r="R1788" s="146" t="s">
        <v>23888</v>
      </c>
      <c r="T1788"/>
    </row>
    <row r="1789" spans="1:20" x14ac:dyDescent="0.3">
      <c r="A1789" s="8">
        <v>1783</v>
      </c>
      <c r="B1789" s="9" t="s">
        <v>6060</v>
      </c>
      <c r="C1789" s="10" t="str">
        <f>VLOOKUP(B1789,'Data Angt'!$A$5:$B$5809,2,FALSE)</f>
        <v>A2679</v>
      </c>
      <c r="D1789" s="11" t="s">
        <v>9829</v>
      </c>
      <c r="E1789" s="12" t="s">
        <v>17839</v>
      </c>
      <c r="F1789" s="13">
        <v>45322</v>
      </c>
      <c r="G1789" s="14">
        <v>45927</v>
      </c>
      <c r="H1789" s="15">
        <v>50000000</v>
      </c>
      <c r="I1789" s="16">
        <v>60</v>
      </c>
      <c r="J1789" s="17">
        <v>24</v>
      </c>
      <c r="K1789" s="9" t="s">
        <v>9831</v>
      </c>
      <c r="L1789" s="10" t="s">
        <v>17840</v>
      </c>
      <c r="M1789" s="9" t="s">
        <v>17841</v>
      </c>
      <c r="N1789" s="10" t="s">
        <v>17</v>
      </c>
      <c r="O1789" s="15">
        <v>39348900</v>
      </c>
      <c r="P1789" s="145">
        <v>6793833</v>
      </c>
      <c r="Q1789" s="9" t="s">
        <v>22975</v>
      </c>
      <c r="R1789" s="146" t="s">
        <v>23889</v>
      </c>
      <c r="T1789"/>
    </row>
    <row r="1790" spans="1:20" x14ac:dyDescent="0.3">
      <c r="A1790" s="8">
        <v>1784</v>
      </c>
      <c r="B1790" s="9" t="s">
        <v>6129</v>
      </c>
      <c r="C1790" s="10" t="str">
        <f>VLOOKUP(B1790,'Data Angt'!$A$5:$B$5809,2,FALSE)</f>
        <v>A2715</v>
      </c>
      <c r="D1790" s="11" t="s">
        <v>9826</v>
      </c>
      <c r="E1790" s="12" t="s">
        <v>17842</v>
      </c>
      <c r="F1790" s="13">
        <v>45670</v>
      </c>
      <c r="G1790" s="14">
        <v>45909</v>
      </c>
      <c r="H1790" s="15">
        <v>2000000</v>
      </c>
      <c r="I1790" s="16">
        <v>12</v>
      </c>
      <c r="J1790" s="17">
        <v>24</v>
      </c>
      <c r="K1790" s="9" t="s">
        <v>9831</v>
      </c>
      <c r="L1790" s="10" t="s">
        <v>17843</v>
      </c>
      <c r="M1790" s="9" t="s">
        <v>17844</v>
      </c>
      <c r="N1790" s="10" t="s">
        <v>110</v>
      </c>
      <c r="O1790" s="15">
        <v>719800</v>
      </c>
      <c r="P1790" s="145">
        <v>87523</v>
      </c>
      <c r="Q1790" s="9"/>
      <c r="R1790" s="146"/>
      <c r="T1790"/>
    </row>
    <row r="1791" spans="1:20" x14ac:dyDescent="0.3">
      <c r="A1791" s="8">
        <v>1785</v>
      </c>
      <c r="B1791" s="9" t="s">
        <v>6129</v>
      </c>
      <c r="C1791" s="10" t="str">
        <f>VLOOKUP(B1791,'Data Angt'!$A$5:$B$5809,2,FALSE)</f>
        <v>A2715</v>
      </c>
      <c r="D1791" s="11" t="s">
        <v>9829</v>
      </c>
      <c r="E1791" s="12" t="s">
        <v>23890</v>
      </c>
      <c r="F1791" s="13">
        <v>45878</v>
      </c>
      <c r="G1791" s="14">
        <v>45909</v>
      </c>
      <c r="H1791" s="15">
        <v>30000000</v>
      </c>
      <c r="I1791" s="16">
        <v>48</v>
      </c>
      <c r="J1791" s="17">
        <v>21</v>
      </c>
      <c r="K1791" s="9" t="s">
        <v>9831</v>
      </c>
      <c r="L1791" s="10" t="s">
        <v>23891</v>
      </c>
      <c r="M1791" s="9" t="s">
        <v>9841</v>
      </c>
      <c r="N1791" s="10" t="s">
        <v>17</v>
      </c>
      <c r="O1791" s="15">
        <v>29596000</v>
      </c>
      <c r="P1791" s="145">
        <v>196875</v>
      </c>
      <c r="Q1791" s="9" t="s">
        <v>23892</v>
      </c>
      <c r="R1791" s="146" t="s">
        <v>23893</v>
      </c>
      <c r="T1791"/>
    </row>
    <row r="1792" spans="1:20" x14ac:dyDescent="0.3">
      <c r="A1792" s="8">
        <v>1786</v>
      </c>
      <c r="B1792" s="9" t="s">
        <v>6263</v>
      </c>
      <c r="C1792" s="10" t="str">
        <f>VLOOKUP(B1792,'Data Angt'!$A$5:$B$5809,2,FALSE)</f>
        <v>A2775</v>
      </c>
      <c r="D1792" s="11" t="s">
        <v>9829</v>
      </c>
      <c r="E1792" s="12" t="s">
        <v>17845</v>
      </c>
      <c r="F1792" s="13">
        <v>45307</v>
      </c>
      <c r="G1792" s="14">
        <v>45917</v>
      </c>
      <c r="H1792" s="15">
        <v>6000000</v>
      </c>
      <c r="I1792" s="16">
        <v>24</v>
      </c>
      <c r="J1792" s="17">
        <v>24</v>
      </c>
      <c r="K1792" s="9" t="s">
        <v>9831</v>
      </c>
      <c r="L1792" s="10" t="s">
        <v>17846</v>
      </c>
      <c r="M1792" s="9" t="s">
        <v>17847</v>
      </c>
      <c r="N1792" s="10" t="s">
        <v>9830</v>
      </c>
      <c r="O1792" s="15">
        <v>1223800</v>
      </c>
      <c r="P1792" s="145">
        <v>588670</v>
      </c>
      <c r="Q1792" s="9"/>
      <c r="R1792" s="146"/>
      <c r="T1792"/>
    </row>
    <row r="1793" spans="1:20" x14ac:dyDescent="0.3">
      <c r="A1793" s="8">
        <v>1787</v>
      </c>
      <c r="B1793" s="9" t="s">
        <v>6534</v>
      </c>
      <c r="C1793" s="10" t="str">
        <f>VLOOKUP(B1793,'Data Angt'!$A$5:$B$5809,2,FALSE)</f>
        <v>A2902</v>
      </c>
      <c r="D1793" s="11" t="s">
        <v>9829</v>
      </c>
      <c r="E1793" s="12" t="s">
        <v>17848</v>
      </c>
      <c r="F1793" s="13">
        <v>45469</v>
      </c>
      <c r="G1793" s="14">
        <v>45909</v>
      </c>
      <c r="H1793" s="15">
        <v>17000000</v>
      </c>
      <c r="I1793" s="16">
        <v>36</v>
      </c>
      <c r="J1793" s="17">
        <v>24</v>
      </c>
      <c r="K1793" s="9" t="s">
        <v>9831</v>
      </c>
      <c r="L1793" s="10" t="s">
        <v>17849</v>
      </c>
      <c r="M1793" s="9" t="s">
        <v>110</v>
      </c>
      <c r="N1793" s="10" t="s">
        <v>110</v>
      </c>
      <c r="O1793" s="15">
        <v>11784800</v>
      </c>
      <c r="P1793" s="145">
        <v>1546048</v>
      </c>
      <c r="Q1793" s="9" t="s">
        <v>23894</v>
      </c>
      <c r="R1793" s="146" t="s">
        <v>23895</v>
      </c>
      <c r="T1793"/>
    </row>
    <row r="1794" spans="1:20" x14ac:dyDescent="0.3">
      <c r="A1794" s="8">
        <v>1788</v>
      </c>
      <c r="B1794" s="9" t="s">
        <v>6548</v>
      </c>
      <c r="C1794" s="10" t="str">
        <f>VLOOKUP(B1794,'Data Angt'!$A$5:$B$5809,2,FALSE)</f>
        <v>A2907</v>
      </c>
      <c r="D1794" s="11" t="s">
        <v>9829</v>
      </c>
      <c r="E1794" s="12" t="s">
        <v>17850</v>
      </c>
      <c r="F1794" s="13">
        <v>45681</v>
      </c>
      <c r="G1794" s="14">
        <v>45930</v>
      </c>
      <c r="H1794" s="15">
        <v>4000000</v>
      </c>
      <c r="I1794" s="16">
        <v>18</v>
      </c>
      <c r="J1794" s="17">
        <v>24</v>
      </c>
      <c r="K1794" s="9" t="s">
        <v>9831</v>
      </c>
      <c r="L1794" s="10" t="s">
        <v>17851</v>
      </c>
      <c r="M1794" s="9" t="s">
        <v>17852</v>
      </c>
      <c r="N1794" s="10" t="s">
        <v>9834</v>
      </c>
      <c r="O1794" s="15">
        <v>2417200</v>
      </c>
      <c r="P1794" s="145">
        <v>207149</v>
      </c>
      <c r="Q1794" s="9"/>
      <c r="R1794" s="146"/>
      <c r="T1794"/>
    </row>
    <row r="1795" spans="1:20" x14ac:dyDescent="0.3">
      <c r="A1795" s="8">
        <v>1789</v>
      </c>
      <c r="B1795" s="9" t="s">
        <v>6613</v>
      </c>
      <c r="C1795" s="10" t="str">
        <f>VLOOKUP(B1795,'Data Angt'!$A$5:$B$5809,2,FALSE)</f>
        <v>A2937</v>
      </c>
      <c r="D1795" s="11" t="s">
        <v>9829</v>
      </c>
      <c r="E1795" s="12" t="s">
        <v>10716</v>
      </c>
      <c r="F1795" s="13">
        <v>44527</v>
      </c>
      <c r="G1795" s="14">
        <v>45925</v>
      </c>
      <c r="H1795" s="15">
        <v>14000000</v>
      </c>
      <c r="I1795" s="16">
        <v>36</v>
      </c>
      <c r="J1795" s="17">
        <v>27</v>
      </c>
      <c r="K1795" s="9" t="s">
        <v>9831</v>
      </c>
      <c r="L1795" s="10" t="s">
        <v>10717</v>
      </c>
      <c r="M1795" s="9" t="s">
        <v>10718</v>
      </c>
      <c r="N1795" s="10" t="s">
        <v>9834</v>
      </c>
      <c r="O1795" s="15">
        <v>10510500</v>
      </c>
      <c r="P1795" s="145">
        <v>1368447</v>
      </c>
      <c r="Q1795" s="9" t="s">
        <v>22197</v>
      </c>
      <c r="R1795" s="146" t="s">
        <v>23896</v>
      </c>
      <c r="T1795"/>
    </row>
    <row r="1796" spans="1:20" x14ac:dyDescent="0.3">
      <c r="A1796" s="8">
        <v>1790</v>
      </c>
      <c r="B1796" s="9" t="s">
        <v>6695</v>
      </c>
      <c r="C1796" s="10" t="str">
        <f>VLOOKUP(B1796,'Data Angt'!$A$5:$B$5809,2,FALSE)</f>
        <v>A2978</v>
      </c>
      <c r="D1796" s="11" t="s">
        <v>9829</v>
      </c>
      <c r="E1796" s="12" t="s">
        <v>10719</v>
      </c>
      <c r="F1796" s="13">
        <v>45262</v>
      </c>
      <c r="G1796" s="14">
        <v>45839</v>
      </c>
      <c r="H1796" s="15">
        <v>25000000</v>
      </c>
      <c r="I1796" s="16">
        <v>48</v>
      </c>
      <c r="J1796" s="17">
        <v>21</v>
      </c>
      <c r="K1796" s="9" t="s">
        <v>9831</v>
      </c>
      <c r="L1796" s="10" t="s">
        <v>10720</v>
      </c>
      <c r="M1796" s="9" t="s">
        <v>9840</v>
      </c>
      <c r="N1796" s="10" t="s">
        <v>9828</v>
      </c>
      <c r="O1796" s="15">
        <v>17527900</v>
      </c>
      <c r="P1796" s="145">
        <v>2714135</v>
      </c>
      <c r="Q1796" s="9" t="s">
        <v>23579</v>
      </c>
      <c r="R1796" s="146" t="s">
        <v>23897</v>
      </c>
      <c r="T1796"/>
    </row>
    <row r="1797" spans="1:20" x14ac:dyDescent="0.3">
      <c r="A1797" s="8">
        <v>1791</v>
      </c>
      <c r="B1797" s="9" t="s">
        <v>6795</v>
      </c>
      <c r="C1797" s="10" t="str">
        <f>VLOOKUP(B1797,'Data Angt'!$A$5:$B$5809,2,FALSE)</f>
        <v>A3024</v>
      </c>
      <c r="D1797" s="11" t="s">
        <v>9829</v>
      </c>
      <c r="E1797" s="12" t="s">
        <v>17853</v>
      </c>
      <c r="F1797" s="13">
        <v>45700</v>
      </c>
      <c r="G1797" s="14">
        <v>45930</v>
      </c>
      <c r="H1797" s="15">
        <v>3000000</v>
      </c>
      <c r="I1797" s="16">
        <v>18</v>
      </c>
      <c r="J1797" s="17">
        <v>24</v>
      </c>
      <c r="K1797" s="9" t="s">
        <v>9831</v>
      </c>
      <c r="L1797" s="10" t="s">
        <v>17854</v>
      </c>
      <c r="M1797" s="9" t="s">
        <v>10182</v>
      </c>
      <c r="N1797" s="10" t="s">
        <v>9828</v>
      </c>
      <c r="O1797" s="15">
        <v>2270600</v>
      </c>
      <c r="P1797" s="145">
        <v>143699</v>
      </c>
      <c r="Q1797" s="9"/>
      <c r="R1797" s="146"/>
      <c r="T1797"/>
    </row>
    <row r="1798" spans="1:20" x14ac:dyDescent="0.3">
      <c r="A1798" s="8">
        <v>1792</v>
      </c>
      <c r="B1798" s="9" t="s">
        <v>6797</v>
      </c>
      <c r="C1798" s="10" t="str">
        <f>VLOOKUP(B1798,'Data Angt'!$A$5:$B$5809,2,FALSE)</f>
        <v>A3025</v>
      </c>
      <c r="D1798" s="11" t="s">
        <v>9833</v>
      </c>
      <c r="E1798" s="12" t="s">
        <v>17855</v>
      </c>
      <c r="F1798" s="13">
        <v>45419</v>
      </c>
      <c r="G1798" s="14">
        <v>45929</v>
      </c>
      <c r="H1798" s="15">
        <v>3000000</v>
      </c>
      <c r="I1798" s="16">
        <v>18</v>
      </c>
      <c r="J1798" s="17">
        <v>24</v>
      </c>
      <c r="K1798" s="9" t="s">
        <v>9831</v>
      </c>
      <c r="L1798" s="10" t="s">
        <v>17856</v>
      </c>
      <c r="M1798" s="9" t="s">
        <v>10736</v>
      </c>
      <c r="N1798" s="10" t="s">
        <v>9834</v>
      </c>
      <c r="O1798" s="15">
        <v>1623200</v>
      </c>
      <c r="P1798" s="145">
        <v>159373</v>
      </c>
      <c r="Q1798" s="9"/>
      <c r="R1798" s="146"/>
      <c r="T1798"/>
    </row>
    <row r="1799" spans="1:20" x14ac:dyDescent="0.3">
      <c r="A1799" s="8">
        <v>1793</v>
      </c>
      <c r="B1799" s="9" t="s">
        <v>7133</v>
      </c>
      <c r="C1799" s="10" t="str">
        <f>VLOOKUP(B1799,'Data Angt'!$A$5:$B$5809,2,FALSE)</f>
        <v>A3192</v>
      </c>
      <c r="D1799" s="11" t="s">
        <v>9829</v>
      </c>
      <c r="E1799" s="12" t="s">
        <v>17857</v>
      </c>
      <c r="F1799" s="13">
        <v>45477</v>
      </c>
      <c r="G1799" s="14">
        <v>45930</v>
      </c>
      <c r="H1799" s="15">
        <v>15000000</v>
      </c>
      <c r="I1799" s="16">
        <v>24</v>
      </c>
      <c r="J1799" s="17">
        <v>24</v>
      </c>
      <c r="K1799" s="9" t="s">
        <v>9831</v>
      </c>
      <c r="L1799" s="10" t="s">
        <v>17858</v>
      </c>
      <c r="M1799" s="9" t="s">
        <v>10722</v>
      </c>
      <c r="N1799" s="10" t="s">
        <v>9828</v>
      </c>
      <c r="O1799" s="15">
        <v>7124000</v>
      </c>
      <c r="P1799" s="145">
        <v>1210271</v>
      </c>
      <c r="Q1799" s="9" t="s">
        <v>22905</v>
      </c>
      <c r="R1799" s="146" t="s">
        <v>23898</v>
      </c>
      <c r="T1799"/>
    </row>
    <row r="1800" spans="1:20" x14ac:dyDescent="0.3">
      <c r="A1800" s="8">
        <v>1794</v>
      </c>
      <c r="B1800" s="9" t="s">
        <v>7151</v>
      </c>
      <c r="C1800" s="10" t="str">
        <f>VLOOKUP(B1800,'Data Angt'!$A$5:$B$5809,2,FALSE)</f>
        <v>A3199</v>
      </c>
      <c r="D1800" s="11" t="s">
        <v>9829</v>
      </c>
      <c r="E1800" s="12" t="s">
        <v>17859</v>
      </c>
      <c r="F1800" s="13">
        <v>45483</v>
      </c>
      <c r="G1800" s="14">
        <v>45909</v>
      </c>
      <c r="H1800" s="15">
        <v>15000000</v>
      </c>
      <c r="I1800" s="16">
        <v>18</v>
      </c>
      <c r="J1800" s="17">
        <v>24</v>
      </c>
      <c r="K1800" s="9" t="s">
        <v>9831</v>
      </c>
      <c r="L1800" s="10" t="s">
        <v>17860</v>
      </c>
      <c r="M1800" s="9" t="s">
        <v>9838</v>
      </c>
      <c r="N1800" s="10" t="s">
        <v>9830</v>
      </c>
      <c r="O1800" s="15">
        <v>3809400</v>
      </c>
      <c r="P1800" s="145">
        <v>1056672</v>
      </c>
      <c r="Q1800" s="9" t="s">
        <v>22905</v>
      </c>
      <c r="R1800" s="146" t="s">
        <v>23899</v>
      </c>
      <c r="T1800"/>
    </row>
    <row r="1801" spans="1:20" x14ac:dyDescent="0.3">
      <c r="A1801" s="8">
        <v>1795</v>
      </c>
      <c r="B1801" s="9" t="s">
        <v>7154</v>
      </c>
      <c r="C1801" s="10" t="str">
        <f>VLOOKUP(B1801,'Data Angt'!$A$5:$B$5809,2,FALSE)</f>
        <v>A3200</v>
      </c>
      <c r="D1801" s="11" t="s">
        <v>9829</v>
      </c>
      <c r="E1801" s="12" t="s">
        <v>17861</v>
      </c>
      <c r="F1801" s="13">
        <v>45819</v>
      </c>
      <c r="G1801" s="14">
        <v>45916</v>
      </c>
      <c r="H1801" s="15">
        <v>3000000</v>
      </c>
      <c r="I1801" s="16">
        <v>8</v>
      </c>
      <c r="J1801" s="17">
        <v>24</v>
      </c>
      <c r="K1801" s="9" t="s">
        <v>9831</v>
      </c>
      <c r="L1801" s="10" t="s">
        <v>17862</v>
      </c>
      <c r="M1801" s="9" t="s">
        <v>9835</v>
      </c>
      <c r="N1801" s="10" t="s">
        <v>9828</v>
      </c>
      <c r="O1801" s="15">
        <v>1930200</v>
      </c>
      <c r="P1801" s="145">
        <v>59624</v>
      </c>
      <c r="Q1801" s="9"/>
      <c r="R1801" s="146"/>
      <c r="T1801"/>
    </row>
    <row r="1802" spans="1:20" x14ac:dyDescent="0.3">
      <c r="A1802" s="8">
        <v>1796</v>
      </c>
      <c r="B1802" s="9" t="s">
        <v>7156</v>
      </c>
      <c r="C1802" s="10" t="str">
        <f>VLOOKUP(B1802,'Data Angt'!$A$5:$B$5809,2,FALSE)</f>
        <v>A3201</v>
      </c>
      <c r="D1802" s="11" t="s">
        <v>9829</v>
      </c>
      <c r="E1802" s="12" t="s">
        <v>17863</v>
      </c>
      <c r="F1802" s="13">
        <v>45792</v>
      </c>
      <c r="G1802" s="14">
        <v>45917</v>
      </c>
      <c r="H1802" s="15">
        <v>3000000</v>
      </c>
      <c r="I1802" s="16">
        <v>12</v>
      </c>
      <c r="J1802" s="17">
        <v>24</v>
      </c>
      <c r="K1802" s="9" t="s">
        <v>9827</v>
      </c>
      <c r="L1802" s="10" t="s">
        <v>17864</v>
      </c>
      <c r="M1802" s="9" t="s">
        <v>10352</v>
      </c>
      <c r="N1802" s="10" t="s">
        <v>9828</v>
      </c>
      <c r="O1802" s="15">
        <v>2000000</v>
      </c>
      <c r="P1802" s="145">
        <v>78750</v>
      </c>
      <c r="Q1802" s="9"/>
      <c r="R1802" s="146"/>
      <c r="T1802"/>
    </row>
    <row r="1803" spans="1:20" x14ac:dyDescent="0.3">
      <c r="A1803" s="8">
        <v>1797</v>
      </c>
      <c r="B1803" s="9" t="s">
        <v>7212</v>
      </c>
      <c r="C1803" s="10" t="str">
        <f>VLOOKUP(B1803,'Data Angt'!$A$5:$B$5809,2,FALSE)</f>
        <v>A3224</v>
      </c>
      <c r="D1803" s="11" t="s">
        <v>9829</v>
      </c>
      <c r="E1803" s="12" t="s">
        <v>17865</v>
      </c>
      <c r="F1803" s="13">
        <v>45499</v>
      </c>
      <c r="G1803" s="14">
        <v>45916</v>
      </c>
      <c r="H1803" s="15">
        <v>10000000</v>
      </c>
      <c r="I1803" s="16">
        <v>36</v>
      </c>
      <c r="J1803" s="17">
        <v>24</v>
      </c>
      <c r="K1803" s="9" t="s">
        <v>9831</v>
      </c>
      <c r="L1803" s="10" t="s">
        <v>17866</v>
      </c>
      <c r="M1803" s="9" t="s">
        <v>17867</v>
      </c>
      <c r="N1803" s="10" t="s">
        <v>9830</v>
      </c>
      <c r="O1803" s="15">
        <v>6927200</v>
      </c>
      <c r="P1803" s="145">
        <v>907798</v>
      </c>
      <c r="Q1803" s="9" t="s">
        <v>22905</v>
      </c>
      <c r="R1803" s="146" t="s">
        <v>23900</v>
      </c>
      <c r="T1803"/>
    </row>
    <row r="1804" spans="1:20" x14ac:dyDescent="0.3">
      <c r="A1804" s="8">
        <v>1798</v>
      </c>
      <c r="B1804" s="9" t="s">
        <v>7289</v>
      </c>
      <c r="C1804" s="10" t="str">
        <f>VLOOKUP(B1804,'Data Angt'!$A$5:$B$5809,2,FALSE)</f>
        <v>A3262</v>
      </c>
      <c r="D1804" s="11" t="s">
        <v>9829</v>
      </c>
      <c r="E1804" s="12" t="s">
        <v>17868</v>
      </c>
      <c r="F1804" s="13">
        <v>45546</v>
      </c>
      <c r="G1804" s="14">
        <v>45903</v>
      </c>
      <c r="H1804" s="15">
        <v>10000000</v>
      </c>
      <c r="I1804" s="16">
        <v>24</v>
      </c>
      <c r="J1804" s="17">
        <v>24</v>
      </c>
      <c r="K1804" s="9" t="s">
        <v>9831</v>
      </c>
      <c r="L1804" s="10" t="s">
        <v>17869</v>
      </c>
      <c r="M1804" s="9" t="s">
        <v>17870</v>
      </c>
      <c r="N1804" s="10" t="s">
        <v>9830</v>
      </c>
      <c r="O1804" s="15">
        <v>5590700</v>
      </c>
      <c r="P1804" s="145">
        <v>726110</v>
      </c>
      <c r="Q1804" s="9" t="s">
        <v>23304</v>
      </c>
      <c r="R1804" s="146" t="s">
        <v>23901</v>
      </c>
      <c r="T1804"/>
    </row>
    <row r="1805" spans="1:20" x14ac:dyDescent="0.3">
      <c r="A1805" s="8">
        <v>1799</v>
      </c>
      <c r="B1805" s="9" t="s">
        <v>7482</v>
      </c>
      <c r="C1805" s="10" t="str">
        <f>VLOOKUP(B1805,'Data Angt'!$A$5:$B$5809,2,FALSE)</f>
        <v>A3348</v>
      </c>
      <c r="D1805" s="11" t="s">
        <v>9829</v>
      </c>
      <c r="E1805" s="12" t="s">
        <v>17871</v>
      </c>
      <c r="F1805" s="13">
        <v>45801</v>
      </c>
      <c r="G1805" s="14">
        <v>45930</v>
      </c>
      <c r="H1805" s="15">
        <v>20000000</v>
      </c>
      <c r="I1805" s="16">
        <v>36</v>
      </c>
      <c r="J1805" s="17">
        <v>24</v>
      </c>
      <c r="K1805" s="9" t="s">
        <v>9831</v>
      </c>
      <c r="L1805" s="10" t="s">
        <v>17872</v>
      </c>
      <c r="M1805" s="9" t="s">
        <v>17873</v>
      </c>
      <c r="N1805" s="10" t="s">
        <v>9828</v>
      </c>
      <c r="O1805" s="15">
        <v>18410900</v>
      </c>
      <c r="P1805" s="145">
        <v>581137</v>
      </c>
      <c r="Q1805" s="9" t="s">
        <v>23304</v>
      </c>
      <c r="R1805" s="146" t="s">
        <v>23902</v>
      </c>
      <c r="T1805"/>
    </row>
    <row r="1806" spans="1:20" x14ac:dyDescent="0.3">
      <c r="A1806" s="8">
        <v>1800</v>
      </c>
      <c r="B1806" s="9" t="s">
        <v>7623</v>
      </c>
      <c r="C1806" s="10" t="str">
        <f>VLOOKUP(B1806,'Data Angt'!$A$5:$B$5809,2,FALSE)</f>
        <v>A3415</v>
      </c>
      <c r="D1806" s="11" t="s">
        <v>9829</v>
      </c>
      <c r="E1806" s="12" t="s">
        <v>23903</v>
      </c>
      <c r="F1806" s="13">
        <v>45920</v>
      </c>
      <c r="G1806" s="14">
        <v>45920</v>
      </c>
      <c r="H1806" s="15">
        <v>2500000</v>
      </c>
      <c r="I1806" s="16">
        <v>12</v>
      </c>
      <c r="J1806" s="17">
        <v>24</v>
      </c>
      <c r="K1806" s="9" t="s">
        <v>9831</v>
      </c>
      <c r="L1806" s="10" t="s">
        <v>23904</v>
      </c>
      <c r="M1806" s="9" t="s">
        <v>23905</v>
      </c>
      <c r="N1806" s="10" t="s">
        <v>9828</v>
      </c>
      <c r="O1806" s="15">
        <v>2500000</v>
      </c>
      <c r="P1806" s="147">
        <v>0</v>
      </c>
      <c r="Q1806" s="9"/>
      <c r="R1806" s="146"/>
      <c r="T1806"/>
    </row>
    <row r="1807" spans="1:20" x14ac:dyDescent="0.3">
      <c r="A1807" s="8">
        <v>1801</v>
      </c>
      <c r="B1807" s="9" t="s">
        <v>7753</v>
      </c>
      <c r="C1807" s="10" t="str">
        <f>VLOOKUP(B1807,'Data Angt'!$A$5:$B$5809,2,FALSE)</f>
        <v>A3479</v>
      </c>
      <c r="D1807" s="11" t="s">
        <v>9829</v>
      </c>
      <c r="E1807" s="12" t="s">
        <v>10724</v>
      </c>
      <c r="F1807" s="13">
        <v>45282</v>
      </c>
      <c r="G1807" s="14">
        <v>45923</v>
      </c>
      <c r="H1807" s="15">
        <v>65000000</v>
      </c>
      <c r="I1807" s="16">
        <v>48</v>
      </c>
      <c r="J1807" s="17">
        <v>21</v>
      </c>
      <c r="K1807" s="9" t="s">
        <v>9831</v>
      </c>
      <c r="L1807" s="10" t="s">
        <v>10725</v>
      </c>
      <c r="M1807" s="9" t="s">
        <v>10726</v>
      </c>
      <c r="N1807" s="10" t="s">
        <v>9830</v>
      </c>
      <c r="O1807" s="15">
        <v>43204600</v>
      </c>
      <c r="P1807" s="145">
        <v>7677522</v>
      </c>
      <c r="Q1807" s="9" t="s">
        <v>22197</v>
      </c>
      <c r="R1807" s="146" t="s">
        <v>23906</v>
      </c>
      <c r="T1807"/>
    </row>
    <row r="1808" spans="1:20" x14ac:dyDescent="0.3">
      <c r="A1808" s="8">
        <v>1802</v>
      </c>
      <c r="B1808" s="9" t="s">
        <v>7828</v>
      </c>
      <c r="C1808" s="10" t="str">
        <f>VLOOKUP(B1808,'Data Angt'!$A$5:$B$5809,2,FALSE)</f>
        <v>A3519</v>
      </c>
      <c r="D1808" s="11" t="s">
        <v>9829</v>
      </c>
      <c r="E1808" s="12" t="s">
        <v>17874</v>
      </c>
      <c r="F1808" s="13">
        <v>45358</v>
      </c>
      <c r="G1808" s="14">
        <v>45908</v>
      </c>
      <c r="H1808" s="15">
        <v>18000000</v>
      </c>
      <c r="I1808" s="16">
        <v>48</v>
      </c>
      <c r="J1808" s="17">
        <v>24</v>
      </c>
      <c r="K1808" s="9" t="s">
        <v>9831</v>
      </c>
      <c r="L1808" s="10" t="s">
        <v>17875</v>
      </c>
      <c r="M1808" s="9" t="s">
        <v>16380</v>
      </c>
      <c r="N1808" s="10" t="s">
        <v>110</v>
      </c>
      <c r="O1808" s="15">
        <v>13148700</v>
      </c>
      <c r="P1808" s="145">
        <v>2142333</v>
      </c>
      <c r="Q1808" s="9" t="s">
        <v>22200</v>
      </c>
      <c r="R1808" s="146" t="s">
        <v>23907</v>
      </c>
      <c r="T1808"/>
    </row>
    <row r="1809" spans="1:20" x14ac:dyDescent="0.3">
      <c r="A1809" s="8">
        <v>1803</v>
      </c>
      <c r="B1809" s="9" t="s">
        <v>8044</v>
      </c>
      <c r="C1809" s="10" t="str">
        <f>VLOOKUP(B1809,'Data Angt'!$A$5:$B$5809,2,FALSE)</f>
        <v>A3632</v>
      </c>
      <c r="D1809" s="11" t="s">
        <v>9829</v>
      </c>
      <c r="E1809" s="12" t="s">
        <v>17876</v>
      </c>
      <c r="F1809" s="13">
        <v>45600</v>
      </c>
      <c r="G1809" s="14">
        <v>45929</v>
      </c>
      <c r="H1809" s="15">
        <v>10000000</v>
      </c>
      <c r="I1809" s="16">
        <v>24</v>
      </c>
      <c r="J1809" s="17">
        <v>24</v>
      </c>
      <c r="K1809" s="9" t="s">
        <v>9831</v>
      </c>
      <c r="L1809" s="10" t="s">
        <v>17877</v>
      </c>
      <c r="M1809" s="9" t="s">
        <v>17878</v>
      </c>
      <c r="N1809" s="10" t="s">
        <v>9828</v>
      </c>
      <c r="O1809" s="15">
        <v>6400200</v>
      </c>
      <c r="P1809" s="145">
        <v>633073</v>
      </c>
      <c r="Q1809" s="9" t="s">
        <v>22254</v>
      </c>
      <c r="R1809" s="146" t="s">
        <v>23908</v>
      </c>
      <c r="T1809"/>
    </row>
    <row r="1810" spans="1:20" x14ac:dyDescent="0.3">
      <c r="A1810" s="8">
        <v>1804</v>
      </c>
      <c r="B1810" s="9" t="s">
        <v>8156</v>
      </c>
      <c r="C1810" s="10" t="str">
        <f>VLOOKUP(B1810,'Data Angt'!$A$5:$B$5809,2,FALSE)</f>
        <v>A3693</v>
      </c>
      <c r="D1810" s="11" t="s">
        <v>9842</v>
      </c>
      <c r="E1810" s="12" t="s">
        <v>23909</v>
      </c>
      <c r="F1810" s="13">
        <v>45917</v>
      </c>
      <c r="G1810" s="14">
        <v>45917</v>
      </c>
      <c r="H1810" s="15">
        <v>50000000</v>
      </c>
      <c r="I1810" s="16">
        <v>60</v>
      </c>
      <c r="J1810" s="17">
        <v>11.4</v>
      </c>
      <c r="K1810" s="9" t="s">
        <v>9831</v>
      </c>
      <c r="L1810" s="10" t="s">
        <v>23910</v>
      </c>
      <c r="M1810" s="9" t="s">
        <v>23911</v>
      </c>
      <c r="N1810" s="10" t="s">
        <v>9830</v>
      </c>
      <c r="O1810" s="15">
        <v>50000000</v>
      </c>
      <c r="P1810" s="147">
        <v>0</v>
      </c>
      <c r="Q1810" s="9" t="s">
        <v>22197</v>
      </c>
      <c r="R1810" s="146" t="s">
        <v>23912</v>
      </c>
      <c r="T1810"/>
    </row>
    <row r="1811" spans="1:20" x14ac:dyDescent="0.3">
      <c r="A1811" s="8">
        <v>1805</v>
      </c>
      <c r="B1811" s="9" t="s">
        <v>8191</v>
      </c>
      <c r="C1811" s="10" t="str">
        <f>VLOOKUP(B1811,'Data Angt'!$A$5:$B$5809,2,FALSE)</f>
        <v>A3709</v>
      </c>
      <c r="D1811" s="11" t="s">
        <v>9833</v>
      </c>
      <c r="E1811" s="12" t="s">
        <v>17879</v>
      </c>
      <c r="F1811" s="13">
        <v>45799</v>
      </c>
      <c r="G1811" s="14">
        <v>45930</v>
      </c>
      <c r="H1811" s="15">
        <v>15000000</v>
      </c>
      <c r="I1811" s="16">
        <v>30</v>
      </c>
      <c r="J1811" s="17">
        <v>24</v>
      </c>
      <c r="K1811" s="9" t="s">
        <v>9831</v>
      </c>
      <c r="L1811" s="10" t="s">
        <v>17880</v>
      </c>
      <c r="M1811" s="9" t="s">
        <v>17881</v>
      </c>
      <c r="N1811" s="10" t="s">
        <v>9834</v>
      </c>
      <c r="O1811" s="15">
        <v>13476000</v>
      </c>
      <c r="P1811" s="145">
        <v>433199</v>
      </c>
      <c r="Q1811" s="9" t="s">
        <v>23304</v>
      </c>
      <c r="R1811" s="146" t="s">
        <v>23913</v>
      </c>
      <c r="T1811"/>
    </row>
    <row r="1812" spans="1:20" x14ac:dyDescent="0.3">
      <c r="A1812" s="8">
        <v>1806</v>
      </c>
      <c r="B1812" s="9" t="s">
        <v>8237</v>
      </c>
      <c r="C1812" s="10" t="str">
        <f>VLOOKUP(B1812,'Data Angt'!$A$5:$B$5809,2,FALSE)</f>
        <v>A3731</v>
      </c>
      <c r="D1812" s="11" t="s">
        <v>9881</v>
      </c>
      <c r="E1812" s="12" t="s">
        <v>10729</v>
      </c>
      <c r="F1812" s="13">
        <v>44631</v>
      </c>
      <c r="G1812" s="14">
        <v>45929</v>
      </c>
      <c r="H1812" s="15">
        <v>2400000</v>
      </c>
      <c r="I1812" s="16">
        <v>12</v>
      </c>
      <c r="J1812" s="17">
        <v>12</v>
      </c>
      <c r="K1812" s="9" t="s">
        <v>9831</v>
      </c>
      <c r="L1812" s="10" t="s">
        <v>10730</v>
      </c>
      <c r="M1812" s="9" t="s">
        <v>10731</v>
      </c>
      <c r="N1812" s="10" t="s">
        <v>9828</v>
      </c>
      <c r="O1812" s="15">
        <v>1453500</v>
      </c>
      <c r="P1812" s="145">
        <v>120037</v>
      </c>
      <c r="Q1812" s="9"/>
      <c r="R1812" s="146"/>
      <c r="T1812"/>
    </row>
    <row r="1813" spans="1:20" x14ac:dyDescent="0.3">
      <c r="A1813" s="8">
        <v>1807</v>
      </c>
      <c r="B1813" s="9" t="s">
        <v>8309</v>
      </c>
      <c r="C1813" s="10" t="str">
        <f>VLOOKUP(B1813,'Data Angt'!$A$5:$B$5809,2,FALSE)</f>
        <v>A3767</v>
      </c>
      <c r="D1813" s="11" t="s">
        <v>9829</v>
      </c>
      <c r="E1813" s="12" t="s">
        <v>17882</v>
      </c>
      <c r="F1813" s="13">
        <v>45810</v>
      </c>
      <c r="G1813" s="14">
        <v>45902</v>
      </c>
      <c r="H1813" s="15">
        <v>13000000</v>
      </c>
      <c r="I1813" s="16">
        <v>20</v>
      </c>
      <c r="J1813" s="17">
        <v>24</v>
      </c>
      <c r="K1813" s="9" t="s">
        <v>9831</v>
      </c>
      <c r="L1813" s="10" t="s">
        <v>17883</v>
      </c>
      <c r="M1813" s="9" t="s">
        <v>9841</v>
      </c>
      <c r="N1813" s="10" t="s">
        <v>17</v>
      </c>
      <c r="O1813" s="15">
        <v>11362400</v>
      </c>
      <c r="P1813" s="145">
        <v>280387</v>
      </c>
      <c r="Q1813" s="9" t="s">
        <v>23304</v>
      </c>
      <c r="R1813" s="146" t="s">
        <v>23914</v>
      </c>
      <c r="T1813"/>
    </row>
    <row r="1814" spans="1:20" x14ac:dyDescent="0.3">
      <c r="A1814" s="8">
        <v>1808</v>
      </c>
      <c r="B1814" s="9" t="s">
        <v>8379</v>
      </c>
      <c r="C1814" s="10" t="str">
        <f>VLOOKUP(B1814,'Data Angt'!$A$5:$B$5809,2,FALSE)</f>
        <v>A3798</v>
      </c>
      <c r="D1814" s="11" t="s">
        <v>9833</v>
      </c>
      <c r="E1814" s="12" t="s">
        <v>23915</v>
      </c>
      <c r="F1814" s="13">
        <v>45909</v>
      </c>
      <c r="G1814" s="14">
        <v>45909</v>
      </c>
      <c r="H1814" s="15">
        <v>15000000</v>
      </c>
      <c r="I1814" s="16">
        <v>24</v>
      </c>
      <c r="J1814" s="17">
        <v>24</v>
      </c>
      <c r="K1814" s="9" t="s">
        <v>9831</v>
      </c>
      <c r="L1814" s="10" t="s">
        <v>23916</v>
      </c>
      <c r="M1814" s="9" t="s">
        <v>9962</v>
      </c>
      <c r="N1814" s="10" t="s">
        <v>9834</v>
      </c>
      <c r="O1814" s="15">
        <v>15000000</v>
      </c>
      <c r="P1814" s="147">
        <v>0</v>
      </c>
      <c r="Q1814" s="9" t="s">
        <v>23304</v>
      </c>
      <c r="R1814" s="146" t="s">
        <v>23917</v>
      </c>
      <c r="T1814"/>
    </row>
    <row r="1815" spans="1:20" x14ac:dyDescent="0.3">
      <c r="A1815" s="8">
        <v>1809</v>
      </c>
      <c r="B1815" s="9" t="s">
        <v>8439</v>
      </c>
      <c r="C1815" s="10" t="str">
        <f>VLOOKUP(B1815,'Data Angt'!$A$5:$B$5809,2,FALSE)</f>
        <v>A3826</v>
      </c>
      <c r="D1815" s="11" t="s">
        <v>9833</v>
      </c>
      <c r="E1815" s="12" t="s">
        <v>17884</v>
      </c>
      <c r="F1815" s="13">
        <v>45771</v>
      </c>
      <c r="G1815" s="14">
        <v>45903</v>
      </c>
      <c r="H1815" s="15">
        <v>10000000</v>
      </c>
      <c r="I1815" s="16">
        <v>24</v>
      </c>
      <c r="J1815" s="17">
        <v>24</v>
      </c>
      <c r="K1815" s="9" t="s">
        <v>9831</v>
      </c>
      <c r="L1815" s="10" t="s">
        <v>16110</v>
      </c>
      <c r="M1815" s="9" t="s">
        <v>17885</v>
      </c>
      <c r="N1815" s="10" t="s">
        <v>9834</v>
      </c>
      <c r="O1815" s="15">
        <v>8289100</v>
      </c>
      <c r="P1815" s="145">
        <v>349911</v>
      </c>
      <c r="Q1815" s="9" t="s">
        <v>22197</v>
      </c>
      <c r="R1815" s="146" t="s">
        <v>23918</v>
      </c>
      <c r="T1815"/>
    </row>
    <row r="1816" spans="1:20" x14ac:dyDescent="0.3">
      <c r="A1816" s="8">
        <v>1810</v>
      </c>
      <c r="B1816" s="9" t="s">
        <v>8439</v>
      </c>
      <c r="C1816" s="10" t="str">
        <f>VLOOKUP(B1816,'Data Angt'!$A$5:$B$5809,2,FALSE)</f>
        <v>A3826</v>
      </c>
      <c r="D1816" s="11" t="s">
        <v>9826</v>
      </c>
      <c r="E1816" s="12" t="s">
        <v>23919</v>
      </c>
      <c r="F1816" s="13">
        <v>45885</v>
      </c>
      <c r="G1816" s="14">
        <v>45903</v>
      </c>
      <c r="H1816" s="15">
        <v>5000000</v>
      </c>
      <c r="I1816" s="16">
        <v>12</v>
      </c>
      <c r="J1816" s="17">
        <v>24</v>
      </c>
      <c r="K1816" s="9" t="s">
        <v>9831</v>
      </c>
      <c r="L1816" s="10" t="s">
        <v>23920</v>
      </c>
      <c r="M1816" s="9" t="s">
        <v>9962</v>
      </c>
      <c r="N1816" s="10" t="s">
        <v>9834</v>
      </c>
      <c r="O1816" s="15">
        <v>4627200</v>
      </c>
      <c r="P1816" s="145">
        <v>37500</v>
      </c>
      <c r="Q1816" s="9"/>
      <c r="R1816" s="146"/>
      <c r="T1816"/>
    </row>
    <row r="1817" spans="1:20" x14ac:dyDescent="0.3">
      <c r="A1817" s="8">
        <v>1811</v>
      </c>
      <c r="B1817" s="9" t="s">
        <v>8446</v>
      </c>
      <c r="C1817" s="10" t="str">
        <f>VLOOKUP(B1817,'Data Angt'!$A$5:$B$5809,2,FALSE)</f>
        <v>A3830</v>
      </c>
      <c r="D1817" s="11" t="s">
        <v>9833</v>
      </c>
      <c r="E1817" s="12" t="s">
        <v>10733</v>
      </c>
      <c r="F1817" s="13">
        <v>45257</v>
      </c>
      <c r="G1817" s="14">
        <v>45848</v>
      </c>
      <c r="H1817" s="15">
        <v>5000000</v>
      </c>
      <c r="I1817" s="16">
        <v>24</v>
      </c>
      <c r="J1817" s="17">
        <v>24</v>
      </c>
      <c r="K1817" s="9" t="s">
        <v>9831</v>
      </c>
      <c r="L1817" s="10" t="s">
        <v>10734</v>
      </c>
      <c r="M1817" s="9" t="s">
        <v>10735</v>
      </c>
      <c r="N1817" s="10" t="s">
        <v>9834</v>
      </c>
      <c r="O1817" s="15">
        <v>1062400</v>
      </c>
      <c r="P1817" s="145">
        <v>506399</v>
      </c>
      <c r="Q1817" s="9" t="s">
        <v>23304</v>
      </c>
      <c r="R1817" s="146" t="s">
        <v>23921</v>
      </c>
      <c r="T1817"/>
    </row>
    <row r="1818" spans="1:20" x14ac:dyDescent="0.3">
      <c r="A1818" s="8">
        <v>1812</v>
      </c>
      <c r="B1818" s="9" t="s">
        <v>8448</v>
      </c>
      <c r="C1818" s="10" t="str">
        <f>VLOOKUP(B1818,'Data Angt'!$A$5:$B$5809,2,FALSE)</f>
        <v>A3831</v>
      </c>
      <c r="D1818" s="11" t="s">
        <v>9833</v>
      </c>
      <c r="E1818" s="12" t="s">
        <v>23922</v>
      </c>
      <c r="F1818" s="13">
        <v>45891</v>
      </c>
      <c r="G1818" s="14">
        <v>45922</v>
      </c>
      <c r="H1818" s="15">
        <v>2000000</v>
      </c>
      <c r="I1818" s="16">
        <v>10</v>
      </c>
      <c r="J1818" s="17">
        <v>24</v>
      </c>
      <c r="K1818" s="9" t="s">
        <v>9831</v>
      </c>
      <c r="L1818" s="10" t="s">
        <v>23923</v>
      </c>
      <c r="M1818" s="9" t="s">
        <v>9962</v>
      </c>
      <c r="N1818" s="10" t="s">
        <v>9834</v>
      </c>
      <c r="O1818" s="15">
        <v>1817300</v>
      </c>
      <c r="P1818" s="145">
        <v>15000</v>
      </c>
      <c r="Q1818" s="9"/>
      <c r="R1818" s="146"/>
      <c r="T1818"/>
    </row>
    <row r="1819" spans="1:20" x14ac:dyDescent="0.3">
      <c r="A1819" s="8">
        <v>1813</v>
      </c>
      <c r="B1819" s="9" t="s">
        <v>8453</v>
      </c>
      <c r="C1819" s="10" t="str">
        <f>VLOOKUP(B1819,'Data Angt'!$A$5:$B$5809,2,FALSE)</f>
        <v>A3835</v>
      </c>
      <c r="D1819" s="11" t="s">
        <v>9829</v>
      </c>
      <c r="E1819" s="12" t="s">
        <v>17886</v>
      </c>
      <c r="F1819" s="13">
        <v>45608</v>
      </c>
      <c r="G1819" s="14">
        <v>45930</v>
      </c>
      <c r="H1819" s="15">
        <v>12000000</v>
      </c>
      <c r="I1819" s="16">
        <v>36</v>
      </c>
      <c r="J1819" s="17">
        <v>24</v>
      </c>
      <c r="K1819" s="9" t="s">
        <v>9831</v>
      </c>
      <c r="L1819" s="10" t="s">
        <v>17887</v>
      </c>
      <c r="M1819" s="9" t="s">
        <v>9846</v>
      </c>
      <c r="N1819" s="10" t="s">
        <v>9828</v>
      </c>
      <c r="O1819" s="15">
        <v>9473000</v>
      </c>
      <c r="P1819" s="145">
        <v>817873</v>
      </c>
      <c r="Q1819" s="9" t="s">
        <v>23304</v>
      </c>
      <c r="R1819" s="146" t="s">
        <v>23924</v>
      </c>
      <c r="T1819"/>
    </row>
    <row r="1820" spans="1:20" x14ac:dyDescent="0.3">
      <c r="A1820" s="8">
        <v>1814</v>
      </c>
      <c r="B1820" s="9" t="s">
        <v>8488</v>
      </c>
      <c r="C1820" s="10" t="str">
        <f>VLOOKUP(B1820,'Data Angt'!$A$5:$B$5809,2,FALSE)</f>
        <v>A3849</v>
      </c>
      <c r="D1820" s="11" t="s">
        <v>9833</v>
      </c>
      <c r="E1820" s="12" t="s">
        <v>17888</v>
      </c>
      <c r="F1820" s="13">
        <v>45544</v>
      </c>
      <c r="G1820" s="14">
        <v>45919</v>
      </c>
      <c r="H1820" s="15">
        <v>2500000</v>
      </c>
      <c r="I1820" s="16">
        <v>10</v>
      </c>
      <c r="J1820" s="17">
        <v>24</v>
      </c>
      <c r="K1820" s="9" t="s">
        <v>9831</v>
      </c>
      <c r="L1820" s="10" t="s">
        <v>17889</v>
      </c>
      <c r="M1820" s="9" t="s">
        <v>17890</v>
      </c>
      <c r="N1820" s="10" t="s">
        <v>9834</v>
      </c>
      <c r="O1820" s="15">
        <v>1458700</v>
      </c>
      <c r="P1820" s="145">
        <v>171599</v>
      </c>
      <c r="Q1820" s="9"/>
      <c r="R1820" s="146"/>
      <c r="T1820"/>
    </row>
    <row r="1821" spans="1:20" x14ac:dyDescent="0.3">
      <c r="A1821" s="8">
        <v>1815</v>
      </c>
      <c r="B1821" s="9" t="s">
        <v>8511</v>
      </c>
      <c r="C1821" s="10" t="str">
        <f>VLOOKUP(B1821,'Data Angt'!$A$5:$B$5809,2,FALSE)</f>
        <v>A3861</v>
      </c>
      <c r="D1821" s="11" t="s">
        <v>9829</v>
      </c>
      <c r="E1821" s="12" t="s">
        <v>17891</v>
      </c>
      <c r="F1821" s="13">
        <v>45427</v>
      </c>
      <c r="G1821" s="14">
        <v>45909</v>
      </c>
      <c r="H1821" s="15">
        <v>17000000</v>
      </c>
      <c r="I1821" s="16">
        <v>24</v>
      </c>
      <c r="J1821" s="17">
        <v>24</v>
      </c>
      <c r="K1821" s="9" t="s">
        <v>9831</v>
      </c>
      <c r="L1821" s="10" t="s">
        <v>17892</v>
      </c>
      <c r="M1821" s="9" t="s">
        <v>9838</v>
      </c>
      <c r="N1821" s="10" t="s">
        <v>9830</v>
      </c>
      <c r="O1821" s="15">
        <v>8795800</v>
      </c>
      <c r="P1821" s="145">
        <v>1519420</v>
      </c>
      <c r="Q1821" s="9" t="s">
        <v>22905</v>
      </c>
      <c r="R1821" s="146" t="s">
        <v>23925</v>
      </c>
      <c r="T1821"/>
    </row>
    <row r="1822" spans="1:20" x14ac:dyDescent="0.3">
      <c r="A1822" s="8">
        <v>1816</v>
      </c>
      <c r="B1822" s="9" t="s">
        <v>8552</v>
      </c>
      <c r="C1822" s="10" t="str">
        <f>VLOOKUP(B1822,'Data Angt'!$A$5:$B$5809,2,FALSE)</f>
        <v>A3879</v>
      </c>
      <c r="D1822" s="11" t="s">
        <v>9829</v>
      </c>
      <c r="E1822" s="12" t="s">
        <v>17893</v>
      </c>
      <c r="F1822" s="13">
        <v>45458</v>
      </c>
      <c r="G1822" s="14">
        <v>45918</v>
      </c>
      <c r="H1822" s="15">
        <v>35000000</v>
      </c>
      <c r="I1822" s="16">
        <v>36</v>
      </c>
      <c r="J1822" s="17">
        <v>21</v>
      </c>
      <c r="K1822" s="9" t="s">
        <v>9831</v>
      </c>
      <c r="L1822" s="10" t="s">
        <v>17894</v>
      </c>
      <c r="M1822" s="9" t="s">
        <v>10728</v>
      </c>
      <c r="N1822" s="10" t="s">
        <v>9830</v>
      </c>
      <c r="O1822" s="15">
        <v>24791500</v>
      </c>
      <c r="P1822" s="145">
        <v>2937223</v>
      </c>
      <c r="Q1822" s="9" t="s">
        <v>22197</v>
      </c>
      <c r="R1822" s="146" t="s">
        <v>23926</v>
      </c>
      <c r="T1822"/>
    </row>
    <row r="1823" spans="1:20" x14ac:dyDescent="0.3">
      <c r="A1823" s="8">
        <v>1817</v>
      </c>
      <c r="B1823" s="9" t="s">
        <v>8642</v>
      </c>
      <c r="C1823" s="10" t="str">
        <f>VLOOKUP(B1823,'Data Angt'!$A$5:$B$5809,2,FALSE)</f>
        <v>A3919</v>
      </c>
      <c r="D1823" s="11" t="s">
        <v>9829</v>
      </c>
      <c r="E1823" s="12" t="s">
        <v>23927</v>
      </c>
      <c r="F1823" s="13">
        <v>45842</v>
      </c>
      <c r="G1823" s="14">
        <v>45902</v>
      </c>
      <c r="H1823" s="15">
        <v>10000000</v>
      </c>
      <c r="I1823" s="16">
        <v>18</v>
      </c>
      <c r="J1823" s="17">
        <v>24</v>
      </c>
      <c r="K1823" s="9" t="s">
        <v>9831</v>
      </c>
      <c r="L1823" s="10" t="s">
        <v>23928</v>
      </c>
      <c r="M1823" s="9" t="s">
        <v>9841</v>
      </c>
      <c r="N1823" s="10" t="s">
        <v>17</v>
      </c>
      <c r="O1823" s="15">
        <v>9056500</v>
      </c>
      <c r="P1823" s="145">
        <v>146512</v>
      </c>
      <c r="Q1823" s="9"/>
      <c r="R1823" s="146"/>
      <c r="T1823"/>
    </row>
    <row r="1824" spans="1:20" x14ac:dyDescent="0.3">
      <c r="A1824" s="8">
        <v>1818</v>
      </c>
      <c r="B1824" s="9" t="s">
        <v>8650</v>
      </c>
      <c r="C1824" s="10" t="str">
        <f>VLOOKUP(B1824,'Data Angt'!$A$5:$B$5809,2,FALSE)</f>
        <v>A3923</v>
      </c>
      <c r="D1824" s="11" t="s">
        <v>9833</v>
      </c>
      <c r="E1824" s="12" t="s">
        <v>17895</v>
      </c>
      <c r="F1824" s="13">
        <v>45694</v>
      </c>
      <c r="G1824" s="14">
        <v>45915</v>
      </c>
      <c r="H1824" s="15">
        <v>2500000</v>
      </c>
      <c r="I1824" s="16">
        <v>12</v>
      </c>
      <c r="J1824" s="17">
        <v>24</v>
      </c>
      <c r="K1824" s="9" t="s">
        <v>9831</v>
      </c>
      <c r="L1824" s="10" t="s">
        <v>17896</v>
      </c>
      <c r="M1824" s="9" t="s">
        <v>17897</v>
      </c>
      <c r="N1824" s="10" t="s">
        <v>9834</v>
      </c>
      <c r="O1824" s="15">
        <v>1114500</v>
      </c>
      <c r="P1824" s="145">
        <v>100985</v>
      </c>
      <c r="Q1824" s="9"/>
      <c r="R1824" s="146"/>
      <c r="T1824"/>
    </row>
    <row r="1825" spans="1:20" x14ac:dyDescent="0.3">
      <c r="A1825" s="8">
        <v>1819</v>
      </c>
      <c r="B1825" s="9" t="s">
        <v>8699</v>
      </c>
      <c r="C1825" s="10" t="str">
        <f>VLOOKUP(B1825,'Data Angt'!$A$5:$B$5809,2,FALSE)</f>
        <v>A3948</v>
      </c>
      <c r="D1825" s="11" t="s">
        <v>9833</v>
      </c>
      <c r="E1825" s="12" t="s">
        <v>23929</v>
      </c>
      <c r="F1825" s="13">
        <v>45847</v>
      </c>
      <c r="G1825" s="14">
        <v>45912</v>
      </c>
      <c r="H1825" s="15">
        <v>3000000</v>
      </c>
      <c r="I1825" s="16">
        <v>5</v>
      </c>
      <c r="J1825" s="17">
        <v>24</v>
      </c>
      <c r="K1825" s="9" t="s">
        <v>9831</v>
      </c>
      <c r="L1825" s="10" t="s">
        <v>23930</v>
      </c>
      <c r="M1825" s="9" t="s">
        <v>9962</v>
      </c>
      <c r="N1825" s="10" t="s">
        <v>9834</v>
      </c>
      <c r="O1825" s="15">
        <v>1835500</v>
      </c>
      <c r="P1825" s="145">
        <v>40687</v>
      </c>
      <c r="Q1825" s="9"/>
      <c r="R1825" s="146"/>
      <c r="T1825"/>
    </row>
    <row r="1826" spans="1:20" x14ac:dyDescent="0.3">
      <c r="A1826" s="8">
        <v>1820</v>
      </c>
      <c r="B1826" s="9" t="s">
        <v>8750</v>
      </c>
      <c r="C1826" s="10" t="str">
        <f>VLOOKUP(B1826,'Data Angt'!$A$5:$B$5809,2,FALSE)</f>
        <v>A3974</v>
      </c>
      <c r="D1826" s="11" t="s">
        <v>9833</v>
      </c>
      <c r="E1826" s="12" t="s">
        <v>17898</v>
      </c>
      <c r="F1826" s="13">
        <v>45385</v>
      </c>
      <c r="G1826" s="14">
        <v>45776</v>
      </c>
      <c r="H1826" s="15">
        <v>5000000</v>
      </c>
      <c r="I1826" s="16">
        <v>12</v>
      </c>
      <c r="J1826" s="17">
        <v>24</v>
      </c>
      <c r="K1826" s="9" t="s">
        <v>9831</v>
      </c>
      <c r="L1826" s="10" t="s">
        <v>17899</v>
      </c>
      <c r="M1826" s="9" t="s">
        <v>9962</v>
      </c>
      <c r="N1826" s="10" t="s">
        <v>9834</v>
      </c>
      <c r="O1826" s="15">
        <v>1800600</v>
      </c>
      <c r="P1826" s="145">
        <v>285524</v>
      </c>
      <c r="Q1826" s="9"/>
      <c r="R1826" s="146"/>
      <c r="T1826"/>
    </row>
    <row r="1827" spans="1:20" x14ac:dyDescent="0.3">
      <c r="A1827" s="8">
        <v>1821</v>
      </c>
      <c r="B1827" s="9" t="s">
        <v>8760</v>
      </c>
      <c r="C1827" s="10" t="str">
        <f>VLOOKUP(B1827,'Data Angt'!$A$5:$B$5809,2,FALSE)</f>
        <v>A3978</v>
      </c>
      <c r="D1827" s="11" t="s">
        <v>9829</v>
      </c>
      <c r="E1827" s="12" t="s">
        <v>17900</v>
      </c>
      <c r="F1827" s="13">
        <v>45303</v>
      </c>
      <c r="G1827" s="14">
        <v>45926</v>
      </c>
      <c r="H1827" s="15">
        <v>15000000</v>
      </c>
      <c r="I1827" s="16">
        <v>20</v>
      </c>
      <c r="J1827" s="17">
        <v>24</v>
      </c>
      <c r="K1827" s="9" t="s">
        <v>9831</v>
      </c>
      <c r="L1827" s="10" t="s">
        <v>17901</v>
      </c>
      <c r="M1827" s="9" t="s">
        <v>9838</v>
      </c>
      <c r="N1827" s="10" t="s">
        <v>9828</v>
      </c>
      <c r="O1827" s="15">
        <v>1739500</v>
      </c>
      <c r="P1827" s="145">
        <v>1290146</v>
      </c>
      <c r="Q1827" s="9" t="s">
        <v>23304</v>
      </c>
      <c r="R1827" s="146" t="s">
        <v>23931</v>
      </c>
      <c r="T1827"/>
    </row>
    <row r="1828" spans="1:20" x14ac:dyDescent="0.3">
      <c r="A1828" s="8">
        <v>1822</v>
      </c>
      <c r="B1828" s="9" t="s">
        <v>8851</v>
      </c>
      <c r="C1828" s="10" t="str">
        <f>VLOOKUP(B1828,'Data Angt'!$A$5:$B$5809,2,FALSE)</f>
        <v>A4018</v>
      </c>
      <c r="D1828" s="11" t="s">
        <v>9826</v>
      </c>
      <c r="E1828" s="12" t="s">
        <v>17904</v>
      </c>
      <c r="F1828" s="13">
        <v>45826</v>
      </c>
      <c r="G1828" s="14">
        <v>45918</v>
      </c>
      <c r="H1828" s="15">
        <v>1500000</v>
      </c>
      <c r="I1828" s="16">
        <v>12</v>
      </c>
      <c r="J1828" s="17">
        <v>24</v>
      </c>
      <c r="K1828" s="9" t="s">
        <v>9831</v>
      </c>
      <c r="L1828" s="10" t="s">
        <v>17905</v>
      </c>
      <c r="M1828" s="9" t="s">
        <v>9962</v>
      </c>
      <c r="N1828" s="10" t="s">
        <v>9834</v>
      </c>
      <c r="O1828" s="15">
        <v>1157600</v>
      </c>
      <c r="P1828" s="145">
        <v>31237</v>
      </c>
      <c r="Q1828" s="9"/>
      <c r="R1828" s="146"/>
      <c r="T1828"/>
    </row>
    <row r="1829" spans="1:20" x14ac:dyDescent="0.3">
      <c r="A1829" s="8">
        <v>1823</v>
      </c>
      <c r="B1829" s="9" t="s">
        <v>8851</v>
      </c>
      <c r="C1829" s="10" t="str">
        <f>VLOOKUP(B1829,'Data Angt'!$A$5:$B$5809,2,FALSE)</f>
        <v>A4018</v>
      </c>
      <c r="D1829" s="11" t="s">
        <v>9833</v>
      </c>
      <c r="E1829" s="12" t="s">
        <v>17902</v>
      </c>
      <c r="F1829" s="13">
        <v>45702</v>
      </c>
      <c r="G1829" s="14">
        <v>45915</v>
      </c>
      <c r="H1829" s="15">
        <v>25000000</v>
      </c>
      <c r="I1829" s="16">
        <v>24</v>
      </c>
      <c r="J1829" s="17">
        <v>21</v>
      </c>
      <c r="K1829" s="9" t="s">
        <v>9831</v>
      </c>
      <c r="L1829" s="10" t="s">
        <v>17903</v>
      </c>
      <c r="M1829" s="9" t="s">
        <v>10737</v>
      </c>
      <c r="N1829" s="10" t="s">
        <v>9834</v>
      </c>
      <c r="O1829" s="15">
        <v>18749300</v>
      </c>
      <c r="P1829" s="145">
        <v>1028323</v>
      </c>
      <c r="Q1829" s="9" t="s">
        <v>23892</v>
      </c>
      <c r="R1829" s="146" t="s">
        <v>23932</v>
      </c>
      <c r="T1829"/>
    </row>
    <row r="1830" spans="1:20" x14ac:dyDescent="0.3">
      <c r="A1830" s="8">
        <v>1824</v>
      </c>
      <c r="B1830" s="9" t="s">
        <v>8868</v>
      </c>
      <c r="C1830" s="10" t="str">
        <f>VLOOKUP(B1830,'Data Angt'!$A$5:$B$5809,2,FALSE)</f>
        <v>A4027</v>
      </c>
      <c r="D1830" s="11" t="s">
        <v>9829</v>
      </c>
      <c r="E1830" s="12" t="s">
        <v>17906</v>
      </c>
      <c r="F1830" s="13">
        <v>45722</v>
      </c>
      <c r="G1830" s="14">
        <v>45923</v>
      </c>
      <c r="H1830" s="15">
        <v>2500000</v>
      </c>
      <c r="I1830" s="16">
        <v>12</v>
      </c>
      <c r="J1830" s="17">
        <v>24</v>
      </c>
      <c r="K1830" s="9" t="s">
        <v>9831</v>
      </c>
      <c r="L1830" s="10" t="s">
        <v>17907</v>
      </c>
      <c r="M1830" s="9" t="s">
        <v>9862</v>
      </c>
      <c r="N1830" s="10" t="s">
        <v>9834</v>
      </c>
      <c r="O1830" s="15">
        <v>1530100</v>
      </c>
      <c r="P1830" s="145">
        <v>96935</v>
      </c>
      <c r="Q1830" s="9"/>
      <c r="R1830" s="146"/>
      <c r="T1830"/>
    </row>
    <row r="1831" spans="1:20" x14ac:dyDescent="0.3">
      <c r="A1831" s="8">
        <v>1825</v>
      </c>
      <c r="B1831" s="9" t="s">
        <v>8899</v>
      </c>
      <c r="C1831" s="10" t="str">
        <f>VLOOKUP(B1831,'Data Angt'!$A$5:$B$5809,2,FALSE)</f>
        <v>A4043</v>
      </c>
      <c r="D1831" s="11" t="s">
        <v>9829</v>
      </c>
      <c r="E1831" s="12" t="s">
        <v>17908</v>
      </c>
      <c r="F1831" s="13">
        <v>45733</v>
      </c>
      <c r="G1831" s="14">
        <v>45908</v>
      </c>
      <c r="H1831" s="15">
        <v>2500000</v>
      </c>
      <c r="I1831" s="16">
        <v>8</v>
      </c>
      <c r="J1831" s="17">
        <v>24</v>
      </c>
      <c r="K1831" s="9" t="s">
        <v>9827</v>
      </c>
      <c r="L1831" s="10" t="s">
        <v>17909</v>
      </c>
      <c r="M1831" s="9" t="s">
        <v>10715</v>
      </c>
      <c r="N1831" s="10" t="s">
        <v>9828</v>
      </c>
      <c r="O1831" s="15">
        <v>625000</v>
      </c>
      <c r="P1831" s="145">
        <v>77399</v>
      </c>
      <c r="Q1831" s="9"/>
      <c r="R1831" s="146"/>
      <c r="T1831"/>
    </row>
    <row r="1832" spans="1:20" x14ac:dyDescent="0.3">
      <c r="A1832" s="8">
        <v>1826</v>
      </c>
      <c r="B1832" s="9" t="s">
        <v>8930</v>
      </c>
      <c r="C1832" s="10" t="str">
        <f>VLOOKUP(B1832,'Data Angt'!$A$5:$B$5809,2,FALSE)</f>
        <v>A4059</v>
      </c>
      <c r="D1832" s="11" t="s">
        <v>9833</v>
      </c>
      <c r="E1832" s="12" t="s">
        <v>17910</v>
      </c>
      <c r="F1832" s="13">
        <v>45821</v>
      </c>
      <c r="G1832" s="14">
        <v>45908</v>
      </c>
      <c r="H1832" s="15">
        <v>5000000</v>
      </c>
      <c r="I1832" s="16">
        <v>18</v>
      </c>
      <c r="J1832" s="17">
        <v>24</v>
      </c>
      <c r="K1832" s="9" t="s">
        <v>9831</v>
      </c>
      <c r="L1832" s="10" t="s">
        <v>17911</v>
      </c>
      <c r="M1832" s="9" t="s">
        <v>17912</v>
      </c>
      <c r="N1832" s="10" t="s">
        <v>9834</v>
      </c>
      <c r="O1832" s="15">
        <v>4285200</v>
      </c>
      <c r="P1832" s="145">
        <v>107250</v>
      </c>
      <c r="Q1832" s="9"/>
      <c r="R1832" s="146"/>
      <c r="T1832"/>
    </row>
    <row r="1833" spans="1:20" x14ac:dyDescent="0.3">
      <c r="A1833" s="8">
        <v>1827</v>
      </c>
      <c r="B1833" s="9" t="s">
        <v>8952</v>
      </c>
      <c r="C1833" s="10" t="str">
        <f>VLOOKUP(B1833,'Data Angt'!$A$5:$B$5809,2,FALSE)</f>
        <v>A4071</v>
      </c>
      <c r="D1833" s="11" t="s">
        <v>9833</v>
      </c>
      <c r="E1833" s="12" t="s">
        <v>17913</v>
      </c>
      <c r="F1833" s="13">
        <v>45629</v>
      </c>
      <c r="G1833" s="14">
        <v>45838</v>
      </c>
      <c r="H1833" s="15">
        <v>3000000</v>
      </c>
      <c r="I1833" s="16">
        <v>6</v>
      </c>
      <c r="J1833" s="17">
        <v>24</v>
      </c>
      <c r="K1833" s="9" t="s">
        <v>9831</v>
      </c>
      <c r="L1833" s="10" t="s">
        <v>17914</v>
      </c>
      <c r="M1833" s="9" t="s">
        <v>10737</v>
      </c>
      <c r="N1833" s="10" t="s">
        <v>9834</v>
      </c>
      <c r="O1833" s="15">
        <v>1544500</v>
      </c>
      <c r="P1833" s="145">
        <v>56737</v>
      </c>
      <c r="Q1833" s="9"/>
      <c r="R1833" s="146"/>
      <c r="T1833"/>
    </row>
    <row r="1834" spans="1:20" x14ac:dyDescent="0.3">
      <c r="A1834" s="8">
        <v>1828</v>
      </c>
      <c r="B1834" s="9" t="s">
        <v>8977</v>
      </c>
      <c r="C1834" s="10" t="str">
        <f>VLOOKUP(B1834,'Data Angt'!$A$5:$B$5809,2,FALSE)</f>
        <v>A4083</v>
      </c>
      <c r="D1834" s="11" t="s">
        <v>9833</v>
      </c>
      <c r="E1834" s="12" t="s">
        <v>17915</v>
      </c>
      <c r="F1834" s="13">
        <v>45547</v>
      </c>
      <c r="G1834" s="14">
        <v>45908</v>
      </c>
      <c r="H1834" s="15">
        <v>5000000</v>
      </c>
      <c r="I1834" s="16">
        <v>18</v>
      </c>
      <c r="J1834" s="17">
        <v>24</v>
      </c>
      <c r="K1834" s="9" t="s">
        <v>9831</v>
      </c>
      <c r="L1834" s="10" t="s">
        <v>17916</v>
      </c>
      <c r="M1834" s="9" t="s">
        <v>9962</v>
      </c>
      <c r="N1834" s="10" t="s">
        <v>9834</v>
      </c>
      <c r="O1834" s="15">
        <v>1867600</v>
      </c>
      <c r="P1834" s="145">
        <v>326548</v>
      </c>
      <c r="Q1834" s="9"/>
      <c r="R1834" s="146"/>
      <c r="T1834"/>
    </row>
    <row r="1835" spans="1:20" x14ac:dyDescent="0.3">
      <c r="A1835" s="8">
        <v>1829</v>
      </c>
      <c r="B1835" s="9" t="s">
        <v>9069</v>
      </c>
      <c r="C1835" s="10" t="str">
        <f>VLOOKUP(B1835,'Data Angt'!$A$5:$B$5809,2,FALSE)</f>
        <v>A4125</v>
      </c>
      <c r="D1835" s="11" t="s">
        <v>9829</v>
      </c>
      <c r="E1835" s="12" t="s">
        <v>10738</v>
      </c>
      <c r="F1835" s="13">
        <v>45077</v>
      </c>
      <c r="G1835" s="14">
        <v>45152</v>
      </c>
      <c r="H1835" s="15">
        <v>5000000</v>
      </c>
      <c r="I1835" s="16">
        <v>12</v>
      </c>
      <c r="J1835" s="17">
        <v>27</v>
      </c>
      <c r="K1835" s="9" t="s">
        <v>9831</v>
      </c>
      <c r="L1835" s="10" t="s">
        <v>10739</v>
      </c>
      <c r="M1835" s="9" t="s">
        <v>10740</v>
      </c>
      <c r="N1835" s="10" t="s">
        <v>9828</v>
      </c>
      <c r="O1835" s="15">
        <v>4256600</v>
      </c>
      <c r="P1835" s="145">
        <v>81299</v>
      </c>
      <c r="Q1835" s="9"/>
      <c r="R1835" s="146"/>
      <c r="T1835"/>
    </row>
    <row r="1836" spans="1:20" x14ac:dyDescent="0.3">
      <c r="A1836" s="8">
        <v>1830</v>
      </c>
      <c r="B1836" s="9" t="s">
        <v>9157</v>
      </c>
      <c r="C1836" s="10" t="str">
        <f>VLOOKUP(B1836,'Data Angt'!$A$5:$B$5809,2,FALSE)</f>
        <v>A4166</v>
      </c>
      <c r="D1836" s="11" t="s">
        <v>9829</v>
      </c>
      <c r="E1836" s="12" t="s">
        <v>17917</v>
      </c>
      <c r="F1836" s="13">
        <v>45448</v>
      </c>
      <c r="G1836" s="14">
        <v>45908</v>
      </c>
      <c r="H1836" s="15">
        <v>50000000</v>
      </c>
      <c r="I1836" s="16">
        <v>36</v>
      </c>
      <c r="J1836" s="17">
        <v>21</v>
      </c>
      <c r="K1836" s="9" t="s">
        <v>9831</v>
      </c>
      <c r="L1836" s="10" t="s">
        <v>17918</v>
      </c>
      <c r="M1836" s="9" t="s">
        <v>17919</v>
      </c>
      <c r="N1836" s="10" t="s">
        <v>9830</v>
      </c>
      <c r="O1836" s="15">
        <v>40279000</v>
      </c>
      <c r="P1836" s="145">
        <v>4298472</v>
      </c>
      <c r="Q1836" s="9" t="s">
        <v>22197</v>
      </c>
      <c r="R1836" s="146" t="s">
        <v>23933</v>
      </c>
      <c r="T1836"/>
    </row>
    <row r="1837" spans="1:20" x14ac:dyDescent="0.3">
      <c r="A1837" s="8">
        <v>1831</v>
      </c>
      <c r="B1837" s="9" t="s">
        <v>9163</v>
      </c>
      <c r="C1837" s="10" t="str">
        <f>VLOOKUP(B1837,'Data Angt'!$A$5:$B$5809,2,FALSE)</f>
        <v>A4169</v>
      </c>
      <c r="D1837" s="11" t="s">
        <v>9829</v>
      </c>
      <c r="E1837" s="12" t="s">
        <v>23934</v>
      </c>
      <c r="F1837" s="13">
        <v>45882</v>
      </c>
      <c r="G1837" s="14">
        <v>45915</v>
      </c>
      <c r="H1837" s="15">
        <v>6000000</v>
      </c>
      <c r="I1837" s="16">
        <v>24</v>
      </c>
      <c r="J1837" s="17">
        <v>24</v>
      </c>
      <c r="K1837" s="9" t="s">
        <v>9831</v>
      </c>
      <c r="L1837" s="10" t="s">
        <v>23935</v>
      </c>
      <c r="M1837" s="9" t="s">
        <v>23936</v>
      </c>
      <c r="N1837" s="10" t="s">
        <v>17</v>
      </c>
      <c r="O1837" s="15">
        <v>5802700</v>
      </c>
      <c r="P1837" s="145">
        <v>45000</v>
      </c>
      <c r="Q1837" s="9" t="s">
        <v>23864</v>
      </c>
      <c r="R1837" s="146" t="s">
        <v>23937</v>
      </c>
      <c r="T1837"/>
    </row>
    <row r="1838" spans="1:20" x14ac:dyDescent="0.3">
      <c r="A1838" s="8">
        <v>1832</v>
      </c>
      <c r="B1838" s="9" t="s">
        <v>9191</v>
      </c>
      <c r="C1838" s="10" t="str">
        <f>VLOOKUP(B1838,'Data Angt'!$A$5:$B$5809,2,FALSE)</f>
        <v>A4182</v>
      </c>
      <c r="D1838" s="11" t="s">
        <v>9833</v>
      </c>
      <c r="E1838" s="12" t="s">
        <v>17920</v>
      </c>
      <c r="F1838" s="13">
        <v>45635</v>
      </c>
      <c r="G1838" s="14">
        <v>45884</v>
      </c>
      <c r="H1838" s="15">
        <v>10000000</v>
      </c>
      <c r="I1838" s="16">
        <v>24</v>
      </c>
      <c r="J1838" s="17">
        <v>24</v>
      </c>
      <c r="K1838" s="9" t="s">
        <v>9831</v>
      </c>
      <c r="L1838" s="10" t="s">
        <v>17921</v>
      </c>
      <c r="M1838" s="9" t="s">
        <v>9977</v>
      </c>
      <c r="N1838" s="10" t="s">
        <v>9834</v>
      </c>
      <c r="O1838" s="15">
        <v>7192900</v>
      </c>
      <c r="P1838" s="145">
        <v>533736</v>
      </c>
      <c r="Q1838" s="9" t="s">
        <v>23304</v>
      </c>
      <c r="R1838" s="146" t="s">
        <v>23938</v>
      </c>
      <c r="T1838"/>
    </row>
    <row r="1839" spans="1:20" x14ac:dyDescent="0.3">
      <c r="A1839" s="8">
        <v>1833</v>
      </c>
      <c r="B1839" s="9" t="s">
        <v>9334</v>
      </c>
      <c r="C1839" s="10" t="str">
        <f>VLOOKUP(B1839,'Data Angt'!$A$5:$B$5809,2,FALSE)</f>
        <v>A4244</v>
      </c>
      <c r="D1839" s="11" t="s">
        <v>9829</v>
      </c>
      <c r="E1839" s="12" t="s">
        <v>10741</v>
      </c>
      <c r="F1839" s="13">
        <v>45282</v>
      </c>
      <c r="G1839" s="14">
        <v>45922</v>
      </c>
      <c r="H1839" s="15">
        <v>5000000</v>
      </c>
      <c r="I1839" s="16">
        <v>24</v>
      </c>
      <c r="J1839" s="17">
        <v>24</v>
      </c>
      <c r="K1839" s="9" t="s">
        <v>9831</v>
      </c>
      <c r="L1839" s="10" t="s">
        <v>10742</v>
      </c>
      <c r="M1839" s="9" t="s">
        <v>9835</v>
      </c>
      <c r="N1839" s="10" t="s">
        <v>9828</v>
      </c>
      <c r="O1839" s="15">
        <v>762500</v>
      </c>
      <c r="P1839" s="145">
        <v>493084</v>
      </c>
      <c r="Q1839" s="9"/>
      <c r="R1839" s="146"/>
      <c r="T1839"/>
    </row>
    <row r="1840" spans="1:20" x14ac:dyDescent="0.3">
      <c r="A1840" s="8">
        <v>1834</v>
      </c>
      <c r="B1840" s="9" t="s">
        <v>9410</v>
      </c>
      <c r="C1840" s="10" t="str">
        <f>VLOOKUP(B1840,'Data Angt'!$A$5:$B$5809,2,FALSE)</f>
        <v>A4281</v>
      </c>
      <c r="D1840" s="11" t="s">
        <v>9881</v>
      </c>
      <c r="E1840" s="12" t="s">
        <v>17922</v>
      </c>
      <c r="F1840" s="13">
        <v>45665</v>
      </c>
      <c r="G1840" s="14">
        <v>45902</v>
      </c>
      <c r="H1840" s="15">
        <v>2500000</v>
      </c>
      <c r="I1840" s="16">
        <v>12</v>
      </c>
      <c r="J1840" s="17">
        <v>12</v>
      </c>
      <c r="K1840" s="9" t="s">
        <v>9831</v>
      </c>
      <c r="L1840" s="10" t="s">
        <v>17923</v>
      </c>
      <c r="M1840" s="9" t="s">
        <v>9835</v>
      </c>
      <c r="N1840" s="10" t="s">
        <v>9828</v>
      </c>
      <c r="O1840" s="15">
        <v>866400</v>
      </c>
      <c r="P1840" s="145">
        <v>53998</v>
      </c>
      <c r="Q1840" s="9"/>
      <c r="R1840" s="146"/>
      <c r="T1840"/>
    </row>
    <row r="1841" spans="1:20" x14ac:dyDescent="0.3">
      <c r="A1841" s="8">
        <v>1835</v>
      </c>
      <c r="B1841" s="9" t="s">
        <v>9410</v>
      </c>
      <c r="C1841" s="10" t="str">
        <f>VLOOKUP(B1841,'Data Angt'!$A$5:$B$5809,2,FALSE)</f>
        <v>A4281</v>
      </c>
      <c r="D1841" s="11" t="s">
        <v>9829</v>
      </c>
      <c r="E1841" s="12" t="s">
        <v>23939</v>
      </c>
      <c r="F1841" s="13">
        <v>45852</v>
      </c>
      <c r="G1841" s="14">
        <v>45902</v>
      </c>
      <c r="H1841" s="15">
        <v>8000000</v>
      </c>
      <c r="I1841" s="16">
        <v>12</v>
      </c>
      <c r="J1841" s="17">
        <v>24</v>
      </c>
      <c r="K1841" s="9" t="s">
        <v>9831</v>
      </c>
      <c r="L1841" s="10" t="s">
        <v>23940</v>
      </c>
      <c r="M1841" s="9" t="s">
        <v>9838</v>
      </c>
      <c r="N1841" s="10" t="s">
        <v>9830</v>
      </c>
      <c r="O1841" s="15">
        <v>6795100</v>
      </c>
      <c r="P1841" s="145">
        <v>115537</v>
      </c>
      <c r="Q1841" s="9" t="s">
        <v>23304</v>
      </c>
      <c r="R1841" s="146" t="s">
        <v>23941</v>
      </c>
      <c r="T1841"/>
    </row>
    <row r="1842" spans="1:20" x14ac:dyDescent="0.3">
      <c r="A1842" s="8">
        <v>1836</v>
      </c>
      <c r="B1842" s="9" t="s">
        <v>9452</v>
      </c>
      <c r="C1842" s="10" t="str">
        <f>VLOOKUP(B1842,'Data Angt'!$A$5:$B$5809,2,FALSE)</f>
        <v>A4299</v>
      </c>
      <c r="D1842" s="11" t="s">
        <v>9829</v>
      </c>
      <c r="E1842" s="12" t="s">
        <v>17924</v>
      </c>
      <c r="F1842" s="13">
        <v>45541</v>
      </c>
      <c r="G1842" s="14">
        <v>45930</v>
      </c>
      <c r="H1842" s="15">
        <v>5500000</v>
      </c>
      <c r="I1842" s="16">
        <v>24</v>
      </c>
      <c r="J1842" s="17">
        <v>24</v>
      </c>
      <c r="K1842" s="9" t="s">
        <v>9831</v>
      </c>
      <c r="L1842" s="10" t="s">
        <v>17925</v>
      </c>
      <c r="M1842" s="9" t="s">
        <v>17</v>
      </c>
      <c r="N1842" s="10" t="s">
        <v>17</v>
      </c>
      <c r="O1842" s="15">
        <v>4946700</v>
      </c>
      <c r="P1842" s="145">
        <v>437474</v>
      </c>
      <c r="Q1842" s="9" t="s">
        <v>22197</v>
      </c>
      <c r="R1842" s="146" t="s">
        <v>23942</v>
      </c>
      <c r="T1842"/>
    </row>
    <row r="1843" spans="1:20" x14ac:dyDescent="0.3">
      <c r="A1843" s="8">
        <v>1837</v>
      </c>
      <c r="B1843" s="9" t="s">
        <v>9472</v>
      </c>
      <c r="C1843" s="10" t="str">
        <f>VLOOKUP(B1843,'Data Angt'!$A$5:$B$5809,2,FALSE)</f>
        <v>A4308</v>
      </c>
      <c r="D1843" s="11" t="s">
        <v>9833</v>
      </c>
      <c r="E1843" s="12" t="s">
        <v>17926</v>
      </c>
      <c r="F1843" s="13">
        <v>45813</v>
      </c>
      <c r="G1843" s="14">
        <v>45908</v>
      </c>
      <c r="H1843" s="15">
        <v>2000000</v>
      </c>
      <c r="I1843" s="16">
        <v>12</v>
      </c>
      <c r="J1843" s="17">
        <v>24</v>
      </c>
      <c r="K1843" s="9" t="s">
        <v>9831</v>
      </c>
      <c r="L1843" s="10" t="s">
        <v>17927</v>
      </c>
      <c r="M1843" s="9" t="s">
        <v>9962</v>
      </c>
      <c r="N1843" s="10" t="s">
        <v>9834</v>
      </c>
      <c r="O1843" s="15">
        <v>1543500</v>
      </c>
      <c r="P1843" s="145">
        <v>41662</v>
      </c>
      <c r="Q1843" s="9"/>
      <c r="R1843" s="146"/>
      <c r="T1843"/>
    </row>
    <row r="1844" spans="1:20" x14ac:dyDescent="0.3">
      <c r="A1844" s="8">
        <v>1838</v>
      </c>
      <c r="B1844" s="9" t="s">
        <v>9472</v>
      </c>
      <c r="C1844" s="10" t="str">
        <f>VLOOKUP(B1844,'Data Angt'!$A$5:$B$5809,2,FALSE)</f>
        <v>A4308</v>
      </c>
      <c r="D1844" s="11" t="s">
        <v>9826</v>
      </c>
      <c r="E1844" s="12" t="s">
        <v>17928</v>
      </c>
      <c r="F1844" s="13">
        <v>45622</v>
      </c>
      <c r="G1844" s="14">
        <v>45924</v>
      </c>
      <c r="H1844" s="15">
        <v>2000000</v>
      </c>
      <c r="I1844" s="16">
        <v>12</v>
      </c>
      <c r="J1844" s="17">
        <v>24</v>
      </c>
      <c r="K1844" s="9" t="s">
        <v>9831</v>
      </c>
      <c r="L1844" s="10" t="s">
        <v>17929</v>
      </c>
      <c r="M1844" s="9" t="s">
        <v>17912</v>
      </c>
      <c r="N1844" s="10" t="s">
        <v>9834</v>
      </c>
      <c r="O1844" s="15">
        <v>366700</v>
      </c>
      <c r="P1844" s="145">
        <v>97010</v>
      </c>
      <c r="Q1844" s="9"/>
      <c r="R1844" s="146"/>
      <c r="T1844"/>
    </row>
    <row r="1845" spans="1:20" x14ac:dyDescent="0.3">
      <c r="A1845" s="8">
        <v>1839</v>
      </c>
      <c r="B1845" s="9" t="s">
        <v>12641</v>
      </c>
      <c r="C1845" s="10" t="str">
        <f>VLOOKUP(B1845,'Data Angt'!$A$5:$B$5809,2,FALSE)</f>
        <v>A4373</v>
      </c>
      <c r="D1845" s="11" t="s">
        <v>9833</v>
      </c>
      <c r="E1845" s="12" t="s">
        <v>23943</v>
      </c>
      <c r="F1845" s="13">
        <v>45901</v>
      </c>
      <c r="G1845" s="14">
        <v>45901</v>
      </c>
      <c r="H1845" s="15">
        <v>3500000</v>
      </c>
      <c r="I1845" s="16">
        <v>12</v>
      </c>
      <c r="J1845" s="17">
        <v>24</v>
      </c>
      <c r="K1845" s="9" t="s">
        <v>9831</v>
      </c>
      <c r="L1845" s="10" t="s">
        <v>23944</v>
      </c>
      <c r="M1845" s="9" t="s">
        <v>9962</v>
      </c>
      <c r="N1845" s="10" t="s">
        <v>9834</v>
      </c>
      <c r="O1845" s="15">
        <v>3500000</v>
      </c>
      <c r="P1845" s="147">
        <v>0</v>
      </c>
      <c r="Q1845" s="9" t="s">
        <v>23304</v>
      </c>
      <c r="R1845" s="146" t="s">
        <v>23945</v>
      </c>
      <c r="T1845"/>
    </row>
    <row r="1846" spans="1:20" x14ac:dyDescent="0.3">
      <c r="A1846" s="8">
        <v>1840</v>
      </c>
      <c r="B1846" s="9" t="s">
        <v>12943</v>
      </c>
      <c r="C1846" s="10" t="str">
        <f>VLOOKUP(B1846,'Data Angt'!$A$5:$B$5809,2,FALSE)</f>
        <v>A4508</v>
      </c>
      <c r="D1846" s="11" t="s">
        <v>9829</v>
      </c>
      <c r="E1846" s="12" t="s">
        <v>17930</v>
      </c>
      <c r="F1846" s="13">
        <v>45762</v>
      </c>
      <c r="G1846" s="14">
        <v>45915</v>
      </c>
      <c r="H1846" s="15">
        <v>60000000</v>
      </c>
      <c r="I1846" s="16">
        <v>48</v>
      </c>
      <c r="J1846" s="17">
        <v>21</v>
      </c>
      <c r="K1846" s="9" t="s">
        <v>9831</v>
      </c>
      <c r="L1846" s="10" t="s">
        <v>17931</v>
      </c>
      <c r="M1846" s="9" t="s">
        <v>10136</v>
      </c>
      <c r="N1846" s="10" t="s">
        <v>17</v>
      </c>
      <c r="O1846" s="15">
        <v>58309900</v>
      </c>
      <c r="P1846" s="145">
        <v>1157212</v>
      </c>
      <c r="Q1846" s="9"/>
      <c r="R1846" s="146"/>
      <c r="T1846"/>
    </row>
    <row r="1847" spans="1:20" x14ac:dyDescent="0.3">
      <c r="A1847" s="8">
        <v>1841</v>
      </c>
      <c r="B1847" s="9" t="s">
        <v>12948</v>
      </c>
      <c r="C1847" s="10" t="str">
        <f>VLOOKUP(B1847,'Data Angt'!$A$5:$B$5809,2,FALSE)</f>
        <v>A4510</v>
      </c>
      <c r="D1847" s="11" t="s">
        <v>9833</v>
      </c>
      <c r="E1847" s="12" t="s">
        <v>17932</v>
      </c>
      <c r="F1847" s="13">
        <v>45625</v>
      </c>
      <c r="G1847" s="14">
        <v>45923</v>
      </c>
      <c r="H1847" s="15">
        <v>10000000</v>
      </c>
      <c r="I1847" s="16">
        <v>18</v>
      </c>
      <c r="J1847" s="17">
        <v>24</v>
      </c>
      <c r="K1847" s="9" t="s">
        <v>9831</v>
      </c>
      <c r="L1847" s="10" t="s">
        <v>17933</v>
      </c>
      <c r="M1847" s="9" t="s">
        <v>17934</v>
      </c>
      <c r="N1847" s="10" t="s">
        <v>9834</v>
      </c>
      <c r="O1847" s="15">
        <v>4885800</v>
      </c>
      <c r="P1847" s="145">
        <v>583797</v>
      </c>
      <c r="Q1847" s="9" t="s">
        <v>22905</v>
      </c>
      <c r="R1847" s="146" t="s">
        <v>23946</v>
      </c>
      <c r="T1847"/>
    </row>
    <row r="1848" spans="1:20" x14ac:dyDescent="0.3">
      <c r="A1848" s="8">
        <v>1842</v>
      </c>
      <c r="B1848" s="9" t="s">
        <v>12948</v>
      </c>
      <c r="C1848" s="10" t="str">
        <f>VLOOKUP(B1848,'Data Angt'!$A$5:$B$5809,2,FALSE)</f>
        <v>A4510</v>
      </c>
      <c r="D1848" s="11" t="s">
        <v>9826</v>
      </c>
      <c r="E1848" s="12" t="s">
        <v>17935</v>
      </c>
      <c r="F1848" s="13">
        <v>45741</v>
      </c>
      <c r="G1848" s="14">
        <v>45915</v>
      </c>
      <c r="H1848" s="15">
        <v>2000000</v>
      </c>
      <c r="I1848" s="16">
        <v>12</v>
      </c>
      <c r="J1848" s="17">
        <v>24</v>
      </c>
      <c r="K1848" s="9" t="s">
        <v>9831</v>
      </c>
      <c r="L1848" s="10" t="s">
        <v>17936</v>
      </c>
      <c r="M1848" s="9" t="s">
        <v>17937</v>
      </c>
      <c r="N1848" s="10" t="s">
        <v>9834</v>
      </c>
      <c r="O1848" s="15">
        <v>1226900</v>
      </c>
      <c r="P1848" s="145">
        <v>64837</v>
      </c>
      <c r="Q1848" s="9"/>
      <c r="R1848" s="146"/>
      <c r="T1848"/>
    </row>
    <row r="1849" spans="1:20" x14ac:dyDescent="0.3">
      <c r="A1849" s="8">
        <v>1843</v>
      </c>
      <c r="B1849" s="9" t="s">
        <v>13021</v>
      </c>
      <c r="C1849" s="10" t="str">
        <f>VLOOKUP(B1849,'Data Angt'!$A$5:$B$5809,2,FALSE)</f>
        <v>A4544</v>
      </c>
      <c r="D1849" s="11" t="s">
        <v>9829</v>
      </c>
      <c r="E1849" s="12" t="s">
        <v>17938</v>
      </c>
      <c r="F1849" s="13">
        <v>45794</v>
      </c>
      <c r="G1849" s="14">
        <v>45917</v>
      </c>
      <c r="H1849" s="15">
        <v>3000000</v>
      </c>
      <c r="I1849" s="16">
        <v>12</v>
      </c>
      <c r="J1849" s="17">
        <v>24</v>
      </c>
      <c r="K1849" s="9" t="s">
        <v>9831</v>
      </c>
      <c r="L1849" s="10" t="s">
        <v>17939</v>
      </c>
      <c r="M1849" s="9" t="s">
        <v>9841</v>
      </c>
      <c r="N1849" s="10" t="s">
        <v>17</v>
      </c>
      <c r="O1849" s="15">
        <v>2078200</v>
      </c>
      <c r="P1849" s="145">
        <v>79875</v>
      </c>
      <c r="Q1849" s="9" t="s">
        <v>23304</v>
      </c>
      <c r="R1849" s="146" t="s">
        <v>23947</v>
      </c>
      <c r="T1849"/>
    </row>
    <row r="1850" spans="1:20" x14ac:dyDescent="0.3">
      <c r="A1850" s="8">
        <v>1844</v>
      </c>
      <c r="B1850" s="9" t="s">
        <v>13118</v>
      </c>
      <c r="C1850" s="10" t="str">
        <f>VLOOKUP(B1850,'Data Angt'!$A$5:$B$5809,2,FALSE)</f>
        <v>A4592</v>
      </c>
      <c r="D1850" s="11" t="s">
        <v>9829</v>
      </c>
      <c r="E1850" s="12" t="s">
        <v>23948</v>
      </c>
      <c r="F1850" s="13">
        <v>45915</v>
      </c>
      <c r="G1850" s="14">
        <v>45917</v>
      </c>
      <c r="H1850" s="15">
        <v>20000000</v>
      </c>
      <c r="I1850" s="16">
        <v>24</v>
      </c>
      <c r="J1850" s="17">
        <v>24</v>
      </c>
      <c r="K1850" s="9" t="s">
        <v>9831</v>
      </c>
      <c r="L1850" s="10" t="s">
        <v>23949</v>
      </c>
      <c r="M1850" s="9" t="s">
        <v>9838</v>
      </c>
      <c r="N1850" s="10" t="s">
        <v>9830</v>
      </c>
      <c r="O1850" s="15">
        <v>20000000</v>
      </c>
      <c r="P1850" s="147">
        <v>0</v>
      </c>
      <c r="Q1850" s="9"/>
      <c r="R1850" s="146"/>
      <c r="T1850"/>
    </row>
    <row r="1851" spans="1:20" x14ac:dyDescent="0.3">
      <c r="A1851" s="8">
        <v>1845</v>
      </c>
      <c r="B1851" s="9" t="s">
        <v>13118</v>
      </c>
      <c r="C1851" s="10" t="str">
        <f>VLOOKUP(B1851,'Data Angt'!$A$5:$B$5809,2,FALSE)</f>
        <v>A4592</v>
      </c>
      <c r="D1851" s="11" t="s">
        <v>9829</v>
      </c>
      <c r="E1851" s="12" t="s">
        <v>17940</v>
      </c>
      <c r="F1851" s="13">
        <v>45580</v>
      </c>
      <c r="G1851" s="14">
        <v>45929</v>
      </c>
      <c r="H1851" s="15">
        <v>1000000</v>
      </c>
      <c r="I1851" s="16">
        <v>12</v>
      </c>
      <c r="J1851" s="17">
        <v>24</v>
      </c>
      <c r="K1851" s="9" t="s">
        <v>9831</v>
      </c>
      <c r="L1851" s="10" t="s">
        <v>17941</v>
      </c>
      <c r="M1851" s="9" t="s">
        <v>10352</v>
      </c>
      <c r="N1851" s="10" t="s">
        <v>9828</v>
      </c>
      <c r="O1851" s="15">
        <v>100000</v>
      </c>
      <c r="P1851" s="145">
        <v>52723</v>
      </c>
      <c r="Q1851" s="9"/>
      <c r="R1851" s="146"/>
      <c r="T1851"/>
    </row>
    <row r="1852" spans="1:20" x14ac:dyDescent="0.3">
      <c r="A1852" s="8">
        <v>1846</v>
      </c>
      <c r="B1852" s="9" t="s">
        <v>13123</v>
      </c>
      <c r="C1852" s="10" t="str">
        <f>VLOOKUP(B1852,'Data Angt'!$A$5:$B$5809,2,FALSE)</f>
        <v>A4594</v>
      </c>
      <c r="D1852" s="11" t="s">
        <v>9833</v>
      </c>
      <c r="E1852" s="12" t="s">
        <v>23950</v>
      </c>
      <c r="F1852" s="13">
        <v>45922</v>
      </c>
      <c r="G1852" s="14">
        <v>45922</v>
      </c>
      <c r="H1852" s="15">
        <v>2000000</v>
      </c>
      <c r="I1852" s="16">
        <v>6</v>
      </c>
      <c r="J1852" s="17">
        <v>24</v>
      </c>
      <c r="K1852" s="9" t="s">
        <v>9831</v>
      </c>
      <c r="L1852" s="10" t="s">
        <v>23951</v>
      </c>
      <c r="M1852" s="9" t="s">
        <v>10737</v>
      </c>
      <c r="N1852" s="10" t="s">
        <v>9834</v>
      </c>
      <c r="O1852" s="15">
        <v>2000000</v>
      </c>
      <c r="P1852" s="147">
        <v>0</v>
      </c>
      <c r="Q1852" s="9"/>
      <c r="R1852" s="146"/>
      <c r="T1852"/>
    </row>
    <row r="1853" spans="1:20" x14ac:dyDescent="0.3">
      <c r="A1853" s="8">
        <v>1847</v>
      </c>
      <c r="B1853" s="9" t="s">
        <v>13525</v>
      </c>
      <c r="C1853" s="10" t="str">
        <f>VLOOKUP(B1853,'Data Angt'!$A$5:$B$5809,2,FALSE)</f>
        <v>A4829</v>
      </c>
      <c r="D1853" s="11" t="s">
        <v>9833</v>
      </c>
      <c r="E1853" s="12" t="s">
        <v>23952</v>
      </c>
      <c r="F1853" s="13">
        <v>45915</v>
      </c>
      <c r="G1853" s="14">
        <v>45915</v>
      </c>
      <c r="H1853" s="15">
        <v>10000000</v>
      </c>
      <c r="I1853" s="16">
        <v>12</v>
      </c>
      <c r="J1853" s="17">
        <v>24</v>
      </c>
      <c r="K1853" s="9" t="s">
        <v>9831</v>
      </c>
      <c r="L1853" s="10" t="s">
        <v>23953</v>
      </c>
      <c r="M1853" s="9" t="s">
        <v>23954</v>
      </c>
      <c r="N1853" s="10" t="s">
        <v>9834</v>
      </c>
      <c r="O1853" s="15">
        <v>10000000</v>
      </c>
      <c r="P1853" s="147">
        <v>0</v>
      </c>
      <c r="Q1853" s="9" t="s">
        <v>23864</v>
      </c>
      <c r="R1853" s="146" t="s">
        <v>23955</v>
      </c>
      <c r="T1853"/>
    </row>
    <row r="1854" spans="1:20" x14ac:dyDescent="0.3">
      <c r="A1854" s="8">
        <v>1848</v>
      </c>
      <c r="B1854" s="9" t="s">
        <v>13605</v>
      </c>
      <c r="C1854" s="10" t="str">
        <f>VLOOKUP(B1854,'Data Angt'!$A$5:$B$5809,2,FALSE)</f>
        <v>A4866</v>
      </c>
      <c r="D1854" s="11" t="s">
        <v>9829</v>
      </c>
      <c r="E1854" s="12" t="s">
        <v>17942</v>
      </c>
      <c r="F1854" s="13">
        <v>45552</v>
      </c>
      <c r="G1854" s="14">
        <v>45904</v>
      </c>
      <c r="H1854" s="15">
        <v>10000000</v>
      </c>
      <c r="I1854" s="16">
        <v>24</v>
      </c>
      <c r="J1854" s="17">
        <v>24</v>
      </c>
      <c r="K1854" s="9" t="s">
        <v>9831</v>
      </c>
      <c r="L1854" s="10" t="s">
        <v>17943</v>
      </c>
      <c r="M1854" s="9" t="s">
        <v>9997</v>
      </c>
      <c r="N1854" s="10" t="s">
        <v>9830</v>
      </c>
      <c r="O1854" s="15">
        <v>5590700</v>
      </c>
      <c r="P1854" s="145">
        <v>726110</v>
      </c>
      <c r="Q1854" s="9" t="s">
        <v>22905</v>
      </c>
      <c r="R1854" s="146" t="s">
        <v>23956</v>
      </c>
      <c r="T1854"/>
    </row>
    <row r="1855" spans="1:20" x14ac:dyDescent="0.3">
      <c r="A1855" s="8">
        <v>1849</v>
      </c>
      <c r="B1855" s="9" t="s">
        <v>13679</v>
      </c>
      <c r="C1855" s="10" t="str">
        <f>VLOOKUP(B1855,'Data Angt'!$A$5:$B$5809,2,FALSE)</f>
        <v>A4896</v>
      </c>
      <c r="D1855" s="11" t="s">
        <v>9833</v>
      </c>
      <c r="E1855" s="12" t="s">
        <v>23957</v>
      </c>
      <c r="F1855" s="13">
        <v>45902</v>
      </c>
      <c r="G1855" s="14">
        <v>45902</v>
      </c>
      <c r="H1855" s="15">
        <v>9000000</v>
      </c>
      <c r="I1855" s="16">
        <v>12</v>
      </c>
      <c r="J1855" s="17">
        <v>24</v>
      </c>
      <c r="K1855" s="9" t="s">
        <v>9831</v>
      </c>
      <c r="L1855" s="10" t="s">
        <v>23958</v>
      </c>
      <c r="M1855" s="9" t="s">
        <v>9962</v>
      </c>
      <c r="N1855" s="10" t="s">
        <v>9834</v>
      </c>
      <c r="O1855" s="15">
        <v>9000000</v>
      </c>
      <c r="P1855" s="147">
        <v>0</v>
      </c>
      <c r="Q1855" s="9" t="s">
        <v>23864</v>
      </c>
      <c r="R1855" s="146" t="s">
        <v>23959</v>
      </c>
      <c r="T1855"/>
    </row>
    <row r="1856" spans="1:20" x14ac:dyDescent="0.3">
      <c r="A1856" s="8">
        <v>1850</v>
      </c>
      <c r="B1856" s="9" t="s">
        <v>13773</v>
      </c>
      <c r="C1856" s="10" t="str">
        <f>VLOOKUP(B1856,'Data Angt'!$A$5:$B$5809,2,FALSE)</f>
        <v>A4938</v>
      </c>
      <c r="D1856" s="11" t="s">
        <v>9833</v>
      </c>
      <c r="E1856" s="12" t="s">
        <v>23960</v>
      </c>
      <c r="F1856" s="13">
        <v>45842</v>
      </c>
      <c r="G1856" s="14">
        <v>45904</v>
      </c>
      <c r="H1856" s="15">
        <v>3000000</v>
      </c>
      <c r="I1856" s="16">
        <v>18</v>
      </c>
      <c r="J1856" s="17">
        <v>24</v>
      </c>
      <c r="K1856" s="9" t="s">
        <v>9831</v>
      </c>
      <c r="L1856" s="10" t="s">
        <v>23961</v>
      </c>
      <c r="M1856" s="9" t="s">
        <v>9962</v>
      </c>
      <c r="N1856" s="10" t="s">
        <v>9834</v>
      </c>
      <c r="O1856" s="15">
        <v>2716800</v>
      </c>
      <c r="P1856" s="145">
        <v>43950</v>
      </c>
      <c r="Q1856" s="9" t="s">
        <v>23864</v>
      </c>
      <c r="R1856" s="146" t="s">
        <v>23962</v>
      </c>
      <c r="T1856"/>
    </row>
    <row r="1857" spans="1:20" x14ac:dyDescent="0.3">
      <c r="A1857" s="8">
        <v>1851</v>
      </c>
      <c r="B1857" s="9" t="s">
        <v>13886</v>
      </c>
      <c r="C1857" s="10" t="str">
        <f>VLOOKUP(B1857,'Data Angt'!$A$5:$B$5809,2,FALSE)</f>
        <v>A4994</v>
      </c>
      <c r="D1857" s="11" t="s">
        <v>9829</v>
      </c>
      <c r="E1857" s="12" t="s">
        <v>17944</v>
      </c>
      <c r="F1857" s="13">
        <v>45674</v>
      </c>
      <c r="G1857" s="14">
        <v>45917</v>
      </c>
      <c r="H1857" s="15">
        <v>5000000</v>
      </c>
      <c r="I1857" s="16">
        <v>12</v>
      </c>
      <c r="J1857" s="17">
        <v>18</v>
      </c>
      <c r="K1857" s="9" t="s">
        <v>9831</v>
      </c>
      <c r="L1857" s="10" t="s">
        <v>17945</v>
      </c>
      <c r="M1857" s="9" t="s">
        <v>15343</v>
      </c>
      <c r="N1857" s="10" t="s">
        <v>9830</v>
      </c>
      <c r="O1857" s="15">
        <v>1767100</v>
      </c>
      <c r="P1857" s="145">
        <v>162860</v>
      </c>
      <c r="Q1857" s="9"/>
      <c r="R1857" s="146"/>
      <c r="T1857"/>
    </row>
    <row r="1858" spans="1:20" x14ac:dyDescent="0.3">
      <c r="A1858" s="8">
        <v>1852</v>
      </c>
      <c r="B1858" s="9" t="s">
        <v>14030</v>
      </c>
      <c r="C1858" s="10" t="str">
        <f>VLOOKUP(B1858,'Data Angt'!$A$5:$B$5809,2,FALSE)</f>
        <v>A5055</v>
      </c>
      <c r="D1858" s="11" t="s">
        <v>9829</v>
      </c>
      <c r="E1858" s="12" t="s">
        <v>17946</v>
      </c>
      <c r="F1858" s="13">
        <v>45701</v>
      </c>
      <c r="G1858" s="14">
        <v>45902</v>
      </c>
      <c r="H1858" s="15">
        <v>5000000</v>
      </c>
      <c r="I1858" s="16">
        <v>24</v>
      </c>
      <c r="J1858" s="17">
        <v>24</v>
      </c>
      <c r="K1858" s="9" t="s">
        <v>9831</v>
      </c>
      <c r="L1858" s="10" t="s">
        <v>17947</v>
      </c>
      <c r="M1858" s="9" t="s">
        <v>17948</v>
      </c>
      <c r="N1858" s="10" t="s">
        <v>9828</v>
      </c>
      <c r="O1858" s="15">
        <v>3778100</v>
      </c>
      <c r="P1858" s="145">
        <v>235836</v>
      </c>
      <c r="Q1858" s="9" t="s">
        <v>23880</v>
      </c>
      <c r="R1858" s="146" t="s">
        <v>23963</v>
      </c>
      <c r="T1858"/>
    </row>
    <row r="1859" spans="1:20" x14ac:dyDescent="0.3">
      <c r="A1859" s="8">
        <v>1853</v>
      </c>
      <c r="B1859" s="9" t="s">
        <v>14105</v>
      </c>
      <c r="C1859" s="10" t="str">
        <f>VLOOKUP(B1859,'Data Angt'!$A$5:$B$5809,2,FALSE)</f>
        <v>A5087</v>
      </c>
      <c r="D1859" s="11" t="s">
        <v>9829</v>
      </c>
      <c r="E1859" s="12" t="s">
        <v>17949</v>
      </c>
      <c r="F1859" s="13">
        <v>45622</v>
      </c>
      <c r="G1859" s="14">
        <v>45917</v>
      </c>
      <c r="H1859" s="15">
        <v>2700000</v>
      </c>
      <c r="I1859" s="16">
        <v>12</v>
      </c>
      <c r="J1859" s="17">
        <v>24</v>
      </c>
      <c r="K1859" s="9" t="s">
        <v>9831</v>
      </c>
      <c r="L1859" s="10" t="s">
        <v>17950</v>
      </c>
      <c r="M1859" s="9" t="s">
        <v>10352</v>
      </c>
      <c r="N1859" s="10" t="s">
        <v>9828</v>
      </c>
      <c r="O1859" s="15">
        <v>495100</v>
      </c>
      <c r="P1859" s="145">
        <v>130910</v>
      </c>
      <c r="Q1859" s="9"/>
      <c r="R1859" s="146"/>
      <c r="T1859"/>
    </row>
    <row r="1860" spans="1:20" x14ac:dyDescent="0.3">
      <c r="A1860" s="8">
        <v>1854</v>
      </c>
      <c r="B1860" s="9" t="s">
        <v>14130</v>
      </c>
      <c r="C1860" s="10" t="str">
        <f>VLOOKUP(B1860,'Data Angt'!$A$5:$B$5809,2,FALSE)</f>
        <v>A5100</v>
      </c>
      <c r="D1860" s="11" t="s">
        <v>9829</v>
      </c>
      <c r="E1860" s="12" t="s">
        <v>17951</v>
      </c>
      <c r="F1860" s="13">
        <v>45622</v>
      </c>
      <c r="G1860" s="14">
        <v>45902</v>
      </c>
      <c r="H1860" s="15">
        <v>2000000</v>
      </c>
      <c r="I1860" s="16">
        <v>12</v>
      </c>
      <c r="J1860" s="17">
        <v>24</v>
      </c>
      <c r="K1860" s="9" t="s">
        <v>9831</v>
      </c>
      <c r="L1860" s="10" t="s">
        <v>17952</v>
      </c>
      <c r="M1860" s="9" t="s">
        <v>17953</v>
      </c>
      <c r="N1860" s="10" t="s">
        <v>9834</v>
      </c>
      <c r="O1860" s="15">
        <v>1223800</v>
      </c>
      <c r="P1860" s="145">
        <v>63674</v>
      </c>
      <c r="Q1860" s="9"/>
      <c r="R1860" s="146"/>
      <c r="T1860"/>
    </row>
    <row r="1861" spans="1:20" x14ac:dyDescent="0.3">
      <c r="A1861" s="8">
        <v>1855</v>
      </c>
      <c r="B1861" s="9" t="s">
        <v>14132</v>
      </c>
      <c r="C1861" s="10" t="str">
        <f>VLOOKUP(B1861,'Data Angt'!$A$5:$B$5809,2,FALSE)</f>
        <v>A5101</v>
      </c>
      <c r="D1861" s="11" t="s">
        <v>9829</v>
      </c>
      <c r="E1861" s="12" t="s">
        <v>23964</v>
      </c>
      <c r="F1861" s="13">
        <v>45908</v>
      </c>
      <c r="G1861" s="14">
        <v>45908</v>
      </c>
      <c r="H1861" s="15">
        <v>3000000</v>
      </c>
      <c r="I1861" s="16">
        <v>18</v>
      </c>
      <c r="J1861" s="17">
        <v>24</v>
      </c>
      <c r="K1861" s="9" t="s">
        <v>9831</v>
      </c>
      <c r="L1861" s="10" t="s">
        <v>23965</v>
      </c>
      <c r="M1861" s="9" t="s">
        <v>9835</v>
      </c>
      <c r="N1861" s="10" t="s">
        <v>9828</v>
      </c>
      <c r="O1861" s="15">
        <v>3000000</v>
      </c>
      <c r="P1861" s="147">
        <v>0</v>
      </c>
      <c r="Q1861" s="9"/>
      <c r="R1861" s="146"/>
      <c r="T1861"/>
    </row>
    <row r="1862" spans="1:20" x14ac:dyDescent="0.3">
      <c r="A1862" s="8">
        <v>1856</v>
      </c>
      <c r="B1862" s="9" t="s">
        <v>14151</v>
      </c>
      <c r="C1862" s="10" t="str">
        <f>VLOOKUP(B1862,'Data Angt'!$A$5:$B$5809,2,FALSE)</f>
        <v>A5111</v>
      </c>
      <c r="D1862" s="11" t="s">
        <v>9829</v>
      </c>
      <c r="E1862" s="12" t="s">
        <v>17954</v>
      </c>
      <c r="F1862" s="13">
        <v>45624</v>
      </c>
      <c r="G1862" s="14">
        <v>45904</v>
      </c>
      <c r="H1862" s="15">
        <v>2000000</v>
      </c>
      <c r="I1862" s="16">
        <v>12</v>
      </c>
      <c r="J1862" s="17">
        <v>24</v>
      </c>
      <c r="K1862" s="9" t="s">
        <v>9831</v>
      </c>
      <c r="L1862" s="10" t="s">
        <v>17955</v>
      </c>
      <c r="M1862" s="9" t="s">
        <v>17956</v>
      </c>
      <c r="N1862" s="10" t="s">
        <v>9828</v>
      </c>
      <c r="O1862" s="15">
        <v>366700</v>
      </c>
      <c r="P1862" s="145">
        <v>97010</v>
      </c>
      <c r="Q1862" s="9"/>
      <c r="R1862" s="146"/>
      <c r="T1862"/>
    </row>
    <row r="1863" spans="1:20" x14ac:dyDescent="0.3">
      <c r="A1863" s="8">
        <v>1857</v>
      </c>
      <c r="B1863" s="9" t="s">
        <v>14727</v>
      </c>
      <c r="C1863" s="10" t="str">
        <f>VLOOKUP(B1863,'Data Angt'!$A$5:$B$5809,2,FALSE)</f>
        <v>A5332</v>
      </c>
      <c r="D1863" s="11" t="s">
        <v>9829</v>
      </c>
      <c r="E1863" s="12" t="s">
        <v>17957</v>
      </c>
      <c r="F1863" s="13">
        <v>45772</v>
      </c>
      <c r="G1863" s="14">
        <v>45929</v>
      </c>
      <c r="H1863" s="15">
        <v>5000000</v>
      </c>
      <c r="I1863" s="16">
        <v>10</v>
      </c>
      <c r="J1863" s="17">
        <v>24</v>
      </c>
      <c r="K1863" s="9" t="s">
        <v>9831</v>
      </c>
      <c r="L1863" s="10" t="s">
        <v>17958</v>
      </c>
      <c r="M1863" s="9" t="s">
        <v>10652</v>
      </c>
      <c r="N1863" s="10" t="s">
        <v>17</v>
      </c>
      <c r="O1863" s="15">
        <v>2633200</v>
      </c>
      <c r="P1863" s="145">
        <v>156261</v>
      </c>
      <c r="Q1863" s="9" t="s">
        <v>23304</v>
      </c>
      <c r="R1863" s="146" t="s">
        <v>23966</v>
      </c>
      <c r="T1863"/>
    </row>
    <row r="1864" spans="1:20" x14ac:dyDescent="0.3">
      <c r="A1864" s="8">
        <v>1858</v>
      </c>
      <c r="B1864" s="9" t="s">
        <v>14788</v>
      </c>
      <c r="C1864" s="10" t="str">
        <f>VLOOKUP(B1864,'Data Angt'!$A$5:$B$5809,2,FALSE)</f>
        <v>A5360</v>
      </c>
      <c r="D1864" s="11" t="s">
        <v>9833</v>
      </c>
      <c r="E1864" s="12" t="s">
        <v>23967</v>
      </c>
      <c r="F1864" s="13">
        <v>45849</v>
      </c>
      <c r="G1864" s="14">
        <v>45915</v>
      </c>
      <c r="H1864" s="15">
        <v>3000000</v>
      </c>
      <c r="I1864" s="16">
        <v>12</v>
      </c>
      <c r="J1864" s="17">
        <v>24</v>
      </c>
      <c r="K1864" s="9" t="s">
        <v>9831</v>
      </c>
      <c r="L1864" s="10" t="s">
        <v>23968</v>
      </c>
      <c r="M1864" s="9" t="s">
        <v>10376</v>
      </c>
      <c r="N1864" s="10" t="s">
        <v>9834</v>
      </c>
      <c r="O1864" s="15">
        <v>2548200</v>
      </c>
      <c r="P1864" s="145">
        <v>43350</v>
      </c>
      <c r="Q1864" s="9" t="s">
        <v>23864</v>
      </c>
      <c r="R1864" s="146" t="s">
        <v>23969</v>
      </c>
      <c r="T1864"/>
    </row>
    <row r="1865" spans="1:20" x14ac:dyDescent="0.3">
      <c r="A1865" s="8">
        <v>1859</v>
      </c>
      <c r="B1865" s="9" t="s">
        <v>14790</v>
      </c>
      <c r="C1865" s="10" t="str">
        <f>VLOOKUP(B1865,'Data Angt'!$A$5:$B$5809,2,FALSE)</f>
        <v>A5361</v>
      </c>
      <c r="D1865" s="11" t="s">
        <v>9829</v>
      </c>
      <c r="E1865" s="12" t="s">
        <v>17959</v>
      </c>
      <c r="F1865" s="13">
        <v>45799</v>
      </c>
      <c r="G1865" s="14">
        <v>45923</v>
      </c>
      <c r="H1865" s="15">
        <v>5000000</v>
      </c>
      <c r="I1865" s="16">
        <v>12</v>
      </c>
      <c r="J1865" s="17">
        <v>24</v>
      </c>
      <c r="K1865" s="9" t="s">
        <v>9831</v>
      </c>
      <c r="L1865" s="10" t="s">
        <v>17960</v>
      </c>
      <c r="M1865" s="9" t="s">
        <v>9841</v>
      </c>
      <c r="N1865" s="10" t="s">
        <v>17</v>
      </c>
      <c r="O1865" s="15">
        <v>3463600</v>
      </c>
      <c r="P1865" s="145">
        <v>133050</v>
      </c>
      <c r="Q1865" s="9" t="s">
        <v>23304</v>
      </c>
      <c r="R1865" s="146" t="s">
        <v>23970</v>
      </c>
      <c r="T1865"/>
    </row>
    <row r="1866" spans="1:20" x14ac:dyDescent="0.3">
      <c r="A1866" s="8">
        <v>1860</v>
      </c>
      <c r="B1866" s="9" t="s">
        <v>14856</v>
      </c>
      <c r="C1866" s="10" t="str">
        <f>VLOOKUP(B1866,'Data Angt'!$A$5:$B$5809,2,FALSE)</f>
        <v>A5392</v>
      </c>
      <c r="D1866" s="11" t="s">
        <v>9829</v>
      </c>
      <c r="E1866" s="12" t="s">
        <v>17961</v>
      </c>
      <c r="F1866" s="13">
        <v>45828</v>
      </c>
      <c r="G1866" s="14">
        <v>45922</v>
      </c>
      <c r="H1866" s="15">
        <v>1500000</v>
      </c>
      <c r="I1866" s="16">
        <v>12</v>
      </c>
      <c r="J1866" s="17">
        <v>24</v>
      </c>
      <c r="K1866" s="9" t="s">
        <v>9831</v>
      </c>
      <c r="L1866" s="10" t="s">
        <v>17962</v>
      </c>
      <c r="M1866" s="9" t="s">
        <v>17963</v>
      </c>
      <c r="N1866" s="10" t="s">
        <v>9828</v>
      </c>
      <c r="O1866" s="15">
        <v>1157600</v>
      </c>
      <c r="P1866" s="145">
        <v>31237</v>
      </c>
      <c r="Q1866" s="9"/>
      <c r="R1866" s="146"/>
      <c r="T1866"/>
    </row>
    <row r="1867" spans="1:20" x14ac:dyDescent="0.3">
      <c r="A1867" s="8">
        <v>1861</v>
      </c>
      <c r="B1867" s="9" t="s">
        <v>14918</v>
      </c>
      <c r="C1867" s="10" t="str">
        <f>VLOOKUP(B1867,'Data Angt'!$A$5:$B$5809,2,FALSE)</f>
        <v>A5419</v>
      </c>
      <c r="D1867" s="11" t="s">
        <v>9829</v>
      </c>
      <c r="E1867" s="12" t="s">
        <v>17964</v>
      </c>
      <c r="F1867" s="13">
        <v>45727</v>
      </c>
      <c r="G1867" s="14">
        <v>45915</v>
      </c>
      <c r="H1867" s="15">
        <v>2000000</v>
      </c>
      <c r="I1867" s="16">
        <v>12</v>
      </c>
      <c r="J1867" s="17">
        <v>24</v>
      </c>
      <c r="K1867" s="9" t="s">
        <v>9831</v>
      </c>
      <c r="L1867" s="10" t="s">
        <v>17965</v>
      </c>
      <c r="M1867" s="9" t="s">
        <v>9866</v>
      </c>
      <c r="N1867" s="10" t="s">
        <v>17</v>
      </c>
      <c r="O1867" s="15">
        <v>1385200</v>
      </c>
      <c r="P1867" s="145">
        <v>53249</v>
      </c>
      <c r="Q1867" s="9"/>
      <c r="R1867" s="146"/>
      <c r="T1867"/>
    </row>
    <row r="1868" spans="1:20" x14ac:dyDescent="0.3">
      <c r="A1868" s="8">
        <v>1862</v>
      </c>
      <c r="B1868" s="9" t="s">
        <v>15303</v>
      </c>
      <c r="C1868" s="10" t="str">
        <f>VLOOKUP(B1868,'Data Angt'!$A$5:$B$5809,2,FALSE)</f>
        <v>A5597</v>
      </c>
      <c r="D1868" s="11" t="s">
        <v>9833</v>
      </c>
      <c r="E1868" s="12" t="s">
        <v>23971</v>
      </c>
      <c r="F1868" s="13">
        <v>45839</v>
      </c>
      <c r="G1868" s="14">
        <v>45901</v>
      </c>
      <c r="H1868" s="15">
        <v>1500000</v>
      </c>
      <c r="I1868" s="16">
        <v>6</v>
      </c>
      <c r="J1868" s="17">
        <v>24</v>
      </c>
      <c r="K1868" s="9" t="s">
        <v>9831</v>
      </c>
      <c r="L1868" s="10" t="s">
        <v>23972</v>
      </c>
      <c r="M1868" s="9" t="s">
        <v>9962</v>
      </c>
      <c r="N1868" s="10" t="s">
        <v>9834</v>
      </c>
      <c r="O1868" s="15">
        <v>1019700</v>
      </c>
      <c r="P1868" s="145">
        <v>20737</v>
      </c>
      <c r="Q1868" s="9" t="s">
        <v>23864</v>
      </c>
      <c r="R1868" s="146" t="s">
        <v>23973</v>
      </c>
    </row>
    <row r="1869" spans="1:20" ht="15" thickBot="1" x14ac:dyDescent="0.35">
      <c r="A1869" s="340" t="s">
        <v>10743</v>
      </c>
      <c r="B1869" s="341"/>
      <c r="C1869" s="341"/>
      <c r="D1869" s="341"/>
      <c r="E1869" s="341"/>
      <c r="F1869" s="341"/>
      <c r="G1869" s="342"/>
      <c r="H1869" s="18">
        <v>54800972000</v>
      </c>
      <c r="I1869" s="343">
        <v>40154069800</v>
      </c>
      <c r="J1869" s="344"/>
      <c r="K1869" s="344"/>
      <c r="L1869" s="344"/>
      <c r="M1869" s="344"/>
      <c r="N1869" s="344"/>
      <c r="O1869" s="345"/>
      <c r="P1869" s="18">
        <v>19987320075</v>
      </c>
      <c r="Q1869" s="148"/>
      <c r="R1869" s="149"/>
    </row>
  </sheetData>
  <autoFilter ref="T5:X1744" xr:uid="{0863838B-A240-46E3-84ED-96CF0661E3A2}"/>
  <sortState xmlns:xlrd2="http://schemas.microsoft.com/office/spreadsheetml/2017/richdata2" ref="A7:Q1498">
    <sortCondition ref="P7:P1498"/>
  </sortState>
  <mergeCells count="22">
    <mergeCell ref="A1869:G1869"/>
    <mergeCell ref="I1869:O1869"/>
    <mergeCell ref="H5:H6"/>
    <mergeCell ref="J5:J6"/>
    <mergeCell ref="K5:K6"/>
    <mergeCell ref="L5:L6"/>
    <mergeCell ref="M5:M6"/>
    <mergeCell ref="N5:N6"/>
    <mergeCell ref="A5:A6"/>
    <mergeCell ref="B5:B6"/>
    <mergeCell ref="C5:C6"/>
    <mergeCell ref="D5:D6"/>
    <mergeCell ref="E5:E6"/>
    <mergeCell ref="F5:F6"/>
    <mergeCell ref="O5:O6"/>
    <mergeCell ref="A1:R1"/>
    <mergeCell ref="A2:R2"/>
    <mergeCell ref="A3:R3"/>
    <mergeCell ref="A4:R4"/>
    <mergeCell ref="P5:P6"/>
    <mergeCell ref="Q5:Q6"/>
    <mergeCell ref="R5:R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DC6FF-82E7-43D3-8EC1-41B79835DE91}">
  <dimension ref="A1:T1145"/>
  <sheetViews>
    <sheetView workbookViewId="0">
      <selection activeCell="L10" sqref="L10"/>
    </sheetView>
  </sheetViews>
  <sheetFormatPr defaultColWidth="7.33203125" defaultRowHeight="14.4" x14ac:dyDescent="0.3"/>
  <cols>
    <col min="1" max="1" width="7" style="5" bestFit="1" customWidth="1"/>
    <col min="2" max="2" width="5" style="5" bestFit="1" customWidth="1"/>
    <col min="3" max="3" width="18" style="5" bestFit="1" customWidth="1"/>
    <col min="4" max="4" width="9.6640625" style="5" customWidth="1"/>
    <col min="5" max="5" width="12.6640625" style="5" bestFit="1" customWidth="1"/>
    <col min="6" max="6" width="10.6640625" style="5" bestFit="1" customWidth="1"/>
    <col min="7" max="7" width="13.33203125" style="5" bestFit="1" customWidth="1"/>
    <col min="8" max="8" width="15.109375" style="5" bestFit="1" customWidth="1"/>
    <col min="9" max="9" width="6.44140625" style="5" bestFit="1" customWidth="1"/>
    <col min="10" max="10" width="17" style="5" bestFit="1" customWidth="1"/>
    <col min="11" max="11" width="13.33203125" style="5" bestFit="1" customWidth="1"/>
    <col min="12" max="12" width="19.6640625" style="5" bestFit="1" customWidth="1"/>
    <col min="13" max="14" width="7.33203125" style="5"/>
    <col min="15" max="15" width="18" style="5" bestFit="1" customWidth="1"/>
    <col min="16" max="16" width="18" style="5" customWidth="1"/>
    <col min="17" max="18" width="7.33203125" style="5"/>
    <col min="19" max="19" width="22.33203125" style="5" customWidth="1"/>
    <col min="20" max="16384" width="7.33203125" style="5"/>
  </cols>
  <sheetData>
    <row r="1" spans="1:20" ht="15" customHeight="1" x14ac:dyDescent="0.3">
      <c r="A1" s="331" t="s">
        <v>10757</v>
      </c>
      <c r="B1" s="332"/>
      <c r="C1" s="332"/>
      <c r="D1" s="332"/>
      <c r="E1" s="332"/>
      <c r="F1" s="332"/>
      <c r="G1" s="332"/>
      <c r="H1" s="332"/>
      <c r="I1" s="332"/>
      <c r="J1" s="332"/>
      <c r="K1" s="332"/>
      <c r="L1" s="332"/>
    </row>
    <row r="2" spans="1:20" ht="15" customHeight="1" x14ac:dyDescent="0.3">
      <c r="A2" s="333" t="s">
        <v>22185</v>
      </c>
      <c r="B2" s="332"/>
      <c r="C2" s="332"/>
      <c r="D2" s="332"/>
      <c r="E2" s="332"/>
      <c r="F2" s="332"/>
      <c r="G2" s="332"/>
      <c r="H2" s="332"/>
      <c r="I2" s="332"/>
      <c r="J2" s="332"/>
      <c r="K2" s="332"/>
      <c r="L2" s="332"/>
    </row>
    <row r="3" spans="1:20" ht="15" customHeight="1" x14ac:dyDescent="0.3">
      <c r="A3" s="333" t="s">
        <v>10758</v>
      </c>
      <c r="B3" s="332"/>
      <c r="C3" s="332"/>
      <c r="D3" s="332"/>
      <c r="E3" s="332"/>
      <c r="F3" s="332"/>
      <c r="G3" s="332"/>
      <c r="H3" s="332"/>
      <c r="I3" s="332"/>
      <c r="J3" s="332"/>
      <c r="K3" s="332"/>
      <c r="L3" s="332"/>
    </row>
    <row r="4" spans="1:20" ht="15" thickBot="1" x14ac:dyDescent="0.35">
      <c r="A4" s="333" t="s">
        <v>9809</v>
      </c>
      <c r="B4" s="332"/>
      <c r="C4" s="332"/>
      <c r="D4" s="332"/>
      <c r="E4" s="332"/>
      <c r="F4" s="332"/>
      <c r="G4" s="332"/>
      <c r="H4" s="332"/>
      <c r="I4" s="332"/>
      <c r="J4" s="332"/>
      <c r="K4" s="332"/>
      <c r="L4" s="332"/>
    </row>
    <row r="5" spans="1:20" ht="15" customHeight="1" x14ac:dyDescent="0.3">
      <c r="A5" s="351" t="s">
        <v>10759</v>
      </c>
      <c r="B5" s="353" t="s">
        <v>9810</v>
      </c>
      <c r="C5" s="353" t="s">
        <v>10760</v>
      </c>
      <c r="D5" s="353" t="s">
        <v>30029</v>
      </c>
      <c r="E5" s="353" t="s">
        <v>10761</v>
      </c>
      <c r="F5" s="353" t="s">
        <v>10762</v>
      </c>
      <c r="G5" s="353" t="s">
        <v>10763</v>
      </c>
      <c r="H5" s="353" t="s">
        <v>10764</v>
      </c>
      <c r="I5" s="353" t="s">
        <v>10765</v>
      </c>
      <c r="J5" s="353" t="s">
        <v>10766</v>
      </c>
      <c r="K5" s="35" t="s">
        <v>10767</v>
      </c>
      <c r="L5" s="355" t="s">
        <v>23974</v>
      </c>
      <c r="N5"/>
      <c r="O5" s="46" t="s">
        <v>10745</v>
      </c>
      <c r="P5" s="371" t="s">
        <v>30029</v>
      </c>
      <c r="Q5" s="46" t="s">
        <v>12050</v>
      </c>
      <c r="R5" s="5" t="s">
        <v>9786</v>
      </c>
      <c r="S5" s="19" t="s">
        <v>9792</v>
      </c>
      <c r="T5" s="19" t="s">
        <v>24218</v>
      </c>
    </row>
    <row r="6" spans="1:20" ht="15" customHeight="1" x14ac:dyDescent="0.3">
      <c r="A6" s="352"/>
      <c r="B6" s="354"/>
      <c r="C6" s="354"/>
      <c r="D6" s="354"/>
      <c r="E6" s="354"/>
      <c r="F6" s="354"/>
      <c r="G6" s="354"/>
      <c r="H6" s="354"/>
      <c r="I6" s="354"/>
      <c r="J6" s="354"/>
      <c r="K6" s="36" t="s">
        <v>10763</v>
      </c>
      <c r="L6" s="356"/>
      <c r="N6"/>
      <c r="O6" s="39" t="s">
        <v>36</v>
      </c>
      <c r="P6" s="5" t="str">
        <f t="shared" ref="P6:P69" si="0">VLOOKUP(O6,$C$7:$D$1146,2,FALSE)</f>
        <v>A8</v>
      </c>
      <c r="Q6" s="5">
        <f t="shared" ref="Q6:Q69" si="1">COUNTIF($C$7:$C$1146,O6)</f>
        <v>1</v>
      </c>
      <c r="R6">
        <f>VLOOKUP(O6,'Data Angt'!$A$5:$F$5810,6,FALSE)</f>
        <v>59</v>
      </c>
      <c r="S6" s="5" t="str">
        <f>VLOOKUP(O6,'Data Angt'!$A$5:$H$5810,8,FALSE)</f>
        <v>Pensiunan</v>
      </c>
      <c r="T6" s="44" t="str">
        <f>VLOOKUP(O6,'Data Angt'!$A$5:$C$5809,3,FALSE)</f>
        <v>PBL</v>
      </c>
    </row>
    <row r="7" spans="1:20" x14ac:dyDescent="0.3">
      <c r="A7" s="37">
        <v>149985</v>
      </c>
      <c r="B7" s="38">
        <v>1</v>
      </c>
      <c r="C7" s="39" t="s">
        <v>36</v>
      </c>
      <c r="D7" s="10" t="str">
        <f>VLOOKUP(C7,'Data Angt'!$A$5:$B$5809,2,FALSE)</f>
        <v>A8</v>
      </c>
      <c r="E7" s="40" t="s">
        <v>18393</v>
      </c>
      <c r="F7" s="41">
        <v>45596</v>
      </c>
      <c r="G7" s="38">
        <v>12</v>
      </c>
      <c r="H7" s="40">
        <v>0</v>
      </c>
      <c r="I7" s="38">
        <v>5.5</v>
      </c>
      <c r="J7" s="41">
        <v>45596</v>
      </c>
      <c r="K7" s="38" t="s">
        <v>10768</v>
      </c>
      <c r="L7" s="42">
        <v>200000000</v>
      </c>
      <c r="N7"/>
      <c r="O7" s="39" t="s">
        <v>38</v>
      </c>
      <c r="P7" s="5" t="str">
        <f t="shared" si="0"/>
        <v>A9</v>
      </c>
      <c r="Q7" s="5">
        <f t="shared" si="1"/>
        <v>5</v>
      </c>
      <c r="R7">
        <f>VLOOKUP(O7,'Data Angt'!$A$5:$F$5810,6,FALSE)</f>
        <v>60</v>
      </c>
      <c r="S7" s="5" t="str">
        <f>VLOOKUP(O7,'Data Angt'!$A$5:$H$5810,8,FALSE)</f>
        <v>Pensiunan</v>
      </c>
      <c r="T7" s="44" t="str">
        <f>VLOOKUP(O7,'Data Angt'!$A$5:$C$5809,3,FALSE)</f>
        <v>PBL</v>
      </c>
    </row>
    <row r="8" spans="1:20" x14ac:dyDescent="0.3">
      <c r="A8" s="37">
        <v>143047</v>
      </c>
      <c r="B8" s="38">
        <v>2</v>
      </c>
      <c r="C8" s="39" t="s">
        <v>38</v>
      </c>
      <c r="D8" s="10" t="str">
        <f>VLOOKUP(C8,'Data Angt'!$A$5:$B$5809,2,FALSE)</f>
        <v>A9</v>
      </c>
      <c r="E8" s="40" t="s">
        <v>18394</v>
      </c>
      <c r="F8" s="41">
        <v>45352</v>
      </c>
      <c r="G8" s="38">
        <v>12</v>
      </c>
      <c r="H8" s="40">
        <v>0</v>
      </c>
      <c r="I8" s="38">
        <v>5.5</v>
      </c>
      <c r="J8" s="41">
        <v>45352</v>
      </c>
      <c r="K8" s="38" t="s">
        <v>10768</v>
      </c>
      <c r="L8" s="42">
        <v>20000000</v>
      </c>
      <c r="N8"/>
      <c r="O8" s="39" t="s">
        <v>42</v>
      </c>
      <c r="P8" s="5" t="str">
        <f t="shared" si="0"/>
        <v>A11</v>
      </c>
      <c r="Q8" s="5">
        <f t="shared" si="1"/>
        <v>5</v>
      </c>
      <c r="R8">
        <f>VLOOKUP(O8,'Data Angt'!$A$5:$F$5810,6,FALSE)</f>
        <v>53</v>
      </c>
      <c r="S8" s="5" t="str">
        <f>VLOOKUP(O8,'Data Angt'!$A$5:$H$5810,8,FALSE)</f>
        <v>Tenaga Pengajar</v>
      </c>
      <c r="T8" s="44" t="str">
        <f>VLOOKUP(O8,'Data Angt'!$A$5:$C$5809,3,FALSE)</f>
        <v>PBL</v>
      </c>
    </row>
    <row r="9" spans="1:20" x14ac:dyDescent="0.3">
      <c r="A9" s="37">
        <v>141268</v>
      </c>
      <c r="B9" s="38">
        <v>3</v>
      </c>
      <c r="C9" s="39" t="s">
        <v>38</v>
      </c>
      <c r="D9" s="10" t="str">
        <f>VLOOKUP(C9,'Data Angt'!$A$5:$B$5809,2,FALSE)</f>
        <v>A9</v>
      </c>
      <c r="E9" s="40" t="s">
        <v>10769</v>
      </c>
      <c r="F9" s="41">
        <v>45288</v>
      </c>
      <c r="G9" s="38">
        <v>12</v>
      </c>
      <c r="H9" s="40">
        <v>0</v>
      </c>
      <c r="I9" s="38">
        <v>5.5</v>
      </c>
      <c r="J9" s="41">
        <v>45288</v>
      </c>
      <c r="K9" s="38" t="s">
        <v>10768</v>
      </c>
      <c r="L9" s="42">
        <v>25000000</v>
      </c>
      <c r="N9"/>
      <c r="O9" s="39" t="s">
        <v>49</v>
      </c>
      <c r="P9" s="5" t="str">
        <f t="shared" si="0"/>
        <v>A13</v>
      </c>
      <c r="Q9" s="5">
        <f t="shared" si="1"/>
        <v>5</v>
      </c>
      <c r="R9">
        <f>VLOOKUP(O9,'Data Angt'!$A$5:$F$5810,6,FALSE)</f>
        <v>62</v>
      </c>
      <c r="S9" s="5" t="str">
        <f>VLOOKUP(O9,'Data Angt'!$A$5:$H$5810,8,FALSE)</f>
        <v>Wiraswasta</v>
      </c>
      <c r="T9" s="44" t="str">
        <f>VLOOKUP(O9,'Data Angt'!$A$5:$C$5809,3,FALSE)</f>
        <v>PBL</v>
      </c>
    </row>
    <row r="10" spans="1:20" x14ac:dyDescent="0.3">
      <c r="A10" s="37">
        <v>141389</v>
      </c>
      <c r="B10" s="38">
        <v>4</v>
      </c>
      <c r="C10" s="39" t="s">
        <v>38</v>
      </c>
      <c r="D10" s="10" t="str">
        <f>VLOOKUP(C10,'Data Angt'!$A$5:$B$5809,2,FALSE)</f>
        <v>A9</v>
      </c>
      <c r="E10" s="40" t="s">
        <v>18395</v>
      </c>
      <c r="F10" s="41">
        <v>45296</v>
      </c>
      <c r="G10" s="38">
        <v>12</v>
      </c>
      <c r="H10" s="40">
        <v>0</v>
      </c>
      <c r="I10" s="38">
        <v>5.5</v>
      </c>
      <c r="J10" s="41">
        <v>45296</v>
      </c>
      <c r="K10" s="38" t="s">
        <v>10768</v>
      </c>
      <c r="L10" s="42">
        <v>10000000</v>
      </c>
      <c r="N10"/>
      <c r="O10" s="39" t="s">
        <v>57</v>
      </c>
      <c r="P10" s="5" t="str">
        <f t="shared" si="0"/>
        <v>A16</v>
      </c>
      <c r="Q10" s="5">
        <f t="shared" si="1"/>
        <v>42</v>
      </c>
      <c r="R10">
        <f>VLOOKUP(O10,'Data Angt'!$A$5:$F$5810,6,FALSE)</f>
        <v>55</v>
      </c>
      <c r="S10" s="5" t="str">
        <f>VLOOKUP(O10,'Data Angt'!$A$5:$H$5810,8,FALSE)</f>
        <v>Tenaga Pengajar</v>
      </c>
      <c r="T10" s="44" t="str">
        <f>VLOOKUP(O10,'Data Angt'!$A$5:$C$5809,3,FALSE)</f>
        <v>PBL</v>
      </c>
    </row>
    <row r="11" spans="1:20" x14ac:dyDescent="0.3">
      <c r="A11" s="37">
        <v>141476</v>
      </c>
      <c r="B11" s="38">
        <v>5</v>
      </c>
      <c r="C11" s="39" t="s">
        <v>38</v>
      </c>
      <c r="D11" s="10" t="str">
        <f>VLOOKUP(C11,'Data Angt'!$A$5:$B$5809,2,FALSE)</f>
        <v>A9</v>
      </c>
      <c r="E11" s="40" t="s">
        <v>18396</v>
      </c>
      <c r="F11" s="41">
        <v>45299</v>
      </c>
      <c r="G11" s="38">
        <v>12</v>
      </c>
      <c r="H11" s="40">
        <v>0</v>
      </c>
      <c r="I11" s="38">
        <v>5.5</v>
      </c>
      <c r="J11" s="41">
        <v>45300</v>
      </c>
      <c r="K11" s="38" t="s">
        <v>10768</v>
      </c>
      <c r="L11" s="42">
        <v>16000000</v>
      </c>
      <c r="N11"/>
      <c r="O11" s="39" t="s">
        <v>59</v>
      </c>
      <c r="P11" s="5" t="str">
        <f t="shared" si="0"/>
        <v>A17</v>
      </c>
      <c r="Q11" s="5">
        <f t="shared" si="1"/>
        <v>6</v>
      </c>
      <c r="R11">
        <f>VLOOKUP(O11,'Data Angt'!$A$5:$F$5810,6,FALSE)</f>
        <v>60</v>
      </c>
      <c r="S11" s="5" t="str">
        <f>VLOOKUP(O11,'Data Angt'!$A$5:$H$5810,8,FALSE)</f>
        <v>Tenaga Pengajar</v>
      </c>
      <c r="T11" s="44" t="str">
        <f>VLOOKUP(O11,'Data Angt'!$A$5:$C$5809,3,FALSE)</f>
        <v>PBL</v>
      </c>
    </row>
    <row r="12" spans="1:20" x14ac:dyDescent="0.3">
      <c r="A12" s="37">
        <v>142223</v>
      </c>
      <c r="B12" s="38">
        <v>6</v>
      </c>
      <c r="C12" s="39" t="s">
        <v>38</v>
      </c>
      <c r="D12" s="10" t="str">
        <f>VLOOKUP(C12,'Data Angt'!$A$5:$B$5809,2,FALSE)</f>
        <v>A9</v>
      </c>
      <c r="E12" s="40" t="s">
        <v>18397</v>
      </c>
      <c r="F12" s="41">
        <v>45320</v>
      </c>
      <c r="G12" s="38">
        <v>12</v>
      </c>
      <c r="H12" s="40">
        <v>0</v>
      </c>
      <c r="I12" s="38">
        <v>5.5</v>
      </c>
      <c r="J12" s="41">
        <v>45320</v>
      </c>
      <c r="K12" s="38" t="s">
        <v>10768</v>
      </c>
      <c r="L12" s="42">
        <v>20000000</v>
      </c>
      <c r="N12"/>
      <c r="O12" s="39" t="s">
        <v>63</v>
      </c>
      <c r="P12" s="5" t="str">
        <f t="shared" si="0"/>
        <v>A19</v>
      </c>
      <c r="Q12" s="5">
        <f t="shared" si="1"/>
        <v>2</v>
      </c>
      <c r="R12">
        <f>VLOOKUP(O12,'Data Angt'!$A$5:$F$5810,6,FALSE)</f>
        <v>63</v>
      </c>
      <c r="S12" s="5" t="str">
        <f>VLOOKUP(O12,'Data Angt'!$A$5:$H$5810,8,FALSE)</f>
        <v>Pensiunan</v>
      </c>
      <c r="T12" s="44" t="str">
        <f>VLOOKUP(O12,'Data Angt'!$A$5:$C$5809,3,FALSE)</f>
        <v>PBL</v>
      </c>
    </row>
    <row r="13" spans="1:20" x14ac:dyDescent="0.3">
      <c r="A13" s="37">
        <v>141391</v>
      </c>
      <c r="B13" s="38">
        <v>7</v>
      </c>
      <c r="C13" s="39" t="s">
        <v>42</v>
      </c>
      <c r="D13" s="10" t="str">
        <f>VLOOKUP(C13,'Data Angt'!$A$5:$B$5809,2,FALSE)</f>
        <v>A11</v>
      </c>
      <c r="E13" s="40" t="s">
        <v>18398</v>
      </c>
      <c r="F13" s="41">
        <v>45296</v>
      </c>
      <c r="G13" s="38">
        <v>12</v>
      </c>
      <c r="H13" s="40">
        <v>0</v>
      </c>
      <c r="I13" s="38">
        <v>5.5</v>
      </c>
      <c r="J13" s="41">
        <v>45296</v>
      </c>
      <c r="K13" s="38" t="s">
        <v>10768</v>
      </c>
      <c r="L13" s="42">
        <v>25000000</v>
      </c>
      <c r="N13"/>
      <c r="O13" s="39" t="s">
        <v>65</v>
      </c>
      <c r="P13" s="5" t="str">
        <f t="shared" si="0"/>
        <v>A20</v>
      </c>
      <c r="Q13" s="5">
        <f t="shared" si="1"/>
        <v>7</v>
      </c>
      <c r="R13">
        <f>VLOOKUP(O13,'Data Angt'!$A$5:$F$5810,6,FALSE)</f>
        <v>73</v>
      </c>
      <c r="S13" s="5" t="str">
        <f>VLOOKUP(O13,'Data Angt'!$A$5:$H$5810,8,FALSE)</f>
        <v>Pensiunan</v>
      </c>
      <c r="T13" s="44" t="str">
        <f>VLOOKUP(O13,'Data Angt'!$A$5:$C$5809,3,FALSE)</f>
        <v>PBL</v>
      </c>
    </row>
    <row r="14" spans="1:20" x14ac:dyDescent="0.3">
      <c r="A14" s="37">
        <v>142357</v>
      </c>
      <c r="B14" s="38">
        <v>8</v>
      </c>
      <c r="C14" s="39" t="s">
        <v>42</v>
      </c>
      <c r="D14" s="10" t="str">
        <f>VLOOKUP(C14,'Data Angt'!$A$5:$B$5809,2,FALSE)</f>
        <v>A11</v>
      </c>
      <c r="E14" s="40" t="s">
        <v>18399</v>
      </c>
      <c r="F14" s="41">
        <v>45327</v>
      </c>
      <c r="G14" s="38">
        <v>12</v>
      </c>
      <c r="H14" s="40">
        <v>0</v>
      </c>
      <c r="I14" s="38">
        <v>5.5</v>
      </c>
      <c r="J14" s="41">
        <v>45327</v>
      </c>
      <c r="K14" s="38" t="s">
        <v>10768</v>
      </c>
      <c r="L14" s="42">
        <v>25000000</v>
      </c>
      <c r="N14"/>
      <c r="O14" s="39" t="s">
        <v>78</v>
      </c>
      <c r="P14" s="5" t="str">
        <f t="shared" si="0"/>
        <v>A24</v>
      </c>
      <c r="Q14" s="5">
        <f t="shared" si="1"/>
        <v>4</v>
      </c>
      <c r="R14">
        <f>VLOOKUP(O14,'Data Angt'!$A$5:$F$5810,6,FALSE)</f>
        <v>59</v>
      </c>
      <c r="S14" s="5" t="str">
        <f>VLOOKUP(O14,'Data Angt'!$A$5:$H$5810,8,FALSE)</f>
        <v>Tenaga Pengajar</v>
      </c>
      <c r="T14" s="44" t="str">
        <f>VLOOKUP(O14,'Data Angt'!$A$5:$C$5809,3,FALSE)</f>
        <v>PBL</v>
      </c>
    </row>
    <row r="15" spans="1:20" x14ac:dyDescent="0.3">
      <c r="A15" s="37">
        <v>154130</v>
      </c>
      <c r="B15" s="38">
        <v>9</v>
      </c>
      <c r="C15" s="39" t="s">
        <v>42</v>
      </c>
      <c r="D15" s="10" t="str">
        <f>VLOOKUP(C15,'Data Angt'!$A$5:$B$5809,2,FALSE)</f>
        <v>A11</v>
      </c>
      <c r="E15" s="40" t="s">
        <v>18400</v>
      </c>
      <c r="F15" s="41">
        <v>45719</v>
      </c>
      <c r="G15" s="38">
        <v>12</v>
      </c>
      <c r="H15" s="40">
        <v>0</v>
      </c>
      <c r="I15" s="38">
        <v>5.5</v>
      </c>
      <c r="J15" s="41">
        <v>45719</v>
      </c>
      <c r="K15" s="38" t="s">
        <v>10768</v>
      </c>
      <c r="L15" s="42">
        <v>25000000</v>
      </c>
      <c r="N15"/>
      <c r="O15" s="39" t="s">
        <v>91</v>
      </c>
      <c r="P15" s="5" t="str">
        <f t="shared" si="0"/>
        <v>A27</v>
      </c>
      <c r="Q15" s="5">
        <f t="shared" si="1"/>
        <v>6</v>
      </c>
      <c r="R15">
        <f>VLOOKUP(O15,'Data Angt'!$A$5:$F$5810,6,FALSE)</f>
        <v>61</v>
      </c>
      <c r="S15" s="5" t="str">
        <f>VLOOKUP(O15,'Data Angt'!$A$5:$H$5810,8,FALSE)</f>
        <v>Pensiunan</v>
      </c>
      <c r="T15" s="44" t="str">
        <f>VLOOKUP(O15,'Data Angt'!$A$5:$C$5809,3,FALSE)</f>
        <v>PBL</v>
      </c>
    </row>
    <row r="16" spans="1:20" x14ac:dyDescent="0.3">
      <c r="A16" s="37">
        <v>154907</v>
      </c>
      <c r="B16" s="38">
        <v>10</v>
      </c>
      <c r="C16" s="39" t="s">
        <v>42</v>
      </c>
      <c r="D16" s="10" t="str">
        <f>VLOOKUP(C16,'Data Angt'!$A$5:$B$5809,2,FALSE)</f>
        <v>A11</v>
      </c>
      <c r="E16" s="40" t="s">
        <v>18401</v>
      </c>
      <c r="F16" s="41">
        <v>45755</v>
      </c>
      <c r="G16" s="38">
        <v>12</v>
      </c>
      <c r="H16" s="40">
        <v>0</v>
      </c>
      <c r="I16" s="38">
        <v>5.5</v>
      </c>
      <c r="J16" s="41">
        <v>45755</v>
      </c>
      <c r="K16" s="38" t="s">
        <v>10768</v>
      </c>
      <c r="L16" s="42">
        <v>10000000</v>
      </c>
      <c r="N16"/>
      <c r="O16" s="39" t="s">
        <v>99</v>
      </c>
      <c r="P16" s="5" t="str">
        <f t="shared" si="0"/>
        <v>A31</v>
      </c>
      <c r="Q16" s="5">
        <f t="shared" si="1"/>
        <v>7</v>
      </c>
      <c r="R16">
        <f>VLOOKUP(O16,'Data Angt'!$A$5:$F$5810,6,FALSE)</f>
        <v>59</v>
      </c>
      <c r="S16" s="5" t="str">
        <f>VLOOKUP(O16,'Data Angt'!$A$5:$H$5810,8,FALSE)</f>
        <v>Tenaga Pengajar</v>
      </c>
      <c r="T16" s="44" t="str">
        <f>VLOOKUP(O16,'Data Angt'!$A$5:$C$5809,3,FALSE)</f>
        <v>PBL</v>
      </c>
    </row>
    <row r="17" spans="1:20" x14ac:dyDescent="0.3">
      <c r="A17" s="37">
        <v>92644</v>
      </c>
      <c r="B17" s="38">
        <v>11</v>
      </c>
      <c r="C17" s="39" t="s">
        <v>42</v>
      </c>
      <c r="D17" s="10" t="str">
        <f>VLOOKUP(C17,'Data Angt'!$A$5:$B$5809,2,FALSE)</f>
        <v>A11</v>
      </c>
      <c r="E17" s="40" t="s">
        <v>10770</v>
      </c>
      <c r="F17" s="41">
        <v>43454</v>
      </c>
      <c r="G17" s="38">
        <v>12</v>
      </c>
      <c r="H17" s="40">
        <v>0</v>
      </c>
      <c r="I17" s="38">
        <v>5.5</v>
      </c>
      <c r="J17" s="41">
        <v>43454</v>
      </c>
      <c r="K17" s="38" t="s">
        <v>10768</v>
      </c>
      <c r="L17" s="42">
        <v>50000000</v>
      </c>
      <c r="N17"/>
      <c r="O17" s="39" t="s">
        <v>102</v>
      </c>
      <c r="P17" s="5" t="str">
        <f t="shared" si="0"/>
        <v>A32</v>
      </c>
      <c r="Q17" s="5">
        <f t="shared" si="1"/>
        <v>17</v>
      </c>
      <c r="R17">
        <f>VLOOKUP(O17,'Data Angt'!$A$5:$F$5810,6,FALSE)</f>
        <v>58</v>
      </c>
      <c r="S17" s="5" t="str">
        <f>VLOOKUP(O17,'Data Angt'!$A$5:$H$5810,8,FALSE)</f>
        <v>Tenaga Pengajar</v>
      </c>
      <c r="T17" s="44" t="str">
        <f>VLOOKUP(O17,'Data Angt'!$A$5:$C$5809,3,FALSE)</f>
        <v>PBL</v>
      </c>
    </row>
    <row r="18" spans="1:20" x14ac:dyDescent="0.3">
      <c r="A18" s="37">
        <v>132477</v>
      </c>
      <c r="B18" s="38">
        <v>12</v>
      </c>
      <c r="C18" s="39" t="s">
        <v>49</v>
      </c>
      <c r="D18" s="10" t="str">
        <f>VLOOKUP(C18,'Data Angt'!$A$5:$B$5809,2,FALSE)</f>
        <v>A13</v>
      </c>
      <c r="E18" s="40" t="s">
        <v>10773</v>
      </c>
      <c r="F18" s="41">
        <v>44657</v>
      </c>
      <c r="G18" s="38">
        <v>12</v>
      </c>
      <c r="H18" s="40">
        <v>0</v>
      </c>
      <c r="I18" s="38">
        <v>5.5</v>
      </c>
      <c r="J18" s="41">
        <v>44657</v>
      </c>
      <c r="K18" s="38" t="s">
        <v>10768</v>
      </c>
      <c r="L18" s="42">
        <v>25000000</v>
      </c>
      <c r="N18"/>
      <c r="O18" s="39" t="s">
        <v>114</v>
      </c>
      <c r="P18" s="5" t="str">
        <f t="shared" si="0"/>
        <v>A36</v>
      </c>
      <c r="Q18" s="5">
        <f t="shared" si="1"/>
        <v>2</v>
      </c>
      <c r="R18">
        <f>VLOOKUP(O18,'Data Angt'!$A$5:$F$5810,6,FALSE)</f>
        <v>66</v>
      </c>
      <c r="S18" s="5" t="str">
        <f>VLOOKUP(O18,'Data Angt'!$A$5:$H$5810,8,FALSE)</f>
        <v>Pensiunan</v>
      </c>
      <c r="T18" s="44" t="str">
        <f>VLOOKUP(O18,'Data Angt'!$A$5:$C$5809,3,FALSE)</f>
        <v>PBL</v>
      </c>
    </row>
    <row r="19" spans="1:20" x14ac:dyDescent="0.3">
      <c r="A19" s="37">
        <v>79026</v>
      </c>
      <c r="B19" s="38">
        <v>13</v>
      </c>
      <c r="C19" s="39" t="s">
        <v>49</v>
      </c>
      <c r="D19" s="10" t="str">
        <f>VLOOKUP(C19,'Data Angt'!$A$5:$B$5809,2,FALSE)</f>
        <v>A13</v>
      </c>
      <c r="E19" s="40" t="s">
        <v>10774</v>
      </c>
      <c r="F19" s="41">
        <v>42228</v>
      </c>
      <c r="G19" s="38">
        <v>12</v>
      </c>
      <c r="H19" s="40">
        <v>0</v>
      </c>
      <c r="I19" s="38">
        <v>5.5</v>
      </c>
      <c r="J19" s="41">
        <v>42346</v>
      </c>
      <c r="K19" s="38" t="s">
        <v>10768</v>
      </c>
      <c r="L19" s="42">
        <v>17000000</v>
      </c>
      <c r="N19"/>
      <c r="O19" s="39" t="s">
        <v>118</v>
      </c>
      <c r="P19" s="5" t="str">
        <f t="shared" si="0"/>
        <v>A38</v>
      </c>
      <c r="Q19" s="5">
        <f t="shared" si="1"/>
        <v>1</v>
      </c>
      <c r="R19">
        <f>VLOOKUP(O19,'Data Angt'!$A$5:$F$5810,6,FALSE)</f>
        <v>52</v>
      </c>
      <c r="S19" s="5" t="str">
        <f>VLOOKUP(O19,'Data Angt'!$A$5:$H$5810,8,FALSE)</f>
        <v>Karyawan</v>
      </c>
      <c r="T19" s="44" t="str">
        <f>VLOOKUP(O19,'Data Angt'!$A$5:$C$5809,3,FALSE)</f>
        <v>PBL</v>
      </c>
    </row>
    <row r="20" spans="1:20" x14ac:dyDescent="0.3">
      <c r="A20" s="37">
        <v>123211</v>
      </c>
      <c r="B20" s="38">
        <v>14</v>
      </c>
      <c r="C20" s="39" t="s">
        <v>49</v>
      </c>
      <c r="D20" s="10" t="str">
        <f>VLOOKUP(C20,'Data Angt'!$A$5:$B$5809,2,FALSE)</f>
        <v>A13</v>
      </c>
      <c r="E20" s="40" t="s">
        <v>10775</v>
      </c>
      <c r="F20" s="41">
        <v>43963</v>
      </c>
      <c r="G20" s="38">
        <v>12</v>
      </c>
      <c r="H20" s="40">
        <v>0</v>
      </c>
      <c r="I20" s="38">
        <v>5.5</v>
      </c>
      <c r="J20" s="41">
        <v>43963</v>
      </c>
      <c r="K20" s="38" t="s">
        <v>10768</v>
      </c>
      <c r="L20" s="42">
        <v>25000000</v>
      </c>
      <c r="N20"/>
      <c r="O20" s="39" t="s">
        <v>125</v>
      </c>
      <c r="P20" s="5" t="str">
        <f t="shared" si="0"/>
        <v>A40</v>
      </c>
      <c r="Q20" s="5">
        <f t="shared" si="1"/>
        <v>5</v>
      </c>
      <c r="R20">
        <f>VLOOKUP(O20,'Data Angt'!$A$5:$F$5810,6,FALSE)</f>
        <v>57</v>
      </c>
      <c r="S20" s="5" t="str">
        <f>VLOOKUP(O20,'Data Angt'!$A$5:$H$5810,8,FALSE)</f>
        <v>Tenaga Pengajar</v>
      </c>
      <c r="T20" s="44" t="str">
        <f>VLOOKUP(O20,'Data Angt'!$A$5:$C$5809,3,FALSE)</f>
        <v>PBL</v>
      </c>
    </row>
    <row r="21" spans="1:20" x14ac:dyDescent="0.3">
      <c r="A21" s="37">
        <v>131255</v>
      </c>
      <c r="B21" s="38">
        <v>15</v>
      </c>
      <c r="C21" s="39" t="s">
        <v>49</v>
      </c>
      <c r="D21" s="10" t="str">
        <f>VLOOKUP(C21,'Data Angt'!$A$5:$B$5809,2,FALSE)</f>
        <v>A13</v>
      </c>
      <c r="E21" s="40" t="s">
        <v>10771</v>
      </c>
      <c r="F21" s="41">
        <v>44568</v>
      </c>
      <c r="G21" s="38">
        <v>12</v>
      </c>
      <c r="H21" s="40">
        <v>0</v>
      </c>
      <c r="I21" s="38">
        <v>5.5</v>
      </c>
      <c r="J21" s="41">
        <v>44568</v>
      </c>
      <c r="K21" s="38" t="s">
        <v>10768</v>
      </c>
      <c r="L21" s="42">
        <v>25000000</v>
      </c>
      <c r="N21"/>
      <c r="O21" s="39" t="s">
        <v>143</v>
      </c>
      <c r="P21" s="5" t="str">
        <f t="shared" si="0"/>
        <v>A46</v>
      </c>
      <c r="Q21" s="5">
        <f t="shared" si="1"/>
        <v>1</v>
      </c>
      <c r="R21">
        <f>VLOOKUP(O21,'Data Angt'!$A$5:$F$5810,6,FALSE)</f>
        <v>68</v>
      </c>
      <c r="S21" s="5" t="str">
        <f>VLOOKUP(O21,'Data Angt'!$A$5:$H$5810,8,FALSE)</f>
        <v>Pensiunan</v>
      </c>
      <c r="T21" s="44" t="str">
        <f>VLOOKUP(O21,'Data Angt'!$A$5:$C$5809,3,FALSE)</f>
        <v>PBL</v>
      </c>
    </row>
    <row r="22" spans="1:20" x14ac:dyDescent="0.3">
      <c r="A22" s="37">
        <v>131589</v>
      </c>
      <c r="B22" s="38">
        <v>16</v>
      </c>
      <c r="C22" s="39" t="s">
        <v>49</v>
      </c>
      <c r="D22" s="10" t="str">
        <f>VLOOKUP(C22,'Data Angt'!$A$5:$B$5809,2,FALSE)</f>
        <v>A13</v>
      </c>
      <c r="E22" s="40" t="s">
        <v>10772</v>
      </c>
      <c r="F22" s="41">
        <v>44594</v>
      </c>
      <c r="G22" s="38">
        <v>12</v>
      </c>
      <c r="H22" s="40">
        <v>0</v>
      </c>
      <c r="I22" s="38">
        <v>5.5</v>
      </c>
      <c r="J22" s="41">
        <v>44594</v>
      </c>
      <c r="K22" s="38" t="s">
        <v>10768</v>
      </c>
      <c r="L22" s="42">
        <v>25000000</v>
      </c>
      <c r="N22"/>
      <c r="O22" s="39" t="s">
        <v>151</v>
      </c>
      <c r="P22" s="5" t="str">
        <f t="shared" si="0"/>
        <v>A49</v>
      </c>
      <c r="Q22" s="5">
        <f t="shared" si="1"/>
        <v>28</v>
      </c>
      <c r="R22">
        <f>VLOOKUP(O22,'Data Angt'!$A$5:$F$5810,6,FALSE)</f>
        <v>54</v>
      </c>
      <c r="S22" s="5" t="str">
        <f>VLOOKUP(O22,'Data Angt'!$A$5:$H$5810,8,FALSE)</f>
        <v>Tenaga Pengajar</v>
      </c>
      <c r="T22" s="44" t="str">
        <f>VLOOKUP(O22,'Data Angt'!$A$5:$C$5809,3,FALSE)</f>
        <v>PBL</v>
      </c>
    </row>
    <row r="23" spans="1:20" x14ac:dyDescent="0.3">
      <c r="A23" s="37">
        <v>88590</v>
      </c>
      <c r="B23" s="38">
        <v>17</v>
      </c>
      <c r="C23" s="39" t="s">
        <v>57</v>
      </c>
      <c r="D23" s="10" t="str">
        <f>VLOOKUP(C23,'Data Angt'!$A$5:$B$5809,2,FALSE)</f>
        <v>A16</v>
      </c>
      <c r="E23" s="40" t="s">
        <v>10784</v>
      </c>
      <c r="F23" s="41">
        <v>43321</v>
      </c>
      <c r="G23" s="38">
        <v>12</v>
      </c>
      <c r="H23" s="40">
        <v>0</v>
      </c>
      <c r="I23" s="38">
        <v>5.5</v>
      </c>
      <c r="J23" s="41">
        <v>43321</v>
      </c>
      <c r="K23" s="38" t="s">
        <v>10768</v>
      </c>
      <c r="L23" s="42">
        <v>20000000</v>
      </c>
      <c r="O23" s="39" t="s">
        <v>153</v>
      </c>
      <c r="P23" s="5" t="str">
        <f t="shared" si="0"/>
        <v>A50</v>
      </c>
      <c r="Q23" s="5">
        <f t="shared" si="1"/>
        <v>1</v>
      </c>
      <c r="R23">
        <f>VLOOKUP(O23,'Data Angt'!$A$5:$F$5810,6,FALSE)</f>
        <v>61</v>
      </c>
      <c r="S23" s="5" t="str">
        <f>VLOOKUP(O23,'Data Angt'!$A$5:$H$5810,8,FALSE)</f>
        <v>Pemuka Agama</v>
      </c>
      <c r="T23" s="44" t="str">
        <f>VLOOKUP(O23,'Data Angt'!$A$5:$C$5809,3,FALSE)</f>
        <v>PBL</v>
      </c>
    </row>
    <row r="24" spans="1:20" x14ac:dyDescent="0.3">
      <c r="A24" s="37">
        <v>79374</v>
      </c>
      <c r="B24" s="38">
        <v>18</v>
      </c>
      <c r="C24" s="39" t="s">
        <v>57</v>
      </c>
      <c r="D24" s="10" t="str">
        <f>VLOOKUP(C24,'Data Angt'!$A$5:$B$5809,2,FALSE)</f>
        <v>A16</v>
      </c>
      <c r="E24" s="40" t="s">
        <v>10788</v>
      </c>
      <c r="F24" s="41">
        <v>43108</v>
      </c>
      <c r="G24" s="38">
        <v>12</v>
      </c>
      <c r="H24" s="40">
        <v>0</v>
      </c>
      <c r="I24" s="38">
        <v>5.5</v>
      </c>
      <c r="J24" s="41">
        <v>43108</v>
      </c>
      <c r="K24" s="38" t="s">
        <v>10768</v>
      </c>
      <c r="L24" s="42">
        <v>25000000</v>
      </c>
      <c r="O24" s="39" t="s">
        <v>187</v>
      </c>
      <c r="P24" s="5" t="str">
        <f t="shared" si="0"/>
        <v>A60</v>
      </c>
      <c r="Q24" s="5">
        <f t="shared" si="1"/>
        <v>1</v>
      </c>
      <c r="R24">
        <f>VLOOKUP(O24,'Data Angt'!$A$5:$F$5810,6,FALSE)</f>
        <v>59</v>
      </c>
      <c r="S24" s="5" t="str">
        <f>VLOOKUP(O24,'Data Angt'!$A$5:$H$5810,8,FALSE)</f>
        <v>Tenaga Pengajar</v>
      </c>
      <c r="T24" s="44" t="str">
        <f>VLOOKUP(O24,'Data Angt'!$A$5:$C$5809,3,FALSE)</f>
        <v>PBL</v>
      </c>
    </row>
    <row r="25" spans="1:20" x14ac:dyDescent="0.3">
      <c r="A25" s="37">
        <v>123669</v>
      </c>
      <c r="B25" s="38">
        <v>19</v>
      </c>
      <c r="C25" s="39" t="s">
        <v>57</v>
      </c>
      <c r="D25" s="10" t="str">
        <f>VLOOKUP(C25,'Data Angt'!$A$5:$B$5809,2,FALSE)</f>
        <v>A16</v>
      </c>
      <c r="E25" s="40" t="s">
        <v>10789</v>
      </c>
      <c r="F25" s="41">
        <v>43993</v>
      </c>
      <c r="G25" s="38">
        <v>12</v>
      </c>
      <c r="H25" s="40">
        <v>0</v>
      </c>
      <c r="I25" s="38">
        <v>5.5</v>
      </c>
      <c r="J25" s="41">
        <v>43993</v>
      </c>
      <c r="K25" s="38" t="s">
        <v>10768</v>
      </c>
      <c r="L25" s="42">
        <v>20000000</v>
      </c>
      <c r="O25" s="39" t="s">
        <v>235</v>
      </c>
      <c r="P25" s="5" t="str">
        <f t="shared" si="0"/>
        <v>A74</v>
      </c>
      <c r="Q25" s="5">
        <f t="shared" si="1"/>
        <v>1</v>
      </c>
      <c r="R25">
        <f>VLOOKUP(O25,'Data Angt'!$A$5:$F$5810,6,FALSE)</f>
        <v>53</v>
      </c>
      <c r="S25" s="5" t="str">
        <f>VLOOKUP(O25,'Data Angt'!$A$5:$H$5810,8,FALSE)</f>
        <v>Wiraswasta</v>
      </c>
      <c r="T25" s="44" t="str">
        <f>VLOOKUP(O25,'Data Angt'!$A$5:$C$5809,3,FALSE)</f>
        <v>PBL</v>
      </c>
    </row>
    <row r="26" spans="1:20" x14ac:dyDescent="0.3">
      <c r="A26" s="37">
        <v>89991</v>
      </c>
      <c r="B26" s="38">
        <v>20</v>
      </c>
      <c r="C26" s="39" t="s">
        <v>57</v>
      </c>
      <c r="D26" s="10" t="str">
        <f>VLOOKUP(C26,'Data Angt'!$A$5:$B$5809,2,FALSE)</f>
        <v>A16</v>
      </c>
      <c r="E26" s="40" t="s">
        <v>10787</v>
      </c>
      <c r="F26" s="41">
        <v>43356</v>
      </c>
      <c r="G26" s="38">
        <v>12</v>
      </c>
      <c r="H26" s="40">
        <v>0</v>
      </c>
      <c r="I26" s="38">
        <v>5.5</v>
      </c>
      <c r="J26" s="41">
        <v>43356</v>
      </c>
      <c r="K26" s="38" t="s">
        <v>10768</v>
      </c>
      <c r="L26" s="42">
        <v>20000000</v>
      </c>
      <c r="O26" s="39" t="s">
        <v>250</v>
      </c>
      <c r="P26" s="5" t="str">
        <f t="shared" si="0"/>
        <v>A79</v>
      </c>
      <c r="Q26" s="5">
        <f t="shared" si="1"/>
        <v>2</v>
      </c>
      <c r="R26">
        <f>VLOOKUP(O26,'Data Angt'!$A$5:$F$5810,6,FALSE)</f>
        <v>62</v>
      </c>
      <c r="S26" s="5" t="str">
        <f>VLOOKUP(O26,'Data Angt'!$A$5:$H$5810,8,FALSE)</f>
        <v>Mengurus Rumah Tangga</v>
      </c>
      <c r="T26" s="44" t="str">
        <f>VLOOKUP(O26,'Data Angt'!$A$5:$C$5809,3,FALSE)</f>
        <v>PBL</v>
      </c>
    </row>
    <row r="27" spans="1:20" x14ac:dyDescent="0.3">
      <c r="A27" s="37">
        <v>79375</v>
      </c>
      <c r="B27" s="38">
        <v>21</v>
      </c>
      <c r="C27" s="39" t="s">
        <v>57</v>
      </c>
      <c r="D27" s="10" t="str">
        <f>VLOOKUP(C27,'Data Angt'!$A$5:$B$5809,2,FALSE)</f>
        <v>A16</v>
      </c>
      <c r="E27" s="40" t="s">
        <v>10791</v>
      </c>
      <c r="F27" s="41">
        <v>43108</v>
      </c>
      <c r="G27" s="38">
        <v>12</v>
      </c>
      <c r="H27" s="40">
        <v>0</v>
      </c>
      <c r="I27" s="38">
        <v>5.5</v>
      </c>
      <c r="J27" s="41">
        <v>43108</v>
      </c>
      <c r="K27" s="38" t="s">
        <v>10768</v>
      </c>
      <c r="L27" s="42">
        <v>25000000</v>
      </c>
      <c r="O27" s="39" t="s">
        <v>260</v>
      </c>
      <c r="P27" s="5" t="str">
        <f t="shared" si="0"/>
        <v>A82</v>
      </c>
      <c r="Q27" s="5">
        <f t="shared" si="1"/>
        <v>11</v>
      </c>
      <c r="R27">
        <f>VLOOKUP(O27,'Data Angt'!$A$5:$F$5810,6,FALSE)</f>
        <v>81</v>
      </c>
      <c r="S27" s="5" t="str">
        <f>VLOOKUP(O27,'Data Angt'!$A$5:$H$5810,8,FALSE)</f>
        <v>Mengurus Rumah Tangga</v>
      </c>
      <c r="T27" s="44" t="str">
        <f>VLOOKUP(O27,'Data Angt'!$A$5:$C$5809,3,FALSE)</f>
        <v>PBL</v>
      </c>
    </row>
    <row r="28" spans="1:20" x14ac:dyDescent="0.3">
      <c r="A28" s="37">
        <v>124035</v>
      </c>
      <c r="B28" s="38">
        <v>22</v>
      </c>
      <c r="C28" s="39" t="s">
        <v>57</v>
      </c>
      <c r="D28" s="10" t="str">
        <f>VLOOKUP(C28,'Data Angt'!$A$5:$B$5809,2,FALSE)</f>
        <v>A16</v>
      </c>
      <c r="E28" s="40" t="s">
        <v>10792</v>
      </c>
      <c r="F28" s="41">
        <v>44016</v>
      </c>
      <c r="G28" s="38">
        <v>12</v>
      </c>
      <c r="H28" s="40">
        <v>0</v>
      </c>
      <c r="I28" s="38">
        <v>5.5</v>
      </c>
      <c r="J28" s="41">
        <v>44016</v>
      </c>
      <c r="K28" s="38" t="s">
        <v>10768</v>
      </c>
      <c r="L28" s="42">
        <v>20000000</v>
      </c>
      <c r="O28" s="39" t="s">
        <v>262</v>
      </c>
      <c r="P28" s="5" t="str">
        <f t="shared" si="0"/>
        <v>A83</v>
      </c>
      <c r="Q28" s="5">
        <f t="shared" si="1"/>
        <v>7</v>
      </c>
      <c r="R28">
        <f>VLOOKUP(O28,'Data Angt'!$A$5:$F$5810,6,FALSE)</f>
        <v>51</v>
      </c>
      <c r="S28" s="5" t="str">
        <f>VLOOKUP(O28,'Data Angt'!$A$5:$H$5810,8,FALSE)</f>
        <v>Wiraswasta</v>
      </c>
      <c r="T28" s="44" t="str">
        <f>VLOOKUP(O28,'Data Angt'!$A$5:$C$5809,3,FALSE)</f>
        <v>PBL</v>
      </c>
    </row>
    <row r="29" spans="1:20" x14ac:dyDescent="0.3">
      <c r="A29" s="37">
        <v>90487</v>
      </c>
      <c r="B29" s="38">
        <v>23</v>
      </c>
      <c r="C29" s="39" t="s">
        <v>57</v>
      </c>
      <c r="D29" s="10" t="str">
        <f>VLOOKUP(C29,'Data Angt'!$A$5:$B$5809,2,FALSE)</f>
        <v>A16</v>
      </c>
      <c r="E29" s="40" t="s">
        <v>10790</v>
      </c>
      <c r="F29" s="41">
        <v>43375</v>
      </c>
      <c r="G29" s="38">
        <v>12</v>
      </c>
      <c r="H29" s="40">
        <v>0</v>
      </c>
      <c r="I29" s="38">
        <v>5.5</v>
      </c>
      <c r="J29" s="41">
        <v>43375</v>
      </c>
      <c r="K29" s="38" t="s">
        <v>10768</v>
      </c>
      <c r="L29" s="42">
        <v>20000000</v>
      </c>
      <c r="O29" s="39" t="s">
        <v>292</v>
      </c>
      <c r="P29" s="5" t="str">
        <f t="shared" si="0"/>
        <v>A97</v>
      </c>
      <c r="Q29" s="5">
        <f t="shared" si="1"/>
        <v>1</v>
      </c>
      <c r="R29">
        <f>VLOOKUP(O29,'Data Angt'!$A$5:$F$5810,6,FALSE)</f>
        <v>53</v>
      </c>
      <c r="S29" s="5" t="str">
        <f>VLOOKUP(O29,'Data Angt'!$A$5:$H$5810,8,FALSE)</f>
        <v>Lain-Lain</v>
      </c>
      <c r="T29" s="44" t="str">
        <f>VLOOKUP(O29,'Data Angt'!$A$5:$C$5809,3,FALSE)</f>
        <v>PBL</v>
      </c>
    </row>
    <row r="30" spans="1:20" x14ac:dyDescent="0.3">
      <c r="A30" s="37">
        <v>79376</v>
      </c>
      <c r="B30" s="38">
        <v>24</v>
      </c>
      <c r="C30" s="39" t="s">
        <v>57</v>
      </c>
      <c r="D30" s="10" t="str">
        <f>VLOOKUP(C30,'Data Angt'!$A$5:$B$5809,2,FALSE)</f>
        <v>A16</v>
      </c>
      <c r="E30" s="40" t="s">
        <v>10794</v>
      </c>
      <c r="F30" s="41">
        <v>43108</v>
      </c>
      <c r="G30" s="38">
        <v>12</v>
      </c>
      <c r="H30" s="40">
        <v>0</v>
      </c>
      <c r="I30" s="38">
        <v>5.5</v>
      </c>
      <c r="J30" s="41">
        <v>43108</v>
      </c>
      <c r="K30" s="38" t="s">
        <v>10768</v>
      </c>
      <c r="L30" s="42">
        <v>25000000</v>
      </c>
      <c r="O30" s="39" t="s">
        <v>301</v>
      </c>
      <c r="P30" s="5" t="str">
        <f t="shared" si="0"/>
        <v>A103</v>
      </c>
      <c r="Q30" s="5">
        <f t="shared" si="1"/>
        <v>12</v>
      </c>
      <c r="R30">
        <f>VLOOKUP(O30,'Data Angt'!$A$5:$F$5810,6,FALSE)</f>
        <v>38</v>
      </c>
      <c r="S30" s="5" t="str">
        <f>VLOOKUP(O30,'Data Angt'!$A$5:$H$5810,8,FALSE)</f>
        <v>Karyawan</v>
      </c>
      <c r="T30" s="44" t="str">
        <f>VLOOKUP(O30,'Data Angt'!$A$5:$C$5809,3,FALSE)</f>
        <v>PBL</v>
      </c>
    </row>
    <row r="31" spans="1:20" x14ac:dyDescent="0.3">
      <c r="A31" s="37">
        <v>126145</v>
      </c>
      <c r="B31" s="38">
        <v>25</v>
      </c>
      <c r="C31" s="39" t="s">
        <v>57</v>
      </c>
      <c r="D31" s="10" t="str">
        <f>VLOOKUP(C31,'Data Angt'!$A$5:$B$5809,2,FALSE)</f>
        <v>A16</v>
      </c>
      <c r="E31" s="40" t="s">
        <v>10795</v>
      </c>
      <c r="F31" s="41">
        <v>44180</v>
      </c>
      <c r="G31" s="38">
        <v>12</v>
      </c>
      <c r="H31" s="40">
        <v>0</v>
      </c>
      <c r="I31" s="38">
        <v>5.5</v>
      </c>
      <c r="J31" s="41">
        <v>44180</v>
      </c>
      <c r="K31" s="38" t="s">
        <v>10768</v>
      </c>
      <c r="L31" s="42">
        <v>10000000</v>
      </c>
      <c r="O31" s="39" t="s">
        <v>303</v>
      </c>
      <c r="P31" s="5" t="str">
        <f t="shared" si="0"/>
        <v>A104</v>
      </c>
      <c r="Q31" s="5">
        <f t="shared" si="1"/>
        <v>4</v>
      </c>
      <c r="R31">
        <f>VLOOKUP(O31,'Data Angt'!$A$5:$F$5810,6,FALSE)</f>
        <v>33</v>
      </c>
      <c r="S31" s="5" t="str">
        <f>VLOOKUP(O31,'Data Angt'!$A$5:$H$5810,8,FALSE)</f>
        <v>Wiraswasta</v>
      </c>
      <c r="T31" s="44" t="str">
        <f>VLOOKUP(O31,'Data Angt'!$A$5:$C$5809,3,FALSE)</f>
        <v>PBL</v>
      </c>
    </row>
    <row r="32" spans="1:20" x14ac:dyDescent="0.3">
      <c r="A32" s="37">
        <v>91844</v>
      </c>
      <c r="B32" s="38">
        <v>26</v>
      </c>
      <c r="C32" s="39" t="s">
        <v>57</v>
      </c>
      <c r="D32" s="10" t="str">
        <f>VLOOKUP(C32,'Data Angt'!$A$5:$B$5809,2,FALSE)</f>
        <v>A16</v>
      </c>
      <c r="E32" s="40" t="s">
        <v>10793</v>
      </c>
      <c r="F32" s="41">
        <v>43425</v>
      </c>
      <c r="G32" s="38">
        <v>12</v>
      </c>
      <c r="H32" s="40">
        <v>0</v>
      </c>
      <c r="I32" s="38">
        <v>5.5</v>
      </c>
      <c r="J32" s="41">
        <v>43425</v>
      </c>
      <c r="K32" s="38" t="s">
        <v>10768</v>
      </c>
      <c r="L32" s="42">
        <v>15000000</v>
      </c>
      <c r="O32" s="39" t="s">
        <v>305</v>
      </c>
      <c r="P32" s="5" t="str">
        <f t="shared" si="0"/>
        <v>A105</v>
      </c>
      <c r="Q32" s="5">
        <f t="shared" si="1"/>
        <v>3</v>
      </c>
      <c r="R32">
        <f>VLOOKUP(O32,'Data Angt'!$A$5:$F$5810,6,FALSE)</f>
        <v>30</v>
      </c>
      <c r="S32" s="5" t="str">
        <f>VLOOKUP(O32,'Data Angt'!$A$5:$H$5810,8,FALSE)</f>
        <v>Aparatur/Pejabat Negara</v>
      </c>
      <c r="T32" s="44" t="str">
        <f>VLOOKUP(O32,'Data Angt'!$A$5:$C$5809,3,FALSE)</f>
        <v>PBL</v>
      </c>
    </row>
    <row r="33" spans="1:20" x14ac:dyDescent="0.3">
      <c r="A33" s="37">
        <v>79377</v>
      </c>
      <c r="B33" s="38">
        <v>27</v>
      </c>
      <c r="C33" s="39" t="s">
        <v>57</v>
      </c>
      <c r="D33" s="10" t="str">
        <f>VLOOKUP(C33,'Data Angt'!$A$5:$B$5809,2,FALSE)</f>
        <v>A16</v>
      </c>
      <c r="E33" s="40" t="s">
        <v>10796</v>
      </c>
      <c r="F33" s="41">
        <v>43108</v>
      </c>
      <c r="G33" s="38">
        <v>12</v>
      </c>
      <c r="H33" s="40">
        <v>0</v>
      </c>
      <c r="I33" s="38">
        <v>5.5</v>
      </c>
      <c r="J33" s="41">
        <v>43108</v>
      </c>
      <c r="K33" s="38" t="s">
        <v>10768</v>
      </c>
      <c r="L33" s="42">
        <v>25000000</v>
      </c>
      <c r="O33" s="39" t="s">
        <v>331</v>
      </c>
      <c r="P33" s="5" t="str">
        <f t="shared" si="0"/>
        <v>A115</v>
      </c>
      <c r="Q33" s="5">
        <f t="shared" si="1"/>
        <v>4</v>
      </c>
      <c r="R33">
        <f>VLOOKUP(O33,'Data Angt'!$A$5:$F$5810,6,FALSE)</f>
        <v>67</v>
      </c>
      <c r="S33" s="5" t="str">
        <f>VLOOKUP(O33,'Data Angt'!$A$5:$H$5810,8,FALSE)</f>
        <v>Pemuka Agama</v>
      </c>
      <c r="T33" s="44" t="str">
        <f>VLOOKUP(O33,'Data Angt'!$A$5:$C$5809,3,FALSE)</f>
        <v>PBL</v>
      </c>
    </row>
    <row r="34" spans="1:20" x14ac:dyDescent="0.3">
      <c r="A34" s="37">
        <v>126621</v>
      </c>
      <c r="B34" s="38">
        <v>28</v>
      </c>
      <c r="C34" s="39" t="s">
        <v>57</v>
      </c>
      <c r="D34" s="10" t="str">
        <f>VLOOKUP(C34,'Data Angt'!$A$5:$B$5809,2,FALSE)</f>
        <v>A16</v>
      </c>
      <c r="E34" s="40" t="s">
        <v>10797</v>
      </c>
      <c r="F34" s="41">
        <v>44216</v>
      </c>
      <c r="G34" s="38">
        <v>12</v>
      </c>
      <c r="H34" s="40">
        <v>0</v>
      </c>
      <c r="I34" s="38">
        <v>5.5</v>
      </c>
      <c r="J34" s="41">
        <v>44216</v>
      </c>
      <c r="K34" s="38" t="s">
        <v>10768</v>
      </c>
      <c r="L34" s="42">
        <v>10000000</v>
      </c>
      <c r="O34" s="39" t="s">
        <v>362</v>
      </c>
      <c r="P34" s="5" t="str">
        <f t="shared" si="0"/>
        <v>A124</v>
      </c>
      <c r="Q34" s="5">
        <f t="shared" si="1"/>
        <v>1</v>
      </c>
      <c r="R34">
        <f>VLOOKUP(O34,'Data Angt'!$A$5:$F$5810,6,FALSE)</f>
        <v>25</v>
      </c>
      <c r="S34" s="5" t="str">
        <f>VLOOKUP(O34,'Data Angt'!$A$5:$H$5810,8,FALSE)</f>
        <v>Karyawan</v>
      </c>
      <c r="T34" s="44" t="str">
        <f>VLOOKUP(O34,'Data Angt'!$A$5:$C$5809,3,FALSE)</f>
        <v>PBL</v>
      </c>
    </row>
    <row r="35" spans="1:20" x14ac:dyDescent="0.3">
      <c r="A35" s="37">
        <v>81332</v>
      </c>
      <c r="B35" s="38">
        <v>29</v>
      </c>
      <c r="C35" s="39" t="s">
        <v>57</v>
      </c>
      <c r="D35" s="10" t="str">
        <f>VLOOKUP(C35,'Data Angt'!$A$5:$B$5809,2,FALSE)</f>
        <v>A16</v>
      </c>
      <c r="E35" s="40" t="s">
        <v>10798</v>
      </c>
      <c r="F35" s="41">
        <v>43160</v>
      </c>
      <c r="G35" s="38">
        <v>12</v>
      </c>
      <c r="H35" s="40">
        <v>0</v>
      </c>
      <c r="I35" s="38">
        <v>5.5</v>
      </c>
      <c r="J35" s="41">
        <v>43160</v>
      </c>
      <c r="K35" s="38" t="s">
        <v>10768</v>
      </c>
      <c r="L35" s="42">
        <v>25000000</v>
      </c>
      <c r="O35" s="39" t="s">
        <v>375</v>
      </c>
      <c r="P35" s="5" t="str">
        <f t="shared" si="0"/>
        <v>A128</v>
      </c>
      <c r="Q35" s="5">
        <f t="shared" si="1"/>
        <v>2</v>
      </c>
      <c r="R35">
        <f>VLOOKUP(O35,'Data Angt'!$A$5:$F$5810,6,FALSE)</f>
        <v>33</v>
      </c>
      <c r="S35" s="5" t="str">
        <f>VLOOKUP(O35,'Data Angt'!$A$5:$H$5810,8,FALSE)</f>
        <v>Karyawan</v>
      </c>
      <c r="T35" s="44" t="str">
        <f>VLOOKUP(O35,'Data Angt'!$A$5:$C$5809,3,FALSE)</f>
        <v>PBL</v>
      </c>
    </row>
    <row r="36" spans="1:20" x14ac:dyDescent="0.3">
      <c r="A36" s="37">
        <v>126991</v>
      </c>
      <c r="B36" s="38">
        <v>30</v>
      </c>
      <c r="C36" s="39" t="s">
        <v>57</v>
      </c>
      <c r="D36" s="10" t="str">
        <f>VLOOKUP(C36,'Data Angt'!$A$5:$B$5809,2,FALSE)</f>
        <v>A16</v>
      </c>
      <c r="E36" s="40" t="s">
        <v>10799</v>
      </c>
      <c r="F36" s="41">
        <v>44244</v>
      </c>
      <c r="G36" s="38">
        <v>12</v>
      </c>
      <c r="H36" s="40">
        <v>0</v>
      </c>
      <c r="I36" s="38">
        <v>5.5</v>
      </c>
      <c r="J36" s="41">
        <v>44244</v>
      </c>
      <c r="K36" s="38" t="s">
        <v>10768</v>
      </c>
      <c r="L36" s="42">
        <v>10000000</v>
      </c>
      <c r="O36" s="39" t="s">
        <v>431</v>
      </c>
      <c r="P36" s="5" t="str">
        <f t="shared" si="0"/>
        <v>A150</v>
      </c>
      <c r="Q36" s="5">
        <f t="shared" si="1"/>
        <v>1</v>
      </c>
      <c r="R36">
        <f>VLOOKUP(O36,'Data Angt'!$A$5:$F$5810,6,FALSE)</f>
        <v>73</v>
      </c>
      <c r="S36" s="5" t="str">
        <f>VLOOKUP(O36,'Data Angt'!$A$5:$H$5810,8,FALSE)</f>
        <v>Mengurus Rumah Tangga</v>
      </c>
      <c r="T36" s="44" t="str">
        <f>VLOOKUP(O36,'Data Angt'!$A$5:$C$5809,3,FALSE)</f>
        <v>PBL</v>
      </c>
    </row>
    <row r="37" spans="1:20" x14ac:dyDescent="0.3">
      <c r="A37" s="37">
        <v>81333</v>
      </c>
      <c r="B37" s="38">
        <v>31</v>
      </c>
      <c r="C37" s="39" t="s">
        <v>57</v>
      </c>
      <c r="D37" s="10" t="str">
        <f>VLOOKUP(C37,'Data Angt'!$A$5:$B$5809,2,FALSE)</f>
        <v>A16</v>
      </c>
      <c r="E37" s="40" t="s">
        <v>10800</v>
      </c>
      <c r="F37" s="41">
        <v>43160</v>
      </c>
      <c r="G37" s="38">
        <v>12</v>
      </c>
      <c r="H37" s="40">
        <v>0</v>
      </c>
      <c r="I37" s="38">
        <v>5.5</v>
      </c>
      <c r="J37" s="41">
        <v>43160</v>
      </c>
      <c r="K37" s="38" t="s">
        <v>10768</v>
      </c>
      <c r="L37" s="42">
        <v>25000000</v>
      </c>
      <c r="O37" s="39" t="s">
        <v>473</v>
      </c>
      <c r="P37" s="5" t="str">
        <f t="shared" si="0"/>
        <v>A167</v>
      </c>
      <c r="Q37" s="5">
        <f t="shared" si="1"/>
        <v>6</v>
      </c>
      <c r="R37">
        <f>VLOOKUP(O37,'Data Angt'!$A$5:$F$5810,6,FALSE)</f>
        <v>44</v>
      </c>
      <c r="S37" s="5" t="str">
        <f>VLOOKUP(O37,'Data Angt'!$A$5:$H$5810,8,FALSE)</f>
        <v>Wiraswasta</v>
      </c>
      <c r="T37" s="44" t="str">
        <f>VLOOKUP(O37,'Data Angt'!$A$5:$C$5809,3,FALSE)</f>
        <v>PBL</v>
      </c>
    </row>
    <row r="38" spans="1:20" x14ac:dyDescent="0.3">
      <c r="A38" s="37">
        <v>128147</v>
      </c>
      <c r="B38" s="38">
        <v>32</v>
      </c>
      <c r="C38" s="39" t="s">
        <v>57</v>
      </c>
      <c r="D38" s="10" t="str">
        <f>VLOOKUP(C38,'Data Angt'!$A$5:$B$5809,2,FALSE)</f>
        <v>A16</v>
      </c>
      <c r="E38" s="40" t="s">
        <v>10801</v>
      </c>
      <c r="F38" s="41">
        <v>44320</v>
      </c>
      <c r="G38" s="38">
        <v>12</v>
      </c>
      <c r="H38" s="40">
        <v>0</v>
      </c>
      <c r="I38" s="38">
        <v>5.5</v>
      </c>
      <c r="J38" s="41">
        <v>44320</v>
      </c>
      <c r="K38" s="38" t="s">
        <v>10768</v>
      </c>
      <c r="L38" s="42">
        <v>10000000</v>
      </c>
      <c r="O38" s="39" t="s">
        <v>497</v>
      </c>
      <c r="P38" s="5" t="str">
        <f t="shared" si="0"/>
        <v>A175</v>
      </c>
      <c r="Q38" s="5">
        <f t="shared" si="1"/>
        <v>2</v>
      </c>
      <c r="R38">
        <f>VLOOKUP(O38,'Data Angt'!$A$5:$F$5810,6,FALSE)</f>
        <v>74</v>
      </c>
      <c r="S38" s="5" t="str">
        <f>VLOOKUP(O38,'Data Angt'!$A$5:$H$5810,8,FALSE)</f>
        <v>Wiraswasta</v>
      </c>
      <c r="T38" s="44" t="str">
        <f>VLOOKUP(O38,'Data Angt'!$A$5:$C$5809,3,FALSE)</f>
        <v>PBL</v>
      </c>
    </row>
    <row r="39" spans="1:20" x14ac:dyDescent="0.3">
      <c r="A39" s="37">
        <v>129731</v>
      </c>
      <c r="B39" s="38">
        <v>33</v>
      </c>
      <c r="C39" s="39" t="s">
        <v>57</v>
      </c>
      <c r="D39" s="10" t="str">
        <f>VLOOKUP(C39,'Data Angt'!$A$5:$B$5809,2,FALSE)</f>
        <v>A16</v>
      </c>
      <c r="E39" s="40" t="s">
        <v>10802</v>
      </c>
      <c r="F39" s="41">
        <v>44438</v>
      </c>
      <c r="G39" s="38">
        <v>12</v>
      </c>
      <c r="H39" s="40">
        <v>0</v>
      </c>
      <c r="I39" s="38">
        <v>5.5</v>
      </c>
      <c r="J39" s="41">
        <v>44438</v>
      </c>
      <c r="K39" s="38" t="s">
        <v>10768</v>
      </c>
      <c r="L39" s="42">
        <v>10000000</v>
      </c>
      <c r="O39" s="39" t="s">
        <v>12108</v>
      </c>
      <c r="P39" s="5" t="str">
        <f t="shared" si="0"/>
        <v>A181</v>
      </c>
      <c r="Q39" s="5">
        <f t="shared" si="1"/>
        <v>4</v>
      </c>
      <c r="R39">
        <f>VLOOKUP(O39,'Data Angt'!$A$5:$F$5810,6,FALSE)</f>
        <v>24</v>
      </c>
      <c r="S39" s="5" t="str">
        <f>VLOOKUP(O39,'Data Angt'!$A$5:$H$5810,8,FALSE)</f>
        <v>Pelajar/Mahasiswa</v>
      </c>
      <c r="T39" s="44" t="str">
        <f>VLOOKUP(O39,'Data Angt'!$A$5:$C$5809,3,FALSE)</f>
        <v>PBL</v>
      </c>
    </row>
    <row r="40" spans="1:20" x14ac:dyDescent="0.3">
      <c r="A40" s="37">
        <v>79022</v>
      </c>
      <c r="B40" s="38">
        <v>34</v>
      </c>
      <c r="C40" s="39" t="s">
        <v>57</v>
      </c>
      <c r="D40" s="10" t="str">
        <f>VLOOKUP(C40,'Data Angt'!$A$5:$B$5809,2,FALSE)</f>
        <v>A16</v>
      </c>
      <c r="E40" s="40" t="s">
        <v>10803</v>
      </c>
      <c r="F40" s="41">
        <v>42142</v>
      </c>
      <c r="G40" s="38">
        <v>12</v>
      </c>
      <c r="H40" s="40">
        <v>0</v>
      </c>
      <c r="I40" s="38">
        <v>5.5</v>
      </c>
      <c r="J40" s="41">
        <v>42142</v>
      </c>
      <c r="K40" s="38" t="s">
        <v>10768</v>
      </c>
      <c r="L40" s="42">
        <v>50000000</v>
      </c>
      <c r="O40" s="39" t="s">
        <v>510</v>
      </c>
      <c r="P40" s="5" t="str">
        <f t="shared" si="0"/>
        <v>A182</v>
      </c>
      <c r="Q40" s="5">
        <f t="shared" si="1"/>
        <v>3</v>
      </c>
      <c r="R40">
        <f>VLOOKUP(O40,'Data Angt'!$A$5:$F$5810,6,FALSE)</f>
        <v>30</v>
      </c>
      <c r="S40" s="5" t="str">
        <f>VLOOKUP(O40,'Data Angt'!$A$5:$H$5810,8,FALSE)</f>
        <v>Karyawan</v>
      </c>
      <c r="T40" s="44" t="str">
        <f>VLOOKUP(O40,'Data Angt'!$A$5:$C$5809,3,FALSE)</f>
        <v>PBL</v>
      </c>
    </row>
    <row r="41" spans="1:20" x14ac:dyDescent="0.3">
      <c r="A41" s="37">
        <v>130681</v>
      </c>
      <c r="B41" s="38">
        <v>35</v>
      </c>
      <c r="C41" s="39" t="s">
        <v>57</v>
      </c>
      <c r="D41" s="10" t="str">
        <f>VLOOKUP(C41,'Data Angt'!$A$5:$B$5809,2,FALSE)</f>
        <v>A16</v>
      </c>
      <c r="E41" s="40" t="s">
        <v>10804</v>
      </c>
      <c r="F41" s="41">
        <v>44516</v>
      </c>
      <c r="G41" s="38">
        <v>12</v>
      </c>
      <c r="H41" s="40">
        <v>0</v>
      </c>
      <c r="I41" s="38">
        <v>5.5</v>
      </c>
      <c r="J41" s="41">
        <v>44516</v>
      </c>
      <c r="K41" s="38" t="s">
        <v>10768</v>
      </c>
      <c r="L41" s="42">
        <v>10000000</v>
      </c>
      <c r="O41" s="39" t="s">
        <v>533</v>
      </c>
      <c r="P41" s="5" t="str">
        <f t="shared" si="0"/>
        <v>A192</v>
      </c>
      <c r="Q41" s="5">
        <f t="shared" si="1"/>
        <v>12</v>
      </c>
      <c r="R41">
        <f>VLOOKUP(O41,'Data Angt'!$A$5:$F$5810,6,FALSE)</f>
        <v>57</v>
      </c>
      <c r="S41" s="5" t="str">
        <f>VLOOKUP(O41,'Data Angt'!$A$5:$H$5810,8,FALSE)</f>
        <v>Karyawan</v>
      </c>
      <c r="T41" s="44" t="str">
        <f>VLOOKUP(O41,'Data Angt'!$A$5:$C$5809,3,FALSE)</f>
        <v>PBL</v>
      </c>
    </row>
    <row r="42" spans="1:20" x14ac:dyDescent="0.3">
      <c r="A42" s="37">
        <v>81352</v>
      </c>
      <c r="B42" s="38">
        <v>36</v>
      </c>
      <c r="C42" s="39" t="s">
        <v>57</v>
      </c>
      <c r="D42" s="10" t="str">
        <f>VLOOKUP(C42,'Data Angt'!$A$5:$B$5809,2,FALSE)</f>
        <v>A16</v>
      </c>
      <c r="E42" s="40" t="s">
        <v>10805</v>
      </c>
      <c r="F42" s="41">
        <v>43178</v>
      </c>
      <c r="G42" s="38">
        <v>12</v>
      </c>
      <c r="H42" s="40">
        <v>0</v>
      </c>
      <c r="I42" s="38">
        <v>5.5</v>
      </c>
      <c r="J42" s="41">
        <v>43178</v>
      </c>
      <c r="K42" s="38" t="s">
        <v>10768</v>
      </c>
      <c r="L42" s="42">
        <v>20000000</v>
      </c>
      <c r="O42" s="39" t="s">
        <v>711</v>
      </c>
      <c r="P42" s="5" t="str">
        <f t="shared" si="0"/>
        <v>A264</v>
      </c>
      <c r="Q42" s="5">
        <f t="shared" si="1"/>
        <v>1</v>
      </c>
      <c r="R42">
        <f>VLOOKUP(O42,'Data Angt'!$A$5:$F$5810,6,FALSE)</f>
        <v>52</v>
      </c>
      <c r="S42" s="5" t="str">
        <f>VLOOKUP(O42,'Data Angt'!$A$5:$H$5810,8,FALSE)</f>
        <v>Aparatur/Pejabat Negara</v>
      </c>
      <c r="T42" s="44" t="str">
        <f>VLOOKUP(O42,'Data Angt'!$A$5:$C$5809,3,FALSE)</f>
        <v>PBL</v>
      </c>
    </row>
    <row r="43" spans="1:20" x14ac:dyDescent="0.3">
      <c r="A43" s="37">
        <v>131198</v>
      </c>
      <c r="B43" s="38">
        <v>37</v>
      </c>
      <c r="C43" s="39" t="s">
        <v>57</v>
      </c>
      <c r="D43" s="10" t="str">
        <f>VLOOKUP(C43,'Data Angt'!$A$5:$B$5809,2,FALSE)</f>
        <v>A16</v>
      </c>
      <c r="E43" s="40" t="s">
        <v>10806</v>
      </c>
      <c r="F43" s="41">
        <v>44565</v>
      </c>
      <c r="G43" s="38">
        <v>12</v>
      </c>
      <c r="H43" s="40">
        <v>0</v>
      </c>
      <c r="I43" s="38">
        <v>5.5</v>
      </c>
      <c r="J43" s="41">
        <v>44565</v>
      </c>
      <c r="K43" s="38" t="s">
        <v>10768</v>
      </c>
      <c r="L43" s="42">
        <v>10000000</v>
      </c>
      <c r="O43" s="39" t="s">
        <v>722</v>
      </c>
      <c r="P43" s="5" t="str">
        <f t="shared" si="0"/>
        <v>A268</v>
      </c>
      <c r="Q43" s="5">
        <f t="shared" si="1"/>
        <v>1</v>
      </c>
      <c r="R43">
        <f>VLOOKUP(O43,'Data Angt'!$A$5:$F$5810,6,FALSE)</f>
        <v>52</v>
      </c>
      <c r="S43" s="5" t="str">
        <f>VLOOKUP(O43,'Data Angt'!$A$5:$H$5810,8,FALSE)</f>
        <v>Karyawan</v>
      </c>
      <c r="T43" s="44" t="str">
        <f>VLOOKUP(O43,'Data Angt'!$A$5:$C$5809,3,FALSE)</f>
        <v>PBL</v>
      </c>
    </row>
    <row r="44" spans="1:20" x14ac:dyDescent="0.3">
      <c r="A44" s="37">
        <v>79092</v>
      </c>
      <c r="B44" s="38">
        <v>38</v>
      </c>
      <c r="C44" s="39" t="s">
        <v>57</v>
      </c>
      <c r="D44" s="10" t="str">
        <f>VLOOKUP(C44,'Data Angt'!$A$5:$B$5809,2,FALSE)</f>
        <v>A16</v>
      </c>
      <c r="E44" s="40" t="s">
        <v>10807</v>
      </c>
      <c r="F44" s="41">
        <v>42478</v>
      </c>
      <c r="G44" s="38">
        <v>12</v>
      </c>
      <c r="H44" s="40">
        <v>0</v>
      </c>
      <c r="I44" s="38">
        <v>5.5</v>
      </c>
      <c r="J44" s="41">
        <v>42478</v>
      </c>
      <c r="K44" s="38" t="s">
        <v>10768</v>
      </c>
      <c r="L44" s="42">
        <v>22000000</v>
      </c>
      <c r="O44" s="39" t="s">
        <v>785</v>
      </c>
      <c r="P44" s="5" t="str">
        <f t="shared" si="0"/>
        <v>A291</v>
      </c>
      <c r="Q44" s="5">
        <f t="shared" si="1"/>
        <v>1</v>
      </c>
      <c r="R44">
        <f>VLOOKUP(O44,'Data Angt'!$A$5:$F$5810,6,FALSE)</f>
        <v>29</v>
      </c>
      <c r="S44" s="5">
        <f>VLOOKUP(O44,'Data Angt'!$A$5:$H$5810,8,FALSE)</f>
        <v>0</v>
      </c>
      <c r="T44" s="44" t="str">
        <f>VLOOKUP(O44,'Data Angt'!$A$5:$C$5809,3,FALSE)</f>
        <v>PBL</v>
      </c>
    </row>
    <row r="45" spans="1:20" x14ac:dyDescent="0.3">
      <c r="A45" s="37">
        <v>81353</v>
      </c>
      <c r="B45" s="38">
        <v>39</v>
      </c>
      <c r="C45" s="39" t="s">
        <v>57</v>
      </c>
      <c r="D45" s="10" t="str">
        <f>VLOOKUP(C45,'Data Angt'!$A$5:$B$5809,2,FALSE)</f>
        <v>A16</v>
      </c>
      <c r="E45" s="40" t="s">
        <v>10808</v>
      </c>
      <c r="F45" s="41">
        <v>43178</v>
      </c>
      <c r="G45" s="38">
        <v>12</v>
      </c>
      <c r="H45" s="40">
        <v>0</v>
      </c>
      <c r="I45" s="38">
        <v>5.5</v>
      </c>
      <c r="J45" s="41">
        <v>43178</v>
      </c>
      <c r="K45" s="38" t="s">
        <v>10768</v>
      </c>
      <c r="L45" s="42">
        <v>20000000</v>
      </c>
      <c r="O45" s="151" t="s">
        <v>947</v>
      </c>
      <c r="P45" s="5" t="str">
        <f t="shared" si="0"/>
        <v>A361</v>
      </c>
      <c r="Q45" s="5">
        <f t="shared" si="1"/>
        <v>3</v>
      </c>
      <c r="R45">
        <f>VLOOKUP(O45,'Data Angt'!$A$5:$F$5810,6,FALSE)</f>
        <v>63</v>
      </c>
      <c r="S45" s="5" t="str">
        <f>VLOOKUP(O45,'Data Angt'!$A$5:$H$5810,8,FALSE)</f>
        <v>Aparatur/Pejabat Negara</v>
      </c>
      <c r="T45" s="44" t="str">
        <f>VLOOKUP(O45,'Data Angt'!$A$5:$C$5809,3,FALSE)</f>
        <v>PBL</v>
      </c>
    </row>
    <row r="46" spans="1:20" x14ac:dyDescent="0.3">
      <c r="A46" s="37">
        <v>131963</v>
      </c>
      <c r="B46" s="38">
        <v>40</v>
      </c>
      <c r="C46" s="39" t="s">
        <v>57</v>
      </c>
      <c r="D46" s="10" t="str">
        <f>VLOOKUP(C46,'Data Angt'!$A$5:$B$5809,2,FALSE)</f>
        <v>A16</v>
      </c>
      <c r="E46" s="40" t="s">
        <v>10809</v>
      </c>
      <c r="F46" s="41">
        <v>44625</v>
      </c>
      <c r="G46" s="38">
        <v>12</v>
      </c>
      <c r="H46" s="40">
        <v>0</v>
      </c>
      <c r="I46" s="38">
        <v>5.5</v>
      </c>
      <c r="J46" s="41">
        <v>44625</v>
      </c>
      <c r="K46" s="38" t="s">
        <v>10768</v>
      </c>
      <c r="L46" s="42">
        <v>15000000</v>
      </c>
      <c r="O46" s="151" t="s">
        <v>1035</v>
      </c>
      <c r="P46" s="5" t="str">
        <f t="shared" si="0"/>
        <v>A395</v>
      </c>
      <c r="Q46" s="5">
        <f t="shared" si="1"/>
        <v>1</v>
      </c>
      <c r="R46">
        <f>VLOOKUP(O46,'Data Angt'!$A$5:$F$5810,6,FALSE)</f>
        <v>56</v>
      </c>
      <c r="S46" s="5" t="str">
        <f>VLOOKUP(O46,'Data Angt'!$A$5:$H$5810,8,FALSE)</f>
        <v>Karyawan</v>
      </c>
      <c r="T46" s="44" t="str">
        <f>VLOOKUP(O46,'Data Angt'!$A$5:$C$5809,3,FALSE)</f>
        <v>PBL</v>
      </c>
    </row>
    <row r="47" spans="1:20" x14ac:dyDescent="0.3">
      <c r="A47" s="37">
        <v>79245</v>
      </c>
      <c r="B47" s="38">
        <v>41</v>
      </c>
      <c r="C47" s="39" t="s">
        <v>57</v>
      </c>
      <c r="D47" s="10" t="str">
        <f>VLOOKUP(C47,'Data Angt'!$A$5:$B$5809,2,FALSE)</f>
        <v>A16</v>
      </c>
      <c r="E47" s="40" t="s">
        <v>10810</v>
      </c>
      <c r="F47" s="41">
        <v>42891</v>
      </c>
      <c r="G47" s="38">
        <v>12</v>
      </c>
      <c r="H47" s="40">
        <v>0</v>
      </c>
      <c r="I47" s="38">
        <v>5.5</v>
      </c>
      <c r="J47" s="41">
        <v>42861</v>
      </c>
      <c r="K47" s="38" t="s">
        <v>10768</v>
      </c>
      <c r="L47" s="42">
        <v>40000000</v>
      </c>
      <c r="O47" s="151" t="s">
        <v>1051</v>
      </c>
      <c r="P47" s="5" t="str">
        <f t="shared" si="0"/>
        <v>A403</v>
      </c>
      <c r="Q47" s="5">
        <f t="shared" si="1"/>
        <v>3</v>
      </c>
      <c r="R47">
        <f>VLOOKUP(O47,'Data Angt'!$A$5:$F$5810,6,FALSE)</f>
        <v>30</v>
      </c>
      <c r="S47" s="5" t="str">
        <f>VLOOKUP(O47,'Data Angt'!$A$5:$H$5810,8,FALSE)</f>
        <v>Karyawan</v>
      </c>
      <c r="T47" s="44" t="str">
        <f>VLOOKUP(O47,'Data Angt'!$A$5:$C$5809,3,FALSE)</f>
        <v>PBL</v>
      </c>
    </row>
    <row r="48" spans="1:20" x14ac:dyDescent="0.3">
      <c r="A48" s="37">
        <v>81354</v>
      </c>
      <c r="B48" s="38">
        <v>42</v>
      </c>
      <c r="C48" s="39" t="s">
        <v>57</v>
      </c>
      <c r="D48" s="10" t="str">
        <f>VLOOKUP(C48,'Data Angt'!$A$5:$B$5809,2,FALSE)</f>
        <v>A16</v>
      </c>
      <c r="E48" s="40" t="s">
        <v>10811</v>
      </c>
      <c r="F48" s="41">
        <v>43178</v>
      </c>
      <c r="G48" s="38">
        <v>12</v>
      </c>
      <c r="H48" s="40">
        <v>0</v>
      </c>
      <c r="I48" s="38">
        <v>5.5</v>
      </c>
      <c r="J48" s="41">
        <v>43178</v>
      </c>
      <c r="K48" s="38" t="s">
        <v>10768</v>
      </c>
      <c r="L48" s="42">
        <v>21000000</v>
      </c>
      <c r="O48" s="151" t="s">
        <v>12130</v>
      </c>
      <c r="P48" s="5" t="str">
        <f t="shared" si="0"/>
        <v>A405</v>
      </c>
      <c r="Q48" s="5">
        <f t="shared" si="1"/>
        <v>2</v>
      </c>
      <c r="R48">
        <f>VLOOKUP(O48,'Data Angt'!$A$5:$F$5810,6,FALSE)</f>
        <v>22</v>
      </c>
      <c r="S48" s="5" t="str">
        <f>VLOOKUP(O48,'Data Angt'!$A$5:$H$5810,8,FALSE)</f>
        <v>Pelajar/Mahasiswa</v>
      </c>
      <c r="T48" s="44" t="str">
        <f>VLOOKUP(O48,'Data Angt'!$A$5:$C$5809,3,FALSE)</f>
        <v>PBL</v>
      </c>
    </row>
    <row r="49" spans="1:20" x14ac:dyDescent="0.3">
      <c r="A49" s="37">
        <v>134334</v>
      </c>
      <c r="B49" s="38">
        <v>43</v>
      </c>
      <c r="C49" s="39" t="s">
        <v>57</v>
      </c>
      <c r="D49" s="10" t="str">
        <f>VLOOKUP(C49,'Data Angt'!$A$5:$B$5809,2,FALSE)</f>
        <v>A16</v>
      </c>
      <c r="E49" s="40" t="s">
        <v>10812</v>
      </c>
      <c r="F49" s="41">
        <v>44805</v>
      </c>
      <c r="G49" s="38">
        <v>12</v>
      </c>
      <c r="H49" s="40">
        <v>0</v>
      </c>
      <c r="I49" s="38">
        <v>5.5</v>
      </c>
      <c r="J49" s="41">
        <v>44805</v>
      </c>
      <c r="K49" s="38" t="s">
        <v>10768</v>
      </c>
      <c r="L49" s="42">
        <v>10000000</v>
      </c>
      <c r="O49" s="151" t="s">
        <v>1198</v>
      </c>
      <c r="P49" s="5" t="str">
        <f t="shared" si="0"/>
        <v>A468</v>
      </c>
      <c r="Q49" s="5">
        <f t="shared" si="1"/>
        <v>1</v>
      </c>
      <c r="R49">
        <f>VLOOKUP(O49,'Data Angt'!$A$5:$F$5810,6,FALSE)</f>
        <v>40</v>
      </c>
      <c r="S49" s="5" t="str">
        <f>VLOOKUP(O49,'Data Angt'!$A$5:$H$5810,8,FALSE)</f>
        <v>Karyawan</v>
      </c>
      <c r="T49" s="44" t="str">
        <f>VLOOKUP(O49,'Data Angt'!$A$5:$C$5809,3,FALSE)</f>
        <v>PBL</v>
      </c>
    </row>
    <row r="50" spans="1:20" x14ac:dyDescent="0.3">
      <c r="A50" s="37">
        <v>79265</v>
      </c>
      <c r="B50" s="38">
        <v>44</v>
      </c>
      <c r="C50" s="39" t="s">
        <v>57</v>
      </c>
      <c r="D50" s="10" t="str">
        <f>VLOOKUP(C50,'Data Angt'!$A$5:$B$5809,2,FALSE)</f>
        <v>A16</v>
      </c>
      <c r="E50" s="40" t="s">
        <v>10813</v>
      </c>
      <c r="F50" s="41">
        <v>42924</v>
      </c>
      <c r="G50" s="38">
        <v>12</v>
      </c>
      <c r="H50" s="40">
        <v>0</v>
      </c>
      <c r="I50" s="38">
        <v>5.5</v>
      </c>
      <c r="J50" s="41">
        <v>42954</v>
      </c>
      <c r="K50" s="38" t="s">
        <v>10768</v>
      </c>
      <c r="L50" s="42">
        <v>20000000</v>
      </c>
      <c r="O50" s="151" t="s">
        <v>1324</v>
      </c>
      <c r="P50" s="5" t="str">
        <f t="shared" si="0"/>
        <v>A517</v>
      </c>
      <c r="Q50" s="5">
        <f t="shared" si="1"/>
        <v>1</v>
      </c>
      <c r="R50">
        <f>VLOOKUP(O50,'Data Angt'!$A$5:$F$5810,6,FALSE)</f>
        <v>65</v>
      </c>
      <c r="S50" s="5" t="str">
        <f>VLOOKUP(O50,'Data Angt'!$A$5:$H$5810,8,FALSE)</f>
        <v>Pensiunan</v>
      </c>
      <c r="T50" s="44" t="str">
        <f>VLOOKUP(O50,'Data Angt'!$A$5:$C$5809,3,FALSE)</f>
        <v>PBL</v>
      </c>
    </row>
    <row r="51" spans="1:20" x14ac:dyDescent="0.3">
      <c r="A51" s="37">
        <v>92920</v>
      </c>
      <c r="B51" s="38">
        <v>45</v>
      </c>
      <c r="C51" s="39" t="s">
        <v>57</v>
      </c>
      <c r="D51" s="10" t="str">
        <f>VLOOKUP(C51,'Data Angt'!$A$5:$B$5809,2,FALSE)</f>
        <v>A16</v>
      </c>
      <c r="E51" s="40" t="s">
        <v>10814</v>
      </c>
      <c r="F51" s="41">
        <v>43477</v>
      </c>
      <c r="G51" s="38">
        <v>12</v>
      </c>
      <c r="H51" s="40">
        <v>0</v>
      </c>
      <c r="I51" s="38">
        <v>5.5</v>
      </c>
      <c r="J51" s="41">
        <v>43477</v>
      </c>
      <c r="K51" s="38" t="s">
        <v>10768</v>
      </c>
      <c r="L51" s="42">
        <v>10000000</v>
      </c>
      <c r="O51" s="151" t="s">
        <v>1371</v>
      </c>
      <c r="P51" s="5" t="str">
        <f t="shared" si="0"/>
        <v>A537</v>
      </c>
      <c r="Q51" s="5">
        <f t="shared" si="1"/>
        <v>4</v>
      </c>
      <c r="R51">
        <f>VLOOKUP(O51,'Data Angt'!$A$5:$F$5810,6,FALSE)</f>
        <v>55</v>
      </c>
      <c r="S51" s="5" t="str">
        <f>VLOOKUP(O51,'Data Angt'!$A$5:$H$5810,8,FALSE)</f>
        <v>Pemuka Agama</v>
      </c>
      <c r="T51" s="44" t="str">
        <f>VLOOKUP(O51,'Data Angt'!$A$5:$C$5809,3,FALSE)</f>
        <v>PBL</v>
      </c>
    </row>
    <row r="52" spans="1:20" x14ac:dyDescent="0.3">
      <c r="A52" s="37">
        <v>135352</v>
      </c>
      <c r="B52" s="38">
        <v>46</v>
      </c>
      <c r="C52" s="39" t="s">
        <v>57</v>
      </c>
      <c r="D52" s="10" t="str">
        <f>VLOOKUP(C52,'Data Angt'!$A$5:$B$5809,2,FALSE)</f>
        <v>A16</v>
      </c>
      <c r="E52" s="40" t="s">
        <v>10815</v>
      </c>
      <c r="F52" s="41">
        <v>44884</v>
      </c>
      <c r="G52" s="38">
        <v>12</v>
      </c>
      <c r="H52" s="40">
        <v>0</v>
      </c>
      <c r="I52" s="38">
        <v>5.5</v>
      </c>
      <c r="J52" s="41">
        <v>44884</v>
      </c>
      <c r="K52" s="38" t="s">
        <v>10768</v>
      </c>
      <c r="L52" s="42">
        <v>10000000</v>
      </c>
      <c r="O52" s="151" t="s">
        <v>1401</v>
      </c>
      <c r="P52" s="5" t="str">
        <f t="shared" si="0"/>
        <v>A548</v>
      </c>
      <c r="Q52" s="5">
        <f t="shared" si="1"/>
        <v>1</v>
      </c>
      <c r="R52">
        <f>VLOOKUP(O52,'Data Angt'!$A$5:$F$5810,6,FALSE)</f>
        <v>53</v>
      </c>
      <c r="S52" s="5" t="str">
        <f>VLOOKUP(O52,'Data Angt'!$A$5:$H$5810,8,FALSE)</f>
        <v>Lain-Lain</v>
      </c>
      <c r="T52" s="44" t="str">
        <f>VLOOKUP(O52,'Data Angt'!$A$5:$C$5809,3,FALSE)</f>
        <v>PBL</v>
      </c>
    </row>
    <row r="53" spans="1:20" x14ac:dyDescent="0.3">
      <c r="A53" s="37">
        <v>79292</v>
      </c>
      <c r="B53" s="38">
        <v>47</v>
      </c>
      <c r="C53" s="39" t="s">
        <v>57</v>
      </c>
      <c r="D53" s="10" t="str">
        <f>VLOOKUP(C53,'Data Angt'!$A$5:$B$5809,2,FALSE)</f>
        <v>A16</v>
      </c>
      <c r="E53" s="40" t="s">
        <v>10776</v>
      </c>
      <c r="F53" s="41">
        <v>42961</v>
      </c>
      <c r="G53" s="38">
        <v>12</v>
      </c>
      <c r="H53" s="40">
        <v>0</v>
      </c>
      <c r="I53" s="38">
        <v>5.5</v>
      </c>
      <c r="J53" s="41">
        <v>42961</v>
      </c>
      <c r="K53" s="38" t="s">
        <v>10768</v>
      </c>
      <c r="L53" s="42">
        <v>10000000</v>
      </c>
      <c r="O53" s="151" t="s">
        <v>1427</v>
      </c>
      <c r="P53" s="5" t="str">
        <f t="shared" si="0"/>
        <v>A560</v>
      </c>
      <c r="Q53" s="5">
        <f t="shared" si="1"/>
        <v>1</v>
      </c>
      <c r="R53">
        <f>VLOOKUP(O53,'Data Angt'!$A$5:$F$5810,6,FALSE)</f>
        <v>46</v>
      </c>
      <c r="S53" s="5" t="str">
        <f>VLOOKUP(O53,'Data Angt'!$A$5:$H$5810,8,FALSE)</f>
        <v>Karyawan</v>
      </c>
      <c r="T53" s="44" t="str">
        <f>VLOOKUP(O53,'Data Angt'!$A$5:$C$5809,3,FALSE)</f>
        <v>PBL</v>
      </c>
    </row>
    <row r="54" spans="1:20" x14ac:dyDescent="0.3">
      <c r="A54" s="37">
        <v>111167</v>
      </c>
      <c r="B54" s="38">
        <v>48</v>
      </c>
      <c r="C54" s="39" t="s">
        <v>57</v>
      </c>
      <c r="D54" s="10" t="str">
        <f>VLOOKUP(C54,'Data Angt'!$A$5:$B$5809,2,FALSE)</f>
        <v>A16</v>
      </c>
      <c r="E54" s="40" t="s">
        <v>10777</v>
      </c>
      <c r="F54" s="41">
        <v>43559</v>
      </c>
      <c r="G54" s="38">
        <v>12</v>
      </c>
      <c r="H54" s="40">
        <v>0</v>
      </c>
      <c r="I54" s="38">
        <v>5.5</v>
      </c>
      <c r="J54" s="41">
        <v>43559</v>
      </c>
      <c r="K54" s="38" t="s">
        <v>10768</v>
      </c>
      <c r="L54" s="42">
        <v>25000000</v>
      </c>
      <c r="O54" s="151" t="s">
        <v>1445</v>
      </c>
      <c r="P54" s="5" t="str">
        <f t="shared" si="0"/>
        <v>A567</v>
      </c>
      <c r="Q54" s="5">
        <f t="shared" si="1"/>
        <v>3</v>
      </c>
      <c r="R54">
        <f>VLOOKUP(O54,'Data Angt'!$A$5:$F$5810,6,FALSE)</f>
        <v>19</v>
      </c>
      <c r="S54" s="5" t="str">
        <f>VLOOKUP(O54,'Data Angt'!$A$5:$H$5810,8,FALSE)</f>
        <v>Pelajar/Mahasiswa</v>
      </c>
      <c r="T54" s="44" t="str">
        <f>VLOOKUP(O54,'Data Angt'!$A$5:$C$5809,3,FALSE)</f>
        <v>PBL</v>
      </c>
    </row>
    <row r="55" spans="1:20" x14ac:dyDescent="0.3">
      <c r="A55" s="37">
        <v>135719</v>
      </c>
      <c r="B55" s="38">
        <v>49</v>
      </c>
      <c r="C55" s="39" t="s">
        <v>57</v>
      </c>
      <c r="D55" s="10" t="str">
        <f>VLOOKUP(C55,'Data Angt'!$A$5:$B$5809,2,FALSE)</f>
        <v>A16</v>
      </c>
      <c r="E55" s="40" t="s">
        <v>10778</v>
      </c>
      <c r="F55" s="41">
        <v>44911</v>
      </c>
      <c r="G55" s="38">
        <v>12</v>
      </c>
      <c r="H55" s="40">
        <v>0</v>
      </c>
      <c r="I55" s="38">
        <v>5.5</v>
      </c>
      <c r="J55" s="41">
        <v>44911</v>
      </c>
      <c r="K55" s="38" t="s">
        <v>10768</v>
      </c>
      <c r="L55" s="42">
        <v>10000000</v>
      </c>
      <c r="O55" s="151" t="s">
        <v>1482</v>
      </c>
      <c r="P55" s="5" t="str">
        <f t="shared" si="0"/>
        <v>A583</v>
      </c>
      <c r="Q55" s="5">
        <f t="shared" si="1"/>
        <v>1</v>
      </c>
      <c r="R55">
        <f>VLOOKUP(O55,'Data Angt'!$A$5:$F$5810,6,FALSE)</f>
        <v>54</v>
      </c>
      <c r="S55" s="5" t="str">
        <f>VLOOKUP(O55,'Data Angt'!$A$5:$H$5810,8,FALSE)</f>
        <v>Wiraswasta</v>
      </c>
      <c r="T55" s="44" t="str">
        <f>VLOOKUP(O55,'Data Angt'!$A$5:$C$5809,3,FALSE)</f>
        <v>PBL</v>
      </c>
    </row>
    <row r="56" spans="1:20" x14ac:dyDescent="0.3">
      <c r="A56" s="37">
        <v>79304</v>
      </c>
      <c r="B56" s="38">
        <v>50</v>
      </c>
      <c r="C56" s="39" t="s">
        <v>57</v>
      </c>
      <c r="D56" s="10" t="str">
        <f>VLOOKUP(C56,'Data Angt'!$A$5:$B$5809,2,FALSE)</f>
        <v>A16</v>
      </c>
      <c r="E56" s="40" t="s">
        <v>10779</v>
      </c>
      <c r="F56" s="41">
        <v>42991</v>
      </c>
      <c r="G56" s="38">
        <v>12</v>
      </c>
      <c r="H56" s="40">
        <v>0</v>
      </c>
      <c r="I56" s="38">
        <v>5.5</v>
      </c>
      <c r="J56" s="41">
        <v>42991</v>
      </c>
      <c r="K56" s="38" t="s">
        <v>10768</v>
      </c>
      <c r="L56" s="42">
        <v>6000000</v>
      </c>
      <c r="O56" s="151" t="s">
        <v>12156</v>
      </c>
      <c r="P56" s="5" t="str">
        <f t="shared" si="0"/>
        <v>A600</v>
      </c>
      <c r="Q56" s="5">
        <f t="shared" si="1"/>
        <v>1</v>
      </c>
      <c r="R56">
        <f>VLOOKUP(O56,'Data Angt'!$A$5:$F$5810,6,FALSE)</f>
        <v>19</v>
      </c>
      <c r="S56" s="5" t="str">
        <f>VLOOKUP(O56,'Data Angt'!$A$5:$H$5810,8,FALSE)</f>
        <v>Pelajar/Mahasiswa</v>
      </c>
      <c r="T56" s="44" t="str">
        <f>VLOOKUP(O56,'Data Angt'!$A$5:$C$5809,3,FALSE)</f>
        <v>PBL</v>
      </c>
    </row>
    <row r="57" spans="1:20" x14ac:dyDescent="0.3">
      <c r="A57" s="37">
        <v>117062</v>
      </c>
      <c r="B57" s="38">
        <v>51</v>
      </c>
      <c r="C57" s="39" t="s">
        <v>57</v>
      </c>
      <c r="D57" s="10" t="str">
        <f>VLOOKUP(C57,'Data Angt'!$A$5:$B$5809,2,FALSE)</f>
        <v>A16</v>
      </c>
      <c r="E57" s="40" t="s">
        <v>10780</v>
      </c>
      <c r="F57" s="41">
        <v>43740</v>
      </c>
      <c r="G57" s="38">
        <v>12</v>
      </c>
      <c r="H57" s="40">
        <v>0</v>
      </c>
      <c r="I57" s="38">
        <v>5.5</v>
      </c>
      <c r="J57" s="41">
        <v>43740</v>
      </c>
      <c r="K57" s="38" t="s">
        <v>10768</v>
      </c>
      <c r="L57" s="42">
        <v>10000000</v>
      </c>
      <c r="O57" s="151" t="s">
        <v>1572</v>
      </c>
      <c r="P57" s="5" t="str">
        <f t="shared" si="0"/>
        <v>A623</v>
      </c>
      <c r="Q57" s="5">
        <f t="shared" si="1"/>
        <v>2</v>
      </c>
      <c r="R57">
        <f>VLOOKUP(O57,'Data Angt'!$A$5:$F$5810,6,FALSE)</f>
        <v>73</v>
      </c>
      <c r="S57" s="5" t="str">
        <f>VLOOKUP(O57,'Data Angt'!$A$5:$H$5810,8,FALSE)</f>
        <v>Lain-Lain</v>
      </c>
      <c r="T57" s="44" t="str">
        <f>VLOOKUP(O57,'Data Angt'!$A$5:$C$5809,3,FALSE)</f>
        <v>PBL</v>
      </c>
    </row>
    <row r="58" spans="1:20" x14ac:dyDescent="0.3">
      <c r="A58" s="37">
        <v>136338</v>
      </c>
      <c r="B58" s="38">
        <v>52</v>
      </c>
      <c r="C58" s="39" t="s">
        <v>57</v>
      </c>
      <c r="D58" s="10" t="str">
        <f>VLOOKUP(C58,'Data Angt'!$A$5:$B$5809,2,FALSE)</f>
        <v>A16</v>
      </c>
      <c r="E58" s="40" t="s">
        <v>10781</v>
      </c>
      <c r="F58" s="41">
        <v>44966</v>
      </c>
      <c r="G58" s="38">
        <v>12</v>
      </c>
      <c r="H58" s="40">
        <v>0</v>
      </c>
      <c r="I58" s="38">
        <v>5.5</v>
      </c>
      <c r="J58" s="41">
        <v>44966</v>
      </c>
      <c r="K58" s="38" t="s">
        <v>10768</v>
      </c>
      <c r="L58" s="42">
        <v>15000000</v>
      </c>
      <c r="O58" s="151" t="s">
        <v>12161</v>
      </c>
      <c r="P58" s="5" t="str">
        <f t="shared" si="0"/>
        <v>A664</v>
      </c>
      <c r="Q58" s="5">
        <f t="shared" si="1"/>
        <v>5</v>
      </c>
      <c r="R58">
        <f>VLOOKUP(O58,'Data Angt'!$A$5:$F$5810,6,FALSE)</f>
        <v>18</v>
      </c>
      <c r="S58" s="5" t="str">
        <f>VLOOKUP(O58,'Data Angt'!$A$5:$H$5810,8,FALSE)</f>
        <v>Pelajar/Mahasiswa</v>
      </c>
      <c r="T58" s="44" t="str">
        <f>VLOOKUP(O58,'Data Angt'!$A$5:$C$5809,3,FALSE)</f>
        <v>PBL</v>
      </c>
    </row>
    <row r="59" spans="1:20" x14ac:dyDescent="0.3">
      <c r="A59" s="37">
        <v>143472</v>
      </c>
      <c r="B59" s="38">
        <v>53</v>
      </c>
      <c r="C59" s="39" t="s">
        <v>57</v>
      </c>
      <c r="D59" s="10" t="str">
        <f>VLOOKUP(C59,'Data Angt'!$A$5:$B$5809,2,FALSE)</f>
        <v>A16</v>
      </c>
      <c r="E59" s="40" t="s">
        <v>18402</v>
      </c>
      <c r="F59" s="41">
        <v>45365</v>
      </c>
      <c r="G59" s="38">
        <v>12</v>
      </c>
      <c r="H59" s="40">
        <v>0</v>
      </c>
      <c r="I59" s="38">
        <v>5.5</v>
      </c>
      <c r="J59" s="41">
        <v>45365</v>
      </c>
      <c r="K59" s="38" t="s">
        <v>10768</v>
      </c>
      <c r="L59" s="42">
        <v>14000000</v>
      </c>
      <c r="O59" s="151" t="s">
        <v>2000</v>
      </c>
      <c r="P59" s="5" t="str">
        <f t="shared" si="0"/>
        <v>A817</v>
      </c>
      <c r="Q59" s="5">
        <f t="shared" si="1"/>
        <v>1</v>
      </c>
      <c r="R59">
        <f>VLOOKUP(O59,'Data Angt'!$A$5:$F$5810,6,FALSE)</f>
        <v>69</v>
      </c>
      <c r="S59" s="5" t="str">
        <f>VLOOKUP(O59,'Data Angt'!$A$5:$H$5810,8,FALSE)</f>
        <v>Mengurus Rumah Tangga</v>
      </c>
      <c r="T59" s="44" t="str">
        <f>VLOOKUP(O59,'Data Angt'!$A$5:$C$5809,3,FALSE)</f>
        <v>PBL</v>
      </c>
    </row>
    <row r="60" spans="1:20" x14ac:dyDescent="0.3">
      <c r="A60" s="37">
        <v>79331</v>
      </c>
      <c r="B60" s="38">
        <v>54</v>
      </c>
      <c r="C60" s="39" t="s">
        <v>57</v>
      </c>
      <c r="D60" s="10" t="str">
        <f>VLOOKUP(C60,'Data Angt'!$A$5:$B$5809,2,FALSE)</f>
        <v>A16</v>
      </c>
      <c r="E60" s="40" t="s">
        <v>10782</v>
      </c>
      <c r="F60" s="41">
        <v>43034</v>
      </c>
      <c r="G60" s="38">
        <v>12</v>
      </c>
      <c r="H60" s="40">
        <v>0</v>
      </c>
      <c r="I60" s="38">
        <v>5.5</v>
      </c>
      <c r="J60" s="41">
        <v>43034</v>
      </c>
      <c r="K60" s="38" t="s">
        <v>10768</v>
      </c>
      <c r="L60" s="42">
        <v>20000000</v>
      </c>
      <c r="O60" s="151" t="s">
        <v>2037</v>
      </c>
      <c r="P60" s="5" t="str">
        <f t="shared" si="0"/>
        <v>A836</v>
      </c>
      <c r="Q60" s="5">
        <f t="shared" si="1"/>
        <v>3</v>
      </c>
      <c r="R60">
        <f>VLOOKUP(O60,'Data Angt'!$A$5:$F$5810,6,FALSE)</f>
        <v>25</v>
      </c>
      <c r="S60" s="5" t="str">
        <f>VLOOKUP(O60,'Data Angt'!$A$5:$H$5810,8,FALSE)</f>
        <v>Tenaga Pengajar</v>
      </c>
      <c r="T60" s="44" t="str">
        <f>VLOOKUP(O60,'Data Angt'!$A$5:$C$5809,3,FALSE)</f>
        <v>PBL</v>
      </c>
    </row>
    <row r="61" spans="1:20" x14ac:dyDescent="0.3">
      <c r="A61" s="37">
        <v>120412</v>
      </c>
      <c r="B61" s="38">
        <v>55</v>
      </c>
      <c r="C61" s="39" t="s">
        <v>57</v>
      </c>
      <c r="D61" s="10" t="str">
        <f>VLOOKUP(C61,'Data Angt'!$A$5:$B$5809,2,FALSE)</f>
        <v>A16</v>
      </c>
      <c r="E61" s="40" t="s">
        <v>10783</v>
      </c>
      <c r="F61" s="41">
        <v>43866</v>
      </c>
      <c r="G61" s="38">
        <v>12</v>
      </c>
      <c r="H61" s="40">
        <v>0</v>
      </c>
      <c r="I61" s="38">
        <v>5.5</v>
      </c>
      <c r="J61" s="41">
        <v>43866</v>
      </c>
      <c r="K61" s="38" t="s">
        <v>10768</v>
      </c>
      <c r="L61" s="42">
        <v>20000000</v>
      </c>
      <c r="O61" s="151" t="s">
        <v>2200</v>
      </c>
      <c r="P61" s="5" t="str">
        <f t="shared" si="0"/>
        <v>A916</v>
      </c>
      <c r="Q61" s="5">
        <f t="shared" si="1"/>
        <v>2</v>
      </c>
      <c r="R61">
        <f>VLOOKUP(O61,'Data Angt'!$A$5:$F$5810,6,FALSE)</f>
        <v>50</v>
      </c>
      <c r="S61" s="5" t="str">
        <f>VLOOKUP(O61,'Data Angt'!$A$5:$H$5810,8,FALSE)</f>
        <v>Mengurus Rumah Tangga</v>
      </c>
      <c r="T61" s="44" t="str">
        <f>VLOOKUP(O61,'Data Angt'!$A$5:$C$5809,3,FALSE)</f>
        <v>PBL</v>
      </c>
    </row>
    <row r="62" spans="1:20" x14ac:dyDescent="0.3">
      <c r="A62" s="37">
        <v>150663</v>
      </c>
      <c r="B62" s="38">
        <v>56</v>
      </c>
      <c r="C62" s="39" t="s">
        <v>57</v>
      </c>
      <c r="D62" s="10" t="str">
        <f>VLOOKUP(C62,'Data Angt'!$A$5:$B$5809,2,FALSE)</f>
        <v>A16</v>
      </c>
      <c r="E62" s="40" t="s">
        <v>18403</v>
      </c>
      <c r="F62" s="41">
        <v>45612</v>
      </c>
      <c r="G62" s="38">
        <v>12</v>
      </c>
      <c r="H62" s="40">
        <v>0</v>
      </c>
      <c r="I62" s="38">
        <v>5.5</v>
      </c>
      <c r="J62" s="41">
        <v>45612</v>
      </c>
      <c r="K62" s="38" t="s">
        <v>10768</v>
      </c>
      <c r="L62" s="42">
        <v>2000000</v>
      </c>
      <c r="O62" s="151" t="s">
        <v>2247</v>
      </c>
      <c r="P62" s="5" t="str">
        <f t="shared" si="0"/>
        <v>A936</v>
      </c>
      <c r="Q62" s="5">
        <f t="shared" si="1"/>
        <v>9</v>
      </c>
      <c r="R62">
        <f>VLOOKUP(O62,'Data Angt'!$A$5:$F$5810,6,FALSE)</f>
        <v>43</v>
      </c>
      <c r="S62" s="5" t="str">
        <f>VLOOKUP(O62,'Data Angt'!$A$5:$H$5810,8,FALSE)</f>
        <v>Aparatur/Pejabat Negara</v>
      </c>
      <c r="T62" s="44" t="str">
        <f>VLOOKUP(O62,'Data Angt'!$A$5:$C$5809,3,FALSE)</f>
        <v>PBL</v>
      </c>
    </row>
    <row r="63" spans="1:20" x14ac:dyDescent="0.3">
      <c r="A63" s="37">
        <v>79339</v>
      </c>
      <c r="B63" s="38">
        <v>57</v>
      </c>
      <c r="C63" s="39" t="s">
        <v>57</v>
      </c>
      <c r="D63" s="10" t="str">
        <f>VLOOKUP(C63,'Data Angt'!$A$5:$B$5809,2,FALSE)</f>
        <v>A16</v>
      </c>
      <c r="E63" s="40" t="s">
        <v>10785</v>
      </c>
      <c r="F63" s="41">
        <v>43062</v>
      </c>
      <c r="G63" s="38">
        <v>12</v>
      </c>
      <c r="H63" s="40">
        <v>0</v>
      </c>
      <c r="I63" s="38">
        <v>5.5</v>
      </c>
      <c r="J63" s="41">
        <v>43062</v>
      </c>
      <c r="K63" s="38" t="s">
        <v>10768</v>
      </c>
      <c r="L63" s="42">
        <v>25000000</v>
      </c>
      <c r="O63" s="151" t="s">
        <v>2437</v>
      </c>
      <c r="P63" s="5" t="str">
        <f t="shared" si="0"/>
        <v>A1015</v>
      </c>
      <c r="Q63" s="5">
        <f t="shared" si="1"/>
        <v>1</v>
      </c>
      <c r="R63">
        <f>VLOOKUP(O63,'Data Angt'!$A$5:$F$5810,6,FALSE)</f>
        <v>42</v>
      </c>
      <c r="S63" s="5" t="str">
        <f>VLOOKUP(O63,'Data Angt'!$A$5:$H$5810,8,FALSE)</f>
        <v>Lain-Lain</v>
      </c>
      <c r="T63" s="44" t="str">
        <f>VLOOKUP(O63,'Data Angt'!$A$5:$C$5809,3,FALSE)</f>
        <v>PBL</v>
      </c>
    </row>
    <row r="64" spans="1:20" x14ac:dyDescent="0.3">
      <c r="A64" s="37">
        <v>121005</v>
      </c>
      <c r="B64" s="38">
        <v>58</v>
      </c>
      <c r="C64" s="39" t="s">
        <v>57</v>
      </c>
      <c r="D64" s="10" t="str">
        <f>VLOOKUP(C64,'Data Angt'!$A$5:$B$5809,2,FALSE)</f>
        <v>A16</v>
      </c>
      <c r="E64" s="40" t="s">
        <v>10786</v>
      </c>
      <c r="F64" s="41">
        <v>43882</v>
      </c>
      <c r="G64" s="38">
        <v>12</v>
      </c>
      <c r="H64" s="40">
        <v>0</v>
      </c>
      <c r="I64" s="38">
        <v>5.5</v>
      </c>
      <c r="J64" s="41">
        <v>43882</v>
      </c>
      <c r="K64" s="38" t="s">
        <v>10768</v>
      </c>
      <c r="L64" s="42">
        <v>8000000</v>
      </c>
      <c r="O64" s="151" t="s">
        <v>2574</v>
      </c>
      <c r="P64" s="5" t="str">
        <f t="shared" si="0"/>
        <v>A1071</v>
      </c>
      <c r="Q64" s="5">
        <f t="shared" si="1"/>
        <v>2</v>
      </c>
      <c r="R64">
        <f>VLOOKUP(O64,'Data Angt'!$A$5:$F$5810,6,FALSE)</f>
        <v>39</v>
      </c>
      <c r="S64" s="5" t="str">
        <f>VLOOKUP(O64,'Data Angt'!$A$5:$H$5810,8,FALSE)</f>
        <v>Tenaga Pengajar</v>
      </c>
      <c r="T64" s="44" t="str">
        <f>VLOOKUP(O64,'Data Angt'!$A$5:$C$5809,3,FALSE)</f>
        <v>PBL</v>
      </c>
    </row>
    <row r="65" spans="1:20" x14ac:dyDescent="0.3">
      <c r="A65" s="37">
        <v>79053</v>
      </c>
      <c r="B65" s="38">
        <v>59</v>
      </c>
      <c r="C65" s="39" t="s">
        <v>59</v>
      </c>
      <c r="D65" s="10" t="str">
        <f>VLOOKUP(C65,'Data Angt'!$A$5:$B$5809,2,FALSE)</f>
        <v>A17</v>
      </c>
      <c r="E65" s="40" t="s">
        <v>10816</v>
      </c>
      <c r="F65" s="41">
        <v>42443</v>
      </c>
      <c r="G65" s="38">
        <v>12</v>
      </c>
      <c r="H65" s="40">
        <v>0</v>
      </c>
      <c r="I65" s="38">
        <v>5.5</v>
      </c>
      <c r="J65" s="41">
        <v>42443</v>
      </c>
      <c r="K65" s="38" t="s">
        <v>10768</v>
      </c>
      <c r="L65" s="42">
        <v>35000000</v>
      </c>
      <c r="O65" s="151" t="s">
        <v>2613</v>
      </c>
      <c r="P65" s="5" t="str">
        <f t="shared" si="0"/>
        <v>A1093</v>
      </c>
      <c r="Q65" s="5">
        <f t="shared" si="1"/>
        <v>2</v>
      </c>
      <c r="R65">
        <f>VLOOKUP(O65,'Data Angt'!$A$5:$F$5810,6,FALSE)</f>
        <v>39</v>
      </c>
      <c r="S65" s="5" t="str">
        <f>VLOOKUP(O65,'Data Angt'!$A$5:$H$5810,8,FALSE)</f>
        <v>Aparatur/Pejabat Negara</v>
      </c>
      <c r="T65" s="44" t="str">
        <f>VLOOKUP(O65,'Data Angt'!$A$5:$C$5809,3,FALSE)</f>
        <v>PBL</v>
      </c>
    </row>
    <row r="66" spans="1:20" x14ac:dyDescent="0.3">
      <c r="A66" s="37">
        <v>79054</v>
      </c>
      <c r="B66" s="38">
        <v>60</v>
      </c>
      <c r="C66" s="39" t="s">
        <v>59</v>
      </c>
      <c r="D66" s="10" t="str">
        <f>VLOOKUP(C66,'Data Angt'!$A$5:$B$5809,2,FALSE)</f>
        <v>A17</v>
      </c>
      <c r="E66" s="40" t="s">
        <v>10817</v>
      </c>
      <c r="F66" s="41">
        <v>42443</v>
      </c>
      <c r="G66" s="38">
        <v>12</v>
      </c>
      <c r="H66" s="40">
        <v>0</v>
      </c>
      <c r="I66" s="38">
        <v>5.5</v>
      </c>
      <c r="J66" s="41">
        <v>42443</v>
      </c>
      <c r="K66" s="38" t="s">
        <v>10768</v>
      </c>
      <c r="L66" s="42">
        <v>35000000</v>
      </c>
      <c r="O66" s="151" t="s">
        <v>2779</v>
      </c>
      <c r="P66" s="5" t="str">
        <f t="shared" si="0"/>
        <v>A1168</v>
      </c>
      <c r="Q66" s="5">
        <f t="shared" si="1"/>
        <v>2</v>
      </c>
      <c r="R66">
        <f>VLOOKUP(O66,'Data Angt'!$A$5:$F$5810,6,FALSE)</f>
        <v>49</v>
      </c>
      <c r="S66" s="5" t="str">
        <f>VLOOKUP(O66,'Data Angt'!$A$5:$H$5810,8,FALSE)</f>
        <v>Karyawan</v>
      </c>
      <c r="T66" s="44" t="str">
        <f>VLOOKUP(O66,'Data Angt'!$A$5:$C$5809,3,FALSE)</f>
        <v>PBL</v>
      </c>
    </row>
    <row r="67" spans="1:20" x14ac:dyDescent="0.3">
      <c r="A67" s="37">
        <v>79206</v>
      </c>
      <c r="B67" s="38">
        <v>61</v>
      </c>
      <c r="C67" s="39" t="s">
        <v>59</v>
      </c>
      <c r="D67" s="10" t="str">
        <f>VLOOKUP(C67,'Data Angt'!$A$5:$B$5809,2,FALSE)</f>
        <v>A17</v>
      </c>
      <c r="E67" s="40" t="s">
        <v>10818</v>
      </c>
      <c r="F67" s="41">
        <v>42808</v>
      </c>
      <c r="G67" s="38">
        <v>12</v>
      </c>
      <c r="H67" s="40">
        <v>0</v>
      </c>
      <c r="I67" s="38">
        <v>5.5</v>
      </c>
      <c r="J67" s="41">
        <v>42808</v>
      </c>
      <c r="K67" s="38" t="s">
        <v>10768</v>
      </c>
      <c r="L67" s="42">
        <v>30000000</v>
      </c>
      <c r="O67" s="151" t="s">
        <v>2995</v>
      </c>
      <c r="P67" s="5" t="str">
        <f t="shared" si="0"/>
        <v>A1266</v>
      </c>
      <c r="Q67" s="5">
        <f t="shared" si="1"/>
        <v>3</v>
      </c>
      <c r="R67">
        <f>VLOOKUP(O67,'Data Angt'!$A$5:$F$5810,6,FALSE)</f>
        <v>37</v>
      </c>
      <c r="S67" s="5" t="str">
        <f>VLOOKUP(O67,'Data Angt'!$A$5:$H$5810,8,FALSE)</f>
        <v>Wiraswasta</v>
      </c>
      <c r="T67" s="44" t="str">
        <f>VLOOKUP(O67,'Data Angt'!$A$5:$C$5809,3,FALSE)</f>
        <v>PBL</v>
      </c>
    </row>
    <row r="68" spans="1:20" x14ac:dyDescent="0.3">
      <c r="A68" s="37">
        <v>139620</v>
      </c>
      <c r="B68" s="38">
        <v>62</v>
      </c>
      <c r="C68" s="39" t="s">
        <v>59</v>
      </c>
      <c r="D68" s="10" t="str">
        <f>VLOOKUP(C68,'Data Angt'!$A$5:$B$5809,2,FALSE)</f>
        <v>A17</v>
      </c>
      <c r="E68" s="40" t="s">
        <v>10819</v>
      </c>
      <c r="F68" s="41">
        <v>45201</v>
      </c>
      <c r="G68" s="38">
        <v>12</v>
      </c>
      <c r="H68" s="40">
        <v>0</v>
      </c>
      <c r="I68" s="38">
        <v>5.5</v>
      </c>
      <c r="J68" s="41">
        <v>45201</v>
      </c>
      <c r="K68" s="38" t="s">
        <v>10768</v>
      </c>
      <c r="L68" s="42">
        <v>35000000</v>
      </c>
      <c r="O68" s="151" t="s">
        <v>3089</v>
      </c>
      <c r="P68" s="5" t="str">
        <f t="shared" si="0"/>
        <v>A1308</v>
      </c>
      <c r="Q68" s="5">
        <f t="shared" si="1"/>
        <v>1</v>
      </c>
      <c r="R68">
        <f>VLOOKUP(O68,'Data Angt'!$A$5:$F$5810,6,FALSE)</f>
        <v>38</v>
      </c>
      <c r="S68" s="5" t="str">
        <f>VLOOKUP(O68,'Data Angt'!$A$5:$H$5810,8,FALSE)</f>
        <v>Wiraswasta</v>
      </c>
      <c r="T68" s="44" t="str">
        <f>VLOOKUP(O68,'Data Angt'!$A$5:$C$5809,3,FALSE)</f>
        <v>PBL</v>
      </c>
    </row>
    <row r="69" spans="1:20" x14ac:dyDescent="0.3">
      <c r="A69" s="37">
        <v>139622</v>
      </c>
      <c r="B69" s="38">
        <v>63</v>
      </c>
      <c r="C69" s="39" t="s">
        <v>59</v>
      </c>
      <c r="D69" s="10" t="str">
        <f>VLOOKUP(C69,'Data Angt'!$A$5:$B$5809,2,FALSE)</f>
        <v>A17</v>
      </c>
      <c r="E69" s="40" t="s">
        <v>10820</v>
      </c>
      <c r="F69" s="41">
        <v>45201</v>
      </c>
      <c r="G69" s="38">
        <v>12</v>
      </c>
      <c r="H69" s="40">
        <v>0</v>
      </c>
      <c r="I69" s="38">
        <v>5.5</v>
      </c>
      <c r="J69" s="41">
        <v>45201</v>
      </c>
      <c r="K69" s="38" t="s">
        <v>10768</v>
      </c>
      <c r="L69" s="42">
        <v>35000000</v>
      </c>
      <c r="O69" s="151" t="s">
        <v>3146</v>
      </c>
      <c r="P69" s="5" t="str">
        <f t="shared" si="0"/>
        <v>A1333</v>
      </c>
      <c r="Q69" s="5">
        <f t="shared" si="1"/>
        <v>2</v>
      </c>
      <c r="R69">
        <f>VLOOKUP(O69,'Data Angt'!$A$5:$F$5810,6,FALSE)</f>
        <v>51</v>
      </c>
      <c r="S69" s="5" t="str">
        <f>VLOOKUP(O69,'Data Angt'!$A$5:$H$5810,8,FALSE)</f>
        <v>Karyawan</v>
      </c>
      <c r="T69" s="44" t="str">
        <f>VLOOKUP(O69,'Data Angt'!$A$5:$C$5809,3,FALSE)</f>
        <v>PBL</v>
      </c>
    </row>
    <row r="70" spans="1:20" x14ac:dyDescent="0.3">
      <c r="A70" s="37">
        <v>139652</v>
      </c>
      <c r="B70" s="38">
        <v>64</v>
      </c>
      <c r="C70" s="39" t="s">
        <v>59</v>
      </c>
      <c r="D70" s="10" t="str">
        <f>VLOOKUP(C70,'Data Angt'!$A$5:$B$5809,2,FALSE)</f>
        <v>A17</v>
      </c>
      <c r="E70" s="40" t="s">
        <v>10821</v>
      </c>
      <c r="F70" s="41">
        <v>45202</v>
      </c>
      <c r="G70" s="38">
        <v>12</v>
      </c>
      <c r="H70" s="40">
        <v>0</v>
      </c>
      <c r="I70" s="38">
        <v>5.5</v>
      </c>
      <c r="J70" s="41">
        <v>45202</v>
      </c>
      <c r="K70" s="38" t="s">
        <v>10768</v>
      </c>
      <c r="L70" s="42">
        <v>30000000</v>
      </c>
      <c r="O70" s="151" t="s">
        <v>3279</v>
      </c>
      <c r="P70" s="5" t="str">
        <f t="shared" ref="P70:P133" si="2">VLOOKUP(O70,$C$7:$D$1146,2,FALSE)</f>
        <v>A1392</v>
      </c>
      <c r="Q70" s="5">
        <f t="shared" ref="Q70:Q133" si="3">COUNTIF($C$7:$C$1146,O70)</f>
        <v>1</v>
      </c>
      <c r="R70">
        <f>VLOOKUP(O70,'Data Angt'!$A$5:$F$5810,6,FALSE)</f>
        <v>43</v>
      </c>
      <c r="S70" s="5" t="str">
        <f>VLOOKUP(O70,'Data Angt'!$A$5:$H$5810,8,FALSE)</f>
        <v>Aparatur/Pejabat Negara</v>
      </c>
      <c r="T70" s="44" t="str">
        <f>VLOOKUP(O70,'Data Angt'!$A$5:$C$5809,3,FALSE)</f>
        <v>PBL</v>
      </c>
    </row>
    <row r="71" spans="1:20" x14ac:dyDescent="0.3">
      <c r="A71" s="37">
        <v>123747</v>
      </c>
      <c r="B71" s="38">
        <v>65</v>
      </c>
      <c r="C71" s="39" t="s">
        <v>63</v>
      </c>
      <c r="D71" s="10" t="str">
        <f>VLOOKUP(C71,'Data Angt'!$A$5:$B$5809,2,FALSE)</f>
        <v>A19</v>
      </c>
      <c r="E71" s="40" t="s">
        <v>10822</v>
      </c>
      <c r="F71" s="41">
        <v>43998</v>
      </c>
      <c r="G71" s="38">
        <v>12</v>
      </c>
      <c r="H71" s="40">
        <v>0</v>
      </c>
      <c r="I71" s="38">
        <v>5.5</v>
      </c>
      <c r="J71" s="41">
        <v>43998</v>
      </c>
      <c r="K71" s="38" t="s">
        <v>10768</v>
      </c>
      <c r="L71" s="42">
        <v>60000000</v>
      </c>
      <c r="O71" s="151" t="s">
        <v>3314</v>
      </c>
      <c r="P71" s="5" t="str">
        <f t="shared" si="2"/>
        <v>A1409</v>
      </c>
      <c r="Q71" s="5">
        <f t="shared" si="3"/>
        <v>30</v>
      </c>
      <c r="R71">
        <f>VLOOKUP(O71,'Data Angt'!$A$5:$F$5810,6,FALSE)</f>
        <v>51</v>
      </c>
      <c r="S71" s="5" t="str">
        <f>VLOOKUP(O71,'Data Angt'!$A$5:$H$5810,8,FALSE)</f>
        <v>Pemuka Agama</v>
      </c>
      <c r="T71" s="44" t="str">
        <f>VLOOKUP(O71,'Data Angt'!$A$5:$C$5809,3,FALSE)</f>
        <v>PBL</v>
      </c>
    </row>
    <row r="72" spans="1:20" x14ac:dyDescent="0.3">
      <c r="A72" s="37">
        <v>136196</v>
      </c>
      <c r="B72" s="38">
        <v>66</v>
      </c>
      <c r="C72" s="39" t="s">
        <v>63</v>
      </c>
      <c r="D72" s="10" t="str">
        <f>VLOOKUP(C72,'Data Angt'!$A$5:$B$5809,2,FALSE)</f>
        <v>A19</v>
      </c>
      <c r="E72" s="40" t="s">
        <v>10823</v>
      </c>
      <c r="F72" s="41">
        <v>44957</v>
      </c>
      <c r="G72" s="38">
        <v>12</v>
      </c>
      <c r="H72" s="40">
        <v>0</v>
      </c>
      <c r="I72" s="38">
        <v>5.5</v>
      </c>
      <c r="J72" s="41">
        <v>44957</v>
      </c>
      <c r="K72" s="38" t="s">
        <v>10768</v>
      </c>
      <c r="L72" s="42">
        <v>75000000</v>
      </c>
      <c r="O72" s="151" t="s">
        <v>3391</v>
      </c>
      <c r="P72" s="5" t="str">
        <f t="shared" si="2"/>
        <v>A1441</v>
      </c>
      <c r="Q72" s="5">
        <f t="shared" si="3"/>
        <v>1</v>
      </c>
      <c r="R72">
        <f>VLOOKUP(O72,'Data Angt'!$A$5:$F$5810,6,FALSE)</f>
        <v>41</v>
      </c>
      <c r="S72" s="5" t="str">
        <f>VLOOKUP(O72,'Data Angt'!$A$5:$H$5810,8,FALSE)</f>
        <v>Karyawan</v>
      </c>
      <c r="T72" s="44" t="str">
        <f>VLOOKUP(O72,'Data Angt'!$A$5:$C$5809,3,FALSE)</f>
        <v>PBL</v>
      </c>
    </row>
    <row r="73" spans="1:20" x14ac:dyDescent="0.3">
      <c r="A73" s="37">
        <v>79025</v>
      </c>
      <c r="B73" s="38">
        <v>67</v>
      </c>
      <c r="C73" s="39" t="s">
        <v>65</v>
      </c>
      <c r="D73" s="10" t="str">
        <f>VLOOKUP(C73,'Data Angt'!$A$5:$B$5809,2,FALSE)</f>
        <v>A20</v>
      </c>
      <c r="E73" s="40" t="s">
        <v>10825</v>
      </c>
      <c r="F73" s="41">
        <v>42191</v>
      </c>
      <c r="G73" s="38">
        <v>12</v>
      </c>
      <c r="H73" s="40">
        <v>0</v>
      </c>
      <c r="I73" s="38">
        <v>5.5</v>
      </c>
      <c r="J73" s="41">
        <v>42162</v>
      </c>
      <c r="K73" s="38" t="s">
        <v>10768</v>
      </c>
      <c r="L73" s="42">
        <v>25000000</v>
      </c>
      <c r="O73" s="151" t="s">
        <v>3399</v>
      </c>
      <c r="P73" s="5" t="str">
        <f t="shared" si="2"/>
        <v>A1445</v>
      </c>
      <c r="Q73" s="5">
        <f t="shared" si="3"/>
        <v>2</v>
      </c>
      <c r="R73">
        <f>VLOOKUP(O73,'Data Angt'!$A$5:$F$5810,6,FALSE)</f>
        <v>32</v>
      </c>
      <c r="S73" s="5" t="str">
        <f>VLOOKUP(O73,'Data Angt'!$A$5:$H$5810,8,FALSE)</f>
        <v>Mengurus Rumah Tangga</v>
      </c>
      <c r="T73" s="44" t="str">
        <f>VLOOKUP(O73,'Data Angt'!$A$5:$C$5809,3,FALSE)</f>
        <v>PBL</v>
      </c>
    </row>
    <row r="74" spans="1:20" x14ac:dyDescent="0.3">
      <c r="A74" s="37">
        <v>79103</v>
      </c>
      <c r="B74" s="38">
        <v>68</v>
      </c>
      <c r="C74" s="39" t="s">
        <v>65</v>
      </c>
      <c r="D74" s="10" t="str">
        <f>VLOOKUP(C74,'Data Angt'!$A$5:$B$5809,2,FALSE)</f>
        <v>A20</v>
      </c>
      <c r="E74" s="40" t="s">
        <v>10826</v>
      </c>
      <c r="F74" s="41">
        <v>42527</v>
      </c>
      <c r="G74" s="38">
        <v>12</v>
      </c>
      <c r="H74" s="40">
        <v>0</v>
      </c>
      <c r="I74" s="38">
        <v>5.5</v>
      </c>
      <c r="J74" s="41">
        <v>42527</v>
      </c>
      <c r="K74" s="38" t="s">
        <v>10768</v>
      </c>
      <c r="L74" s="42">
        <v>30000000</v>
      </c>
      <c r="O74" s="151" t="s">
        <v>3405</v>
      </c>
      <c r="P74" s="5" t="str">
        <f t="shared" si="2"/>
        <v>A1448</v>
      </c>
      <c r="Q74" s="5">
        <f t="shared" si="3"/>
        <v>1</v>
      </c>
      <c r="R74">
        <f>VLOOKUP(O74,'Data Angt'!$A$5:$F$5810,6,FALSE)</f>
        <v>44</v>
      </c>
      <c r="S74" s="5" t="str">
        <f>VLOOKUP(O74,'Data Angt'!$A$5:$H$5810,8,FALSE)</f>
        <v>Aparatur/Pejabat Negara</v>
      </c>
      <c r="T74" s="44" t="str">
        <f>VLOOKUP(O74,'Data Angt'!$A$5:$C$5809,3,FALSE)</f>
        <v>PBL</v>
      </c>
    </row>
    <row r="75" spans="1:20" x14ac:dyDescent="0.3">
      <c r="A75" s="37">
        <v>79113</v>
      </c>
      <c r="B75" s="38">
        <v>69</v>
      </c>
      <c r="C75" s="39" t="s">
        <v>65</v>
      </c>
      <c r="D75" s="10" t="str">
        <f>VLOOKUP(C75,'Data Angt'!$A$5:$B$5809,2,FALSE)</f>
        <v>A20</v>
      </c>
      <c r="E75" s="40" t="s">
        <v>10827</v>
      </c>
      <c r="F75" s="41">
        <v>42585</v>
      </c>
      <c r="G75" s="38">
        <v>12</v>
      </c>
      <c r="H75" s="40">
        <v>0</v>
      </c>
      <c r="I75" s="38">
        <v>5.5</v>
      </c>
      <c r="J75" s="41">
        <v>42437</v>
      </c>
      <c r="K75" s="38" t="s">
        <v>10768</v>
      </c>
      <c r="L75" s="42">
        <v>30000000</v>
      </c>
      <c r="O75" s="151" t="s">
        <v>3504</v>
      </c>
      <c r="P75" s="5" t="str">
        <f t="shared" si="2"/>
        <v>A1496</v>
      </c>
      <c r="Q75" s="5">
        <f t="shared" si="3"/>
        <v>1</v>
      </c>
      <c r="R75">
        <f>VLOOKUP(O75,'Data Angt'!$A$5:$F$5810,6,FALSE)</f>
        <v>43</v>
      </c>
      <c r="S75" s="5" t="str">
        <f>VLOOKUP(O75,'Data Angt'!$A$5:$H$5810,8,FALSE)</f>
        <v>Aparatur/Pejabat Negara</v>
      </c>
      <c r="T75" s="44" t="str">
        <f>VLOOKUP(O75,'Data Angt'!$A$5:$C$5809,3,FALSE)</f>
        <v>PBL</v>
      </c>
    </row>
    <row r="76" spans="1:20" x14ac:dyDescent="0.3">
      <c r="A76" s="37">
        <v>111926</v>
      </c>
      <c r="B76" s="38">
        <v>70</v>
      </c>
      <c r="C76" s="39" t="s">
        <v>65</v>
      </c>
      <c r="D76" s="10" t="str">
        <f>VLOOKUP(C76,'Data Angt'!$A$5:$B$5809,2,FALSE)</f>
        <v>A20</v>
      </c>
      <c r="E76" s="40" t="s">
        <v>10828</v>
      </c>
      <c r="F76" s="41">
        <v>43588</v>
      </c>
      <c r="G76" s="38">
        <v>12</v>
      </c>
      <c r="H76" s="40">
        <v>0</v>
      </c>
      <c r="I76" s="38">
        <v>5.5</v>
      </c>
      <c r="J76" s="41">
        <v>43588</v>
      </c>
      <c r="K76" s="38" t="s">
        <v>10768</v>
      </c>
      <c r="L76" s="42">
        <v>30000000</v>
      </c>
      <c r="O76" s="151" t="s">
        <v>3527</v>
      </c>
      <c r="P76" s="5" t="str">
        <f t="shared" si="2"/>
        <v>A1506</v>
      </c>
      <c r="Q76" s="5">
        <f t="shared" si="3"/>
        <v>3</v>
      </c>
      <c r="R76">
        <f>VLOOKUP(O76,'Data Angt'!$A$5:$F$5810,6,FALSE)</f>
        <v>63</v>
      </c>
      <c r="S76" s="5" t="str">
        <f>VLOOKUP(O76,'Data Angt'!$A$5:$H$5810,8,FALSE)</f>
        <v>Lain-Lain</v>
      </c>
      <c r="T76" s="44" t="str">
        <f>VLOOKUP(O76,'Data Angt'!$A$5:$C$5809,3,FALSE)</f>
        <v>PBL</v>
      </c>
    </row>
    <row r="77" spans="1:20" x14ac:dyDescent="0.3">
      <c r="A77" s="37">
        <v>122686</v>
      </c>
      <c r="B77" s="38">
        <v>71</v>
      </c>
      <c r="C77" s="39" t="s">
        <v>65</v>
      </c>
      <c r="D77" s="10" t="str">
        <f>VLOOKUP(C77,'Data Angt'!$A$5:$B$5809,2,FALSE)</f>
        <v>A20</v>
      </c>
      <c r="E77" s="40" t="s">
        <v>10829</v>
      </c>
      <c r="F77" s="41">
        <v>43934</v>
      </c>
      <c r="G77" s="38">
        <v>12</v>
      </c>
      <c r="H77" s="40">
        <v>0</v>
      </c>
      <c r="I77" s="38">
        <v>5.5</v>
      </c>
      <c r="J77" s="41">
        <v>43934</v>
      </c>
      <c r="K77" s="38" t="s">
        <v>10768</v>
      </c>
      <c r="L77" s="42">
        <v>20000000</v>
      </c>
      <c r="O77" s="151" t="s">
        <v>3544</v>
      </c>
      <c r="P77" s="5" t="str">
        <f t="shared" si="2"/>
        <v>A1514</v>
      </c>
      <c r="Q77" s="5">
        <f t="shared" si="3"/>
        <v>7</v>
      </c>
      <c r="R77">
        <f>VLOOKUP(O77,'Data Angt'!$A$5:$F$5810,6,FALSE)</f>
        <v>58</v>
      </c>
      <c r="S77" s="5" t="str">
        <f>VLOOKUP(O77,'Data Angt'!$A$5:$H$5810,8,FALSE)</f>
        <v>Pemuka Agama</v>
      </c>
      <c r="T77" s="44" t="str">
        <f>VLOOKUP(O77,'Data Angt'!$A$5:$C$5809,3,FALSE)</f>
        <v>PBL</v>
      </c>
    </row>
    <row r="78" spans="1:20" x14ac:dyDescent="0.3">
      <c r="A78" s="37">
        <v>130217</v>
      </c>
      <c r="B78" s="38">
        <v>72</v>
      </c>
      <c r="C78" s="39" t="s">
        <v>65</v>
      </c>
      <c r="D78" s="10" t="str">
        <f>VLOOKUP(C78,'Data Angt'!$A$5:$B$5809,2,FALSE)</f>
        <v>A20</v>
      </c>
      <c r="E78" s="40" t="s">
        <v>10830</v>
      </c>
      <c r="F78" s="41">
        <v>44476</v>
      </c>
      <c r="G78" s="38">
        <v>12</v>
      </c>
      <c r="H78" s="40">
        <v>0</v>
      </c>
      <c r="I78" s="38">
        <v>5.5</v>
      </c>
      <c r="J78" s="41">
        <v>44476</v>
      </c>
      <c r="K78" s="38" t="s">
        <v>10768</v>
      </c>
      <c r="L78" s="42">
        <v>30000000</v>
      </c>
      <c r="O78" s="151" t="s">
        <v>3587</v>
      </c>
      <c r="P78" s="5" t="str">
        <f t="shared" si="2"/>
        <v>A1532</v>
      </c>
      <c r="Q78" s="5">
        <f t="shared" si="3"/>
        <v>2</v>
      </c>
      <c r="R78">
        <f>VLOOKUP(O78,'Data Angt'!$A$5:$F$5810,6,FALSE)</f>
        <v>43</v>
      </c>
      <c r="S78" s="5" t="str">
        <f>VLOOKUP(O78,'Data Angt'!$A$5:$H$5810,8,FALSE)</f>
        <v>Mengurus Rumah Tangga</v>
      </c>
      <c r="T78" s="44" t="str">
        <f>VLOOKUP(O78,'Data Angt'!$A$5:$C$5809,3,FALSE)</f>
        <v>PBL</v>
      </c>
    </row>
    <row r="79" spans="1:20" x14ac:dyDescent="0.3">
      <c r="A79" s="37">
        <v>79018</v>
      </c>
      <c r="B79" s="38">
        <v>73</v>
      </c>
      <c r="C79" s="39" t="s">
        <v>65</v>
      </c>
      <c r="D79" s="10" t="str">
        <f>VLOOKUP(C79,'Data Angt'!$A$5:$B$5809,2,FALSE)</f>
        <v>A20</v>
      </c>
      <c r="E79" s="40" t="s">
        <v>10824</v>
      </c>
      <c r="F79" s="41">
        <v>42129</v>
      </c>
      <c r="G79" s="38">
        <v>12</v>
      </c>
      <c r="H79" s="40">
        <v>0</v>
      </c>
      <c r="I79" s="38">
        <v>5.5</v>
      </c>
      <c r="J79" s="41">
        <v>42129</v>
      </c>
      <c r="K79" s="38" t="s">
        <v>10768</v>
      </c>
      <c r="L79" s="42">
        <v>25000000</v>
      </c>
      <c r="O79" s="151" t="s">
        <v>12267</v>
      </c>
      <c r="P79" s="5" t="str">
        <f t="shared" si="2"/>
        <v>A1544</v>
      </c>
      <c r="Q79" s="5">
        <f t="shared" si="3"/>
        <v>1</v>
      </c>
      <c r="R79">
        <f>VLOOKUP(O79,'Data Angt'!$A$5:$F$5810,6,FALSE)</f>
        <v>115</v>
      </c>
      <c r="S79" s="5">
        <f>VLOOKUP(O79,'Data Angt'!$A$5:$H$5810,8,FALSE)</f>
        <v>0</v>
      </c>
      <c r="T79" s="44" t="str">
        <f>VLOOKUP(O79,'Data Angt'!$A$5:$C$5809,3,FALSE)</f>
        <v>PBL</v>
      </c>
    </row>
    <row r="80" spans="1:20" x14ac:dyDescent="0.3">
      <c r="A80" s="37">
        <v>155403</v>
      </c>
      <c r="B80" s="38">
        <v>74</v>
      </c>
      <c r="C80" s="39" t="s">
        <v>78</v>
      </c>
      <c r="D80" s="10" t="str">
        <f>VLOOKUP(C80,'Data Angt'!$A$5:$B$5809,2,FALSE)</f>
        <v>A24</v>
      </c>
      <c r="E80" s="40" t="s">
        <v>18404</v>
      </c>
      <c r="F80" s="41">
        <v>45780</v>
      </c>
      <c r="G80" s="38">
        <v>12</v>
      </c>
      <c r="H80" s="40">
        <v>0</v>
      </c>
      <c r="I80" s="38">
        <v>5.5</v>
      </c>
      <c r="J80" s="41">
        <v>45780</v>
      </c>
      <c r="K80" s="38" t="s">
        <v>10768</v>
      </c>
      <c r="L80" s="42">
        <v>20000000</v>
      </c>
      <c r="O80" s="151" t="s">
        <v>3932</v>
      </c>
      <c r="P80" s="5" t="str">
        <f t="shared" si="2"/>
        <v>A1700</v>
      </c>
      <c r="Q80" s="5">
        <f t="shared" si="3"/>
        <v>8</v>
      </c>
      <c r="R80">
        <f>VLOOKUP(O80,'Data Angt'!$A$5:$F$5810,6,FALSE)</f>
        <v>35</v>
      </c>
      <c r="S80" s="5" t="str">
        <f>VLOOKUP(O80,'Data Angt'!$A$5:$H$5810,8,FALSE)</f>
        <v>Mengurus Rumah Tangga</v>
      </c>
      <c r="T80" s="44" t="str">
        <f>VLOOKUP(O80,'Data Angt'!$A$5:$C$5809,3,FALSE)</f>
        <v>PBL</v>
      </c>
    </row>
    <row r="81" spans="1:20" x14ac:dyDescent="0.3">
      <c r="A81" s="37">
        <v>156319</v>
      </c>
      <c r="B81" s="38">
        <v>75</v>
      </c>
      <c r="C81" s="39" t="s">
        <v>78</v>
      </c>
      <c r="D81" s="10" t="str">
        <f>VLOOKUP(C81,'Data Angt'!$A$5:$B$5809,2,FALSE)</f>
        <v>A24</v>
      </c>
      <c r="E81" s="40" t="s">
        <v>18405</v>
      </c>
      <c r="F81" s="41">
        <v>45819</v>
      </c>
      <c r="G81" s="38">
        <v>12</v>
      </c>
      <c r="H81" s="40">
        <v>0</v>
      </c>
      <c r="I81" s="38">
        <v>5.5</v>
      </c>
      <c r="J81" s="41">
        <v>45819</v>
      </c>
      <c r="K81" s="38" t="s">
        <v>10768</v>
      </c>
      <c r="L81" s="42">
        <v>20000000</v>
      </c>
      <c r="O81" s="151" t="s">
        <v>3946</v>
      </c>
      <c r="P81" s="5" t="str">
        <f t="shared" si="2"/>
        <v>A1705</v>
      </c>
      <c r="Q81" s="5">
        <f t="shared" si="3"/>
        <v>1</v>
      </c>
      <c r="R81">
        <f>VLOOKUP(O81,'Data Angt'!$A$5:$F$5810,6,FALSE)</f>
        <v>65</v>
      </c>
      <c r="S81" s="5" t="str">
        <f>VLOOKUP(O81,'Data Angt'!$A$5:$H$5810,8,FALSE)</f>
        <v>Wiraswasta</v>
      </c>
      <c r="T81" s="44" t="str">
        <f>VLOOKUP(O81,'Data Angt'!$A$5:$C$5809,3,FALSE)</f>
        <v>PBL</v>
      </c>
    </row>
    <row r="82" spans="1:20" x14ac:dyDescent="0.3">
      <c r="A82" s="37">
        <v>156730</v>
      </c>
      <c r="B82" s="38">
        <v>76</v>
      </c>
      <c r="C82" s="39" t="s">
        <v>78</v>
      </c>
      <c r="D82" s="10" t="str">
        <f>VLOOKUP(C82,'Data Angt'!$A$5:$B$5809,2,FALSE)</f>
        <v>A24</v>
      </c>
      <c r="E82" s="40" t="s">
        <v>24122</v>
      </c>
      <c r="F82" s="41">
        <v>45841</v>
      </c>
      <c r="G82" s="38">
        <v>12</v>
      </c>
      <c r="H82" s="40">
        <v>0</v>
      </c>
      <c r="I82" s="38">
        <v>5.5</v>
      </c>
      <c r="J82" s="41">
        <v>45841</v>
      </c>
      <c r="K82" s="38" t="s">
        <v>10768</v>
      </c>
      <c r="L82" s="42">
        <v>20000000</v>
      </c>
      <c r="O82" s="151" t="s">
        <v>4010</v>
      </c>
      <c r="P82" s="5" t="str">
        <f t="shared" si="2"/>
        <v>A1735</v>
      </c>
      <c r="Q82" s="5">
        <f t="shared" si="3"/>
        <v>1</v>
      </c>
      <c r="R82">
        <f>VLOOKUP(O82,'Data Angt'!$A$5:$F$5810,6,FALSE)</f>
        <v>19</v>
      </c>
      <c r="S82" s="5">
        <f>VLOOKUP(O82,'Data Angt'!$A$5:$H$5810,8,FALSE)</f>
        <v>0</v>
      </c>
      <c r="T82" s="44" t="str">
        <f>VLOOKUP(O82,'Data Angt'!$A$5:$C$5809,3,FALSE)</f>
        <v>PBL</v>
      </c>
    </row>
    <row r="83" spans="1:20" x14ac:dyDescent="0.3">
      <c r="A83" s="37">
        <v>157579</v>
      </c>
      <c r="B83" s="38">
        <v>77</v>
      </c>
      <c r="C83" s="39" t="s">
        <v>78</v>
      </c>
      <c r="D83" s="10" t="str">
        <f>VLOOKUP(C83,'Data Angt'!$A$5:$B$5809,2,FALSE)</f>
        <v>A24</v>
      </c>
      <c r="E83" s="40" t="s">
        <v>24123</v>
      </c>
      <c r="F83" s="41">
        <v>45874</v>
      </c>
      <c r="G83" s="38">
        <v>12</v>
      </c>
      <c r="H83" s="40">
        <v>0</v>
      </c>
      <c r="I83" s="38">
        <v>5.5</v>
      </c>
      <c r="J83" s="41">
        <v>45874</v>
      </c>
      <c r="K83" s="38" t="s">
        <v>10768</v>
      </c>
      <c r="L83" s="42">
        <v>20000000</v>
      </c>
      <c r="O83" s="151" t="s">
        <v>4029</v>
      </c>
      <c r="P83" s="5" t="str">
        <f t="shared" si="2"/>
        <v>A1745</v>
      </c>
      <c r="Q83" s="5">
        <f t="shared" si="3"/>
        <v>2</v>
      </c>
      <c r="R83">
        <f>VLOOKUP(O83,'Data Angt'!$A$5:$F$5810,6,FALSE)</f>
        <v>42</v>
      </c>
      <c r="S83" s="5" t="str">
        <f>VLOOKUP(O83,'Data Angt'!$A$5:$H$5810,8,FALSE)</f>
        <v>Mengurus Rumah Tangga</v>
      </c>
      <c r="T83" s="44" t="str">
        <f>VLOOKUP(O83,'Data Angt'!$A$5:$C$5809,3,FALSE)</f>
        <v>PBL</v>
      </c>
    </row>
    <row r="84" spans="1:20" x14ac:dyDescent="0.3">
      <c r="A84" s="37">
        <v>118251</v>
      </c>
      <c r="B84" s="38">
        <v>78</v>
      </c>
      <c r="C84" s="39" t="s">
        <v>91</v>
      </c>
      <c r="D84" s="10" t="str">
        <f>VLOOKUP(C84,'Data Angt'!$A$5:$B$5809,2,FALSE)</f>
        <v>A27</v>
      </c>
      <c r="E84" s="40" t="s">
        <v>10833</v>
      </c>
      <c r="F84" s="41">
        <v>43781</v>
      </c>
      <c r="G84" s="38">
        <v>12</v>
      </c>
      <c r="H84" s="40">
        <v>0</v>
      </c>
      <c r="I84" s="38">
        <v>5.5</v>
      </c>
      <c r="J84" s="41">
        <v>43781</v>
      </c>
      <c r="K84" s="38" t="s">
        <v>10768</v>
      </c>
      <c r="L84" s="42">
        <v>5000000</v>
      </c>
      <c r="O84" s="151" t="s">
        <v>4031</v>
      </c>
      <c r="P84" s="5" t="str">
        <f t="shared" si="2"/>
        <v>A1746</v>
      </c>
      <c r="Q84" s="5">
        <f t="shared" si="3"/>
        <v>1</v>
      </c>
      <c r="R84">
        <f>VLOOKUP(O84,'Data Angt'!$A$5:$F$5810,6,FALSE)</f>
        <v>45</v>
      </c>
      <c r="S84" s="5" t="str">
        <f>VLOOKUP(O84,'Data Angt'!$A$5:$H$5810,8,FALSE)</f>
        <v>Lain-Lain</v>
      </c>
      <c r="T84" s="44" t="str">
        <f>VLOOKUP(O84,'Data Angt'!$A$5:$C$5809,3,FALSE)</f>
        <v>PBL</v>
      </c>
    </row>
    <row r="85" spans="1:20" x14ac:dyDescent="0.3">
      <c r="A85" s="37">
        <v>135213</v>
      </c>
      <c r="B85" s="38">
        <v>79</v>
      </c>
      <c r="C85" s="39" t="s">
        <v>91</v>
      </c>
      <c r="D85" s="10" t="str">
        <f>VLOOKUP(C85,'Data Angt'!$A$5:$B$5809,2,FALSE)</f>
        <v>A27</v>
      </c>
      <c r="E85" s="40" t="s">
        <v>10834</v>
      </c>
      <c r="F85" s="41">
        <v>44876</v>
      </c>
      <c r="G85" s="38">
        <v>12</v>
      </c>
      <c r="H85" s="40">
        <v>0</v>
      </c>
      <c r="I85" s="38">
        <v>5.5</v>
      </c>
      <c r="J85" s="41">
        <v>44876</v>
      </c>
      <c r="K85" s="38" t="s">
        <v>10768</v>
      </c>
      <c r="L85" s="42">
        <v>5000000</v>
      </c>
      <c r="O85" s="151" t="s">
        <v>4056</v>
      </c>
      <c r="P85" s="5" t="str">
        <f t="shared" si="2"/>
        <v>A1759</v>
      </c>
      <c r="Q85" s="5">
        <f t="shared" si="3"/>
        <v>3</v>
      </c>
      <c r="R85">
        <f>VLOOKUP(O85,'Data Angt'!$A$5:$F$5810,6,FALSE)</f>
        <v>42</v>
      </c>
      <c r="S85" s="5" t="str">
        <f>VLOOKUP(O85,'Data Angt'!$A$5:$H$5810,8,FALSE)</f>
        <v>Karyawan</v>
      </c>
      <c r="T85" s="44" t="str">
        <f>VLOOKUP(O85,'Data Angt'!$A$5:$C$5809,3,FALSE)</f>
        <v>PBL</v>
      </c>
    </row>
    <row r="86" spans="1:20" x14ac:dyDescent="0.3">
      <c r="A86" s="37">
        <v>139133</v>
      </c>
      <c r="B86" s="38">
        <v>80</v>
      </c>
      <c r="C86" s="39" t="s">
        <v>91</v>
      </c>
      <c r="D86" s="10" t="str">
        <f>VLOOKUP(C86,'Data Angt'!$A$5:$B$5809,2,FALSE)</f>
        <v>A27</v>
      </c>
      <c r="E86" s="40" t="s">
        <v>10831</v>
      </c>
      <c r="F86" s="41">
        <v>45174</v>
      </c>
      <c r="G86" s="38">
        <v>12</v>
      </c>
      <c r="H86" s="40">
        <v>0</v>
      </c>
      <c r="I86" s="38">
        <v>5.5</v>
      </c>
      <c r="J86" s="41">
        <v>45174</v>
      </c>
      <c r="K86" s="38" t="s">
        <v>10768</v>
      </c>
      <c r="L86" s="42">
        <v>5000000</v>
      </c>
      <c r="O86" s="151" t="s">
        <v>12298</v>
      </c>
      <c r="P86" s="5" t="str">
        <f t="shared" si="2"/>
        <v>A1767</v>
      </c>
      <c r="Q86" s="5">
        <f t="shared" si="3"/>
        <v>1</v>
      </c>
      <c r="R86">
        <f>VLOOKUP(O86,'Data Angt'!$A$5:$F$5810,6,FALSE)</f>
        <v>17</v>
      </c>
      <c r="S86" s="5" t="str">
        <f>VLOOKUP(O86,'Data Angt'!$A$5:$H$5810,8,FALSE)</f>
        <v>Pelajar/Mahasiswa</v>
      </c>
      <c r="T86" s="44" t="str">
        <f>VLOOKUP(O86,'Data Angt'!$A$5:$C$5809,3,FALSE)</f>
        <v>PBL</v>
      </c>
    </row>
    <row r="87" spans="1:20" x14ac:dyDescent="0.3">
      <c r="A87" s="37">
        <v>144819</v>
      </c>
      <c r="B87" s="38">
        <v>81</v>
      </c>
      <c r="C87" s="39" t="s">
        <v>91</v>
      </c>
      <c r="D87" s="10" t="str">
        <f>VLOOKUP(C87,'Data Angt'!$A$5:$B$5809,2,FALSE)</f>
        <v>A27</v>
      </c>
      <c r="E87" s="40" t="s">
        <v>18406</v>
      </c>
      <c r="F87" s="41">
        <v>45422</v>
      </c>
      <c r="G87" s="38">
        <v>12</v>
      </c>
      <c r="H87" s="40">
        <v>0</v>
      </c>
      <c r="I87" s="38">
        <v>5.5</v>
      </c>
      <c r="J87" s="41">
        <v>45422</v>
      </c>
      <c r="K87" s="38" t="s">
        <v>10768</v>
      </c>
      <c r="L87" s="42">
        <v>5000000</v>
      </c>
      <c r="O87" s="151" t="s">
        <v>4122</v>
      </c>
      <c r="P87" s="5" t="str">
        <f t="shared" si="2"/>
        <v>A1789</v>
      </c>
      <c r="Q87" s="5">
        <f t="shared" si="3"/>
        <v>2</v>
      </c>
      <c r="R87">
        <f>VLOOKUP(O87,'Data Angt'!$A$5:$F$5810,6,FALSE)</f>
        <v>72</v>
      </c>
      <c r="S87" s="5" t="str">
        <f>VLOOKUP(O87,'Data Angt'!$A$5:$H$5810,8,FALSE)</f>
        <v>Pensiunan</v>
      </c>
      <c r="T87" s="44" t="str">
        <f>VLOOKUP(O87,'Data Angt'!$A$5:$C$5809,3,FALSE)</f>
        <v>PBL</v>
      </c>
    </row>
    <row r="88" spans="1:20" x14ac:dyDescent="0.3">
      <c r="A88" s="37">
        <v>150876</v>
      </c>
      <c r="B88" s="38">
        <v>82</v>
      </c>
      <c r="C88" s="39" t="s">
        <v>91</v>
      </c>
      <c r="D88" s="10" t="str">
        <f>VLOOKUP(C88,'Data Angt'!$A$5:$B$5809,2,FALSE)</f>
        <v>A27</v>
      </c>
      <c r="E88" s="40" t="s">
        <v>18407</v>
      </c>
      <c r="F88" s="41">
        <v>45619</v>
      </c>
      <c r="G88" s="38">
        <v>12</v>
      </c>
      <c r="H88" s="40">
        <v>0</v>
      </c>
      <c r="I88" s="38">
        <v>5.5</v>
      </c>
      <c r="J88" s="41">
        <v>45619</v>
      </c>
      <c r="K88" s="38" t="s">
        <v>10768</v>
      </c>
      <c r="L88" s="42">
        <v>10000000</v>
      </c>
      <c r="O88" s="151" t="s">
        <v>4231</v>
      </c>
      <c r="P88" s="5" t="str">
        <f t="shared" si="2"/>
        <v>A1834</v>
      </c>
      <c r="Q88" s="5">
        <f t="shared" si="3"/>
        <v>1</v>
      </c>
      <c r="R88">
        <f>VLOOKUP(O88,'Data Angt'!$A$5:$F$5810,6,FALSE)</f>
        <v>31</v>
      </c>
      <c r="S88" s="5" t="str">
        <f>VLOOKUP(O88,'Data Angt'!$A$5:$H$5810,8,FALSE)</f>
        <v>Tenaga Pengajar</v>
      </c>
      <c r="T88" s="44" t="str">
        <f>VLOOKUP(O88,'Data Angt'!$A$5:$C$5809,3,FALSE)</f>
        <v>PBL</v>
      </c>
    </row>
    <row r="89" spans="1:20" x14ac:dyDescent="0.3">
      <c r="A89" s="37">
        <v>78979</v>
      </c>
      <c r="B89" s="38">
        <v>83</v>
      </c>
      <c r="C89" s="39" t="s">
        <v>91</v>
      </c>
      <c r="D89" s="10" t="str">
        <f>VLOOKUP(C89,'Data Angt'!$A$5:$B$5809,2,FALSE)</f>
        <v>A27</v>
      </c>
      <c r="E89" s="40" t="s">
        <v>10832</v>
      </c>
      <c r="F89" s="41">
        <v>40781</v>
      </c>
      <c r="G89" s="38">
        <v>12</v>
      </c>
      <c r="H89" s="40">
        <v>0</v>
      </c>
      <c r="I89" s="38">
        <v>5.5</v>
      </c>
      <c r="J89" s="41">
        <v>40781</v>
      </c>
      <c r="K89" s="38" t="s">
        <v>10768</v>
      </c>
      <c r="L89" s="42">
        <v>5000000</v>
      </c>
      <c r="O89" s="151" t="s">
        <v>4239</v>
      </c>
      <c r="P89" s="5" t="str">
        <f t="shared" si="2"/>
        <v>A1837</v>
      </c>
      <c r="Q89" s="5">
        <f t="shared" si="3"/>
        <v>3</v>
      </c>
      <c r="R89">
        <f>VLOOKUP(O89,'Data Angt'!$A$5:$F$5810,6,FALSE)</f>
        <v>50</v>
      </c>
      <c r="S89" s="5" t="str">
        <f>VLOOKUP(O89,'Data Angt'!$A$5:$H$5810,8,FALSE)</f>
        <v>Karyawan</v>
      </c>
      <c r="T89" s="44" t="str">
        <f>VLOOKUP(O89,'Data Angt'!$A$5:$C$5809,3,FALSE)</f>
        <v>PBL</v>
      </c>
    </row>
    <row r="90" spans="1:20" x14ac:dyDescent="0.3">
      <c r="A90" s="37">
        <v>119737</v>
      </c>
      <c r="B90" s="38">
        <v>84</v>
      </c>
      <c r="C90" s="39" t="s">
        <v>99</v>
      </c>
      <c r="D90" s="10" t="str">
        <f>VLOOKUP(C90,'Data Angt'!$A$5:$B$5809,2,FALSE)</f>
        <v>A31</v>
      </c>
      <c r="E90" s="40" t="s">
        <v>10835</v>
      </c>
      <c r="F90" s="41">
        <v>43846</v>
      </c>
      <c r="G90" s="38">
        <v>12</v>
      </c>
      <c r="H90" s="40">
        <v>0</v>
      </c>
      <c r="I90" s="38">
        <v>5.5</v>
      </c>
      <c r="J90" s="41">
        <v>43846</v>
      </c>
      <c r="K90" s="38" t="s">
        <v>10768</v>
      </c>
      <c r="L90" s="42">
        <v>100000000</v>
      </c>
      <c r="O90" s="151" t="s">
        <v>4270</v>
      </c>
      <c r="P90" s="5" t="str">
        <f t="shared" si="2"/>
        <v>A1850</v>
      </c>
      <c r="Q90" s="5">
        <f t="shared" si="3"/>
        <v>1</v>
      </c>
      <c r="R90">
        <f>VLOOKUP(O90,'Data Angt'!$A$5:$F$5810,6,FALSE)</f>
        <v>40</v>
      </c>
      <c r="S90" s="5" t="str">
        <f>VLOOKUP(O90,'Data Angt'!$A$5:$H$5810,8,FALSE)</f>
        <v>Wiraswasta</v>
      </c>
      <c r="T90" s="44" t="str">
        <f>VLOOKUP(O90,'Data Angt'!$A$5:$C$5809,3,FALSE)</f>
        <v>PBL</v>
      </c>
    </row>
    <row r="91" spans="1:20" x14ac:dyDescent="0.3">
      <c r="A91" s="37">
        <v>126740</v>
      </c>
      <c r="B91" s="38">
        <v>85</v>
      </c>
      <c r="C91" s="39" t="s">
        <v>99</v>
      </c>
      <c r="D91" s="10" t="str">
        <f>VLOOKUP(C91,'Data Angt'!$A$5:$B$5809,2,FALSE)</f>
        <v>A31</v>
      </c>
      <c r="E91" s="40" t="s">
        <v>10836</v>
      </c>
      <c r="F91" s="41">
        <v>44228</v>
      </c>
      <c r="G91" s="38">
        <v>12</v>
      </c>
      <c r="H91" s="40">
        <v>0</v>
      </c>
      <c r="I91" s="38">
        <v>5.5</v>
      </c>
      <c r="J91" s="41">
        <v>44228</v>
      </c>
      <c r="K91" s="38" t="s">
        <v>10768</v>
      </c>
      <c r="L91" s="42">
        <v>50000000</v>
      </c>
      <c r="O91" s="151" t="s">
        <v>4301</v>
      </c>
      <c r="P91" s="5" t="str">
        <f t="shared" si="2"/>
        <v>A1864</v>
      </c>
      <c r="Q91" s="5">
        <f t="shared" si="3"/>
        <v>2</v>
      </c>
      <c r="R91">
        <f>VLOOKUP(O91,'Data Angt'!$A$5:$F$5810,6,FALSE)</f>
        <v>55</v>
      </c>
      <c r="S91" s="5" t="str">
        <f>VLOOKUP(O91,'Data Angt'!$A$5:$H$5810,8,FALSE)</f>
        <v>Tenaga Ahli</v>
      </c>
      <c r="T91" s="44" t="str">
        <f>VLOOKUP(O91,'Data Angt'!$A$5:$C$5809,3,FALSE)</f>
        <v>PBL</v>
      </c>
    </row>
    <row r="92" spans="1:20" x14ac:dyDescent="0.3">
      <c r="A92" s="37">
        <v>131746</v>
      </c>
      <c r="B92" s="38">
        <v>86</v>
      </c>
      <c r="C92" s="39" t="s">
        <v>99</v>
      </c>
      <c r="D92" s="10" t="str">
        <f>VLOOKUP(C92,'Data Angt'!$A$5:$B$5809,2,FALSE)</f>
        <v>A31</v>
      </c>
      <c r="E92" s="40" t="s">
        <v>10837</v>
      </c>
      <c r="F92" s="41">
        <v>44602</v>
      </c>
      <c r="G92" s="38">
        <v>12</v>
      </c>
      <c r="H92" s="40">
        <v>0</v>
      </c>
      <c r="I92" s="38">
        <v>5.5</v>
      </c>
      <c r="J92" s="41">
        <v>44602</v>
      </c>
      <c r="K92" s="38" t="s">
        <v>10768</v>
      </c>
      <c r="L92" s="42">
        <v>50000000</v>
      </c>
      <c r="O92" s="151" t="s">
        <v>4403</v>
      </c>
      <c r="P92" s="5" t="str">
        <f t="shared" si="2"/>
        <v>A1914</v>
      </c>
      <c r="Q92" s="5">
        <f t="shared" si="3"/>
        <v>1</v>
      </c>
      <c r="R92">
        <f>VLOOKUP(O92,'Data Angt'!$A$5:$F$5810,6,FALSE)</f>
        <v>43</v>
      </c>
      <c r="S92" s="5" t="str">
        <f>VLOOKUP(O92,'Data Angt'!$A$5:$H$5810,8,FALSE)</f>
        <v>Mengurus Rumah Tangga</v>
      </c>
      <c r="T92" s="44" t="str">
        <f>VLOOKUP(O92,'Data Angt'!$A$5:$C$5809,3,FALSE)</f>
        <v>PBL</v>
      </c>
    </row>
    <row r="93" spans="1:20" x14ac:dyDescent="0.3">
      <c r="A93" s="37">
        <v>136854</v>
      </c>
      <c r="B93" s="38">
        <v>87</v>
      </c>
      <c r="C93" s="39" t="s">
        <v>99</v>
      </c>
      <c r="D93" s="10" t="str">
        <f>VLOOKUP(C93,'Data Angt'!$A$5:$B$5809,2,FALSE)</f>
        <v>A31</v>
      </c>
      <c r="E93" s="40" t="s">
        <v>10838</v>
      </c>
      <c r="F93" s="41">
        <v>45003</v>
      </c>
      <c r="G93" s="38">
        <v>12</v>
      </c>
      <c r="H93" s="40">
        <v>0</v>
      </c>
      <c r="I93" s="38">
        <v>5.5</v>
      </c>
      <c r="J93" s="41">
        <v>45003</v>
      </c>
      <c r="K93" s="38" t="s">
        <v>10768</v>
      </c>
      <c r="L93" s="42">
        <v>50000000</v>
      </c>
      <c r="O93" s="151" t="s">
        <v>4483</v>
      </c>
      <c r="P93" s="5" t="str">
        <f t="shared" si="2"/>
        <v>A1951</v>
      </c>
      <c r="Q93" s="5">
        <f t="shared" si="3"/>
        <v>6</v>
      </c>
      <c r="R93">
        <f>VLOOKUP(O93,'Data Angt'!$A$5:$F$5810,6,FALSE)</f>
        <v>34</v>
      </c>
      <c r="S93" s="5" t="str">
        <f>VLOOKUP(O93,'Data Angt'!$A$5:$H$5810,8,FALSE)</f>
        <v>Lain-Lain</v>
      </c>
      <c r="T93" s="44" t="str">
        <f>VLOOKUP(O93,'Data Angt'!$A$5:$C$5809,3,FALSE)</f>
        <v>PBL</v>
      </c>
    </row>
    <row r="94" spans="1:20" x14ac:dyDescent="0.3">
      <c r="A94" s="37">
        <v>137942</v>
      </c>
      <c r="B94" s="38">
        <v>88</v>
      </c>
      <c r="C94" s="39" t="s">
        <v>99</v>
      </c>
      <c r="D94" s="10" t="str">
        <f>VLOOKUP(C94,'Data Angt'!$A$5:$B$5809,2,FALSE)</f>
        <v>A31</v>
      </c>
      <c r="E94" s="40" t="s">
        <v>10839</v>
      </c>
      <c r="F94" s="41">
        <v>45104</v>
      </c>
      <c r="G94" s="38">
        <v>12</v>
      </c>
      <c r="H94" s="40">
        <v>0</v>
      </c>
      <c r="I94" s="38">
        <v>5.5</v>
      </c>
      <c r="J94" s="41">
        <v>45104</v>
      </c>
      <c r="K94" s="38" t="s">
        <v>10768</v>
      </c>
      <c r="L94" s="42">
        <v>25000000</v>
      </c>
      <c r="O94" s="151" t="s">
        <v>4611</v>
      </c>
      <c r="P94" s="5" t="str">
        <f t="shared" si="2"/>
        <v>A2014</v>
      </c>
      <c r="Q94" s="5">
        <f t="shared" si="3"/>
        <v>1</v>
      </c>
      <c r="R94">
        <f>VLOOKUP(O94,'Data Angt'!$A$5:$F$5810,6,FALSE)</f>
        <v>57</v>
      </c>
      <c r="S94" s="5" t="str">
        <f>VLOOKUP(O94,'Data Angt'!$A$5:$H$5810,8,FALSE)</f>
        <v>Wiraswasta</v>
      </c>
      <c r="T94" s="44" t="str">
        <f>VLOOKUP(O94,'Data Angt'!$A$5:$C$5809,3,FALSE)</f>
        <v>PBL</v>
      </c>
    </row>
    <row r="95" spans="1:20" x14ac:dyDescent="0.3">
      <c r="A95" s="37">
        <v>144629</v>
      </c>
      <c r="B95" s="38">
        <v>89</v>
      </c>
      <c r="C95" s="39" t="s">
        <v>99</v>
      </c>
      <c r="D95" s="10" t="str">
        <f>VLOOKUP(C95,'Data Angt'!$A$5:$B$5809,2,FALSE)</f>
        <v>A31</v>
      </c>
      <c r="E95" s="40" t="s">
        <v>18408</v>
      </c>
      <c r="F95" s="41">
        <v>45416</v>
      </c>
      <c r="G95" s="38">
        <v>12</v>
      </c>
      <c r="H95" s="40">
        <v>0</v>
      </c>
      <c r="I95" s="38">
        <v>5.5</v>
      </c>
      <c r="J95" s="41">
        <v>45416</v>
      </c>
      <c r="K95" s="38" t="s">
        <v>10768</v>
      </c>
      <c r="L95" s="42">
        <v>30000000</v>
      </c>
      <c r="O95" s="151" t="s">
        <v>4765</v>
      </c>
      <c r="P95" s="5" t="str">
        <f t="shared" si="2"/>
        <v>A2085</v>
      </c>
      <c r="Q95" s="5">
        <f t="shared" si="3"/>
        <v>2</v>
      </c>
      <c r="R95">
        <f>VLOOKUP(O95,'Data Angt'!$A$5:$F$5810,6,FALSE)</f>
        <v>44</v>
      </c>
      <c r="S95" s="5" t="str">
        <f>VLOOKUP(O95,'Data Angt'!$A$5:$H$5810,8,FALSE)</f>
        <v>Wiraswasta</v>
      </c>
      <c r="T95" s="44" t="str">
        <f>VLOOKUP(O95,'Data Angt'!$A$5:$C$5809,3,FALSE)</f>
        <v>PBL</v>
      </c>
    </row>
    <row r="96" spans="1:20" x14ac:dyDescent="0.3">
      <c r="A96" s="37">
        <v>150763</v>
      </c>
      <c r="B96" s="38">
        <v>90</v>
      </c>
      <c r="C96" s="39" t="s">
        <v>99</v>
      </c>
      <c r="D96" s="10" t="str">
        <f>VLOOKUP(C96,'Data Angt'!$A$5:$B$5809,2,FALSE)</f>
        <v>A31</v>
      </c>
      <c r="E96" s="40" t="s">
        <v>18409</v>
      </c>
      <c r="F96" s="41">
        <v>45616</v>
      </c>
      <c r="G96" s="38">
        <v>12</v>
      </c>
      <c r="H96" s="40">
        <v>0</v>
      </c>
      <c r="I96" s="38">
        <v>5.5</v>
      </c>
      <c r="J96" s="41">
        <v>45616</v>
      </c>
      <c r="K96" s="38" t="s">
        <v>10768</v>
      </c>
      <c r="L96" s="42">
        <v>50000000</v>
      </c>
      <c r="O96" s="151" t="s">
        <v>4817</v>
      </c>
      <c r="P96" s="5" t="str">
        <f t="shared" si="2"/>
        <v>A2107</v>
      </c>
      <c r="Q96" s="5">
        <f t="shared" si="3"/>
        <v>3</v>
      </c>
      <c r="R96">
        <f>VLOOKUP(O96,'Data Angt'!$A$5:$F$5810,6,FALSE)</f>
        <v>57</v>
      </c>
      <c r="S96" s="5" t="str">
        <f>VLOOKUP(O96,'Data Angt'!$A$5:$H$5810,8,FALSE)</f>
        <v>Tenaga Pengajar</v>
      </c>
      <c r="T96" s="44" t="str">
        <f>VLOOKUP(O96,'Data Angt'!$A$5:$C$5809,3,FALSE)</f>
        <v>PBL</v>
      </c>
    </row>
    <row r="97" spans="1:20" x14ac:dyDescent="0.3">
      <c r="A97" s="37">
        <v>123736</v>
      </c>
      <c r="B97" s="38">
        <v>91</v>
      </c>
      <c r="C97" s="39" t="s">
        <v>102</v>
      </c>
      <c r="D97" s="10" t="str">
        <f>VLOOKUP(C97,'Data Angt'!$A$5:$B$5809,2,FALSE)</f>
        <v>A32</v>
      </c>
      <c r="E97" s="40" t="s">
        <v>10849</v>
      </c>
      <c r="F97" s="41">
        <v>43997</v>
      </c>
      <c r="G97" s="38">
        <v>12</v>
      </c>
      <c r="H97" s="40">
        <v>0</v>
      </c>
      <c r="I97" s="38">
        <v>5.5</v>
      </c>
      <c r="J97" s="41">
        <v>43997</v>
      </c>
      <c r="K97" s="38" t="s">
        <v>10768</v>
      </c>
      <c r="L97" s="42">
        <v>10000000</v>
      </c>
      <c r="O97" s="151" t="s">
        <v>4827</v>
      </c>
      <c r="P97" s="5" t="str">
        <f t="shared" si="2"/>
        <v>A2112</v>
      </c>
      <c r="Q97" s="5">
        <f t="shared" si="3"/>
        <v>1</v>
      </c>
      <c r="R97">
        <f>VLOOKUP(O97,'Data Angt'!$A$5:$F$5810,6,FALSE)</f>
        <v>46</v>
      </c>
      <c r="S97" s="5" t="str">
        <f>VLOOKUP(O97,'Data Angt'!$A$5:$H$5810,8,FALSE)</f>
        <v>Mengurus Rumah Tangga</v>
      </c>
      <c r="T97" s="44" t="str">
        <f>VLOOKUP(O97,'Data Angt'!$A$5:$C$5809,3,FALSE)</f>
        <v>PBL</v>
      </c>
    </row>
    <row r="98" spans="1:20" x14ac:dyDescent="0.3">
      <c r="A98" s="37">
        <v>139597</v>
      </c>
      <c r="B98" s="38">
        <v>92</v>
      </c>
      <c r="C98" s="39" t="s">
        <v>102</v>
      </c>
      <c r="D98" s="10" t="str">
        <f>VLOOKUP(C98,'Data Angt'!$A$5:$B$5809,2,FALSE)</f>
        <v>A32</v>
      </c>
      <c r="E98" s="40" t="s">
        <v>10850</v>
      </c>
      <c r="F98" s="41">
        <v>45198</v>
      </c>
      <c r="G98" s="38">
        <v>12</v>
      </c>
      <c r="H98" s="40">
        <v>0</v>
      </c>
      <c r="I98" s="38">
        <v>5.5</v>
      </c>
      <c r="J98" s="41">
        <v>45198</v>
      </c>
      <c r="K98" s="38" t="s">
        <v>10768</v>
      </c>
      <c r="L98" s="42">
        <v>22000000</v>
      </c>
      <c r="O98" s="151" t="s">
        <v>4870</v>
      </c>
      <c r="P98" s="5" t="str">
        <f t="shared" si="2"/>
        <v>A2132</v>
      </c>
      <c r="Q98" s="5">
        <f t="shared" si="3"/>
        <v>1</v>
      </c>
      <c r="R98">
        <f>VLOOKUP(O98,'Data Angt'!$A$5:$F$5810,6,FALSE)</f>
        <v>71</v>
      </c>
      <c r="S98" s="5" t="str">
        <f>VLOOKUP(O98,'Data Angt'!$A$5:$H$5810,8,FALSE)</f>
        <v>Wiraswasta</v>
      </c>
      <c r="T98" s="44" t="str">
        <f>VLOOKUP(O98,'Data Angt'!$A$5:$C$5809,3,FALSE)</f>
        <v>PBL</v>
      </c>
    </row>
    <row r="99" spans="1:20" x14ac:dyDescent="0.3">
      <c r="A99" s="37">
        <v>140475</v>
      </c>
      <c r="B99" s="38">
        <v>93</v>
      </c>
      <c r="C99" s="39" t="s">
        <v>102</v>
      </c>
      <c r="D99" s="10" t="str">
        <f>VLOOKUP(C99,'Data Angt'!$A$5:$B$5809,2,FALSE)</f>
        <v>A32</v>
      </c>
      <c r="E99" s="40" t="s">
        <v>10851</v>
      </c>
      <c r="F99" s="41">
        <v>45245</v>
      </c>
      <c r="G99" s="38">
        <v>12</v>
      </c>
      <c r="H99" s="40">
        <v>0</v>
      </c>
      <c r="I99" s="38">
        <v>5.5</v>
      </c>
      <c r="J99" s="41">
        <v>45245</v>
      </c>
      <c r="K99" s="38" t="s">
        <v>10768</v>
      </c>
      <c r="L99" s="42">
        <v>26000000</v>
      </c>
      <c r="O99" s="151" t="s">
        <v>4872</v>
      </c>
      <c r="P99" s="5" t="str">
        <f t="shared" si="2"/>
        <v>A2133</v>
      </c>
      <c r="Q99" s="5">
        <f t="shared" si="3"/>
        <v>1</v>
      </c>
      <c r="R99">
        <f>VLOOKUP(O99,'Data Angt'!$A$5:$F$5810,6,FALSE)</f>
        <v>39</v>
      </c>
      <c r="S99" s="5">
        <f>VLOOKUP(O99,'Data Angt'!$A$5:$H$5810,8,FALSE)</f>
        <v>0</v>
      </c>
      <c r="T99" s="44" t="str">
        <f>VLOOKUP(O99,'Data Angt'!$A$5:$C$5809,3,FALSE)</f>
        <v>PBL</v>
      </c>
    </row>
    <row r="100" spans="1:20" x14ac:dyDescent="0.3">
      <c r="A100" s="37">
        <v>141428</v>
      </c>
      <c r="B100" s="38">
        <v>94</v>
      </c>
      <c r="C100" s="39" t="s">
        <v>102</v>
      </c>
      <c r="D100" s="10" t="str">
        <f>VLOOKUP(C100,'Data Angt'!$A$5:$B$5809,2,FALSE)</f>
        <v>A32</v>
      </c>
      <c r="E100" s="40" t="s">
        <v>18410</v>
      </c>
      <c r="F100" s="41">
        <v>45297</v>
      </c>
      <c r="G100" s="38">
        <v>12</v>
      </c>
      <c r="H100" s="40">
        <v>0</v>
      </c>
      <c r="I100" s="38">
        <v>5.5</v>
      </c>
      <c r="J100" s="41">
        <v>45297</v>
      </c>
      <c r="K100" s="38" t="s">
        <v>10768</v>
      </c>
      <c r="L100" s="42">
        <v>10000000</v>
      </c>
      <c r="O100" s="151" t="s">
        <v>4948</v>
      </c>
      <c r="P100" s="5" t="str">
        <f t="shared" si="2"/>
        <v>A2167</v>
      </c>
      <c r="Q100" s="5">
        <f t="shared" si="3"/>
        <v>4</v>
      </c>
      <c r="R100">
        <f>VLOOKUP(O100,'Data Angt'!$A$5:$F$5810,6,FALSE)</f>
        <v>76</v>
      </c>
      <c r="S100" s="5" t="str">
        <f>VLOOKUP(O100,'Data Angt'!$A$5:$H$5810,8,FALSE)</f>
        <v>Pensiunan</v>
      </c>
      <c r="T100" s="44" t="str">
        <f>VLOOKUP(O100,'Data Angt'!$A$5:$C$5809,3,FALSE)</f>
        <v>PBL</v>
      </c>
    </row>
    <row r="101" spans="1:20" x14ac:dyDescent="0.3">
      <c r="A101" s="37">
        <v>126912</v>
      </c>
      <c r="B101" s="38">
        <v>95</v>
      </c>
      <c r="C101" s="39" t="s">
        <v>102</v>
      </c>
      <c r="D101" s="10" t="str">
        <f>VLOOKUP(C101,'Data Angt'!$A$5:$B$5809,2,FALSE)</f>
        <v>A32</v>
      </c>
      <c r="E101" s="40" t="s">
        <v>10840</v>
      </c>
      <c r="F101" s="41">
        <v>44237</v>
      </c>
      <c r="G101" s="38">
        <v>12</v>
      </c>
      <c r="H101" s="40">
        <v>0</v>
      </c>
      <c r="I101" s="38">
        <v>5.5</v>
      </c>
      <c r="J101" s="41">
        <v>44237</v>
      </c>
      <c r="K101" s="38" t="s">
        <v>10768</v>
      </c>
      <c r="L101" s="42">
        <v>25000000</v>
      </c>
      <c r="O101" s="151" t="s">
        <v>12347</v>
      </c>
      <c r="P101" s="5" t="str">
        <f t="shared" si="2"/>
        <v>A2174</v>
      </c>
      <c r="Q101" s="5">
        <f t="shared" si="3"/>
        <v>3</v>
      </c>
      <c r="R101">
        <f>VLOOKUP(O101,'Data Angt'!$A$5:$F$5810,6,FALSE)</f>
        <v>25</v>
      </c>
      <c r="S101" s="5" t="str">
        <f>VLOOKUP(O101,'Data Angt'!$A$5:$H$5810,8,FALSE)</f>
        <v>Pelajar/Mahasiswa</v>
      </c>
      <c r="T101" s="44" t="str">
        <f>VLOOKUP(O101,'Data Angt'!$A$5:$C$5809,3,FALSE)</f>
        <v>PBL</v>
      </c>
    </row>
    <row r="102" spans="1:20" x14ac:dyDescent="0.3">
      <c r="A102" s="37">
        <v>127449</v>
      </c>
      <c r="B102" s="38">
        <v>96</v>
      </c>
      <c r="C102" s="39" t="s">
        <v>102</v>
      </c>
      <c r="D102" s="10" t="str">
        <f>VLOOKUP(C102,'Data Angt'!$A$5:$B$5809,2,FALSE)</f>
        <v>A32</v>
      </c>
      <c r="E102" s="40" t="s">
        <v>10841</v>
      </c>
      <c r="F102" s="41">
        <v>44270</v>
      </c>
      <c r="G102" s="38">
        <v>12</v>
      </c>
      <c r="H102" s="40">
        <v>0</v>
      </c>
      <c r="I102" s="38">
        <v>5.5</v>
      </c>
      <c r="J102" s="41">
        <v>44270</v>
      </c>
      <c r="K102" s="38" t="s">
        <v>10768</v>
      </c>
      <c r="L102" s="42">
        <v>16000000</v>
      </c>
      <c r="O102" s="151" t="s">
        <v>12348</v>
      </c>
      <c r="P102" s="5" t="str">
        <f t="shared" si="2"/>
        <v>A2175</v>
      </c>
      <c r="Q102" s="5">
        <f t="shared" si="3"/>
        <v>1</v>
      </c>
      <c r="R102">
        <f>VLOOKUP(O102,'Data Angt'!$A$5:$F$5810,6,FALSE)</f>
        <v>31</v>
      </c>
      <c r="S102" s="5" t="str">
        <f>VLOOKUP(O102,'Data Angt'!$A$5:$H$5810,8,FALSE)</f>
        <v>Wiraswasta</v>
      </c>
      <c r="T102" s="44" t="str">
        <f>VLOOKUP(O102,'Data Angt'!$A$5:$C$5809,3,FALSE)</f>
        <v>PBL</v>
      </c>
    </row>
    <row r="103" spans="1:20" x14ac:dyDescent="0.3">
      <c r="A103" s="37">
        <v>148799</v>
      </c>
      <c r="B103" s="38">
        <v>97</v>
      </c>
      <c r="C103" s="39" t="s">
        <v>102</v>
      </c>
      <c r="D103" s="10" t="str">
        <f>VLOOKUP(C103,'Data Angt'!$A$5:$B$5809,2,FALSE)</f>
        <v>A32</v>
      </c>
      <c r="E103" s="40" t="s">
        <v>18411</v>
      </c>
      <c r="F103" s="41">
        <v>45537</v>
      </c>
      <c r="G103" s="38">
        <v>12</v>
      </c>
      <c r="H103" s="40">
        <v>0</v>
      </c>
      <c r="I103" s="38">
        <v>5.5</v>
      </c>
      <c r="J103" s="41">
        <v>45537</v>
      </c>
      <c r="K103" s="38" t="s">
        <v>10768</v>
      </c>
      <c r="L103" s="42">
        <v>10000000</v>
      </c>
      <c r="O103" s="151" t="s">
        <v>12349</v>
      </c>
      <c r="P103" s="5" t="str">
        <f t="shared" si="2"/>
        <v>A2177</v>
      </c>
      <c r="Q103" s="5">
        <f t="shared" si="3"/>
        <v>1</v>
      </c>
      <c r="R103">
        <f>VLOOKUP(O103,'Data Angt'!$A$5:$F$5810,6,FALSE)</f>
        <v>20</v>
      </c>
      <c r="S103" s="5">
        <f>VLOOKUP(O103,'Data Angt'!$A$5:$H$5810,8,FALSE)</f>
        <v>0</v>
      </c>
      <c r="T103" s="44" t="str">
        <f>VLOOKUP(O103,'Data Angt'!$A$5:$C$5809,3,FALSE)</f>
        <v>PBL</v>
      </c>
    </row>
    <row r="104" spans="1:20" x14ac:dyDescent="0.3">
      <c r="A104" s="37">
        <v>128235</v>
      </c>
      <c r="B104" s="38">
        <v>98</v>
      </c>
      <c r="C104" s="39" t="s">
        <v>102</v>
      </c>
      <c r="D104" s="10" t="str">
        <f>VLOOKUP(C104,'Data Angt'!$A$5:$B$5809,2,FALSE)</f>
        <v>A32</v>
      </c>
      <c r="E104" s="40" t="s">
        <v>10842</v>
      </c>
      <c r="F104" s="41">
        <v>44326</v>
      </c>
      <c r="G104" s="38">
        <v>12</v>
      </c>
      <c r="H104" s="40">
        <v>0</v>
      </c>
      <c r="I104" s="38">
        <v>5.5</v>
      </c>
      <c r="J104" s="41">
        <v>44326</v>
      </c>
      <c r="K104" s="38" t="s">
        <v>10768</v>
      </c>
      <c r="L104" s="42">
        <v>10000000</v>
      </c>
      <c r="O104" s="151" t="s">
        <v>5152</v>
      </c>
      <c r="P104" s="5" t="str">
        <f t="shared" si="2"/>
        <v>A2266</v>
      </c>
      <c r="Q104" s="5">
        <f t="shared" si="3"/>
        <v>8</v>
      </c>
      <c r="R104">
        <f>VLOOKUP(O104,'Data Angt'!$A$5:$F$5810,6,FALSE)</f>
        <v>62</v>
      </c>
      <c r="S104" s="5" t="str">
        <f>VLOOKUP(O104,'Data Angt'!$A$5:$H$5810,8,FALSE)</f>
        <v>Mengurus Rumah Tangga</v>
      </c>
      <c r="T104" s="44" t="str">
        <f>VLOOKUP(O104,'Data Angt'!$A$5:$C$5809,3,FALSE)</f>
        <v>PBL</v>
      </c>
    </row>
    <row r="105" spans="1:20" x14ac:dyDescent="0.3">
      <c r="A105" s="37">
        <v>151902</v>
      </c>
      <c r="B105" s="38">
        <v>99</v>
      </c>
      <c r="C105" s="39" t="s">
        <v>102</v>
      </c>
      <c r="D105" s="10" t="str">
        <f>VLOOKUP(C105,'Data Angt'!$A$5:$B$5809,2,FALSE)</f>
        <v>A32</v>
      </c>
      <c r="E105" s="40" t="s">
        <v>18412</v>
      </c>
      <c r="F105" s="41">
        <v>45664</v>
      </c>
      <c r="G105" s="38">
        <v>12</v>
      </c>
      <c r="H105" s="40">
        <v>0</v>
      </c>
      <c r="I105" s="38">
        <v>5.5</v>
      </c>
      <c r="J105" s="41">
        <v>45664</v>
      </c>
      <c r="K105" s="38" t="s">
        <v>10768</v>
      </c>
      <c r="L105" s="42">
        <v>35000000</v>
      </c>
      <c r="O105" s="151" t="s">
        <v>5163</v>
      </c>
      <c r="P105" s="5" t="str">
        <f t="shared" si="2"/>
        <v>A2271</v>
      </c>
      <c r="Q105" s="5">
        <f t="shared" si="3"/>
        <v>1</v>
      </c>
      <c r="R105">
        <f>VLOOKUP(O105,'Data Angt'!$A$5:$F$5810,6,FALSE)</f>
        <v>60</v>
      </c>
      <c r="S105" s="5" t="str">
        <f>VLOOKUP(O105,'Data Angt'!$A$5:$H$5810,8,FALSE)</f>
        <v>Wiraswasta</v>
      </c>
      <c r="T105" s="44" t="str">
        <f>VLOOKUP(O105,'Data Angt'!$A$5:$C$5809,3,FALSE)</f>
        <v>PBL</v>
      </c>
    </row>
    <row r="106" spans="1:20" x14ac:dyDescent="0.3">
      <c r="A106" s="37">
        <v>129438</v>
      </c>
      <c r="B106" s="38">
        <v>100</v>
      </c>
      <c r="C106" s="39" t="s">
        <v>102</v>
      </c>
      <c r="D106" s="10" t="str">
        <f>VLOOKUP(C106,'Data Angt'!$A$5:$B$5809,2,FALSE)</f>
        <v>A32</v>
      </c>
      <c r="E106" s="40" t="s">
        <v>10843</v>
      </c>
      <c r="F106" s="41">
        <v>44421</v>
      </c>
      <c r="G106" s="38">
        <v>12</v>
      </c>
      <c r="H106" s="40">
        <v>0</v>
      </c>
      <c r="I106" s="38">
        <v>5.5</v>
      </c>
      <c r="J106" s="41">
        <v>44421</v>
      </c>
      <c r="K106" s="38" t="s">
        <v>10768</v>
      </c>
      <c r="L106" s="42">
        <v>20000000</v>
      </c>
      <c r="O106" s="151" t="s">
        <v>5289</v>
      </c>
      <c r="P106" s="5" t="str">
        <f t="shared" si="2"/>
        <v>A2329</v>
      </c>
      <c r="Q106" s="5">
        <f t="shared" si="3"/>
        <v>1</v>
      </c>
      <c r="R106">
        <f>VLOOKUP(O106,'Data Angt'!$A$5:$F$5810,6,FALSE)</f>
        <v>81</v>
      </c>
      <c r="S106" s="5" t="str">
        <f>VLOOKUP(O106,'Data Angt'!$A$5:$H$5810,8,FALSE)</f>
        <v>Pensiunan</v>
      </c>
      <c r="T106" s="44" t="str">
        <f>VLOOKUP(O106,'Data Angt'!$A$5:$C$5809,3,FALSE)</f>
        <v>PBL</v>
      </c>
    </row>
    <row r="107" spans="1:20" x14ac:dyDescent="0.3">
      <c r="A107" s="37">
        <v>157278</v>
      </c>
      <c r="B107" s="38">
        <v>101</v>
      </c>
      <c r="C107" s="39" t="s">
        <v>102</v>
      </c>
      <c r="D107" s="10" t="str">
        <f>VLOOKUP(C107,'Data Angt'!$A$5:$B$5809,2,FALSE)</f>
        <v>A32</v>
      </c>
      <c r="E107" s="40" t="s">
        <v>24124</v>
      </c>
      <c r="F107" s="41">
        <v>45861</v>
      </c>
      <c r="G107" s="38">
        <v>12</v>
      </c>
      <c r="H107" s="40">
        <v>0</v>
      </c>
      <c r="I107" s="38">
        <v>5.5</v>
      </c>
      <c r="J107" s="41">
        <v>45861</v>
      </c>
      <c r="K107" s="38" t="s">
        <v>10768</v>
      </c>
      <c r="L107" s="42">
        <v>100000000</v>
      </c>
      <c r="O107" s="151" t="s">
        <v>5330</v>
      </c>
      <c r="P107" s="5" t="str">
        <f t="shared" si="2"/>
        <v>A2347</v>
      </c>
      <c r="Q107" s="5">
        <f t="shared" si="3"/>
        <v>2</v>
      </c>
      <c r="R107">
        <f>VLOOKUP(O107,'Data Angt'!$A$5:$F$5810,6,FALSE)</f>
        <v>42</v>
      </c>
      <c r="S107" s="5" t="str">
        <f>VLOOKUP(O107,'Data Angt'!$A$5:$H$5810,8,FALSE)</f>
        <v>Mengurus Rumah Tangga</v>
      </c>
      <c r="T107" s="44" t="str">
        <f>VLOOKUP(O107,'Data Angt'!$A$5:$C$5809,3,FALSE)</f>
        <v>PBL</v>
      </c>
    </row>
    <row r="108" spans="1:20" x14ac:dyDescent="0.3">
      <c r="A108" s="37">
        <v>130269</v>
      </c>
      <c r="B108" s="38">
        <v>102</v>
      </c>
      <c r="C108" s="39" t="s">
        <v>102</v>
      </c>
      <c r="D108" s="10" t="str">
        <f>VLOOKUP(C108,'Data Angt'!$A$5:$B$5809,2,FALSE)</f>
        <v>A32</v>
      </c>
      <c r="E108" s="40" t="s">
        <v>10844</v>
      </c>
      <c r="F108" s="41">
        <v>44480</v>
      </c>
      <c r="G108" s="38">
        <v>12</v>
      </c>
      <c r="H108" s="40">
        <v>0</v>
      </c>
      <c r="I108" s="38">
        <v>5.5</v>
      </c>
      <c r="J108" s="41">
        <v>44480</v>
      </c>
      <c r="K108" s="38" t="s">
        <v>10768</v>
      </c>
      <c r="L108" s="42">
        <v>25000000</v>
      </c>
      <c r="O108" s="151" t="s">
        <v>5554</v>
      </c>
      <c r="P108" s="5" t="str">
        <f t="shared" si="2"/>
        <v>A2451</v>
      </c>
      <c r="Q108" s="5">
        <f t="shared" si="3"/>
        <v>2</v>
      </c>
      <c r="R108">
        <f>VLOOKUP(O108,'Data Angt'!$A$5:$F$5810,6,FALSE)</f>
        <v>35</v>
      </c>
      <c r="S108" s="5" t="str">
        <f>VLOOKUP(O108,'Data Angt'!$A$5:$H$5810,8,FALSE)</f>
        <v>Wiraswasta</v>
      </c>
      <c r="T108" s="44" t="str">
        <f>VLOOKUP(O108,'Data Angt'!$A$5:$C$5809,3,FALSE)</f>
        <v>PBL</v>
      </c>
    </row>
    <row r="109" spans="1:20" x14ac:dyDescent="0.3">
      <c r="A109" s="37">
        <v>157590</v>
      </c>
      <c r="B109" s="38">
        <v>103</v>
      </c>
      <c r="C109" s="39" t="s">
        <v>102</v>
      </c>
      <c r="D109" s="10" t="str">
        <f>VLOOKUP(C109,'Data Angt'!$A$5:$B$5809,2,FALSE)</f>
        <v>A32</v>
      </c>
      <c r="E109" s="40" t="s">
        <v>24125</v>
      </c>
      <c r="F109" s="41">
        <v>45874</v>
      </c>
      <c r="G109" s="38">
        <v>12</v>
      </c>
      <c r="H109" s="40">
        <v>0</v>
      </c>
      <c r="I109" s="38">
        <v>5.5</v>
      </c>
      <c r="J109" s="41">
        <v>45874</v>
      </c>
      <c r="K109" s="38" t="s">
        <v>10768</v>
      </c>
      <c r="L109" s="42">
        <v>100000000</v>
      </c>
      <c r="O109" s="151" t="s">
        <v>5597</v>
      </c>
      <c r="P109" s="5" t="str">
        <f t="shared" si="2"/>
        <v>A2472</v>
      </c>
      <c r="Q109" s="5">
        <f t="shared" si="3"/>
        <v>2</v>
      </c>
      <c r="R109">
        <f>VLOOKUP(O109,'Data Angt'!$A$5:$F$5810,6,FALSE)</f>
        <v>37</v>
      </c>
      <c r="S109" s="5" t="str">
        <f>VLOOKUP(O109,'Data Angt'!$A$5:$H$5810,8,FALSE)</f>
        <v>Lain-Lain</v>
      </c>
      <c r="T109" s="44" t="str">
        <f>VLOOKUP(O109,'Data Angt'!$A$5:$C$5809,3,FALSE)</f>
        <v>PBL</v>
      </c>
    </row>
    <row r="110" spans="1:20" x14ac:dyDescent="0.3">
      <c r="A110" s="37">
        <v>130807</v>
      </c>
      <c r="B110" s="38">
        <v>104</v>
      </c>
      <c r="C110" s="39" t="s">
        <v>102</v>
      </c>
      <c r="D110" s="10" t="str">
        <f>VLOOKUP(C110,'Data Angt'!$A$5:$B$5809,2,FALSE)</f>
        <v>A32</v>
      </c>
      <c r="E110" s="40" t="s">
        <v>10845</v>
      </c>
      <c r="F110" s="41">
        <v>44526</v>
      </c>
      <c r="G110" s="38">
        <v>12</v>
      </c>
      <c r="H110" s="40">
        <v>0</v>
      </c>
      <c r="I110" s="38">
        <v>5.5</v>
      </c>
      <c r="J110" s="41">
        <v>44526</v>
      </c>
      <c r="K110" s="38" t="s">
        <v>10768</v>
      </c>
      <c r="L110" s="42">
        <v>18000000</v>
      </c>
      <c r="O110" s="151" t="s">
        <v>5621</v>
      </c>
      <c r="P110" s="5" t="str">
        <f t="shared" si="2"/>
        <v>A2483</v>
      </c>
      <c r="Q110" s="5">
        <f t="shared" si="3"/>
        <v>2</v>
      </c>
      <c r="R110">
        <f>VLOOKUP(O110,'Data Angt'!$A$5:$F$5810,6,FALSE)</f>
        <v>71</v>
      </c>
      <c r="S110" s="5" t="str">
        <f>VLOOKUP(O110,'Data Angt'!$A$5:$H$5810,8,FALSE)</f>
        <v>Mengurus Rumah Tangga</v>
      </c>
      <c r="T110" s="44" t="str">
        <f>VLOOKUP(O110,'Data Angt'!$A$5:$C$5809,3,FALSE)</f>
        <v>PBL</v>
      </c>
    </row>
    <row r="111" spans="1:20" x14ac:dyDescent="0.3">
      <c r="A111" s="37">
        <v>130939</v>
      </c>
      <c r="B111" s="38">
        <v>105</v>
      </c>
      <c r="C111" s="39" t="s">
        <v>102</v>
      </c>
      <c r="D111" s="10" t="str">
        <f>VLOOKUP(C111,'Data Angt'!$A$5:$B$5809,2,FALSE)</f>
        <v>A32</v>
      </c>
      <c r="E111" s="40" t="s">
        <v>10846</v>
      </c>
      <c r="F111" s="41">
        <v>44541</v>
      </c>
      <c r="G111" s="38">
        <v>12</v>
      </c>
      <c r="H111" s="40">
        <v>0</v>
      </c>
      <c r="I111" s="38">
        <v>5.5</v>
      </c>
      <c r="J111" s="41">
        <v>44541</v>
      </c>
      <c r="K111" s="38" t="s">
        <v>10768</v>
      </c>
      <c r="L111" s="42">
        <v>20000000</v>
      </c>
      <c r="O111" s="151" t="s">
        <v>5792</v>
      </c>
      <c r="P111" s="5" t="str">
        <f t="shared" si="2"/>
        <v>A2554</v>
      </c>
      <c r="Q111" s="5">
        <f t="shared" si="3"/>
        <v>1</v>
      </c>
      <c r="R111">
        <f>VLOOKUP(O111,'Data Angt'!$A$5:$F$5810,6,FALSE)</f>
        <v>73</v>
      </c>
      <c r="S111" s="5" t="str">
        <f>VLOOKUP(O111,'Data Angt'!$A$5:$H$5810,8,FALSE)</f>
        <v>Wiraswasta</v>
      </c>
      <c r="T111" s="44" t="str">
        <f>VLOOKUP(O111,'Data Angt'!$A$5:$C$5809,3,FALSE)</f>
        <v>PBL</v>
      </c>
    </row>
    <row r="112" spans="1:20" x14ac:dyDescent="0.3">
      <c r="A112" s="37">
        <v>133106</v>
      </c>
      <c r="B112" s="38">
        <v>106</v>
      </c>
      <c r="C112" s="39" t="s">
        <v>102</v>
      </c>
      <c r="D112" s="10" t="str">
        <f>VLOOKUP(C112,'Data Angt'!$A$5:$B$5809,2,FALSE)</f>
        <v>A32</v>
      </c>
      <c r="E112" s="40" t="s">
        <v>10847</v>
      </c>
      <c r="F112" s="41">
        <v>44708</v>
      </c>
      <c r="G112" s="38">
        <v>12</v>
      </c>
      <c r="H112" s="40">
        <v>0</v>
      </c>
      <c r="I112" s="38">
        <v>5.5</v>
      </c>
      <c r="J112" s="41">
        <v>44708</v>
      </c>
      <c r="K112" s="38" t="s">
        <v>10768</v>
      </c>
      <c r="L112" s="42">
        <v>20000000</v>
      </c>
      <c r="O112" s="151" t="s">
        <v>5844</v>
      </c>
      <c r="P112" s="5" t="str">
        <f t="shared" si="2"/>
        <v>A2581</v>
      </c>
      <c r="Q112" s="5">
        <f t="shared" si="3"/>
        <v>1</v>
      </c>
      <c r="R112">
        <f>VLOOKUP(O112,'Data Angt'!$A$5:$F$5810,6,FALSE)</f>
        <v>37</v>
      </c>
      <c r="S112" s="5" t="str">
        <f>VLOOKUP(O112,'Data Angt'!$A$5:$H$5810,8,FALSE)</f>
        <v>Karyawan</v>
      </c>
      <c r="T112" s="44" t="str">
        <f>VLOOKUP(O112,'Data Angt'!$A$5:$C$5809,3,FALSE)</f>
        <v>PBL</v>
      </c>
    </row>
    <row r="113" spans="1:20" x14ac:dyDescent="0.3">
      <c r="A113" s="37">
        <v>114764</v>
      </c>
      <c r="B113" s="38">
        <v>107</v>
      </c>
      <c r="C113" s="39" t="s">
        <v>102</v>
      </c>
      <c r="D113" s="10" t="str">
        <f>VLOOKUP(C113,'Data Angt'!$A$5:$B$5809,2,FALSE)</f>
        <v>A32</v>
      </c>
      <c r="E113" s="40" t="s">
        <v>10848</v>
      </c>
      <c r="F113" s="41">
        <v>43678</v>
      </c>
      <c r="G113" s="38">
        <v>12</v>
      </c>
      <c r="H113" s="40">
        <v>0</v>
      </c>
      <c r="I113" s="38">
        <v>5.5</v>
      </c>
      <c r="J113" s="41">
        <v>43678</v>
      </c>
      <c r="K113" s="38" t="s">
        <v>10768</v>
      </c>
      <c r="L113" s="42">
        <v>20000000</v>
      </c>
      <c r="O113" s="151" t="s">
        <v>5976</v>
      </c>
      <c r="P113" s="5" t="str">
        <f t="shared" si="2"/>
        <v>A2639</v>
      </c>
      <c r="Q113" s="5">
        <f t="shared" si="3"/>
        <v>3</v>
      </c>
      <c r="R113">
        <f>VLOOKUP(O113,'Data Angt'!$A$5:$F$5810,6,FALSE)</f>
        <v>54</v>
      </c>
      <c r="S113" s="5" t="str">
        <f>VLOOKUP(O113,'Data Angt'!$A$5:$H$5810,8,FALSE)</f>
        <v>Mengurus Rumah Tangga</v>
      </c>
      <c r="T113" s="44" t="str">
        <f>VLOOKUP(O113,'Data Angt'!$A$5:$C$5809,3,FALSE)</f>
        <v>PBL</v>
      </c>
    </row>
    <row r="114" spans="1:20" x14ac:dyDescent="0.3">
      <c r="A114" s="37">
        <v>79247</v>
      </c>
      <c r="B114" s="38">
        <v>108</v>
      </c>
      <c r="C114" s="39" t="s">
        <v>114</v>
      </c>
      <c r="D114" s="10" t="str">
        <f>VLOOKUP(C114,'Data Angt'!$A$5:$B$5809,2,FALSE)</f>
        <v>A36</v>
      </c>
      <c r="E114" s="40" t="s">
        <v>10852</v>
      </c>
      <c r="F114" s="41">
        <v>42893</v>
      </c>
      <c r="G114" s="38">
        <v>12</v>
      </c>
      <c r="H114" s="40">
        <v>0</v>
      </c>
      <c r="I114" s="38">
        <v>5.5</v>
      </c>
      <c r="J114" s="41">
        <v>42922</v>
      </c>
      <c r="K114" s="38" t="s">
        <v>10768</v>
      </c>
      <c r="L114" s="42">
        <v>80000000</v>
      </c>
      <c r="O114" s="151" t="s">
        <v>6030</v>
      </c>
      <c r="P114" s="5" t="str">
        <f t="shared" si="2"/>
        <v>A2664</v>
      </c>
      <c r="Q114" s="5">
        <f t="shared" si="3"/>
        <v>5</v>
      </c>
      <c r="R114">
        <f>VLOOKUP(O114,'Data Angt'!$A$5:$F$5810,6,FALSE)</f>
        <v>63</v>
      </c>
      <c r="S114" s="5" t="str">
        <f>VLOOKUP(O114,'Data Angt'!$A$5:$H$5810,8,FALSE)</f>
        <v>Pensiunan</v>
      </c>
      <c r="T114" s="44" t="str">
        <f>VLOOKUP(O114,'Data Angt'!$A$5:$C$5809,3,FALSE)</f>
        <v>PBL</v>
      </c>
    </row>
    <row r="115" spans="1:20" x14ac:dyDescent="0.3">
      <c r="A115" s="37">
        <v>131897</v>
      </c>
      <c r="B115" s="38">
        <v>109</v>
      </c>
      <c r="C115" s="39" t="s">
        <v>114</v>
      </c>
      <c r="D115" s="10" t="str">
        <f>VLOOKUP(C115,'Data Angt'!$A$5:$B$5809,2,FALSE)</f>
        <v>A36</v>
      </c>
      <c r="E115" s="40" t="s">
        <v>10853</v>
      </c>
      <c r="F115" s="41">
        <v>44617</v>
      </c>
      <c r="G115" s="38">
        <v>12</v>
      </c>
      <c r="H115" s="40">
        <v>0</v>
      </c>
      <c r="I115" s="38">
        <v>5.5</v>
      </c>
      <c r="J115" s="41">
        <v>44617</v>
      </c>
      <c r="K115" s="38" t="s">
        <v>10768</v>
      </c>
      <c r="L115" s="42">
        <v>50000000</v>
      </c>
      <c r="O115" s="151" t="s">
        <v>6044</v>
      </c>
      <c r="P115" s="5" t="str">
        <f t="shared" si="2"/>
        <v>A2671</v>
      </c>
      <c r="Q115" s="5">
        <f t="shared" si="3"/>
        <v>3</v>
      </c>
      <c r="R115">
        <f>VLOOKUP(O115,'Data Angt'!$A$5:$F$5810,6,FALSE)</f>
        <v>76</v>
      </c>
      <c r="S115" s="5" t="str">
        <f>VLOOKUP(O115,'Data Angt'!$A$5:$H$5810,8,FALSE)</f>
        <v>Pensiunan</v>
      </c>
      <c r="T115" s="44" t="str">
        <f>VLOOKUP(O115,'Data Angt'!$A$5:$C$5809,3,FALSE)</f>
        <v>PBL</v>
      </c>
    </row>
    <row r="116" spans="1:20" x14ac:dyDescent="0.3">
      <c r="A116" s="37">
        <v>158732</v>
      </c>
      <c r="B116" s="38">
        <v>110</v>
      </c>
      <c r="C116" s="39" t="s">
        <v>118</v>
      </c>
      <c r="D116" s="10" t="str">
        <f>VLOOKUP(C116,'Data Angt'!$A$5:$B$5809,2,FALSE)</f>
        <v>A38</v>
      </c>
      <c r="E116" s="40" t="s">
        <v>24126</v>
      </c>
      <c r="F116" s="41">
        <v>45922</v>
      </c>
      <c r="G116" s="38">
        <v>12</v>
      </c>
      <c r="H116" s="40">
        <v>0</v>
      </c>
      <c r="I116" s="38">
        <v>5.5</v>
      </c>
      <c r="J116" s="41">
        <v>45922</v>
      </c>
      <c r="K116" s="38" t="s">
        <v>384</v>
      </c>
      <c r="L116" s="42">
        <v>15000000</v>
      </c>
      <c r="O116" s="151" t="s">
        <v>6071</v>
      </c>
      <c r="P116" s="5" t="str">
        <f t="shared" si="2"/>
        <v>A2683</v>
      </c>
      <c r="Q116" s="5">
        <f t="shared" si="3"/>
        <v>4</v>
      </c>
      <c r="R116">
        <f>VLOOKUP(O116,'Data Angt'!$A$5:$F$5810,6,FALSE)</f>
        <v>45</v>
      </c>
      <c r="S116" s="5" t="str">
        <f>VLOOKUP(O116,'Data Angt'!$A$5:$H$5810,8,FALSE)</f>
        <v>Mengurus Rumah Tangga</v>
      </c>
      <c r="T116" s="44" t="str">
        <f>VLOOKUP(O116,'Data Angt'!$A$5:$C$5809,3,FALSE)</f>
        <v>PBL</v>
      </c>
    </row>
    <row r="117" spans="1:20" x14ac:dyDescent="0.3">
      <c r="A117" s="37">
        <v>141184</v>
      </c>
      <c r="B117" s="38">
        <v>111</v>
      </c>
      <c r="C117" s="39" t="s">
        <v>125</v>
      </c>
      <c r="D117" s="10" t="str">
        <f>VLOOKUP(C117,'Data Angt'!$A$5:$B$5809,2,FALSE)</f>
        <v>A40</v>
      </c>
      <c r="E117" s="40" t="s">
        <v>10854</v>
      </c>
      <c r="F117" s="41">
        <v>45280</v>
      </c>
      <c r="G117" s="38">
        <v>12</v>
      </c>
      <c r="H117" s="40">
        <v>0</v>
      </c>
      <c r="I117" s="38">
        <v>5.5</v>
      </c>
      <c r="J117" s="41">
        <v>45280</v>
      </c>
      <c r="K117" s="38" t="s">
        <v>10768</v>
      </c>
      <c r="L117" s="42">
        <v>6000000</v>
      </c>
      <c r="O117" s="151" t="s">
        <v>6197</v>
      </c>
      <c r="P117" s="5" t="str">
        <f t="shared" si="2"/>
        <v>A2745</v>
      </c>
      <c r="Q117" s="5">
        <f t="shared" si="3"/>
        <v>3</v>
      </c>
      <c r="R117">
        <f>VLOOKUP(O117,'Data Angt'!$A$5:$F$5810,6,FALSE)</f>
        <v>41</v>
      </c>
      <c r="S117" s="5" t="str">
        <f>VLOOKUP(O117,'Data Angt'!$A$5:$H$5810,8,FALSE)</f>
        <v>Tenaga Pengajar</v>
      </c>
      <c r="T117" s="44" t="str">
        <f>VLOOKUP(O117,'Data Angt'!$A$5:$C$5809,3,FALSE)</f>
        <v>PBL</v>
      </c>
    </row>
    <row r="118" spans="1:20" x14ac:dyDescent="0.3">
      <c r="A118" s="37">
        <v>147847</v>
      </c>
      <c r="B118" s="38">
        <v>112</v>
      </c>
      <c r="C118" s="39" t="s">
        <v>125</v>
      </c>
      <c r="D118" s="10" t="str">
        <f>VLOOKUP(C118,'Data Angt'!$A$5:$B$5809,2,FALSE)</f>
        <v>A40</v>
      </c>
      <c r="E118" s="40" t="s">
        <v>18413</v>
      </c>
      <c r="F118" s="41">
        <v>45505</v>
      </c>
      <c r="G118" s="38">
        <v>12</v>
      </c>
      <c r="H118" s="40">
        <v>0</v>
      </c>
      <c r="I118" s="38">
        <v>5.5</v>
      </c>
      <c r="J118" s="41">
        <v>45505</v>
      </c>
      <c r="K118" s="38" t="s">
        <v>10768</v>
      </c>
      <c r="L118" s="42">
        <v>3500000</v>
      </c>
      <c r="O118" s="151" t="s">
        <v>6247</v>
      </c>
      <c r="P118" s="5" t="str">
        <f t="shared" si="2"/>
        <v>A2767</v>
      </c>
      <c r="Q118" s="5">
        <f t="shared" si="3"/>
        <v>6</v>
      </c>
      <c r="R118">
        <f>VLOOKUP(O118,'Data Angt'!$A$5:$F$5810,6,FALSE)</f>
        <v>61</v>
      </c>
      <c r="S118" s="5" t="str">
        <f>VLOOKUP(O118,'Data Angt'!$A$5:$H$5810,8,FALSE)</f>
        <v>Tenaga Pengajar</v>
      </c>
      <c r="T118" s="44" t="str">
        <f>VLOOKUP(O118,'Data Angt'!$A$5:$C$5809,3,FALSE)</f>
        <v>PBL</v>
      </c>
    </row>
    <row r="119" spans="1:20" x14ac:dyDescent="0.3">
      <c r="A119" s="37">
        <v>150212</v>
      </c>
      <c r="B119" s="38">
        <v>113</v>
      </c>
      <c r="C119" s="39" t="s">
        <v>125</v>
      </c>
      <c r="D119" s="10" t="str">
        <f>VLOOKUP(C119,'Data Angt'!$A$5:$B$5809,2,FALSE)</f>
        <v>A40</v>
      </c>
      <c r="E119" s="40" t="s">
        <v>18414</v>
      </c>
      <c r="F119" s="41">
        <v>45601</v>
      </c>
      <c r="G119" s="38">
        <v>12</v>
      </c>
      <c r="H119" s="40">
        <v>0</v>
      </c>
      <c r="I119" s="38">
        <v>5.5</v>
      </c>
      <c r="J119" s="41">
        <v>45601</v>
      </c>
      <c r="K119" s="38" t="s">
        <v>10768</v>
      </c>
      <c r="L119" s="42">
        <v>3500000</v>
      </c>
      <c r="O119" s="151" t="s">
        <v>6249</v>
      </c>
      <c r="P119" s="5" t="str">
        <f t="shared" si="2"/>
        <v>A2768</v>
      </c>
      <c r="Q119" s="5">
        <f t="shared" si="3"/>
        <v>2</v>
      </c>
      <c r="R119">
        <f>VLOOKUP(O119,'Data Angt'!$A$5:$F$5810,6,FALSE)</f>
        <v>54</v>
      </c>
      <c r="S119" s="5" t="str">
        <f>VLOOKUP(O119,'Data Angt'!$A$5:$H$5810,8,FALSE)</f>
        <v>Lain-Lain</v>
      </c>
      <c r="T119" s="44" t="str">
        <f>VLOOKUP(O119,'Data Angt'!$A$5:$C$5809,3,FALSE)</f>
        <v>PBL</v>
      </c>
    </row>
    <row r="120" spans="1:20" x14ac:dyDescent="0.3">
      <c r="A120" s="37">
        <v>151595</v>
      </c>
      <c r="B120" s="38">
        <v>114</v>
      </c>
      <c r="C120" s="39" t="s">
        <v>125</v>
      </c>
      <c r="D120" s="10" t="str">
        <f>VLOOKUP(C120,'Data Angt'!$A$5:$B$5809,2,FALSE)</f>
        <v>A40</v>
      </c>
      <c r="E120" s="40" t="s">
        <v>18415</v>
      </c>
      <c r="F120" s="41">
        <v>45646</v>
      </c>
      <c r="G120" s="38">
        <v>12</v>
      </c>
      <c r="H120" s="40">
        <v>0</v>
      </c>
      <c r="I120" s="38">
        <v>5.5</v>
      </c>
      <c r="J120" s="41">
        <v>45646</v>
      </c>
      <c r="K120" s="38" t="s">
        <v>10768</v>
      </c>
      <c r="L120" s="42">
        <v>16000000</v>
      </c>
      <c r="O120" s="151" t="s">
        <v>6252</v>
      </c>
      <c r="P120" s="5" t="str">
        <f t="shared" si="2"/>
        <v>A2770</v>
      </c>
      <c r="Q120" s="5">
        <f t="shared" si="3"/>
        <v>2</v>
      </c>
      <c r="R120">
        <f>VLOOKUP(O120,'Data Angt'!$A$5:$F$5810,6,FALSE)</f>
        <v>61</v>
      </c>
      <c r="S120" s="5" t="str">
        <f>VLOOKUP(O120,'Data Angt'!$A$5:$H$5810,8,FALSE)</f>
        <v>Karyawan</v>
      </c>
      <c r="T120" s="44" t="str">
        <f>VLOOKUP(O120,'Data Angt'!$A$5:$C$5809,3,FALSE)</f>
        <v>PBL</v>
      </c>
    </row>
    <row r="121" spans="1:20" x14ac:dyDescent="0.3">
      <c r="A121" s="37">
        <v>155095</v>
      </c>
      <c r="B121" s="38">
        <v>115</v>
      </c>
      <c r="C121" s="39" t="s">
        <v>125</v>
      </c>
      <c r="D121" s="10" t="str">
        <f>VLOOKUP(C121,'Data Angt'!$A$5:$B$5809,2,FALSE)</f>
        <v>A40</v>
      </c>
      <c r="E121" s="40" t="s">
        <v>18416</v>
      </c>
      <c r="F121" s="41">
        <v>45764</v>
      </c>
      <c r="G121" s="38">
        <v>12</v>
      </c>
      <c r="H121" s="40">
        <v>0</v>
      </c>
      <c r="I121" s="38">
        <v>5.5</v>
      </c>
      <c r="J121" s="41">
        <v>45764</v>
      </c>
      <c r="K121" s="38" t="s">
        <v>10768</v>
      </c>
      <c r="L121" s="42">
        <v>80000000</v>
      </c>
      <c r="O121" s="151" t="s">
        <v>6267</v>
      </c>
      <c r="P121" s="5" t="str">
        <f t="shared" si="2"/>
        <v>A2776</v>
      </c>
      <c r="Q121" s="5">
        <f t="shared" si="3"/>
        <v>28</v>
      </c>
      <c r="R121">
        <f>VLOOKUP(O121,'Data Angt'!$A$5:$F$5810,6,FALSE)</f>
        <v>39</v>
      </c>
      <c r="S121" s="5" t="str">
        <f>VLOOKUP(O121,'Data Angt'!$A$5:$H$5810,8,FALSE)</f>
        <v>Karyawan</v>
      </c>
      <c r="T121" s="44" t="str">
        <f>VLOOKUP(O121,'Data Angt'!$A$5:$C$5809,3,FALSE)</f>
        <v>PBL</v>
      </c>
    </row>
    <row r="122" spans="1:20" x14ac:dyDescent="0.3">
      <c r="A122" s="37">
        <v>128136</v>
      </c>
      <c r="B122" s="38">
        <v>116</v>
      </c>
      <c r="C122" s="39" t="s">
        <v>143</v>
      </c>
      <c r="D122" s="10" t="str">
        <f>VLOOKUP(C122,'Data Angt'!$A$5:$B$5809,2,FALSE)</f>
        <v>A46</v>
      </c>
      <c r="E122" s="40" t="s">
        <v>10855</v>
      </c>
      <c r="F122" s="41">
        <v>44319</v>
      </c>
      <c r="G122" s="38">
        <v>12</v>
      </c>
      <c r="H122" s="40">
        <v>0</v>
      </c>
      <c r="I122" s="38">
        <v>5.5</v>
      </c>
      <c r="J122" s="41">
        <v>44319</v>
      </c>
      <c r="K122" s="38" t="s">
        <v>10768</v>
      </c>
      <c r="L122" s="42">
        <v>20000000</v>
      </c>
      <c r="O122" s="151" t="s">
        <v>6303</v>
      </c>
      <c r="P122" s="5" t="str">
        <f t="shared" si="2"/>
        <v>A2793</v>
      </c>
      <c r="Q122" s="5">
        <f t="shared" si="3"/>
        <v>1</v>
      </c>
      <c r="R122">
        <f>VLOOKUP(O122,'Data Angt'!$A$5:$F$5810,6,FALSE)</f>
        <v>57</v>
      </c>
      <c r="S122" s="5" t="str">
        <f>VLOOKUP(O122,'Data Angt'!$A$5:$H$5810,8,FALSE)</f>
        <v>Lain-Lain</v>
      </c>
      <c r="T122" s="44" t="str">
        <f>VLOOKUP(O122,'Data Angt'!$A$5:$C$5809,3,FALSE)</f>
        <v>PBL</v>
      </c>
    </row>
    <row r="123" spans="1:20" x14ac:dyDescent="0.3">
      <c r="A123" s="37">
        <v>124812</v>
      </c>
      <c r="B123" s="38">
        <v>117</v>
      </c>
      <c r="C123" s="39" t="s">
        <v>151</v>
      </c>
      <c r="D123" s="10" t="str">
        <f>VLOOKUP(C123,'Data Angt'!$A$5:$B$5809,2,FALSE)</f>
        <v>A49</v>
      </c>
      <c r="E123" s="40" t="s">
        <v>10874</v>
      </c>
      <c r="F123" s="41">
        <v>44075</v>
      </c>
      <c r="G123" s="38">
        <v>12</v>
      </c>
      <c r="H123" s="40">
        <v>0</v>
      </c>
      <c r="I123" s="38">
        <v>5.5</v>
      </c>
      <c r="J123" s="41">
        <v>44075</v>
      </c>
      <c r="K123" s="38" t="s">
        <v>10768</v>
      </c>
      <c r="L123" s="42">
        <v>15000000</v>
      </c>
      <c r="O123" s="151" t="s">
        <v>6307</v>
      </c>
      <c r="P123" s="5" t="str">
        <f t="shared" si="2"/>
        <v>A2795</v>
      </c>
      <c r="Q123" s="5">
        <f t="shared" si="3"/>
        <v>1</v>
      </c>
      <c r="R123">
        <f>VLOOKUP(O123,'Data Angt'!$A$5:$F$5810,6,FALSE)</f>
        <v>74</v>
      </c>
      <c r="S123" s="5" t="str">
        <f>VLOOKUP(O123,'Data Angt'!$A$5:$H$5810,8,FALSE)</f>
        <v>Pensiunan</v>
      </c>
      <c r="T123" s="44" t="str">
        <f>VLOOKUP(O123,'Data Angt'!$A$5:$C$5809,3,FALSE)</f>
        <v>PBL</v>
      </c>
    </row>
    <row r="124" spans="1:20" x14ac:dyDescent="0.3">
      <c r="A124" s="37">
        <v>125414</v>
      </c>
      <c r="B124" s="38">
        <v>118</v>
      </c>
      <c r="C124" s="39" t="s">
        <v>151</v>
      </c>
      <c r="D124" s="10" t="str">
        <f>VLOOKUP(C124,'Data Angt'!$A$5:$B$5809,2,FALSE)</f>
        <v>A49</v>
      </c>
      <c r="E124" s="40" t="s">
        <v>10875</v>
      </c>
      <c r="F124" s="41">
        <v>44118</v>
      </c>
      <c r="G124" s="38">
        <v>12</v>
      </c>
      <c r="H124" s="40">
        <v>0</v>
      </c>
      <c r="I124" s="38">
        <v>5.5</v>
      </c>
      <c r="J124" s="41">
        <v>44118</v>
      </c>
      <c r="K124" s="38" t="s">
        <v>10768</v>
      </c>
      <c r="L124" s="42">
        <v>5000000</v>
      </c>
      <c r="O124" s="151" t="s">
        <v>6436</v>
      </c>
      <c r="P124" s="5" t="str">
        <f t="shared" si="2"/>
        <v>A2855</v>
      </c>
      <c r="Q124" s="5">
        <f t="shared" si="3"/>
        <v>2</v>
      </c>
      <c r="R124">
        <f>VLOOKUP(O124,'Data Angt'!$A$5:$F$5810,6,FALSE)</f>
        <v>68</v>
      </c>
      <c r="S124" s="5" t="str">
        <f>VLOOKUP(O124,'Data Angt'!$A$5:$H$5810,8,FALSE)</f>
        <v>Wiraswasta</v>
      </c>
      <c r="T124" s="44" t="str">
        <f>VLOOKUP(O124,'Data Angt'!$A$5:$C$5809,3,FALSE)</f>
        <v>PBL</v>
      </c>
    </row>
    <row r="125" spans="1:20" x14ac:dyDescent="0.3">
      <c r="A125" s="37">
        <v>125966</v>
      </c>
      <c r="B125" s="38">
        <v>119</v>
      </c>
      <c r="C125" s="39" t="s">
        <v>151</v>
      </c>
      <c r="D125" s="10" t="str">
        <f>VLOOKUP(C125,'Data Angt'!$A$5:$B$5809,2,FALSE)</f>
        <v>A49</v>
      </c>
      <c r="E125" s="40" t="s">
        <v>10877</v>
      </c>
      <c r="F125" s="41">
        <v>44165</v>
      </c>
      <c r="G125" s="38">
        <v>12</v>
      </c>
      <c r="H125" s="40">
        <v>0</v>
      </c>
      <c r="I125" s="38">
        <v>5.5</v>
      </c>
      <c r="J125" s="41">
        <v>44165</v>
      </c>
      <c r="K125" s="38" t="s">
        <v>10768</v>
      </c>
      <c r="L125" s="42">
        <v>5000000</v>
      </c>
      <c r="O125" s="151" t="s">
        <v>6451</v>
      </c>
      <c r="P125" s="5" t="str">
        <f t="shared" si="2"/>
        <v>A2861</v>
      </c>
      <c r="Q125" s="5">
        <f t="shared" si="3"/>
        <v>1</v>
      </c>
      <c r="R125">
        <f>VLOOKUP(O125,'Data Angt'!$A$5:$F$5810,6,FALSE)</f>
        <v>68</v>
      </c>
      <c r="S125" s="5" t="str">
        <f>VLOOKUP(O125,'Data Angt'!$A$5:$H$5810,8,FALSE)</f>
        <v>Lain-Lain</v>
      </c>
      <c r="T125" s="44" t="str">
        <f>VLOOKUP(O125,'Data Angt'!$A$5:$C$5809,3,FALSE)</f>
        <v>PBL</v>
      </c>
    </row>
    <row r="126" spans="1:20" x14ac:dyDescent="0.3">
      <c r="A126" s="37">
        <v>79364</v>
      </c>
      <c r="B126" s="38">
        <v>120</v>
      </c>
      <c r="C126" s="39" t="s">
        <v>151</v>
      </c>
      <c r="D126" s="10" t="str">
        <f>VLOOKUP(C126,'Data Angt'!$A$5:$B$5809,2,FALSE)</f>
        <v>A49</v>
      </c>
      <c r="E126" s="40" t="s">
        <v>10876</v>
      </c>
      <c r="F126" s="41">
        <v>43091</v>
      </c>
      <c r="G126" s="38">
        <v>12</v>
      </c>
      <c r="H126" s="40">
        <v>0</v>
      </c>
      <c r="I126" s="38">
        <v>5.5</v>
      </c>
      <c r="J126" s="41">
        <v>43091</v>
      </c>
      <c r="K126" s="38" t="s">
        <v>10768</v>
      </c>
      <c r="L126" s="42">
        <v>10000000</v>
      </c>
      <c r="O126" s="151" t="s">
        <v>6477</v>
      </c>
      <c r="P126" s="5" t="str">
        <f t="shared" si="2"/>
        <v>A2872</v>
      </c>
      <c r="Q126" s="5">
        <f t="shared" si="3"/>
        <v>1</v>
      </c>
      <c r="R126">
        <f>VLOOKUP(O126,'Data Angt'!$A$5:$F$5810,6,FALSE)</f>
        <v>35</v>
      </c>
      <c r="S126" s="5" t="str">
        <f>VLOOKUP(O126,'Data Angt'!$A$5:$H$5810,8,FALSE)</f>
        <v>Tenaga Pengajar</v>
      </c>
      <c r="T126" s="44" t="str">
        <f>VLOOKUP(O126,'Data Angt'!$A$5:$C$5809,3,FALSE)</f>
        <v>PBL</v>
      </c>
    </row>
    <row r="127" spans="1:20" x14ac:dyDescent="0.3">
      <c r="A127" s="37">
        <v>126245</v>
      </c>
      <c r="B127" s="38">
        <v>121</v>
      </c>
      <c r="C127" s="39" t="s">
        <v>151</v>
      </c>
      <c r="D127" s="10" t="str">
        <f>VLOOKUP(C127,'Data Angt'!$A$5:$B$5809,2,FALSE)</f>
        <v>A49</v>
      </c>
      <c r="E127" s="40" t="s">
        <v>10879</v>
      </c>
      <c r="F127" s="41">
        <v>44188</v>
      </c>
      <c r="G127" s="38">
        <v>12</v>
      </c>
      <c r="H127" s="40">
        <v>0</v>
      </c>
      <c r="I127" s="38">
        <v>5.5</v>
      </c>
      <c r="J127" s="41">
        <v>44188</v>
      </c>
      <c r="K127" s="38" t="s">
        <v>10768</v>
      </c>
      <c r="L127" s="42">
        <v>15000000</v>
      </c>
      <c r="O127" s="151" t="s">
        <v>6516</v>
      </c>
      <c r="P127" s="5" t="str">
        <f t="shared" si="2"/>
        <v>A2894</v>
      </c>
      <c r="Q127" s="5">
        <f t="shared" si="3"/>
        <v>1</v>
      </c>
      <c r="R127">
        <f>VLOOKUP(O127,'Data Angt'!$A$5:$F$5810,6,FALSE)</f>
        <v>43</v>
      </c>
      <c r="S127" s="5" t="str">
        <f>VLOOKUP(O127,'Data Angt'!$A$5:$H$5810,8,FALSE)</f>
        <v>Mengurus Rumah Tangga</v>
      </c>
      <c r="T127" s="44" t="str">
        <f>VLOOKUP(O127,'Data Angt'!$A$5:$C$5809,3,FALSE)</f>
        <v>PBL</v>
      </c>
    </row>
    <row r="128" spans="1:20" x14ac:dyDescent="0.3">
      <c r="A128" s="37">
        <v>79396</v>
      </c>
      <c r="B128" s="38">
        <v>122</v>
      </c>
      <c r="C128" s="39" t="s">
        <v>151</v>
      </c>
      <c r="D128" s="10" t="str">
        <f>VLOOKUP(C128,'Data Angt'!$A$5:$B$5809,2,FALSE)</f>
        <v>A49</v>
      </c>
      <c r="E128" s="40" t="s">
        <v>10878</v>
      </c>
      <c r="F128" s="41">
        <v>43133</v>
      </c>
      <c r="G128" s="38">
        <v>12</v>
      </c>
      <c r="H128" s="40">
        <v>0</v>
      </c>
      <c r="I128" s="38">
        <v>5.5</v>
      </c>
      <c r="J128" s="41">
        <v>43133</v>
      </c>
      <c r="K128" s="38" t="s">
        <v>10768</v>
      </c>
      <c r="L128" s="42">
        <v>10000000</v>
      </c>
      <c r="O128" s="151" t="s">
        <v>6640</v>
      </c>
      <c r="P128" s="5" t="str">
        <f t="shared" si="2"/>
        <v>A2950</v>
      </c>
      <c r="Q128" s="5">
        <f t="shared" si="3"/>
        <v>1</v>
      </c>
      <c r="R128">
        <f>VLOOKUP(O128,'Data Angt'!$A$5:$F$5810,6,FALSE)</f>
        <v>59</v>
      </c>
      <c r="S128" s="5" t="str">
        <f>VLOOKUP(O128,'Data Angt'!$A$5:$H$5810,8,FALSE)</f>
        <v>Pemuka Agama</v>
      </c>
      <c r="T128" s="44" t="str">
        <f>VLOOKUP(O128,'Data Angt'!$A$5:$C$5809,3,FALSE)</f>
        <v>PBL</v>
      </c>
    </row>
    <row r="129" spans="1:20" x14ac:dyDescent="0.3">
      <c r="A129" s="37">
        <v>127371</v>
      </c>
      <c r="B129" s="38">
        <v>123</v>
      </c>
      <c r="C129" s="39" t="s">
        <v>151</v>
      </c>
      <c r="D129" s="10" t="str">
        <f>VLOOKUP(C129,'Data Angt'!$A$5:$B$5809,2,FALSE)</f>
        <v>A49</v>
      </c>
      <c r="E129" s="40" t="s">
        <v>10857</v>
      </c>
      <c r="F129" s="41">
        <v>44263</v>
      </c>
      <c r="G129" s="38">
        <v>12</v>
      </c>
      <c r="H129" s="40">
        <v>0</v>
      </c>
      <c r="I129" s="38">
        <v>5.5</v>
      </c>
      <c r="J129" s="41">
        <v>44263</v>
      </c>
      <c r="K129" s="38" t="s">
        <v>10768</v>
      </c>
      <c r="L129" s="42">
        <v>10000000</v>
      </c>
      <c r="O129" s="151" t="s">
        <v>6669</v>
      </c>
      <c r="P129" s="5" t="str">
        <f t="shared" si="2"/>
        <v>A2963</v>
      </c>
      <c r="Q129" s="5">
        <f t="shared" si="3"/>
        <v>4</v>
      </c>
      <c r="R129">
        <f>VLOOKUP(O129,'Data Angt'!$A$5:$F$5810,6,FALSE)</f>
        <v>53</v>
      </c>
      <c r="S129" s="5">
        <f>VLOOKUP(O129,'Data Angt'!$A$5:$H$5810,8,FALSE)</f>
        <v>0</v>
      </c>
      <c r="T129" s="44" t="str">
        <f>VLOOKUP(O129,'Data Angt'!$A$5:$C$5809,3,FALSE)</f>
        <v>PBL</v>
      </c>
    </row>
    <row r="130" spans="1:20" x14ac:dyDescent="0.3">
      <c r="A130" s="37">
        <v>93209</v>
      </c>
      <c r="B130" s="38">
        <v>124</v>
      </c>
      <c r="C130" s="39" t="s">
        <v>151</v>
      </c>
      <c r="D130" s="10" t="str">
        <f>VLOOKUP(C130,'Data Angt'!$A$5:$B$5809,2,FALSE)</f>
        <v>A49</v>
      </c>
      <c r="E130" s="40" t="s">
        <v>10856</v>
      </c>
      <c r="F130" s="41">
        <v>43487</v>
      </c>
      <c r="G130" s="38">
        <v>12</v>
      </c>
      <c r="H130" s="40">
        <v>0</v>
      </c>
      <c r="I130" s="38">
        <v>5.5</v>
      </c>
      <c r="J130" s="41">
        <v>43487</v>
      </c>
      <c r="K130" s="38" t="s">
        <v>10768</v>
      </c>
      <c r="L130" s="42">
        <v>10000000</v>
      </c>
      <c r="O130" s="151" t="s">
        <v>6672</v>
      </c>
      <c r="P130" s="5" t="str">
        <f t="shared" si="2"/>
        <v>A2965</v>
      </c>
      <c r="Q130" s="5">
        <f t="shared" si="3"/>
        <v>2</v>
      </c>
      <c r="R130">
        <f>VLOOKUP(O130,'Data Angt'!$A$5:$F$5810,6,FALSE)</f>
        <v>75</v>
      </c>
      <c r="S130" s="5" t="str">
        <f>VLOOKUP(O130,'Data Angt'!$A$5:$H$5810,8,FALSE)</f>
        <v>Pensiunan</v>
      </c>
      <c r="T130" s="44" t="str">
        <f>VLOOKUP(O130,'Data Angt'!$A$5:$C$5809,3,FALSE)</f>
        <v>PBL</v>
      </c>
    </row>
    <row r="131" spans="1:20" x14ac:dyDescent="0.3">
      <c r="A131" s="37">
        <v>128384</v>
      </c>
      <c r="B131" s="38">
        <v>125</v>
      </c>
      <c r="C131" s="39" t="s">
        <v>151</v>
      </c>
      <c r="D131" s="10" t="str">
        <f>VLOOKUP(C131,'Data Angt'!$A$5:$B$5809,2,FALSE)</f>
        <v>A49</v>
      </c>
      <c r="E131" s="40" t="s">
        <v>10859</v>
      </c>
      <c r="F131" s="41">
        <v>44344</v>
      </c>
      <c r="G131" s="38">
        <v>12</v>
      </c>
      <c r="H131" s="40">
        <v>0</v>
      </c>
      <c r="I131" s="38">
        <v>5.5</v>
      </c>
      <c r="J131" s="41">
        <v>44344</v>
      </c>
      <c r="K131" s="38" t="s">
        <v>10768</v>
      </c>
      <c r="L131" s="42">
        <v>20000000</v>
      </c>
      <c r="O131" s="151" t="s">
        <v>6874</v>
      </c>
      <c r="P131" s="5" t="str">
        <f t="shared" si="2"/>
        <v>A3067</v>
      </c>
      <c r="Q131" s="5">
        <f t="shared" si="3"/>
        <v>2</v>
      </c>
      <c r="R131">
        <f>VLOOKUP(O131,'Data Angt'!$A$5:$F$5810,6,FALSE)</f>
        <v>53</v>
      </c>
      <c r="S131" s="5" t="str">
        <f>VLOOKUP(O131,'Data Angt'!$A$5:$H$5810,8,FALSE)</f>
        <v>Mengurus Rumah Tangga</v>
      </c>
      <c r="T131" s="44" t="str">
        <f>VLOOKUP(O131,'Data Angt'!$A$5:$C$5809,3,FALSE)</f>
        <v>PBL</v>
      </c>
    </row>
    <row r="132" spans="1:20" x14ac:dyDescent="0.3">
      <c r="A132" s="37">
        <v>93266</v>
      </c>
      <c r="B132" s="38">
        <v>126</v>
      </c>
      <c r="C132" s="39" t="s">
        <v>151</v>
      </c>
      <c r="D132" s="10" t="str">
        <f>VLOOKUP(C132,'Data Angt'!$A$5:$B$5809,2,FALSE)</f>
        <v>A49</v>
      </c>
      <c r="E132" s="40" t="s">
        <v>10858</v>
      </c>
      <c r="F132" s="41">
        <v>43488</v>
      </c>
      <c r="G132" s="38">
        <v>12</v>
      </c>
      <c r="H132" s="40">
        <v>0</v>
      </c>
      <c r="I132" s="38">
        <v>5.5</v>
      </c>
      <c r="J132" s="41">
        <v>43488</v>
      </c>
      <c r="K132" s="38" t="s">
        <v>10768</v>
      </c>
      <c r="L132" s="42">
        <v>10000000</v>
      </c>
      <c r="O132" s="151" t="s">
        <v>12462</v>
      </c>
      <c r="P132" s="5" t="str">
        <f t="shared" si="2"/>
        <v>A3086</v>
      </c>
      <c r="Q132" s="5">
        <f t="shared" si="3"/>
        <v>1</v>
      </c>
      <c r="R132">
        <f>VLOOKUP(O132,'Data Angt'!$A$5:$F$5810,6,FALSE)</f>
        <v>23</v>
      </c>
      <c r="S132" s="5" t="str">
        <f>VLOOKUP(O132,'Data Angt'!$A$5:$H$5810,8,FALSE)</f>
        <v>Pelajar/Mahasiswa</v>
      </c>
      <c r="T132" s="44" t="str">
        <f>VLOOKUP(O132,'Data Angt'!$A$5:$C$5809,3,FALSE)</f>
        <v>PBL</v>
      </c>
    </row>
    <row r="133" spans="1:20" x14ac:dyDescent="0.3">
      <c r="A133" s="37">
        <v>131034</v>
      </c>
      <c r="B133" s="38">
        <v>127</v>
      </c>
      <c r="C133" s="39" t="s">
        <v>151</v>
      </c>
      <c r="D133" s="10" t="str">
        <f>VLOOKUP(C133,'Data Angt'!$A$5:$B$5809,2,FALSE)</f>
        <v>A49</v>
      </c>
      <c r="E133" s="40" t="s">
        <v>10861</v>
      </c>
      <c r="F133" s="41">
        <v>44547</v>
      </c>
      <c r="G133" s="38">
        <v>12</v>
      </c>
      <c r="H133" s="40">
        <v>0</v>
      </c>
      <c r="I133" s="38">
        <v>5.5</v>
      </c>
      <c r="J133" s="41">
        <v>44547</v>
      </c>
      <c r="K133" s="38" t="s">
        <v>10768</v>
      </c>
      <c r="L133" s="42">
        <v>5000000</v>
      </c>
      <c r="O133" s="151" t="s">
        <v>7023</v>
      </c>
      <c r="P133" s="5" t="str">
        <f t="shared" si="2"/>
        <v>A3142</v>
      </c>
      <c r="Q133" s="5">
        <f t="shared" si="3"/>
        <v>1</v>
      </c>
      <c r="R133">
        <f>VLOOKUP(O133,'Data Angt'!$A$5:$F$5810,6,FALSE)</f>
        <v>43</v>
      </c>
      <c r="S133" s="5" t="str">
        <f>VLOOKUP(O133,'Data Angt'!$A$5:$H$5810,8,FALSE)</f>
        <v>Wiraswasta</v>
      </c>
      <c r="T133" s="44" t="str">
        <f>VLOOKUP(O133,'Data Angt'!$A$5:$C$5809,3,FALSE)</f>
        <v>PBL</v>
      </c>
    </row>
    <row r="134" spans="1:20" x14ac:dyDescent="0.3">
      <c r="A134" s="37">
        <v>112054</v>
      </c>
      <c r="B134" s="38">
        <v>128</v>
      </c>
      <c r="C134" s="39" t="s">
        <v>151</v>
      </c>
      <c r="D134" s="10" t="str">
        <f>VLOOKUP(C134,'Data Angt'!$A$5:$B$5809,2,FALSE)</f>
        <v>A49</v>
      </c>
      <c r="E134" s="40" t="s">
        <v>10860</v>
      </c>
      <c r="F134" s="41">
        <v>43593</v>
      </c>
      <c r="G134" s="38">
        <v>12</v>
      </c>
      <c r="H134" s="40">
        <v>0</v>
      </c>
      <c r="I134" s="38">
        <v>5.5</v>
      </c>
      <c r="J134" s="41">
        <v>43593</v>
      </c>
      <c r="K134" s="38" t="s">
        <v>10768</v>
      </c>
      <c r="L134" s="42">
        <v>5000000</v>
      </c>
      <c r="O134" s="151" t="s">
        <v>7032</v>
      </c>
      <c r="P134" s="5" t="str">
        <f t="shared" ref="P134:P197" si="4">VLOOKUP(O134,$C$7:$D$1146,2,FALSE)</f>
        <v>A3146</v>
      </c>
      <c r="Q134" s="5">
        <f t="shared" ref="Q134:Q197" si="5">COUNTIF($C$7:$C$1146,O134)</f>
        <v>1</v>
      </c>
      <c r="R134">
        <f>VLOOKUP(O134,'Data Angt'!$A$5:$F$5810,6,FALSE)</f>
        <v>66</v>
      </c>
      <c r="S134" s="5" t="str">
        <f>VLOOKUP(O134,'Data Angt'!$A$5:$H$5810,8,FALSE)</f>
        <v>Belum/Tidak Bekerja</v>
      </c>
      <c r="T134" s="44" t="str">
        <f>VLOOKUP(O134,'Data Angt'!$A$5:$C$5809,3,FALSE)</f>
        <v>PBL</v>
      </c>
    </row>
    <row r="135" spans="1:20" x14ac:dyDescent="0.3">
      <c r="A135" s="37">
        <v>79012</v>
      </c>
      <c r="B135" s="38">
        <v>129</v>
      </c>
      <c r="C135" s="39" t="s">
        <v>151</v>
      </c>
      <c r="D135" s="10" t="str">
        <f>VLOOKUP(C135,'Data Angt'!$A$5:$B$5809,2,FALSE)</f>
        <v>A49</v>
      </c>
      <c r="E135" s="40" t="s">
        <v>10862</v>
      </c>
      <c r="F135" s="41">
        <v>42065</v>
      </c>
      <c r="G135" s="38">
        <v>12</v>
      </c>
      <c r="H135" s="40">
        <v>0</v>
      </c>
      <c r="I135" s="38">
        <v>5.5</v>
      </c>
      <c r="J135" s="41">
        <v>42038</v>
      </c>
      <c r="K135" s="38" t="s">
        <v>10768</v>
      </c>
      <c r="L135" s="42">
        <v>20000000</v>
      </c>
      <c r="O135" s="151" t="s">
        <v>7096</v>
      </c>
      <c r="P135" s="5" t="str">
        <f t="shared" si="4"/>
        <v>A3175</v>
      </c>
      <c r="Q135" s="5">
        <f t="shared" si="5"/>
        <v>1</v>
      </c>
      <c r="R135">
        <f>VLOOKUP(O135,'Data Angt'!$A$5:$F$5810,6,FALSE)</f>
        <v>37</v>
      </c>
      <c r="S135" s="5" t="str">
        <f>VLOOKUP(O135,'Data Angt'!$A$5:$H$5810,8,FALSE)</f>
        <v>Karyawan</v>
      </c>
      <c r="T135" s="44" t="str">
        <f>VLOOKUP(O135,'Data Angt'!$A$5:$C$5809,3,FALSE)</f>
        <v>PBL</v>
      </c>
    </row>
    <row r="136" spans="1:20" x14ac:dyDescent="0.3">
      <c r="A136" s="37">
        <v>134070</v>
      </c>
      <c r="B136" s="38">
        <v>130</v>
      </c>
      <c r="C136" s="39" t="s">
        <v>151</v>
      </c>
      <c r="D136" s="10" t="str">
        <f>VLOOKUP(C136,'Data Angt'!$A$5:$B$5809,2,FALSE)</f>
        <v>A49</v>
      </c>
      <c r="E136" s="40" t="s">
        <v>10864</v>
      </c>
      <c r="F136" s="41">
        <v>44785</v>
      </c>
      <c r="G136" s="38">
        <v>12</v>
      </c>
      <c r="H136" s="40">
        <v>0</v>
      </c>
      <c r="I136" s="38">
        <v>5.5</v>
      </c>
      <c r="J136" s="41">
        <v>44785</v>
      </c>
      <c r="K136" s="38" t="s">
        <v>10768</v>
      </c>
      <c r="L136" s="42">
        <v>10000000</v>
      </c>
      <c r="O136" s="151" t="s">
        <v>7232</v>
      </c>
      <c r="P136" s="5" t="str">
        <f t="shared" si="4"/>
        <v>A3233</v>
      </c>
      <c r="Q136" s="5">
        <f t="shared" si="5"/>
        <v>1</v>
      </c>
      <c r="R136">
        <f>VLOOKUP(O136,'Data Angt'!$A$5:$F$5810,6,FALSE)</f>
        <v>51</v>
      </c>
      <c r="S136" s="5" t="str">
        <f>VLOOKUP(O136,'Data Angt'!$A$5:$H$5810,8,FALSE)</f>
        <v>Mengurus Rumah Tangga</v>
      </c>
      <c r="T136" s="44" t="str">
        <f>VLOOKUP(O136,'Data Angt'!$A$5:$C$5809,3,FALSE)</f>
        <v>PBL</v>
      </c>
    </row>
    <row r="137" spans="1:20" x14ac:dyDescent="0.3">
      <c r="A137" s="37">
        <v>114474</v>
      </c>
      <c r="B137" s="38">
        <v>131</v>
      </c>
      <c r="C137" s="39" t="s">
        <v>151</v>
      </c>
      <c r="D137" s="10" t="str">
        <f>VLOOKUP(C137,'Data Angt'!$A$5:$B$5809,2,FALSE)</f>
        <v>A49</v>
      </c>
      <c r="E137" s="40" t="s">
        <v>10863</v>
      </c>
      <c r="F137" s="41">
        <v>43670</v>
      </c>
      <c r="G137" s="38">
        <v>12</v>
      </c>
      <c r="H137" s="40">
        <v>0</v>
      </c>
      <c r="I137" s="38">
        <v>5.5</v>
      </c>
      <c r="J137" s="41">
        <v>43670</v>
      </c>
      <c r="K137" s="38" t="s">
        <v>10768</v>
      </c>
      <c r="L137" s="42">
        <v>30000000</v>
      </c>
      <c r="O137" s="151" t="s">
        <v>7337</v>
      </c>
      <c r="P137" s="5" t="str">
        <f t="shared" si="4"/>
        <v>A3282</v>
      </c>
      <c r="Q137" s="5">
        <f t="shared" si="5"/>
        <v>1</v>
      </c>
      <c r="R137">
        <f>VLOOKUP(O137,'Data Angt'!$A$5:$F$5810,6,FALSE)</f>
        <v>51</v>
      </c>
      <c r="S137" s="5" t="str">
        <f>VLOOKUP(O137,'Data Angt'!$A$5:$H$5810,8,FALSE)</f>
        <v>Karyawan</v>
      </c>
      <c r="T137" s="44" t="str">
        <f>VLOOKUP(O137,'Data Angt'!$A$5:$C$5809,3,FALSE)</f>
        <v>PBL</v>
      </c>
    </row>
    <row r="138" spans="1:20" x14ac:dyDescent="0.3">
      <c r="A138" s="37">
        <v>115195</v>
      </c>
      <c r="B138" s="38">
        <v>132</v>
      </c>
      <c r="C138" s="39" t="s">
        <v>151</v>
      </c>
      <c r="D138" s="10" t="str">
        <f>VLOOKUP(C138,'Data Angt'!$A$5:$B$5809,2,FALSE)</f>
        <v>A49</v>
      </c>
      <c r="E138" s="40" t="s">
        <v>10865</v>
      </c>
      <c r="F138" s="41">
        <v>43687</v>
      </c>
      <c r="G138" s="38">
        <v>12</v>
      </c>
      <c r="H138" s="40">
        <v>0</v>
      </c>
      <c r="I138" s="38">
        <v>5.5</v>
      </c>
      <c r="J138" s="41">
        <v>43687</v>
      </c>
      <c r="K138" s="38" t="s">
        <v>10768</v>
      </c>
      <c r="L138" s="42">
        <v>30000000</v>
      </c>
      <c r="O138" s="151" t="s">
        <v>7504</v>
      </c>
      <c r="P138" s="5" t="str">
        <f t="shared" si="4"/>
        <v>A3360</v>
      </c>
      <c r="Q138" s="5">
        <f t="shared" si="5"/>
        <v>1</v>
      </c>
      <c r="R138">
        <f>VLOOKUP(O138,'Data Angt'!$A$5:$F$5810,6,FALSE)</f>
        <v>27</v>
      </c>
      <c r="S138" s="5" t="str">
        <f>VLOOKUP(O138,'Data Angt'!$A$5:$H$5810,8,FALSE)</f>
        <v>Karyawan</v>
      </c>
      <c r="T138" s="44" t="str">
        <f>VLOOKUP(O138,'Data Angt'!$A$5:$C$5809,3,FALSE)</f>
        <v>PBL</v>
      </c>
    </row>
    <row r="139" spans="1:20" x14ac:dyDescent="0.3">
      <c r="A139" s="37">
        <v>138601</v>
      </c>
      <c r="B139" s="38">
        <v>133</v>
      </c>
      <c r="C139" s="39" t="s">
        <v>151</v>
      </c>
      <c r="D139" s="10" t="str">
        <f>VLOOKUP(C139,'Data Angt'!$A$5:$B$5809,2,FALSE)</f>
        <v>A49</v>
      </c>
      <c r="E139" s="40" t="s">
        <v>10866</v>
      </c>
      <c r="F139" s="41">
        <v>45145</v>
      </c>
      <c r="G139" s="38">
        <v>12</v>
      </c>
      <c r="H139" s="40">
        <v>0</v>
      </c>
      <c r="I139" s="38">
        <v>5.5</v>
      </c>
      <c r="J139" s="41">
        <v>45145</v>
      </c>
      <c r="K139" s="38" t="s">
        <v>10768</v>
      </c>
      <c r="L139" s="42">
        <v>20000000</v>
      </c>
      <c r="O139" s="151" t="s">
        <v>7677</v>
      </c>
      <c r="P139" s="5" t="str">
        <f t="shared" si="4"/>
        <v>A3442</v>
      </c>
      <c r="Q139" s="5">
        <f t="shared" si="5"/>
        <v>1</v>
      </c>
      <c r="R139">
        <f>VLOOKUP(O139,'Data Angt'!$A$5:$F$5810,6,FALSE)</f>
        <v>58</v>
      </c>
      <c r="S139" s="5" t="str">
        <f>VLOOKUP(O139,'Data Angt'!$A$5:$H$5810,8,FALSE)</f>
        <v>Karyawan</v>
      </c>
      <c r="T139" s="44" t="str">
        <f>VLOOKUP(O139,'Data Angt'!$A$5:$C$5809,3,FALSE)</f>
        <v>PBL</v>
      </c>
    </row>
    <row r="140" spans="1:20" x14ac:dyDescent="0.3">
      <c r="A140" s="37">
        <v>117471</v>
      </c>
      <c r="B140" s="38">
        <v>134</v>
      </c>
      <c r="C140" s="39" t="s">
        <v>151</v>
      </c>
      <c r="D140" s="10" t="str">
        <f>VLOOKUP(C140,'Data Angt'!$A$5:$B$5809,2,FALSE)</f>
        <v>A49</v>
      </c>
      <c r="E140" s="40" t="s">
        <v>10868</v>
      </c>
      <c r="F140" s="41">
        <v>43753</v>
      </c>
      <c r="G140" s="38">
        <v>12</v>
      </c>
      <c r="H140" s="40">
        <v>0</v>
      </c>
      <c r="I140" s="38">
        <v>5.5</v>
      </c>
      <c r="J140" s="41">
        <v>43753</v>
      </c>
      <c r="K140" s="38" t="s">
        <v>10768</v>
      </c>
      <c r="L140" s="42">
        <v>30000000</v>
      </c>
      <c r="O140" s="151" t="s">
        <v>7678</v>
      </c>
      <c r="P140" s="5" t="str">
        <f t="shared" si="4"/>
        <v>A3443</v>
      </c>
      <c r="Q140" s="5">
        <f t="shared" si="5"/>
        <v>1</v>
      </c>
      <c r="R140">
        <f>VLOOKUP(O140,'Data Angt'!$A$5:$F$5810,6,FALSE)</f>
        <v>24</v>
      </c>
      <c r="S140" s="5" t="str">
        <f>VLOOKUP(O140,'Data Angt'!$A$5:$H$5810,8,FALSE)</f>
        <v>Karyawan</v>
      </c>
      <c r="T140" s="44" t="str">
        <f>VLOOKUP(O140,'Data Angt'!$A$5:$C$5809,3,FALSE)</f>
        <v>PBL</v>
      </c>
    </row>
    <row r="141" spans="1:20" x14ac:dyDescent="0.3">
      <c r="A141" s="37">
        <v>140521</v>
      </c>
      <c r="B141" s="38">
        <v>135</v>
      </c>
      <c r="C141" s="39" t="s">
        <v>151</v>
      </c>
      <c r="D141" s="10" t="str">
        <f>VLOOKUP(C141,'Data Angt'!$A$5:$B$5809,2,FALSE)</f>
        <v>A49</v>
      </c>
      <c r="E141" s="40" t="s">
        <v>10869</v>
      </c>
      <c r="F141" s="41">
        <v>45247</v>
      </c>
      <c r="G141" s="38">
        <v>12</v>
      </c>
      <c r="H141" s="40">
        <v>0</v>
      </c>
      <c r="I141" s="38">
        <v>5.5</v>
      </c>
      <c r="J141" s="41">
        <v>45247</v>
      </c>
      <c r="K141" s="38" t="s">
        <v>10768</v>
      </c>
      <c r="L141" s="42">
        <v>15000000</v>
      </c>
      <c r="O141" s="151" t="s">
        <v>7707</v>
      </c>
      <c r="P141" s="5" t="str">
        <f t="shared" si="4"/>
        <v>A3458</v>
      </c>
      <c r="Q141" s="5">
        <f t="shared" si="5"/>
        <v>3</v>
      </c>
      <c r="R141">
        <f>VLOOKUP(O141,'Data Angt'!$A$5:$F$5810,6,FALSE)</f>
        <v>57</v>
      </c>
      <c r="S141" s="5" t="str">
        <f>VLOOKUP(O141,'Data Angt'!$A$5:$H$5810,8,FALSE)</f>
        <v>Pemuka Agama</v>
      </c>
      <c r="T141" s="44" t="str">
        <f>VLOOKUP(O141,'Data Angt'!$A$5:$C$5809,3,FALSE)</f>
        <v>PBL</v>
      </c>
    </row>
    <row r="142" spans="1:20" x14ac:dyDescent="0.3">
      <c r="A142" s="37">
        <v>79152</v>
      </c>
      <c r="B142" s="38">
        <v>136</v>
      </c>
      <c r="C142" s="39" t="s">
        <v>151</v>
      </c>
      <c r="D142" s="10" t="str">
        <f>VLOOKUP(C142,'Data Angt'!$A$5:$B$5809,2,FALSE)</f>
        <v>A49</v>
      </c>
      <c r="E142" s="40" t="s">
        <v>10867</v>
      </c>
      <c r="F142" s="41">
        <v>42726</v>
      </c>
      <c r="G142" s="38">
        <v>12</v>
      </c>
      <c r="H142" s="40">
        <v>0</v>
      </c>
      <c r="I142" s="38">
        <v>5.5</v>
      </c>
      <c r="J142" s="41">
        <v>42726</v>
      </c>
      <c r="K142" s="38" t="s">
        <v>10768</v>
      </c>
      <c r="L142" s="42">
        <v>10000000</v>
      </c>
      <c r="O142" s="151" t="s">
        <v>7740</v>
      </c>
      <c r="P142" s="5" t="str">
        <f t="shared" si="4"/>
        <v>A3474</v>
      </c>
      <c r="Q142" s="5">
        <f t="shared" si="5"/>
        <v>1</v>
      </c>
      <c r="R142">
        <f>VLOOKUP(O142,'Data Angt'!$A$5:$F$5810,6,FALSE)</f>
        <v>38</v>
      </c>
      <c r="S142" s="5" t="str">
        <f>VLOOKUP(O142,'Data Angt'!$A$5:$H$5810,8,FALSE)</f>
        <v>Mengurus Rumah Tangga</v>
      </c>
      <c r="T142" s="44" t="str">
        <f>VLOOKUP(O142,'Data Angt'!$A$5:$C$5809,3,FALSE)</f>
        <v>PBL</v>
      </c>
    </row>
    <row r="143" spans="1:20" x14ac:dyDescent="0.3">
      <c r="A143" s="37">
        <v>118589</v>
      </c>
      <c r="B143" s="38">
        <v>137</v>
      </c>
      <c r="C143" s="39" t="s">
        <v>151</v>
      </c>
      <c r="D143" s="10" t="str">
        <f>VLOOKUP(C143,'Data Angt'!$A$5:$B$5809,2,FALSE)</f>
        <v>A49</v>
      </c>
      <c r="E143" s="40" t="s">
        <v>10871</v>
      </c>
      <c r="F143" s="41">
        <v>43792</v>
      </c>
      <c r="G143" s="38">
        <v>12</v>
      </c>
      <c r="H143" s="40">
        <v>0</v>
      </c>
      <c r="I143" s="38">
        <v>5.5</v>
      </c>
      <c r="J143" s="41">
        <v>43792</v>
      </c>
      <c r="K143" s="38" t="s">
        <v>10768</v>
      </c>
      <c r="L143" s="42">
        <v>20000000</v>
      </c>
      <c r="O143" s="151" t="s">
        <v>7756</v>
      </c>
      <c r="P143" s="5" t="str">
        <f t="shared" si="4"/>
        <v>A3482</v>
      </c>
      <c r="Q143" s="5">
        <f t="shared" si="5"/>
        <v>1</v>
      </c>
      <c r="R143">
        <f>VLOOKUP(O143,'Data Angt'!$A$5:$F$5810,6,FALSE)</f>
        <v>48</v>
      </c>
      <c r="S143" s="5" t="str">
        <f>VLOOKUP(O143,'Data Angt'!$A$5:$H$5810,8,FALSE)</f>
        <v>Belum/Tidak Bekerja</v>
      </c>
      <c r="T143" s="44" t="str">
        <f>VLOOKUP(O143,'Data Angt'!$A$5:$C$5809,3,FALSE)</f>
        <v>PBL</v>
      </c>
    </row>
    <row r="144" spans="1:20" x14ac:dyDescent="0.3">
      <c r="A144" s="37">
        <v>148041</v>
      </c>
      <c r="B144" s="38">
        <v>138</v>
      </c>
      <c r="C144" s="39" t="s">
        <v>151</v>
      </c>
      <c r="D144" s="10" t="str">
        <f>VLOOKUP(C144,'Data Angt'!$A$5:$B$5809,2,FALSE)</f>
        <v>A49</v>
      </c>
      <c r="E144" s="40" t="s">
        <v>18417</v>
      </c>
      <c r="F144" s="41">
        <v>45513</v>
      </c>
      <c r="G144" s="38">
        <v>12</v>
      </c>
      <c r="H144" s="40">
        <v>0</v>
      </c>
      <c r="I144" s="38">
        <v>5.5</v>
      </c>
      <c r="J144" s="41">
        <v>45513</v>
      </c>
      <c r="K144" s="38" t="s">
        <v>10768</v>
      </c>
      <c r="L144" s="42">
        <v>10000000</v>
      </c>
      <c r="O144" s="151" t="s">
        <v>7795</v>
      </c>
      <c r="P144" s="5" t="str">
        <f t="shared" si="4"/>
        <v>A3504</v>
      </c>
      <c r="Q144" s="5">
        <f t="shared" si="5"/>
        <v>1</v>
      </c>
      <c r="R144">
        <f>VLOOKUP(O144,'Data Angt'!$A$5:$F$5810,6,FALSE)</f>
        <v>46</v>
      </c>
      <c r="S144" s="5" t="str">
        <f>VLOOKUP(O144,'Data Angt'!$A$5:$H$5810,8,FALSE)</f>
        <v>Mengurus Rumah Tangga</v>
      </c>
      <c r="T144" s="44" t="str">
        <f>VLOOKUP(O144,'Data Angt'!$A$5:$C$5809,3,FALSE)</f>
        <v>PBL</v>
      </c>
    </row>
    <row r="145" spans="1:20" x14ac:dyDescent="0.3">
      <c r="A145" s="37">
        <v>79256</v>
      </c>
      <c r="B145" s="38">
        <v>139</v>
      </c>
      <c r="C145" s="39" t="s">
        <v>151</v>
      </c>
      <c r="D145" s="10" t="str">
        <f>VLOOKUP(C145,'Data Angt'!$A$5:$B$5809,2,FALSE)</f>
        <v>A49</v>
      </c>
      <c r="E145" s="40" t="s">
        <v>10870</v>
      </c>
      <c r="F145" s="41">
        <v>42907</v>
      </c>
      <c r="G145" s="38">
        <v>12</v>
      </c>
      <c r="H145" s="40">
        <v>0</v>
      </c>
      <c r="I145" s="38">
        <v>5.5</v>
      </c>
      <c r="J145" s="41">
        <v>42907</v>
      </c>
      <c r="K145" s="38" t="s">
        <v>10768</v>
      </c>
      <c r="L145" s="42">
        <v>15000000</v>
      </c>
      <c r="O145" s="151" t="s">
        <v>12517</v>
      </c>
      <c r="P145" s="5" t="str">
        <f t="shared" si="4"/>
        <v>A3515</v>
      </c>
      <c r="Q145" s="5">
        <f t="shared" si="5"/>
        <v>1</v>
      </c>
      <c r="R145">
        <f>VLOOKUP(O145,'Data Angt'!$A$5:$F$5810,6,FALSE)</f>
        <v>34</v>
      </c>
      <c r="S145" s="5" t="str">
        <f>VLOOKUP(O145,'Data Angt'!$A$5:$H$5810,8,FALSE)</f>
        <v>Karyawan</v>
      </c>
      <c r="T145" s="44" t="str">
        <f>VLOOKUP(O145,'Data Angt'!$A$5:$C$5809,3,FALSE)</f>
        <v>PBL</v>
      </c>
    </row>
    <row r="146" spans="1:20" x14ac:dyDescent="0.3">
      <c r="A146" s="37">
        <v>119637</v>
      </c>
      <c r="B146" s="38">
        <v>140</v>
      </c>
      <c r="C146" s="39" t="s">
        <v>151</v>
      </c>
      <c r="D146" s="10" t="str">
        <f>VLOOKUP(C146,'Data Angt'!$A$5:$B$5809,2,FALSE)</f>
        <v>A49</v>
      </c>
      <c r="E146" s="40" t="s">
        <v>10872</v>
      </c>
      <c r="F146" s="41">
        <v>43843</v>
      </c>
      <c r="G146" s="38">
        <v>12</v>
      </c>
      <c r="H146" s="40">
        <v>0</v>
      </c>
      <c r="I146" s="38">
        <v>5.5</v>
      </c>
      <c r="J146" s="41">
        <v>43843</v>
      </c>
      <c r="K146" s="38" t="s">
        <v>10768</v>
      </c>
      <c r="L146" s="42">
        <v>12000000</v>
      </c>
      <c r="O146" s="151" t="s">
        <v>12552</v>
      </c>
      <c r="P146" s="5" t="str">
        <f t="shared" si="4"/>
        <v>A3718</v>
      </c>
      <c r="Q146" s="5">
        <f t="shared" si="5"/>
        <v>5</v>
      </c>
      <c r="R146">
        <f>VLOOKUP(O146,'Data Angt'!$A$5:$F$5810,6,FALSE)</f>
        <v>37</v>
      </c>
      <c r="S146" s="5" t="str">
        <f>VLOOKUP(O146,'Data Angt'!$A$5:$H$5810,8,FALSE)</f>
        <v>Mengurus Rumah Tangga</v>
      </c>
      <c r="T146" s="44" t="str">
        <f>VLOOKUP(O146,'Data Angt'!$A$5:$C$5809,3,FALSE)</f>
        <v>PBL</v>
      </c>
    </row>
    <row r="147" spans="1:20" x14ac:dyDescent="0.3">
      <c r="A147" s="37">
        <v>153216</v>
      </c>
      <c r="B147" s="38">
        <v>141</v>
      </c>
      <c r="C147" s="39" t="s">
        <v>151</v>
      </c>
      <c r="D147" s="10" t="str">
        <f>VLOOKUP(C147,'Data Angt'!$A$5:$B$5809,2,FALSE)</f>
        <v>A49</v>
      </c>
      <c r="E147" s="40" t="s">
        <v>18418</v>
      </c>
      <c r="F147" s="41">
        <v>45700</v>
      </c>
      <c r="G147" s="38">
        <v>12</v>
      </c>
      <c r="H147" s="40">
        <v>0</v>
      </c>
      <c r="I147" s="38">
        <v>5.5</v>
      </c>
      <c r="J147" s="41">
        <v>45700</v>
      </c>
      <c r="K147" s="38" t="s">
        <v>10768</v>
      </c>
      <c r="L147" s="42">
        <v>5000000</v>
      </c>
      <c r="O147" s="151" t="s">
        <v>8251</v>
      </c>
      <c r="P147" s="5" t="str">
        <f t="shared" si="4"/>
        <v>A3738</v>
      </c>
      <c r="Q147" s="5">
        <f t="shared" si="5"/>
        <v>1</v>
      </c>
      <c r="R147">
        <f>VLOOKUP(O147,'Data Angt'!$A$5:$F$5810,6,FALSE)</f>
        <v>43</v>
      </c>
      <c r="S147" s="5" t="str">
        <f>VLOOKUP(O147,'Data Angt'!$A$5:$H$5810,8,FALSE)</f>
        <v>Karyawan</v>
      </c>
      <c r="T147" s="44" t="str">
        <f>VLOOKUP(O147,'Data Angt'!$A$5:$C$5809,3,FALSE)</f>
        <v>PBL</v>
      </c>
    </row>
    <row r="148" spans="1:20" x14ac:dyDescent="0.3">
      <c r="A148" s="37">
        <v>155128</v>
      </c>
      <c r="B148" s="38">
        <v>142</v>
      </c>
      <c r="C148" s="39" t="s">
        <v>151</v>
      </c>
      <c r="D148" s="10" t="str">
        <f>VLOOKUP(C148,'Data Angt'!$A$5:$B$5809,2,FALSE)</f>
        <v>A49</v>
      </c>
      <c r="E148" s="40" t="s">
        <v>18419</v>
      </c>
      <c r="F148" s="41">
        <v>45769</v>
      </c>
      <c r="G148" s="38">
        <v>12</v>
      </c>
      <c r="H148" s="40">
        <v>0</v>
      </c>
      <c r="I148" s="38">
        <v>5.5</v>
      </c>
      <c r="J148" s="41">
        <v>45769</v>
      </c>
      <c r="K148" s="38" t="s">
        <v>10768</v>
      </c>
      <c r="L148" s="42">
        <v>10000000</v>
      </c>
      <c r="O148" s="151" t="s">
        <v>8252</v>
      </c>
      <c r="P148" s="5" t="str">
        <f t="shared" si="4"/>
        <v>A3739</v>
      </c>
      <c r="Q148" s="5">
        <f t="shared" si="5"/>
        <v>1</v>
      </c>
      <c r="R148">
        <f>VLOOKUP(O148,'Data Angt'!$A$5:$F$5810,6,FALSE)</f>
        <v>56</v>
      </c>
      <c r="S148" s="5" t="str">
        <f>VLOOKUP(O148,'Data Angt'!$A$5:$H$5810,8,FALSE)</f>
        <v>Pemuka Agama</v>
      </c>
      <c r="T148" s="44" t="str">
        <f>VLOOKUP(O148,'Data Angt'!$A$5:$C$5809,3,FALSE)</f>
        <v>PBL</v>
      </c>
    </row>
    <row r="149" spans="1:20" x14ac:dyDescent="0.3">
      <c r="A149" s="37">
        <v>123487</v>
      </c>
      <c r="B149" s="38">
        <v>143</v>
      </c>
      <c r="C149" s="39" t="s">
        <v>151</v>
      </c>
      <c r="D149" s="10" t="str">
        <f>VLOOKUP(C149,'Data Angt'!$A$5:$B$5809,2,FALSE)</f>
        <v>A49</v>
      </c>
      <c r="E149" s="40" t="s">
        <v>10873</v>
      </c>
      <c r="F149" s="41">
        <v>43984</v>
      </c>
      <c r="G149" s="38">
        <v>12</v>
      </c>
      <c r="H149" s="40">
        <v>0</v>
      </c>
      <c r="I149" s="38">
        <v>5.5</v>
      </c>
      <c r="J149" s="41">
        <v>43984</v>
      </c>
      <c r="K149" s="38" t="s">
        <v>10768</v>
      </c>
      <c r="L149" s="42">
        <v>5000000</v>
      </c>
      <c r="O149" s="151" t="s">
        <v>8310</v>
      </c>
      <c r="P149" s="5" t="str">
        <f t="shared" si="4"/>
        <v>A3768</v>
      </c>
      <c r="Q149" s="5">
        <f t="shared" si="5"/>
        <v>1</v>
      </c>
      <c r="R149">
        <f>VLOOKUP(O149,'Data Angt'!$A$5:$F$5810,6,FALSE)</f>
        <v>50</v>
      </c>
      <c r="S149" s="5" t="str">
        <f>VLOOKUP(O149,'Data Angt'!$A$5:$H$5810,8,FALSE)</f>
        <v>Karyawan</v>
      </c>
      <c r="T149" s="44" t="str">
        <f>VLOOKUP(O149,'Data Angt'!$A$5:$C$5809,3,FALSE)</f>
        <v>PBL</v>
      </c>
    </row>
    <row r="150" spans="1:20" x14ac:dyDescent="0.3">
      <c r="A150" s="37">
        <v>156964</v>
      </c>
      <c r="B150" s="38">
        <v>144</v>
      </c>
      <c r="C150" s="39" t="s">
        <v>151</v>
      </c>
      <c r="D150" s="10" t="str">
        <f>VLOOKUP(C150,'Data Angt'!$A$5:$B$5809,2,FALSE)</f>
        <v>A49</v>
      </c>
      <c r="E150" s="40" t="s">
        <v>24127</v>
      </c>
      <c r="F150" s="41">
        <v>45849</v>
      </c>
      <c r="G150" s="38">
        <v>12</v>
      </c>
      <c r="H150" s="40">
        <v>0</v>
      </c>
      <c r="I150" s="38">
        <v>5.5</v>
      </c>
      <c r="J150" s="41">
        <v>45849</v>
      </c>
      <c r="K150" s="38" t="s">
        <v>10768</v>
      </c>
      <c r="L150" s="42">
        <v>5000000</v>
      </c>
      <c r="O150" s="151" t="s">
        <v>8333</v>
      </c>
      <c r="P150" s="5" t="str">
        <f t="shared" si="4"/>
        <v>A3778</v>
      </c>
      <c r="Q150" s="5">
        <f t="shared" si="5"/>
        <v>1</v>
      </c>
      <c r="R150">
        <f>VLOOKUP(O150,'Data Angt'!$A$5:$F$5810,6,FALSE)</f>
        <v>32</v>
      </c>
      <c r="S150" s="5" t="str">
        <f>VLOOKUP(O150,'Data Angt'!$A$5:$H$5810,8,FALSE)</f>
        <v>Karyawan</v>
      </c>
      <c r="T150" s="44" t="str">
        <f>VLOOKUP(O150,'Data Angt'!$A$5:$C$5809,3,FALSE)</f>
        <v>PBL</v>
      </c>
    </row>
    <row r="151" spans="1:20" x14ac:dyDescent="0.3">
      <c r="A151" s="37">
        <v>153491</v>
      </c>
      <c r="B151" s="38">
        <v>145</v>
      </c>
      <c r="C151" s="39" t="s">
        <v>153</v>
      </c>
      <c r="D151" s="10" t="str">
        <f>VLOOKUP(C151,'Data Angt'!$A$5:$B$5809,2,FALSE)</f>
        <v>A50</v>
      </c>
      <c r="E151" s="40" t="s">
        <v>18420</v>
      </c>
      <c r="F151" s="41">
        <v>45706</v>
      </c>
      <c r="G151" s="38">
        <v>12</v>
      </c>
      <c r="H151" s="40">
        <v>0</v>
      </c>
      <c r="I151" s="38">
        <v>6</v>
      </c>
      <c r="J151" s="41">
        <v>45706</v>
      </c>
      <c r="K151" s="38" t="s">
        <v>10768</v>
      </c>
      <c r="L151" s="42">
        <v>300000000</v>
      </c>
      <c r="O151" s="151" t="s">
        <v>8346</v>
      </c>
      <c r="P151" s="5" t="str">
        <f t="shared" si="4"/>
        <v>A3784</v>
      </c>
      <c r="Q151" s="5">
        <f t="shared" si="5"/>
        <v>1</v>
      </c>
      <c r="R151">
        <f>VLOOKUP(O151,'Data Angt'!$A$5:$F$5810,6,FALSE)</f>
        <v>30</v>
      </c>
      <c r="S151" s="5" t="str">
        <f>VLOOKUP(O151,'Data Angt'!$A$5:$H$5810,8,FALSE)</f>
        <v>Karyawan</v>
      </c>
      <c r="T151" s="44" t="str">
        <f>VLOOKUP(O151,'Data Angt'!$A$5:$C$5809,3,FALSE)</f>
        <v>PBL</v>
      </c>
    </row>
    <row r="152" spans="1:20" x14ac:dyDescent="0.3">
      <c r="A152" s="37">
        <v>152446</v>
      </c>
      <c r="B152" s="38">
        <v>146</v>
      </c>
      <c r="C152" s="39" t="s">
        <v>187</v>
      </c>
      <c r="D152" s="10" t="str">
        <f>VLOOKUP(C152,'Data Angt'!$A$5:$B$5809,2,FALSE)</f>
        <v>A60</v>
      </c>
      <c r="E152" s="40" t="s">
        <v>18421</v>
      </c>
      <c r="F152" s="41">
        <v>45680</v>
      </c>
      <c r="G152" s="38">
        <v>12</v>
      </c>
      <c r="H152" s="40">
        <v>0</v>
      </c>
      <c r="I152" s="38">
        <v>5.5</v>
      </c>
      <c r="J152" s="41">
        <v>45680</v>
      </c>
      <c r="K152" s="38" t="s">
        <v>10768</v>
      </c>
      <c r="L152" s="42">
        <v>75000000</v>
      </c>
      <c r="O152" s="151" t="s">
        <v>8376</v>
      </c>
      <c r="P152" s="5" t="str">
        <f t="shared" si="4"/>
        <v>A3796</v>
      </c>
      <c r="Q152" s="5">
        <f t="shared" si="5"/>
        <v>1</v>
      </c>
      <c r="R152">
        <f>VLOOKUP(O152,'Data Angt'!$A$5:$F$5810,6,FALSE)</f>
        <v>51</v>
      </c>
      <c r="S152" s="5" t="str">
        <f>VLOOKUP(O152,'Data Angt'!$A$5:$H$5810,8,FALSE)</f>
        <v>Mengurus Rumah Tangga</v>
      </c>
      <c r="T152" s="44" t="str">
        <f>VLOOKUP(O152,'Data Angt'!$A$5:$C$5809,3,FALSE)</f>
        <v>PBL</v>
      </c>
    </row>
    <row r="153" spans="1:20" x14ac:dyDescent="0.3">
      <c r="A153" s="37">
        <v>130902</v>
      </c>
      <c r="B153" s="38">
        <v>147</v>
      </c>
      <c r="C153" s="39" t="s">
        <v>215</v>
      </c>
      <c r="D153" s="10" t="str">
        <f>VLOOKUP(C153,'Data Angt'!$A$5:$B$5809,2,FALSE)</f>
        <v>A68</v>
      </c>
      <c r="E153" s="40" t="s">
        <v>10880</v>
      </c>
      <c r="F153" s="41">
        <v>44539</v>
      </c>
      <c r="G153" s="38">
        <v>12</v>
      </c>
      <c r="H153" s="40">
        <v>0</v>
      </c>
      <c r="I153" s="38">
        <v>5.5</v>
      </c>
      <c r="J153" s="41">
        <v>44539</v>
      </c>
      <c r="K153" s="38" t="s">
        <v>10768</v>
      </c>
      <c r="L153" s="42">
        <v>2000000</v>
      </c>
      <c r="O153" s="151" t="s">
        <v>8391</v>
      </c>
      <c r="P153" s="5" t="str">
        <f t="shared" si="4"/>
        <v>A3803</v>
      </c>
      <c r="Q153" s="5">
        <f t="shared" si="5"/>
        <v>9</v>
      </c>
      <c r="R153">
        <f>VLOOKUP(O153,'Data Angt'!$A$5:$F$5810,6,FALSE)</f>
        <v>70</v>
      </c>
      <c r="S153" s="5" t="str">
        <f>VLOOKUP(O153,'Data Angt'!$A$5:$H$5810,8,FALSE)</f>
        <v>Pemuka Agama</v>
      </c>
      <c r="T153" s="44" t="str">
        <f>VLOOKUP(O153,'Data Angt'!$A$5:$C$5809,3,FALSE)</f>
        <v>PBL</v>
      </c>
    </row>
    <row r="154" spans="1:20" x14ac:dyDescent="0.3">
      <c r="A154" s="37">
        <v>132052</v>
      </c>
      <c r="B154" s="38">
        <v>148</v>
      </c>
      <c r="C154" s="39" t="s">
        <v>215</v>
      </c>
      <c r="D154" s="10" t="str">
        <f>VLOOKUP(C154,'Data Angt'!$A$5:$B$5809,2,FALSE)</f>
        <v>A68</v>
      </c>
      <c r="E154" s="40" t="s">
        <v>10881</v>
      </c>
      <c r="F154" s="41">
        <v>44631</v>
      </c>
      <c r="G154" s="38">
        <v>12</v>
      </c>
      <c r="H154" s="40">
        <v>0</v>
      </c>
      <c r="I154" s="38">
        <v>5.5</v>
      </c>
      <c r="J154" s="41">
        <v>44631</v>
      </c>
      <c r="K154" s="38" t="s">
        <v>10768</v>
      </c>
      <c r="L154" s="42">
        <v>30000000</v>
      </c>
      <c r="O154" s="151" t="s">
        <v>8606</v>
      </c>
      <c r="P154" s="5" t="str">
        <f t="shared" si="4"/>
        <v>A3903</v>
      </c>
      <c r="Q154" s="5">
        <f t="shared" si="5"/>
        <v>1</v>
      </c>
      <c r="R154">
        <f>VLOOKUP(O154,'Data Angt'!$A$5:$F$5810,6,FALSE)</f>
        <v>41</v>
      </c>
      <c r="S154" s="5" t="str">
        <f>VLOOKUP(O154,'Data Angt'!$A$5:$H$5810,8,FALSE)</f>
        <v>Karyawan</v>
      </c>
      <c r="T154" s="44" t="str">
        <f>VLOOKUP(O154,'Data Angt'!$A$5:$C$5809,3,FALSE)</f>
        <v>PBL</v>
      </c>
    </row>
    <row r="155" spans="1:20" x14ac:dyDescent="0.3">
      <c r="A155" s="37">
        <v>93516</v>
      </c>
      <c r="B155" s="38">
        <v>149</v>
      </c>
      <c r="C155" s="39" t="s">
        <v>235</v>
      </c>
      <c r="D155" s="10" t="str">
        <f>VLOOKUP(C155,'Data Angt'!$A$5:$B$5809,2,FALSE)</f>
        <v>A74</v>
      </c>
      <c r="E155" s="40" t="s">
        <v>10882</v>
      </c>
      <c r="F155" s="41">
        <v>43494</v>
      </c>
      <c r="G155" s="38">
        <v>12</v>
      </c>
      <c r="H155" s="40">
        <v>0</v>
      </c>
      <c r="I155" s="38">
        <v>5.5</v>
      </c>
      <c r="J155" s="41">
        <v>43494</v>
      </c>
      <c r="K155" s="38" t="s">
        <v>10768</v>
      </c>
      <c r="L155" s="42">
        <v>3000000</v>
      </c>
      <c r="O155" s="151" t="s">
        <v>8621</v>
      </c>
      <c r="P155" s="5" t="str">
        <f t="shared" si="4"/>
        <v>A3909</v>
      </c>
      <c r="Q155" s="5">
        <f t="shared" si="5"/>
        <v>1</v>
      </c>
      <c r="R155">
        <f>VLOOKUP(O155,'Data Angt'!$A$5:$F$5810,6,FALSE)</f>
        <v>58</v>
      </c>
      <c r="S155" s="5" t="str">
        <f>VLOOKUP(O155,'Data Angt'!$A$5:$H$5810,8,FALSE)</f>
        <v>Petani/Pekebun/Nelayan</v>
      </c>
      <c r="T155" s="44" t="str">
        <f>VLOOKUP(O155,'Data Angt'!$A$5:$C$5809,3,FALSE)</f>
        <v>PBL</v>
      </c>
    </row>
    <row r="156" spans="1:20" x14ac:dyDescent="0.3">
      <c r="A156" s="37">
        <v>131989</v>
      </c>
      <c r="B156" s="38">
        <v>150</v>
      </c>
      <c r="C156" s="39" t="s">
        <v>250</v>
      </c>
      <c r="D156" s="10" t="str">
        <f>VLOOKUP(C156,'Data Angt'!$A$5:$B$5809,2,FALSE)</f>
        <v>A79</v>
      </c>
      <c r="E156" s="40" t="s">
        <v>10883</v>
      </c>
      <c r="F156" s="41">
        <v>44627</v>
      </c>
      <c r="G156" s="38">
        <v>12</v>
      </c>
      <c r="H156" s="40">
        <v>0</v>
      </c>
      <c r="I156" s="38">
        <v>5.5</v>
      </c>
      <c r="J156" s="41">
        <v>44627</v>
      </c>
      <c r="K156" s="38" t="s">
        <v>10768</v>
      </c>
      <c r="L156" s="42">
        <v>25000000</v>
      </c>
      <c r="O156" s="151" t="s">
        <v>8663</v>
      </c>
      <c r="P156" s="5" t="str">
        <f t="shared" si="4"/>
        <v>A3929</v>
      </c>
      <c r="Q156" s="5">
        <f t="shared" si="5"/>
        <v>5</v>
      </c>
      <c r="R156">
        <f>VLOOKUP(O156,'Data Angt'!$A$5:$F$5810,6,FALSE)</f>
        <v>44</v>
      </c>
      <c r="S156" s="5" t="str">
        <f>VLOOKUP(O156,'Data Angt'!$A$5:$H$5810,8,FALSE)</f>
        <v>Karyawan</v>
      </c>
      <c r="T156" s="44" t="str">
        <f>VLOOKUP(O156,'Data Angt'!$A$5:$C$5809,3,FALSE)</f>
        <v>PBL</v>
      </c>
    </row>
    <row r="157" spans="1:20" x14ac:dyDescent="0.3">
      <c r="A157" s="37">
        <v>132812</v>
      </c>
      <c r="B157" s="38">
        <v>151</v>
      </c>
      <c r="C157" s="39" t="s">
        <v>250</v>
      </c>
      <c r="D157" s="10" t="str">
        <f>VLOOKUP(C157,'Data Angt'!$A$5:$B$5809,2,FALSE)</f>
        <v>A79</v>
      </c>
      <c r="E157" s="40" t="s">
        <v>10884</v>
      </c>
      <c r="F157" s="41">
        <v>44690</v>
      </c>
      <c r="G157" s="38">
        <v>12</v>
      </c>
      <c r="H157" s="40">
        <v>0</v>
      </c>
      <c r="I157" s="38">
        <v>5.5</v>
      </c>
      <c r="J157" s="41">
        <v>44690</v>
      </c>
      <c r="K157" s="38" t="s">
        <v>10768</v>
      </c>
      <c r="L157" s="42">
        <v>25000000</v>
      </c>
      <c r="O157" s="151" t="s">
        <v>8679</v>
      </c>
      <c r="P157" s="5" t="str">
        <f t="shared" si="4"/>
        <v>A3937</v>
      </c>
      <c r="Q157" s="5">
        <f t="shared" si="5"/>
        <v>1</v>
      </c>
      <c r="R157">
        <f>VLOOKUP(O157,'Data Angt'!$A$5:$F$5810,6,FALSE)</f>
        <v>46</v>
      </c>
      <c r="S157" s="5" t="str">
        <f>VLOOKUP(O157,'Data Angt'!$A$5:$H$5810,8,FALSE)</f>
        <v>Karyawan</v>
      </c>
      <c r="T157" s="44" t="str">
        <f>VLOOKUP(O157,'Data Angt'!$A$5:$C$5809,3,FALSE)</f>
        <v>PBL</v>
      </c>
    </row>
    <row r="158" spans="1:20" x14ac:dyDescent="0.3">
      <c r="A158" s="37">
        <v>78982</v>
      </c>
      <c r="B158" s="38">
        <v>152</v>
      </c>
      <c r="C158" s="39" t="s">
        <v>260</v>
      </c>
      <c r="D158" s="10" t="str">
        <f>VLOOKUP(C158,'Data Angt'!$A$5:$B$5809,2,FALSE)</f>
        <v>A82</v>
      </c>
      <c r="E158" s="40" t="s">
        <v>10888</v>
      </c>
      <c r="F158" s="41">
        <v>41048</v>
      </c>
      <c r="G158" s="38">
        <v>12</v>
      </c>
      <c r="H158" s="40">
        <v>0</v>
      </c>
      <c r="I158" s="38">
        <v>5.5</v>
      </c>
      <c r="J158" s="41">
        <v>41048</v>
      </c>
      <c r="K158" s="38" t="s">
        <v>10768</v>
      </c>
      <c r="L158" s="42">
        <v>86000000</v>
      </c>
      <c r="O158" s="151" t="s">
        <v>8852</v>
      </c>
      <c r="P158" s="5" t="str">
        <f t="shared" si="4"/>
        <v>A4019</v>
      </c>
      <c r="Q158" s="5">
        <f t="shared" si="5"/>
        <v>1</v>
      </c>
      <c r="R158">
        <f>VLOOKUP(O158,'Data Angt'!$A$5:$F$5810,6,FALSE)</f>
        <v>69</v>
      </c>
      <c r="S158" s="5" t="str">
        <f>VLOOKUP(O158,'Data Angt'!$A$5:$H$5810,8,FALSE)</f>
        <v>Pensiunan</v>
      </c>
      <c r="T158" s="44" t="str">
        <f>VLOOKUP(O158,'Data Angt'!$A$5:$C$5809,3,FALSE)</f>
        <v>PBL</v>
      </c>
    </row>
    <row r="159" spans="1:20" x14ac:dyDescent="0.3">
      <c r="A159" s="37">
        <v>137206</v>
      </c>
      <c r="B159" s="38">
        <v>153</v>
      </c>
      <c r="C159" s="39" t="s">
        <v>260</v>
      </c>
      <c r="D159" s="10" t="str">
        <f>VLOOKUP(C159,'Data Angt'!$A$5:$B$5809,2,FALSE)</f>
        <v>A82</v>
      </c>
      <c r="E159" s="40" t="s">
        <v>10887</v>
      </c>
      <c r="F159" s="41">
        <v>45036</v>
      </c>
      <c r="G159" s="38">
        <v>12</v>
      </c>
      <c r="H159" s="40">
        <v>0</v>
      </c>
      <c r="I159" s="38">
        <v>5.5</v>
      </c>
      <c r="J159" s="41">
        <v>45036</v>
      </c>
      <c r="K159" s="38" t="s">
        <v>10768</v>
      </c>
      <c r="L159" s="42">
        <v>70000000</v>
      </c>
      <c r="O159" s="151" t="s">
        <v>8874</v>
      </c>
      <c r="P159" s="5" t="str">
        <f t="shared" si="4"/>
        <v>A4030</v>
      </c>
      <c r="Q159" s="5">
        <f t="shared" si="5"/>
        <v>4</v>
      </c>
      <c r="R159">
        <f>VLOOKUP(O159,'Data Angt'!$A$5:$F$5810,6,FALSE)</f>
        <v>26</v>
      </c>
      <c r="S159" s="5">
        <f>VLOOKUP(O159,'Data Angt'!$A$5:$H$5810,8,FALSE)</f>
        <v>0</v>
      </c>
      <c r="T159" s="44" t="str">
        <f>VLOOKUP(O159,'Data Angt'!$A$5:$C$5809,3,FALSE)</f>
        <v>PBL</v>
      </c>
    </row>
    <row r="160" spans="1:20" x14ac:dyDescent="0.3">
      <c r="A160" s="37">
        <v>78983</v>
      </c>
      <c r="B160" s="38">
        <v>154</v>
      </c>
      <c r="C160" s="39" t="s">
        <v>260</v>
      </c>
      <c r="D160" s="10" t="str">
        <f>VLOOKUP(C160,'Data Angt'!$A$5:$B$5809,2,FALSE)</f>
        <v>A82</v>
      </c>
      <c r="E160" s="40" t="s">
        <v>10890</v>
      </c>
      <c r="F160" s="41">
        <v>41066</v>
      </c>
      <c r="G160" s="38">
        <v>12</v>
      </c>
      <c r="H160" s="40">
        <v>0</v>
      </c>
      <c r="I160" s="38">
        <v>5.5</v>
      </c>
      <c r="J160" s="41">
        <v>41066</v>
      </c>
      <c r="K160" s="38" t="s">
        <v>10768</v>
      </c>
      <c r="L160" s="42">
        <v>148000000</v>
      </c>
      <c r="O160" s="151" t="s">
        <v>8900</v>
      </c>
      <c r="P160" s="5" t="str">
        <f t="shared" si="4"/>
        <v>A4044</v>
      </c>
      <c r="Q160" s="5">
        <f t="shared" si="5"/>
        <v>1</v>
      </c>
      <c r="R160">
        <f>VLOOKUP(O160,'Data Angt'!$A$5:$F$5810,6,FALSE)</f>
        <v>40</v>
      </c>
      <c r="S160" s="5" t="str">
        <f>VLOOKUP(O160,'Data Angt'!$A$5:$H$5810,8,FALSE)</f>
        <v>Wiraswasta</v>
      </c>
      <c r="T160" s="44" t="str">
        <f>VLOOKUP(O160,'Data Angt'!$A$5:$C$5809,3,FALSE)</f>
        <v>PBL</v>
      </c>
    </row>
    <row r="161" spans="1:20" x14ac:dyDescent="0.3">
      <c r="A161" s="37">
        <v>137848</v>
      </c>
      <c r="B161" s="38">
        <v>155</v>
      </c>
      <c r="C161" s="39" t="s">
        <v>260</v>
      </c>
      <c r="D161" s="10" t="str">
        <f>VLOOKUP(C161,'Data Angt'!$A$5:$B$5809,2,FALSE)</f>
        <v>A82</v>
      </c>
      <c r="E161" s="40" t="s">
        <v>10889</v>
      </c>
      <c r="F161" s="41">
        <v>45093</v>
      </c>
      <c r="G161" s="38">
        <v>12</v>
      </c>
      <c r="H161" s="40">
        <v>0</v>
      </c>
      <c r="I161" s="38">
        <v>5.5</v>
      </c>
      <c r="J161" s="41">
        <v>45093</v>
      </c>
      <c r="K161" s="38" t="s">
        <v>10768</v>
      </c>
      <c r="L161" s="42">
        <v>56000000</v>
      </c>
      <c r="O161" s="151" t="s">
        <v>9009</v>
      </c>
      <c r="P161" s="5" t="str">
        <f t="shared" si="4"/>
        <v>A4097</v>
      </c>
      <c r="Q161" s="5">
        <f t="shared" si="5"/>
        <v>1</v>
      </c>
      <c r="R161">
        <f>VLOOKUP(O161,'Data Angt'!$A$5:$F$5810,6,FALSE)</f>
        <v>23</v>
      </c>
      <c r="S161" s="5" t="str">
        <f>VLOOKUP(O161,'Data Angt'!$A$5:$H$5810,8,FALSE)</f>
        <v>Pelajar/Mahasiswa</v>
      </c>
      <c r="T161" s="44" t="str">
        <f>VLOOKUP(O161,'Data Angt'!$A$5:$C$5809,3,FALSE)</f>
        <v>PBL</v>
      </c>
    </row>
    <row r="162" spans="1:20" x14ac:dyDescent="0.3">
      <c r="A162" s="37">
        <v>139957</v>
      </c>
      <c r="B162" s="38">
        <v>156</v>
      </c>
      <c r="C162" s="39" t="s">
        <v>260</v>
      </c>
      <c r="D162" s="10" t="str">
        <f>VLOOKUP(C162,'Data Angt'!$A$5:$B$5809,2,FALSE)</f>
        <v>A82</v>
      </c>
      <c r="E162" s="40" t="s">
        <v>10891</v>
      </c>
      <c r="F162" s="41">
        <v>45222</v>
      </c>
      <c r="G162" s="38">
        <v>12</v>
      </c>
      <c r="H162" s="40">
        <v>0</v>
      </c>
      <c r="I162" s="38">
        <v>5.5</v>
      </c>
      <c r="J162" s="41">
        <v>45222</v>
      </c>
      <c r="K162" s="38" t="s">
        <v>10768</v>
      </c>
      <c r="L162" s="42">
        <v>100000000</v>
      </c>
      <c r="O162" s="151" t="s">
        <v>9022</v>
      </c>
      <c r="P162" s="5" t="str">
        <f t="shared" si="4"/>
        <v>A4102</v>
      </c>
      <c r="Q162" s="5">
        <f t="shared" si="5"/>
        <v>1</v>
      </c>
      <c r="R162">
        <f>VLOOKUP(O162,'Data Angt'!$A$5:$F$5810,6,FALSE)</f>
        <v>58</v>
      </c>
      <c r="S162" s="5" t="str">
        <f>VLOOKUP(O162,'Data Angt'!$A$5:$H$5810,8,FALSE)</f>
        <v>Karyawan</v>
      </c>
      <c r="T162" s="44" t="str">
        <f>VLOOKUP(O162,'Data Angt'!$A$5:$C$5809,3,FALSE)</f>
        <v>PBL</v>
      </c>
    </row>
    <row r="163" spans="1:20" x14ac:dyDescent="0.3">
      <c r="A163" s="37">
        <v>141156</v>
      </c>
      <c r="B163" s="38">
        <v>157</v>
      </c>
      <c r="C163" s="39" t="s">
        <v>260</v>
      </c>
      <c r="D163" s="10" t="str">
        <f>VLOOKUP(C163,'Data Angt'!$A$5:$B$5809,2,FALSE)</f>
        <v>A82</v>
      </c>
      <c r="E163" s="40" t="s">
        <v>10892</v>
      </c>
      <c r="F163" s="41">
        <v>45279</v>
      </c>
      <c r="G163" s="38">
        <v>12</v>
      </c>
      <c r="H163" s="40">
        <v>0</v>
      </c>
      <c r="I163" s="38">
        <v>5.5</v>
      </c>
      <c r="J163" s="41">
        <v>45279</v>
      </c>
      <c r="K163" s="38" t="s">
        <v>10768</v>
      </c>
      <c r="L163" s="42">
        <v>110000000</v>
      </c>
      <c r="O163" s="151" t="s">
        <v>12588</v>
      </c>
      <c r="P163" s="5" t="str">
        <f t="shared" si="4"/>
        <v>A4107</v>
      </c>
      <c r="Q163" s="5">
        <f t="shared" si="5"/>
        <v>1</v>
      </c>
      <c r="R163">
        <f>VLOOKUP(O163,'Data Angt'!$A$5:$F$5810,6,FALSE)</f>
        <v>18</v>
      </c>
      <c r="S163" s="5" t="str">
        <f>VLOOKUP(O163,'Data Angt'!$A$5:$H$5810,8,FALSE)</f>
        <v>Belum/Tidak Bekerja</v>
      </c>
      <c r="T163" s="44" t="str">
        <f>VLOOKUP(O163,'Data Angt'!$A$5:$C$5809,3,FALSE)</f>
        <v>PBL</v>
      </c>
    </row>
    <row r="164" spans="1:20" x14ac:dyDescent="0.3">
      <c r="A164" s="37">
        <v>154974</v>
      </c>
      <c r="B164" s="38">
        <v>158</v>
      </c>
      <c r="C164" s="39" t="s">
        <v>260</v>
      </c>
      <c r="D164" s="10" t="str">
        <f>VLOOKUP(C164,'Data Angt'!$A$5:$B$5809,2,FALSE)</f>
        <v>A82</v>
      </c>
      <c r="E164" s="40" t="s">
        <v>18422</v>
      </c>
      <c r="F164" s="41">
        <v>45757</v>
      </c>
      <c r="G164" s="38">
        <v>12</v>
      </c>
      <c r="H164" s="40">
        <v>0</v>
      </c>
      <c r="I164" s="38">
        <v>5.5</v>
      </c>
      <c r="J164" s="41">
        <v>45757</v>
      </c>
      <c r="K164" s="38" t="s">
        <v>10768</v>
      </c>
      <c r="L164" s="42">
        <v>32000000</v>
      </c>
      <c r="O164" s="151" t="s">
        <v>9092</v>
      </c>
      <c r="P164" s="5" t="str">
        <f t="shared" si="4"/>
        <v>A4137</v>
      </c>
      <c r="Q164" s="5">
        <f t="shared" si="5"/>
        <v>3</v>
      </c>
      <c r="R164">
        <f>VLOOKUP(O164,'Data Angt'!$A$5:$F$5810,6,FALSE)</f>
        <v>40</v>
      </c>
      <c r="S164" s="5" t="str">
        <f>VLOOKUP(O164,'Data Angt'!$A$5:$H$5810,8,FALSE)</f>
        <v>Belum/Tidak Bekerja</v>
      </c>
      <c r="T164" s="44" t="str">
        <f>VLOOKUP(O164,'Data Angt'!$A$5:$C$5809,3,FALSE)</f>
        <v>PBL</v>
      </c>
    </row>
    <row r="165" spans="1:20" x14ac:dyDescent="0.3">
      <c r="A165" s="37">
        <v>156971</v>
      </c>
      <c r="B165" s="38">
        <v>159</v>
      </c>
      <c r="C165" s="39" t="s">
        <v>260</v>
      </c>
      <c r="D165" s="10" t="str">
        <f>VLOOKUP(C165,'Data Angt'!$A$5:$B$5809,2,FALSE)</f>
        <v>A82</v>
      </c>
      <c r="E165" s="40" t="s">
        <v>24128</v>
      </c>
      <c r="F165" s="41">
        <v>45850</v>
      </c>
      <c r="G165" s="38">
        <v>12</v>
      </c>
      <c r="H165" s="40">
        <v>0</v>
      </c>
      <c r="I165" s="38">
        <v>5.5</v>
      </c>
      <c r="J165" s="41">
        <v>45850</v>
      </c>
      <c r="K165" s="38" t="s">
        <v>10768</v>
      </c>
      <c r="L165" s="42">
        <v>30000000</v>
      </c>
      <c r="O165" s="151" t="s">
        <v>9271</v>
      </c>
      <c r="P165" s="5" t="str">
        <f t="shared" si="4"/>
        <v>A4214</v>
      </c>
      <c r="Q165" s="5">
        <f t="shared" si="5"/>
        <v>1</v>
      </c>
      <c r="R165">
        <f>VLOOKUP(O165,'Data Angt'!$A$5:$F$5810,6,FALSE)</f>
        <v>71</v>
      </c>
      <c r="S165" s="5" t="str">
        <f>VLOOKUP(O165,'Data Angt'!$A$5:$H$5810,8,FALSE)</f>
        <v>Pemuka Agama</v>
      </c>
      <c r="T165" s="44" t="str">
        <f>VLOOKUP(O165,'Data Angt'!$A$5:$C$5809,3,FALSE)</f>
        <v>PBL</v>
      </c>
    </row>
    <row r="166" spans="1:20" x14ac:dyDescent="0.3">
      <c r="A166" s="37">
        <v>79237</v>
      </c>
      <c r="B166" s="38">
        <v>160</v>
      </c>
      <c r="C166" s="39" t="s">
        <v>260</v>
      </c>
      <c r="D166" s="10" t="str">
        <f>VLOOKUP(C166,'Data Angt'!$A$5:$B$5809,2,FALSE)</f>
        <v>A82</v>
      </c>
      <c r="E166" s="40" t="s">
        <v>10893</v>
      </c>
      <c r="F166" s="41">
        <v>42888</v>
      </c>
      <c r="G166" s="38">
        <v>12</v>
      </c>
      <c r="H166" s="40">
        <v>0</v>
      </c>
      <c r="I166" s="38">
        <v>5.5</v>
      </c>
      <c r="J166" s="41">
        <v>42772</v>
      </c>
      <c r="K166" s="38" t="s">
        <v>10768</v>
      </c>
      <c r="L166" s="42">
        <v>60000000</v>
      </c>
      <c r="O166" s="151" t="s">
        <v>9407</v>
      </c>
      <c r="P166" s="5" t="str">
        <f t="shared" si="4"/>
        <v>A4279</v>
      </c>
      <c r="Q166" s="5">
        <f t="shared" si="5"/>
        <v>1</v>
      </c>
      <c r="R166">
        <f>VLOOKUP(O166,'Data Angt'!$A$5:$F$5810,6,FALSE)</f>
        <v>56</v>
      </c>
      <c r="S166" s="5" t="str">
        <f>VLOOKUP(O166,'Data Angt'!$A$5:$H$5810,8,FALSE)</f>
        <v>Karyawan</v>
      </c>
      <c r="T166" s="44" t="str">
        <f>VLOOKUP(O166,'Data Angt'!$A$5:$C$5809,3,FALSE)</f>
        <v>PBL</v>
      </c>
    </row>
    <row r="167" spans="1:20" x14ac:dyDescent="0.3">
      <c r="A167" s="37">
        <v>128421</v>
      </c>
      <c r="B167" s="38">
        <v>161</v>
      </c>
      <c r="C167" s="39" t="s">
        <v>260</v>
      </c>
      <c r="D167" s="10" t="str">
        <f>VLOOKUP(C167,'Data Angt'!$A$5:$B$5809,2,FALSE)</f>
        <v>A82</v>
      </c>
      <c r="E167" s="40" t="s">
        <v>10885</v>
      </c>
      <c r="F167" s="41">
        <v>44349</v>
      </c>
      <c r="G167" s="38">
        <v>12</v>
      </c>
      <c r="H167" s="40">
        <v>0</v>
      </c>
      <c r="I167" s="38">
        <v>5.5</v>
      </c>
      <c r="J167" s="41">
        <v>44349</v>
      </c>
      <c r="K167" s="38" t="s">
        <v>10768</v>
      </c>
      <c r="L167" s="42">
        <v>150000000</v>
      </c>
      <c r="O167" s="151" t="s">
        <v>9455</v>
      </c>
      <c r="P167" s="5" t="str">
        <f t="shared" si="4"/>
        <v>A4301</v>
      </c>
      <c r="Q167" s="5">
        <f t="shared" si="5"/>
        <v>1</v>
      </c>
      <c r="R167">
        <f>VLOOKUP(O167,'Data Angt'!$A$5:$F$5810,6,FALSE)</f>
        <v>39</v>
      </c>
      <c r="S167" s="5">
        <f>VLOOKUP(O167,'Data Angt'!$A$5:$H$5810,8,FALSE)</f>
        <v>0</v>
      </c>
      <c r="T167" s="44" t="str">
        <f>VLOOKUP(O167,'Data Angt'!$A$5:$C$5809,3,FALSE)</f>
        <v>PBL</v>
      </c>
    </row>
    <row r="168" spans="1:20" x14ac:dyDescent="0.3">
      <c r="A168" s="37">
        <v>132794</v>
      </c>
      <c r="B168" s="38">
        <v>162</v>
      </c>
      <c r="C168" s="39" t="s">
        <v>260</v>
      </c>
      <c r="D168" s="10" t="str">
        <f>VLOOKUP(C168,'Data Angt'!$A$5:$B$5809,2,FALSE)</f>
        <v>A82</v>
      </c>
      <c r="E168" s="40" t="s">
        <v>10886</v>
      </c>
      <c r="F168" s="41">
        <v>44678</v>
      </c>
      <c r="G168" s="38">
        <v>12</v>
      </c>
      <c r="H168" s="40">
        <v>0</v>
      </c>
      <c r="I168" s="38">
        <v>5.5</v>
      </c>
      <c r="J168" s="41">
        <v>44678</v>
      </c>
      <c r="K168" s="38" t="s">
        <v>10768</v>
      </c>
      <c r="L168" s="42">
        <v>55000000</v>
      </c>
      <c r="O168" s="151" t="s">
        <v>12670</v>
      </c>
      <c r="P168" s="5" t="str">
        <f t="shared" si="4"/>
        <v>A4387</v>
      </c>
      <c r="Q168" s="5">
        <f t="shared" si="5"/>
        <v>2</v>
      </c>
      <c r="R168">
        <f>VLOOKUP(O168,'Data Angt'!$A$5:$F$5810,6,FALSE)</f>
        <v>44</v>
      </c>
      <c r="S168" s="5" t="str">
        <f>VLOOKUP(O168,'Data Angt'!$A$5:$H$5810,8,FALSE)</f>
        <v>Pemuka Agama</v>
      </c>
      <c r="T168" s="44" t="str">
        <f>VLOOKUP(O168,'Data Angt'!$A$5:$C$5809,3,FALSE)</f>
        <v>PBL</v>
      </c>
    </row>
    <row r="169" spans="1:20" x14ac:dyDescent="0.3">
      <c r="A169" s="37">
        <v>151168</v>
      </c>
      <c r="B169" s="38">
        <v>163</v>
      </c>
      <c r="C169" s="39" t="s">
        <v>262</v>
      </c>
      <c r="D169" s="10" t="str">
        <f>VLOOKUP(C169,'Data Angt'!$A$5:$B$5809,2,FALSE)</f>
        <v>A83</v>
      </c>
      <c r="E169" s="40" t="s">
        <v>18423</v>
      </c>
      <c r="F169" s="41">
        <v>45625</v>
      </c>
      <c r="G169" s="38">
        <v>12</v>
      </c>
      <c r="H169" s="40">
        <v>0</v>
      </c>
      <c r="I169" s="38">
        <v>5.5</v>
      </c>
      <c r="J169" s="41">
        <v>45625</v>
      </c>
      <c r="K169" s="38" t="s">
        <v>10768</v>
      </c>
      <c r="L169" s="42">
        <v>2000000</v>
      </c>
      <c r="O169" s="151" t="s">
        <v>12677</v>
      </c>
      <c r="P169" s="5" t="str">
        <f t="shared" si="4"/>
        <v>A4391</v>
      </c>
      <c r="Q169" s="5">
        <f t="shared" si="5"/>
        <v>8</v>
      </c>
      <c r="R169">
        <f>VLOOKUP(O169,'Data Angt'!$A$5:$F$5810,6,FALSE)</f>
        <v>26</v>
      </c>
      <c r="S169" s="5" t="str">
        <f>VLOOKUP(O169,'Data Angt'!$A$5:$H$5810,8,FALSE)</f>
        <v>Tenaga Pengajar</v>
      </c>
      <c r="T169" s="44" t="str">
        <f>VLOOKUP(O169,'Data Angt'!$A$5:$C$5809,3,FALSE)</f>
        <v>PBL</v>
      </c>
    </row>
    <row r="170" spans="1:20" x14ac:dyDescent="0.3">
      <c r="A170" s="37">
        <v>152135</v>
      </c>
      <c r="B170" s="38">
        <v>164</v>
      </c>
      <c r="C170" s="39" t="s">
        <v>262</v>
      </c>
      <c r="D170" s="10" t="str">
        <f>VLOOKUP(C170,'Data Angt'!$A$5:$B$5809,2,FALSE)</f>
        <v>A83</v>
      </c>
      <c r="E170" s="40" t="s">
        <v>18424</v>
      </c>
      <c r="F170" s="41">
        <v>45670</v>
      </c>
      <c r="G170" s="38">
        <v>12</v>
      </c>
      <c r="H170" s="40">
        <v>0</v>
      </c>
      <c r="I170" s="38">
        <v>5.5</v>
      </c>
      <c r="J170" s="41">
        <v>45670</v>
      </c>
      <c r="K170" s="38" t="s">
        <v>10768</v>
      </c>
      <c r="L170" s="42">
        <v>2000000</v>
      </c>
      <c r="O170" s="151" t="s">
        <v>12694</v>
      </c>
      <c r="P170" s="5" t="str">
        <f t="shared" si="4"/>
        <v>A4398</v>
      </c>
      <c r="Q170" s="5">
        <f t="shared" si="5"/>
        <v>3</v>
      </c>
      <c r="R170">
        <f>VLOOKUP(O170,'Data Angt'!$A$5:$F$5810,6,FALSE)</f>
        <v>25</v>
      </c>
      <c r="S170" s="5" t="str">
        <f>VLOOKUP(O170,'Data Angt'!$A$5:$H$5810,8,FALSE)</f>
        <v>Belum/Tidak Bekerja</v>
      </c>
      <c r="T170" s="44" t="str">
        <f>VLOOKUP(O170,'Data Angt'!$A$5:$C$5809,3,FALSE)</f>
        <v>PBL</v>
      </c>
    </row>
    <row r="171" spans="1:20" x14ac:dyDescent="0.3">
      <c r="A171" s="37">
        <v>155467</v>
      </c>
      <c r="B171" s="38">
        <v>165</v>
      </c>
      <c r="C171" s="39" t="s">
        <v>262</v>
      </c>
      <c r="D171" s="10" t="str">
        <f>VLOOKUP(C171,'Data Angt'!$A$5:$B$5809,2,FALSE)</f>
        <v>A83</v>
      </c>
      <c r="E171" s="40" t="s">
        <v>18425</v>
      </c>
      <c r="F171" s="41">
        <v>45783</v>
      </c>
      <c r="G171" s="38">
        <v>12</v>
      </c>
      <c r="H171" s="40">
        <v>0</v>
      </c>
      <c r="I171" s="38">
        <v>5.5</v>
      </c>
      <c r="J171" s="41">
        <v>45783</v>
      </c>
      <c r="K171" s="38" t="s">
        <v>10768</v>
      </c>
      <c r="L171" s="42">
        <v>2000000</v>
      </c>
      <c r="O171" s="151" t="s">
        <v>12698</v>
      </c>
      <c r="P171" s="5" t="str">
        <f t="shared" si="4"/>
        <v>A4400</v>
      </c>
      <c r="Q171" s="5">
        <f t="shared" si="5"/>
        <v>2</v>
      </c>
      <c r="R171">
        <f>VLOOKUP(O171,'Data Angt'!$A$5:$F$5810,6,FALSE)</f>
        <v>23</v>
      </c>
      <c r="S171" s="5" t="str">
        <f>VLOOKUP(O171,'Data Angt'!$A$5:$H$5810,8,FALSE)</f>
        <v>Pelajar/Mahasiswa</v>
      </c>
      <c r="T171" s="44" t="str">
        <f>VLOOKUP(O171,'Data Angt'!$A$5:$C$5809,3,FALSE)</f>
        <v>PBL</v>
      </c>
    </row>
    <row r="172" spans="1:20" x14ac:dyDescent="0.3">
      <c r="A172" s="37">
        <v>155469</v>
      </c>
      <c r="B172" s="38">
        <v>166</v>
      </c>
      <c r="C172" s="39" t="s">
        <v>262</v>
      </c>
      <c r="D172" s="10" t="str">
        <f>VLOOKUP(C172,'Data Angt'!$A$5:$B$5809,2,FALSE)</f>
        <v>A83</v>
      </c>
      <c r="E172" s="40" t="s">
        <v>18426</v>
      </c>
      <c r="F172" s="41">
        <v>45783</v>
      </c>
      <c r="G172" s="38">
        <v>12</v>
      </c>
      <c r="H172" s="40">
        <v>0</v>
      </c>
      <c r="I172" s="38">
        <v>5.5</v>
      </c>
      <c r="J172" s="41">
        <v>45783</v>
      </c>
      <c r="K172" s="38" t="s">
        <v>10768</v>
      </c>
      <c r="L172" s="42">
        <v>1000000</v>
      </c>
      <c r="O172" s="151" t="s">
        <v>12863</v>
      </c>
      <c r="P172" s="5" t="str">
        <f t="shared" si="4"/>
        <v>A4470</v>
      </c>
      <c r="Q172" s="5">
        <f t="shared" si="5"/>
        <v>2</v>
      </c>
      <c r="R172">
        <f>VLOOKUP(O172,'Data Angt'!$A$5:$F$5810,6,FALSE)</f>
        <v>27</v>
      </c>
      <c r="S172" s="5" t="str">
        <f>VLOOKUP(O172,'Data Angt'!$A$5:$H$5810,8,FALSE)</f>
        <v>Mengurus Rumah Tangga</v>
      </c>
      <c r="T172" s="44" t="str">
        <f>VLOOKUP(O172,'Data Angt'!$A$5:$C$5809,3,FALSE)</f>
        <v>PBL</v>
      </c>
    </row>
    <row r="173" spans="1:20" x14ac:dyDescent="0.3">
      <c r="A173" s="37">
        <v>156170</v>
      </c>
      <c r="B173" s="38">
        <v>167</v>
      </c>
      <c r="C173" s="39" t="s">
        <v>262</v>
      </c>
      <c r="D173" s="10" t="str">
        <f>VLOOKUP(C173,'Data Angt'!$A$5:$B$5809,2,FALSE)</f>
        <v>A83</v>
      </c>
      <c r="E173" s="40" t="s">
        <v>18427</v>
      </c>
      <c r="F173" s="41">
        <v>45811</v>
      </c>
      <c r="G173" s="38">
        <v>12</v>
      </c>
      <c r="H173" s="40">
        <v>0</v>
      </c>
      <c r="I173" s="38">
        <v>5.5</v>
      </c>
      <c r="J173" s="41">
        <v>45811</v>
      </c>
      <c r="K173" s="38" t="s">
        <v>10768</v>
      </c>
      <c r="L173" s="42">
        <v>1000000</v>
      </c>
      <c r="O173" s="151" t="s">
        <v>12925</v>
      </c>
      <c r="P173" s="5" t="str">
        <f t="shared" si="4"/>
        <v>A4501</v>
      </c>
      <c r="Q173" s="5">
        <f t="shared" si="5"/>
        <v>1</v>
      </c>
      <c r="R173">
        <f>VLOOKUP(O173,'Data Angt'!$A$5:$F$5810,6,FALSE)</f>
        <v>24</v>
      </c>
      <c r="S173" s="5" t="str">
        <f>VLOOKUP(O173,'Data Angt'!$A$5:$H$5810,8,FALSE)</f>
        <v>Karyawan</v>
      </c>
      <c r="T173" s="44" t="str">
        <f>VLOOKUP(O173,'Data Angt'!$A$5:$C$5809,3,FALSE)</f>
        <v>PBL</v>
      </c>
    </row>
    <row r="174" spans="1:20" x14ac:dyDescent="0.3">
      <c r="A174" s="37">
        <v>90910</v>
      </c>
      <c r="B174" s="38">
        <v>168</v>
      </c>
      <c r="C174" s="39" t="s">
        <v>262</v>
      </c>
      <c r="D174" s="10" t="str">
        <f>VLOOKUP(C174,'Data Angt'!$A$5:$B$5809,2,FALSE)</f>
        <v>A83</v>
      </c>
      <c r="E174" s="40" t="s">
        <v>10895</v>
      </c>
      <c r="F174" s="41">
        <v>43388</v>
      </c>
      <c r="G174" s="38">
        <v>12</v>
      </c>
      <c r="H174" s="40">
        <v>0</v>
      </c>
      <c r="I174" s="38">
        <v>5.5</v>
      </c>
      <c r="J174" s="41">
        <v>43388</v>
      </c>
      <c r="K174" s="38" t="s">
        <v>10768</v>
      </c>
      <c r="L174" s="42">
        <v>5000000</v>
      </c>
      <c r="O174" s="151" t="s">
        <v>12970</v>
      </c>
      <c r="P174" s="5" t="str">
        <f t="shared" si="4"/>
        <v>A4521</v>
      </c>
      <c r="Q174" s="5">
        <f t="shared" si="5"/>
        <v>10</v>
      </c>
      <c r="R174">
        <f>VLOOKUP(O174,'Data Angt'!$A$5:$F$5810,6,FALSE)</f>
        <v>54</v>
      </c>
      <c r="S174" s="5" t="str">
        <f>VLOOKUP(O174,'Data Angt'!$A$5:$H$5810,8,FALSE)</f>
        <v>Tenaga Pengajar</v>
      </c>
      <c r="T174" s="44" t="str">
        <f>VLOOKUP(O174,'Data Angt'!$A$5:$C$5809,3,FALSE)</f>
        <v>PBL</v>
      </c>
    </row>
    <row r="175" spans="1:20" x14ac:dyDescent="0.3">
      <c r="A175" s="37">
        <v>135897</v>
      </c>
      <c r="B175" s="38">
        <v>169</v>
      </c>
      <c r="C175" s="39" t="s">
        <v>262</v>
      </c>
      <c r="D175" s="10" t="str">
        <f>VLOOKUP(C175,'Data Angt'!$A$5:$B$5809,2,FALSE)</f>
        <v>A83</v>
      </c>
      <c r="E175" s="40" t="s">
        <v>10894</v>
      </c>
      <c r="F175" s="41">
        <v>44935</v>
      </c>
      <c r="G175" s="38">
        <v>12</v>
      </c>
      <c r="H175" s="40">
        <v>0</v>
      </c>
      <c r="I175" s="38">
        <v>5.5</v>
      </c>
      <c r="J175" s="41">
        <v>44935</v>
      </c>
      <c r="K175" s="38" t="s">
        <v>10768</v>
      </c>
      <c r="L175" s="42">
        <v>3000000</v>
      </c>
      <c r="O175" s="151" t="s">
        <v>13046</v>
      </c>
      <c r="P175" s="5" t="str">
        <f t="shared" si="4"/>
        <v>A4556</v>
      </c>
      <c r="Q175" s="5">
        <f t="shared" si="5"/>
        <v>1</v>
      </c>
      <c r="R175">
        <f>VLOOKUP(O175,'Data Angt'!$A$5:$F$5810,6,FALSE)</f>
        <v>52</v>
      </c>
      <c r="S175" s="5" t="str">
        <f>VLOOKUP(O175,'Data Angt'!$A$5:$H$5810,8,FALSE)</f>
        <v>Wiraswasta</v>
      </c>
      <c r="T175" s="44" t="str">
        <f>VLOOKUP(O175,'Data Angt'!$A$5:$C$5809,3,FALSE)</f>
        <v>PBL</v>
      </c>
    </row>
    <row r="176" spans="1:20" x14ac:dyDescent="0.3">
      <c r="A176" s="37">
        <v>87731</v>
      </c>
      <c r="B176" s="38">
        <v>170</v>
      </c>
      <c r="C176" s="39" t="s">
        <v>292</v>
      </c>
      <c r="D176" s="10" t="str">
        <f>VLOOKUP(C176,'Data Angt'!$A$5:$B$5809,2,FALSE)</f>
        <v>A97</v>
      </c>
      <c r="E176" s="40" t="s">
        <v>10896</v>
      </c>
      <c r="F176" s="41">
        <v>43304</v>
      </c>
      <c r="G176" s="38">
        <v>12</v>
      </c>
      <c r="H176" s="40">
        <v>0</v>
      </c>
      <c r="I176" s="38">
        <v>5.5</v>
      </c>
      <c r="J176" s="41">
        <v>43304</v>
      </c>
      <c r="K176" s="38" t="s">
        <v>10768</v>
      </c>
      <c r="L176" s="42">
        <v>40000000</v>
      </c>
      <c r="O176" s="151" t="s">
        <v>13763</v>
      </c>
      <c r="P176" s="5" t="str">
        <f t="shared" si="4"/>
        <v>A4933</v>
      </c>
      <c r="Q176" s="5">
        <f t="shared" si="5"/>
        <v>3</v>
      </c>
      <c r="R176">
        <f>VLOOKUP(O176,'Data Angt'!$A$5:$F$5810,6,FALSE)</f>
        <v>41</v>
      </c>
      <c r="S176" s="5" t="str">
        <f>VLOOKUP(O176,'Data Angt'!$A$5:$H$5810,8,FALSE)</f>
        <v>Karyawan</v>
      </c>
      <c r="T176" s="44" t="str">
        <f>VLOOKUP(O176,'Data Angt'!$A$5:$C$5809,3,FALSE)</f>
        <v>PBL</v>
      </c>
    </row>
    <row r="177" spans="1:20" x14ac:dyDescent="0.3">
      <c r="A177" s="37">
        <v>79178</v>
      </c>
      <c r="B177" s="38">
        <v>171</v>
      </c>
      <c r="C177" s="39" t="s">
        <v>301</v>
      </c>
      <c r="D177" s="10" t="str">
        <f>VLOOKUP(C177,'Data Angt'!$A$5:$B$5809,2,FALSE)</f>
        <v>A103</v>
      </c>
      <c r="E177" s="40" t="s">
        <v>10897</v>
      </c>
      <c r="F177" s="41">
        <v>42794</v>
      </c>
      <c r="G177" s="38">
        <v>12</v>
      </c>
      <c r="H177" s="40">
        <v>0</v>
      </c>
      <c r="I177" s="38">
        <v>5.5</v>
      </c>
      <c r="J177" s="41">
        <v>42794</v>
      </c>
      <c r="K177" s="38" t="s">
        <v>10768</v>
      </c>
      <c r="L177" s="42">
        <v>1000000</v>
      </c>
      <c r="O177" s="151" t="s">
        <v>14074</v>
      </c>
      <c r="P177" s="5" t="str">
        <f t="shared" si="4"/>
        <v>A5073</v>
      </c>
      <c r="Q177" s="5">
        <f t="shared" si="5"/>
        <v>1</v>
      </c>
      <c r="R177">
        <f>VLOOKUP(O177,'Data Angt'!$A$5:$F$5810,6,FALSE)</f>
        <v>22</v>
      </c>
      <c r="S177" s="5" t="str">
        <f>VLOOKUP(O177,'Data Angt'!$A$5:$H$5810,8,FALSE)</f>
        <v>Pelajar/Mahasiswa</v>
      </c>
      <c r="T177" s="44" t="str">
        <f>VLOOKUP(O177,'Data Angt'!$A$5:$C$5809,3,FALSE)</f>
        <v>PBL</v>
      </c>
    </row>
    <row r="178" spans="1:20" x14ac:dyDescent="0.3">
      <c r="A178" s="37">
        <v>79297</v>
      </c>
      <c r="B178" s="38">
        <v>172</v>
      </c>
      <c r="C178" s="39" t="s">
        <v>301</v>
      </c>
      <c r="D178" s="10" t="str">
        <f>VLOOKUP(C178,'Data Angt'!$A$5:$B$5809,2,FALSE)</f>
        <v>A103</v>
      </c>
      <c r="E178" s="40" t="s">
        <v>11273</v>
      </c>
      <c r="F178" s="41">
        <v>42973</v>
      </c>
      <c r="G178" s="38">
        <v>12</v>
      </c>
      <c r="H178" s="40">
        <v>0</v>
      </c>
      <c r="I178" s="38">
        <v>5.5</v>
      </c>
      <c r="J178" s="41">
        <v>42973</v>
      </c>
      <c r="K178" s="38" t="s">
        <v>10768</v>
      </c>
      <c r="L178" s="42">
        <v>3000000</v>
      </c>
      <c r="O178" s="151" t="s">
        <v>14874</v>
      </c>
      <c r="P178" s="5" t="str">
        <f t="shared" si="4"/>
        <v>A5401</v>
      </c>
      <c r="Q178" s="5">
        <f t="shared" si="5"/>
        <v>1</v>
      </c>
      <c r="R178">
        <f>VLOOKUP(O178,'Data Angt'!$A$5:$F$5810,6,FALSE)</f>
        <v>56</v>
      </c>
      <c r="S178" s="5" t="str">
        <f>VLOOKUP(O178,'Data Angt'!$A$5:$H$5810,8,FALSE)</f>
        <v>Tenaga Medis</v>
      </c>
      <c r="T178" s="44" t="str">
        <f>VLOOKUP(O178,'Data Angt'!$A$5:$C$5809,3,FALSE)</f>
        <v>PBL</v>
      </c>
    </row>
    <row r="179" spans="1:20" x14ac:dyDescent="0.3">
      <c r="A179" s="37">
        <v>79406</v>
      </c>
      <c r="B179" s="38">
        <v>173</v>
      </c>
      <c r="C179" s="39" t="s">
        <v>301</v>
      </c>
      <c r="D179" s="10" t="str">
        <f>VLOOKUP(C179,'Data Angt'!$A$5:$B$5809,2,FALSE)</f>
        <v>A103</v>
      </c>
      <c r="E179" s="40" t="s">
        <v>11274</v>
      </c>
      <c r="F179" s="41">
        <v>43151</v>
      </c>
      <c r="G179" s="38">
        <v>12</v>
      </c>
      <c r="H179" s="40">
        <v>0</v>
      </c>
      <c r="I179" s="38">
        <v>5.5</v>
      </c>
      <c r="J179" s="41">
        <v>43151</v>
      </c>
      <c r="K179" s="38" t="s">
        <v>10768</v>
      </c>
      <c r="L179" s="42">
        <v>1000000</v>
      </c>
      <c r="O179" s="151" t="s">
        <v>14890</v>
      </c>
      <c r="P179" s="5" t="str">
        <f t="shared" si="4"/>
        <v>A5408</v>
      </c>
      <c r="Q179" s="5">
        <f t="shared" si="5"/>
        <v>1</v>
      </c>
      <c r="R179">
        <f>VLOOKUP(O179,'Data Angt'!$A$5:$F$5810,6,FALSE)</f>
        <v>54</v>
      </c>
      <c r="S179" s="5" t="str">
        <f>VLOOKUP(O179,'Data Angt'!$A$5:$H$5810,8,FALSE)</f>
        <v>Aparatur/Pejabat Negara</v>
      </c>
      <c r="T179" s="44" t="str">
        <f>VLOOKUP(O179,'Data Angt'!$A$5:$C$5809,3,FALSE)</f>
        <v>PBL</v>
      </c>
    </row>
    <row r="180" spans="1:20" x14ac:dyDescent="0.3">
      <c r="A180" s="37">
        <v>79410</v>
      </c>
      <c r="B180" s="38">
        <v>174</v>
      </c>
      <c r="C180" s="39" t="s">
        <v>301</v>
      </c>
      <c r="D180" s="10" t="str">
        <f>VLOOKUP(C180,'Data Angt'!$A$5:$B$5809,2,FALSE)</f>
        <v>A103</v>
      </c>
      <c r="E180" s="40" t="s">
        <v>11275</v>
      </c>
      <c r="F180" s="41">
        <v>43154</v>
      </c>
      <c r="G180" s="38">
        <v>12</v>
      </c>
      <c r="H180" s="40">
        <v>0</v>
      </c>
      <c r="I180" s="38">
        <v>5.5</v>
      </c>
      <c r="J180" s="41">
        <v>43154</v>
      </c>
      <c r="K180" s="38" t="s">
        <v>10768</v>
      </c>
      <c r="L180" s="42">
        <v>1500000</v>
      </c>
      <c r="O180" s="151" t="s">
        <v>14903</v>
      </c>
      <c r="P180" s="5" t="str">
        <f t="shared" si="4"/>
        <v>A5414</v>
      </c>
      <c r="Q180" s="5">
        <f t="shared" si="5"/>
        <v>1</v>
      </c>
      <c r="R180">
        <f>VLOOKUP(O180,'Data Angt'!$A$5:$F$5810,6,FALSE)</f>
        <v>71</v>
      </c>
      <c r="S180" s="5" t="str">
        <f>VLOOKUP(O180,'Data Angt'!$A$5:$H$5810,8,FALSE)</f>
        <v>Karyawan</v>
      </c>
      <c r="T180" s="44" t="str">
        <f>VLOOKUP(O180,'Data Angt'!$A$5:$C$5809,3,FALSE)</f>
        <v>PBL</v>
      </c>
    </row>
    <row r="181" spans="1:20" x14ac:dyDescent="0.3">
      <c r="A181" s="37">
        <v>110842</v>
      </c>
      <c r="B181" s="38">
        <v>175</v>
      </c>
      <c r="C181" s="39" t="s">
        <v>301</v>
      </c>
      <c r="D181" s="10" t="str">
        <f>VLOOKUP(C181,'Data Angt'!$A$5:$B$5809,2,FALSE)</f>
        <v>A103</v>
      </c>
      <c r="E181" s="40" t="s">
        <v>11276</v>
      </c>
      <c r="F181" s="41">
        <v>43543</v>
      </c>
      <c r="G181" s="38">
        <v>12</v>
      </c>
      <c r="H181" s="40">
        <v>0</v>
      </c>
      <c r="I181" s="38">
        <v>5.5</v>
      </c>
      <c r="J181" s="41">
        <v>43543</v>
      </c>
      <c r="K181" s="38" t="s">
        <v>10768</v>
      </c>
      <c r="L181" s="42">
        <v>1500000</v>
      </c>
      <c r="O181" s="151" t="s">
        <v>14905</v>
      </c>
      <c r="P181" s="5" t="str">
        <f t="shared" si="4"/>
        <v>A5415</v>
      </c>
      <c r="Q181" s="5">
        <f t="shared" si="5"/>
        <v>1</v>
      </c>
      <c r="R181">
        <f>VLOOKUP(O181,'Data Angt'!$A$5:$F$5810,6,FALSE)</f>
        <v>63</v>
      </c>
      <c r="S181" s="5" t="str">
        <f>VLOOKUP(O181,'Data Angt'!$A$5:$H$5810,8,FALSE)</f>
        <v>Mengurus Rumah Tangga</v>
      </c>
      <c r="T181" s="44" t="str">
        <f>VLOOKUP(O181,'Data Angt'!$A$5:$C$5809,3,FALSE)</f>
        <v>PBL</v>
      </c>
    </row>
    <row r="182" spans="1:20" x14ac:dyDescent="0.3">
      <c r="A182" s="37">
        <v>121604</v>
      </c>
      <c r="B182" s="38">
        <v>176</v>
      </c>
      <c r="C182" s="39" t="s">
        <v>301</v>
      </c>
      <c r="D182" s="10" t="str">
        <f>VLOOKUP(C182,'Data Angt'!$A$5:$B$5809,2,FALSE)</f>
        <v>A103</v>
      </c>
      <c r="E182" s="40" t="s">
        <v>11277</v>
      </c>
      <c r="F182" s="41">
        <v>43896</v>
      </c>
      <c r="G182" s="38">
        <v>12</v>
      </c>
      <c r="H182" s="40">
        <v>0</v>
      </c>
      <c r="I182" s="38">
        <v>5.5</v>
      </c>
      <c r="J182" s="41">
        <v>43896</v>
      </c>
      <c r="K182" s="38" t="s">
        <v>10768</v>
      </c>
      <c r="L182" s="42">
        <v>2000000</v>
      </c>
      <c r="O182" s="151" t="s">
        <v>15091</v>
      </c>
      <c r="P182" s="5" t="str">
        <f t="shared" si="4"/>
        <v>A5500</v>
      </c>
      <c r="Q182" s="5">
        <f t="shared" si="5"/>
        <v>1</v>
      </c>
      <c r="R182">
        <f>VLOOKUP(O182,'Data Angt'!$A$5:$F$5810,6,FALSE)</f>
        <v>46</v>
      </c>
      <c r="S182" s="5" t="str">
        <f>VLOOKUP(O182,'Data Angt'!$A$5:$H$5810,8,FALSE)</f>
        <v>Aparatur/Pejabat Negara</v>
      </c>
      <c r="T182" s="44" t="str">
        <f>VLOOKUP(O182,'Data Angt'!$A$5:$C$5809,3,FALSE)</f>
        <v>PBL</v>
      </c>
    </row>
    <row r="183" spans="1:20" x14ac:dyDescent="0.3">
      <c r="A183" s="37">
        <v>126975</v>
      </c>
      <c r="B183" s="38">
        <v>177</v>
      </c>
      <c r="C183" s="39" t="s">
        <v>301</v>
      </c>
      <c r="D183" s="10" t="str">
        <f>VLOOKUP(C183,'Data Angt'!$A$5:$B$5809,2,FALSE)</f>
        <v>A103</v>
      </c>
      <c r="E183" s="40" t="s">
        <v>11278</v>
      </c>
      <c r="F183" s="41">
        <v>44243</v>
      </c>
      <c r="G183" s="38">
        <v>12</v>
      </c>
      <c r="H183" s="40">
        <v>0</v>
      </c>
      <c r="I183" s="38">
        <v>5.5</v>
      </c>
      <c r="J183" s="41">
        <v>44243</v>
      </c>
      <c r="K183" s="38" t="s">
        <v>10768</v>
      </c>
      <c r="L183" s="42">
        <v>2500000</v>
      </c>
      <c r="O183" s="151" t="s">
        <v>15288</v>
      </c>
      <c r="P183" s="5" t="str">
        <f t="shared" si="4"/>
        <v>A5592</v>
      </c>
      <c r="Q183" s="5">
        <f t="shared" si="5"/>
        <v>1</v>
      </c>
      <c r="R183">
        <f>VLOOKUP(O183,'Data Angt'!$A$5:$F$5810,6,FALSE)</f>
        <v>38</v>
      </c>
      <c r="S183" s="5" t="str">
        <f>VLOOKUP(O183,'Data Angt'!$A$5:$H$5810,8,FALSE)</f>
        <v>Karyawan</v>
      </c>
      <c r="T183" s="44" t="str">
        <f>VLOOKUP(O183,'Data Angt'!$A$5:$C$5809,3,FALSE)</f>
        <v>PBL</v>
      </c>
    </row>
    <row r="184" spans="1:20" x14ac:dyDescent="0.3">
      <c r="A184" s="37">
        <v>132340</v>
      </c>
      <c r="B184" s="38">
        <v>178</v>
      </c>
      <c r="C184" s="39" t="s">
        <v>301</v>
      </c>
      <c r="D184" s="10" t="str">
        <f>VLOOKUP(C184,'Data Angt'!$A$5:$B$5809,2,FALSE)</f>
        <v>A103</v>
      </c>
      <c r="E184" s="40" t="s">
        <v>11279</v>
      </c>
      <c r="F184" s="41">
        <v>44649</v>
      </c>
      <c r="G184" s="38">
        <v>12</v>
      </c>
      <c r="H184" s="40">
        <v>0</v>
      </c>
      <c r="I184" s="38">
        <v>5.5</v>
      </c>
      <c r="J184" s="41">
        <v>44649</v>
      </c>
      <c r="K184" s="38" t="s">
        <v>10768</v>
      </c>
      <c r="L184" s="42">
        <v>2500000</v>
      </c>
      <c r="O184" s="151" t="s">
        <v>11402</v>
      </c>
      <c r="P184" s="5" t="e">
        <f t="shared" si="4"/>
        <v>#N/A</v>
      </c>
      <c r="Q184" s="5">
        <f t="shared" si="5"/>
        <v>1</v>
      </c>
      <c r="R184" t="e">
        <f>VLOOKUP(O184,'Data Angt'!$A$5:$F$5810,6,FALSE)</f>
        <v>#N/A</v>
      </c>
      <c r="S184" s="5" t="e">
        <f>VLOOKUP(O184,'Data Angt'!$A$5:$H$5810,8,FALSE)</f>
        <v>#N/A</v>
      </c>
      <c r="T184" s="44" t="e">
        <f>VLOOKUP(O184,'Data Angt'!$A$5:$C$5809,3,FALSE)</f>
        <v>#N/A</v>
      </c>
    </row>
    <row r="185" spans="1:20" x14ac:dyDescent="0.3">
      <c r="A185" s="37">
        <v>136297</v>
      </c>
      <c r="B185" s="38">
        <v>179</v>
      </c>
      <c r="C185" s="39" t="s">
        <v>301</v>
      </c>
      <c r="D185" s="10" t="str">
        <f>VLOOKUP(C185,'Data Angt'!$A$5:$B$5809,2,FALSE)</f>
        <v>A103</v>
      </c>
      <c r="E185" s="40" t="s">
        <v>11364</v>
      </c>
      <c r="F185" s="41">
        <v>44964</v>
      </c>
      <c r="G185" s="38">
        <v>12</v>
      </c>
      <c r="H185" s="40">
        <v>0</v>
      </c>
      <c r="I185" s="38">
        <v>5.5</v>
      </c>
      <c r="J185" s="41">
        <v>44964</v>
      </c>
      <c r="K185" s="38" t="s">
        <v>10768</v>
      </c>
      <c r="L185" s="42">
        <v>2000000</v>
      </c>
      <c r="O185" s="39" t="s">
        <v>468</v>
      </c>
      <c r="P185" s="5" t="str">
        <f t="shared" si="4"/>
        <v>A164</v>
      </c>
      <c r="Q185" s="5">
        <f t="shared" si="5"/>
        <v>1</v>
      </c>
      <c r="R185">
        <f>VLOOKUP(O185,'Data Angt'!$A$5:$F$5810,6,FALSE)</f>
        <v>57</v>
      </c>
      <c r="S185" s="5" t="str">
        <f>VLOOKUP(O185,'Data Angt'!$A$5:$H$5810,8,FALSE)</f>
        <v>Lain-Lain</v>
      </c>
      <c r="T185" s="44" t="str">
        <f>VLOOKUP(O185,'Data Angt'!$A$5:$C$5809,3,FALSE)</f>
        <v>KRK</v>
      </c>
    </row>
    <row r="186" spans="1:20" x14ac:dyDescent="0.3">
      <c r="A186" s="37">
        <v>142765</v>
      </c>
      <c r="B186" s="38">
        <v>180</v>
      </c>
      <c r="C186" s="39" t="s">
        <v>301</v>
      </c>
      <c r="D186" s="10" t="str">
        <f>VLOOKUP(C186,'Data Angt'!$A$5:$B$5809,2,FALSE)</f>
        <v>A103</v>
      </c>
      <c r="E186" s="40" t="s">
        <v>18428</v>
      </c>
      <c r="F186" s="41">
        <v>45344</v>
      </c>
      <c r="G186" s="38">
        <v>12</v>
      </c>
      <c r="H186" s="40">
        <v>0</v>
      </c>
      <c r="I186" s="38">
        <v>5.5</v>
      </c>
      <c r="J186" s="41">
        <v>45344</v>
      </c>
      <c r="K186" s="38" t="s">
        <v>10768</v>
      </c>
      <c r="L186" s="42">
        <v>5000000</v>
      </c>
      <c r="O186" s="151" t="s">
        <v>849</v>
      </c>
      <c r="P186" s="5" t="str">
        <f t="shared" si="4"/>
        <v>A320</v>
      </c>
      <c r="Q186" s="5">
        <f t="shared" si="5"/>
        <v>1</v>
      </c>
      <c r="R186">
        <f>VLOOKUP(O186,'Data Angt'!$A$5:$F$5810,6,FALSE)</f>
        <v>57</v>
      </c>
      <c r="S186" s="5" t="str">
        <f>VLOOKUP(O186,'Data Angt'!$A$5:$H$5810,8,FALSE)</f>
        <v>Wiraswasta</v>
      </c>
      <c r="T186" s="44" t="str">
        <f>VLOOKUP(O186,'Data Angt'!$A$5:$C$5809,3,FALSE)</f>
        <v>KRK</v>
      </c>
    </row>
    <row r="187" spans="1:20" x14ac:dyDescent="0.3">
      <c r="A187" s="37">
        <v>143456</v>
      </c>
      <c r="B187" s="38">
        <v>181</v>
      </c>
      <c r="C187" s="39" t="s">
        <v>301</v>
      </c>
      <c r="D187" s="10" t="str">
        <f>VLOOKUP(C187,'Data Angt'!$A$5:$B$5809,2,FALSE)</f>
        <v>A103</v>
      </c>
      <c r="E187" s="40" t="s">
        <v>18429</v>
      </c>
      <c r="F187" s="41">
        <v>45365</v>
      </c>
      <c r="G187" s="38">
        <v>12</v>
      </c>
      <c r="H187" s="40">
        <v>0</v>
      </c>
      <c r="I187" s="38">
        <v>5.5</v>
      </c>
      <c r="J187" s="41">
        <v>45365</v>
      </c>
      <c r="K187" s="38" t="s">
        <v>10768</v>
      </c>
      <c r="L187" s="42">
        <v>9000000</v>
      </c>
      <c r="O187" s="151" t="s">
        <v>1457</v>
      </c>
      <c r="P187" s="5" t="str">
        <f t="shared" si="4"/>
        <v>A572</v>
      </c>
      <c r="Q187" s="5">
        <f t="shared" si="5"/>
        <v>1</v>
      </c>
      <c r="R187">
        <f>VLOOKUP(O187,'Data Angt'!$A$5:$F$5810,6,FALSE)</f>
        <v>69</v>
      </c>
      <c r="S187" s="5" t="str">
        <f>VLOOKUP(O187,'Data Angt'!$A$5:$H$5810,8,FALSE)</f>
        <v>Wiraswasta</v>
      </c>
      <c r="T187" s="44" t="str">
        <f>VLOOKUP(O187,'Data Angt'!$A$5:$C$5809,3,FALSE)</f>
        <v>KRK</v>
      </c>
    </row>
    <row r="188" spans="1:20" x14ac:dyDescent="0.3">
      <c r="A188" s="37">
        <v>154490</v>
      </c>
      <c r="B188" s="38">
        <v>182</v>
      </c>
      <c r="C188" s="39" t="s">
        <v>301</v>
      </c>
      <c r="D188" s="10" t="str">
        <f>VLOOKUP(C188,'Data Angt'!$A$5:$B$5809,2,FALSE)</f>
        <v>A103</v>
      </c>
      <c r="E188" s="40" t="s">
        <v>18430</v>
      </c>
      <c r="F188" s="41">
        <v>45728</v>
      </c>
      <c r="G188" s="38">
        <v>12</v>
      </c>
      <c r="H188" s="40">
        <v>0</v>
      </c>
      <c r="I188" s="38">
        <v>5.5</v>
      </c>
      <c r="J188" s="41">
        <v>45728</v>
      </c>
      <c r="K188" s="38" t="s">
        <v>10768</v>
      </c>
      <c r="L188" s="42">
        <v>4000000</v>
      </c>
      <c r="O188" s="151" t="s">
        <v>1614</v>
      </c>
      <c r="P188" s="5" t="str">
        <f t="shared" si="4"/>
        <v>A640</v>
      </c>
      <c r="Q188" s="5">
        <f t="shared" si="5"/>
        <v>1</v>
      </c>
      <c r="R188">
        <f>VLOOKUP(O188,'Data Angt'!$A$5:$F$5810,6,FALSE)</f>
        <v>56</v>
      </c>
      <c r="S188" s="5" t="str">
        <f>VLOOKUP(O188,'Data Angt'!$A$5:$H$5810,8,FALSE)</f>
        <v>Wiraswasta</v>
      </c>
      <c r="T188" s="44" t="str">
        <f>VLOOKUP(O188,'Data Angt'!$A$5:$C$5809,3,FALSE)</f>
        <v>KRK</v>
      </c>
    </row>
    <row r="189" spans="1:20" x14ac:dyDescent="0.3">
      <c r="A189" s="37">
        <v>79306</v>
      </c>
      <c r="B189" s="38">
        <v>183</v>
      </c>
      <c r="C189" s="39" t="s">
        <v>303</v>
      </c>
      <c r="D189" s="10" t="str">
        <f>VLOOKUP(C189,'Data Angt'!$A$5:$B$5809,2,FALSE)</f>
        <v>A104</v>
      </c>
      <c r="E189" s="40" t="s">
        <v>10898</v>
      </c>
      <c r="F189" s="41">
        <v>42991</v>
      </c>
      <c r="G189" s="38">
        <v>12</v>
      </c>
      <c r="H189" s="40">
        <v>0</v>
      </c>
      <c r="I189" s="38">
        <v>5.5</v>
      </c>
      <c r="J189" s="41">
        <v>42991</v>
      </c>
      <c r="K189" s="38" t="s">
        <v>10768</v>
      </c>
      <c r="L189" s="42">
        <v>2500000</v>
      </c>
      <c r="O189" s="151" t="s">
        <v>2077</v>
      </c>
      <c r="P189" s="5" t="str">
        <f t="shared" si="4"/>
        <v>A853</v>
      </c>
      <c r="Q189" s="5">
        <f t="shared" si="5"/>
        <v>1</v>
      </c>
      <c r="R189">
        <f>VLOOKUP(O189,'Data Angt'!$A$5:$F$5810,6,FALSE)</f>
        <v>57</v>
      </c>
      <c r="S189" s="5" t="str">
        <f>VLOOKUP(O189,'Data Angt'!$A$5:$H$5810,8,FALSE)</f>
        <v>Karyawan</v>
      </c>
      <c r="T189" s="44" t="str">
        <f>VLOOKUP(O189,'Data Angt'!$A$5:$C$5809,3,FALSE)</f>
        <v>KRK</v>
      </c>
    </row>
    <row r="190" spans="1:20" x14ac:dyDescent="0.3">
      <c r="A190" s="37">
        <v>110840</v>
      </c>
      <c r="B190" s="38">
        <v>184</v>
      </c>
      <c r="C190" s="39" t="s">
        <v>303</v>
      </c>
      <c r="D190" s="10" t="str">
        <f>VLOOKUP(C190,'Data Angt'!$A$5:$B$5809,2,FALSE)</f>
        <v>A104</v>
      </c>
      <c r="E190" s="40" t="s">
        <v>10899</v>
      </c>
      <c r="F190" s="41">
        <v>43543</v>
      </c>
      <c r="G190" s="38">
        <v>12</v>
      </c>
      <c r="H190" s="40">
        <v>0</v>
      </c>
      <c r="I190" s="38">
        <v>5.5</v>
      </c>
      <c r="J190" s="41">
        <v>43543</v>
      </c>
      <c r="K190" s="38" t="s">
        <v>10768</v>
      </c>
      <c r="L190" s="42">
        <v>1000000</v>
      </c>
      <c r="O190" s="151" t="s">
        <v>2786</v>
      </c>
      <c r="P190" s="5" t="str">
        <f t="shared" si="4"/>
        <v>A1171</v>
      </c>
      <c r="Q190" s="5">
        <f t="shared" si="5"/>
        <v>6</v>
      </c>
      <c r="R190">
        <f>VLOOKUP(O190,'Data Angt'!$A$5:$F$5810,6,FALSE)</f>
        <v>38</v>
      </c>
      <c r="S190" s="5" t="str">
        <f>VLOOKUP(O190,'Data Angt'!$A$5:$H$5810,8,FALSE)</f>
        <v>Tenaga Pengajar</v>
      </c>
      <c r="T190" s="44" t="str">
        <f>VLOOKUP(O190,'Data Angt'!$A$5:$C$5809,3,FALSE)</f>
        <v>KRK</v>
      </c>
    </row>
    <row r="191" spans="1:20" x14ac:dyDescent="0.3">
      <c r="A191" s="37">
        <v>121601</v>
      </c>
      <c r="B191" s="38">
        <v>185</v>
      </c>
      <c r="C191" s="39" t="s">
        <v>303</v>
      </c>
      <c r="D191" s="10" t="str">
        <f>VLOOKUP(C191,'Data Angt'!$A$5:$B$5809,2,FALSE)</f>
        <v>A104</v>
      </c>
      <c r="E191" s="40" t="s">
        <v>10900</v>
      </c>
      <c r="F191" s="41">
        <v>43896</v>
      </c>
      <c r="G191" s="38">
        <v>12</v>
      </c>
      <c r="H191" s="40">
        <v>0</v>
      </c>
      <c r="I191" s="38">
        <v>5.5</v>
      </c>
      <c r="J191" s="41">
        <v>43896</v>
      </c>
      <c r="K191" s="38" t="s">
        <v>10768</v>
      </c>
      <c r="L191" s="42">
        <v>2000000</v>
      </c>
      <c r="O191" s="151" t="s">
        <v>3717</v>
      </c>
      <c r="P191" s="5" t="str">
        <f t="shared" si="4"/>
        <v>A1599</v>
      </c>
      <c r="Q191" s="5">
        <f t="shared" si="5"/>
        <v>1</v>
      </c>
      <c r="R191">
        <f>VLOOKUP(O191,'Data Angt'!$A$5:$F$5810,6,FALSE)</f>
        <v>38</v>
      </c>
      <c r="S191" s="5" t="str">
        <f>VLOOKUP(O191,'Data Angt'!$A$5:$H$5810,8,FALSE)</f>
        <v>Tenaga Pengajar</v>
      </c>
      <c r="T191" s="44" t="str">
        <f>VLOOKUP(O191,'Data Angt'!$A$5:$C$5809,3,FALSE)</f>
        <v>KRK</v>
      </c>
    </row>
    <row r="192" spans="1:20" x14ac:dyDescent="0.3">
      <c r="A192" s="37">
        <v>154488</v>
      </c>
      <c r="B192" s="38">
        <v>186</v>
      </c>
      <c r="C192" s="39" t="s">
        <v>303</v>
      </c>
      <c r="D192" s="10" t="str">
        <f>VLOOKUP(C192,'Data Angt'!$A$5:$B$5809,2,FALSE)</f>
        <v>A104</v>
      </c>
      <c r="E192" s="40" t="s">
        <v>18431</v>
      </c>
      <c r="F192" s="41">
        <v>45728</v>
      </c>
      <c r="G192" s="38">
        <v>12</v>
      </c>
      <c r="H192" s="40">
        <v>0</v>
      </c>
      <c r="I192" s="38">
        <v>5.5</v>
      </c>
      <c r="J192" s="41">
        <v>45728</v>
      </c>
      <c r="K192" s="38" t="s">
        <v>10768</v>
      </c>
      <c r="L192" s="42">
        <v>3000000</v>
      </c>
      <c r="O192" s="151" t="s">
        <v>3740</v>
      </c>
      <c r="P192" s="5" t="str">
        <f t="shared" si="4"/>
        <v>A1609</v>
      </c>
      <c r="Q192" s="5">
        <f t="shared" si="5"/>
        <v>1</v>
      </c>
      <c r="R192">
        <f>VLOOKUP(O192,'Data Angt'!$A$5:$F$5810,6,FALSE)</f>
        <v>45</v>
      </c>
      <c r="S192" s="5" t="str">
        <f>VLOOKUP(O192,'Data Angt'!$A$5:$H$5810,8,FALSE)</f>
        <v>Tenaga Pengajar</v>
      </c>
      <c r="T192" s="44" t="str">
        <f>VLOOKUP(O192,'Data Angt'!$A$5:$C$5809,3,FALSE)</f>
        <v>KRK</v>
      </c>
    </row>
    <row r="193" spans="1:20" x14ac:dyDescent="0.3">
      <c r="A193" s="37">
        <v>135062</v>
      </c>
      <c r="B193" s="38">
        <v>187</v>
      </c>
      <c r="C193" s="39" t="s">
        <v>305</v>
      </c>
      <c r="D193" s="10" t="str">
        <f>VLOOKUP(C193,'Data Angt'!$A$5:$B$5809,2,FALSE)</f>
        <v>A105</v>
      </c>
      <c r="E193" s="40" t="s">
        <v>10902</v>
      </c>
      <c r="F193" s="41">
        <v>44865</v>
      </c>
      <c r="G193" s="38">
        <v>12</v>
      </c>
      <c r="H193" s="40">
        <v>0</v>
      </c>
      <c r="I193" s="38">
        <v>5.5</v>
      </c>
      <c r="J193" s="41">
        <v>44865</v>
      </c>
      <c r="K193" s="38" t="s">
        <v>10768</v>
      </c>
      <c r="L193" s="42">
        <v>26000000</v>
      </c>
      <c r="O193" s="151" t="s">
        <v>5648</v>
      </c>
      <c r="P193" s="5" t="str">
        <f t="shared" si="4"/>
        <v>A2493</v>
      </c>
      <c r="Q193" s="5">
        <f t="shared" si="5"/>
        <v>2</v>
      </c>
      <c r="R193">
        <f>VLOOKUP(O193,'Data Angt'!$A$5:$F$5810,6,FALSE)</f>
        <v>36</v>
      </c>
      <c r="S193" s="5" t="str">
        <f>VLOOKUP(O193,'Data Angt'!$A$5:$H$5810,8,FALSE)</f>
        <v>Karyawan</v>
      </c>
      <c r="T193" s="44" t="str">
        <f>VLOOKUP(O193,'Data Angt'!$A$5:$C$5809,3,FALSE)</f>
        <v>KRK</v>
      </c>
    </row>
    <row r="194" spans="1:20" x14ac:dyDescent="0.3">
      <c r="A194" s="37">
        <v>126071</v>
      </c>
      <c r="B194" s="38">
        <v>188</v>
      </c>
      <c r="C194" s="39" t="s">
        <v>305</v>
      </c>
      <c r="D194" s="10" t="str">
        <f>VLOOKUP(C194,'Data Angt'!$A$5:$B$5809,2,FALSE)</f>
        <v>A105</v>
      </c>
      <c r="E194" s="40" t="s">
        <v>10903</v>
      </c>
      <c r="F194" s="41">
        <v>44175</v>
      </c>
      <c r="G194" s="38">
        <v>12</v>
      </c>
      <c r="H194" s="40">
        <v>0</v>
      </c>
      <c r="I194" s="38">
        <v>5.5</v>
      </c>
      <c r="J194" s="41">
        <v>44175</v>
      </c>
      <c r="K194" s="38" t="s">
        <v>10768</v>
      </c>
      <c r="L194" s="42">
        <v>10000000</v>
      </c>
      <c r="O194" s="151" t="s">
        <v>12421</v>
      </c>
      <c r="P194" s="5" t="str">
        <f t="shared" si="4"/>
        <v>A2709</v>
      </c>
      <c r="Q194" s="5">
        <f t="shared" si="5"/>
        <v>1</v>
      </c>
      <c r="R194">
        <f>VLOOKUP(O194,'Data Angt'!$A$5:$F$5810,6,FALSE)</f>
        <v>20</v>
      </c>
      <c r="S194" s="5">
        <f>VLOOKUP(O194,'Data Angt'!$A$5:$H$5810,8,FALSE)</f>
        <v>0</v>
      </c>
      <c r="T194" s="44" t="str">
        <f>VLOOKUP(O194,'Data Angt'!$A$5:$C$5809,3,FALSE)</f>
        <v>KRK</v>
      </c>
    </row>
    <row r="195" spans="1:20" x14ac:dyDescent="0.3">
      <c r="A195" s="37">
        <v>131807</v>
      </c>
      <c r="B195" s="38">
        <v>189</v>
      </c>
      <c r="C195" s="39" t="s">
        <v>305</v>
      </c>
      <c r="D195" s="10" t="str">
        <f>VLOOKUP(C195,'Data Angt'!$A$5:$B$5809,2,FALSE)</f>
        <v>A105</v>
      </c>
      <c r="E195" s="40" t="s">
        <v>10901</v>
      </c>
      <c r="F195" s="41">
        <v>44607</v>
      </c>
      <c r="G195" s="38">
        <v>12</v>
      </c>
      <c r="H195" s="40">
        <v>0</v>
      </c>
      <c r="I195" s="38">
        <v>5.5</v>
      </c>
      <c r="J195" s="41">
        <v>44607</v>
      </c>
      <c r="K195" s="38" t="s">
        <v>10768</v>
      </c>
      <c r="L195" s="42">
        <v>10000000</v>
      </c>
      <c r="O195" s="151" t="s">
        <v>12423</v>
      </c>
      <c r="P195" s="5" t="str">
        <f t="shared" si="4"/>
        <v>A2729</v>
      </c>
      <c r="Q195" s="5">
        <f t="shared" si="5"/>
        <v>1</v>
      </c>
      <c r="R195">
        <f>VLOOKUP(O195,'Data Angt'!$A$5:$F$5810,6,FALSE)</f>
        <v>47</v>
      </c>
      <c r="S195" s="5">
        <f>VLOOKUP(O195,'Data Angt'!$A$5:$H$5810,8,FALSE)</f>
        <v>0</v>
      </c>
      <c r="T195" s="44" t="str">
        <f>VLOOKUP(O195,'Data Angt'!$A$5:$C$5809,3,FALSE)</f>
        <v>KRK</v>
      </c>
    </row>
    <row r="196" spans="1:20" x14ac:dyDescent="0.3">
      <c r="A196" s="37">
        <v>78985</v>
      </c>
      <c r="B196" s="38">
        <v>190</v>
      </c>
      <c r="C196" s="39" t="s">
        <v>331</v>
      </c>
      <c r="D196" s="10" t="str">
        <f>VLOOKUP(C196,'Data Angt'!$A$5:$B$5809,2,FALSE)</f>
        <v>A115</v>
      </c>
      <c r="E196" s="40" t="s">
        <v>10905</v>
      </c>
      <c r="F196" s="41">
        <v>41174</v>
      </c>
      <c r="G196" s="38">
        <v>12</v>
      </c>
      <c r="H196" s="40">
        <v>0</v>
      </c>
      <c r="I196" s="38">
        <v>6</v>
      </c>
      <c r="J196" s="41">
        <v>41174</v>
      </c>
      <c r="K196" s="38" t="s">
        <v>10768</v>
      </c>
      <c r="L196" s="42">
        <v>175000000</v>
      </c>
      <c r="O196" s="151" t="s">
        <v>6318</v>
      </c>
      <c r="P196" s="5" t="str">
        <f t="shared" si="4"/>
        <v>A2800</v>
      </c>
      <c r="Q196" s="5">
        <f t="shared" si="5"/>
        <v>2</v>
      </c>
      <c r="R196">
        <f>VLOOKUP(O196,'Data Angt'!$A$5:$F$5810,6,FALSE)</f>
        <v>45</v>
      </c>
      <c r="S196" s="5" t="str">
        <f>VLOOKUP(O196,'Data Angt'!$A$5:$H$5810,8,FALSE)</f>
        <v>Tenaga Pengajar</v>
      </c>
      <c r="T196" s="44" t="str">
        <f>VLOOKUP(O196,'Data Angt'!$A$5:$C$5809,3,FALSE)</f>
        <v>KRK</v>
      </c>
    </row>
    <row r="197" spans="1:20" x14ac:dyDescent="0.3">
      <c r="A197" s="37">
        <v>79419</v>
      </c>
      <c r="B197" s="38">
        <v>191</v>
      </c>
      <c r="C197" s="39" t="s">
        <v>331</v>
      </c>
      <c r="D197" s="10" t="str">
        <f>VLOOKUP(C197,'Data Angt'!$A$5:$B$5809,2,FALSE)</f>
        <v>A115</v>
      </c>
      <c r="E197" s="40" t="s">
        <v>10906</v>
      </c>
      <c r="F197" s="41">
        <v>41605</v>
      </c>
      <c r="G197" s="38">
        <v>12</v>
      </c>
      <c r="H197" s="40">
        <v>0</v>
      </c>
      <c r="I197" s="38">
        <v>5.5</v>
      </c>
      <c r="J197" s="41">
        <v>41605</v>
      </c>
      <c r="K197" s="38" t="s">
        <v>10768</v>
      </c>
      <c r="L197" s="42">
        <v>1100000000</v>
      </c>
      <c r="O197" s="151" t="s">
        <v>6785</v>
      </c>
      <c r="P197" s="5" t="str">
        <f t="shared" si="4"/>
        <v>A3019</v>
      </c>
      <c r="Q197" s="5">
        <f t="shared" si="5"/>
        <v>5</v>
      </c>
      <c r="R197">
        <f>VLOOKUP(O197,'Data Angt'!$A$5:$F$5810,6,FALSE)</f>
        <v>72</v>
      </c>
      <c r="S197" s="5" t="str">
        <f>VLOOKUP(O197,'Data Angt'!$A$5:$H$5810,8,FALSE)</f>
        <v>Wiraswasta</v>
      </c>
      <c r="T197" s="44" t="str">
        <f>VLOOKUP(O197,'Data Angt'!$A$5:$C$5809,3,FALSE)</f>
        <v>KRK</v>
      </c>
    </row>
    <row r="198" spans="1:20" x14ac:dyDescent="0.3">
      <c r="A198" s="37">
        <v>152186</v>
      </c>
      <c r="B198" s="38">
        <v>192</v>
      </c>
      <c r="C198" s="39" t="s">
        <v>331</v>
      </c>
      <c r="D198" s="10" t="str">
        <f>VLOOKUP(C198,'Data Angt'!$A$5:$B$5809,2,FALSE)</f>
        <v>A115</v>
      </c>
      <c r="E198" s="40" t="s">
        <v>18432</v>
      </c>
      <c r="F198" s="41">
        <v>45672</v>
      </c>
      <c r="G198" s="38">
        <v>12</v>
      </c>
      <c r="H198" s="40">
        <v>0</v>
      </c>
      <c r="I198" s="38">
        <v>5.5</v>
      </c>
      <c r="J198" s="41">
        <v>45672</v>
      </c>
      <c r="K198" s="38" t="s">
        <v>10768</v>
      </c>
      <c r="L198" s="42">
        <v>2000000000</v>
      </c>
      <c r="O198" s="151" t="s">
        <v>8684</v>
      </c>
      <c r="P198" s="5" t="str">
        <f t="shared" ref="P198:P261" si="6">VLOOKUP(O198,$C$7:$D$1146,2,FALSE)</f>
        <v>A3940</v>
      </c>
      <c r="Q198" s="5">
        <f t="shared" ref="Q198:Q261" si="7">COUNTIF($C$7:$C$1146,O198)</f>
        <v>1</v>
      </c>
      <c r="R198">
        <f>VLOOKUP(O198,'Data Angt'!$A$5:$F$5810,6,FALSE)</f>
        <v>34</v>
      </c>
      <c r="S198" s="5" t="str">
        <f>VLOOKUP(O198,'Data Angt'!$A$5:$H$5810,8,FALSE)</f>
        <v>Karyawan</v>
      </c>
      <c r="T198" s="44" t="str">
        <f>VLOOKUP(O198,'Data Angt'!$A$5:$C$5809,3,FALSE)</f>
        <v>KRK</v>
      </c>
    </row>
    <row r="199" spans="1:20" x14ac:dyDescent="0.3">
      <c r="A199" s="37">
        <v>78980</v>
      </c>
      <c r="B199" s="38">
        <v>193</v>
      </c>
      <c r="C199" s="39" t="s">
        <v>331</v>
      </c>
      <c r="D199" s="10" t="str">
        <f>VLOOKUP(C199,'Data Angt'!$A$5:$B$5809,2,FALSE)</f>
        <v>A115</v>
      </c>
      <c r="E199" s="40" t="s">
        <v>10904</v>
      </c>
      <c r="F199" s="41">
        <v>40858</v>
      </c>
      <c r="G199" s="38">
        <v>12</v>
      </c>
      <c r="H199" s="40">
        <v>0</v>
      </c>
      <c r="I199" s="38">
        <v>5.5</v>
      </c>
      <c r="J199" s="41">
        <v>40858</v>
      </c>
      <c r="K199" s="38" t="s">
        <v>10768</v>
      </c>
      <c r="L199" s="42">
        <v>125000000</v>
      </c>
      <c r="O199" s="151" t="s">
        <v>8706</v>
      </c>
      <c r="P199" s="5" t="str">
        <f t="shared" si="6"/>
        <v>A3951</v>
      </c>
      <c r="Q199" s="5">
        <f t="shared" si="7"/>
        <v>9</v>
      </c>
      <c r="R199">
        <f>VLOOKUP(O199,'Data Angt'!$A$5:$F$5810,6,FALSE)</f>
        <v>39</v>
      </c>
      <c r="S199" s="5" t="str">
        <f>VLOOKUP(O199,'Data Angt'!$A$5:$H$5810,8,FALSE)</f>
        <v>Wiraswasta</v>
      </c>
      <c r="T199" s="44" t="str">
        <f>VLOOKUP(O199,'Data Angt'!$A$5:$C$5809,3,FALSE)</f>
        <v>KRK</v>
      </c>
    </row>
    <row r="200" spans="1:20" x14ac:dyDescent="0.3">
      <c r="A200" s="37">
        <v>121599</v>
      </c>
      <c r="B200" s="38">
        <v>194</v>
      </c>
      <c r="C200" s="39" t="s">
        <v>362</v>
      </c>
      <c r="D200" s="10" t="str">
        <f>VLOOKUP(C200,'Data Angt'!$A$5:$B$5809,2,FALSE)</f>
        <v>A124</v>
      </c>
      <c r="E200" s="40" t="s">
        <v>10907</v>
      </c>
      <c r="F200" s="41">
        <v>43896</v>
      </c>
      <c r="G200" s="38">
        <v>12</v>
      </c>
      <c r="H200" s="40">
        <v>0</v>
      </c>
      <c r="I200" s="38">
        <v>5.5</v>
      </c>
      <c r="J200" s="41">
        <v>43896</v>
      </c>
      <c r="K200" s="38" t="s">
        <v>10768</v>
      </c>
      <c r="L200" s="42">
        <v>1000000</v>
      </c>
      <c r="O200" s="151" t="s">
        <v>14036</v>
      </c>
      <c r="P200" s="5" t="str">
        <f t="shared" si="6"/>
        <v>A5059</v>
      </c>
      <c r="Q200" s="5">
        <f t="shared" si="7"/>
        <v>1</v>
      </c>
      <c r="R200">
        <f>VLOOKUP(O200,'Data Angt'!$A$5:$F$5810,6,FALSE)</f>
        <v>63</v>
      </c>
      <c r="S200" s="5" t="str">
        <f>VLOOKUP(O200,'Data Angt'!$A$5:$H$5810,8,FALSE)</f>
        <v>Wiraswasta</v>
      </c>
      <c r="T200" s="44" t="str">
        <f>VLOOKUP(O200,'Data Angt'!$A$5:$C$5809,3,FALSE)</f>
        <v>KRK</v>
      </c>
    </row>
    <row r="201" spans="1:20" x14ac:dyDescent="0.3">
      <c r="A201" s="37">
        <v>140241</v>
      </c>
      <c r="B201" s="38">
        <v>195</v>
      </c>
      <c r="C201" s="39" t="s">
        <v>375</v>
      </c>
      <c r="D201" s="10" t="str">
        <f>VLOOKUP(C201,'Data Angt'!$A$5:$B$5809,2,FALSE)</f>
        <v>A128</v>
      </c>
      <c r="E201" s="40" t="s">
        <v>10908</v>
      </c>
      <c r="F201" s="41">
        <v>45237</v>
      </c>
      <c r="G201" s="38">
        <v>12</v>
      </c>
      <c r="H201" s="40">
        <v>0</v>
      </c>
      <c r="I201" s="38">
        <v>5.5</v>
      </c>
      <c r="J201" s="41">
        <v>45237</v>
      </c>
      <c r="K201" s="38" t="s">
        <v>10768</v>
      </c>
      <c r="L201" s="42">
        <v>50000000</v>
      </c>
      <c r="O201" s="151" t="s">
        <v>14037</v>
      </c>
      <c r="P201" s="5" t="str">
        <f t="shared" si="6"/>
        <v>A5060</v>
      </c>
      <c r="Q201" s="5">
        <f t="shared" si="7"/>
        <v>1</v>
      </c>
      <c r="R201">
        <f>VLOOKUP(O201,'Data Angt'!$A$5:$F$5810,6,FALSE)</f>
        <v>27</v>
      </c>
      <c r="S201" s="5" t="str">
        <f>VLOOKUP(O201,'Data Angt'!$A$5:$H$5810,8,FALSE)</f>
        <v>Karyawan</v>
      </c>
      <c r="T201" s="44" t="str">
        <f>VLOOKUP(O201,'Data Angt'!$A$5:$C$5809,3,FALSE)</f>
        <v>KRK</v>
      </c>
    </row>
    <row r="202" spans="1:20" x14ac:dyDescent="0.3">
      <c r="A202" s="37">
        <v>150386</v>
      </c>
      <c r="B202" s="38">
        <v>196</v>
      </c>
      <c r="C202" s="39" t="s">
        <v>375</v>
      </c>
      <c r="D202" s="10" t="str">
        <f>VLOOKUP(C202,'Data Angt'!$A$5:$B$5809,2,FALSE)</f>
        <v>A128</v>
      </c>
      <c r="E202" s="40" t="s">
        <v>18433</v>
      </c>
      <c r="F202" s="41">
        <v>45604</v>
      </c>
      <c r="G202" s="38">
        <v>12</v>
      </c>
      <c r="H202" s="40">
        <v>0</v>
      </c>
      <c r="I202" s="38">
        <v>5.5</v>
      </c>
      <c r="J202" s="41">
        <v>45604</v>
      </c>
      <c r="K202" s="38" t="s">
        <v>10768</v>
      </c>
      <c r="L202" s="42">
        <v>50000000</v>
      </c>
      <c r="O202" s="39" t="s">
        <v>572</v>
      </c>
      <c r="P202" s="5" t="str">
        <f t="shared" si="6"/>
        <v>A206</v>
      </c>
      <c r="Q202" s="5">
        <f t="shared" si="7"/>
        <v>17</v>
      </c>
      <c r="R202">
        <f>VLOOKUP(O202,'Data Angt'!$A$5:$F$5810,6,FALSE)</f>
        <v>71</v>
      </c>
      <c r="S202" s="5" t="str">
        <f>VLOOKUP(O202,'Data Angt'!$A$5:$H$5810,8,FALSE)</f>
        <v>Pensiunan</v>
      </c>
      <c r="T202" s="44" t="str">
        <f>VLOOKUP(O202,'Data Angt'!$A$5:$C$5809,3,FALSE)</f>
        <v>JBR</v>
      </c>
    </row>
    <row r="203" spans="1:20" x14ac:dyDescent="0.3">
      <c r="A203" s="37">
        <v>127315</v>
      </c>
      <c r="B203" s="38">
        <v>197</v>
      </c>
      <c r="C203" s="39" t="s">
        <v>431</v>
      </c>
      <c r="D203" s="10" t="str">
        <f>VLOOKUP(C203,'Data Angt'!$A$5:$B$5809,2,FALSE)</f>
        <v>A150</v>
      </c>
      <c r="E203" s="40" t="s">
        <v>10909</v>
      </c>
      <c r="F203" s="41">
        <v>44260</v>
      </c>
      <c r="G203" s="38">
        <v>12</v>
      </c>
      <c r="H203" s="40">
        <v>0</v>
      </c>
      <c r="I203" s="38">
        <v>5.5</v>
      </c>
      <c r="J203" s="41">
        <v>44260</v>
      </c>
      <c r="K203" s="38" t="s">
        <v>10768</v>
      </c>
      <c r="L203" s="42">
        <v>20000000</v>
      </c>
      <c r="O203" s="39" t="s">
        <v>583</v>
      </c>
      <c r="P203" s="5" t="str">
        <f t="shared" si="6"/>
        <v>A210</v>
      </c>
      <c r="Q203" s="5">
        <f t="shared" si="7"/>
        <v>16</v>
      </c>
      <c r="R203">
        <f>VLOOKUP(O203,'Data Angt'!$A$5:$F$5810,6,FALSE)</f>
        <v>70</v>
      </c>
      <c r="S203" s="5" t="str">
        <f>VLOOKUP(O203,'Data Angt'!$A$5:$H$5810,8,FALSE)</f>
        <v>Pensiunan</v>
      </c>
      <c r="T203" s="44" t="str">
        <f>VLOOKUP(O203,'Data Angt'!$A$5:$C$5809,3,FALSE)</f>
        <v>JBR</v>
      </c>
    </row>
    <row r="204" spans="1:20" x14ac:dyDescent="0.3">
      <c r="A204" s="37">
        <v>137210</v>
      </c>
      <c r="B204" s="38">
        <v>198</v>
      </c>
      <c r="C204" s="39" t="s">
        <v>468</v>
      </c>
      <c r="D204" s="10" t="str">
        <f>VLOOKUP(C204,'Data Angt'!$A$5:$B$5809,2,FALSE)</f>
        <v>A164</v>
      </c>
      <c r="E204" s="40" t="s">
        <v>10910</v>
      </c>
      <c r="F204" s="41">
        <v>45042</v>
      </c>
      <c r="G204" s="38">
        <v>12</v>
      </c>
      <c r="H204" s="40">
        <v>0</v>
      </c>
      <c r="I204" s="38">
        <v>5.5</v>
      </c>
      <c r="J204" s="41">
        <v>45042</v>
      </c>
      <c r="K204" s="38" t="s">
        <v>10768</v>
      </c>
      <c r="L204" s="42">
        <v>5000000</v>
      </c>
      <c r="O204" s="39" t="s">
        <v>590</v>
      </c>
      <c r="P204" s="5" t="str">
        <f t="shared" si="6"/>
        <v>A213</v>
      </c>
      <c r="Q204" s="5">
        <f t="shared" si="7"/>
        <v>5</v>
      </c>
      <c r="R204">
        <f>VLOOKUP(O204,'Data Angt'!$A$5:$F$5810,6,FALSE)</f>
        <v>76</v>
      </c>
      <c r="S204" s="5" t="str">
        <f>VLOOKUP(O204,'Data Angt'!$A$5:$H$5810,8,FALSE)</f>
        <v>Pensiunan</v>
      </c>
      <c r="T204" s="44" t="str">
        <f>VLOOKUP(O204,'Data Angt'!$A$5:$C$5809,3,FALSE)</f>
        <v>JBR</v>
      </c>
    </row>
    <row r="205" spans="1:20" x14ac:dyDescent="0.3">
      <c r="A205" s="37">
        <v>143799</v>
      </c>
      <c r="B205" s="38">
        <v>199</v>
      </c>
      <c r="C205" s="39" t="s">
        <v>473</v>
      </c>
      <c r="D205" s="10" t="str">
        <f>VLOOKUP(C205,'Data Angt'!$A$5:$B$5809,2,FALSE)</f>
        <v>A167</v>
      </c>
      <c r="E205" s="40" t="s">
        <v>18434</v>
      </c>
      <c r="F205" s="41">
        <v>45374</v>
      </c>
      <c r="G205" s="38">
        <v>12</v>
      </c>
      <c r="H205" s="40">
        <v>0</v>
      </c>
      <c r="I205" s="38">
        <v>5.5</v>
      </c>
      <c r="J205" s="41">
        <v>45374</v>
      </c>
      <c r="K205" s="38" t="s">
        <v>10768</v>
      </c>
      <c r="L205" s="42">
        <v>12000000</v>
      </c>
      <c r="O205" s="39" t="s">
        <v>608</v>
      </c>
      <c r="P205" s="5" t="str">
        <f t="shared" si="6"/>
        <v>A221</v>
      </c>
      <c r="Q205" s="5">
        <f t="shared" si="7"/>
        <v>1</v>
      </c>
      <c r="R205">
        <f>VLOOKUP(O205,'Data Angt'!$A$5:$F$5810,6,FALSE)</f>
        <v>56</v>
      </c>
      <c r="S205" s="5" t="str">
        <f>VLOOKUP(O205,'Data Angt'!$A$5:$H$5810,8,FALSE)</f>
        <v>Tenaga Pengajar</v>
      </c>
      <c r="T205" s="44" t="str">
        <f>VLOOKUP(O205,'Data Angt'!$A$5:$C$5809,3,FALSE)</f>
        <v>JBR</v>
      </c>
    </row>
    <row r="206" spans="1:20" x14ac:dyDescent="0.3">
      <c r="A206" s="37">
        <v>91085</v>
      </c>
      <c r="B206" s="38">
        <v>200</v>
      </c>
      <c r="C206" s="39" t="s">
        <v>473</v>
      </c>
      <c r="D206" s="10" t="str">
        <f>VLOOKUP(C206,'Data Angt'!$A$5:$B$5809,2,FALSE)</f>
        <v>A167</v>
      </c>
      <c r="E206" s="40" t="s">
        <v>11074</v>
      </c>
      <c r="F206" s="41">
        <v>43397</v>
      </c>
      <c r="G206" s="38">
        <v>12</v>
      </c>
      <c r="H206" s="40">
        <v>0</v>
      </c>
      <c r="I206" s="38">
        <v>5.5</v>
      </c>
      <c r="J206" s="41">
        <v>43397</v>
      </c>
      <c r="K206" s="38" t="s">
        <v>10768</v>
      </c>
      <c r="L206" s="42">
        <v>12000000</v>
      </c>
      <c r="O206" s="39" t="s">
        <v>615</v>
      </c>
      <c r="P206" s="5" t="str">
        <f t="shared" si="6"/>
        <v>A224</v>
      </c>
      <c r="Q206" s="5">
        <f t="shared" si="7"/>
        <v>2</v>
      </c>
      <c r="R206">
        <f>VLOOKUP(O206,'Data Angt'!$A$5:$F$5810,6,FALSE)</f>
        <v>64</v>
      </c>
      <c r="S206" s="5" t="str">
        <f>VLOOKUP(O206,'Data Angt'!$A$5:$H$5810,8,FALSE)</f>
        <v>pensiunan</v>
      </c>
      <c r="T206" s="44" t="str">
        <f>VLOOKUP(O206,'Data Angt'!$A$5:$C$5809,3,FALSE)</f>
        <v>JBR</v>
      </c>
    </row>
    <row r="207" spans="1:20" x14ac:dyDescent="0.3">
      <c r="A207" s="37">
        <v>79010</v>
      </c>
      <c r="B207" s="38">
        <v>201</v>
      </c>
      <c r="C207" s="39" t="s">
        <v>473</v>
      </c>
      <c r="D207" s="10" t="str">
        <f>VLOOKUP(C207,'Data Angt'!$A$5:$B$5809,2,FALSE)</f>
        <v>A167</v>
      </c>
      <c r="E207" s="40" t="s">
        <v>11072</v>
      </c>
      <c r="F207" s="41">
        <v>42062</v>
      </c>
      <c r="G207" s="38">
        <v>12</v>
      </c>
      <c r="H207" s="40">
        <v>0</v>
      </c>
      <c r="I207" s="38">
        <v>5.5</v>
      </c>
      <c r="J207" s="41">
        <v>42062</v>
      </c>
      <c r="K207" s="38" t="s">
        <v>10768</v>
      </c>
      <c r="L207" s="42">
        <v>15000000</v>
      </c>
      <c r="O207" s="39" t="s">
        <v>680</v>
      </c>
      <c r="P207" s="5" t="str">
        <f t="shared" si="6"/>
        <v>A251</v>
      </c>
      <c r="Q207" s="5">
        <f t="shared" si="7"/>
        <v>44</v>
      </c>
      <c r="R207">
        <f>VLOOKUP(O207,'Data Angt'!$A$5:$F$5810,6,FALSE)</f>
        <v>55</v>
      </c>
      <c r="S207" s="5" t="str">
        <f>VLOOKUP(O207,'Data Angt'!$A$5:$H$5810,8,FALSE)</f>
        <v>Pensiunan</v>
      </c>
      <c r="T207" s="44" t="str">
        <f>VLOOKUP(O207,'Data Angt'!$A$5:$C$5809,3,FALSE)</f>
        <v>JBR</v>
      </c>
    </row>
    <row r="208" spans="1:20" x14ac:dyDescent="0.3">
      <c r="A208" s="37">
        <v>79045</v>
      </c>
      <c r="B208" s="38">
        <v>202</v>
      </c>
      <c r="C208" s="39" t="s">
        <v>473</v>
      </c>
      <c r="D208" s="10" t="str">
        <f>VLOOKUP(C208,'Data Angt'!$A$5:$B$5809,2,FALSE)</f>
        <v>A167</v>
      </c>
      <c r="E208" s="40" t="s">
        <v>10911</v>
      </c>
      <c r="F208" s="41">
        <v>42423</v>
      </c>
      <c r="G208" s="38">
        <v>12</v>
      </c>
      <c r="H208" s="40">
        <v>0</v>
      </c>
      <c r="I208" s="38">
        <v>5.5</v>
      </c>
      <c r="J208" s="41">
        <v>42423</v>
      </c>
      <c r="K208" s="38" t="s">
        <v>10768</v>
      </c>
      <c r="L208" s="42">
        <v>14000000</v>
      </c>
      <c r="O208" s="39" t="s">
        <v>683</v>
      </c>
      <c r="P208" s="5" t="str">
        <f t="shared" si="6"/>
        <v>A252</v>
      </c>
      <c r="Q208" s="5">
        <f t="shared" si="7"/>
        <v>5</v>
      </c>
      <c r="R208">
        <f>VLOOKUP(O208,'Data Angt'!$A$5:$F$5810,6,FALSE)</f>
        <v>56</v>
      </c>
      <c r="S208" s="5" t="str">
        <f>VLOOKUP(O208,'Data Angt'!$A$5:$H$5810,8,FALSE)</f>
        <v>Tenaga Pengajar</v>
      </c>
      <c r="T208" s="44" t="str">
        <f>VLOOKUP(O208,'Data Angt'!$A$5:$C$5809,3,FALSE)</f>
        <v>JBR</v>
      </c>
    </row>
    <row r="209" spans="1:20" x14ac:dyDescent="0.3">
      <c r="A209" s="37">
        <v>79049</v>
      </c>
      <c r="B209" s="38">
        <v>203</v>
      </c>
      <c r="C209" s="39" t="s">
        <v>473</v>
      </c>
      <c r="D209" s="10" t="str">
        <f>VLOOKUP(C209,'Data Angt'!$A$5:$B$5809,2,FALSE)</f>
        <v>A167</v>
      </c>
      <c r="E209" s="40" t="s">
        <v>10912</v>
      </c>
      <c r="F209" s="41">
        <v>42437</v>
      </c>
      <c r="G209" s="38">
        <v>12</v>
      </c>
      <c r="H209" s="40">
        <v>0</v>
      </c>
      <c r="I209" s="38">
        <v>5.5</v>
      </c>
      <c r="J209" s="41">
        <v>42585</v>
      </c>
      <c r="K209" s="38" t="s">
        <v>10768</v>
      </c>
      <c r="L209" s="42">
        <v>6000000</v>
      </c>
      <c r="O209" s="39" t="s">
        <v>797</v>
      </c>
      <c r="P209" s="5" t="str">
        <f t="shared" si="6"/>
        <v>A297</v>
      </c>
      <c r="Q209" s="5">
        <f t="shared" si="7"/>
        <v>2</v>
      </c>
      <c r="R209">
        <f>VLOOKUP(O209,'Data Angt'!$A$5:$F$5810,6,FALSE)</f>
        <v>53</v>
      </c>
      <c r="S209" s="5" t="str">
        <f>VLOOKUP(O209,'Data Angt'!$A$5:$H$5810,8,FALSE)</f>
        <v>Tenaga Pengajar</v>
      </c>
      <c r="T209" s="44" t="str">
        <f>VLOOKUP(O209,'Data Angt'!$A$5:$C$5809,3,FALSE)</f>
        <v>JBR</v>
      </c>
    </row>
    <row r="210" spans="1:20" x14ac:dyDescent="0.3">
      <c r="A210" s="37">
        <v>136938</v>
      </c>
      <c r="B210" s="38">
        <v>204</v>
      </c>
      <c r="C210" s="39" t="s">
        <v>473</v>
      </c>
      <c r="D210" s="10" t="str">
        <f>VLOOKUP(C210,'Data Angt'!$A$5:$B$5809,2,FALSE)</f>
        <v>A167</v>
      </c>
      <c r="E210" s="40" t="s">
        <v>11073</v>
      </c>
      <c r="F210" s="41">
        <v>45012</v>
      </c>
      <c r="G210" s="38">
        <v>12</v>
      </c>
      <c r="H210" s="40">
        <v>0</v>
      </c>
      <c r="I210" s="38">
        <v>5.5</v>
      </c>
      <c r="J210" s="41">
        <v>45012</v>
      </c>
      <c r="K210" s="38" t="s">
        <v>10768</v>
      </c>
      <c r="L210" s="42">
        <v>10000000</v>
      </c>
      <c r="O210" s="39" t="s">
        <v>799</v>
      </c>
      <c r="P210" s="5" t="str">
        <f t="shared" si="6"/>
        <v>A298</v>
      </c>
      <c r="Q210" s="5">
        <f t="shared" si="7"/>
        <v>4</v>
      </c>
      <c r="R210">
        <f>VLOOKUP(O210,'Data Angt'!$A$5:$F$5810,6,FALSE)</f>
        <v>51</v>
      </c>
      <c r="S210" s="5" t="str">
        <f>VLOOKUP(O210,'Data Angt'!$A$5:$H$5810,8,FALSE)</f>
        <v>Tenaga Pengajar</v>
      </c>
      <c r="T210" s="44" t="str">
        <f>VLOOKUP(O210,'Data Angt'!$A$5:$C$5809,3,FALSE)</f>
        <v>JBR</v>
      </c>
    </row>
    <row r="211" spans="1:20" x14ac:dyDescent="0.3">
      <c r="A211" s="37">
        <v>114018</v>
      </c>
      <c r="B211" s="38">
        <v>205</v>
      </c>
      <c r="C211" s="39" t="s">
        <v>497</v>
      </c>
      <c r="D211" s="10" t="str">
        <f>VLOOKUP(C211,'Data Angt'!$A$5:$B$5809,2,FALSE)</f>
        <v>A175</v>
      </c>
      <c r="E211" s="40" t="s">
        <v>10913</v>
      </c>
      <c r="F211" s="41">
        <v>43657</v>
      </c>
      <c r="G211" s="38">
        <v>12</v>
      </c>
      <c r="H211" s="40">
        <v>0</v>
      </c>
      <c r="I211" s="38">
        <v>5.5</v>
      </c>
      <c r="J211" s="41">
        <v>43657</v>
      </c>
      <c r="K211" s="38" t="s">
        <v>10768</v>
      </c>
      <c r="L211" s="42">
        <v>1500000</v>
      </c>
      <c r="O211" s="151" t="s">
        <v>805</v>
      </c>
      <c r="P211" s="5" t="str">
        <f t="shared" si="6"/>
        <v>A300</v>
      </c>
      <c r="Q211" s="5">
        <f t="shared" si="7"/>
        <v>2</v>
      </c>
      <c r="R211">
        <f>VLOOKUP(O211,'Data Angt'!$A$5:$F$5810,6,FALSE)</f>
        <v>57</v>
      </c>
      <c r="S211" s="5" t="str">
        <f>VLOOKUP(O211,'Data Angt'!$A$5:$H$5810,8,FALSE)</f>
        <v>Tenaga Pengajar</v>
      </c>
      <c r="T211" s="44" t="str">
        <f>VLOOKUP(O211,'Data Angt'!$A$5:$C$5809,3,FALSE)</f>
        <v>JBR</v>
      </c>
    </row>
    <row r="212" spans="1:20" x14ac:dyDescent="0.3">
      <c r="A212" s="37">
        <v>132358</v>
      </c>
      <c r="B212" s="38">
        <v>206</v>
      </c>
      <c r="C212" s="39" t="s">
        <v>497</v>
      </c>
      <c r="D212" s="10" t="str">
        <f>VLOOKUP(C212,'Data Angt'!$A$5:$B$5809,2,FALSE)</f>
        <v>A175</v>
      </c>
      <c r="E212" s="40" t="s">
        <v>10914</v>
      </c>
      <c r="F212" s="41">
        <v>44651</v>
      </c>
      <c r="G212" s="38">
        <v>12</v>
      </c>
      <c r="H212" s="40">
        <v>0</v>
      </c>
      <c r="I212" s="38">
        <v>5.5</v>
      </c>
      <c r="J212" s="41">
        <v>44651</v>
      </c>
      <c r="K212" s="38" t="s">
        <v>10768</v>
      </c>
      <c r="L212" s="42">
        <v>10000000</v>
      </c>
      <c r="O212" s="151" t="s">
        <v>12124</v>
      </c>
      <c r="P212" s="5" t="str">
        <f t="shared" si="6"/>
        <v>A346</v>
      </c>
      <c r="Q212" s="5">
        <f t="shared" si="7"/>
        <v>2</v>
      </c>
      <c r="R212">
        <f>VLOOKUP(O212,'Data Angt'!$A$5:$F$5810,6,FALSE)</f>
        <v>56</v>
      </c>
      <c r="S212" s="5" t="str">
        <f>VLOOKUP(O212,'Data Angt'!$A$5:$H$5810,8,FALSE)</f>
        <v>Mengurus Rumah Tangga</v>
      </c>
      <c r="T212" s="44" t="str">
        <f>VLOOKUP(O212,'Data Angt'!$A$5:$C$5809,3,FALSE)</f>
        <v>JBR</v>
      </c>
    </row>
    <row r="213" spans="1:20" x14ac:dyDescent="0.3">
      <c r="A213" s="37">
        <v>79172</v>
      </c>
      <c r="B213" s="38">
        <v>207</v>
      </c>
      <c r="C213" s="39" t="s">
        <v>12108</v>
      </c>
      <c r="D213" s="10" t="str">
        <f>VLOOKUP(C213,'Data Angt'!$A$5:$B$5809,2,FALSE)</f>
        <v>A181</v>
      </c>
      <c r="E213" s="40" t="s">
        <v>10915</v>
      </c>
      <c r="F213" s="41">
        <v>42783</v>
      </c>
      <c r="G213" s="38">
        <v>12</v>
      </c>
      <c r="H213" s="40">
        <v>0</v>
      </c>
      <c r="I213" s="38">
        <v>5.5</v>
      </c>
      <c r="J213" s="41">
        <v>42783</v>
      </c>
      <c r="K213" s="38" t="s">
        <v>10768</v>
      </c>
      <c r="L213" s="42">
        <v>25000000</v>
      </c>
      <c r="O213" s="151" t="s">
        <v>12125</v>
      </c>
      <c r="P213" s="5" t="str">
        <f t="shared" si="6"/>
        <v>A347</v>
      </c>
      <c r="Q213" s="5">
        <f t="shared" si="7"/>
        <v>1</v>
      </c>
      <c r="R213">
        <f>VLOOKUP(O213,'Data Angt'!$A$5:$F$5810,6,FALSE)</f>
        <v>28</v>
      </c>
      <c r="S213" s="5" t="str">
        <f>VLOOKUP(O213,'Data Angt'!$A$5:$H$5810,8,FALSE)</f>
        <v>Karyawan</v>
      </c>
      <c r="T213" s="44" t="str">
        <f>VLOOKUP(O213,'Data Angt'!$A$5:$C$5809,3,FALSE)</f>
        <v>JBR</v>
      </c>
    </row>
    <row r="214" spans="1:20" x14ac:dyDescent="0.3">
      <c r="A214" s="37">
        <v>79173</v>
      </c>
      <c r="B214" s="38">
        <v>208</v>
      </c>
      <c r="C214" s="39" t="s">
        <v>12108</v>
      </c>
      <c r="D214" s="10" t="str">
        <f>VLOOKUP(C214,'Data Angt'!$A$5:$B$5809,2,FALSE)</f>
        <v>A181</v>
      </c>
      <c r="E214" s="40" t="s">
        <v>10916</v>
      </c>
      <c r="F214" s="41">
        <v>42783</v>
      </c>
      <c r="G214" s="38">
        <v>12</v>
      </c>
      <c r="H214" s="40">
        <v>0</v>
      </c>
      <c r="I214" s="38">
        <v>5.5</v>
      </c>
      <c r="J214" s="41">
        <v>42783</v>
      </c>
      <c r="K214" s="38" t="s">
        <v>10768</v>
      </c>
      <c r="L214" s="42">
        <v>25000000</v>
      </c>
      <c r="O214" s="151" t="s">
        <v>12136</v>
      </c>
      <c r="P214" s="5" t="str">
        <f t="shared" si="6"/>
        <v>A436</v>
      </c>
      <c r="Q214" s="5">
        <f t="shared" si="7"/>
        <v>3</v>
      </c>
      <c r="R214">
        <f>VLOOKUP(O214,'Data Angt'!$A$5:$F$5810,6,FALSE)</f>
        <v>26</v>
      </c>
      <c r="S214" s="5" t="str">
        <f>VLOOKUP(O214,'Data Angt'!$A$5:$H$5810,8,FALSE)</f>
        <v>Pelajar/Mahasiswa</v>
      </c>
      <c r="T214" s="44" t="str">
        <f>VLOOKUP(O214,'Data Angt'!$A$5:$C$5809,3,FALSE)</f>
        <v>JBR</v>
      </c>
    </row>
    <row r="215" spans="1:20" x14ac:dyDescent="0.3">
      <c r="A215" s="37">
        <v>81348</v>
      </c>
      <c r="B215" s="38">
        <v>209</v>
      </c>
      <c r="C215" s="39" t="s">
        <v>12108</v>
      </c>
      <c r="D215" s="10" t="str">
        <f>VLOOKUP(C215,'Data Angt'!$A$5:$B$5809,2,FALSE)</f>
        <v>A181</v>
      </c>
      <c r="E215" s="40" t="s">
        <v>10917</v>
      </c>
      <c r="F215" s="41">
        <v>43173</v>
      </c>
      <c r="G215" s="38">
        <v>12</v>
      </c>
      <c r="H215" s="40">
        <v>0</v>
      </c>
      <c r="I215" s="38">
        <v>5.5</v>
      </c>
      <c r="J215" s="41">
        <v>43173</v>
      </c>
      <c r="K215" s="38" t="s">
        <v>10768</v>
      </c>
      <c r="L215" s="42">
        <v>25000000</v>
      </c>
      <c r="O215" s="151" t="s">
        <v>12137</v>
      </c>
      <c r="P215" s="5" t="str">
        <f t="shared" si="6"/>
        <v>A437</v>
      </c>
      <c r="Q215" s="5">
        <f t="shared" si="7"/>
        <v>2</v>
      </c>
      <c r="R215">
        <f>VLOOKUP(O215,'Data Angt'!$A$5:$F$5810,6,FALSE)</f>
        <v>22</v>
      </c>
      <c r="S215" s="5" t="str">
        <f>VLOOKUP(O215,'Data Angt'!$A$5:$H$5810,8,FALSE)</f>
        <v>Pelajar/Mahasiswa</v>
      </c>
      <c r="T215" s="44" t="str">
        <f>VLOOKUP(O215,'Data Angt'!$A$5:$C$5809,3,FALSE)</f>
        <v>JBR</v>
      </c>
    </row>
    <row r="216" spans="1:20" x14ac:dyDescent="0.3">
      <c r="A216" s="37">
        <v>81349</v>
      </c>
      <c r="B216" s="38">
        <v>210</v>
      </c>
      <c r="C216" s="39" t="s">
        <v>12108</v>
      </c>
      <c r="D216" s="10" t="str">
        <f>VLOOKUP(C216,'Data Angt'!$A$5:$B$5809,2,FALSE)</f>
        <v>A181</v>
      </c>
      <c r="E216" s="40" t="s">
        <v>10918</v>
      </c>
      <c r="F216" s="41">
        <v>43173</v>
      </c>
      <c r="G216" s="38">
        <v>12</v>
      </c>
      <c r="H216" s="40">
        <v>0</v>
      </c>
      <c r="I216" s="38">
        <v>5.5</v>
      </c>
      <c r="J216" s="41">
        <v>43173</v>
      </c>
      <c r="K216" s="38" t="s">
        <v>10768</v>
      </c>
      <c r="L216" s="42">
        <v>25000000</v>
      </c>
      <c r="O216" s="151" t="s">
        <v>1224</v>
      </c>
      <c r="P216" s="5" t="str">
        <f t="shared" si="6"/>
        <v>A477</v>
      </c>
      <c r="Q216" s="5">
        <f t="shared" si="7"/>
        <v>1</v>
      </c>
      <c r="R216">
        <f>VLOOKUP(O216,'Data Angt'!$A$5:$F$5810,6,FALSE)</f>
        <v>50</v>
      </c>
      <c r="S216" s="5" t="str">
        <f>VLOOKUP(O216,'Data Angt'!$A$5:$H$5810,8,FALSE)</f>
        <v>Pemuka Agama</v>
      </c>
      <c r="T216" s="44" t="str">
        <f>VLOOKUP(O216,'Data Angt'!$A$5:$C$5809,3,FALSE)</f>
        <v>JBR</v>
      </c>
    </row>
    <row r="217" spans="1:20" x14ac:dyDescent="0.3">
      <c r="A217" s="37">
        <v>79050</v>
      </c>
      <c r="B217" s="38">
        <v>211</v>
      </c>
      <c r="C217" s="39" t="s">
        <v>510</v>
      </c>
      <c r="D217" s="10" t="str">
        <f>VLOOKUP(C217,'Data Angt'!$A$5:$B$5809,2,FALSE)</f>
        <v>A182</v>
      </c>
      <c r="E217" s="40" t="s">
        <v>10919</v>
      </c>
      <c r="F217" s="41">
        <v>42443</v>
      </c>
      <c r="G217" s="38">
        <v>12</v>
      </c>
      <c r="H217" s="40">
        <v>0</v>
      </c>
      <c r="I217" s="38">
        <v>5.5</v>
      </c>
      <c r="J217" s="41">
        <v>42443</v>
      </c>
      <c r="K217" s="38" t="s">
        <v>10768</v>
      </c>
      <c r="L217" s="42">
        <v>35000000</v>
      </c>
      <c r="O217" s="151" t="s">
        <v>1280</v>
      </c>
      <c r="P217" s="5" t="str">
        <f t="shared" si="6"/>
        <v>A498</v>
      </c>
      <c r="Q217" s="5">
        <f t="shared" si="7"/>
        <v>5</v>
      </c>
      <c r="R217">
        <f>VLOOKUP(O217,'Data Angt'!$A$5:$F$5810,6,FALSE)</f>
        <v>46</v>
      </c>
      <c r="S217" s="5" t="str">
        <f>VLOOKUP(O217,'Data Angt'!$A$5:$H$5810,8,FALSE)</f>
        <v>Tenaga Pengajar</v>
      </c>
      <c r="T217" s="44" t="str">
        <f>VLOOKUP(O217,'Data Angt'!$A$5:$C$5809,3,FALSE)</f>
        <v>JBR</v>
      </c>
    </row>
    <row r="218" spans="1:20" x14ac:dyDescent="0.3">
      <c r="A218" s="37">
        <v>79052</v>
      </c>
      <c r="B218" s="38">
        <v>212</v>
      </c>
      <c r="C218" s="39" t="s">
        <v>510</v>
      </c>
      <c r="D218" s="10" t="str">
        <f>VLOOKUP(C218,'Data Angt'!$A$5:$B$5809,2,FALSE)</f>
        <v>A182</v>
      </c>
      <c r="E218" s="40" t="s">
        <v>10920</v>
      </c>
      <c r="F218" s="41">
        <v>42443</v>
      </c>
      <c r="G218" s="38">
        <v>12</v>
      </c>
      <c r="H218" s="40">
        <v>0</v>
      </c>
      <c r="I218" s="38">
        <v>5.5</v>
      </c>
      <c r="J218" s="41">
        <v>42443</v>
      </c>
      <c r="K218" s="38" t="s">
        <v>10768</v>
      </c>
      <c r="L218" s="42">
        <v>35000000</v>
      </c>
      <c r="O218" s="151" t="s">
        <v>1293</v>
      </c>
      <c r="P218" s="5" t="str">
        <f t="shared" si="6"/>
        <v>A503</v>
      </c>
      <c r="Q218" s="5">
        <f t="shared" si="7"/>
        <v>5</v>
      </c>
      <c r="R218">
        <f>VLOOKUP(O218,'Data Angt'!$A$5:$F$5810,6,FALSE)</f>
        <v>57</v>
      </c>
      <c r="S218" s="5" t="str">
        <f>VLOOKUP(O218,'Data Angt'!$A$5:$H$5810,8,FALSE)</f>
        <v>Lain-Lain</v>
      </c>
      <c r="T218" s="44" t="str">
        <f>VLOOKUP(O218,'Data Angt'!$A$5:$C$5809,3,FALSE)</f>
        <v>JBR</v>
      </c>
    </row>
    <row r="219" spans="1:20" x14ac:dyDescent="0.3">
      <c r="A219" s="37">
        <v>81347</v>
      </c>
      <c r="B219" s="38">
        <v>213</v>
      </c>
      <c r="C219" s="39" t="s">
        <v>510</v>
      </c>
      <c r="D219" s="10" t="str">
        <f>VLOOKUP(C219,'Data Angt'!$A$5:$B$5809,2,FALSE)</f>
        <v>A182</v>
      </c>
      <c r="E219" s="40" t="s">
        <v>10921</v>
      </c>
      <c r="F219" s="41">
        <v>43173</v>
      </c>
      <c r="G219" s="38">
        <v>12</v>
      </c>
      <c r="H219" s="40">
        <v>0</v>
      </c>
      <c r="I219" s="38">
        <v>5.5</v>
      </c>
      <c r="J219" s="41">
        <v>43173</v>
      </c>
      <c r="K219" s="38" t="s">
        <v>10768</v>
      </c>
      <c r="L219" s="42">
        <v>30000000</v>
      </c>
      <c r="O219" s="151" t="s">
        <v>1403</v>
      </c>
      <c r="P219" s="5" t="str">
        <f t="shared" si="6"/>
        <v>A549</v>
      </c>
      <c r="Q219" s="5">
        <f t="shared" si="7"/>
        <v>1</v>
      </c>
      <c r="R219">
        <f>VLOOKUP(O219,'Data Angt'!$A$5:$F$5810,6,FALSE)</f>
        <v>56</v>
      </c>
      <c r="S219" s="5" t="str">
        <f>VLOOKUP(O219,'Data Angt'!$A$5:$H$5810,8,FALSE)</f>
        <v>Petani/Pekebun/Nelayan</v>
      </c>
      <c r="T219" s="44" t="str">
        <f>VLOOKUP(O219,'Data Angt'!$A$5:$C$5809,3,FALSE)</f>
        <v>JBR</v>
      </c>
    </row>
    <row r="220" spans="1:20" x14ac:dyDescent="0.3">
      <c r="A220" s="37">
        <v>79019</v>
      </c>
      <c r="B220" s="38">
        <v>214</v>
      </c>
      <c r="C220" s="39" t="s">
        <v>533</v>
      </c>
      <c r="D220" s="10" t="str">
        <f>VLOOKUP(C220,'Data Angt'!$A$5:$B$5809,2,FALSE)</f>
        <v>A192</v>
      </c>
      <c r="E220" s="40" t="s">
        <v>10922</v>
      </c>
      <c r="F220" s="41">
        <v>42130</v>
      </c>
      <c r="G220" s="38">
        <v>12</v>
      </c>
      <c r="H220" s="40">
        <v>0</v>
      </c>
      <c r="I220" s="38">
        <v>5.5</v>
      </c>
      <c r="J220" s="41">
        <v>42160</v>
      </c>
      <c r="K220" s="38" t="s">
        <v>10768</v>
      </c>
      <c r="L220" s="42">
        <v>10000000</v>
      </c>
      <c r="O220" s="151" t="s">
        <v>12176</v>
      </c>
      <c r="P220" s="5" t="str">
        <f t="shared" si="6"/>
        <v>A808</v>
      </c>
      <c r="Q220" s="5">
        <f t="shared" si="7"/>
        <v>1</v>
      </c>
      <c r="R220">
        <f>VLOOKUP(O220,'Data Angt'!$A$5:$F$5810,6,FALSE)</f>
        <v>23</v>
      </c>
      <c r="S220" s="5" t="str">
        <f>VLOOKUP(O220,'Data Angt'!$A$5:$H$5810,8,FALSE)</f>
        <v>Pelajar/Mahasiswa</v>
      </c>
      <c r="T220" s="44" t="str">
        <f>VLOOKUP(O220,'Data Angt'!$A$5:$C$5809,3,FALSE)</f>
        <v>JBR</v>
      </c>
    </row>
    <row r="221" spans="1:20" x14ac:dyDescent="0.3">
      <c r="A221" s="37">
        <v>111700</v>
      </c>
      <c r="B221" s="38">
        <v>215</v>
      </c>
      <c r="C221" s="39" t="s">
        <v>533</v>
      </c>
      <c r="D221" s="10" t="str">
        <f>VLOOKUP(C221,'Data Angt'!$A$5:$B$5809,2,FALSE)</f>
        <v>A192</v>
      </c>
      <c r="E221" s="40" t="s">
        <v>10923</v>
      </c>
      <c r="F221" s="41">
        <v>43582</v>
      </c>
      <c r="G221" s="38">
        <v>12</v>
      </c>
      <c r="H221" s="40">
        <v>0</v>
      </c>
      <c r="I221" s="38">
        <v>5.5</v>
      </c>
      <c r="J221" s="41">
        <v>43582</v>
      </c>
      <c r="K221" s="38" t="s">
        <v>10768</v>
      </c>
      <c r="L221" s="42">
        <v>20000000</v>
      </c>
      <c r="O221" s="151" t="s">
        <v>1985</v>
      </c>
      <c r="P221" s="5" t="str">
        <f t="shared" si="6"/>
        <v>A811</v>
      </c>
      <c r="Q221" s="5">
        <f t="shared" si="7"/>
        <v>4</v>
      </c>
      <c r="R221">
        <f>VLOOKUP(O221,'Data Angt'!$A$5:$F$5810,6,FALSE)</f>
        <v>43</v>
      </c>
      <c r="S221" s="5" t="str">
        <f>VLOOKUP(O221,'Data Angt'!$A$5:$H$5810,8,FALSE)</f>
        <v>Tenaga Pengajar</v>
      </c>
      <c r="T221" s="44" t="str">
        <f>VLOOKUP(O221,'Data Angt'!$A$5:$C$5809,3,FALSE)</f>
        <v>JBR</v>
      </c>
    </row>
    <row r="222" spans="1:20" x14ac:dyDescent="0.3">
      <c r="A222" s="37">
        <v>122836</v>
      </c>
      <c r="B222" s="38">
        <v>216</v>
      </c>
      <c r="C222" s="39" t="s">
        <v>533</v>
      </c>
      <c r="D222" s="10" t="str">
        <f>VLOOKUP(C222,'Data Angt'!$A$5:$B$5809,2,FALSE)</f>
        <v>A192</v>
      </c>
      <c r="E222" s="40" t="s">
        <v>10924</v>
      </c>
      <c r="F222" s="41">
        <v>43939</v>
      </c>
      <c r="G222" s="38">
        <v>12</v>
      </c>
      <c r="H222" s="40">
        <v>0</v>
      </c>
      <c r="I222" s="38">
        <v>5.5</v>
      </c>
      <c r="J222" s="41">
        <v>43939</v>
      </c>
      <c r="K222" s="38" t="s">
        <v>10768</v>
      </c>
      <c r="L222" s="42">
        <v>25000000</v>
      </c>
      <c r="O222" s="151" t="s">
        <v>2112</v>
      </c>
      <c r="P222" s="5" t="str">
        <f t="shared" si="6"/>
        <v>A868</v>
      </c>
      <c r="Q222" s="5">
        <f t="shared" si="7"/>
        <v>2</v>
      </c>
      <c r="R222">
        <f>VLOOKUP(O222,'Data Angt'!$A$5:$F$5810,6,FALSE)</f>
        <v>17</v>
      </c>
      <c r="S222" s="5" t="str">
        <f>VLOOKUP(O222,'Data Angt'!$A$5:$H$5810,8,FALSE)</f>
        <v>Pelajar/Mahasiswa</v>
      </c>
      <c r="T222" s="44" t="str">
        <f>VLOOKUP(O222,'Data Angt'!$A$5:$C$5809,3,FALSE)</f>
        <v>JBR</v>
      </c>
    </row>
    <row r="223" spans="1:20" x14ac:dyDescent="0.3">
      <c r="A223" s="37">
        <v>123156</v>
      </c>
      <c r="B223" s="38">
        <v>217</v>
      </c>
      <c r="C223" s="39" t="s">
        <v>533</v>
      </c>
      <c r="D223" s="10" t="str">
        <f>VLOOKUP(C223,'Data Angt'!$A$5:$B$5809,2,FALSE)</f>
        <v>A192</v>
      </c>
      <c r="E223" s="40" t="s">
        <v>10925</v>
      </c>
      <c r="F223" s="41">
        <v>43960</v>
      </c>
      <c r="G223" s="38">
        <v>12</v>
      </c>
      <c r="H223" s="40">
        <v>0</v>
      </c>
      <c r="I223" s="38">
        <v>5.5</v>
      </c>
      <c r="J223" s="41">
        <v>43960</v>
      </c>
      <c r="K223" s="38" t="s">
        <v>10768</v>
      </c>
      <c r="L223" s="42">
        <v>20000000</v>
      </c>
      <c r="O223" s="151" t="s">
        <v>12193</v>
      </c>
      <c r="P223" s="5" t="str">
        <f t="shared" si="6"/>
        <v>A890</v>
      </c>
      <c r="Q223" s="5">
        <f t="shared" si="7"/>
        <v>6</v>
      </c>
      <c r="R223">
        <f>VLOOKUP(O223,'Data Angt'!$A$5:$F$5810,6,FALSE)</f>
        <v>22</v>
      </c>
      <c r="S223" s="5" t="str">
        <f>VLOOKUP(O223,'Data Angt'!$A$5:$H$5810,8,FALSE)</f>
        <v>Pelajar/Mahasiswa</v>
      </c>
      <c r="T223" s="44" t="str">
        <f>VLOOKUP(O223,'Data Angt'!$A$5:$C$5809,3,FALSE)</f>
        <v>JBR</v>
      </c>
    </row>
    <row r="224" spans="1:20" x14ac:dyDescent="0.3">
      <c r="A224" s="37">
        <v>128038</v>
      </c>
      <c r="B224" s="38">
        <v>218</v>
      </c>
      <c r="C224" s="39" t="s">
        <v>533</v>
      </c>
      <c r="D224" s="10" t="str">
        <f>VLOOKUP(C224,'Data Angt'!$A$5:$B$5809,2,FALSE)</f>
        <v>A192</v>
      </c>
      <c r="E224" s="40" t="s">
        <v>10926</v>
      </c>
      <c r="F224" s="41">
        <v>44310</v>
      </c>
      <c r="G224" s="38">
        <v>12</v>
      </c>
      <c r="H224" s="40">
        <v>0</v>
      </c>
      <c r="I224" s="38">
        <v>5.5</v>
      </c>
      <c r="J224" s="41">
        <v>44310</v>
      </c>
      <c r="K224" s="38" t="s">
        <v>10768</v>
      </c>
      <c r="L224" s="42">
        <v>50000000</v>
      </c>
      <c r="O224" s="151" t="s">
        <v>12194</v>
      </c>
      <c r="P224" s="5" t="str">
        <f t="shared" si="6"/>
        <v>A891</v>
      </c>
      <c r="Q224" s="5">
        <f t="shared" si="7"/>
        <v>3</v>
      </c>
      <c r="R224">
        <f>VLOOKUP(O224,'Data Angt'!$A$5:$F$5810,6,FALSE)</f>
        <v>19</v>
      </c>
      <c r="S224" s="5" t="str">
        <f>VLOOKUP(O224,'Data Angt'!$A$5:$H$5810,8,FALSE)</f>
        <v>Pelajar/Mahasiswa</v>
      </c>
      <c r="T224" s="44" t="str">
        <f>VLOOKUP(O224,'Data Angt'!$A$5:$C$5809,3,FALSE)</f>
        <v>JBR</v>
      </c>
    </row>
    <row r="225" spans="1:20" x14ac:dyDescent="0.3">
      <c r="A225" s="37">
        <v>136909</v>
      </c>
      <c r="B225" s="38">
        <v>219</v>
      </c>
      <c r="C225" s="39" t="s">
        <v>533</v>
      </c>
      <c r="D225" s="10" t="str">
        <f>VLOOKUP(C225,'Data Angt'!$A$5:$B$5809,2,FALSE)</f>
        <v>A192</v>
      </c>
      <c r="E225" s="40" t="s">
        <v>10927</v>
      </c>
      <c r="F225" s="41">
        <v>45010</v>
      </c>
      <c r="G225" s="38">
        <v>12</v>
      </c>
      <c r="H225" s="40">
        <v>0</v>
      </c>
      <c r="I225" s="38">
        <v>5.5</v>
      </c>
      <c r="J225" s="41">
        <v>45010</v>
      </c>
      <c r="K225" s="38" t="s">
        <v>10768</v>
      </c>
      <c r="L225" s="42">
        <v>50000000</v>
      </c>
      <c r="O225" s="151" t="s">
        <v>2293</v>
      </c>
      <c r="P225" s="5" t="str">
        <f t="shared" si="6"/>
        <v>A954</v>
      </c>
      <c r="Q225" s="5">
        <f t="shared" si="7"/>
        <v>1</v>
      </c>
      <c r="R225">
        <f>VLOOKUP(O225,'Data Angt'!$A$5:$F$5810,6,FALSE)</f>
        <v>49</v>
      </c>
      <c r="S225" s="5" t="str">
        <f>VLOOKUP(O225,'Data Angt'!$A$5:$H$5810,8,FALSE)</f>
        <v>Mengurus Rumah Tangga</v>
      </c>
      <c r="T225" s="44" t="str">
        <f>VLOOKUP(O225,'Data Angt'!$A$5:$C$5809,3,FALSE)</f>
        <v>JBR</v>
      </c>
    </row>
    <row r="226" spans="1:20" x14ac:dyDescent="0.3">
      <c r="A226" s="37">
        <v>136910</v>
      </c>
      <c r="B226" s="38">
        <v>220</v>
      </c>
      <c r="C226" s="39" t="s">
        <v>533</v>
      </c>
      <c r="D226" s="10" t="str">
        <f>VLOOKUP(C226,'Data Angt'!$A$5:$B$5809,2,FALSE)</f>
        <v>A192</v>
      </c>
      <c r="E226" s="40" t="s">
        <v>10928</v>
      </c>
      <c r="F226" s="41">
        <v>45010</v>
      </c>
      <c r="G226" s="38">
        <v>12</v>
      </c>
      <c r="H226" s="40">
        <v>0</v>
      </c>
      <c r="I226" s="38">
        <v>5.5</v>
      </c>
      <c r="J226" s="41">
        <v>45010</v>
      </c>
      <c r="K226" s="38" t="s">
        <v>10768</v>
      </c>
      <c r="L226" s="42">
        <v>50000000</v>
      </c>
      <c r="O226" s="151" t="s">
        <v>2295</v>
      </c>
      <c r="P226" s="5" t="str">
        <f t="shared" si="6"/>
        <v>A955</v>
      </c>
      <c r="Q226" s="5">
        <f t="shared" si="7"/>
        <v>4</v>
      </c>
      <c r="R226">
        <f>VLOOKUP(O226,'Data Angt'!$A$5:$F$5810,6,FALSE)</f>
        <v>67</v>
      </c>
      <c r="S226" s="5" t="str">
        <f>VLOOKUP(O226,'Data Angt'!$A$5:$H$5810,8,FALSE)</f>
        <v>Mengurus Rumah Tangga</v>
      </c>
      <c r="T226" s="44" t="str">
        <f>VLOOKUP(O226,'Data Angt'!$A$5:$C$5809,3,FALSE)</f>
        <v>JBR</v>
      </c>
    </row>
    <row r="227" spans="1:20" x14ac:dyDescent="0.3">
      <c r="A227" s="37">
        <v>145870</v>
      </c>
      <c r="B227" s="38">
        <v>221</v>
      </c>
      <c r="C227" s="39" t="s">
        <v>533</v>
      </c>
      <c r="D227" s="10" t="str">
        <f>VLOOKUP(C227,'Data Angt'!$A$5:$B$5809,2,FALSE)</f>
        <v>A192</v>
      </c>
      <c r="E227" s="40" t="s">
        <v>18435</v>
      </c>
      <c r="F227" s="41">
        <v>45450</v>
      </c>
      <c r="G227" s="38">
        <v>12</v>
      </c>
      <c r="H227" s="40">
        <v>0</v>
      </c>
      <c r="I227" s="38">
        <v>5.5</v>
      </c>
      <c r="J227" s="41">
        <v>45450</v>
      </c>
      <c r="K227" s="38" t="s">
        <v>10768</v>
      </c>
      <c r="L227" s="42">
        <v>50000000</v>
      </c>
      <c r="O227" s="151" t="s">
        <v>2389</v>
      </c>
      <c r="P227" s="5" t="str">
        <f t="shared" si="6"/>
        <v>A994</v>
      </c>
      <c r="Q227" s="5">
        <f t="shared" si="7"/>
        <v>2</v>
      </c>
      <c r="R227">
        <f>VLOOKUP(O227,'Data Angt'!$A$5:$F$5810,6,FALSE)</f>
        <v>61</v>
      </c>
      <c r="S227" s="5" t="str">
        <f>VLOOKUP(O227,'Data Angt'!$A$5:$H$5810,8,FALSE)</f>
        <v>Aparatur/Pejabat Negara</v>
      </c>
      <c r="T227" s="44" t="str">
        <f>VLOOKUP(O227,'Data Angt'!$A$5:$C$5809,3,FALSE)</f>
        <v>JBR</v>
      </c>
    </row>
    <row r="228" spans="1:20" x14ac:dyDescent="0.3">
      <c r="A228" s="37">
        <v>145871</v>
      </c>
      <c r="B228" s="38">
        <v>222</v>
      </c>
      <c r="C228" s="39" t="s">
        <v>533</v>
      </c>
      <c r="D228" s="10" t="str">
        <f>VLOOKUP(C228,'Data Angt'!$A$5:$B$5809,2,FALSE)</f>
        <v>A192</v>
      </c>
      <c r="E228" s="40" t="s">
        <v>18436</v>
      </c>
      <c r="F228" s="41">
        <v>45450</v>
      </c>
      <c r="G228" s="38">
        <v>12</v>
      </c>
      <c r="H228" s="40">
        <v>0</v>
      </c>
      <c r="I228" s="38">
        <v>5.5</v>
      </c>
      <c r="J228" s="41">
        <v>45450</v>
      </c>
      <c r="K228" s="38" t="s">
        <v>10768</v>
      </c>
      <c r="L228" s="42">
        <v>50000000</v>
      </c>
      <c r="O228" s="151" t="s">
        <v>2482</v>
      </c>
      <c r="P228" s="5" t="str">
        <f t="shared" si="6"/>
        <v>A1033</v>
      </c>
      <c r="Q228" s="5">
        <f t="shared" si="7"/>
        <v>3</v>
      </c>
      <c r="R228">
        <f>VLOOKUP(O228,'Data Angt'!$A$5:$F$5810,6,FALSE)</f>
        <v>70</v>
      </c>
      <c r="S228" s="5" t="str">
        <f>VLOOKUP(O228,'Data Angt'!$A$5:$H$5810,8,FALSE)</f>
        <v>Mengurus Rumah Tangga</v>
      </c>
      <c r="T228" s="44" t="str">
        <f>VLOOKUP(O228,'Data Angt'!$A$5:$C$5809,3,FALSE)</f>
        <v>JBR</v>
      </c>
    </row>
    <row r="229" spans="1:20" x14ac:dyDescent="0.3">
      <c r="A229" s="37">
        <v>145873</v>
      </c>
      <c r="B229" s="38">
        <v>223</v>
      </c>
      <c r="C229" s="39" t="s">
        <v>533</v>
      </c>
      <c r="D229" s="10" t="str">
        <f>VLOOKUP(C229,'Data Angt'!$A$5:$B$5809,2,FALSE)</f>
        <v>A192</v>
      </c>
      <c r="E229" s="40" t="s">
        <v>18437</v>
      </c>
      <c r="F229" s="41">
        <v>45450</v>
      </c>
      <c r="G229" s="38">
        <v>12</v>
      </c>
      <c r="H229" s="40">
        <v>0</v>
      </c>
      <c r="I229" s="38">
        <v>5.5</v>
      </c>
      <c r="J229" s="41">
        <v>45450</v>
      </c>
      <c r="K229" s="38" t="s">
        <v>10768</v>
      </c>
      <c r="L229" s="42">
        <v>20000000</v>
      </c>
      <c r="O229" s="151" t="s">
        <v>12225</v>
      </c>
      <c r="P229" s="5" t="str">
        <f t="shared" si="6"/>
        <v>A1124</v>
      </c>
      <c r="Q229" s="5">
        <f t="shared" si="7"/>
        <v>2</v>
      </c>
      <c r="R229">
        <f>VLOOKUP(O229,'Data Angt'!$A$5:$F$5810,6,FALSE)</f>
        <v>22</v>
      </c>
      <c r="S229" s="5" t="str">
        <f>VLOOKUP(O229,'Data Angt'!$A$5:$H$5810,8,FALSE)</f>
        <v>Pelajar/Mahasiswa</v>
      </c>
      <c r="T229" s="44" t="str">
        <f>VLOOKUP(O229,'Data Angt'!$A$5:$C$5809,3,FALSE)</f>
        <v>JBR</v>
      </c>
    </row>
    <row r="230" spans="1:20" x14ac:dyDescent="0.3">
      <c r="A230" s="37">
        <v>146336</v>
      </c>
      <c r="B230" s="38">
        <v>224</v>
      </c>
      <c r="C230" s="39" t="s">
        <v>533</v>
      </c>
      <c r="D230" s="10" t="str">
        <f>VLOOKUP(C230,'Data Angt'!$A$5:$B$5809,2,FALSE)</f>
        <v>A192</v>
      </c>
      <c r="E230" s="40" t="s">
        <v>18438</v>
      </c>
      <c r="F230" s="41">
        <v>45477</v>
      </c>
      <c r="G230" s="38">
        <v>12</v>
      </c>
      <c r="H230" s="40">
        <v>0</v>
      </c>
      <c r="I230" s="38">
        <v>5.5</v>
      </c>
      <c r="J230" s="41">
        <v>45477</v>
      </c>
      <c r="K230" s="38" t="s">
        <v>10768</v>
      </c>
      <c r="L230" s="42">
        <v>50000000</v>
      </c>
      <c r="O230" s="151" t="s">
        <v>2746</v>
      </c>
      <c r="P230" s="5" t="str">
        <f t="shared" si="6"/>
        <v>A1152</v>
      </c>
      <c r="Q230" s="5">
        <f t="shared" si="7"/>
        <v>1</v>
      </c>
      <c r="R230">
        <f>VLOOKUP(O230,'Data Angt'!$A$5:$F$5810,6,FALSE)</f>
        <v>60</v>
      </c>
      <c r="S230" s="5" t="str">
        <f>VLOOKUP(O230,'Data Angt'!$A$5:$H$5810,8,FALSE)</f>
        <v>Wiraswasta</v>
      </c>
      <c r="T230" s="44" t="str">
        <f>VLOOKUP(O230,'Data Angt'!$A$5:$C$5809,3,FALSE)</f>
        <v>JBR</v>
      </c>
    </row>
    <row r="231" spans="1:20" x14ac:dyDescent="0.3">
      <c r="A231" s="37">
        <v>146338</v>
      </c>
      <c r="B231" s="38">
        <v>225</v>
      </c>
      <c r="C231" s="39" t="s">
        <v>533</v>
      </c>
      <c r="D231" s="10" t="str">
        <f>VLOOKUP(C231,'Data Angt'!$A$5:$B$5809,2,FALSE)</f>
        <v>A192</v>
      </c>
      <c r="E231" s="40" t="s">
        <v>18439</v>
      </c>
      <c r="F231" s="41">
        <v>45477</v>
      </c>
      <c r="G231" s="38">
        <v>12</v>
      </c>
      <c r="H231" s="40">
        <v>0</v>
      </c>
      <c r="I231" s="38">
        <v>5.5</v>
      </c>
      <c r="J231" s="41">
        <v>45477</v>
      </c>
      <c r="K231" s="38" t="s">
        <v>10768</v>
      </c>
      <c r="L231" s="42">
        <v>50000000</v>
      </c>
      <c r="O231" s="151" t="s">
        <v>2962</v>
      </c>
      <c r="P231" s="5" t="str">
        <f t="shared" si="6"/>
        <v>A1251</v>
      </c>
      <c r="Q231" s="5">
        <f t="shared" si="7"/>
        <v>1</v>
      </c>
      <c r="R231">
        <f>VLOOKUP(O231,'Data Angt'!$A$5:$F$5810,6,FALSE)</f>
        <v>57</v>
      </c>
      <c r="S231" s="5" t="str">
        <f>VLOOKUP(O231,'Data Angt'!$A$5:$H$5810,8,FALSE)</f>
        <v>Wiraswasta</v>
      </c>
      <c r="T231" s="44" t="str">
        <f>VLOOKUP(O231,'Data Angt'!$A$5:$C$5809,3,FALSE)</f>
        <v>JBR</v>
      </c>
    </row>
    <row r="232" spans="1:20" x14ac:dyDescent="0.3">
      <c r="A232" s="37">
        <v>79485</v>
      </c>
      <c r="B232" s="38">
        <v>226</v>
      </c>
      <c r="C232" s="39" t="s">
        <v>572</v>
      </c>
      <c r="D232" s="10" t="str">
        <f>VLOOKUP(C232,'Data Angt'!$A$5:$B$5809,2,FALSE)</f>
        <v>A206</v>
      </c>
      <c r="E232" s="40" t="s">
        <v>10929</v>
      </c>
      <c r="F232" s="41">
        <v>42651</v>
      </c>
      <c r="G232" s="38">
        <v>12</v>
      </c>
      <c r="H232" s="40">
        <v>0</v>
      </c>
      <c r="I232" s="38">
        <v>5.5</v>
      </c>
      <c r="J232" s="41">
        <v>42592</v>
      </c>
      <c r="K232" s="38" t="s">
        <v>10768</v>
      </c>
      <c r="L232" s="42">
        <v>20000000</v>
      </c>
      <c r="O232" s="151" t="s">
        <v>3275</v>
      </c>
      <c r="P232" s="5" t="str">
        <f t="shared" si="6"/>
        <v>A1390</v>
      </c>
      <c r="Q232" s="5">
        <f t="shared" si="7"/>
        <v>1</v>
      </c>
      <c r="R232">
        <f>VLOOKUP(O232,'Data Angt'!$A$5:$F$5810,6,FALSE)</f>
        <v>54</v>
      </c>
      <c r="S232" s="5" t="str">
        <f>VLOOKUP(O232,'Data Angt'!$A$5:$H$5810,8,FALSE)</f>
        <v>Aparatur/Pejabat Negara</v>
      </c>
      <c r="T232" s="44" t="str">
        <f>VLOOKUP(O232,'Data Angt'!$A$5:$C$5809,3,FALSE)</f>
        <v>JBR</v>
      </c>
    </row>
    <row r="233" spans="1:20" x14ac:dyDescent="0.3">
      <c r="A233" s="37">
        <v>79486</v>
      </c>
      <c r="B233" s="38">
        <v>227</v>
      </c>
      <c r="C233" s="39" t="s">
        <v>572</v>
      </c>
      <c r="D233" s="10" t="str">
        <f>VLOOKUP(C233,'Data Angt'!$A$5:$B$5809,2,FALSE)</f>
        <v>A206</v>
      </c>
      <c r="E233" s="40" t="s">
        <v>10930</v>
      </c>
      <c r="F233" s="41">
        <v>42651</v>
      </c>
      <c r="G233" s="38">
        <v>12</v>
      </c>
      <c r="H233" s="40">
        <v>0</v>
      </c>
      <c r="I233" s="38">
        <v>5.5</v>
      </c>
      <c r="J233" s="41">
        <v>42592</v>
      </c>
      <c r="K233" s="38" t="s">
        <v>10768</v>
      </c>
      <c r="L233" s="42">
        <v>20000000</v>
      </c>
      <c r="O233" s="151" t="s">
        <v>12255</v>
      </c>
      <c r="P233" s="5" t="str">
        <f t="shared" si="6"/>
        <v>A1410</v>
      </c>
      <c r="Q233" s="5">
        <f t="shared" si="7"/>
        <v>1</v>
      </c>
      <c r="R233">
        <f>VLOOKUP(O233,'Data Angt'!$A$5:$F$5810,6,FALSE)</f>
        <v>23</v>
      </c>
      <c r="S233" s="5" t="str">
        <f>VLOOKUP(O233,'Data Angt'!$A$5:$H$5810,8,FALSE)</f>
        <v>Pelajar/Mahasiswa</v>
      </c>
      <c r="T233" s="44" t="str">
        <f>VLOOKUP(O233,'Data Angt'!$A$5:$C$5809,3,FALSE)</f>
        <v>JBR</v>
      </c>
    </row>
    <row r="234" spans="1:20" x14ac:dyDescent="0.3">
      <c r="A234" s="37">
        <v>79489</v>
      </c>
      <c r="B234" s="38">
        <v>228</v>
      </c>
      <c r="C234" s="39" t="s">
        <v>572</v>
      </c>
      <c r="D234" s="10" t="str">
        <f>VLOOKUP(C234,'Data Angt'!$A$5:$B$5809,2,FALSE)</f>
        <v>A206</v>
      </c>
      <c r="E234" s="40" t="s">
        <v>10931</v>
      </c>
      <c r="F234" s="41">
        <v>42651</v>
      </c>
      <c r="G234" s="38">
        <v>12</v>
      </c>
      <c r="H234" s="40">
        <v>0</v>
      </c>
      <c r="I234" s="38">
        <v>5.5</v>
      </c>
      <c r="J234" s="41">
        <v>42592</v>
      </c>
      <c r="K234" s="38" t="s">
        <v>10768</v>
      </c>
      <c r="L234" s="42">
        <v>22000000</v>
      </c>
      <c r="O234" s="151" t="s">
        <v>3566</v>
      </c>
      <c r="P234" s="5" t="str">
        <f t="shared" si="6"/>
        <v>A1522</v>
      </c>
      <c r="Q234" s="5">
        <f t="shared" si="7"/>
        <v>14</v>
      </c>
      <c r="R234">
        <f>VLOOKUP(O234,'Data Angt'!$A$5:$F$5810,6,FALSE)</f>
        <v>45</v>
      </c>
      <c r="S234" s="5" t="str">
        <f>VLOOKUP(O234,'Data Angt'!$A$5:$H$5810,8,FALSE)</f>
        <v>Karyawan</v>
      </c>
      <c r="T234" s="44" t="str">
        <f>VLOOKUP(O234,'Data Angt'!$A$5:$C$5809,3,FALSE)</f>
        <v>JBR</v>
      </c>
    </row>
    <row r="235" spans="1:20" x14ac:dyDescent="0.3">
      <c r="A235" s="37">
        <v>134043</v>
      </c>
      <c r="B235" s="38">
        <v>229</v>
      </c>
      <c r="C235" s="39" t="s">
        <v>572</v>
      </c>
      <c r="D235" s="10" t="str">
        <f>VLOOKUP(C235,'Data Angt'!$A$5:$B$5809,2,FALSE)</f>
        <v>A206</v>
      </c>
      <c r="E235" s="40" t="s">
        <v>10932</v>
      </c>
      <c r="F235" s="41">
        <v>44784</v>
      </c>
      <c r="G235" s="38">
        <v>12</v>
      </c>
      <c r="H235" s="40">
        <v>0</v>
      </c>
      <c r="I235" s="38">
        <v>5.5</v>
      </c>
      <c r="J235" s="41">
        <v>44784</v>
      </c>
      <c r="K235" s="38" t="s">
        <v>10768</v>
      </c>
      <c r="L235" s="42">
        <v>20000000</v>
      </c>
      <c r="O235" s="151" t="s">
        <v>12268</v>
      </c>
      <c r="P235" s="5" t="str">
        <f t="shared" si="6"/>
        <v>A1555</v>
      </c>
      <c r="Q235" s="5">
        <f t="shared" si="7"/>
        <v>1</v>
      </c>
      <c r="R235">
        <f>VLOOKUP(O235,'Data Angt'!$A$5:$F$5810,6,FALSE)</f>
        <v>59</v>
      </c>
      <c r="S235" s="5" t="str">
        <f>VLOOKUP(O235,'Data Angt'!$A$5:$H$5810,8,FALSE)</f>
        <v>Karyawan</v>
      </c>
      <c r="T235" s="44" t="str">
        <f>VLOOKUP(O235,'Data Angt'!$A$5:$C$5809,3,FALSE)</f>
        <v>JBR</v>
      </c>
    </row>
    <row r="236" spans="1:20" x14ac:dyDescent="0.3">
      <c r="A236" s="37">
        <v>79490</v>
      </c>
      <c r="B236" s="38">
        <v>230</v>
      </c>
      <c r="C236" s="39" t="s">
        <v>572</v>
      </c>
      <c r="D236" s="10" t="str">
        <f>VLOOKUP(C236,'Data Angt'!$A$5:$B$5809,2,FALSE)</f>
        <v>A206</v>
      </c>
      <c r="E236" s="40" t="s">
        <v>10933</v>
      </c>
      <c r="F236" s="41">
        <v>42651</v>
      </c>
      <c r="G236" s="38">
        <v>12</v>
      </c>
      <c r="H236" s="40">
        <v>0</v>
      </c>
      <c r="I236" s="38">
        <v>5.5</v>
      </c>
      <c r="J236" s="41">
        <v>42592</v>
      </c>
      <c r="K236" s="38" t="s">
        <v>10768</v>
      </c>
      <c r="L236" s="42">
        <v>22000000</v>
      </c>
      <c r="O236" s="151" t="s">
        <v>3813</v>
      </c>
      <c r="P236" s="5" t="str">
        <f t="shared" si="6"/>
        <v>A1643</v>
      </c>
      <c r="Q236" s="5">
        <f t="shared" si="7"/>
        <v>9</v>
      </c>
      <c r="R236">
        <f>VLOOKUP(O236,'Data Angt'!$A$5:$F$5810,6,FALSE)</f>
        <v>34</v>
      </c>
      <c r="S236" s="5" t="str">
        <f>VLOOKUP(O236,'Data Angt'!$A$5:$H$5810,8,FALSE)</f>
        <v>Karyawan</v>
      </c>
      <c r="T236" s="44" t="str">
        <f>VLOOKUP(O236,'Data Angt'!$A$5:$C$5809,3,FALSE)</f>
        <v>JBR</v>
      </c>
    </row>
    <row r="237" spans="1:20" x14ac:dyDescent="0.3">
      <c r="A237" s="37">
        <v>134614</v>
      </c>
      <c r="B237" s="38">
        <v>231</v>
      </c>
      <c r="C237" s="39" t="s">
        <v>572</v>
      </c>
      <c r="D237" s="10" t="str">
        <f>VLOOKUP(C237,'Data Angt'!$A$5:$B$5809,2,FALSE)</f>
        <v>A206</v>
      </c>
      <c r="E237" s="40" t="s">
        <v>10934</v>
      </c>
      <c r="F237" s="41">
        <v>44821</v>
      </c>
      <c r="G237" s="38">
        <v>12</v>
      </c>
      <c r="H237" s="40">
        <v>0</v>
      </c>
      <c r="I237" s="38">
        <v>5.5</v>
      </c>
      <c r="J237" s="41">
        <v>44821</v>
      </c>
      <c r="K237" s="38" t="s">
        <v>10768</v>
      </c>
      <c r="L237" s="42">
        <v>20000000</v>
      </c>
      <c r="O237" s="151" t="s">
        <v>3857</v>
      </c>
      <c r="P237" s="5" t="str">
        <f t="shared" si="6"/>
        <v>A1666</v>
      </c>
      <c r="Q237" s="5">
        <f t="shared" si="7"/>
        <v>2</v>
      </c>
      <c r="R237">
        <f>VLOOKUP(O237,'Data Angt'!$A$5:$F$5810,6,FALSE)</f>
        <v>44</v>
      </c>
      <c r="S237" s="5" t="str">
        <f>VLOOKUP(O237,'Data Angt'!$A$5:$H$5810,8,FALSE)</f>
        <v>Tenaga Pengajar</v>
      </c>
      <c r="T237" s="44" t="str">
        <f>VLOOKUP(O237,'Data Angt'!$A$5:$C$5809,3,FALSE)</f>
        <v>JBR</v>
      </c>
    </row>
    <row r="238" spans="1:20" x14ac:dyDescent="0.3">
      <c r="A238" s="37">
        <v>79491</v>
      </c>
      <c r="B238" s="38">
        <v>232</v>
      </c>
      <c r="C238" s="39" t="s">
        <v>572</v>
      </c>
      <c r="D238" s="10" t="str">
        <f>VLOOKUP(C238,'Data Angt'!$A$5:$B$5809,2,FALSE)</f>
        <v>A206</v>
      </c>
      <c r="E238" s="40" t="s">
        <v>10935</v>
      </c>
      <c r="F238" s="41">
        <v>42651</v>
      </c>
      <c r="G238" s="38">
        <v>12</v>
      </c>
      <c r="H238" s="40">
        <v>0</v>
      </c>
      <c r="I238" s="38">
        <v>5.5</v>
      </c>
      <c r="J238" s="41">
        <v>42592</v>
      </c>
      <c r="K238" s="38" t="s">
        <v>10768</v>
      </c>
      <c r="L238" s="42">
        <v>22000000</v>
      </c>
      <c r="O238" s="151" t="s">
        <v>12282</v>
      </c>
      <c r="P238" s="5" t="str">
        <f t="shared" si="6"/>
        <v>A1670</v>
      </c>
      <c r="Q238" s="5">
        <f t="shared" si="7"/>
        <v>1</v>
      </c>
      <c r="R238">
        <f>VLOOKUP(O238,'Data Angt'!$A$5:$F$5810,6,FALSE)</f>
        <v>17</v>
      </c>
      <c r="S238" s="5" t="str">
        <f>VLOOKUP(O238,'Data Angt'!$A$5:$H$5810,8,FALSE)</f>
        <v>Pelajar/Mahasiswa</v>
      </c>
      <c r="T238" s="44" t="str">
        <f>VLOOKUP(O238,'Data Angt'!$A$5:$C$5809,3,FALSE)</f>
        <v>JBR</v>
      </c>
    </row>
    <row r="239" spans="1:20" x14ac:dyDescent="0.3">
      <c r="A239" s="37">
        <v>124025</v>
      </c>
      <c r="B239" s="38">
        <v>233</v>
      </c>
      <c r="C239" s="39" t="s">
        <v>572</v>
      </c>
      <c r="D239" s="10" t="str">
        <f>VLOOKUP(C239,'Data Angt'!$A$5:$B$5809,2,FALSE)</f>
        <v>A206</v>
      </c>
      <c r="E239" s="40" t="s">
        <v>10936</v>
      </c>
      <c r="F239" s="41">
        <v>44015</v>
      </c>
      <c r="G239" s="38">
        <v>12</v>
      </c>
      <c r="H239" s="40">
        <v>0</v>
      </c>
      <c r="I239" s="38">
        <v>5.5</v>
      </c>
      <c r="J239" s="41">
        <v>44015</v>
      </c>
      <c r="K239" s="38" t="s">
        <v>10768</v>
      </c>
      <c r="L239" s="42">
        <v>4000000</v>
      </c>
      <c r="O239" s="151" t="s">
        <v>4219</v>
      </c>
      <c r="P239" s="5" t="str">
        <f t="shared" si="6"/>
        <v>A1829</v>
      </c>
      <c r="Q239" s="5">
        <f t="shared" si="7"/>
        <v>1</v>
      </c>
      <c r="R239">
        <f>VLOOKUP(O239,'Data Angt'!$A$5:$F$5810,6,FALSE)</f>
        <v>68</v>
      </c>
      <c r="S239" s="5" t="str">
        <f>VLOOKUP(O239,'Data Angt'!$A$5:$H$5810,8,FALSE)</f>
        <v>Mengurus Rumah Tangga</v>
      </c>
      <c r="T239" s="44" t="str">
        <f>VLOOKUP(O239,'Data Angt'!$A$5:$C$5809,3,FALSE)</f>
        <v>JBR</v>
      </c>
    </row>
    <row r="240" spans="1:20" x14ac:dyDescent="0.3">
      <c r="A240" s="37">
        <v>143944</v>
      </c>
      <c r="B240" s="38">
        <v>234</v>
      </c>
      <c r="C240" s="39" t="s">
        <v>572</v>
      </c>
      <c r="D240" s="10" t="str">
        <f>VLOOKUP(C240,'Data Angt'!$A$5:$B$5809,2,FALSE)</f>
        <v>A206</v>
      </c>
      <c r="E240" s="40" t="s">
        <v>18440</v>
      </c>
      <c r="F240" s="41">
        <v>45377</v>
      </c>
      <c r="G240" s="38">
        <v>12</v>
      </c>
      <c r="H240" s="40">
        <v>0</v>
      </c>
      <c r="I240" s="38">
        <v>5.5</v>
      </c>
      <c r="J240" s="41">
        <v>45377</v>
      </c>
      <c r="K240" s="38" t="s">
        <v>10768</v>
      </c>
      <c r="L240" s="42">
        <v>20000000</v>
      </c>
      <c r="O240" s="151" t="s">
        <v>4382</v>
      </c>
      <c r="P240" s="5" t="str">
        <f t="shared" si="6"/>
        <v>A1903</v>
      </c>
      <c r="Q240" s="5">
        <f t="shared" si="7"/>
        <v>1</v>
      </c>
      <c r="R240">
        <f>VLOOKUP(O240,'Data Angt'!$A$5:$F$5810,6,FALSE)</f>
        <v>70</v>
      </c>
      <c r="S240" s="5" t="str">
        <f>VLOOKUP(O240,'Data Angt'!$A$5:$H$5810,8,FALSE)</f>
        <v>Pensiunan</v>
      </c>
      <c r="T240" s="44" t="str">
        <f>VLOOKUP(O240,'Data Angt'!$A$5:$C$5809,3,FALSE)</f>
        <v>JBR</v>
      </c>
    </row>
    <row r="241" spans="1:20" x14ac:dyDescent="0.3">
      <c r="A241" s="37">
        <v>124027</v>
      </c>
      <c r="B241" s="38">
        <v>235</v>
      </c>
      <c r="C241" s="39" t="s">
        <v>572</v>
      </c>
      <c r="D241" s="10" t="str">
        <f>VLOOKUP(C241,'Data Angt'!$A$5:$B$5809,2,FALSE)</f>
        <v>A206</v>
      </c>
      <c r="E241" s="40" t="s">
        <v>10937</v>
      </c>
      <c r="F241" s="41">
        <v>44015</v>
      </c>
      <c r="G241" s="38">
        <v>12</v>
      </c>
      <c r="H241" s="40">
        <v>0</v>
      </c>
      <c r="I241" s="38">
        <v>5.5</v>
      </c>
      <c r="J241" s="41">
        <v>44015</v>
      </c>
      <c r="K241" s="38" t="s">
        <v>10768</v>
      </c>
      <c r="L241" s="42">
        <v>5500000</v>
      </c>
      <c r="O241" s="151" t="s">
        <v>4500</v>
      </c>
      <c r="P241" s="5" t="str">
        <f t="shared" si="6"/>
        <v>A1961</v>
      </c>
      <c r="Q241" s="5">
        <f t="shared" si="7"/>
        <v>2</v>
      </c>
      <c r="R241">
        <f>VLOOKUP(O241,'Data Angt'!$A$5:$F$5810,6,FALSE)</f>
        <v>66</v>
      </c>
      <c r="S241" s="5" t="str">
        <f>VLOOKUP(O241,'Data Angt'!$A$5:$H$5810,8,FALSE)</f>
        <v>Mengurus Rumah Tangga</v>
      </c>
      <c r="T241" s="44" t="str">
        <f>VLOOKUP(O241,'Data Angt'!$A$5:$C$5809,3,FALSE)</f>
        <v>JBR</v>
      </c>
    </row>
    <row r="242" spans="1:20" x14ac:dyDescent="0.3">
      <c r="A242" s="37">
        <v>158565</v>
      </c>
      <c r="B242" s="38">
        <v>236</v>
      </c>
      <c r="C242" s="39" t="s">
        <v>572</v>
      </c>
      <c r="D242" s="10" t="str">
        <f>VLOOKUP(C242,'Data Angt'!$A$5:$B$5809,2,FALSE)</f>
        <v>A206</v>
      </c>
      <c r="E242" s="40" t="s">
        <v>24129</v>
      </c>
      <c r="F242" s="41">
        <v>45913</v>
      </c>
      <c r="G242" s="38">
        <v>12</v>
      </c>
      <c r="H242" s="40">
        <v>0</v>
      </c>
      <c r="I242" s="38">
        <v>5.5</v>
      </c>
      <c r="J242" s="41">
        <v>45913</v>
      </c>
      <c r="K242" s="38" t="s">
        <v>10768</v>
      </c>
      <c r="L242" s="42">
        <v>19000000</v>
      </c>
      <c r="O242" s="151" t="s">
        <v>5246</v>
      </c>
      <c r="P242" s="5" t="str">
        <f t="shared" si="6"/>
        <v>A2308</v>
      </c>
      <c r="Q242" s="5">
        <f t="shared" si="7"/>
        <v>1</v>
      </c>
      <c r="R242">
        <f>VLOOKUP(O242,'Data Angt'!$A$5:$F$5810,6,FALSE)</f>
        <v>37</v>
      </c>
      <c r="S242" s="5" t="str">
        <f>VLOOKUP(O242,'Data Angt'!$A$5:$H$5810,8,FALSE)</f>
        <v>Karyawan</v>
      </c>
      <c r="T242" s="44" t="str">
        <f>VLOOKUP(O242,'Data Angt'!$A$5:$C$5809,3,FALSE)</f>
        <v>JBR</v>
      </c>
    </row>
    <row r="243" spans="1:20" x14ac:dyDescent="0.3">
      <c r="A243" s="37">
        <v>158567</v>
      </c>
      <c r="B243" s="38">
        <v>237</v>
      </c>
      <c r="C243" s="39" t="s">
        <v>572</v>
      </c>
      <c r="D243" s="10" t="str">
        <f>VLOOKUP(C243,'Data Angt'!$A$5:$B$5809,2,FALSE)</f>
        <v>A206</v>
      </c>
      <c r="E243" s="40" t="s">
        <v>24130</v>
      </c>
      <c r="F243" s="41">
        <v>45913</v>
      </c>
      <c r="G243" s="38">
        <v>12</v>
      </c>
      <c r="H243" s="40">
        <v>0</v>
      </c>
      <c r="I243" s="38">
        <v>5.5</v>
      </c>
      <c r="J243" s="41">
        <v>45913</v>
      </c>
      <c r="K243" s="38" t="s">
        <v>10768</v>
      </c>
      <c r="L243" s="42">
        <v>20000000</v>
      </c>
      <c r="O243" s="151" t="s">
        <v>5392</v>
      </c>
      <c r="P243" s="5" t="str">
        <f t="shared" si="6"/>
        <v>A2378</v>
      </c>
      <c r="Q243" s="5">
        <f t="shared" si="7"/>
        <v>1</v>
      </c>
      <c r="R243">
        <f>VLOOKUP(O243,'Data Angt'!$A$5:$F$5810,6,FALSE)</f>
        <v>64</v>
      </c>
      <c r="S243" s="5" t="str">
        <f>VLOOKUP(O243,'Data Angt'!$A$5:$H$5810,8,FALSE)</f>
        <v>Tenaga Pengajar</v>
      </c>
      <c r="T243" s="44" t="str">
        <f>VLOOKUP(O243,'Data Angt'!$A$5:$C$5809,3,FALSE)</f>
        <v>JBR</v>
      </c>
    </row>
    <row r="244" spans="1:20" x14ac:dyDescent="0.3">
      <c r="A244" s="37">
        <v>79530</v>
      </c>
      <c r="B244" s="38">
        <v>238</v>
      </c>
      <c r="C244" s="39" t="s">
        <v>572</v>
      </c>
      <c r="D244" s="10" t="str">
        <f>VLOOKUP(C244,'Data Angt'!$A$5:$B$5809,2,FALSE)</f>
        <v>A206</v>
      </c>
      <c r="E244" s="40" t="s">
        <v>10938</v>
      </c>
      <c r="F244" s="41">
        <v>42898</v>
      </c>
      <c r="G244" s="38">
        <v>12</v>
      </c>
      <c r="H244" s="40">
        <v>0</v>
      </c>
      <c r="I244" s="38">
        <v>5.5</v>
      </c>
      <c r="J244" s="41">
        <v>43075</v>
      </c>
      <c r="K244" s="38" t="s">
        <v>10768</v>
      </c>
      <c r="L244" s="42">
        <v>20000000</v>
      </c>
      <c r="O244" s="151" t="s">
        <v>5461</v>
      </c>
      <c r="P244" s="5" t="str">
        <f t="shared" si="6"/>
        <v>A2411</v>
      </c>
      <c r="Q244" s="5">
        <f t="shared" si="7"/>
        <v>1</v>
      </c>
      <c r="R244">
        <f>VLOOKUP(O244,'Data Angt'!$A$5:$F$5810,6,FALSE)</f>
        <v>33</v>
      </c>
      <c r="S244" s="5" t="str">
        <f>VLOOKUP(O244,'Data Angt'!$A$5:$H$5810,8,FALSE)</f>
        <v>Tenaga Medis</v>
      </c>
      <c r="T244" s="44" t="str">
        <f>VLOOKUP(O244,'Data Angt'!$A$5:$C$5809,3,FALSE)</f>
        <v>JBR</v>
      </c>
    </row>
    <row r="245" spans="1:20" x14ac:dyDescent="0.3">
      <c r="A245" s="37">
        <v>79463</v>
      </c>
      <c r="B245" s="38">
        <v>239</v>
      </c>
      <c r="C245" s="39" t="s">
        <v>572</v>
      </c>
      <c r="D245" s="10" t="str">
        <f>VLOOKUP(C245,'Data Angt'!$A$5:$B$5809,2,FALSE)</f>
        <v>A206</v>
      </c>
      <c r="E245" s="40" t="s">
        <v>10939</v>
      </c>
      <c r="F245" s="41">
        <v>42329</v>
      </c>
      <c r="G245" s="38">
        <v>12</v>
      </c>
      <c r="H245" s="40">
        <v>0</v>
      </c>
      <c r="I245" s="38">
        <v>5.5</v>
      </c>
      <c r="J245" s="41">
        <v>42329</v>
      </c>
      <c r="K245" s="38" t="s">
        <v>10768</v>
      </c>
      <c r="L245" s="42">
        <v>3000000</v>
      </c>
      <c r="O245" s="151" t="s">
        <v>5661</v>
      </c>
      <c r="P245" s="5" t="str">
        <f t="shared" si="6"/>
        <v>A2498</v>
      </c>
      <c r="Q245" s="5">
        <f t="shared" si="7"/>
        <v>1</v>
      </c>
      <c r="R245">
        <f>VLOOKUP(O245,'Data Angt'!$A$5:$F$5810,6,FALSE)</f>
        <v>58</v>
      </c>
      <c r="S245" s="5" t="str">
        <f>VLOOKUP(O245,'Data Angt'!$A$5:$H$5810,8,FALSE)</f>
        <v>Mengurus Rumah Tangga</v>
      </c>
      <c r="T245" s="44" t="str">
        <f>VLOOKUP(O245,'Data Angt'!$A$5:$C$5809,3,FALSE)</f>
        <v>JBR</v>
      </c>
    </row>
    <row r="246" spans="1:20" x14ac:dyDescent="0.3">
      <c r="A246" s="37">
        <v>79558</v>
      </c>
      <c r="B246" s="38">
        <v>240</v>
      </c>
      <c r="C246" s="39" t="s">
        <v>572</v>
      </c>
      <c r="D246" s="10" t="str">
        <f>VLOOKUP(C246,'Data Angt'!$A$5:$B$5809,2,FALSE)</f>
        <v>A206</v>
      </c>
      <c r="E246" s="40" t="s">
        <v>10940</v>
      </c>
      <c r="F246" s="41">
        <v>43066</v>
      </c>
      <c r="G246" s="38">
        <v>12</v>
      </c>
      <c r="H246" s="40">
        <v>0</v>
      </c>
      <c r="I246" s="38">
        <v>5.5</v>
      </c>
      <c r="J246" s="41">
        <v>43066</v>
      </c>
      <c r="K246" s="38" t="s">
        <v>10768</v>
      </c>
      <c r="L246" s="42">
        <v>1000000</v>
      </c>
      <c r="O246" s="151" t="s">
        <v>5777</v>
      </c>
      <c r="P246" s="5" t="str">
        <f t="shared" si="6"/>
        <v>A2547</v>
      </c>
      <c r="Q246" s="5">
        <f t="shared" si="7"/>
        <v>12</v>
      </c>
      <c r="R246">
        <f>VLOOKUP(O246,'Data Angt'!$A$5:$F$5810,6,FALSE)</f>
        <v>56</v>
      </c>
      <c r="S246" s="5" t="str">
        <f>VLOOKUP(O246,'Data Angt'!$A$5:$H$5810,8,FALSE)</f>
        <v>Tenaga Medis</v>
      </c>
      <c r="T246" s="44" t="str">
        <f>VLOOKUP(O246,'Data Angt'!$A$5:$C$5809,3,FALSE)</f>
        <v>JBR</v>
      </c>
    </row>
    <row r="247" spans="1:20" x14ac:dyDescent="0.3">
      <c r="A247" s="37">
        <v>79474</v>
      </c>
      <c r="B247" s="38">
        <v>241</v>
      </c>
      <c r="C247" s="39" t="s">
        <v>572</v>
      </c>
      <c r="D247" s="10" t="str">
        <f>VLOOKUP(C247,'Data Angt'!$A$5:$B$5809,2,FALSE)</f>
        <v>A206</v>
      </c>
      <c r="E247" s="40" t="s">
        <v>10941</v>
      </c>
      <c r="F247" s="41">
        <v>42534</v>
      </c>
      <c r="G247" s="38">
        <v>12</v>
      </c>
      <c r="H247" s="40">
        <v>0</v>
      </c>
      <c r="I247" s="38">
        <v>5.5</v>
      </c>
      <c r="J247" s="41">
        <v>42534</v>
      </c>
      <c r="K247" s="38" t="s">
        <v>10768</v>
      </c>
      <c r="L247" s="42">
        <v>15000000</v>
      </c>
      <c r="O247" s="151" t="s">
        <v>5825</v>
      </c>
      <c r="P247" s="5" t="str">
        <f t="shared" si="6"/>
        <v>A2569</v>
      </c>
      <c r="Q247" s="5">
        <f t="shared" si="7"/>
        <v>1</v>
      </c>
      <c r="R247">
        <f>VLOOKUP(O247,'Data Angt'!$A$5:$F$5810,6,FALSE)</f>
        <v>49</v>
      </c>
      <c r="S247" s="5" t="str">
        <f>VLOOKUP(O247,'Data Angt'!$A$5:$H$5810,8,FALSE)</f>
        <v>Karyawan</v>
      </c>
      <c r="T247" s="44" t="str">
        <f>VLOOKUP(O247,'Data Angt'!$A$5:$C$5809,3,FALSE)</f>
        <v>JBR</v>
      </c>
    </row>
    <row r="248" spans="1:20" x14ac:dyDescent="0.3">
      <c r="A248" s="37">
        <v>112954</v>
      </c>
      <c r="B248" s="38">
        <v>242</v>
      </c>
      <c r="C248" s="39" t="s">
        <v>572</v>
      </c>
      <c r="D248" s="10" t="str">
        <f>VLOOKUP(C248,'Data Angt'!$A$5:$B$5809,2,FALSE)</f>
        <v>A206</v>
      </c>
      <c r="E248" s="40" t="s">
        <v>10942</v>
      </c>
      <c r="F248" s="41">
        <v>43635</v>
      </c>
      <c r="G248" s="38">
        <v>12</v>
      </c>
      <c r="H248" s="40">
        <v>0</v>
      </c>
      <c r="I248" s="38">
        <v>5.5</v>
      </c>
      <c r="J248" s="41">
        <v>43635</v>
      </c>
      <c r="K248" s="38" t="s">
        <v>10768</v>
      </c>
      <c r="L248" s="42">
        <v>16000000</v>
      </c>
      <c r="O248" s="151" t="s">
        <v>5939</v>
      </c>
      <c r="P248" s="5" t="str">
        <f t="shared" si="6"/>
        <v>A2621</v>
      </c>
      <c r="Q248" s="5">
        <f t="shared" si="7"/>
        <v>3</v>
      </c>
      <c r="R248">
        <f>VLOOKUP(O248,'Data Angt'!$A$5:$F$5810,6,FALSE)</f>
        <v>76</v>
      </c>
      <c r="S248" s="5" t="str">
        <f>VLOOKUP(O248,'Data Angt'!$A$5:$H$5810,8,FALSE)</f>
        <v>Mengurus Rumah Tangga</v>
      </c>
      <c r="T248" s="44" t="str">
        <f>VLOOKUP(O248,'Data Angt'!$A$5:$C$5809,3,FALSE)</f>
        <v>JBR</v>
      </c>
    </row>
    <row r="249" spans="1:20" x14ac:dyDescent="0.3">
      <c r="A249" s="37">
        <v>82508</v>
      </c>
      <c r="B249" s="38">
        <v>243</v>
      </c>
      <c r="C249" s="39" t="s">
        <v>583</v>
      </c>
      <c r="D249" s="10" t="str">
        <f>VLOOKUP(C249,'Data Angt'!$A$5:$B$5809,2,FALSE)</f>
        <v>A210</v>
      </c>
      <c r="E249" s="40" t="s">
        <v>10952</v>
      </c>
      <c r="F249" s="41">
        <v>43208</v>
      </c>
      <c r="G249" s="38">
        <v>12</v>
      </c>
      <c r="H249" s="40">
        <v>0</v>
      </c>
      <c r="I249" s="38">
        <v>5.5</v>
      </c>
      <c r="J249" s="41">
        <v>43208</v>
      </c>
      <c r="K249" s="38" t="s">
        <v>10768</v>
      </c>
      <c r="L249" s="42">
        <v>20000000</v>
      </c>
      <c r="O249" s="151" t="s">
        <v>5971</v>
      </c>
      <c r="P249" s="5" t="str">
        <f t="shared" si="6"/>
        <v>A2635</v>
      </c>
      <c r="Q249" s="5">
        <f t="shared" si="7"/>
        <v>5</v>
      </c>
      <c r="R249">
        <f>VLOOKUP(O249,'Data Angt'!$A$5:$F$5810,6,FALSE)</f>
        <v>55</v>
      </c>
      <c r="S249" s="5" t="str">
        <f>VLOOKUP(O249,'Data Angt'!$A$5:$H$5810,8,FALSE)</f>
        <v>Tenaga Pengajar</v>
      </c>
      <c r="T249" s="44" t="str">
        <f>VLOOKUP(O249,'Data Angt'!$A$5:$C$5809,3,FALSE)</f>
        <v>JBR</v>
      </c>
    </row>
    <row r="250" spans="1:20" x14ac:dyDescent="0.3">
      <c r="A250" s="37">
        <v>82509</v>
      </c>
      <c r="B250" s="38">
        <v>244</v>
      </c>
      <c r="C250" s="39" t="s">
        <v>583</v>
      </c>
      <c r="D250" s="10" t="str">
        <f>VLOOKUP(C250,'Data Angt'!$A$5:$B$5809,2,FALSE)</f>
        <v>A210</v>
      </c>
      <c r="E250" s="40" t="s">
        <v>10953</v>
      </c>
      <c r="F250" s="41">
        <v>43208</v>
      </c>
      <c r="G250" s="38">
        <v>12</v>
      </c>
      <c r="H250" s="40">
        <v>0</v>
      </c>
      <c r="I250" s="38">
        <v>5.5</v>
      </c>
      <c r="J250" s="41">
        <v>43208</v>
      </c>
      <c r="K250" s="38" t="s">
        <v>10768</v>
      </c>
      <c r="L250" s="42">
        <v>20000000</v>
      </c>
      <c r="O250" s="151" t="s">
        <v>12416</v>
      </c>
      <c r="P250" s="5" t="str">
        <f t="shared" si="6"/>
        <v>A2684</v>
      </c>
      <c r="Q250" s="5">
        <f t="shared" si="7"/>
        <v>5</v>
      </c>
      <c r="R250">
        <f>VLOOKUP(O250,'Data Angt'!$A$5:$F$5810,6,FALSE)</f>
        <v>22</v>
      </c>
      <c r="S250" s="5" t="str">
        <f>VLOOKUP(O250,'Data Angt'!$A$5:$H$5810,8,FALSE)</f>
        <v>Pelajar/Mahasiswa</v>
      </c>
      <c r="T250" s="44" t="str">
        <f>VLOOKUP(O250,'Data Angt'!$A$5:$C$5809,3,FALSE)</f>
        <v>JBR</v>
      </c>
    </row>
    <row r="251" spans="1:20" x14ac:dyDescent="0.3">
      <c r="A251" s="37">
        <v>113651</v>
      </c>
      <c r="B251" s="38">
        <v>245</v>
      </c>
      <c r="C251" s="39" t="s">
        <v>583</v>
      </c>
      <c r="D251" s="10" t="str">
        <f>VLOOKUP(C251,'Data Angt'!$A$5:$B$5809,2,FALSE)</f>
        <v>A210</v>
      </c>
      <c r="E251" s="40" t="s">
        <v>10954</v>
      </c>
      <c r="F251" s="41">
        <v>43649</v>
      </c>
      <c r="G251" s="38">
        <v>12</v>
      </c>
      <c r="H251" s="40">
        <v>0</v>
      </c>
      <c r="I251" s="38">
        <v>5.5</v>
      </c>
      <c r="J251" s="41">
        <v>43649</v>
      </c>
      <c r="K251" s="38" t="s">
        <v>10768</v>
      </c>
      <c r="L251" s="42">
        <v>20000000</v>
      </c>
      <c r="O251" s="151" t="s">
        <v>6173</v>
      </c>
      <c r="P251" s="5" t="str">
        <f t="shared" si="6"/>
        <v>A2736</v>
      </c>
      <c r="Q251" s="5">
        <f t="shared" si="7"/>
        <v>1</v>
      </c>
      <c r="R251">
        <f>VLOOKUP(O251,'Data Angt'!$A$5:$F$5810,6,FALSE)</f>
        <v>39</v>
      </c>
      <c r="S251" s="5" t="str">
        <f>VLOOKUP(O251,'Data Angt'!$A$5:$H$5810,8,FALSE)</f>
        <v>Lain-Lain</v>
      </c>
      <c r="T251" s="44" t="str">
        <f>VLOOKUP(O251,'Data Angt'!$A$5:$C$5809,3,FALSE)</f>
        <v>JBR</v>
      </c>
    </row>
    <row r="252" spans="1:20" x14ac:dyDescent="0.3">
      <c r="A252" s="37">
        <v>118498</v>
      </c>
      <c r="B252" s="38">
        <v>246</v>
      </c>
      <c r="C252" s="39" t="s">
        <v>583</v>
      </c>
      <c r="D252" s="10" t="str">
        <f>VLOOKUP(C252,'Data Angt'!$A$5:$B$5809,2,FALSE)</f>
        <v>A210</v>
      </c>
      <c r="E252" s="40" t="s">
        <v>10943</v>
      </c>
      <c r="F252" s="41">
        <v>43789</v>
      </c>
      <c r="G252" s="38">
        <v>12</v>
      </c>
      <c r="H252" s="40">
        <v>0</v>
      </c>
      <c r="I252" s="38">
        <v>5.5</v>
      </c>
      <c r="J252" s="41">
        <v>43789</v>
      </c>
      <c r="K252" s="38" t="s">
        <v>10768</v>
      </c>
      <c r="L252" s="42">
        <v>20000000</v>
      </c>
      <c r="O252" s="151" t="s">
        <v>6577</v>
      </c>
      <c r="P252" s="5" t="str">
        <f t="shared" si="6"/>
        <v>A2922</v>
      </c>
      <c r="Q252" s="5">
        <f t="shared" si="7"/>
        <v>1</v>
      </c>
      <c r="R252">
        <f>VLOOKUP(O252,'Data Angt'!$A$5:$F$5810,6,FALSE)</f>
        <v>39</v>
      </c>
      <c r="S252" s="5" t="str">
        <f>VLOOKUP(O252,'Data Angt'!$A$5:$H$5810,8,FALSE)</f>
        <v>Tenaga Pengajar</v>
      </c>
      <c r="T252" s="44" t="str">
        <f>VLOOKUP(O252,'Data Angt'!$A$5:$C$5809,3,FALSE)</f>
        <v>JBR</v>
      </c>
    </row>
    <row r="253" spans="1:20" x14ac:dyDescent="0.3">
      <c r="A253" s="37">
        <v>126263</v>
      </c>
      <c r="B253" s="38">
        <v>247</v>
      </c>
      <c r="C253" s="39" t="s">
        <v>583</v>
      </c>
      <c r="D253" s="10" t="str">
        <f>VLOOKUP(C253,'Data Angt'!$A$5:$B$5809,2,FALSE)</f>
        <v>A210</v>
      </c>
      <c r="E253" s="40" t="s">
        <v>10944</v>
      </c>
      <c r="F253" s="41">
        <v>44200</v>
      </c>
      <c r="G253" s="38">
        <v>12</v>
      </c>
      <c r="H253" s="40">
        <v>0</v>
      </c>
      <c r="I253" s="38">
        <v>5.5</v>
      </c>
      <c r="J253" s="41">
        <v>44200</v>
      </c>
      <c r="K253" s="38" t="s">
        <v>10768</v>
      </c>
      <c r="L253" s="42">
        <v>20000000</v>
      </c>
      <c r="O253" s="151" t="s">
        <v>6633</v>
      </c>
      <c r="P253" s="5" t="str">
        <f t="shared" si="6"/>
        <v>A2947</v>
      </c>
      <c r="Q253" s="5">
        <f t="shared" si="7"/>
        <v>1</v>
      </c>
      <c r="R253">
        <f>VLOOKUP(O253,'Data Angt'!$A$5:$F$5810,6,FALSE)</f>
        <v>44</v>
      </c>
      <c r="S253" s="5" t="str">
        <f>VLOOKUP(O253,'Data Angt'!$A$5:$H$5810,8,FALSE)</f>
        <v>Karyawan</v>
      </c>
      <c r="T253" s="44" t="str">
        <f>VLOOKUP(O253,'Data Angt'!$A$5:$C$5809,3,FALSE)</f>
        <v>JBR</v>
      </c>
    </row>
    <row r="254" spans="1:20" x14ac:dyDescent="0.3">
      <c r="A254" s="37">
        <v>131193</v>
      </c>
      <c r="B254" s="38">
        <v>248</v>
      </c>
      <c r="C254" s="39" t="s">
        <v>583</v>
      </c>
      <c r="D254" s="10" t="str">
        <f>VLOOKUP(C254,'Data Angt'!$A$5:$B$5809,2,FALSE)</f>
        <v>A210</v>
      </c>
      <c r="E254" s="40" t="s">
        <v>10945</v>
      </c>
      <c r="F254" s="41">
        <v>44565</v>
      </c>
      <c r="G254" s="38">
        <v>12</v>
      </c>
      <c r="H254" s="40">
        <v>0</v>
      </c>
      <c r="I254" s="38">
        <v>5.5</v>
      </c>
      <c r="J254" s="41">
        <v>44565</v>
      </c>
      <c r="K254" s="38" t="s">
        <v>10768</v>
      </c>
      <c r="L254" s="42">
        <v>20000000</v>
      </c>
      <c r="O254" s="151" t="s">
        <v>7108</v>
      </c>
      <c r="P254" s="5" t="str">
        <f t="shared" si="6"/>
        <v>A3181</v>
      </c>
      <c r="Q254" s="5">
        <f t="shared" si="7"/>
        <v>1</v>
      </c>
      <c r="R254">
        <f>VLOOKUP(O254,'Data Angt'!$A$5:$F$5810,6,FALSE)</f>
        <v>70</v>
      </c>
      <c r="S254" s="5" t="str">
        <f>VLOOKUP(O254,'Data Angt'!$A$5:$H$5810,8,FALSE)</f>
        <v>Pensiunan</v>
      </c>
      <c r="T254" s="44" t="str">
        <f>VLOOKUP(O254,'Data Angt'!$A$5:$C$5809,3,FALSE)</f>
        <v>JBR</v>
      </c>
    </row>
    <row r="255" spans="1:20" x14ac:dyDescent="0.3">
      <c r="A255" s="37">
        <v>136756</v>
      </c>
      <c r="B255" s="38">
        <v>249</v>
      </c>
      <c r="C255" s="39" t="s">
        <v>583</v>
      </c>
      <c r="D255" s="10" t="str">
        <f>VLOOKUP(C255,'Data Angt'!$A$5:$B$5809,2,FALSE)</f>
        <v>A210</v>
      </c>
      <c r="E255" s="40" t="s">
        <v>10946</v>
      </c>
      <c r="F255" s="41">
        <v>44995</v>
      </c>
      <c r="G255" s="38">
        <v>12</v>
      </c>
      <c r="H255" s="40">
        <v>0</v>
      </c>
      <c r="I255" s="38">
        <v>5.5</v>
      </c>
      <c r="J255" s="41">
        <v>44995</v>
      </c>
      <c r="K255" s="38" t="s">
        <v>10768</v>
      </c>
      <c r="L255" s="42">
        <v>20000000</v>
      </c>
      <c r="O255" s="151" t="s">
        <v>7468</v>
      </c>
      <c r="P255" s="5" t="str">
        <f t="shared" si="6"/>
        <v>A3342</v>
      </c>
      <c r="Q255" s="5">
        <f t="shared" si="7"/>
        <v>2</v>
      </c>
      <c r="R255">
        <f>VLOOKUP(O255,'Data Angt'!$A$5:$F$5810,6,FALSE)</f>
        <v>55</v>
      </c>
      <c r="S255" s="5" t="str">
        <f>VLOOKUP(O255,'Data Angt'!$A$5:$H$5810,8,FALSE)</f>
        <v>Mengurus Rumah Tangga</v>
      </c>
      <c r="T255" s="44" t="str">
        <f>VLOOKUP(O255,'Data Angt'!$A$5:$C$5809,3,FALSE)</f>
        <v>JBR</v>
      </c>
    </row>
    <row r="256" spans="1:20" x14ac:dyDescent="0.3">
      <c r="A256" s="37">
        <v>142976</v>
      </c>
      <c r="B256" s="38">
        <v>250</v>
      </c>
      <c r="C256" s="39" t="s">
        <v>583</v>
      </c>
      <c r="D256" s="10" t="str">
        <f>VLOOKUP(C256,'Data Angt'!$A$5:$B$5809,2,FALSE)</f>
        <v>A210</v>
      </c>
      <c r="E256" s="40" t="s">
        <v>18441</v>
      </c>
      <c r="F256" s="41">
        <v>45350</v>
      </c>
      <c r="G256" s="38">
        <v>12</v>
      </c>
      <c r="H256" s="40">
        <v>0</v>
      </c>
      <c r="I256" s="38">
        <v>5.5</v>
      </c>
      <c r="J256" s="41">
        <v>45350</v>
      </c>
      <c r="K256" s="38" t="s">
        <v>10768</v>
      </c>
      <c r="L256" s="42">
        <v>40000000</v>
      </c>
      <c r="O256" s="151" t="s">
        <v>7498</v>
      </c>
      <c r="P256" s="5" t="str">
        <f t="shared" si="6"/>
        <v>A3358</v>
      </c>
      <c r="Q256" s="5">
        <f t="shared" si="7"/>
        <v>1</v>
      </c>
      <c r="R256">
        <f>VLOOKUP(O256,'Data Angt'!$A$5:$F$5810,6,FALSE)</f>
        <v>67</v>
      </c>
      <c r="S256" s="5" t="str">
        <f>VLOOKUP(O256,'Data Angt'!$A$5:$H$5810,8,FALSE)</f>
        <v>Wiraswasta</v>
      </c>
      <c r="T256" s="44" t="str">
        <f>VLOOKUP(O256,'Data Angt'!$A$5:$C$5809,3,FALSE)</f>
        <v>JBR</v>
      </c>
    </row>
    <row r="257" spans="1:20" x14ac:dyDescent="0.3">
      <c r="A257" s="37">
        <v>156259</v>
      </c>
      <c r="B257" s="38">
        <v>251</v>
      </c>
      <c r="C257" s="39" t="s">
        <v>583</v>
      </c>
      <c r="D257" s="10" t="str">
        <f>VLOOKUP(C257,'Data Angt'!$A$5:$B$5809,2,FALSE)</f>
        <v>A210</v>
      </c>
      <c r="E257" s="40" t="s">
        <v>18442</v>
      </c>
      <c r="F257" s="41">
        <v>45813</v>
      </c>
      <c r="G257" s="38">
        <v>12</v>
      </c>
      <c r="H257" s="40">
        <v>0</v>
      </c>
      <c r="I257" s="38">
        <v>5.5</v>
      </c>
      <c r="J257" s="41">
        <v>45813</v>
      </c>
      <c r="K257" s="38" t="s">
        <v>10768</v>
      </c>
      <c r="L257" s="42">
        <v>50000000</v>
      </c>
      <c r="O257" s="151" t="s">
        <v>7764</v>
      </c>
      <c r="P257" s="5" t="str">
        <f t="shared" si="6"/>
        <v>A3487</v>
      </c>
      <c r="Q257" s="5">
        <f t="shared" si="7"/>
        <v>1</v>
      </c>
      <c r="R257">
        <f>VLOOKUP(O257,'Data Angt'!$A$5:$F$5810,6,FALSE)</f>
        <v>39</v>
      </c>
      <c r="S257" s="5" t="str">
        <f>VLOOKUP(O257,'Data Angt'!$A$5:$H$5810,8,FALSE)</f>
        <v>Karyawan</v>
      </c>
      <c r="T257" s="44" t="str">
        <f>VLOOKUP(O257,'Data Angt'!$A$5:$C$5809,3,FALSE)</f>
        <v>JBR</v>
      </c>
    </row>
    <row r="258" spans="1:20" x14ac:dyDescent="0.3">
      <c r="A258" s="37">
        <v>156261</v>
      </c>
      <c r="B258" s="38">
        <v>252</v>
      </c>
      <c r="C258" s="39" t="s">
        <v>583</v>
      </c>
      <c r="D258" s="10" t="str">
        <f>VLOOKUP(C258,'Data Angt'!$A$5:$B$5809,2,FALSE)</f>
        <v>A210</v>
      </c>
      <c r="E258" s="40" t="s">
        <v>18443</v>
      </c>
      <c r="F258" s="41">
        <v>45813</v>
      </c>
      <c r="G258" s="38">
        <v>12</v>
      </c>
      <c r="H258" s="40">
        <v>0</v>
      </c>
      <c r="I258" s="38">
        <v>5.5</v>
      </c>
      <c r="J258" s="41">
        <v>45813</v>
      </c>
      <c r="K258" s="38" t="s">
        <v>10768</v>
      </c>
      <c r="L258" s="42">
        <v>50000000</v>
      </c>
      <c r="O258" s="151" t="s">
        <v>8519</v>
      </c>
      <c r="P258" s="5" t="str">
        <f t="shared" si="6"/>
        <v>A3865</v>
      </c>
      <c r="Q258" s="5">
        <f t="shared" si="7"/>
        <v>1</v>
      </c>
      <c r="R258">
        <f>VLOOKUP(O258,'Data Angt'!$A$5:$F$5810,6,FALSE)</f>
        <v>31</v>
      </c>
      <c r="S258" s="5" t="str">
        <f>VLOOKUP(O258,'Data Angt'!$A$5:$H$5810,8,FALSE)</f>
        <v>Karyawan</v>
      </c>
      <c r="T258" s="44" t="str">
        <f>VLOOKUP(O258,'Data Angt'!$A$5:$C$5809,3,FALSE)</f>
        <v>JBR</v>
      </c>
    </row>
    <row r="259" spans="1:20" x14ac:dyDescent="0.3">
      <c r="A259" s="37">
        <v>79460</v>
      </c>
      <c r="B259" s="38">
        <v>253</v>
      </c>
      <c r="C259" s="39" t="s">
        <v>583</v>
      </c>
      <c r="D259" s="10" t="str">
        <f>VLOOKUP(C259,'Data Angt'!$A$5:$B$5809,2,FALSE)</f>
        <v>A210</v>
      </c>
      <c r="E259" s="40" t="s">
        <v>10947</v>
      </c>
      <c r="F259" s="41">
        <v>42282</v>
      </c>
      <c r="G259" s="38">
        <v>12</v>
      </c>
      <c r="H259" s="40">
        <v>0</v>
      </c>
      <c r="I259" s="38">
        <v>5.5</v>
      </c>
      <c r="J259" s="41">
        <v>42134</v>
      </c>
      <c r="K259" s="38" t="s">
        <v>10768</v>
      </c>
      <c r="L259" s="42">
        <v>100000000</v>
      </c>
      <c r="O259" s="151" t="s">
        <v>8584</v>
      </c>
      <c r="P259" s="5" t="str">
        <f t="shared" si="6"/>
        <v>A3893</v>
      </c>
      <c r="Q259" s="5">
        <f t="shared" si="7"/>
        <v>4</v>
      </c>
      <c r="R259">
        <f>VLOOKUP(O259,'Data Angt'!$A$5:$F$5810,6,FALSE)</f>
        <v>57</v>
      </c>
      <c r="S259" s="5" t="str">
        <f>VLOOKUP(O259,'Data Angt'!$A$5:$H$5810,8,FALSE)</f>
        <v>Wiraswasta</v>
      </c>
      <c r="T259" s="44" t="str">
        <f>VLOOKUP(O259,'Data Angt'!$A$5:$C$5809,3,FALSE)</f>
        <v>JBR</v>
      </c>
    </row>
    <row r="260" spans="1:20" x14ac:dyDescent="0.3">
      <c r="A260" s="37">
        <v>157597</v>
      </c>
      <c r="B260" s="38">
        <v>254</v>
      </c>
      <c r="C260" s="39" t="s">
        <v>583</v>
      </c>
      <c r="D260" s="10" t="str">
        <f>VLOOKUP(C260,'Data Angt'!$A$5:$B$5809,2,FALSE)</f>
        <v>A210</v>
      </c>
      <c r="E260" s="40" t="s">
        <v>24131</v>
      </c>
      <c r="F260" s="41">
        <v>45875</v>
      </c>
      <c r="G260" s="38">
        <v>12</v>
      </c>
      <c r="H260" s="40">
        <v>0</v>
      </c>
      <c r="I260" s="38">
        <v>5.5</v>
      </c>
      <c r="J260" s="41">
        <v>45875</v>
      </c>
      <c r="K260" s="38" t="s">
        <v>10768</v>
      </c>
      <c r="L260" s="42">
        <v>50000000</v>
      </c>
      <c r="O260" s="151" t="s">
        <v>8682</v>
      </c>
      <c r="P260" s="5" t="str">
        <f t="shared" si="6"/>
        <v>A3939</v>
      </c>
      <c r="Q260" s="5">
        <f t="shared" si="7"/>
        <v>1</v>
      </c>
      <c r="R260">
        <f>VLOOKUP(O260,'Data Angt'!$A$5:$F$5810,6,FALSE)</f>
        <v>46</v>
      </c>
      <c r="S260" s="5" t="str">
        <f>VLOOKUP(O260,'Data Angt'!$A$5:$H$5810,8,FALSE)</f>
        <v>Tenaga Pengajar</v>
      </c>
      <c r="T260" s="44" t="str">
        <f>VLOOKUP(O260,'Data Angt'!$A$5:$C$5809,3,FALSE)</f>
        <v>JBR</v>
      </c>
    </row>
    <row r="261" spans="1:20" x14ac:dyDescent="0.3">
      <c r="A261" s="37">
        <v>79495</v>
      </c>
      <c r="B261" s="38">
        <v>255</v>
      </c>
      <c r="C261" s="39" t="s">
        <v>583</v>
      </c>
      <c r="D261" s="10" t="str">
        <f>VLOOKUP(C261,'Data Angt'!$A$5:$B$5809,2,FALSE)</f>
        <v>A210</v>
      </c>
      <c r="E261" s="40" t="s">
        <v>10948</v>
      </c>
      <c r="F261" s="41">
        <v>42690</v>
      </c>
      <c r="G261" s="38">
        <v>12</v>
      </c>
      <c r="H261" s="40">
        <v>0</v>
      </c>
      <c r="I261" s="38">
        <v>5.5</v>
      </c>
      <c r="J261" s="41">
        <v>42690</v>
      </c>
      <c r="K261" s="38" t="s">
        <v>10768</v>
      </c>
      <c r="L261" s="42">
        <v>25000000</v>
      </c>
      <c r="O261" s="151" t="s">
        <v>8855</v>
      </c>
      <c r="P261" s="5" t="str">
        <f t="shared" si="6"/>
        <v>A4021</v>
      </c>
      <c r="Q261" s="5">
        <f t="shared" si="7"/>
        <v>11</v>
      </c>
      <c r="R261">
        <f>VLOOKUP(O261,'Data Angt'!$A$5:$F$5810,6,FALSE)</f>
        <v>52</v>
      </c>
      <c r="S261" s="5" t="str">
        <f>VLOOKUP(O261,'Data Angt'!$A$5:$H$5810,8,FALSE)</f>
        <v>Wiraswasta</v>
      </c>
      <c r="T261" s="44" t="str">
        <f>VLOOKUP(O261,'Data Angt'!$A$5:$C$5809,3,FALSE)</f>
        <v>JBR</v>
      </c>
    </row>
    <row r="262" spans="1:20" x14ac:dyDescent="0.3">
      <c r="A262" s="37">
        <v>79496</v>
      </c>
      <c r="B262" s="38">
        <v>256</v>
      </c>
      <c r="C262" s="39" t="s">
        <v>583</v>
      </c>
      <c r="D262" s="10" t="str">
        <f>VLOOKUP(C262,'Data Angt'!$A$5:$B$5809,2,FALSE)</f>
        <v>A210</v>
      </c>
      <c r="E262" s="40" t="s">
        <v>10949</v>
      </c>
      <c r="F262" s="41">
        <v>42690</v>
      </c>
      <c r="G262" s="38">
        <v>12</v>
      </c>
      <c r="H262" s="40">
        <v>0</v>
      </c>
      <c r="I262" s="38">
        <v>5.5</v>
      </c>
      <c r="J262" s="41">
        <v>42690</v>
      </c>
      <c r="K262" s="38" t="s">
        <v>10768</v>
      </c>
      <c r="L262" s="42">
        <v>25000000</v>
      </c>
      <c r="O262" s="151" t="s">
        <v>8921</v>
      </c>
      <c r="P262" s="5" t="str">
        <f t="shared" ref="P262:P323" si="8">VLOOKUP(O262,$C$7:$D$1146,2,FALSE)</f>
        <v>A4055</v>
      </c>
      <c r="Q262" s="5">
        <f t="shared" ref="Q262:Q323" si="9">COUNTIF($C$7:$C$1146,O262)</f>
        <v>3</v>
      </c>
      <c r="R262">
        <f>VLOOKUP(O262,'Data Angt'!$A$5:$F$5810,6,FALSE)</f>
        <v>62</v>
      </c>
      <c r="S262" s="5" t="str">
        <f>VLOOKUP(O262,'Data Angt'!$A$5:$H$5810,8,FALSE)</f>
        <v>Pensiunan</v>
      </c>
      <c r="T262" s="44" t="str">
        <f>VLOOKUP(O262,'Data Angt'!$A$5:$C$5809,3,FALSE)</f>
        <v>JBR</v>
      </c>
    </row>
    <row r="263" spans="1:20" x14ac:dyDescent="0.3">
      <c r="A263" s="37">
        <v>79497</v>
      </c>
      <c r="B263" s="38">
        <v>257</v>
      </c>
      <c r="C263" s="39" t="s">
        <v>583</v>
      </c>
      <c r="D263" s="10" t="str">
        <f>VLOOKUP(C263,'Data Angt'!$A$5:$B$5809,2,FALSE)</f>
        <v>A210</v>
      </c>
      <c r="E263" s="40" t="s">
        <v>10950</v>
      </c>
      <c r="F263" s="41">
        <v>42690</v>
      </c>
      <c r="G263" s="38">
        <v>12</v>
      </c>
      <c r="H263" s="40">
        <v>0</v>
      </c>
      <c r="I263" s="38">
        <v>5.5</v>
      </c>
      <c r="J263" s="41">
        <v>42690</v>
      </c>
      <c r="K263" s="38" t="s">
        <v>10768</v>
      </c>
      <c r="L263" s="42">
        <v>25000000</v>
      </c>
      <c r="O263" s="151" t="s">
        <v>9426</v>
      </c>
      <c r="P263" s="5" t="str">
        <f t="shared" si="8"/>
        <v>A4288</v>
      </c>
      <c r="Q263" s="5">
        <f t="shared" si="9"/>
        <v>1</v>
      </c>
      <c r="R263">
        <f>VLOOKUP(O263,'Data Angt'!$A$5:$F$5810,6,FALSE)</f>
        <v>36</v>
      </c>
      <c r="S263" s="5" t="str">
        <f>VLOOKUP(O263,'Data Angt'!$A$5:$H$5810,8,FALSE)</f>
        <v>Mengurus Rumah Tangga</v>
      </c>
      <c r="T263" s="44" t="str">
        <f>VLOOKUP(O263,'Data Angt'!$A$5:$C$5809,3,FALSE)</f>
        <v>JBR</v>
      </c>
    </row>
    <row r="264" spans="1:20" x14ac:dyDescent="0.3">
      <c r="A264" s="37">
        <v>79498</v>
      </c>
      <c r="B264" s="38">
        <v>258</v>
      </c>
      <c r="C264" s="39" t="s">
        <v>583</v>
      </c>
      <c r="D264" s="10" t="str">
        <f>VLOOKUP(C264,'Data Angt'!$A$5:$B$5809,2,FALSE)</f>
        <v>A210</v>
      </c>
      <c r="E264" s="40" t="s">
        <v>10951</v>
      </c>
      <c r="F264" s="41">
        <v>42690</v>
      </c>
      <c r="G264" s="38">
        <v>12</v>
      </c>
      <c r="H264" s="40">
        <v>0</v>
      </c>
      <c r="I264" s="38">
        <v>5.5</v>
      </c>
      <c r="J264" s="41">
        <v>42690</v>
      </c>
      <c r="K264" s="38" t="s">
        <v>10768</v>
      </c>
      <c r="L264" s="42">
        <v>25000000</v>
      </c>
      <c r="O264" s="151" t="s">
        <v>14251</v>
      </c>
      <c r="P264" s="5" t="str">
        <f t="shared" si="8"/>
        <v>A5159</v>
      </c>
      <c r="Q264" s="5">
        <f t="shared" si="9"/>
        <v>1</v>
      </c>
      <c r="R264">
        <f>VLOOKUP(O264,'Data Angt'!$A$5:$F$5810,6,FALSE)</f>
        <v>46</v>
      </c>
      <c r="S264" s="5" t="str">
        <f>VLOOKUP(O264,'Data Angt'!$A$5:$H$5810,8,FALSE)</f>
        <v>Wiraswasta</v>
      </c>
      <c r="T264" s="44" t="str">
        <f>VLOOKUP(O264,'Data Angt'!$A$5:$C$5809,3,FALSE)</f>
        <v>JBR</v>
      </c>
    </row>
    <row r="265" spans="1:20" x14ac:dyDescent="0.3">
      <c r="A265" s="37">
        <v>79451</v>
      </c>
      <c r="B265" s="38">
        <v>259</v>
      </c>
      <c r="C265" s="39" t="s">
        <v>590</v>
      </c>
      <c r="D265" s="10" t="str">
        <f>VLOOKUP(C265,'Data Angt'!$A$5:$B$5809,2,FALSE)</f>
        <v>A213</v>
      </c>
      <c r="E265" s="40" t="s">
        <v>10955</v>
      </c>
      <c r="F265" s="41">
        <v>42019</v>
      </c>
      <c r="G265" s="38">
        <v>12</v>
      </c>
      <c r="H265" s="40">
        <v>0</v>
      </c>
      <c r="I265" s="38">
        <v>5.5</v>
      </c>
      <c r="J265" s="41">
        <v>42019</v>
      </c>
      <c r="K265" s="38" t="s">
        <v>10768</v>
      </c>
      <c r="L265" s="42">
        <v>60000000</v>
      </c>
      <c r="O265" s="151" t="s">
        <v>14753</v>
      </c>
      <c r="P265" s="5" t="str">
        <f t="shared" si="8"/>
        <v>A5344</v>
      </c>
      <c r="Q265" s="5">
        <f t="shared" si="9"/>
        <v>1</v>
      </c>
      <c r="R265">
        <f>VLOOKUP(O265,'Data Angt'!$A$5:$F$5810,6,FALSE)</f>
        <v>39</v>
      </c>
      <c r="S265" s="5" t="str">
        <f>VLOOKUP(O265,'Data Angt'!$A$5:$H$5810,8,FALSE)</f>
        <v>Tenaga Pengajar</v>
      </c>
      <c r="T265" s="44" t="str">
        <f>VLOOKUP(O265,'Data Angt'!$A$5:$C$5809,3,FALSE)</f>
        <v>JBR</v>
      </c>
    </row>
    <row r="266" spans="1:20" x14ac:dyDescent="0.3">
      <c r="A266" s="37">
        <v>79464</v>
      </c>
      <c r="B266" s="38">
        <v>260</v>
      </c>
      <c r="C266" s="39" t="s">
        <v>590</v>
      </c>
      <c r="D266" s="10" t="str">
        <f>VLOOKUP(C266,'Data Angt'!$A$5:$B$5809,2,FALSE)</f>
        <v>A213</v>
      </c>
      <c r="E266" s="40" t="s">
        <v>10956</v>
      </c>
      <c r="F266" s="41">
        <v>42335</v>
      </c>
      <c r="G266" s="38">
        <v>12</v>
      </c>
      <c r="H266" s="40">
        <v>0</v>
      </c>
      <c r="I266" s="38">
        <v>5.5</v>
      </c>
      <c r="J266" s="41">
        <v>42335</v>
      </c>
      <c r="K266" s="38" t="s">
        <v>10768</v>
      </c>
      <c r="L266" s="42">
        <v>100000000</v>
      </c>
      <c r="O266" s="151" t="s">
        <v>14805</v>
      </c>
      <c r="P266" s="5" t="str">
        <f t="shared" si="8"/>
        <v>A5368</v>
      </c>
      <c r="Q266" s="5">
        <f t="shared" si="9"/>
        <v>1</v>
      </c>
      <c r="R266">
        <f>VLOOKUP(O266,'Data Angt'!$A$5:$F$5810,6,FALSE)</f>
        <v>48</v>
      </c>
      <c r="S266" s="5" t="str">
        <f>VLOOKUP(O266,'Data Angt'!$A$5:$H$5810,8,FALSE)</f>
        <v>Tenaga Pengajar</v>
      </c>
      <c r="T266" s="44" t="str">
        <f>VLOOKUP(O266,'Data Angt'!$A$5:$C$5809,3,FALSE)</f>
        <v>JBR</v>
      </c>
    </row>
    <row r="267" spans="1:20" x14ac:dyDescent="0.3">
      <c r="A267" s="37">
        <v>79562</v>
      </c>
      <c r="B267" s="38">
        <v>261</v>
      </c>
      <c r="C267" s="39" t="s">
        <v>590</v>
      </c>
      <c r="D267" s="10" t="str">
        <f>VLOOKUP(C267,'Data Angt'!$A$5:$B$5809,2,FALSE)</f>
        <v>A213</v>
      </c>
      <c r="E267" s="40" t="s">
        <v>10957</v>
      </c>
      <c r="F267" s="41">
        <v>43074</v>
      </c>
      <c r="G267" s="38">
        <v>12</v>
      </c>
      <c r="H267" s="40">
        <v>0</v>
      </c>
      <c r="I267" s="38">
        <v>5.5</v>
      </c>
      <c r="J267" s="41">
        <v>42867</v>
      </c>
      <c r="K267" s="38" t="s">
        <v>10768</v>
      </c>
      <c r="L267" s="42">
        <v>35000000</v>
      </c>
      <c r="O267" s="151" t="s">
        <v>15142</v>
      </c>
      <c r="P267" s="5" t="str">
        <f t="shared" si="8"/>
        <v>A5524</v>
      </c>
      <c r="Q267" s="5">
        <f t="shared" si="9"/>
        <v>2</v>
      </c>
      <c r="R267">
        <f>VLOOKUP(O267,'Data Angt'!$A$5:$F$5810,6,FALSE)</f>
        <v>43</v>
      </c>
      <c r="S267" s="5" t="str">
        <f>VLOOKUP(O267,'Data Angt'!$A$5:$H$5810,8,FALSE)</f>
        <v>Mengurus Rumah Tangga</v>
      </c>
      <c r="T267" s="44" t="str">
        <f>VLOOKUP(O267,'Data Angt'!$A$5:$C$5809,3,FALSE)</f>
        <v>JBR</v>
      </c>
    </row>
    <row r="268" spans="1:20" x14ac:dyDescent="0.3">
      <c r="A268" s="37">
        <v>79563</v>
      </c>
      <c r="B268" s="38">
        <v>262</v>
      </c>
      <c r="C268" s="39" t="s">
        <v>590</v>
      </c>
      <c r="D268" s="10" t="str">
        <f>VLOOKUP(C268,'Data Angt'!$A$5:$B$5809,2,FALSE)</f>
        <v>A213</v>
      </c>
      <c r="E268" s="40" t="s">
        <v>10958</v>
      </c>
      <c r="F268" s="41">
        <v>43074</v>
      </c>
      <c r="G268" s="38">
        <v>12</v>
      </c>
      <c r="H268" s="40">
        <v>0</v>
      </c>
      <c r="I268" s="38">
        <v>5.5</v>
      </c>
      <c r="J268" s="41">
        <v>42867</v>
      </c>
      <c r="K268" s="38" t="s">
        <v>10768</v>
      </c>
      <c r="L268" s="42">
        <v>35000000</v>
      </c>
      <c r="O268" s="151" t="s">
        <v>1823</v>
      </c>
      <c r="P268" s="5" t="str">
        <f t="shared" si="8"/>
        <v>A735</v>
      </c>
      <c r="Q268" s="5">
        <f t="shared" si="9"/>
        <v>13</v>
      </c>
      <c r="R268">
        <f>VLOOKUP(O268,'Data Angt'!$A$5:$F$5810,6,FALSE)</f>
        <v>70</v>
      </c>
      <c r="S268" s="5" t="str">
        <f>VLOOKUP(O268,'Data Angt'!$A$5:$H$5810,8,FALSE)</f>
        <v>Pensiunan</v>
      </c>
      <c r="T268" s="44" t="str">
        <f>VLOOKUP(O268,'Data Angt'!$A$5:$C$5809,3,FALSE)</f>
        <v>BWI</v>
      </c>
    </row>
    <row r="269" spans="1:20" x14ac:dyDescent="0.3">
      <c r="A269" s="37">
        <v>79564</v>
      </c>
      <c r="B269" s="38">
        <v>263</v>
      </c>
      <c r="C269" s="39" t="s">
        <v>590</v>
      </c>
      <c r="D269" s="10" t="str">
        <f>VLOOKUP(C269,'Data Angt'!$A$5:$B$5809,2,FALSE)</f>
        <v>A213</v>
      </c>
      <c r="E269" s="40" t="s">
        <v>10959</v>
      </c>
      <c r="F269" s="41">
        <v>43074</v>
      </c>
      <c r="G269" s="38">
        <v>12</v>
      </c>
      <c r="H269" s="40">
        <v>0</v>
      </c>
      <c r="I269" s="38">
        <v>5.5</v>
      </c>
      <c r="J269" s="41">
        <v>42867</v>
      </c>
      <c r="K269" s="38" t="s">
        <v>10768</v>
      </c>
      <c r="L269" s="42">
        <v>30000000</v>
      </c>
      <c r="O269" s="151" t="s">
        <v>1829</v>
      </c>
      <c r="P269" s="5" t="str">
        <f t="shared" si="8"/>
        <v>A737</v>
      </c>
      <c r="Q269" s="5">
        <f t="shared" si="9"/>
        <v>1</v>
      </c>
      <c r="R269">
        <f>VLOOKUP(O269,'Data Angt'!$A$5:$F$5810,6,FALSE)</f>
        <v>67</v>
      </c>
      <c r="S269" s="5" t="str">
        <f>VLOOKUP(O269,'Data Angt'!$A$5:$H$5810,8,FALSE)</f>
        <v>Karyawan</v>
      </c>
      <c r="T269" s="44" t="str">
        <f>VLOOKUP(O269,'Data Angt'!$A$5:$C$5809,3,FALSE)</f>
        <v>BWI</v>
      </c>
    </row>
    <row r="270" spans="1:20" x14ac:dyDescent="0.3">
      <c r="A270" s="37">
        <v>154848</v>
      </c>
      <c r="B270" s="38">
        <v>264</v>
      </c>
      <c r="C270" s="39" t="s">
        <v>608</v>
      </c>
      <c r="D270" s="10" t="str">
        <f>VLOOKUP(C270,'Data Angt'!$A$5:$B$5809,2,FALSE)</f>
        <v>A221</v>
      </c>
      <c r="E270" s="40" t="s">
        <v>18444</v>
      </c>
      <c r="F270" s="41">
        <v>45744</v>
      </c>
      <c r="G270" s="38">
        <v>12</v>
      </c>
      <c r="H270" s="40">
        <v>0</v>
      </c>
      <c r="I270" s="38">
        <v>5.5</v>
      </c>
      <c r="J270" s="41">
        <v>45744</v>
      </c>
      <c r="K270" s="38" t="s">
        <v>10768</v>
      </c>
      <c r="L270" s="42">
        <v>35000000</v>
      </c>
      <c r="O270" s="151" t="s">
        <v>1849</v>
      </c>
      <c r="P270" s="5" t="str">
        <f t="shared" si="8"/>
        <v>A746</v>
      </c>
      <c r="Q270" s="5">
        <f t="shared" si="9"/>
        <v>1</v>
      </c>
      <c r="R270">
        <f>VLOOKUP(O270,'Data Angt'!$A$5:$F$5810,6,FALSE)</f>
        <v>56</v>
      </c>
      <c r="S270" s="5" t="str">
        <f>VLOOKUP(O270,'Data Angt'!$A$5:$H$5810,8,FALSE)</f>
        <v>Mengurus Rumah Tangga</v>
      </c>
      <c r="T270" s="44" t="str">
        <f>VLOOKUP(O270,'Data Angt'!$A$5:$C$5809,3,FALSE)</f>
        <v>BWI</v>
      </c>
    </row>
    <row r="271" spans="1:20" x14ac:dyDescent="0.3">
      <c r="A271" s="37">
        <v>156329</v>
      </c>
      <c r="B271" s="38">
        <v>265</v>
      </c>
      <c r="C271" s="39" t="s">
        <v>615</v>
      </c>
      <c r="D271" s="10" t="str">
        <f>VLOOKUP(C271,'Data Angt'!$A$5:$B$5809,2,FALSE)</f>
        <v>A224</v>
      </c>
      <c r="E271" s="40" t="s">
        <v>18445</v>
      </c>
      <c r="F271" s="41">
        <v>45820</v>
      </c>
      <c r="G271" s="38">
        <v>12</v>
      </c>
      <c r="H271" s="40">
        <v>0</v>
      </c>
      <c r="I271" s="38">
        <v>5.5</v>
      </c>
      <c r="J271" s="41">
        <v>45820</v>
      </c>
      <c r="K271" s="38" t="s">
        <v>10768</v>
      </c>
      <c r="L271" s="42">
        <v>50000000</v>
      </c>
      <c r="O271" s="151" t="s">
        <v>1851</v>
      </c>
      <c r="P271" s="5" t="str">
        <f t="shared" si="8"/>
        <v>A747</v>
      </c>
      <c r="Q271" s="5">
        <f t="shared" si="9"/>
        <v>2</v>
      </c>
      <c r="R271">
        <f>VLOOKUP(O271,'Data Angt'!$A$5:$F$5810,6,FALSE)</f>
        <v>58</v>
      </c>
      <c r="S271" s="5" t="str">
        <f>VLOOKUP(O271,'Data Angt'!$A$5:$H$5810,8,FALSE)</f>
        <v>Aparatur/Pejabat Negara</v>
      </c>
      <c r="T271" s="44" t="str">
        <f>VLOOKUP(O271,'Data Angt'!$A$5:$C$5809,3,FALSE)</f>
        <v>BWI</v>
      </c>
    </row>
    <row r="272" spans="1:20" x14ac:dyDescent="0.3">
      <c r="A272" s="37">
        <v>156331</v>
      </c>
      <c r="B272" s="38">
        <v>266</v>
      </c>
      <c r="C272" s="39" t="s">
        <v>615</v>
      </c>
      <c r="D272" s="10" t="str">
        <f>VLOOKUP(C272,'Data Angt'!$A$5:$B$5809,2,FALSE)</f>
        <v>A224</v>
      </c>
      <c r="E272" s="40" t="s">
        <v>18446</v>
      </c>
      <c r="F272" s="41">
        <v>45820</v>
      </c>
      <c r="G272" s="38">
        <v>12</v>
      </c>
      <c r="H272" s="40">
        <v>0</v>
      </c>
      <c r="I272" s="38">
        <v>5.5</v>
      </c>
      <c r="J272" s="41">
        <v>45820</v>
      </c>
      <c r="K272" s="38" t="s">
        <v>10768</v>
      </c>
      <c r="L272" s="42">
        <v>50000000</v>
      </c>
      <c r="O272" s="151" t="s">
        <v>1864</v>
      </c>
      <c r="P272" s="5" t="str">
        <f t="shared" si="8"/>
        <v>A751</v>
      </c>
      <c r="Q272" s="5">
        <f t="shared" si="9"/>
        <v>2</v>
      </c>
      <c r="R272">
        <f>VLOOKUP(O272,'Data Angt'!$A$5:$F$5810,6,FALSE)</f>
        <v>66</v>
      </c>
      <c r="S272" s="5" t="str">
        <f>VLOOKUP(O272,'Data Angt'!$A$5:$H$5810,8,FALSE)</f>
        <v>Pensiunan</v>
      </c>
      <c r="T272" s="44" t="str">
        <f>VLOOKUP(O272,'Data Angt'!$A$5:$C$5809,3,FALSE)</f>
        <v>BWI</v>
      </c>
    </row>
    <row r="273" spans="1:20" x14ac:dyDescent="0.3">
      <c r="A273" s="37">
        <v>79506</v>
      </c>
      <c r="B273" s="38">
        <v>267</v>
      </c>
      <c r="C273" s="39" t="s">
        <v>680</v>
      </c>
      <c r="D273" s="10" t="str">
        <f>VLOOKUP(C273,'Data Angt'!$A$5:$B$5809,2,FALSE)</f>
        <v>A251</v>
      </c>
      <c r="E273" s="40" t="s">
        <v>10969</v>
      </c>
      <c r="F273" s="41">
        <v>42789</v>
      </c>
      <c r="G273" s="38">
        <v>12</v>
      </c>
      <c r="H273" s="40">
        <v>0</v>
      </c>
      <c r="I273" s="38">
        <v>5.5</v>
      </c>
      <c r="J273" s="41">
        <v>42789</v>
      </c>
      <c r="K273" s="38" t="s">
        <v>10768</v>
      </c>
      <c r="L273" s="42">
        <v>10000000</v>
      </c>
      <c r="O273" s="151" t="s">
        <v>2023</v>
      </c>
      <c r="P273" s="5" t="str">
        <f t="shared" si="8"/>
        <v>A830</v>
      </c>
      <c r="Q273" s="5">
        <f t="shared" si="9"/>
        <v>1</v>
      </c>
      <c r="R273">
        <f>VLOOKUP(O273,'Data Angt'!$A$5:$F$5810,6,FALSE)</f>
        <v>82</v>
      </c>
      <c r="S273" s="5" t="str">
        <f>VLOOKUP(O273,'Data Angt'!$A$5:$H$5810,8,FALSE)</f>
        <v>Pensiunan</v>
      </c>
      <c r="T273" s="44" t="str">
        <f>VLOOKUP(O273,'Data Angt'!$A$5:$C$5809,3,FALSE)</f>
        <v>BWI</v>
      </c>
    </row>
    <row r="274" spans="1:20" x14ac:dyDescent="0.3">
      <c r="A274" s="37">
        <v>109591</v>
      </c>
      <c r="B274" s="38">
        <v>268</v>
      </c>
      <c r="C274" s="39" t="s">
        <v>680</v>
      </c>
      <c r="D274" s="10" t="str">
        <f>VLOOKUP(C274,'Data Angt'!$A$5:$B$5809,2,FALSE)</f>
        <v>A251</v>
      </c>
      <c r="E274" s="40" t="s">
        <v>10970</v>
      </c>
      <c r="F274" s="41">
        <v>43525</v>
      </c>
      <c r="G274" s="38">
        <v>12</v>
      </c>
      <c r="H274" s="40">
        <v>0</v>
      </c>
      <c r="I274" s="38">
        <v>5.5</v>
      </c>
      <c r="J274" s="41">
        <v>43525</v>
      </c>
      <c r="K274" s="38" t="s">
        <v>10768</v>
      </c>
      <c r="L274" s="42">
        <v>10000000</v>
      </c>
      <c r="O274" s="151" t="s">
        <v>2505</v>
      </c>
      <c r="P274" s="5" t="str">
        <f t="shared" si="8"/>
        <v>A1044</v>
      </c>
      <c r="Q274" s="5">
        <f t="shared" si="9"/>
        <v>2</v>
      </c>
      <c r="R274">
        <f>VLOOKUP(O274,'Data Angt'!$A$5:$F$5810,6,FALSE)</f>
        <v>72</v>
      </c>
      <c r="S274" s="5" t="str">
        <f>VLOOKUP(O274,'Data Angt'!$A$5:$H$5810,8,FALSE)</f>
        <v>Mengurus Rumah Tangga</v>
      </c>
      <c r="T274" s="44" t="str">
        <f>VLOOKUP(O274,'Data Angt'!$A$5:$C$5809,3,FALSE)</f>
        <v>BWI</v>
      </c>
    </row>
    <row r="275" spans="1:20" x14ac:dyDescent="0.3">
      <c r="A275" s="37">
        <v>147825</v>
      </c>
      <c r="B275" s="38">
        <v>269</v>
      </c>
      <c r="C275" s="39" t="s">
        <v>680</v>
      </c>
      <c r="D275" s="10" t="str">
        <f>VLOOKUP(C275,'Data Angt'!$A$5:$B$5809,2,FALSE)</f>
        <v>A251</v>
      </c>
      <c r="E275" s="40" t="s">
        <v>18460</v>
      </c>
      <c r="F275" s="41">
        <v>45505</v>
      </c>
      <c r="G275" s="38">
        <v>12</v>
      </c>
      <c r="H275" s="40">
        <v>0</v>
      </c>
      <c r="I275" s="38">
        <v>5.5</v>
      </c>
      <c r="J275" s="41">
        <v>45505</v>
      </c>
      <c r="K275" s="38" t="s">
        <v>10768</v>
      </c>
      <c r="L275" s="42">
        <v>20000000</v>
      </c>
      <c r="O275" s="151" t="s">
        <v>2861</v>
      </c>
      <c r="P275" s="5" t="str">
        <f t="shared" si="8"/>
        <v>A1207</v>
      </c>
      <c r="Q275" s="5">
        <f t="shared" si="9"/>
        <v>2</v>
      </c>
      <c r="R275">
        <f>VLOOKUP(O275,'Data Angt'!$A$5:$F$5810,6,FALSE)</f>
        <v>73</v>
      </c>
      <c r="S275" s="5" t="str">
        <f>VLOOKUP(O275,'Data Angt'!$A$5:$H$5810,8,FALSE)</f>
        <v>Pensiunan</v>
      </c>
      <c r="T275" s="44" t="str">
        <f>VLOOKUP(O275,'Data Angt'!$A$5:$C$5809,3,FALSE)</f>
        <v>BWI</v>
      </c>
    </row>
    <row r="276" spans="1:20" x14ac:dyDescent="0.3">
      <c r="A276" s="37">
        <v>158277</v>
      </c>
      <c r="B276" s="38">
        <v>270</v>
      </c>
      <c r="C276" s="39" t="s">
        <v>680</v>
      </c>
      <c r="D276" s="10" t="str">
        <f>VLOOKUP(C276,'Data Angt'!$A$5:$B$5809,2,FALSE)</f>
        <v>A251</v>
      </c>
      <c r="E276" s="40" t="s">
        <v>24132</v>
      </c>
      <c r="F276" s="41">
        <v>45901</v>
      </c>
      <c r="G276" s="38">
        <v>12</v>
      </c>
      <c r="H276" s="40">
        <v>0</v>
      </c>
      <c r="I276" s="38">
        <v>5.5</v>
      </c>
      <c r="J276" s="41">
        <v>45901</v>
      </c>
      <c r="K276" s="38" t="s">
        <v>10768</v>
      </c>
      <c r="L276" s="42">
        <v>10000000</v>
      </c>
      <c r="O276" s="151" t="s">
        <v>3051</v>
      </c>
      <c r="P276" s="5" t="str">
        <f t="shared" si="8"/>
        <v>A1291</v>
      </c>
      <c r="Q276" s="5">
        <f t="shared" si="9"/>
        <v>1</v>
      </c>
      <c r="R276">
        <f>VLOOKUP(O276,'Data Angt'!$A$5:$F$5810,6,FALSE)</f>
        <v>40</v>
      </c>
      <c r="S276" s="5" t="str">
        <f>VLOOKUP(O276,'Data Angt'!$A$5:$H$5810,8,FALSE)</f>
        <v>Karyawan</v>
      </c>
      <c r="T276" s="44" t="str">
        <f>VLOOKUP(O276,'Data Angt'!$A$5:$C$5809,3,FALSE)</f>
        <v>BWI</v>
      </c>
    </row>
    <row r="277" spans="1:20" x14ac:dyDescent="0.3">
      <c r="A277" s="37">
        <v>111107</v>
      </c>
      <c r="B277" s="38">
        <v>271</v>
      </c>
      <c r="C277" s="39" t="s">
        <v>680</v>
      </c>
      <c r="D277" s="10" t="str">
        <f>VLOOKUP(C277,'Data Angt'!$A$5:$B$5809,2,FALSE)</f>
        <v>A251</v>
      </c>
      <c r="E277" s="40" t="s">
        <v>10972</v>
      </c>
      <c r="F277" s="41">
        <v>43556</v>
      </c>
      <c r="G277" s="38">
        <v>12</v>
      </c>
      <c r="H277" s="40">
        <v>0</v>
      </c>
      <c r="I277" s="38">
        <v>5.5</v>
      </c>
      <c r="J277" s="41">
        <v>43556</v>
      </c>
      <c r="K277" s="38" t="s">
        <v>10768</v>
      </c>
      <c r="L277" s="42">
        <v>10000000</v>
      </c>
      <c r="O277" s="151" t="s">
        <v>4256</v>
      </c>
      <c r="P277" s="5" t="str">
        <f t="shared" si="8"/>
        <v>A1844</v>
      </c>
      <c r="Q277" s="5">
        <f t="shared" si="9"/>
        <v>1</v>
      </c>
      <c r="R277">
        <f>VLOOKUP(O277,'Data Angt'!$A$5:$F$5810,6,FALSE)</f>
        <v>35</v>
      </c>
      <c r="S277" s="5" t="str">
        <f>VLOOKUP(O277,'Data Angt'!$A$5:$H$5810,8,FALSE)</f>
        <v>Karyawan</v>
      </c>
      <c r="T277" s="44" t="str">
        <f>VLOOKUP(O277,'Data Angt'!$A$5:$C$5809,3,FALSE)</f>
        <v>BWI</v>
      </c>
    </row>
    <row r="278" spans="1:20" x14ac:dyDescent="0.3">
      <c r="A278" s="37">
        <v>133906</v>
      </c>
      <c r="B278" s="38">
        <v>272</v>
      </c>
      <c r="C278" s="39" t="s">
        <v>680</v>
      </c>
      <c r="D278" s="10" t="str">
        <f>VLOOKUP(C278,'Data Angt'!$A$5:$B$5809,2,FALSE)</f>
        <v>A251</v>
      </c>
      <c r="E278" s="40" t="s">
        <v>10971</v>
      </c>
      <c r="F278" s="41">
        <v>44777</v>
      </c>
      <c r="G278" s="38">
        <v>12</v>
      </c>
      <c r="H278" s="40">
        <v>0</v>
      </c>
      <c r="I278" s="38">
        <v>5.5</v>
      </c>
      <c r="J278" s="41">
        <v>44777</v>
      </c>
      <c r="K278" s="38" t="s">
        <v>10768</v>
      </c>
      <c r="L278" s="42">
        <v>10000000</v>
      </c>
      <c r="O278" s="151" t="s">
        <v>4531</v>
      </c>
      <c r="P278" s="5" t="str">
        <f t="shared" si="8"/>
        <v>A1973</v>
      </c>
      <c r="Q278" s="5">
        <f t="shared" si="9"/>
        <v>1</v>
      </c>
      <c r="R278">
        <f>VLOOKUP(O278,'Data Angt'!$A$5:$F$5810,6,FALSE)</f>
        <v>73</v>
      </c>
      <c r="S278" s="5" t="str">
        <f>VLOOKUP(O278,'Data Angt'!$A$5:$H$5810,8,FALSE)</f>
        <v>Pensiunan</v>
      </c>
      <c r="T278" s="44" t="str">
        <f>VLOOKUP(O278,'Data Angt'!$A$5:$C$5809,3,FALSE)</f>
        <v>BWI</v>
      </c>
    </row>
    <row r="279" spans="1:20" x14ac:dyDescent="0.3">
      <c r="A279" s="37">
        <v>148789</v>
      </c>
      <c r="B279" s="38">
        <v>273</v>
      </c>
      <c r="C279" s="39" t="s">
        <v>680</v>
      </c>
      <c r="D279" s="10" t="str">
        <f>VLOOKUP(C279,'Data Angt'!$A$5:$B$5809,2,FALSE)</f>
        <v>A251</v>
      </c>
      <c r="E279" s="40" t="s">
        <v>18461</v>
      </c>
      <c r="F279" s="41">
        <v>45537</v>
      </c>
      <c r="G279" s="38">
        <v>12</v>
      </c>
      <c r="H279" s="40">
        <v>0</v>
      </c>
      <c r="I279" s="38">
        <v>5.5</v>
      </c>
      <c r="J279" s="41">
        <v>45537</v>
      </c>
      <c r="K279" s="38" t="s">
        <v>10768</v>
      </c>
      <c r="L279" s="42">
        <v>12000000</v>
      </c>
      <c r="O279" s="151" t="s">
        <v>6656</v>
      </c>
      <c r="P279" s="5" t="str">
        <f t="shared" si="8"/>
        <v>A2956</v>
      </c>
      <c r="Q279" s="5">
        <f t="shared" si="9"/>
        <v>1</v>
      </c>
      <c r="R279">
        <f>VLOOKUP(O279,'Data Angt'!$A$5:$F$5810,6,FALSE)</f>
        <v>43</v>
      </c>
      <c r="S279" s="5" t="str">
        <f>VLOOKUP(O279,'Data Angt'!$A$5:$H$5810,8,FALSE)</f>
        <v>Karyawan</v>
      </c>
      <c r="T279" s="44" t="str">
        <f>VLOOKUP(O279,'Data Angt'!$A$5:$C$5809,3,FALSE)</f>
        <v>BWI</v>
      </c>
    </row>
    <row r="280" spans="1:20" x14ac:dyDescent="0.3">
      <c r="A280" s="37">
        <v>88124</v>
      </c>
      <c r="B280" s="38">
        <v>274</v>
      </c>
      <c r="C280" s="39" t="s">
        <v>680</v>
      </c>
      <c r="D280" s="10" t="str">
        <f>VLOOKUP(C280,'Data Angt'!$A$5:$B$5809,2,FALSE)</f>
        <v>A251</v>
      </c>
      <c r="E280" s="40" t="s">
        <v>10963</v>
      </c>
      <c r="F280" s="41">
        <v>43314</v>
      </c>
      <c r="G280" s="38">
        <v>12</v>
      </c>
      <c r="H280" s="40">
        <v>0</v>
      </c>
      <c r="I280" s="38">
        <v>5.5</v>
      </c>
      <c r="J280" s="41">
        <v>43314</v>
      </c>
      <c r="K280" s="38" t="s">
        <v>10768</v>
      </c>
      <c r="L280" s="42">
        <v>20000000</v>
      </c>
      <c r="O280" s="151" t="s">
        <v>6938</v>
      </c>
      <c r="P280" s="5" t="str">
        <f t="shared" si="8"/>
        <v>A3102</v>
      </c>
      <c r="Q280" s="5">
        <f t="shared" si="9"/>
        <v>1</v>
      </c>
      <c r="R280">
        <f>VLOOKUP(O280,'Data Angt'!$A$5:$F$5810,6,FALSE)</f>
        <v>34</v>
      </c>
      <c r="S280" s="5" t="str">
        <f>VLOOKUP(O280,'Data Angt'!$A$5:$H$5810,8,FALSE)</f>
        <v>Karyawan</v>
      </c>
      <c r="T280" s="44" t="str">
        <f>VLOOKUP(O280,'Data Angt'!$A$5:$C$5809,3,FALSE)</f>
        <v>BWI</v>
      </c>
    </row>
    <row r="281" spans="1:20" x14ac:dyDescent="0.3">
      <c r="A281" s="37">
        <v>111912</v>
      </c>
      <c r="B281" s="38">
        <v>275</v>
      </c>
      <c r="C281" s="39" t="s">
        <v>680</v>
      </c>
      <c r="D281" s="10" t="str">
        <f>VLOOKUP(C281,'Data Angt'!$A$5:$B$5809,2,FALSE)</f>
        <v>A251</v>
      </c>
      <c r="E281" s="40" t="s">
        <v>10973</v>
      </c>
      <c r="F281" s="41">
        <v>43588</v>
      </c>
      <c r="G281" s="38">
        <v>12</v>
      </c>
      <c r="H281" s="40">
        <v>0</v>
      </c>
      <c r="I281" s="38">
        <v>5.5</v>
      </c>
      <c r="J281" s="41">
        <v>43588</v>
      </c>
      <c r="K281" s="38" t="s">
        <v>10768</v>
      </c>
      <c r="L281" s="42">
        <v>20000000</v>
      </c>
      <c r="O281" s="151" t="s">
        <v>6940</v>
      </c>
      <c r="P281" s="5" t="str">
        <f t="shared" si="8"/>
        <v>A3103</v>
      </c>
      <c r="Q281" s="5">
        <f t="shared" si="9"/>
        <v>2</v>
      </c>
      <c r="R281">
        <f>VLOOKUP(O281,'Data Angt'!$A$5:$F$5810,6,FALSE)</f>
        <v>71</v>
      </c>
      <c r="S281" s="5" t="str">
        <f>VLOOKUP(O281,'Data Angt'!$A$5:$H$5810,8,FALSE)</f>
        <v>Aparatur/Pejabat Negara</v>
      </c>
      <c r="T281" s="44" t="str">
        <f>VLOOKUP(O281,'Data Angt'!$A$5:$C$5809,3,FALSE)</f>
        <v>BWI</v>
      </c>
    </row>
    <row r="282" spans="1:20" x14ac:dyDescent="0.3">
      <c r="A282" s="37">
        <v>126073</v>
      </c>
      <c r="B282" s="38">
        <v>276</v>
      </c>
      <c r="C282" s="39" t="s">
        <v>680</v>
      </c>
      <c r="D282" s="10" t="str">
        <f>VLOOKUP(C282,'Data Angt'!$A$5:$B$5809,2,FALSE)</f>
        <v>A251</v>
      </c>
      <c r="E282" s="40" t="s">
        <v>10974</v>
      </c>
      <c r="F282" s="41">
        <v>44175</v>
      </c>
      <c r="G282" s="38">
        <v>12</v>
      </c>
      <c r="H282" s="40">
        <v>0</v>
      </c>
      <c r="I282" s="38">
        <v>5.5</v>
      </c>
      <c r="J282" s="41">
        <v>44175</v>
      </c>
      <c r="K282" s="38" t="s">
        <v>10768</v>
      </c>
      <c r="L282" s="42">
        <v>10000000</v>
      </c>
      <c r="O282" s="151" t="s">
        <v>9557</v>
      </c>
      <c r="P282" s="5" t="str">
        <f t="shared" si="8"/>
        <v>A4343</v>
      </c>
      <c r="Q282" s="5">
        <f t="shared" si="9"/>
        <v>1</v>
      </c>
      <c r="R282">
        <f>VLOOKUP(O282,'Data Angt'!$A$5:$F$5810,6,FALSE)</f>
        <v>27</v>
      </c>
      <c r="S282" s="5" t="str">
        <f>VLOOKUP(O282,'Data Angt'!$A$5:$H$5810,8,FALSE)</f>
        <v>Karyawan</v>
      </c>
      <c r="T282" s="44" t="str">
        <f>VLOOKUP(O282,'Data Angt'!$A$5:$C$5809,3,FALSE)</f>
        <v>BWI</v>
      </c>
    </row>
    <row r="283" spans="1:20" x14ac:dyDescent="0.3">
      <c r="A283" s="37">
        <v>148791</v>
      </c>
      <c r="B283" s="38">
        <v>277</v>
      </c>
      <c r="C283" s="39" t="s">
        <v>680</v>
      </c>
      <c r="D283" s="10" t="str">
        <f>VLOOKUP(C283,'Data Angt'!$A$5:$B$5809,2,FALSE)</f>
        <v>A251</v>
      </c>
      <c r="E283" s="40" t="s">
        <v>18462</v>
      </c>
      <c r="F283" s="41">
        <v>45537</v>
      </c>
      <c r="G283" s="38">
        <v>12</v>
      </c>
      <c r="H283" s="40">
        <v>0</v>
      </c>
      <c r="I283" s="38">
        <v>5.5</v>
      </c>
      <c r="J283" s="41">
        <v>45537</v>
      </c>
      <c r="K283" s="38" t="s">
        <v>10768</v>
      </c>
      <c r="L283" s="42">
        <v>18000000</v>
      </c>
      <c r="O283" s="151" t="s">
        <v>14214</v>
      </c>
      <c r="P283" s="5" t="str">
        <f t="shared" si="8"/>
        <v>A5142</v>
      </c>
      <c r="Q283" s="5">
        <f t="shared" si="9"/>
        <v>2</v>
      </c>
      <c r="R283">
        <f>VLOOKUP(O283,'Data Angt'!$A$5:$F$5810,6,FALSE)</f>
        <v>41</v>
      </c>
      <c r="S283" s="5" t="str">
        <f>VLOOKUP(O283,'Data Angt'!$A$5:$H$5810,8,FALSE)</f>
        <v>Karyawan</v>
      </c>
      <c r="T283" s="44" t="str">
        <f>VLOOKUP(O283,'Data Angt'!$A$5:$C$5809,3,FALSE)</f>
        <v>BWI</v>
      </c>
    </row>
    <row r="284" spans="1:20" x14ac:dyDescent="0.3">
      <c r="A284" s="37">
        <v>111914</v>
      </c>
      <c r="B284" s="38">
        <v>278</v>
      </c>
      <c r="C284" s="39" t="s">
        <v>680</v>
      </c>
      <c r="D284" s="10" t="str">
        <f>VLOOKUP(C284,'Data Angt'!$A$5:$B$5809,2,FALSE)</f>
        <v>A251</v>
      </c>
      <c r="E284" s="40" t="s">
        <v>10975</v>
      </c>
      <c r="F284" s="41">
        <v>43588</v>
      </c>
      <c r="G284" s="38">
        <v>12</v>
      </c>
      <c r="H284" s="40">
        <v>0</v>
      </c>
      <c r="I284" s="38">
        <v>5.5</v>
      </c>
      <c r="J284" s="41">
        <v>43588</v>
      </c>
      <c r="K284" s="38" t="s">
        <v>10768</v>
      </c>
      <c r="L284" s="42">
        <v>20000000</v>
      </c>
      <c r="O284" s="151" t="s">
        <v>14249</v>
      </c>
      <c r="P284" s="5" t="str">
        <f t="shared" si="8"/>
        <v>A5158</v>
      </c>
      <c r="Q284" s="5">
        <f t="shared" si="9"/>
        <v>1</v>
      </c>
      <c r="R284">
        <f>VLOOKUP(O284,'Data Angt'!$A$5:$F$5810,6,FALSE)</f>
        <v>35</v>
      </c>
      <c r="S284" s="5" t="str">
        <f>VLOOKUP(O284,'Data Angt'!$A$5:$H$5810,8,FALSE)</f>
        <v>Lain-Lain</v>
      </c>
      <c r="T284" s="44" t="str">
        <f>VLOOKUP(O284,'Data Angt'!$A$5:$C$5809,3,FALSE)</f>
        <v>BWI</v>
      </c>
    </row>
    <row r="285" spans="1:20" x14ac:dyDescent="0.3">
      <c r="A285" s="37">
        <v>148793</v>
      </c>
      <c r="B285" s="38">
        <v>279</v>
      </c>
      <c r="C285" s="39" t="s">
        <v>680</v>
      </c>
      <c r="D285" s="10" t="str">
        <f>VLOOKUP(C285,'Data Angt'!$A$5:$B$5809,2,FALSE)</f>
        <v>A251</v>
      </c>
      <c r="E285" s="40" t="s">
        <v>18463</v>
      </c>
      <c r="F285" s="41">
        <v>45537</v>
      </c>
      <c r="G285" s="38">
        <v>12</v>
      </c>
      <c r="H285" s="40">
        <v>0</v>
      </c>
      <c r="I285" s="38">
        <v>5.5</v>
      </c>
      <c r="J285" s="41">
        <v>45537</v>
      </c>
      <c r="K285" s="38" t="s">
        <v>10768</v>
      </c>
      <c r="L285" s="42">
        <v>20000000</v>
      </c>
      <c r="O285" s="151" t="s">
        <v>14824</v>
      </c>
      <c r="P285" s="5" t="str">
        <f t="shared" si="8"/>
        <v>A5379</v>
      </c>
      <c r="Q285" s="5">
        <f t="shared" si="9"/>
        <v>1</v>
      </c>
      <c r="R285">
        <f>VLOOKUP(O285,'Data Angt'!$A$5:$F$5810,6,FALSE)</f>
        <v>43</v>
      </c>
      <c r="S285" s="5" t="str">
        <f>VLOOKUP(O285,'Data Angt'!$A$5:$H$5810,8,FALSE)</f>
        <v>Aparatur/Pejabat Negara</v>
      </c>
      <c r="T285" s="44" t="str">
        <f>VLOOKUP(O285,'Data Angt'!$A$5:$C$5809,3,FALSE)</f>
        <v>BWI</v>
      </c>
    </row>
    <row r="286" spans="1:20" x14ac:dyDescent="0.3">
      <c r="A286" s="37">
        <v>112636</v>
      </c>
      <c r="B286" s="38">
        <v>280</v>
      </c>
      <c r="C286" s="39" t="s">
        <v>680</v>
      </c>
      <c r="D286" s="10" t="str">
        <f>VLOOKUP(C286,'Data Angt'!$A$5:$B$5809,2,FALSE)</f>
        <v>A251</v>
      </c>
      <c r="E286" s="40" t="s">
        <v>10976</v>
      </c>
      <c r="F286" s="41">
        <v>43626</v>
      </c>
      <c r="G286" s="38">
        <v>12</v>
      </c>
      <c r="H286" s="40">
        <v>0</v>
      </c>
      <c r="I286" s="38">
        <v>5.5</v>
      </c>
      <c r="J286" s="41">
        <v>43626</v>
      </c>
      <c r="K286" s="38" t="s">
        <v>10768</v>
      </c>
      <c r="L286" s="42">
        <v>20000000</v>
      </c>
      <c r="O286" s="151" t="s">
        <v>834</v>
      </c>
      <c r="P286" s="5" t="str">
        <f t="shared" si="8"/>
        <v>A311</v>
      </c>
      <c r="Q286" s="5">
        <f t="shared" si="9"/>
        <v>2</v>
      </c>
      <c r="R286">
        <f>VLOOKUP(O286,'Data Angt'!$A$5:$F$5810,6,FALSE)</f>
        <v>72</v>
      </c>
      <c r="S286" s="5" t="str">
        <f>VLOOKUP(O286,'Data Angt'!$A$5:$H$5810,8,FALSE)</f>
        <v>Pensiunan</v>
      </c>
      <c r="T286" s="44" t="str">
        <f>VLOOKUP(O286,'Data Angt'!$A$5:$C$5809,3,FALSE)</f>
        <v>MJK</v>
      </c>
    </row>
    <row r="287" spans="1:20" x14ac:dyDescent="0.3">
      <c r="A287" s="37">
        <v>149438</v>
      </c>
      <c r="B287" s="38">
        <v>281</v>
      </c>
      <c r="C287" s="39" t="s">
        <v>680</v>
      </c>
      <c r="D287" s="10" t="str">
        <f>VLOOKUP(C287,'Data Angt'!$A$5:$B$5809,2,FALSE)</f>
        <v>A251</v>
      </c>
      <c r="E287" s="40" t="s">
        <v>18447</v>
      </c>
      <c r="F287" s="41">
        <v>45566</v>
      </c>
      <c r="G287" s="38">
        <v>12</v>
      </c>
      <c r="H287" s="40">
        <v>0</v>
      </c>
      <c r="I287" s="38">
        <v>5.5</v>
      </c>
      <c r="J287" s="41">
        <v>45566</v>
      </c>
      <c r="K287" s="38" t="s">
        <v>10768</v>
      </c>
      <c r="L287" s="42">
        <v>12000000</v>
      </c>
      <c r="O287" s="151" t="s">
        <v>902</v>
      </c>
      <c r="P287" s="5" t="str">
        <f t="shared" si="8"/>
        <v>A343</v>
      </c>
      <c r="Q287" s="5">
        <f t="shared" si="9"/>
        <v>1</v>
      </c>
      <c r="R287">
        <f>VLOOKUP(O287,'Data Angt'!$A$5:$F$5810,6,FALSE)</f>
        <v>49</v>
      </c>
      <c r="S287" s="5" t="str">
        <f>VLOOKUP(O287,'Data Angt'!$A$5:$H$5810,8,FALSE)</f>
        <v>Tenaga Pengajar</v>
      </c>
      <c r="T287" s="44" t="str">
        <f>VLOOKUP(O287,'Data Angt'!$A$5:$C$5809,3,FALSE)</f>
        <v>MJK</v>
      </c>
    </row>
    <row r="288" spans="1:20" x14ac:dyDescent="0.3">
      <c r="A288" s="37">
        <v>113530</v>
      </c>
      <c r="B288" s="38">
        <v>282</v>
      </c>
      <c r="C288" s="39" t="s">
        <v>680</v>
      </c>
      <c r="D288" s="10" t="str">
        <f>VLOOKUP(C288,'Data Angt'!$A$5:$B$5809,2,FALSE)</f>
        <v>A251</v>
      </c>
      <c r="E288" s="40" t="s">
        <v>10977</v>
      </c>
      <c r="F288" s="41">
        <v>43647</v>
      </c>
      <c r="G288" s="38">
        <v>12</v>
      </c>
      <c r="H288" s="40">
        <v>0</v>
      </c>
      <c r="I288" s="38">
        <v>5.5</v>
      </c>
      <c r="J288" s="41">
        <v>43647</v>
      </c>
      <c r="K288" s="38" t="s">
        <v>10768</v>
      </c>
      <c r="L288" s="42">
        <v>10000000</v>
      </c>
      <c r="O288" s="151" t="s">
        <v>4043</v>
      </c>
      <c r="P288" s="5" t="str">
        <f t="shared" si="8"/>
        <v>A1751</v>
      </c>
      <c r="Q288" s="5">
        <f t="shared" si="9"/>
        <v>3</v>
      </c>
      <c r="R288">
        <f>VLOOKUP(O288,'Data Angt'!$A$5:$F$5810,6,FALSE)</f>
        <v>18</v>
      </c>
      <c r="S288" s="5" t="str">
        <f>VLOOKUP(O288,'Data Angt'!$A$5:$H$5810,8,FALSE)</f>
        <v>Pelajar/Mahasiswa</v>
      </c>
      <c r="T288" s="44" t="str">
        <f>VLOOKUP(O288,'Data Angt'!$A$5:$C$5809,3,FALSE)</f>
        <v>MJK</v>
      </c>
    </row>
    <row r="289" spans="1:20" x14ac:dyDescent="0.3">
      <c r="A289" s="37">
        <v>149440</v>
      </c>
      <c r="B289" s="38">
        <v>283</v>
      </c>
      <c r="C289" s="39" t="s">
        <v>680</v>
      </c>
      <c r="D289" s="10" t="str">
        <f>VLOOKUP(C289,'Data Angt'!$A$5:$B$5809,2,FALSE)</f>
        <v>A251</v>
      </c>
      <c r="E289" s="40" t="s">
        <v>18448</v>
      </c>
      <c r="F289" s="41">
        <v>45566</v>
      </c>
      <c r="G289" s="38">
        <v>12</v>
      </c>
      <c r="H289" s="40">
        <v>0</v>
      </c>
      <c r="I289" s="38">
        <v>5.5</v>
      </c>
      <c r="J289" s="41">
        <v>45566</v>
      </c>
      <c r="K289" s="38" t="s">
        <v>10768</v>
      </c>
      <c r="L289" s="42">
        <v>18000000</v>
      </c>
      <c r="O289" s="151" t="s">
        <v>4265</v>
      </c>
      <c r="P289" s="5" t="str">
        <f t="shared" si="8"/>
        <v>A1848</v>
      </c>
      <c r="Q289" s="5">
        <f t="shared" si="9"/>
        <v>4</v>
      </c>
      <c r="R289">
        <f>VLOOKUP(O289,'Data Angt'!$A$5:$F$5810,6,FALSE)</f>
        <v>42</v>
      </c>
      <c r="S289" s="5" t="str">
        <f>VLOOKUP(O289,'Data Angt'!$A$5:$H$5810,8,FALSE)</f>
        <v>Karyawan</v>
      </c>
      <c r="T289" s="44" t="str">
        <f>VLOOKUP(O289,'Data Angt'!$A$5:$C$5809,3,FALSE)</f>
        <v>MJK</v>
      </c>
    </row>
    <row r="290" spans="1:20" x14ac:dyDescent="0.3">
      <c r="A290" s="37">
        <v>149442</v>
      </c>
      <c r="B290" s="38">
        <v>284</v>
      </c>
      <c r="C290" s="39" t="s">
        <v>680</v>
      </c>
      <c r="D290" s="10" t="str">
        <f>VLOOKUP(C290,'Data Angt'!$A$5:$B$5809,2,FALSE)</f>
        <v>A251</v>
      </c>
      <c r="E290" s="40" t="s">
        <v>18449</v>
      </c>
      <c r="F290" s="41">
        <v>45566</v>
      </c>
      <c r="G290" s="38">
        <v>12</v>
      </c>
      <c r="H290" s="40">
        <v>0</v>
      </c>
      <c r="I290" s="38">
        <v>5.5</v>
      </c>
      <c r="J290" s="41">
        <v>45566</v>
      </c>
      <c r="K290" s="38" t="s">
        <v>10768</v>
      </c>
      <c r="L290" s="42">
        <v>20000000</v>
      </c>
      <c r="O290" s="151" t="s">
        <v>4324</v>
      </c>
      <c r="P290" s="5" t="str">
        <f t="shared" si="8"/>
        <v>A1875</v>
      </c>
      <c r="Q290" s="5">
        <f t="shared" si="9"/>
        <v>1</v>
      </c>
      <c r="R290">
        <f>VLOOKUP(O290,'Data Angt'!$A$5:$F$5810,6,FALSE)</f>
        <v>35</v>
      </c>
      <c r="S290" s="5" t="str">
        <f>VLOOKUP(O290,'Data Angt'!$A$5:$H$5810,8,FALSE)</f>
        <v>Tenaga Medis</v>
      </c>
      <c r="T290" s="44" t="str">
        <f>VLOOKUP(O290,'Data Angt'!$A$5:$C$5809,3,FALSE)</f>
        <v>MJK</v>
      </c>
    </row>
    <row r="291" spans="1:20" x14ac:dyDescent="0.3">
      <c r="A291" s="37">
        <v>79555</v>
      </c>
      <c r="B291" s="38">
        <v>285</v>
      </c>
      <c r="C291" s="39" t="s">
        <v>680</v>
      </c>
      <c r="D291" s="10" t="str">
        <f>VLOOKUP(C291,'Data Angt'!$A$5:$B$5809,2,FALSE)</f>
        <v>A251</v>
      </c>
      <c r="E291" s="40" t="s">
        <v>10978</v>
      </c>
      <c r="F291" s="41">
        <v>43042</v>
      </c>
      <c r="G291" s="38">
        <v>12</v>
      </c>
      <c r="H291" s="40">
        <v>0</v>
      </c>
      <c r="I291" s="38">
        <v>5.5</v>
      </c>
      <c r="J291" s="41">
        <v>42805</v>
      </c>
      <c r="K291" s="38" t="s">
        <v>10768</v>
      </c>
      <c r="L291" s="42">
        <v>20000000</v>
      </c>
      <c r="O291" s="151" t="s">
        <v>4797</v>
      </c>
      <c r="P291" s="5" t="str">
        <f t="shared" si="8"/>
        <v>A2099</v>
      </c>
      <c r="Q291" s="5">
        <f t="shared" si="9"/>
        <v>9</v>
      </c>
      <c r="R291">
        <f>VLOOKUP(O291,'Data Angt'!$A$5:$F$5810,6,FALSE)</f>
        <v>75</v>
      </c>
      <c r="S291" s="5" t="str">
        <f>VLOOKUP(O291,'Data Angt'!$A$5:$H$5810,8,FALSE)</f>
        <v>Pensiunan</v>
      </c>
      <c r="T291" s="44" t="str">
        <f>VLOOKUP(O291,'Data Angt'!$A$5:$C$5809,3,FALSE)</f>
        <v>MJK</v>
      </c>
    </row>
    <row r="292" spans="1:20" x14ac:dyDescent="0.3">
      <c r="A292" s="37">
        <v>150025</v>
      </c>
      <c r="B292" s="38">
        <v>286</v>
      </c>
      <c r="C292" s="39" t="s">
        <v>680</v>
      </c>
      <c r="D292" s="10" t="str">
        <f>VLOOKUP(C292,'Data Angt'!$A$5:$B$5809,2,FALSE)</f>
        <v>A251</v>
      </c>
      <c r="E292" s="40" t="s">
        <v>18450</v>
      </c>
      <c r="F292" s="41">
        <v>45597</v>
      </c>
      <c r="G292" s="38">
        <v>12</v>
      </c>
      <c r="H292" s="40">
        <v>0</v>
      </c>
      <c r="I292" s="38">
        <v>5.5</v>
      </c>
      <c r="J292" s="41">
        <v>45597</v>
      </c>
      <c r="K292" s="38" t="s">
        <v>10768</v>
      </c>
      <c r="L292" s="42">
        <v>20000000</v>
      </c>
      <c r="O292" s="151" t="s">
        <v>4807</v>
      </c>
      <c r="P292" s="5" t="str">
        <f t="shared" si="8"/>
        <v>A2103</v>
      </c>
      <c r="Q292" s="5">
        <f t="shared" si="9"/>
        <v>10</v>
      </c>
      <c r="R292">
        <f>VLOOKUP(O292,'Data Angt'!$A$5:$F$5810,6,FALSE)</f>
        <v>47</v>
      </c>
      <c r="S292" s="5" t="str">
        <f>VLOOKUP(O292,'Data Angt'!$A$5:$H$5810,8,FALSE)</f>
        <v>Karyawan</v>
      </c>
      <c r="T292" s="44" t="str">
        <f>VLOOKUP(O292,'Data Angt'!$A$5:$C$5809,3,FALSE)</f>
        <v>MJK</v>
      </c>
    </row>
    <row r="293" spans="1:20" x14ac:dyDescent="0.3">
      <c r="A293" s="37">
        <v>79559</v>
      </c>
      <c r="B293" s="38">
        <v>287</v>
      </c>
      <c r="C293" s="39" t="s">
        <v>680</v>
      </c>
      <c r="D293" s="10" t="str">
        <f>VLOOKUP(C293,'Data Angt'!$A$5:$B$5809,2,FALSE)</f>
        <v>A251</v>
      </c>
      <c r="E293" s="40" t="s">
        <v>10980</v>
      </c>
      <c r="F293" s="41">
        <v>43073</v>
      </c>
      <c r="G293" s="38">
        <v>12</v>
      </c>
      <c r="H293" s="40">
        <v>0</v>
      </c>
      <c r="I293" s="38">
        <v>5.5</v>
      </c>
      <c r="J293" s="41">
        <v>42837</v>
      </c>
      <c r="K293" s="38" t="s">
        <v>10768</v>
      </c>
      <c r="L293" s="42">
        <v>30000000</v>
      </c>
      <c r="O293" s="151" t="s">
        <v>5030</v>
      </c>
      <c r="P293" s="5" t="str">
        <f t="shared" si="8"/>
        <v>A2205</v>
      </c>
      <c r="Q293" s="5">
        <f t="shared" si="9"/>
        <v>1</v>
      </c>
      <c r="R293">
        <f>VLOOKUP(O293,'Data Angt'!$A$5:$F$5810,6,FALSE)</f>
        <v>57</v>
      </c>
      <c r="S293" s="5" t="str">
        <f>VLOOKUP(O293,'Data Angt'!$A$5:$H$5810,8,FALSE)</f>
        <v>Wiraswasta</v>
      </c>
      <c r="T293" s="44" t="str">
        <f>VLOOKUP(O293,'Data Angt'!$A$5:$C$5809,3,FALSE)</f>
        <v>MJK</v>
      </c>
    </row>
    <row r="294" spans="1:20" x14ac:dyDescent="0.3">
      <c r="A294" s="37">
        <v>136979</v>
      </c>
      <c r="B294" s="38">
        <v>288</v>
      </c>
      <c r="C294" s="39" t="s">
        <v>680</v>
      </c>
      <c r="D294" s="10" t="str">
        <f>VLOOKUP(C294,'Data Angt'!$A$5:$B$5809,2,FALSE)</f>
        <v>A251</v>
      </c>
      <c r="E294" s="40" t="s">
        <v>10979</v>
      </c>
      <c r="F294" s="41">
        <v>45017</v>
      </c>
      <c r="G294" s="38">
        <v>12</v>
      </c>
      <c r="H294" s="40">
        <v>0</v>
      </c>
      <c r="I294" s="38">
        <v>5.5</v>
      </c>
      <c r="J294" s="41">
        <v>45017</v>
      </c>
      <c r="K294" s="38" t="s">
        <v>10768</v>
      </c>
      <c r="L294" s="42">
        <v>10000000</v>
      </c>
      <c r="O294" s="151" t="s">
        <v>5393</v>
      </c>
      <c r="P294" s="5" t="str">
        <f t="shared" si="8"/>
        <v>A2379</v>
      </c>
      <c r="Q294" s="5">
        <f t="shared" si="9"/>
        <v>7</v>
      </c>
      <c r="R294">
        <f>VLOOKUP(O294,'Data Angt'!$A$5:$F$5810,6,FALSE)</f>
        <v>53</v>
      </c>
      <c r="S294" s="5" t="str">
        <f>VLOOKUP(O294,'Data Angt'!$A$5:$H$5810,8,FALSE)</f>
        <v>Karyawan</v>
      </c>
      <c r="T294" s="44" t="str">
        <f>VLOOKUP(O294,'Data Angt'!$A$5:$C$5809,3,FALSE)</f>
        <v>MJK</v>
      </c>
    </row>
    <row r="295" spans="1:20" x14ac:dyDescent="0.3">
      <c r="A295" s="37">
        <v>79569</v>
      </c>
      <c r="B295" s="38">
        <v>289</v>
      </c>
      <c r="C295" s="39" t="s">
        <v>680</v>
      </c>
      <c r="D295" s="10" t="str">
        <f>VLOOKUP(C295,'Data Angt'!$A$5:$B$5809,2,FALSE)</f>
        <v>A251</v>
      </c>
      <c r="E295" s="40" t="s">
        <v>10982</v>
      </c>
      <c r="F295" s="41">
        <v>43105</v>
      </c>
      <c r="G295" s="38">
        <v>12</v>
      </c>
      <c r="H295" s="40">
        <v>0</v>
      </c>
      <c r="I295" s="38">
        <v>5.5</v>
      </c>
      <c r="J295" s="41">
        <v>43105</v>
      </c>
      <c r="K295" s="38" t="s">
        <v>10768</v>
      </c>
      <c r="L295" s="42">
        <v>20000000</v>
      </c>
      <c r="O295" s="151" t="s">
        <v>5466</v>
      </c>
      <c r="P295" s="5" t="str">
        <f t="shared" si="8"/>
        <v>A2413</v>
      </c>
      <c r="Q295" s="5">
        <f t="shared" si="9"/>
        <v>1</v>
      </c>
      <c r="R295">
        <f>VLOOKUP(O295,'Data Angt'!$A$5:$F$5810,6,FALSE)</f>
        <v>49</v>
      </c>
      <c r="S295" s="5" t="str">
        <f>VLOOKUP(O295,'Data Angt'!$A$5:$H$5810,8,FALSE)</f>
        <v>Wiraswasta</v>
      </c>
      <c r="T295" s="44" t="str">
        <f>VLOOKUP(O295,'Data Angt'!$A$5:$C$5809,3,FALSE)</f>
        <v>MJK</v>
      </c>
    </row>
    <row r="296" spans="1:20" x14ac:dyDescent="0.3">
      <c r="A296" s="37">
        <v>118011</v>
      </c>
      <c r="B296" s="38">
        <v>290</v>
      </c>
      <c r="C296" s="39" t="s">
        <v>680</v>
      </c>
      <c r="D296" s="10" t="str">
        <f>VLOOKUP(C296,'Data Angt'!$A$5:$B$5809,2,FALSE)</f>
        <v>A251</v>
      </c>
      <c r="E296" s="40" t="s">
        <v>10981</v>
      </c>
      <c r="F296" s="41">
        <v>43774</v>
      </c>
      <c r="G296" s="38">
        <v>12</v>
      </c>
      <c r="H296" s="40">
        <v>0</v>
      </c>
      <c r="I296" s="38">
        <v>5.5</v>
      </c>
      <c r="J296" s="41">
        <v>43774</v>
      </c>
      <c r="K296" s="38" t="s">
        <v>10768</v>
      </c>
      <c r="L296" s="42">
        <v>20000000</v>
      </c>
      <c r="O296" s="151" t="s">
        <v>6088</v>
      </c>
      <c r="P296" s="5" t="str">
        <f t="shared" si="8"/>
        <v>A2693</v>
      </c>
      <c r="Q296" s="5">
        <f t="shared" si="9"/>
        <v>3</v>
      </c>
      <c r="R296">
        <f>VLOOKUP(O296,'Data Angt'!$A$5:$F$5810,6,FALSE)</f>
        <v>53</v>
      </c>
      <c r="S296" s="5" t="str">
        <f>VLOOKUP(O296,'Data Angt'!$A$5:$H$5810,8,FALSE)</f>
        <v>Wiraswasta</v>
      </c>
      <c r="T296" s="44" t="str">
        <f>VLOOKUP(O296,'Data Angt'!$A$5:$C$5809,3,FALSE)</f>
        <v>MJK</v>
      </c>
    </row>
    <row r="297" spans="1:20" x14ac:dyDescent="0.3">
      <c r="A297" s="37">
        <v>151226</v>
      </c>
      <c r="B297" s="38">
        <v>291</v>
      </c>
      <c r="C297" s="39" t="s">
        <v>680</v>
      </c>
      <c r="D297" s="10" t="str">
        <f>VLOOKUP(C297,'Data Angt'!$A$5:$B$5809,2,FALSE)</f>
        <v>A251</v>
      </c>
      <c r="E297" s="40" t="s">
        <v>18451</v>
      </c>
      <c r="F297" s="41">
        <v>45628</v>
      </c>
      <c r="G297" s="38">
        <v>12</v>
      </c>
      <c r="H297" s="40">
        <v>0</v>
      </c>
      <c r="I297" s="38">
        <v>5.5</v>
      </c>
      <c r="J297" s="41">
        <v>45628</v>
      </c>
      <c r="K297" s="38" t="s">
        <v>10768</v>
      </c>
      <c r="L297" s="42">
        <v>20000000</v>
      </c>
      <c r="O297" s="151" t="s">
        <v>6105</v>
      </c>
      <c r="P297" s="5" t="str">
        <f t="shared" si="8"/>
        <v>A2703</v>
      </c>
      <c r="Q297" s="5">
        <f t="shared" si="9"/>
        <v>9</v>
      </c>
      <c r="R297">
        <f>VLOOKUP(O297,'Data Angt'!$A$5:$F$5810,6,FALSE)</f>
        <v>46</v>
      </c>
      <c r="S297" s="5" t="str">
        <f>VLOOKUP(O297,'Data Angt'!$A$5:$H$5810,8,FALSE)</f>
        <v>Wiraswasta</v>
      </c>
      <c r="T297" s="44" t="str">
        <f>VLOOKUP(O297,'Data Angt'!$A$5:$C$5809,3,FALSE)</f>
        <v>MJK</v>
      </c>
    </row>
    <row r="298" spans="1:20" x14ac:dyDescent="0.3">
      <c r="A298" s="37">
        <v>131298</v>
      </c>
      <c r="B298" s="38">
        <v>292</v>
      </c>
      <c r="C298" s="39" t="s">
        <v>680</v>
      </c>
      <c r="D298" s="10" t="str">
        <f>VLOOKUP(C298,'Data Angt'!$A$5:$B$5809,2,FALSE)</f>
        <v>A251</v>
      </c>
      <c r="E298" s="40" t="s">
        <v>10983</v>
      </c>
      <c r="F298" s="41">
        <v>44571</v>
      </c>
      <c r="G298" s="38">
        <v>12</v>
      </c>
      <c r="H298" s="40">
        <v>0</v>
      </c>
      <c r="I298" s="38">
        <v>5.5</v>
      </c>
      <c r="J298" s="41">
        <v>44571</v>
      </c>
      <c r="K298" s="38" t="s">
        <v>10768</v>
      </c>
      <c r="L298" s="42">
        <v>10000000</v>
      </c>
      <c r="O298" s="151" t="s">
        <v>6386</v>
      </c>
      <c r="P298" s="5" t="str">
        <f t="shared" si="8"/>
        <v>A2831</v>
      </c>
      <c r="Q298" s="5">
        <f t="shared" si="9"/>
        <v>1</v>
      </c>
      <c r="R298">
        <f>VLOOKUP(O298,'Data Angt'!$A$5:$F$5810,6,FALSE)</f>
        <v>53</v>
      </c>
      <c r="S298" s="5" t="str">
        <f>VLOOKUP(O298,'Data Angt'!$A$5:$H$5810,8,FALSE)</f>
        <v>Wiraswasta</v>
      </c>
      <c r="T298" s="44" t="str">
        <f>VLOOKUP(O298,'Data Angt'!$A$5:$C$5809,3,FALSE)</f>
        <v>MJK</v>
      </c>
    </row>
    <row r="299" spans="1:20" x14ac:dyDescent="0.3">
      <c r="A299" s="37">
        <v>151801</v>
      </c>
      <c r="B299" s="38">
        <v>293</v>
      </c>
      <c r="C299" s="39" t="s">
        <v>680</v>
      </c>
      <c r="D299" s="10" t="str">
        <f>VLOOKUP(C299,'Data Angt'!$A$5:$B$5809,2,FALSE)</f>
        <v>A251</v>
      </c>
      <c r="E299" s="40" t="s">
        <v>18452</v>
      </c>
      <c r="F299" s="41">
        <v>45663</v>
      </c>
      <c r="G299" s="38">
        <v>12</v>
      </c>
      <c r="H299" s="40">
        <v>0</v>
      </c>
      <c r="I299" s="38">
        <v>5.5</v>
      </c>
      <c r="J299" s="41">
        <v>45663</v>
      </c>
      <c r="K299" s="38" t="s">
        <v>10768</v>
      </c>
      <c r="L299" s="42">
        <v>20000000</v>
      </c>
      <c r="O299" s="151" t="s">
        <v>7593</v>
      </c>
      <c r="P299" s="5" t="str">
        <f t="shared" si="8"/>
        <v>A3401</v>
      </c>
      <c r="Q299" s="5">
        <f t="shared" si="9"/>
        <v>1</v>
      </c>
      <c r="R299">
        <f>VLOOKUP(O299,'Data Angt'!$A$5:$F$5810,6,FALSE)</f>
        <v>34</v>
      </c>
      <c r="S299" s="5" t="str">
        <f>VLOOKUP(O299,'Data Angt'!$A$5:$H$5810,8,FALSE)</f>
        <v>Karyawan</v>
      </c>
      <c r="T299" s="44" t="str">
        <f>VLOOKUP(O299,'Data Angt'!$A$5:$C$5809,3,FALSE)</f>
        <v>MJK</v>
      </c>
    </row>
    <row r="300" spans="1:20" x14ac:dyDescent="0.3">
      <c r="A300" s="37">
        <v>81365</v>
      </c>
      <c r="B300" s="38">
        <v>294</v>
      </c>
      <c r="C300" s="39" t="s">
        <v>680</v>
      </c>
      <c r="D300" s="10" t="str">
        <f>VLOOKUP(C300,'Data Angt'!$A$5:$B$5809,2,FALSE)</f>
        <v>A251</v>
      </c>
      <c r="E300" s="40" t="s">
        <v>10962</v>
      </c>
      <c r="F300" s="41">
        <v>43165</v>
      </c>
      <c r="G300" s="38">
        <v>12</v>
      </c>
      <c r="H300" s="40">
        <v>0</v>
      </c>
      <c r="I300" s="38">
        <v>5.5</v>
      </c>
      <c r="J300" s="41">
        <v>43165</v>
      </c>
      <c r="K300" s="38" t="s">
        <v>10768</v>
      </c>
      <c r="L300" s="42">
        <v>20000000</v>
      </c>
      <c r="O300" s="151" t="s">
        <v>12631</v>
      </c>
      <c r="P300" s="5" t="str">
        <f t="shared" si="8"/>
        <v>A4368</v>
      </c>
      <c r="Q300" s="5">
        <f t="shared" si="9"/>
        <v>2</v>
      </c>
      <c r="R300">
        <f>VLOOKUP(O300,'Data Angt'!$A$5:$F$5810,6,FALSE)</f>
        <v>21</v>
      </c>
      <c r="S300" s="5" t="str">
        <f>VLOOKUP(O300,'Data Angt'!$A$5:$H$5810,8,FALSE)</f>
        <v>Pelajar/Mahasiswa</v>
      </c>
      <c r="T300" s="44" t="str">
        <f>VLOOKUP(O300,'Data Angt'!$A$5:$C$5809,3,FALSE)</f>
        <v>MJK</v>
      </c>
    </row>
    <row r="301" spans="1:20" x14ac:dyDescent="0.3">
      <c r="A301" s="37">
        <v>121389</v>
      </c>
      <c r="B301" s="38">
        <v>295</v>
      </c>
      <c r="C301" s="39" t="s">
        <v>680</v>
      </c>
      <c r="D301" s="10" t="str">
        <f>VLOOKUP(C301,'Data Angt'!$A$5:$B$5809,2,FALSE)</f>
        <v>A251</v>
      </c>
      <c r="E301" s="40" t="s">
        <v>10960</v>
      </c>
      <c r="F301" s="41">
        <v>43893</v>
      </c>
      <c r="G301" s="38">
        <v>12</v>
      </c>
      <c r="H301" s="40">
        <v>0</v>
      </c>
      <c r="I301" s="38">
        <v>5.5</v>
      </c>
      <c r="J301" s="41">
        <v>43893</v>
      </c>
      <c r="K301" s="38" t="s">
        <v>10768</v>
      </c>
      <c r="L301" s="42">
        <v>10000000</v>
      </c>
      <c r="O301" s="151" t="s">
        <v>13802</v>
      </c>
      <c r="P301" s="5" t="str">
        <f t="shared" si="8"/>
        <v>A4952</v>
      </c>
      <c r="Q301" s="5">
        <f t="shared" si="9"/>
        <v>2</v>
      </c>
      <c r="R301">
        <f>VLOOKUP(O301,'Data Angt'!$A$5:$F$5810,6,FALSE)</f>
        <v>55</v>
      </c>
      <c r="S301" s="5" t="str">
        <f>VLOOKUP(O301,'Data Angt'!$A$5:$H$5810,8,FALSE)</f>
        <v>Wiraswasta</v>
      </c>
      <c r="T301" s="44" t="str">
        <f>VLOOKUP(O301,'Data Angt'!$A$5:$C$5809,3,FALSE)</f>
        <v>MJK</v>
      </c>
    </row>
    <row r="302" spans="1:20" x14ac:dyDescent="0.3">
      <c r="A302" s="37">
        <v>131685</v>
      </c>
      <c r="B302" s="38">
        <v>296</v>
      </c>
      <c r="C302" s="39" t="s">
        <v>680</v>
      </c>
      <c r="D302" s="10" t="str">
        <f>VLOOKUP(C302,'Data Angt'!$A$5:$B$5809,2,FALSE)</f>
        <v>A251</v>
      </c>
      <c r="E302" s="40" t="s">
        <v>10961</v>
      </c>
      <c r="F302" s="41">
        <v>44597</v>
      </c>
      <c r="G302" s="38">
        <v>12</v>
      </c>
      <c r="H302" s="40">
        <v>0</v>
      </c>
      <c r="I302" s="38">
        <v>5.5</v>
      </c>
      <c r="J302" s="41">
        <v>44597</v>
      </c>
      <c r="K302" s="38" t="s">
        <v>10768</v>
      </c>
      <c r="L302" s="42">
        <v>10000000</v>
      </c>
      <c r="O302" s="151" t="s">
        <v>14192</v>
      </c>
      <c r="P302" s="5" t="str">
        <f t="shared" si="8"/>
        <v>A5132</v>
      </c>
      <c r="Q302" s="5">
        <f t="shared" si="9"/>
        <v>1</v>
      </c>
      <c r="R302">
        <f>VLOOKUP(O302,'Data Angt'!$A$5:$F$5810,6,FALSE)</f>
        <v>64</v>
      </c>
      <c r="S302" s="5" t="str">
        <f>VLOOKUP(O302,'Data Angt'!$A$5:$H$5810,8,FALSE)</f>
        <v>Mengurus Rumah Tangga</v>
      </c>
      <c r="T302" s="44" t="str">
        <f>VLOOKUP(O302,'Data Angt'!$A$5:$C$5809,3,FALSE)</f>
        <v>MJK</v>
      </c>
    </row>
    <row r="303" spans="1:20" x14ac:dyDescent="0.3">
      <c r="A303" s="37">
        <v>153333</v>
      </c>
      <c r="B303" s="38">
        <v>297</v>
      </c>
      <c r="C303" s="39" t="s">
        <v>680</v>
      </c>
      <c r="D303" s="10" t="str">
        <f>VLOOKUP(C303,'Data Angt'!$A$5:$B$5809,2,FALSE)</f>
        <v>A251</v>
      </c>
      <c r="E303" s="40" t="s">
        <v>18453</v>
      </c>
      <c r="F303" s="41">
        <v>45702</v>
      </c>
      <c r="G303" s="38">
        <v>12</v>
      </c>
      <c r="H303" s="40">
        <v>0</v>
      </c>
      <c r="I303" s="38">
        <v>5.5</v>
      </c>
      <c r="J303" s="41">
        <v>45702</v>
      </c>
      <c r="K303" s="38" t="s">
        <v>10768</v>
      </c>
      <c r="L303" s="42">
        <v>20000000</v>
      </c>
      <c r="O303" s="151" t="s">
        <v>19144</v>
      </c>
      <c r="P303" s="5" t="str">
        <f t="shared" si="8"/>
        <v>A5739</v>
      </c>
      <c r="Q303" s="5">
        <f t="shared" si="9"/>
        <v>1</v>
      </c>
      <c r="R303">
        <f>VLOOKUP(O303,'Data Angt'!$A$5:$F$5810,6,FALSE)</f>
        <v>71</v>
      </c>
      <c r="S303" s="5" t="str">
        <f>VLOOKUP(O303,'Data Angt'!$A$5:$H$5810,8,FALSE)</f>
        <v>Wiraswasta</v>
      </c>
      <c r="T303" s="44" t="str">
        <f>VLOOKUP(O303,'Data Angt'!$A$5:$C$5809,3,FALSE)</f>
        <v>MJK</v>
      </c>
    </row>
    <row r="304" spans="1:20" x14ac:dyDescent="0.3">
      <c r="A304" s="37">
        <v>81599</v>
      </c>
      <c r="B304" s="38">
        <v>298</v>
      </c>
      <c r="C304" s="39" t="s">
        <v>680</v>
      </c>
      <c r="D304" s="10" t="str">
        <f>VLOOKUP(C304,'Data Angt'!$A$5:$B$5809,2,FALSE)</f>
        <v>A251</v>
      </c>
      <c r="E304" s="40" t="s">
        <v>10964</v>
      </c>
      <c r="F304" s="41">
        <v>43192</v>
      </c>
      <c r="G304" s="38">
        <v>12</v>
      </c>
      <c r="H304" s="40">
        <v>0</v>
      </c>
      <c r="I304" s="38">
        <v>5.5</v>
      </c>
      <c r="J304" s="41">
        <v>43192</v>
      </c>
      <c r="K304" s="38" t="s">
        <v>10768</v>
      </c>
      <c r="L304" s="42">
        <v>20000000</v>
      </c>
      <c r="O304" s="39" t="s">
        <v>215</v>
      </c>
      <c r="P304" s="5" t="str">
        <f t="shared" si="8"/>
        <v>A68</v>
      </c>
      <c r="Q304" s="5">
        <f t="shared" si="9"/>
        <v>2</v>
      </c>
      <c r="R304">
        <f>VLOOKUP(O304,'Data Angt'!$A$5:$F$5810,6,FALSE)</f>
        <v>62</v>
      </c>
      <c r="S304" s="5" t="str">
        <f>VLOOKUP(O304,'Data Angt'!$A$5:$H$5810,8,FALSE)</f>
        <v>Tenaga Medis</v>
      </c>
      <c r="T304" s="44" t="str">
        <f>VLOOKUP(O304,'Data Angt'!$A$5:$C$5809,3,FALSE)</f>
        <v>MGL</v>
      </c>
    </row>
    <row r="305" spans="1:20" x14ac:dyDescent="0.3">
      <c r="A305" s="37">
        <v>143038</v>
      </c>
      <c r="B305" s="38">
        <v>299</v>
      </c>
      <c r="C305" s="39" t="s">
        <v>680</v>
      </c>
      <c r="D305" s="10" t="str">
        <f>VLOOKUP(C305,'Data Angt'!$A$5:$B$5809,2,FALSE)</f>
        <v>A251</v>
      </c>
      <c r="E305" s="40" t="s">
        <v>18454</v>
      </c>
      <c r="F305" s="41">
        <v>45352</v>
      </c>
      <c r="G305" s="38">
        <v>12</v>
      </c>
      <c r="H305" s="40">
        <v>0</v>
      </c>
      <c r="I305" s="38">
        <v>5.5</v>
      </c>
      <c r="J305" s="41">
        <v>45352</v>
      </c>
      <c r="K305" s="38" t="s">
        <v>10768</v>
      </c>
      <c r="L305" s="42">
        <v>10000000</v>
      </c>
      <c r="O305" s="151" t="s">
        <v>1365</v>
      </c>
      <c r="P305" s="5" t="str">
        <f t="shared" si="8"/>
        <v>A535</v>
      </c>
      <c r="Q305" s="5">
        <f t="shared" si="9"/>
        <v>5</v>
      </c>
      <c r="R305">
        <f>VLOOKUP(O305,'Data Angt'!$A$5:$F$5810,6,FALSE)</f>
        <v>54</v>
      </c>
      <c r="S305" s="5" t="str">
        <f>VLOOKUP(O305,'Data Angt'!$A$5:$H$5810,8,FALSE)</f>
        <v>Karyawan</v>
      </c>
      <c r="T305" s="44" t="str">
        <f>VLOOKUP(O305,'Data Angt'!$A$5:$C$5809,3,FALSE)</f>
        <v>MGL</v>
      </c>
    </row>
    <row r="306" spans="1:20" x14ac:dyDescent="0.3">
      <c r="A306" s="37">
        <v>154920</v>
      </c>
      <c r="B306" s="38">
        <v>300</v>
      </c>
      <c r="C306" s="39" t="s">
        <v>680</v>
      </c>
      <c r="D306" s="10" t="str">
        <f>VLOOKUP(C306,'Data Angt'!$A$5:$B$5809,2,FALSE)</f>
        <v>A251</v>
      </c>
      <c r="E306" s="40" t="s">
        <v>18455</v>
      </c>
      <c r="F306" s="41">
        <v>45756</v>
      </c>
      <c r="G306" s="38">
        <v>12</v>
      </c>
      <c r="H306" s="40">
        <v>0</v>
      </c>
      <c r="I306" s="38">
        <v>5.5</v>
      </c>
      <c r="J306" s="41">
        <v>45756</v>
      </c>
      <c r="K306" s="38" t="s">
        <v>10768</v>
      </c>
      <c r="L306" s="42">
        <v>10000000</v>
      </c>
      <c r="O306" s="151" t="s">
        <v>1774</v>
      </c>
      <c r="P306" s="5" t="str">
        <f t="shared" si="8"/>
        <v>A715</v>
      </c>
      <c r="Q306" s="5">
        <f t="shared" si="9"/>
        <v>1</v>
      </c>
      <c r="R306">
        <f>VLOOKUP(O306,'Data Angt'!$A$5:$F$5810,6,FALSE)</f>
        <v>18</v>
      </c>
      <c r="S306" s="5" t="str">
        <f>VLOOKUP(O306,'Data Angt'!$A$5:$H$5810,8,FALSE)</f>
        <v>Pelajar/Mahasiswa</v>
      </c>
      <c r="T306" s="44" t="str">
        <f>VLOOKUP(O306,'Data Angt'!$A$5:$C$5809,3,FALSE)</f>
        <v>MGL</v>
      </c>
    </row>
    <row r="307" spans="1:20" x14ac:dyDescent="0.3">
      <c r="A307" s="37">
        <v>87287</v>
      </c>
      <c r="B307" s="38">
        <v>301</v>
      </c>
      <c r="C307" s="39" t="s">
        <v>680</v>
      </c>
      <c r="D307" s="10" t="str">
        <f>VLOOKUP(C307,'Data Angt'!$A$5:$B$5809,2,FALSE)</f>
        <v>A251</v>
      </c>
      <c r="E307" s="40" t="s">
        <v>10966</v>
      </c>
      <c r="F307" s="41">
        <v>43287</v>
      </c>
      <c r="G307" s="38">
        <v>12</v>
      </c>
      <c r="H307" s="40">
        <v>0</v>
      </c>
      <c r="I307" s="38">
        <v>5.5</v>
      </c>
      <c r="J307" s="41">
        <v>43287</v>
      </c>
      <c r="K307" s="38" t="s">
        <v>10768</v>
      </c>
      <c r="L307" s="42">
        <v>20000000</v>
      </c>
      <c r="O307" s="151" t="s">
        <v>12174</v>
      </c>
      <c r="P307" s="5" t="str">
        <f t="shared" si="8"/>
        <v>A803</v>
      </c>
      <c r="Q307" s="5">
        <f t="shared" si="9"/>
        <v>1</v>
      </c>
      <c r="R307">
        <f>VLOOKUP(O307,'Data Angt'!$A$5:$F$5810,6,FALSE)</f>
        <v>18</v>
      </c>
      <c r="S307" s="5" t="str">
        <f>VLOOKUP(O307,'Data Angt'!$A$5:$H$5810,8,FALSE)</f>
        <v>Pelajar/Mahasiswa</v>
      </c>
      <c r="T307" s="44" t="str">
        <f>VLOOKUP(O307,'Data Angt'!$A$5:$C$5809,3,FALSE)</f>
        <v>MGL</v>
      </c>
    </row>
    <row r="308" spans="1:20" x14ac:dyDescent="0.3">
      <c r="A308" s="37">
        <v>123571</v>
      </c>
      <c r="B308" s="38">
        <v>302</v>
      </c>
      <c r="C308" s="39" t="s">
        <v>680</v>
      </c>
      <c r="D308" s="10" t="str">
        <f>VLOOKUP(C308,'Data Angt'!$A$5:$B$5809,2,FALSE)</f>
        <v>A251</v>
      </c>
      <c r="E308" s="40" t="s">
        <v>10965</v>
      </c>
      <c r="F308" s="41">
        <v>43986</v>
      </c>
      <c r="G308" s="38">
        <v>12</v>
      </c>
      <c r="H308" s="40">
        <v>0</v>
      </c>
      <c r="I308" s="38">
        <v>5.5</v>
      </c>
      <c r="J308" s="41">
        <v>43986</v>
      </c>
      <c r="K308" s="38" t="s">
        <v>10768</v>
      </c>
      <c r="L308" s="42">
        <v>20000000</v>
      </c>
      <c r="O308" s="151" t="s">
        <v>5654</v>
      </c>
      <c r="P308" s="5" t="str">
        <f t="shared" si="8"/>
        <v>A2495</v>
      </c>
      <c r="Q308" s="5">
        <f t="shared" si="9"/>
        <v>1</v>
      </c>
      <c r="R308">
        <f>VLOOKUP(O308,'Data Angt'!$A$5:$F$5810,6,FALSE)</f>
        <v>71</v>
      </c>
      <c r="S308" s="5" t="str">
        <f>VLOOKUP(O308,'Data Angt'!$A$5:$H$5810,8,FALSE)</f>
        <v>Wiraswasta</v>
      </c>
      <c r="T308" s="44" t="str">
        <f>VLOOKUP(O308,'Data Angt'!$A$5:$C$5809,3,FALSE)</f>
        <v>MGL</v>
      </c>
    </row>
    <row r="309" spans="1:20" x14ac:dyDescent="0.3">
      <c r="A309" s="37">
        <v>143040</v>
      </c>
      <c r="B309" s="38">
        <v>303</v>
      </c>
      <c r="C309" s="39" t="s">
        <v>680</v>
      </c>
      <c r="D309" s="10" t="str">
        <f>VLOOKUP(C309,'Data Angt'!$A$5:$B$5809,2,FALSE)</f>
        <v>A251</v>
      </c>
      <c r="E309" s="40" t="s">
        <v>18456</v>
      </c>
      <c r="F309" s="41">
        <v>45352</v>
      </c>
      <c r="G309" s="38">
        <v>12</v>
      </c>
      <c r="H309" s="40">
        <v>0</v>
      </c>
      <c r="I309" s="38">
        <v>5.5</v>
      </c>
      <c r="J309" s="41">
        <v>45352</v>
      </c>
      <c r="K309" s="38" t="s">
        <v>10768</v>
      </c>
      <c r="L309" s="42">
        <v>20000000</v>
      </c>
      <c r="O309" s="151" t="s">
        <v>6929</v>
      </c>
      <c r="P309" s="5" t="str">
        <f t="shared" si="8"/>
        <v>A3097</v>
      </c>
      <c r="Q309" s="5">
        <f t="shared" si="9"/>
        <v>5</v>
      </c>
      <c r="R309">
        <f>VLOOKUP(O309,'Data Angt'!$A$5:$F$5810,6,FALSE)</f>
        <v>36</v>
      </c>
      <c r="S309" s="5" t="str">
        <f>VLOOKUP(O309,'Data Angt'!$A$5:$H$5810,8,FALSE)</f>
        <v>Tenaga Medis</v>
      </c>
      <c r="T309" s="44" t="str">
        <f>VLOOKUP(O309,'Data Angt'!$A$5:$C$5809,3,FALSE)</f>
        <v>MGL</v>
      </c>
    </row>
    <row r="310" spans="1:20" x14ac:dyDescent="0.3">
      <c r="A310" s="37">
        <v>156163</v>
      </c>
      <c r="B310" s="38">
        <v>304</v>
      </c>
      <c r="C310" s="39" t="s">
        <v>680</v>
      </c>
      <c r="D310" s="10" t="str">
        <f>VLOOKUP(C310,'Data Angt'!$A$5:$B$5809,2,FALSE)</f>
        <v>A251</v>
      </c>
      <c r="E310" s="40" t="s">
        <v>18457</v>
      </c>
      <c r="F310" s="41">
        <v>45810</v>
      </c>
      <c r="G310" s="38">
        <v>12</v>
      </c>
      <c r="H310" s="40">
        <v>0</v>
      </c>
      <c r="I310" s="38">
        <v>5.5</v>
      </c>
      <c r="J310" s="41">
        <v>45810</v>
      </c>
      <c r="K310" s="38" t="s">
        <v>10768</v>
      </c>
      <c r="L310" s="42">
        <v>20000000</v>
      </c>
      <c r="O310" s="151" t="s">
        <v>7151</v>
      </c>
      <c r="P310" s="5" t="str">
        <f t="shared" si="8"/>
        <v>A3199</v>
      </c>
      <c r="Q310" s="5">
        <f t="shared" si="9"/>
        <v>3</v>
      </c>
      <c r="R310">
        <f>VLOOKUP(O310,'Data Angt'!$A$5:$F$5810,6,FALSE)</f>
        <v>48</v>
      </c>
      <c r="S310" s="5" t="str">
        <f>VLOOKUP(O310,'Data Angt'!$A$5:$H$5810,8,FALSE)</f>
        <v>Karyawan</v>
      </c>
      <c r="T310" s="44" t="str">
        <f>VLOOKUP(O310,'Data Angt'!$A$5:$C$5809,3,FALSE)</f>
        <v>MGL</v>
      </c>
    </row>
    <row r="311" spans="1:20" x14ac:dyDescent="0.3">
      <c r="A311" s="37">
        <v>124010</v>
      </c>
      <c r="B311" s="38">
        <v>305</v>
      </c>
      <c r="C311" s="39" t="s">
        <v>680</v>
      </c>
      <c r="D311" s="10" t="str">
        <f>VLOOKUP(C311,'Data Angt'!$A$5:$B$5809,2,FALSE)</f>
        <v>A251</v>
      </c>
      <c r="E311" s="40" t="s">
        <v>10967</v>
      </c>
      <c r="F311" s="41">
        <v>44015</v>
      </c>
      <c r="G311" s="38">
        <v>12</v>
      </c>
      <c r="H311" s="40">
        <v>0</v>
      </c>
      <c r="I311" s="38">
        <v>5.5</v>
      </c>
      <c r="J311" s="41">
        <v>44015</v>
      </c>
      <c r="K311" s="38" t="s">
        <v>10768</v>
      </c>
      <c r="L311" s="42">
        <v>10000000</v>
      </c>
      <c r="O311" s="151" t="s">
        <v>7154</v>
      </c>
      <c r="P311" s="5" t="str">
        <f t="shared" si="8"/>
        <v>A3200</v>
      </c>
      <c r="Q311" s="5">
        <f t="shared" si="9"/>
        <v>4</v>
      </c>
      <c r="R311">
        <f>VLOOKUP(O311,'Data Angt'!$A$5:$F$5810,6,FALSE)</f>
        <v>44</v>
      </c>
      <c r="S311" s="5" t="str">
        <f>VLOOKUP(O311,'Data Angt'!$A$5:$H$5810,8,FALSE)</f>
        <v>Karyawan</v>
      </c>
      <c r="T311" s="44" t="str">
        <f>VLOOKUP(O311,'Data Angt'!$A$5:$C$5809,3,FALSE)</f>
        <v>MGL</v>
      </c>
    </row>
    <row r="312" spans="1:20" x14ac:dyDescent="0.3">
      <c r="A312" s="37">
        <v>144065</v>
      </c>
      <c r="B312" s="38">
        <v>306</v>
      </c>
      <c r="C312" s="39" t="s">
        <v>680</v>
      </c>
      <c r="D312" s="10" t="str">
        <f>VLOOKUP(C312,'Data Angt'!$A$5:$B$5809,2,FALSE)</f>
        <v>A251</v>
      </c>
      <c r="E312" s="40" t="s">
        <v>18458</v>
      </c>
      <c r="F312" s="41">
        <v>45383</v>
      </c>
      <c r="G312" s="38">
        <v>12</v>
      </c>
      <c r="H312" s="40">
        <v>0</v>
      </c>
      <c r="I312" s="38">
        <v>5.5</v>
      </c>
      <c r="J312" s="41">
        <v>45383</v>
      </c>
      <c r="K312" s="38" t="s">
        <v>10768</v>
      </c>
      <c r="L312" s="42">
        <v>20000000</v>
      </c>
      <c r="O312" s="151" t="s">
        <v>7156</v>
      </c>
      <c r="P312" s="5" t="str">
        <f t="shared" si="8"/>
        <v>A3201</v>
      </c>
      <c r="Q312" s="5">
        <f t="shared" si="9"/>
        <v>5</v>
      </c>
      <c r="R312">
        <f>VLOOKUP(O312,'Data Angt'!$A$5:$F$5810,6,FALSE)</f>
        <v>66</v>
      </c>
      <c r="S312" s="5" t="str">
        <f>VLOOKUP(O312,'Data Angt'!$A$5:$H$5810,8,FALSE)</f>
        <v>Karyawan</v>
      </c>
      <c r="T312" s="44" t="str">
        <f>VLOOKUP(O312,'Data Angt'!$A$5:$C$5809,3,FALSE)</f>
        <v>MGL</v>
      </c>
    </row>
    <row r="313" spans="1:20" x14ac:dyDescent="0.3">
      <c r="A313" s="37">
        <v>156682</v>
      </c>
      <c r="B313" s="38">
        <v>307</v>
      </c>
      <c r="C313" s="39" t="s">
        <v>680</v>
      </c>
      <c r="D313" s="10" t="str">
        <f>VLOOKUP(C313,'Data Angt'!$A$5:$B$5809,2,FALSE)</f>
        <v>A251</v>
      </c>
      <c r="E313" s="40" t="s">
        <v>24133</v>
      </c>
      <c r="F313" s="41">
        <v>45839</v>
      </c>
      <c r="G313" s="38">
        <v>12</v>
      </c>
      <c r="H313" s="40">
        <v>0</v>
      </c>
      <c r="I313" s="38">
        <v>5.5</v>
      </c>
      <c r="J313" s="41">
        <v>45839</v>
      </c>
      <c r="K313" s="38" t="s">
        <v>10768</v>
      </c>
      <c r="L313" s="42">
        <v>20000000</v>
      </c>
      <c r="O313" s="151" t="s">
        <v>7177</v>
      </c>
      <c r="P313" s="5" t="str">
        <f t="shared" si="8"/>
        <v>A3210</v>
      </c>
      <c r="Q313" s="5">
        <f t="shared" si="9"/>
        <v>2</v>
      </c>
      <c r="R313">
        <f>VLOOKUP(O313,'Data Angt'!$A$5:$F$5810,6,FALSE)</f>
        <v>49</v>
      </c>
      <c r="S313" s="5" t="str">
        <f>VLOOKUP(O313,'Data Angt'!$A$5:$H$5810,8,FALSE)</f>
        <v>Karyawan</v>
      </c>
      <c r="T313" s="44" t="str">
        <f>VLOOKUP(O313,'Data Angt'!$A$5:$C$5809,3,FALSE)</f>
        <v>MGL</v>
      </c>
    </row>
    <row r="314" spans="1:20" x14ac:dyDescent="0.3">
      <c r="A314" s="37">
        <v>79499</v>
      </c>
      <c r="B314" s="38">
        <v>308</v>
      </c>
      <c r="C314" s="39" t="s">
        <v>680</v>
      </c>
      <c r="D314" s="10" t="str">
        <f>VLOOKUP(C314,'Data Angt'!$A$5:$B$5809,2,FALSE)</f>
        <v>A251</v>
      </c>
      <c r="E314" s="40" t="s">
        <v>10968</v>
      </c>
      <c r="F314" s="41">
        <v>42742</v>
      </c>
      <c r="G314" s="38">
        <v>12</v>
      </c>
      <c r="H314" s="40">
        <v>0</v>
      </c>
      <c r="I314" s="38">
        <v>5.5</v>
      </c>
      <c r="J314" s="41">
        <v>42917</v>
      </c>
      <c r="K314" s="38" t="s">
        <v>10768</v>
      </c>
      <c r="L314" s="42">
        <v>10000000</v>
      </c>
      <c r="O314" s="151" t="s">
        <v>7248</v>
      </c>
      <c r="P314" s="5" t="str">
        <f t="shared" si="8"/>
        <v>A3240</v>
      </c>
      <c r="Q314" s="5">
        <f t="shared" si="9"/>
        <v>4</v>
      </c>
      <c r="R314">
        <f>VLOOKUP(O314,'Data Angt'!$A$5:$F$5810,6,FALSE)</f>
        <v>49</v>
      </c>
      <c r="S314" s="5" t="str">
        <f>VLOOKUP(O314,'Data Angt'!$A$5:$H$5810,8,FALSE)</f>
        <v>Karyawan</v>
      </c>
      <c r="T314" s="44" t="str">
        <f>VLOOKUP(O314,'Data Angt'!$A$5:$C$5809,3,FALSE)</f>
        <v>MGL</v>
      </c>
    </row>
    <row r="315" spans="1:20" x14ac:dyDescent="0.3">
      <c r="A315" s="37">
        <v>144631</v>
      </c>
      <c r="B315" s="38">
        <v>309</v>
      </c>
      <c r="C315" s="39" t="s">
        <v>680</v>
      </c>
      <c r="D315" s="10" t="str">
        <f>VLOOKUP(C315,'Data Angt'!$A$5:$B$5809,2,FALSE)</f>
        <v>A251</v>
      </c>
      <c r="E315" s="40" t="s">
        <v>18459</v>
      </c>
      <c r="F315" s="41">
        <v>45416</v>
      </c>
      <c r="G315" s="38">
        <v>12</v>
      </c>
      <c r="H315" s="40">
        <v>0</v>
      </c>
      <c r="I315" s="38">
        <v>5.5</v>
      </c>
      <c r="J315" s="41">
        <v>45416</v>
      </c>
      <c r="K315" s="38" t="s">
        <v>10768</v>
      </c>
      <c r="L315" s="42">
        <v>20000000</v>
      </c>
      <c r="O315" s="151" t="s">
        <v>7301</v>
      </c>
      <c r="P315" s="5" t="str">
        <f t="shared" si="8"/>
        <v>A3267</v>
      </c>
      <c r="Q315" s="5">
        <f t="shared" si="9"/>
        <v>4</v>
      </c>
      <c r="R315">
        <f>VLOOKUP(O315,'Data Angt'!$A$5:$F$5810,6,FALSE)</f>
        <v>51</v>
      </c>
      <c r="S315" s="5" t="str">
        <f>VLOOKUP(O315,'Data Angt'!$A$5:$H$5810,8,FALSE)</f>
        <v>Karyawan</v>
      </c>
      <c r="T315" s="44" t="str">
        <f>VLOOKUP(O315,'Data Angt'!$A$5:$C$5809,3,FALSE)</f>
        <v>MGL</v>
      </c>
    </row>
    <row r="316" spans="1:20" x14ac:dyDescent="0.3">
      <c r="A316" s="37">
        <v>157531</v>
      </c>
      <c r="B316" s="38">
        <v>310</v>
      </c>
      <c r="C316" s="39" t="s">
        <v>680</v>
      </c>
      <c r="D316" s="10" t="str">
        <f>VLOOKUP(C316,'Data Angt'!$A$5:$B$5809,2,FALSE)</f>
        <v>A251</v>
      </c>
      <c r="E316" s="40" t="s">
        <v>24134</v>
      </c>
      <c r="F316" s="41">
        <v>45870</v>
      </c>
      <c r="G316" s="38">
        <v>12</v>
      </c>
      <c r="H316" s="40">
        <v>0</v>
      </c>
      <c r="I316" s="38">
        <v>5.5</v>
      </c>
      <c r="J316" s="41">
        <v>45870</v>
      </c>
      <c r="K316" s="38" t="s">
        <v>10768</v>
      </c>
      <c r="L316" s="42">
        <v>10000000</v>
      </c>
      <c r="O316" s="151" t="s">
        <v>8393</v>
      </c>
      <c r="P316" s="5" t="str">
        <f t="shared" si="8"/>
        <v>A3804</v>
      </c>
      <c r="Q316" s="5">
        <f t="shared" si="9"/>
        <v>5</v>
      </c>
      <c r="R316">
        <f>VLOOKUP(O316,'Data Angt'!$A$5:$F$5810,6,FALSE)</f>
        <v>50</v>
      </c>
      <c r="S316" s="5" t="str">
        <f>VLOOKUP(O316,'Data Angt'!$A$5:$H$5810,8,FALSE)</f>
        <v>Karyawan</v>
      </c>
      <c r="T316" s="44" t="str">
        <f>VLOOKUP(O316,'Data Angt'!$A$5:$C$5809,3,FALSE)</f>
        <v>MGL</v>
      </c>
    </row>
    <row r="317" spans="1:20" x14ac:dyDescent="0.3">
      <c r="A317" s="37">
        <v>79522</v>
      </c>
      <c r="B317" s="38">
        <v>311</v>
      </c>
      <c r="C317" s="39" t="s">
        <v>683</v>
      </c>
      <c r="D317" s="10" t="str">
        <f>VLOOKUP(C317,'Data Angt'!$A$5:$B$5809,2,FALSE)</f>
        <v>A252</v>
      </c>
      <c r="E317" s="40" t="s">
        <v>10984</v>
      </c>
      <c r="F317" s="41">
        <v>42850</v>
      </c>
      <c r="G317" s="38">
        <v>12</v>
      </c>
      <c r="H317" s="40">
        <v>0</v>
      </c>
      <c r="I317" s="38">
        <v>5.5</v>
      </c>
      <c r="J317" s="41">
        <v>42850</v>
      </c>
      <c r="K317" s="38" t="s">
        <v>10768</v>
      </c>
      <c r="L317" s="42">
        <v>11000000</v>
      </c>
      <c r="O317" s="151" t="s">
        <v>8557</v>
      </c>
      <c r="P317" s="5" t="str">
        <f t="shared" si="8"/>
        <v>A3881</v>
      </c>
      <c r="Q317" s="5">
        <f t="shared" si="9"/>
        <v>2</v>
      </c>
      <c r="R317">
        <f>VLOOKUP(O317,'Data Angt'!$A$5:$F$5810,6,FALSE)</f>
        <v>60</v>
      </c>
      <c r="S317" s="5" t="str">
        <f>VLOOKUP(O317,'Data Angt'!$A$5:$H$5810,8,FALSE)</f>
        <v>Lain-Lain</v>
      </c>
      <c r="T317" s="44" t="str">
        <f>VLOOKUP(O317,'Data Angt'!$A$5:$C$5809,3,FALSE)</f>
        <v>MGL</v>
      </c>
    </row>
    <row r="318" spans="1:20" x14ac:dyDescent="0.3">
      <c r="A318" s="37">
        <v>79550</v>
      </c>
      <c r="B318" s="38">
        <v>312</v>
      </c>
      <c r="C318" s="39" t="s">
        <v>683</v>
      </c>
      <c r="D318" s="10" t="str">
        <f>VLOOKUP(C318,'Data Angt'!$A$5:$B$5809,2,FALSE)</f>
        <v>A252</v>
      </c>
      <c r="E318" s="40" t="s">
        <v>10985</v>
      </c>
      <c r="F318" s="41">
        <v>42994</v>
      </c>
      <c r="G318" s="38">
        <v>12</v>
      </c>
      <c r="H318" s="40">
        <v>0</v>
      </c>
      <c r="I318" s="38">
        <v>5.5</v>
      </c>
      <c r="J318" s="41">
        <v>42994</v>
      </c>
      <c r="K318" s="38" t="s">
        <v>10768</v>
      </c>
      <c r="L318" s="42">
        <v>15000000</v>
      </c>
      <c r="O318" s="151" t="s">
        <v>8600</v>
      </c>
      <c r="P318" s="5" t="str">
        <f t="shared" si="8"/>
        <v>A3901</v>
      </c>
      <c r="Q318" s="5">
        <f t="shared" si="9"/>
        <v>3</v>
      </c>
      <c r="R318">
        <f>VLOOKUP(O318,'Data Angt'!$A$5:$F$5810,6,FALSE)</f>
        <v>26</v>
      </c>
      <c r="S318" s="5">
        <f>VLOOKUP(O318,'Data Angt'!$A$5:$H$5810,8,FALSE)</f>
        <v>0</v>
      </c>
      <c r="T318" s="44" t="str">
        <f>VLOOKUP(O318,'Data Angt'!$A$5:$C$5809,3,FALSE)</f>
        <v>MGL</v>
      </c>
    </row>
    <row r="319" spans="1:20" x14ac:dyDescent="0.3">
      <c r="A319" s="37">
        <v>134266</v>
      </c>
      <c r="B319" s="38">
        <v>313</v>
      </c>
      <c r="C319" s="39" t="s">
        <v>683</v>
      </c>
      <c r="D319" s="10" t="str">
        <f>VLOOKUP(C319,'Data Angt'!$A$5:$B$5809,2,FALSE)</f>
        <v>A252</v>
      </c>
      <c r="E319" s="40" t="s">
        <v>10986</v>
      </c>
      <c r="F319" s="41">
        <v>44797</v>
      </c>
      <c r="G319" s="38">
        <v>12</v>
      </c>
      <c r="H319" s="40">
        <v>0</v>
      </c>
      <c r="I319" s="38">
        <v>5.5</v>
      </c>
      <c r="J319" s="41">
        <v>44797</v>
      </c>
      <c r="K319" s="38" t="s">
        <v>10768</v>
      </c>
      <c r="L319" s="42">
        <v>15000000</v>
      </c>
      <c r="O319" s="151" t="s">
        <v>8923</v>
      </c>
      <c r="P319" s="5" t="str">
        <f t="shared" si="8"/>
        <v>A4056</v>
      </c>
      <c r="Q319" s="5">
        <f t="shared" si="9"/>
        <v>1</v>
      </c>
      <c r="R319">
        <f>VLOOKUP(O319,'Data Angt'!$A$5:$F$5810,6,FALSE)</f>
        <v>53</v>
      </c>
      <c r="S319" s="5" t="str">
        <f>VLOOKUP(O319,'Data Angt'!$A$5:$H$5810,8,FALSE)</f>
        <v>Lain-Lain</v>
      </c>
      <c r="T319" s="44" t="str">
        <f>VLOOKUP(O319,'Data Angt'!$A$5:$C$5809,3,FALSE)</f>
        <v>MGL</v>
      </c>
    </row>
    <row r="320" spans="1:20" x14ac:dyDescent="0.3">
      <c r="A320" s="37">
        <v>139059</v>
      </c>
      <c r="B320" s="38">
        <v>314</v>
      </c>
      <c r="C320" s="39" t="s">
        <v>683</v>
      </c>
      <c r="D320" s="10" t="str">
        <f>VLOOKUP(C320,'Data Angt'!$A$5:$B$5809,2,FALSE)</f>
        <v>A252</v>
      </c>
      <c r="E320" s="40" t="s">
        <v>10987</v>
      </c>
      <c r="F320" s="41">
        <v>45169</v>
      </c>
      <c r="G320" s="38">
        <v>12</v>
      </c>
      <c r="H320" s="40">
        <v>0</v>
      </c>
      <c r="I320" s="38">
        <v>5.5</v>
      </c>
      <c r="J320" s="41">
        <v>45169</v>
      </c>
      <c r="K320" s="38" t="s">
        <v>10768</v>
      </c>
      <c r="L320" s="42">
        <v>10000000</v>
      </c>
      <c r="O320" s="151" t="s">
        <v>12639</v>
      </c>
      <c r="P320" s="5" t="str">
        <f t="shared" si="8"/>
        <v>A4372</v>
      </c>
      <c r="Q320" s="5">
        <f t="shared" si="9"/>
        <v>1</v>
      </c>
      <c r="R320">
        <f>VLOOKUP(O320,'Data Angt'!$A$5:$F$5810,6,FALSE)</f>
        <v>22</v>
      </c>
      <c r="S320" s="5" t="str">
        <f>VLOOKUP(O320,'Data Angt'!$A$5:$H$5810,8,FALSE)</f>
        <v>Karyawan</v>
      </c>
      <c r="T320" s="44" t="str">
        <f>VLOOKUP(O320,'Data Angt'!$A$5:$C$5809,3,FALSE)</f>
        <v>MGL</v>
      </c>
    </row>
    <row r="321" spans="1:20" x14ac:dyDescent="0.3">
      <c r="A321" s="37">
        <v>158091</v>
      </c>
      <c r="B321" s="38">
        <v>315</v>
      </c>
      <c r="C321" s="39" t="s">
        <v>683</v>
      </c>
      <c r="D321" s="10" t="str">
        <f>VLOOKUP(C321,'Data Angt'!$A$5:$B$5809,2,FALSE)</f>
        <v>A252</v>
      </c>
      <c r="E321" s="40" t="s">
        <v>24135</v>
      </c>
      <c r="F321" s="41">
        <v>45892</v>
      </c>
      <c r="G321" s="38">
        <v>12</v>
      </c>
      <c r="H321" s="40">
        <v>0</v>
      </c>
      <c r="I321" s="38">
        <v>5.5</v>
      </c>
      <c r="J321" s="41">
        <v>45892</v>
      </c>
      <c r="K321" s="38" t="s">
        <v>10768</v>
      </c>
      <c r="L321" s="42">
        <v>50000000</v>
      </c>
      <c r="O321" s="151" t="s">
        <v>14006</v>
      </c>
      <c r="P321" s="5" t="str">
        <f t="shared" si="8"/>
        <v>A5044</v>
      </c>
      <c r="Q321" s="5">
        <f t="shared" si="9"/>
        <v>1</v>
      </c>
      <c r="R321">
        <f>VLOOKUP(O321,'Data Angt'!$A$5:$F$5810,6,FALSE)</f>
        <v>70</v>
      </c>
      <c r="S321" s="5" t="str">
        <f>VLOOKUP(O321,'Data Angt'!$A$5:$H$5810,8,FALSE)</f>
        <v>Pensiunan</v>
      </c>
      <c r="T321" s="44" t="str">
        <f>VLOOKUP(O321,'Data Angt'!$A$5:$C$5809,3,FALSE)</f>
        <v>MGL</v>
      </c>
    </row>
    <row r="322" spans="1:20" x14ac:dyDescent="0.3">
      <c r="A322" s="37">
        <v>79147</v>
      </c>
      <c r="B322" s="38">
        <v>316</v>
      </c>
      <c r="C322" s="39" t="s">
        <v>711</v>
      </c>
      <c r="D322" s="10" t="str">
        <f>VLOOKUP(C322,'Data Angt'!$A$5:$B$5809,2,FALSE)</f>
        <v>A264</v>
      </c>
      <c r="E322" s="40" t="s">
        <v>10988</v>
      </c>
      <c r="F322" s="41">
        <v>42707</v>
      </c>
      <c r="G322" s="38">
        <v>12</v>
      </c>
      <c r="H322" s="40">
        <v>0</v>
      </c>
      <c r="I322" s="38">
        <v>5.5</v>
      </c>
      <c r="J322" s="41">
        <v>42441</v>
      </c>
      <c r="K322" s="38" t="s">
        <v>10768</v>
      </c>
      <c r="L322" s="42">
        <v>20000000</v>
      </c>
      <c r="O322" s="151" t="s">
        <v>11404</v>
      </c>
      <c r="P322" s="5" t="e">
        <f t="shared" si="8"/>
        <v>#N/A</v>
      </c>
      <c r="Q322" s="5">
        <f t="shared" si="9"/>
        <v>1</v>
      </c>
      <c r="R322" t="e">
        <f>VLOOKUP(O322,'Data Angt'!$A$5:$F$5810,6,FALSE)</f>
        <v>#N/A</v>
      </c>
      <c r="S322" s="5" t="e">
        <f>VLOOKUP(O322,'Data Angt'!$A$5:$H$5810,8,FALSE)</f>
        <v>#N/A</v>
      </c>
      <c r="T322" s="44" t="e">
        <f>VLOOKUP(O322,'Data Angt'!$A$5:$C$5809,3,FALSE)</f>
        <v>#N/A</v>
      </c>
    </row>
    <row r="323" spans="1:20" x14ac:dyDescent="0.3">
      <c r="A323" s="37">
        <v>78978</v>
      </c>
      <c r="B323" s="38">
        <v>317</v>
      </c>
      <c r="C323" s="39" t="s">
        <v>722</v>
      </c>
      <c r="D323" s="10" t="str">
        <f>VLOOKUP(C323,'Data Angt'!$A$5:$B$5809,2,FALSE)</f>
        <v>A268</v>
      </c>
      <c r="E323" s="40" t="s">
        <v>10989</v>
      </c>
      <c r="F323" s="41">
        <v>40484</v>
      </c>
      <c r="G323" s="38">
        <v>12</v>
      </c>
      <c r="H323" s="40">
        <v>0</v>
      </c>
      <c r="I323" s="38">
        <v>5.5</v>
      </c>
      <c r="J323" s="41">
        <v>40220</v>
      </c>
      <c r="K323" s="38" t="s">
        <v>10768</v>
      </c>
      <c r="L323" s="42">
        <v>6000000</v>
      </c>
      <c r="O323" s="151" t="s">
        <v>13524</v>
      </c>
      <c r="P323" s="5" t="str">
        <f t="shared" si="8"/>
        <v>A4828</v>
      </c>
      <c r="Q323" s="5">
        <f t="shared" si="9"/>
        <v>10</v>
      </c>
      <c r="R323">
        <f>VLOOKUP(O323,'Data Angt'!$A$5:$F$5810,6,FALSE)</f>
        <v>56</v>
      </c>
      <c r="S323" s="5" t="str">
        <f>VLOOKUP(O323,'Data Angt'!$A$5:$H$5810,8,FALSE)</f>
        <v>Pemuka Agama</v>
      </c>
      <c r="T323" s="44" t="str">
        <f>VLOOKUP(O323,'Data Angt'!$A$5:$C$5809,3,FALSE)</f>
        <v>PML</v>
      </c>
    </row>
    <row r="324" spans="1:20" x14ac:dyDescent="0.3">
      <c r="A324" s="37">
        <v>154558</v>
      </c>
      <c r="B324" s="38">
        <v>318</v>
      </c>
      <c r="C324" s="39" t="s">
        <v>785</v>
      </c>
      <c r="D324" s="10" t="str">
        <f>VLOOKUP(C324,'Data Angt'!$A$5:$B$5809,2,FALSE)</f>
        <v>A291</v>
      </c>
      <c r="E324" s="40" t="s">
        <v>18464</v>
      </c>
      <c r="F324" s="41">
        <v>45730</v>
      </c>
      <c r="G324" s="38">
        <v>12</v>
      </c>
      <c r="H324" s="40">
        <v>0</v>
      </c>
      <c r="I324" s="38">
        <v>5.99</v>
      </c>
      <c r="J324" s="41">
        <v>45730</v>
      </c>
      <c r="K324" s="38" t="s">
        <v>10768</v>
      </c>
      <c r="L324" s="42">
        <v>100000000</v>
      </c>
      <c r="O324"/>
      <c r="R324"/>
      <c r="T324" s="44"/>
    </row>
    <row r="325" spans="1:20" x14ac:dyDescent="0.3">
      <c r="A325" s="37">
        <v>79478</v>
      </c>
      <c r="B325" s="38">
        <v>319</v>
      </c>
      <c r="C325" s="39" t="s">
        <v>797</v>
      </c>
      <c r="D325" s="10" t="str">
        <f>VLOOKUP(C325,'Data Angt'!$A$5:$B$5809,2,FALSE)</f>
        <v>A297</v>
      </c>
      <c r="E325" s="40" t="s">
        <v>10990</v>
      </c>
      <c r="F325" s="41">
        <v>42578</v>
      </c>
      <c r="G325" s="38">
        <v>12</v>
      </c>
      <c r="H325" s="40">
        <v>0</v>
      </c>
      <c r="I325" s="38">
        <v>5.5</v>
      </c>
      <c r="J325" s="41">
        <v>42578</v>
      </c>
      <c r="K325" s="38" t="s">
        <v>10768</v>
      </c>
      <c r="L325" s="42">
        <v>40000000</v>
      </c>
      <c r="O325"/>
      <c r="R325"/>
      <c r="T325" s="44"/>
    </row>
    <row r="326" spans="1:20" x14ac:dyDescent="0.3">
      <c r="A326" s="37">
        <v>89032</v>
      </c>
      <c r="B326" s="38">
        <v>320</v>
      </c>
      <c r="C326" s="39" t="s">
        <v>797</v>
      </c>
      <c r="D326" s="10" t="str">
        <f>VLOOKUP(C326,'Data Angt'!$A$5:$B$5809,2,FALSE)</f>
        <v>A297</v>
      </c>
      <c r="E326" s="40" t="s">
        <v>10991</v>
      </c>
      <c r="F326" s="41">
        <v>43335</v>
      </c>
      <c r="G326" s="38">
        <v>12</v>
      </c>
      <c r="H326" s="40">
        <v>0</v>
      </c>
      <c r="I326" s="38">
        <v>5.5</v>
      </c>
      <c r="J326" s="41">
        <v>43335</v>
      </c>
      <c r="K326" s="38" t="s">
        <v>10768</v>
      </c>
      <c r="L326" s="42">
        <v>40000000</v>
      </c>
      <c r="O326"/>
      <c r="R326"/>
      <c r="T326" s="44"/>
    </row>
    <row r="327" spans="1:20" x14ac:dyDescent="0.3">
      <c r="A327" s="37">
        <v>151367</v>
      </c>
      <c r="B327" s="38">
        <v>321</v>
      </c>
      <c r="C327" s="39" t="s">
        <v>799</v>
      </c>
      <c r="D327" s="10" t="str">
        <f>VLOOKUP(C327,'Data Angt'!$A$5:$B$5809,2,FALSE)</f>
        <v>A298</v>
      </c>
      <c r="E327" s="40" t="s">
        <v>18468</v>
      </c>
      <c r="F327" s="41">
        <v>45633</v>
      </c>
      <c r="G327" s="38">
        <v>12</v>
      </c>
      <c r="H327" s="40">
        <v>0</v>
      </c>
      <c r="I327" s="38">
        <v>5.5</v>
      </c>
      <c r="J327" s="41">
        <v>45633</v>
      </c>
      <c r="K327" s="38" t="s">
        <v>10768</v>
      </c>
      <c r="L327" s="42">
        <v>50000000</v>
      </c>
      <c r="O327"/>
      <c r="R327"/>
      <c r="T327" s="44"/>
    </row>
    <row r="328" spans="1:20" x14ac:dyDescent="0.3">
      <c r="A328" s="37">
        <v>151364</v>
      </c>
      <c r="B328" s="38">
        <v>322</v>
      </c>
      <c r="C328" s="39" t="s">
        <v>799</v>
      </c>
      <c r="D328" s="10" t="str">
        <f>VLOOKUP(C328,'Data Angt'!$A$5:$B$5809,2,FALSE)</f>
        <v>A298</v>
      </c>
      <c r="E328" s="40" t="s">
        <v>18465</v>
      </c>
      <c r="F328" s="41">
        <v>45633</v>
      </c>
      <c r="G328" s="38">
        <v>12</v>
      </c>
      <c r="H328" s="40">
        <v>0</v>
      </c>
      <c r="I328" s="38">
        <v>5.5</v>
      </c>
      <c r="J328" s="41">
        <v>45633</v>
      </c>
      <c r="K328" s="38" t="s">
        <v>10768</v>
      </c>
      <c r="L328" s="42">
        <v>50000000</v>
      </c>
      <c r="O328"/>
      <c r="R328"/>
      <c r="T328" s="44"/>
    </row>
    <row r="329" spans="1:20" x14ac:dyDescent="0.3">
      <c r="A329" s="37">
        <v>151365</v>
      </c>
      <c r="B329" s="38">
        <v>323</v>
      </c>
      <c r="C329" s="39" t="s">
        <v>799</v>
      </c>
      <c r="D329" s="10" t="str">
        <f>VLOOKUP(C329,'Data Angt'!$A$5:$B$5809,2,FALSE)</f>
        <v>A298</v>
      </c>
      <c r="E329" s="40" t="s">
        <v>18466</v>
      </c>
      <c r="F329" s="41">
        <v>45633</v>
      </c>
      <c r="G329" s="38">
        <v>12</v>
      </c>
      <c r="H329" s="40">
        <v>0</v>
      </c>
      <c r="I329" s="38">
        <v>5.5</v>
      </c>
      <c r="J329" s="41">
        <v>45633</v>
      </c>
      <c r="K329" s="38" t="s">
        <v>10768</v>
      </c>
      <c r="L329" s="42">
        <v>50000000</v>
      </c>
      <c r="O329"/>
      <c r="R329"/>
      <c r="T329" s="44"/>
    </row>
    <row r="330" spans="1:20" x14ac:dyDescent="0.3">
      <c r="A330" s="37">
        <v>151366</v>
      </c>
      <c r="B330" s="38">
        <v>324</v>
      </c>
      <c r="C330" s="39" t="s">
        <v>799</v>
      </c>
      <c r="D330" s="10" t="str">
        <f>VLOOKUP(C330,'Data Angt'!$A$5:$B$5809,2,FALSE)</f>
        <v>A298</v>
      </c>
      <c r="E330" s="40" t="s">
        <v>18467</v>
      </c>
      <c r="F330" s="41">
        <v>45633</v>
      </c>
      <c r="G330" s="38">
        <v>12</v>
      </c>
      <c r="H330" s="40">
        <v>0</v>
      </c>
      <c r="I330" s="38">
        <v>5.5</v>
      </c>
      <c r="J330" s="41">
        <v>45633</v>
      </c>
      <c r="K330" s="38" t="s">
        <v>10768</v>
      </c>
      <c r="L330" s="42">
        <v>50000000</v>
      </c>
      <c r="O330"/>
      <c r="R330"/>
      <c r="T330" s="44"/>
    </row>
    <row r="331" spans="1:20" x14ac:dyDescent="0.3">
      <c r="A331" s="37">
        <v>132678</v>
      </c>
      <c r="B331" s="38">
        <v>325</v>
      </c>
      <c r="C331" s="39" t="s">
        <v>805</v>
      </c>
      <c r="D331" s="10" t="str">
        <f>VLOOKUP(C331,'Data Angt'!$A$5:$B$5809,2,FALSE)</f>
        <v>A300</v>
      </c>
      <c r="E331" s="40" t="s">
        <v>10992</v>
      </c>
      <c r="F331" s="41">
        <v>44669</v>
      </c>
      <c r="G331" s="38">
        <v>12</v>
      </c>
      <c r="H331" s="40">
        <v>0</v>
      </c>
      <c r="I331" s="38">
        <v>5.5</v>
      </c>
      <c r="J331" s="41">
        <v>44669</v>
      </c>
      <c r="K331" s="38" t="s">
        <v>10768</v>
      </c>
      <c r="L331" s="42">
        <v>10000000</v>
      </c>
      <c r="O331"/>
      <c r="R331"/>
      <c r="T331" s="44"/>
    </row>
    <row r="332" spans="1:20" x14ac:dyDescent="0.3">
      <c r="A332" s="37">
        <v>155109</v>
      </c>
      <c r="B332" s="38">
        <v>326</v>
      </c>
      <c r="C332" s="39" t="s">
        <v>805</v>
      </c>
      <c r="D332" s="10" t="str">
        <f>VLOOKUP(C332,'Data Angt'!$A$5:$B$5809,2,FALSE)</f>
        <v>A300</v>
      </c>
      <c r="E332" s="40" t="s">
        <v>18469</v>
      </c>
      <c r="F332" s="41">
        <v>45768</v>
      </c>
      <c r="G332" s="38">
        <v>12</v>
      </c>
      <c r="H332" s="40">
        <v>0</v>
      </c>
      <c r="I332" s="38">
        <v>5.5</v>
      </c>
      <c r="J332" s="41">
        <v>45768</v>
      </c>
      <c r="K332" s="38" t="s">
        <v>10768</v>
      </c>
      <c r="L332" s="42">
        <v>15000000</v>
      </c>
      <c r="O332"/>
      <c r="R332"/>
      <c r="T332" s="44"/>
    </row>
    <row r="333" spans="1:20" x14ac:dyDescent="0.3">
      <c r="A333" s="37">
        <v>92959</v>
      </c>
      <c r="B333" s="38">
        <v>327</v>
      </c>
      <c r="C333" s="39" t="s">
        <v>834</v>
      </c>
      <c r="D333" s="10" t="str">
        <f>VLOOKUP(C333,'Data Angt'!$A$5:$B$5809,2,FALSE)</f>
        <v>A311</v>
      </c>
      <c r="E333" s="40" t="s">
        <v>11080</v>
      </c>
      <c r="F333" s="41">
        <v>43480</v>
      </c>
      <c r="G333" s="38">
        <v>12</v>
      </c>
      <c r="H333" s="40">
        <v>0</v>
      </c>
      <c r="I333" s="38">
        <v>5.5</v>
      </c>
      <c r="J333" s="41">
        <v>44562</v>
      </c>
      <c r="K333" s="38" t="s">
        <v>10768</v>
      </c>
      <c r="L333" s="42">
        <v>30000000</v>
      </c>
      <c r="O333"/>
      <c r="R333"/>
      <c r="T333" s="44"/>
    </row>
    <row r="334" spans="1:20" x14ac:dyDescent="0.3">
      <c r="A334" s="37">
        <v>129400</v>
      </c>
      <c r="B334" s="38">
        <v>328</v>
      </c>
      <c r="C334" s="39" t="s">
        <v>834</v>
      </c>
      <c r="D334" s="10" t="str">
        <f>VLOOKUP(C334,'Data Angt'!$A$5:$B$5809,2,FALSE)</f>
        <v>A311</v>
      </c>
      <c r="E334" s="40" t="s">
        <v>10993</v>
      </c>
      <c r="F334" s="41">
        <v>44420</v>
      </c>
      <c r="G334" s="38">
        <v>12</v>
      </c>
      <c r="H334" s="40">
        <v>0</v>
      </c>
      <c r="I334" s="38">
        <v>5.5</v>
      </c>
      <c r="J334" s="41">
        <v>44420</v>
      </c>
      <c r="K334" s="38" t="s">
        <v>10768</v>
      </c>
      <c r="L334" s="42">
        <v>10000000</v>
      </c>
      <c r="O334"/>
      <c r="R334"/>
      <c r="T334" s="44"/>
    </row>
    <row r="335" spans="1:20" x14ac:dyDescent="0.3">
      <c r="A335" s="37">
        <v>156256</v>
      </c>
      <c r="B335" s="38">
        <v>329</v>
      </c>
      <c r="C335" s="39" t="s">
        <v>849</v>
      </c>
      <c r="D335" s="10" t="str">
        <f>VLOOKUP(C335,'Data Angt'!$A$5:$B$5809,2,FALSE)</f>
        <v>A320</v>
      </c>
      <c r="E335" s="40" t="s">
        <v>18470</v>
      </c>
      <c r="F335" s="41">
        <v>45813</v>
      </c>
      <c r="G335" s="38">
        <v>12</v>
      </c>
      <c r="H335" s="40">
        <v>0</v>
      </c>
      <c r="I335" s="38">
        <v>5.5</v>
      </c>
      <c r="J335" s="41">
        <v>45813</v>
      </c>
      <c r="K335" s="38" t="s">
        <v>10768</v>
      </c>
      <c r="L335" s="42">
        <v>15000000</v>
      </c>
      <c r="O335"/>
      <c r="R335"/>
      <c r="T335" s="44"/>
    </row>
    <row r="336" spans="1:20" x14ac:dyDescent="0.3">
      <c r="A336" s="37">
        <v>132136</v>
      </c>
      <c r="B336" s="38">
        <v>330</v>
      </c>
      <c r="C336" s="39" t="s">
        <v>902</v>
      </c>
      <c r="D336" s="10" t="str">
        <f>VLOOKUP(C336,'Data Angt'!$A$5:$B$5809,2,FALSE)</f>
        <v>A343</v>
      </c>
      <c r="E336" s="40" t="s">
        <v>10994</v>
      </c>
      <c r="F336" s="41">
        <v>44637</v>
      </c>
      <c r="G336" s="38">
        <v>12</v>
      </c>
      <c r="H336" s="40">
        <v>0</v>
      </c>
      <c r="I336" s="38">
        <v>5.5</v>
      </c>
      <c r="J336" s="41">
        <v>44637</v>
      </c>
      <c r="K336" s="38" t="s">
        <v>10768</v>
      </c>
      <c r="L336" s="42">
        <v>7000000</v>
      </c>
      <c r="O336"/>
      <c r="R336"/>
      <c r="T336" s="44"/>
    </row>
    <row r="337" spans="1:20" x14ac:dyDescent="0.3">
      <c r="A337" s="37">
        <v>152451</v>
      </c>
      <c r="B337" s="38">
        <v>331</v>
      </c>
      <c r="C337" s="39" t="s">
        <v>12124</v>
      </c>
      <c r="D337" s="10" t="str">
        <f>VLOOKUP(C337,'Data Angt'!$A$5:$B$5809,2,FALSE)</f>
        <v>A346</v>
      </c>
      <c r="E337" s="40" t="s">
        <v>18471</v>
      </c>
      <c r="F337" s="41">
        <v>45680</v>
      </c>
      <c r="G337" s="38">
        <v>12</v>
      </c>
      <c r="H337" s="40">
        <v>0</v>
      </c>
      <c r="I337" s="38">
        <v>5.5</v>
      </c>
      <c r="J337" s="41">
        <v>45680</v>
      </c>
      <c r="K337" s="38" t="s">
        <v>10768</v>
      </c>
      <c r="L337" s="42">
        <v>25000000</v>
      </c>
      <c r="O337"/>
      <c r="R337"/>
      <c r="T337" s="44"/>
    </row>
    <row r="338" spans="1:20" x14ac:dyDescent="0.3">
      <c r="A338" s="37">
        <v>157744</v>
      </c>
      <c r="B338" s="38">
        <v>332</v>
      </c>
      <c r="C338" s="39" t="s">
        <v>12124</v>
      </c>
      <c r="D338" s="10" t="str">
        <f>VLOOKUP(C338,'Data Angt'!$A$5:$B$5809,2,FALSE)</f>
        <v>A346</v>
      </c>
      <c r="E338" s="40" t="s">
        <v>24136</v>
      </c>
      <c r="F338" s="41">
        <v>45881</v>
      </c>
      <c r="G338" s="38">
        <v>12</v>
      </c>
      <c r="H338" s="40">
        <v>0</v>
      </c>
      <c r="I338" s="38">
        <v>5.5</v>
      </c>
      <c r="J338" s="41">
        <v>45881</v>
      </c>
      <c r="K338" s="38" t="s">
        <v>10768</v>
      </c>
      <c r="L338" s="42">
        <v>11000000</v>
      </c>
      <c r="O338"/>
      <c r="R338"/>
      <c r="T338" s="44"/>
    </row>
    <row r="339" spans="1:20" x14ac:dyDescent="0.3">
      <c r="A339" s="37">
        <v>145366</v>
      </c>
      <c r="B339" s="38">
        <v>333</v>
      </c>
      <c r="C339" s="39" t="s">
        <v>12125</v>
      </c>
      <c r="D339" s="10" t="str">
        <f>VLOOKUP(C339,'Data Angt'!$A$5:$B$5809,2,FALSE)</f>
        <v>A347</v>
      </c>
      <c r="E339" s="40" t="s">
        <v>10995</v>
      </c>
      <c r="F339" s="41">
        <v>45315</v>
      </c>
      <c r="G339" s="38">
        <v>12</v>
      </c>
      <c r="H339" s="40">
        <v>0</v>
      </c>
      <c r="I339" s="38">
        <v>5.5</v>
      </c>
      <c r="J339" s="41">
        <v>45429</v>
      </c>
      <c r="K339" s="38" t="s">
        <v>10768</v>
      </c>
      <c r="L339" s="42">
        <v>10000000</v>
      </c>
      <c r="O339"/>
      <c r="R339"/>
      <c r="T339" s="44"/>
    </row>
    <row r="340" spans="1:20" x14ac:dyDescent="0.3">
      <c r="A340" s="37">
        <v>78992</v>
      </c>
      <c r="B340" s="38">
        <v>334</v>
      </c>
      <c r="C340" s="39" t="s">
        <v>947</v>
      </c>
      <c r="D340" s="10" t="str">
        <f>VLOOKUP(C340,'Data Angt'!$A$5:$B$5809,2,FALSE)</f>
        <v>A361</v>
      </c>
      <c r="E340" s="40" t="s">
        <v>10996</v>
      </c>
      <c r="F340" s="41">
        <v>41527</v>
      </c>
      <c r="G340" s="38">
        <v>12</v>
      </c>
      <c r="H340" s="40">
        <v>0</v>
      </c>
      <c r="I340" s="38">
        <v>5.5</v>
      </c>
      <c r="J340" s="41">
        <v>41556</v>
      </c>
      <c r="K340" s="38" t="s">
        <v>10768</v>
      </c>
      <c r="L340" s="42">
        <v>2500000</v>
      </c>
      <c r="O340"/>
      <c r="R340"/>
      <c r="T340" s="44"/>
    </row>
    <row r="341" spans="1:20" x14ac:dyDescent="0.3">
      <c r="A341" s="37">
        <v>78998</v>
      </c>
      <c r="B341" s="38">
        <v>335</v>
      </c>
      <c r="C341" s="39" t="s">
        <v>947</v>
      </c>
      <c r="D341" s="10" t="str">
        <f>VLOOKUP(C341,'Data Angt'!$A$5:$B$5809,2,FALSE)</f>
        <v>A361</v>
      </c>
      <c r="E341" s="40" t="s">
        <v>10997</v>
      </c>
      <c r="F341" s="41">
        <v>41716</v>
      </c>
      <c r="G341" s="38">
        <v>12</v>
      </c>
      <c r="H341" s="40">
        <v>0</v>
      </c>
      <c r="I341" s="38">
        <v>5.5</v>
      </c>
      <c r="J341" s="41">
        <v>41716</v>
      </c>
      <c r="K341" s="38" t="s">
        <v>10768</v>
      </c>
      <c r="L341" s="42">
        <v>1000000</v>
      </c>
      <c r="O341"/>
      <c r="R341"/>
      <c r="T341" s="44"/>
    </row>
    <row r="342" spans="1:20" x14ac:dyDescent="0.3">
      <c r="A342" s="37">
        <v>79179</v>
      </c>
      <c r="B342" s="38">
        <v>336</v>
      </c>
      <c r="C342" s="39" t="s">
        <v>947</v>
      </c>
      <c r="D342" s="10" t="str">
        <f>VLOOKUP(C342,'Data Angt'!$A$5:$B$5809,2,FALSE)</f>
        <v>A361</v>
      </c>
      <c r="E342" s="40" t="s">
        <v>10998</v>
      </c>
      <c r="F342" s="41">
        <v>42794</v>
      </c>
      <c r="G342" s="38">
        <v>12</v>
      </c>
      <c r="H342" s="40">
        <v>0</v>
      </c>
      <c r="I342" s="38">
        <v>5.5</v>
      </c>
      <c r="J342" s="41">
        <v>42794</v>
      </c>
      <c r="K342" s="38" t="s">
        <v>10768</v>
      </c>
      <c r="L342" s="42">
        <v>1000000</v>
      </c>
      <c r="O342"/>
      <c r="R342"/>
      <c r="T342" s="44"/>
    </row>
    <row r="343" spans="1:20" x14ac:dyDescent="0.3">
      <c r="A343" s="37">
        <v>154633</v>
      </c>
      <c r="B343" s="38">
        <v>337</v>
      </c>
      <c r="C343" s="39" t="s">
        <v>1035</v>
      </c>
      <c r="D343" s="10" t="str">
        <f>VLOOKUP(C343,'Data Angt'!$A$5:$B$5809,2,FALSE)</f>
        <v>A395</v>
      </c>
      <c r="E343" s="40" t="s">
        <v>18472</v>
      </c>
      <c r="F343" s="41">
        <v>45734</v>
      </c>
      <c r="G343" s="38">
        <v>12</v>
      </c>
      <c r="H343" s="40">
        <v>0</v>
      </c>
      <c r="I343" s="38">
        <v>5.99</v>
      </c>
      <c r="J343" s="41">
        <v>45734</v>
      </c>
      <c r="K343" s="38" t="s">
        <v>10768</v>
      </c>
      <c r="L343" s="42">
        <v>100000000</v>
      </c>
      <c r="O343"/>
      <c r="R343"/>
      <c r="T343" s="44"/>
    </row>
    <row r="344" spans="1:20" x14ac:dyDescent="0.3">
      <c r="A344" s="37">
        <v>151257</v>
      </c>
      <c r="B344" s="38">
        <v>338</v>
      </c>
      <c r="C344" s="39" t="s">
        <v>1051</v>
      </c>
      <c r="D344" s="10" t="str">
        <f>VLOOKUP(C344,'Data Angt'!$A$5:$B$5809,2,FALSE)</f>
        <v>A403</v>
      </c>
      <c r="E344" s="40" t="s">
        <v>18473</v>
      </c>
      <c r="F344" s="41">
        <v>45629</v>
      </c>
      <c r="G344" s="38">
        <v>12</v>
      </c>
      <c r="H344" s="40">
        <v>0</v>
      </c>
      <c r="I344" s="38">
        <v>5.5</v>
      </c>
      <c r="J344" s="41">
        <v>45629</v>
      </c>
      <c r="K344" s="38" t="s">
        <v>10768</v>
      </c>
      <c r="L344" s="42">
        <v>10000000</v>
      </c>
      <c r="O344"/>
      <c r="R344"/>
      <c r="T344" s="44"/>
    </row>
    <row r="345" spans="1:20" x14ac:dyDescent="0.3">
      <c r="A345" s="37">
        <v>148797</v>
      </c>
      <c r="B345" s="38">
        <v>339</v>
      </c>
      <c r="C345" s="39" t="s">
        <v>1051</v>
      </c>
      <c r="D345" s="10" t="str">
        <f>VLOOKUP(C345,'Data Angt'!$A$5:$B$5809,2,FALSE)</f>
        <v>A403</v>
      </c>
      <c r="E345" s="40" t="s">
        <v>18474</v>
      </c>
      <c r="F345" s="41">
        <v>45537</v>
      </c>
      <c r="G345" s="38">
        <v>12</v>
      </c>
      <c r="H345" s="40">
        <v>0</v>
      </c>
      <c r="I345" s="38">
        <v>5.5</v>
      </c>
      <c r="J345" s="41">
        <v>45537</v>
      </c>
      <c r="K345" s="38" t="s">
        <v>10768</v>
      </c>
      <c r="L345" s="42">
        <v>10000000</v>
      </c>
      <c r="O345"/>
      <c r="R345"/>
      <c r="T345" s="44"/>
    </row>
    <row r="346" spans="1:20" x14ac:dyDescent="0.3">
      <c r="A346" s="37">
        <v>150270</v>
      </c>
      <c r="B346" s="38">
        <v>340</v>
      </c>
      <c r="C346" s="39" t="s">
        <v>1051</v>
      </c>
      <c r="D346" s="10" t="str">
        <f>VLOOKUP(C346,'Data Angt'!$A$5:$B$5809,2,FALSE)</f>
        <v>A403</v>
      </c>
      <c r="E346" s="40" t="s">
        <v>18475</v>
      </c>
      <c r="F346" s="41">
        <v>45602</v>
      </c>
      <c r="G346" s="38">
        <v>12</v>
      </c>
      <c r="H346" s="40">
        <v>0</v>
      </c>
      <c r="I346" s="38">
        <v>5.5</v>
      </c>
      <c r="J346" s="41">
        <v>45602</v>
      </c>
      <c r="K346" s="38" t="s">
        <v>10768</v>
      </c>
      <c r="L346" s="42">
        <v>10000000</v>
      </c>
      <c r="O346"/>
      <c r="R346"/>
      <c r="T346" s="44"/>
    </row>
    <row r="347" spans="1:20" x14ac:dyDescent="0.3">
      <c r="A347" s="37">
        <v>127438</v>
      </c>
      <c r="B347" s="38">
        <v>341</v>
      </c>
      <c r="C347" s="39" t="s">
        <v>12130</v>
      </c>
      <c r="D347" s="10" t="str">
        <f>VLOOKUP(C347,'Data Angt'!$A$5:$B$5809,2,FALSE)</f>
        <v>A405</v>
      </c>
      <c r="E347" s="40" t="s">
        <v>11000</v>
      </c>
      <c r="F347" s="41">
        <v>44270</v>
      </c>
      <c r="G347" s="38">
        <v>12</v>
      </c>
      <c r="H347" s="40">
        <v>0</v>
      </c>
      <c r="I347" s="38">
        <v>5.5</v>
      </c>
      <c r="J347" s="41">
        <v>44270</v>
      </c>
      <c r="K347" s="38" t="s">
        <v>10768</v>
      </c>
      <c r="L347" s="42">
        <v>25000000</v>
      </c>
      <c r="O347"/>
      <c r="R347"/>
      <c r="T347" s="44"/>
    </row>
    <row r="348" spans="1:20" x14ac:dyDescent="0.3">
      <c r="A348" s="37">
        <v>132264</v>
      </c>
      <c r="B348" s="38">
        <v>342</v>
      </c>
      <c r="C348" s="39" t="s">
        <v>12130</v>
      </c>
      <c r="D348" s="10" t="str">
        <f>VLOOKUP(C348,'Data Angt'!$A$5:$B$5809,2,FALSE)</f>
        <v>A405</v>
      </c>
      <c r="E348" s="40" t="s">
        <v>10999</v>
      </c>
      <c r="F348" s="41">
        <v>44643</v>
      </c>
      <c r="G348" s="38">
        <v>12</v>
      </c>
      <c r="H348" s="40">
        <v>0</v>
      </c>
      <c r="I348" s="38">
        <v>5.5</v>
      </c>
      <c r="J348" s="41">
        <v>44643</v>
      </c>
      <c r="K348" s="38" t="s">
        <v>10768</v>
      </c>
      <c r="L348" s="42">
        <v>25000000</v>
      </c>
      <c r="O348"/>
      <c r="R348"/>
      <c r="T348" s="44"/>
    </row>
    <row r="349" spans="1:20" x14ac:dyDescent="0.3">
      <c r="A349" s="37">
        <v>79527</v>
      </c>
      <c r="B349" s="38">
        <v>343</v>
      </c>
      <c r="C349" s="39" t="s">
        <v>12136</v>
      </c>
      <c r="D349" s="10" t="str">
        <f>VLOOKUP(C349,'Data Angt'!$A$5:$B$5809,2,FALSE)</f>
        <v>A436</v>
      </c>
      <c r="E349" s="40" t="s">
        <v>11001</v>
      </c>
      <c r="F349" s="41">
        <v>42889</v>
      </c>
      <c r="G349" s="38">
        <v>12</v>
      </c>
      <c r="H349" s="40">
        <v>0</v>
      </c>
      <c r="I349" s="38">
        <v>5.5</v>
      </c>
      <c r="J349" s="41">
        <v>42800</v>
      </c>
      <c r="K349" s="38" t="s">
        <v>10768</v>
      </c>
      <c r="L349" s="42">
        <v>15000000</v>
      </c>
      <c r="O349"/>
      <c r="R349"/>
      <c r="T349" s="44"/>
    </row>
    <row r="350" spans="1:20" x14ac:dyDescent="0.3">
      <c r="A350" s="37">
        <v>132084</v>
      </c>
      <c r="B350" s="38">
        <v>344</v>
      </c>
      <c r="C350" s="39" t="s">
        <v>12136</v>
      </c>
      <c r="D350" s="10" t="str">
        <f>VLOOKUP(C350,'Data Angt'!$A$5:$B$5809,2,FALSE)</f>
        <v>A436</v>
      </c>
      <c r="E350" s="40" t="s">
        <v>11002</v>
      </c>
      <c r="F350" s="41">
        <v>44632</v>
      </c>
      <c r="G350" s="38">
        <v>12</v>
      </c>
      <c r="H350" s="40">
        <v>0</v>
      </c>
      <c r="I350" s="38">
        <v>5.5</v>
      </c>
      <c r="J350" s="41">
        <v>44632</v>
      </c>
      <c r="K350" s="38" t="s">
        <v>10768</v>
      </c>
      <c r="L350" s="42">
        <v>15000000</v>
      </c>
      <c r="O350"/>
      <c r="R350"/>
      <c r="T350" s="44"/>
    </row>
    <row r="351" spans="1:20" x14ac:dyDescent="0.3">
      <c r="A351" s="37">
        <v>88616</v>
      </c>
      <c r="B351" s="38">
        <v>345</v>
      </c>
      <c r="C351" s="39" t="s">
        <v>12136</v>
      </c>
      <c r="D351" s="10" t="str">
        <f>VLOOKUP(C351,'Data Angt'!$A$5:$B$5809,2,FALSE)</f>
        <v>A436</v>
      </c>
      <c r="E351" s="40" t="s">
        <v>11003</v>
      </c>
      <c r="F351" s="41">
        <v>43321</v>
      </c>
      <c r="G351" s="38">
        <v>12</v>
      </c>
      <c r="H351" s="40">
        <v>0</v>
      </c>
      <c r="I351" s="38">
        <v>5.5</v>
      </c>
      <c r="J351" s="41">
        <v>43321</v>
      </c>
      <c r="K351" s="38" t="s">
        <v>10768</v>
      </c>
      <c r="L351" s="42">
        <v>18000000</v>
      </c>
      <c r="O351"/>
      <c r="R351"/>
      <c r="T351" s="44"/>
    </row>
    <row r="352" spans="1:20" x14ac:dyDescent="0.3">
      <c r="A352" s="37">
        <v>132223</v>
      </c>
      <c r="B352" s="38">
        <v>346</v>
      </c>
      <c r="C352" s="39" t="s">
        <v>12137</v>
      </c>
      <c r="D352" s="10" t="str">
        <f>VLOOKUP(C352,'Data Angt'!$A$5:$B$5809,2,FALSE)</f>
        <v>A437</v>
      </c>
      <c r="E352" s="40" t="s">
        <v>11004</v>
      </c>
      <c r="F352" s="41">
        <v>44641</v>
      </c>
      <c r="G352" s="38">
        <v>12</v>
      </c>
      <c r="H352" s="40">
        <v>0</v>
      </c>
      <c r="I352" s="38">
        <v>5.5</v>
      </c>
      <c r="J352" s="41">
        <v>44641</v>
      </c>
      <c r="K352" s="38" t="s">
        <v>10768</v>
      </c>
      <c r="L352" s="42">
        <v>13000000</v>
      </c>
      <c r="O352"/>
      <c r="R352"/>
      <c r="T352" s="44"/>
    </row>
    <row r="353" spans="1:20" x14ac:dyDescent="0.3">
      <c r="A353" s="37">
        <v>88614</v>
      </c>
      <c r="B353" s="38">
        <v>347</v>
      </c>
      <c r="C353" s="39" t="s">
        <v>12137</v>
      </c>
      <c r="D353" s="10" t="str">
        <f>VLOOKUP(C353,'Data Angt'!$A$5:$B$5809,2,FALSE)</f>
        <v>A437</v>
      </c>
      <c r="E353" s="40" t="s">
        <v>11005</v>
      </c>
      <c r="F353" s="41">
        <v>43321</v>
      </c>
      <c r="G353" s="38">
        <v>12</v>
      </c>
      <c r="H353" s="40">
        <v>0</v>
      </c>
      <c r="I353" s="38">
        <v>5.5</v>
      </c>
      <c r="J353" s="41">
        <v>43321</v>
      </c>
      <c r="K353" s="38" t="s">
        <v>10768</v>
      </c>
      <c r="L353" s="42">
        <v>17000000</v>
      </c>
      <c r="O353"/>
      <c r="R353"/>
      <c r="T353" s="44"/>
    </row>
    <row r="354" spans="1:20" x14ac:dyDescent="0.3">
      <c r="A354" s="37">
        <v>151814</v>
      </c>
      <c r="B354" s="38">
        <v>348</v>
      </c>
      <c r="C354" s="39" t="s">
        <v>1198</v>
      </c>
      <c r="D354" s="10" t="str">
        <f>VLOOKUP(C354,'Data Angt'!$A$5:$B$5809,2,FALSE)</f>
        <v>A468</v>
      </c>
      <c r="E354" s="40" t="s">
        <v>18476</v>
      </c>
      <c r="F354" s="41">
        <v>45663</v>
      </c>
      <c r="G354" s="38">
        <v>12</v>
      </c>
      <c r="H354" s="40">
        <v>0</v>
      </c>
      <c r="I354" s="38">
        <v>5.5</v>
      </c>
      <c r="J354" s="41">
        <v>45663</v>
      </c>
      <c r="K354" s="38" t="s">
        <v>10768</v>
      </c>
      <c r="L354" s="42">
        <v>225000000</v>
      </c>
      <c r="O354"/>
      <c r="R354"/>
      <c r="T354" s="44"/>
    </row>
    <row r="355" spans="1:20" x14ac:dyDescent="0.3">
      <c r="A355" s="37">
        <v>79529</v>
      </c>
      <c r="B355" s="38">
        <v>349</v>
      </c>
      <c r="C355" s="39" t="s">
        <v>1224</v>
      </c>
      <c r="D355" s="10" t="str">
        <f>VLOOKUP(C355,'Data Angt'!$A$5:$B$5809,2,FALSE)</f>
        <v>A477</v>
      </c>
      <c r="E355" s="40" t="s">
        <v>11006</v>
      </c>
      <c r="F355" s="41">
        <v>42896</v>
      </c>
      <c r="G355" s="38">
        <v>12</v>
      </c>
      <c r="H355" s="40">
        <v>0</v>
      </c>
      <c r="I355" s="38">
        <v>5.5</v>
      </c>
      <c r="J355" s="41">
        <v>43014</v>
      </c>
      <c r="K355" s="38" t="s">
        <v>10768</v>
      </c>
      <c r="L355" s="42">
        <v>20000000</v>
      </c>
      <c r="O355"/>
      <c r="R355"/>
      <c r="T355" s="44"/>
    </row>
    <row r="356" spans="1:20" x14ac:dyDescent="0.3">
      <c r="A356" s="37">
        <v>138762</v>
      </c>
      <c r="B356" s="38">
        <v>350</v>
      </c>
      <c r="C356" s="39" t="s">
        <v>1280</v>
      </c>
      <c r="D356" s="10" t="str">
        <f>VLOOKUP(C356,'Data Angt'!$A$5:$B$5809,2,FALSE)</f>
        <v>A498</v>
      </c>
      <c r="E356" s="40" t="s">
        <v>11007</v>
      </c>
      <c r="F356" s="41">
        <v>45153</v>
      </c>
      <c r="G356" s="38">
        <v>12</v>
      </c>
      <c r="H356" s="40">
        <v>0</v>
      </c>
      <c r="I356" s="38">
        <v>5.5</v>
      </c>
      <c r="J356" s="41">
        <v>45153</v>
      </c>
      <c r="K356" s="38" t="s">
        <v>10768</v>
      </c>
      <c r="L356" s="42">
        <v>5000000</v>
      </c>
      <c r="O356"/>
      <c r="R356"/>
      <c r="T356" s="44"/>
    </row>
    <row r="357" spans="1:20" x14ac:dyDescent="0.3">
      <c r="A357" s="37">
        <v>142642</v>
      </c>
      <c r="B357" s="38">
        <v>351</v>
      </c>
      <c r="C357" s="39" t="s">
        <v>1280</v>
      </c>
      <c r="D357" s="10" t="str">
        <f>VLOOKUP(C357,'Data Angt'!$A$5:$B$5809,2,FALSE)</f>
        <v>A498</v>
      </c>
      <c r="E357" s="40" t="s">
        <v>18477</v>
      </c>
      <c r="F357" s="41">
        <v>45339</v>
      </c>
      <c r="G357" s="38">
        <v>12</v>
      </c>
      <c r="H357" s="40">
        <v>0</v>
      </c>
      <c r="I357" s="38">
        <v>5.5</v>
      </c>
      <c r="J357" s="41">
        <v>45339</v>
      </c>
      <c r="K357" s="38" t="s">
        <v>10768</v>
      </c>
      <c r="L357" s="42">
        <v>25000000</v>
      </c>
      <c r="O357"/>
      <c r="R357"/>
      <c r="T357" s="44"/>
    </row>
    <row r="358" spans="1:20" x14ac:dyDescent="0.3">
      <c r="A358" s="37">
        <v>148232</v>
      </c>
      <c r="B358" s="38">
        <v>352</v>
      </c>
      <c r="C358" s="39" t="s">
        <v>1280</v>
      </c>
      <c r="D358" s="10" t="str">
        <f>VLOOKUP(C358,'Data Angt'!$A$5:$B$5809,2,FALSE)</f>
        <v>A498</v>
      </c>
      <c r="E358" s="40" t="s">
        <v>18478</v>
      </c>
      <c r="F358" s="41">
        <v>45519</v>
      </c>
      <c r="G358" s="38">
        <v>12</v>
      </c>
      <c r="H358" s="40">
        <v>0</v>
      </c>
      <c r="I358" s="38">
        <v>5.5</v>
      </c>
      <c r="J358" s="41">
        <v>45519</v>
      </c>
      <c r="K358" s="38" t="s">
        <v>10768</v>
      </c>
      <c r="L358" s="42">
        <v>40000000</v>
      </c>
      <c r="O358"/>
      <c r="R358"/>
      <c r="T358" s="44"/>
    </row>
    <row r="359" spans="1:20" x14ac:dyDescent="0.3">
      <c r="A359" s="37">
        <v>149681</v>
      </c>
      <c r="B359" s="38">
        <v>353</v>
      </c>
      <c r="C359" s="39" t="s">
        <v>1280</v>
      </c>
      <c r="D359" s="10" t="str">
        <f>VLOOKUP(C359,'Data Angt'!$A$5:$B$5809,2,FALSE)</f>
        <v>A498</v>
      </c>
      <c r="E359" s="40" t="s">
        <v>18479</v>
      </c>
      <c r="F359" s="41">
        <v>45579</v>
      </c>
      <c r="G359" s="38">
        <v>12</v>
      </c>
      <c r="H359" s="40">
        <v>0</v>
      </c>
      <c r="I359" s="38">
        <v>5.5</v>
      </c>
      <c r="J359" s="41">
        <v>45579</v>
      </c>
      <c r="K359" s="38" t="s">
        <v>10768</v>
      </c>
      <c r="L359" s="42">
        <v>20000000</v>
      </c>
      <c r="O359"/>
      <c r="R359"/>
      <c r="T359" s="44"/>
    </row>
    <row r="360" spans="1:20" x14ac:dyDescent="0.3">
      <c r="A360" s="37">
        <v>157861</v>
      </c>
      <c r="B360" s="38">
        <v>354</v>
      </c>
      <c r="C360" s="39" t="s">
        <v>1280</v>
      </c>
      <c r="D360" s="10" t="str">
        <f>VLOOKUP(C360,'Data Angt'!$A$5:$B$5809,2,FALSE)</f>
        <v>A498</v>
      </c>
      <c r="E360" s="40" t="s">
        <v>24137</v>
      </c>
      <c r="F360" s="41">
        <v>45884</v>
      </c>
      <c r="G360" s="38">
        <v>12</v>
      </c>
      <c r="H360" s="40">
        <v>0</v>
      </c>
      <c r="I360" s="38">
        <v>5.5</v>
      </c>
      <c r="J360" s="41">
        <v>45884</v>
      </c>
      <c r="K360" s="38" t="s">
        <v>10768</v>
      </c>
      <c r="L360" s="42">
        <v>2500000</v>
      </c>
      <c r="O360"/>
      <c r="R360"/>
      <c r="T360" s="44"/>
    </row>
    <row r="361" spans="1:20" x14ac:dyDescent="0.3">
      <c r="A361" s="37">
        <v>79526</v>
      </c>
      <c r="B361" s="38">
        <v>355</v>
      </c>
      <c r="C361" s="39" t="s">
        <v>1293</v>
      </c>
      <c r="D361" s="10" t="str">
        <f>VLOOKUP(C361,'Data Angt'!$A$5:$B$5809,2,FALSE)</f>
        <v>A503</v>
      </c>
      <c r="E361" s="40" t="s">
        <v>11008</v>
      </c>
      <c r="F361" s="41">
        <v>42889</v>
      </c>
      <c r="G361" s="38">
        <v>12</v>
      </c>
      <c r="H361" s="40">
        <v>0</v>
      </c>
      <c r="I361" s="38">
        <v>5.5</v>
      </c>
      <c r="J361" s="41">
        <v>42800</v>
      </c>
      <c r="K361" s="38" t="s">
        <v>10768</v>
      </c>
      <c r="L361" s="42">
        <v>20000000</v>
      </c>
      <c r="O361"/>
      <c r="R361"/>
      <c r="T361" s="44"/>
    </row>
    <row r="362" spans="1:20" x14ac:dyDescent="0.3">
      <c r="A362" s="37">
        <v>124074</v>
      </c>
      <c r="B362" s="38">
        <v>356</v>
      </c>
      <c r="C362" s="39" t="s">
        <v>1293</v>
      </c>
      <c r="D362" s="10" t="str">
        <f>VLOOKUP(C362,'Data Angt'!$A$5:$B$5809,2,FALSE)</f>
        <v>A503</v>
      </c>
      <c r="E362" s="40" t="s">
        <v>11009</v>
      </c>
      <c r="F362" s="41">
        <v>44018</v>
      </c>
      <c r="G362" s="38">
        <v>12</v>
      </c>
      <c r="H362" s="40">
        <v>0</v>
      </c>
      <c r="I362" s="38">
        <v>5.5</v>
      </c>
      <c r="J362" s="41">
        <v>44018</v>
      </c>
      <c r="K362" s="38" t="s">
        <v>10768</v>
      </c>
      <c r="L362" s="42">
        <v>20000000</v>
      </c>
      <c r="O362"/>
      <c r="R362"/>
      <c r="T362" s="44"/>
    </row>
    <row r="363" spans="1:20" x14ac:dyDescent="0.3">
      <c r="A363" s="37">
        <v>133988</v>
      </c>
      <c r="B363" s="38">
        <v>357</v>
      </c>
      <c r="C363" s="39" t="s">
        <v>1293</v>
      </c>
      <c r="D363" s="10" t="str">
        <f>VLOOKUP(C363,'Data Angt'!$A$5:$B$5809,2,FALSE)</f>
        <v>A503</v>
      </c>
      <c r="E363" s="40" t="s">
        <v>11010</v>
      </c>
      <c r="F363" s="41">
        <v>44781</v>
      </c>
      <c r="G363" s="38">
        <v>12</v>
      </c>
      <c r="H363" s="40">
        <v>0</v>
      </c>
      <c r="I363" s="38">
        <v>5.5</v>
      </c>
      <c r="J363" s="41">
        <v>44781</v>
      </c>
      <c r="K363" s="38" t="s">
        <v>10768</v>
      </c>
      <c r="L363" s="42">
        <v>20000000</v>
      </c>
      <c r="O363"/>
      <c r="R363"/>
      <c r="T363" s="44"/>
    </row>
    <row r="364" spans="1:20" x14ac:dyDescent="0.3">
      <c r="A364" s="37">
        <v>134368</v>
      </c>
      <c r="B364" s="38">
        <v>358</v>
      </c>
      <c r="C364" s="39" t="s">
        <v>1293</v>
      </c>
      <c r="D364" s="10" t="str">
        <f>VLOOKUP(C364,'Data Angt'!$A$5:$B$5809,2,FALSE)</f>
        <v>A503</v>
      </c>
      <c r="E364" s="40" t="s">
        <v>11011</v>
      </c>
      <c r="F364" s="41">
        <v>44806</v>
      </c>
      <c r="G364" s="38">
        <v>12</v>
      </c>
      <c r="H364" s="40">
        <v>0</v>
      </c>
      <c r="I364" s="38">
        <v>5.5</v>
      </c>
      <c r="J364" s="41">
        <v>44806</v>
      </c>
      <c r="K364" s="38" t="s">
        <v>10768</v>
      </c>
      <c r="L364" s="42">
        <v>20000000</v>
      </c>
      <c r="O364"/>
      <c r="R364"/>
      <c r="T364" s="44"/>
    </row>
    <row r="365" spans="1:20" x14ac:dyDescent="0.3">
      <c r="A365" s="37">
        <v>153069</v>
      </c>
      <c r="B365" s="38">
        <v>359</v>
      </c>
      <c r="C365" s="39" t="s">
        <v>1293</v>
      </c>
      <c r="D365" s="10" t="str">
        <f>VLOOKUP(C365,'Data Angt'!$A$5:$B$5809,2,FALSE)</f>
        <v>A503</v>
      </c>
      <c r="E365" s="40" t="s">
        <v>18480</v>
      </c>
      <c r="F365" s="41">
        <v>45698</v>
      </c>
      <c r="G365" s="38">
        <v>12</v>
      </c>
      <c r="H365" s="40">
        <v>0</v>
      </c>
      <c r="I365" s="38">
        <v>5.5</v>
      </c>
      <c r="J365" s="41">
        <v>45698</v>
      </c>
      <c r="K365" s="38" t="s">
        <v>10768</v>
      </c>
      <c r="L365" s="42">
        <v>5000000</v>
      </c>
      <c r="O365"/>
      <c r="R365"/>
      <c r="T365" s="44"/>
    </row>
    <row r="366" spans="1:20" x14ac:dyDescent="0.3">
      <c r="A366" s="37">
        <v>138300</v>
      </c>
      <c r="B366" s="38">
        <v>360</v>
      </c>
      <c r="C366" s="39" t="s">
        <v>1324</v>
      </c>
      <c r="D366" s="10" t="str">
        <f>VLOOKUP(C366,'Data Angt'!$A$5:$B$5809,2,FALSE)</f>
        <v>A517</v>
      </c>
      <c r="E366" s="40" t="s">
        <v>11012</v>
      </c>
      <c r="F366" s="41">
        <v>45131</v>
      </c>
      <c r="G366" s="38">
        <v>12</v>
      </c>
      <c r="H366" s="40">
        <v>0</v>
      </c>
      <c r="I366" s="38">
        <v>5.5</v>
      </c>
      <c r="J366" s="41">
        <v>45138</v>
      </c>
      <c r="K366" s="38" t="s">
        <v>10768</v>
      </c>
      <c r="L366" s="42">
        <v>70000000</v>
      </c>
      <c r="O366"/>
      <c r="R366"/>
      <c r="T366" s="44"/>
    </row>
    <row r="367" spans="1:20" x14ac:dyDescent="0.3">
      <c r="A367" s="37">
        <v>128553</v>
      </c>
      <c r="B367" s="38">
        <v>361</v>
      </c>
      <c r="C367" s="39" t="s">
        <v>1365</v>
      </c>
      <c r="D367" s="10" t="str">
        <f>VLOOKUP(C367,'Data Angt'!$A$5:$B$5809,2,FALSE)</f>
        <v>A535</v>
      </c>
      <c r="E367" s="40" t="s">
        <v>11013</v>
      </c>
      <c r="F367" s="41">
        <v>44357</v>
      </c>
      <c r="G367" s="38">
        <v>12</v>
      </c>
      <c r="H367" s="40">
        <v>0</v>
      </c>
      <c r="I367" s="38">
        <v>5.5</v>
      </c>
      <c r="J367" s="41">
        <v>44357</v>
      </c>
      <c r="K367" s="38" t="s">
        <v>10768</v>
      </c>
      <c r="L367" s="42">
        <v>1000000</v>
      </c>
      <c r="O367"/>
      <c r="R367"/>
      <c r="T367" s="44"/>
    </row>
    <row r="368" spans="1:20" x14ac:dyDescent="0.3">
      <c r="A368" s="37">
        <v>133122</v>
      </c>
      <c r="B368" s="38">
        <v>362</v>
      </c>
      <c r="C368" s="39" t="s">
        <v>1365</v>
      </c>
      <c r="D368" s="10" t="str">
        <f>VLOOKUP(C368,'Data Angt'!$A$5:$B$5809,2,FALSE)</f>
        <v>A535</v>
      </c>
      <c r="E368" s="40" t="s">
        <v>11014</v>
      </c>
      <c r="F368" s="41">
        <v>44709</v>
      </c>
      <c r="G368" s="38">
        <v>12</v>
      </c>
      <c r="H368" s="40">
        <v>0</v>
      </c>
      <c r="I368" s="38">
        <v>5.5</v>
      </c>
      <c r="J368" s="41">
        <v>44709</v>
      </c>
      <c r="K368" s="38" t="s">
        <v>10768</v>
      </c>
      <c r="L368" s="42">
        <v>2000000</v>
      </c>
      <c r="O368"/>
      <c r="R368"/>
      <c r="T368" s="44"/>
    </row>
    <row r="369" spans="1:20" x14ac:dyDescent="0.3">
      <c r="A369" s="37">
        <v>138744</v>
      </c>
      <c r="B369" s="38">
        <v>363</v>
      </c>
      <c r="C369" s="39" t="s">
        <v>1365</v>
      </c>
      <c r="D369" s="10" t="str">
        <f>VLOOKUP(C369,'Data Angt'!$A$5:$B$5809,2,FALSE)</f>
        <v>A535</v>
      </c>
      <c r="E369" s="40" t="s">
        <v>11015</v>
      </c>
      <c r="F369" s="41">
        <v>45153</v>
      </c>
      <c r="G369" s="38">
        <v>12</v>
      </c>
      <c r="H369" s="40">
        <v>0</v>
      </c>
      <c r="I369" s="38">
        <v>5.5</v>
      </c>
      <c r="J369" s="41">
        <v>45153</v>
      </c>
      <c r="K369" s="38" t="s">
        <v>10768</v>
      </c>
      <c r="L369" s="42">
        <v>1000000</v>
      </c>
      <c r="O369"/>
      <c r="R369"/>
      <c r="T369" s="44"/>
    </row>
    <row r="370" spans="1:20" x14ac:dyDescent="0.3">
      <c r="A370" s="37">
        <v>152050</v>
      </c>
      <c r="B370" s="38">
        <v>364</v>
      </c>
      <c r="C370" s="39" t="s">
        <v>1365</v>
      </c>
      <c r="D370" s="10" t="str">
        <f>VLOOKUP(C370,'Data Angt'!$A$5:$B$5809,2,FALSE)</f>
        <v>A535</v>
      </c>
      <c r="E370" s="40" t="s">
        <v>18481</v>
      </c>
      <c r="F370" s="41">
        <v>45667</v>
      </c>
      <c r="G370" s="38">
        <v>12</v>
      </c>
      <c r="H370" s="40">
        <v>0</v>
      </c>
      <c r="I370" s="38">
        <v>5.5</v>
      </c>
      <c r="J370" s="41">
        <v>45667</v>
      </c>
      <c r="K370" s="38" t="s">
        <v>10768</v>
      </c>
      <c r="L370" s="42">
        <v>1000000</v>
      </c>
      <c r="O370"/>
      <c r="R370"/>
      <c r="T370" s="44"/>
    </row>
    <row r="371" spans="1:20" x14ac:dyDescent="0.3">
      <c r="A371" s="37">
        <v>157901</v>
      </c>
      <c r="B371" s="38">
        <v>365</v>
      </c>
      <c r="C371" s="39" t="s">
        <v>1365</v>
      </c>
      <c r="D371" s="10" t="str">
        <f>VLOOKUP(C371,'Data Angt'!$A$5:$B$5809,2,FALSE)</f>
        <v>A535</v>
      </c>
      <c r="E371" s="40" t="s">
        <v>24138</v>
      </c>
      <c r="F371" s="41">
        <v>45885</v>
      </c>
      <c r="G371" s="38">
        <v>12</v>
      </c>
      <c r="H371" s="40">
        <v>0</v>
      </c>
      <c r="I371" s="38">
        <v>5.5</v>
      </c>
      <c r="J371" s="41">
        <v>45885</v>
      </c>
      <c r="K371" s="38" t="s">
        <v>10768</v>
      </c>
      <c r="L371" s="42">
        <v>1000000</v>
      </c>
      <c r="O371"/>
      <c r="R371"/>
      <c r="T371" s="44"/>
    </row>
    <row r="372" spans="1:20" x14ac:dyDescent="0.3">
      <c r="A372" s="37">
        <v>89664</v>
      </c>
      <c r="B372" s="38">
        <v>366</v>
      </c>
      <c r="C372" s="39" t="s">
        <v>1371</v>
      </c>
      <c r="D372" s="10" t="str">
        <f>VLOOKUP(C372,'Data Angt'!$A$5:$B$5809,2,FALSE)</f>
        <v>A537</v>
      </c>
      <c r="E372" s="40" t="s">
        <v>11016</v>
      </c>
      <c r="F372" s="41">
        <v>43347</v>
      </c>
      <c r="G372" s="38">
        <v>12</v>
      </c>
      <c r="H372" s="40">
        <v>0</v>
      </c>
      <c r="I372" s="38">
        <v>5.5</v>
      </c>
      <c r="J372" s="41">
        <v>43347</v>
      </c>
      <c r="K372" s="38" t="s">
        <v>10768</v>
      </c>
      <c r="L372" s="42">
        <v>8500000</v>
      </c>
      <c r="O372"/>
      <c r="R372"/>
      <c r="T372" s="44"/>
    </row>
    <row r="373" spans="1:20" x14ac:dyDescent="0.3">
      <c r="A373" s="37">
        <v>79202</v>
      </c>
      <c r="B373" s="38">
        <v>367</v>
      </c>
      <c r="C373" s="39" t="s">
        <v>1371</v>
      </c>
      <c r="D373" s="10" t="str">
        <f>VLOOKUP(C373,'Data Angt'!$A$5:$B$5809,2,FALSE)</f>
        <v>A537</v>
      </c>
      <c r="E373" s="40" t="s">
        <v>11017</v>
      </c>
      <c r="F373" s="41">
        <v>42803</v>
      </c>
      <c r="G373" s="38">
        <v>12</v>
      </c>
      <c r="H373" s="40">
        <v>0</v>
      </c>
      <c r="I373" s="38">
        <v>5.5</v>
      </c>
      <c r="J373" s="41">
        <v>42981</v>
      </c>
      <c r="K373" s="38" t="s">
        <v>10768</v>
      </c>
      <c r="L373" s="42">
        <v>2000000</v>
      </c>
      <c r="O373"/>
      <c r="R373"/>
      <c r="T373" s="44"/>
    </row>
    <row r="374" spans="1:20" x14ac:dyDescent="0.3">
      <c r="A374" s="37">
        <v>89670</v>
      </c>
      <c r="B374" s="38">
        <v>368</v>
      </c>
      <c r="C374" s="39" t="s">
        <v>1371</v>
      </c>
      <c r="D374" s="10" t="str">
        <f>VLOOKUP(C374,'Data Angt'!$A$5:$B$5809,2,FALSE)</f>
        <v>A537</v>
      </c>
      <c r="E374" s="40" t="s">
        <v>11018</v>
      </c>
      <c r="F374" s="41">
        <v>43347</v>
      </c>
      <c r="G374" s="38">
        <v>12</v>
      </c>
      <c r="H374" s="40">
        <v>0</v>
      </c>
      <c r="I374" s="38">
        <v>5.5</v>
      </c>
      <c r="J374" s="41">
        <v>43347</v>
      </c>
      <c r="K374" s="38" t="s">
        <v>10768</v>
      </c>
      <c r="L374" s="42">
        <v>5000000</v>
      </c>
      <c r="O374"/>
      <c r="R374"/>
      <c r="T374" s="44"/>
    </row>
    <row r="375" spans="1:20" x14ac:dyDescent="0.3">
      <c r="A375" s="37">
        <v>79014</v>
      </c>
      <c r="B375" s="38">
        <v>369</v>
      </c>
      <c r="C375" s="39" t="s">
        <v>1371</v>
      </c>
      <c r="D375" s="10" t="str">
        <f>VLOOKUP(C375,'Data Angt'!$A$5:$B$5809,2,FALSE)</f>
        <v>A537</v>
      </c>
      <c r="E375" s="40" t="s">
        <v>11019</v>
      </c>
      <c r="F375" s="41">
        <v>42080</v>
      </c>
      <c r="G375" s="38">
        <v>12</v>
      </c>
      <c r="H375" s="40">
        <v>0</v>
      </c>
      <c r="I375" s="38">
        <v>5.5</v>
      </c>
      <c r="J375" s="41">
        <v>42080</v>
      </c>
      <c r="K375" s="38" t="s">
        <v>10768</v>
      </c>
      <c r="L375" s="42">
        <v>18000000</v>
      </c>
      <c r="O375"/>
      <c r="R375"/>
      <c r="T375" s="44"/>
    </row>
    <row r="376" spans="1:20" x14ac:dyDescent="0.3">
      <c r="A376" s="37">
        <v>137533</v>
      </c>
      <c r="B376" s="38">
        <v>370</v>
      </c>
      <c r="C376" s="39" t="s">
        <v>1401</v>
      </c>
      <c r="D376" s="10" t="str">
        <f>VLOOKUP(C376,'Data Angt'!$A$5:$B$5809,2,FALSE)</f>
        <v>A548</v>
      </c>
      <c r="E376" s="40" t="s">
        <v>11020</v>
      </c>
      <c r="F376" s="41">
        <v>45068</v>
      </c>
      <c r="G376" s="38">
        <v>12</v>
      </c>
      <c r="H376" s="40">
        <v>0</v>
      </c>
      <c r="I376" s="38">
        <v>5.5</v>
      </c>
      <c r="J376" s="41">
        <v>45068</v>
      </c>
      <c r="K376" s="38" t="s">
        <v>10768</v>
      </c>
      <c r="L376" s="42">
        <v>10000000</v>
      </c>
      <c r="O376"/>
      <c r="R376"/>
      <c r="T376" s="44"/>
    </row>
    <row r="377" spans="1:20" x14ac:dyDescent="0.3">
      <c r="A377" s="37">
        <v>79448</v>
      </c>
      <c r="B377" s="38">
        <v>371</v>
      </c>
      <c r="C377" s="39" t="s">
        <v>1403</v>
      </c>
      <c r="D377" s="10" t="str">
        <f>VLOOKUP(C377,'Data Angt'!$A$5:$B$5809,2,FALSE)</f>
        <v>A549</v>
      </c>
      <c r="E377" s="40" t="s">
        <v>11021</v>
      </c>
      <c r="F377" s="41">
        <v>41744</v>
      </c>
      <c r="G377" s="38">
        <v>12</v>
      </c>
      <c r="H377" s="40">
        <v>0</v>
      </c>
      <c r="I377" s="38">
        <v>5.5</v>
      </c>
      <c r="J377" s="41">
        <v>41744</v>
      </c>
      <c r="K377" s="38" t="s">
        <v>10768</v>
      </c>
      <c r="L377" s="42">
        <v>5000000</v>
      </c>
      <c r="O377"/>
      <c r="R377"/>
      <c r="T377" s="44"/>
    </row>
    <row r="378" spans="1:20" x14ac:dyDescent="0.3">
      <c r="A378" s="37">
        <v>154874</v>
      </c>
      <c r="B378" s="38">
        <v>372</v>
      </c>
      <c r="C378" s="39" t="s">
        <v>1427</v>
      </c>
      <c r="D378" s="10" t="str">
        <f>VLOOKUP(C378,'Data Angt'!$A$5:$B$5809,2,FALSE)</f>
        <v>A560</v>
      </c>
      <c r="E378" s="40" t="s">
        <v>18482</v>
      </c>
      <c r="F378" s="41">
        <v>45754</v>
      </c>
      <c r="G378" s="38">
        <v>12</v>
      </c>
      <c r="H378" s="40">
        <v>0</v>
      </c>
      <c r="I378" s="38">
        <v>5.5</v>
      </c>
      <c r="J378" s="41">
        <v>45754</v>
      </c>
      <c r="K378" s="38" t="s">
        <v>10768</v>
      </c>
      <c r="L378" s="42">
        <v>50000000</v>
      </c>
      <c r="O378"/>
      <c r="R378"/>
      <c r="T378" s="44"/>
    </row>
    <row r="379" spans="1:20" x14ac:dyDescent="0.3">
      <c r="A379" s="37">
        <v>79038</v>
      </c>
      <c r="B379" s="38">
        <v>373</v>
      </c>
      <c r="C379" s="39" t="s">
        <v>1445</v>
      </c>
      <c r="D379" s="10" t="str">
        <f>VLOOKUP(C379,'Data Angt'!$A$5:$B$5809,2,FALSE)</f>
        <v>A567</v>
      </c>
      <c r="E379" s="40" t="s">
        <v>11022</v>
      </c>
      <c r="F379" s="41">
        <v>42353</v>
      </c>
      <c r="G379" s="38">
        <v>12</v>
      </c>
      <c r="H379" s="40">
        <v>0</v>
      </c>
      <c r="I379" s="38">
        <v>5.5</v>
      </c>
      <c r="J379" s="41">
        <v>42353</v>
      </c>
      <c r="K379" s="38" t="s">
        <v>10768</v>
      </c>
      <c r="L379" s="42">
        <v>5000000</v>
      </c>
      <c r="O379"/>
      <c r="R379"/>
      <c r="T379" s="44"/>
    </row>
    <row r="380" spans="1:20" x14ac:dyDescent="0.3">
      <c r="A380" s="37">
        <v>139747</v>
      </c>
      <c r="B380" s="38">
        <v>374</v>
      </c>
      <c r="C380" s="39" t="s">
        <v>1445</v>
      </c>
      <c r="D380" s="10" t="str">
        <f>VLOOKUP(C380,'Data Angt'!$A$5:$B$5809,2,FALSE)</f>
        <v>A567</v>
      </c>
      <c r="E380" s="40" t="s">
        <v>11023</v>
      </c>
      <c r="F380" s="41">
        <v>45205</v>
      </c>
      <c r="G380" s="38">
        <v>12</v>
      </c>
      <c r="H380" s="40">
        <v>0</v>
      </c>
      <c r="I380" s="38">
        <v>5.5</v>
      </c>
      <c r="J380" s="41">
        <v>45205</v>
      </c>
      <c r="K380" s="38" t="s">
        <v>10768</v>
      </c>
      <c r="L380" s="42">
        <v>7000000</v>
      </c>
      <c r="O380"/>
      <c r="R380"/>
      <c r="T380" s="44"/>
    </row>
    <row r="381" spans="1:20" x14ac:dyDescent="0.3">
      <c r="A381" s="37">
        <v>151607</v>
      </c>
      <c r="B381" s="38">
        <v>375</v>
      </c>
      <c r="C381" s="39" t="s">
        <v>1445</v>
      </c>
      <c r="D381" s="10" t="str">
        <f>VLOOKUP(C381,'Data Angt'!$A$5:$B$5809,2,FALSE)</f>
        <v>A567</v>
      </c>
      <c r="E381" s="40" t="s">
        <v>18483</v>
      </c>
      <c r="F381" s="41">
        <v>45646</v>
      </c>
      <c r="G381" s="38">
        <v>12</v>
      </c>
      <c r="H381" s="40">
        <v>0</v>
      </c>
      <c r="I381" s="38">
        <v>5.5</v>
      </c>
      <c r="J381" s="41">
        <v>45646</v>
      </c>
      <c r="K381" s="38" t="s">
        <v>10768</v>
      </c>
      <c r="L381" s="42">
        <v>1000000</v>
      </c>
      <c r="O381"/>
      <c r="R381"/>
      <c r="T381" s="44"/>
    </row>
    <row r="382" spans="1:20" x14ac:dyDescent="0.3">
      <c r="A382" s="37">
        <v>79428</v>
      </c>
      <c r="B382" s="38">
        <v>376</v>
      </c>
      <c r="C382" s="39" t="s">
        <v>1457</v>
      </c>
      <c r="D382" s="10" t="str">
        <f>VLOOKUP(C382,'Data Angt'!$A$5:$B$5809,2,FALSE)</f>
        <v>A572</v>
      </c>
      <c r="E382" s="40" t="s">
        <v>11024</v>
      </c>
      <c r="F382" s="41">
        <v>42774</v>
      </c>
      <c r="G382" s="38">
        <v>12</v>
      </c>
      <c r="H382" s="40">
        <v>0</v>
      </c>
      <c r="I382" s="38">
        <v>5.5</v>
      </c>
      <c r="J382" s="41">
        <v>42949</v>
      </c>
      <c r="K382" s="38" t="s">
        <v>10768</v>
      </c>
      <c r="L382" s="42">
        <v>5000000</v>
      </c>
      <c r="O382"/>
      <c r="R382"/>
      <c r="T382" s="44"/>
    </row>
    <row r="383" spans="1:20" x14ac:dyDescent="0.3">
      <c r="A383" s="37">
        <v>86027</v>
      </c>
      <c r="B383" s="38">
        <v>377</v>
      </c>
      <c r="C383" s="39" t="s">
        <v>1482</v>
      </c>
      <c r="D383" s="10" t="str">
        <f>VLOOKUP(C383,'Data Angt'!$A$5:$B$5809,2,FALSE)</f>
        <v>A583</v>
      </c>
      <c r="E383" s="40" t="s">
        <v>11025</v>
      </c>
      <c r="F383" s="41">
        <v>43227</v>
      </c>
      <c r="G383" s="38">
        <v>12</v>
      </c>
      <c r="H383" s="40">
        <v>0</v>
      </c>
      <c r="I383" s="38">
        <v>5.5</v>
      </c>
      <c r="J383" s="41">
        <v>43227</v>
      </c>
      <c r="K383" s="38" t="s">
        <v>10768</v>
      </c>
      <c r="L383" s="42">
        <v>20000000</v>
      </c>
      <c r="O383"/>
      <c r="R383"/>
      <c r="T383" s="44"/>
    </row>
    <row r="384" spans="1:20" x14ac:dyDescent="0.3">
      <c r="A384" s="37">
        <v>147674</v>
      </c>
      <c r="B384" s="38">
        <v>378</v>
      </c>
      <c r="C384" s="39" t="s">
        <v>12156</v>
      </c>
      <c r="D384" s="10" t="str">
        <f>VLOOKUP(C384,'Data Angt'!$A$5:$B$5809,2,FALSE)</f>
        <v>A600</v>
      </c>
      <c r="E384" s="40" t="s">
        <v>18484</v>
      </c>
      <c r="F384" s="41">
        <v>45498</v>
      </c>
      <c r="G384" s="38">
        <v>12</v>
      </c>
      <c r="H384" s="40">
        <v>0</v>
      </c>
      <c r="I384" s="38">
        <v>5.5</v>
      </c>
      <c r="J384" s="41">
        <v>45498</v>
      </c>
      <c r="K384" s="38" t="s">
        <v>10768</v>
      </c>
      <c r="L384" s="42">
        <v>1500000</v>
      </c>
      <c r="O384"/>
      <c r="R384"/>
      <c r="T384" s="44"/>
    </row>
    <row r="385" spans="1:20" x14ac:dyDescent="0.3">
      <c r="A385" s="37">
        <v>78977</v>
      </c>
      <c r="B385" s="38">
        <v>379</v>
      </c>
      <c r="C385" s="39" t="s">
        <v>1572</v>
      </c>
      <c r="D385" s="10" t="str">
        <f>VLOOKUP(C385,'Data Angt'!$A$5:$B$5809,2,FALSE)</f>
        <v>A623</v>
      </c>
      <c r="E385" s="40" t="s">
        <v>11026</v>
      </c>
      <c r="F385" s="41">
        <v>40416</v>
      </c>
      <c r="G385" s="38">
        <v>12</v>
      </c>
      <c r="H385" s="40">
        <v>0</v>
      </c>
      <c r="I385" s="38">
        <v>5.5</v>
      </c>
      <c r="J385" s="41">
        <v>40416</v>
      </c>
      <c r="K385" s="38" t="s">
        <v>10768</v>
      </c>
      <c r="L385" s="42">
        <v>15000000</v>
      </c>
      <c r="O385"/>
      <c r="R385"/>
      <c r="T385" s="44"/>
    </row>
    <row r="386" spans="1:20" x14ac:dyDescent="0.3">
      <c r="A386" s="37">
        <v>129642</v>
      </c>
      <c r="B386" s="38">
        <v>380</v>
      </c>
      <c r="C386" s="39" t="s">
        <v>1572</v>
      </c>
      <c r="D386" s="10" t="str">
        <f>VLOOKUP(C386,'Data Angt'!$A$5:$B$5809,2,FALSE)</f>
        <v>A623</v>
      </c>
      <c r="E386" s="40" t="s">
        <v>11027</v>
      </c>
      <c r="F386" s="41">
        <v>44434</v>
      </c>
      <c r="G386" s="38">
        <v>12</v>
      </c>
      <c r="H386" s="40">
        <v>0</v>
      </c>
      <c r="I386" s="38">
        <v>5.5</v>
      </c>
      <c r="J386" s="41">
        <v>44434</v>
      </c>
      <c r="K386" s="38" t="s">
        <v>10768</v>
      </c>
      <c r="L386" s="42">
        <v>10000000</v>
      </c>
      <c r="O386"/>
      <c r="R386"/>
      <c r="T386" s="44"/>
    </row>
    <row r="387" spans="1:20" x14ac:dyDescent="0.3">
      <c r="A387" s="37">
        <v>134026</v>
      </c>
      <c r="B387" s="38">
        <v>381</v>
      </c>
      <c r="C387" s="39" t="s">
        <v>1614</v>
      </c>
      <c r="D387" s="10" t="str">
        <f>VLOOKUP(C387,'Data Angt'!$A$5:$B$5809,2,FALSE)</f>
        <v>A640</v>
      </c>
      <c r="E387" s="40" t="s">
        <v>11028</v>
      </c>
      <c r="F387" s="41">
        <v>44783</v>
      </c>
      <c r="G387" s="38">
        <v>12</v>
      </c>
      <c r="H387" s="40">
        <v>0</v>
      </c>
      <c r="I387" s="38">
        <v>5.5</v>
      </c>
      <c r="J387" s="41">
        <v>44783</v>
      </c>
      <c r="K387" s="38" t="s">
        <v>10768</v>
      </c>
      <c r="L387" s="42">
        <v>30000000</v>
      </c>
      <c r="O387"/>
      <c r="R387"/>
      <c r="T387" s="44"/>
    </row>
    <row r="388" spans="1:20" x14ac:dyDescent="0.3">
      <c r="A388" s="37">
        <v>156172</v>
      </c>
      <c r="B388" s="38">
        <v>382</v>
      </c>
      <c r="C388" s="39" t="s">
        <v>12161</v>
      </c>
      <c r="D388" s="10" t="str">
        <f>VLOOKUP(C388,'Data Angt'!$A$5:$B$5809,2,FALSE)</f>
        <v>A664</v>
      </c>
      <c r="E388" s="40" t="s">
        <v>18485</v>
      </c>
      <c r="F388" s="41">
        <v>45811</v>
      </c>
      <c r="G388" s="38">
        <v>12</v>
      </c>
      <c r="H388" s="40">
        <v>0</v>
      </c>
      <c r="I388" s="38">
        <v>5.5</v>
      </c>
      <c r="J388" s="41">
        <v>45811</v>
      </c>
      <c r="K388" s="38" t="s">
        <v>10768</v>
      </c>
      <c r="L388" s="42">
        <v>2000000</v>
      </c>
      <c r="O388"/>
      <c r="R388"/>
      <c r="T388" s="44"/>
    </row>
    <row r="389" spans="1:20" x14ac:dyDescent="0.3">
      <c r="A389" s="37">
        <v>156314</v>
      </c>
      <c r="B389" s="38">
        <v>383</v>
      </c>
      <c r="C389" s="39" t="s">
        <v>12161</v>
      </c>
      <c r="D389" s="10" t="str">
        <f>VLOOKUP(C389,'Data Angt'!$A$5:$B$5809,2,FALSE)</f>
        <v>A664</v>
      </c>
      <c r="E389" s="40" t="s">
        <v>18486</v>
      </c>
      <c r="F389" s="41">
        <v>45819</v>
      </c>
      <c r="G389" s="38">
        <v>12</v>
      </c>
      <c r="H389" s="40">
        <v>0</v>
      </c>
      <c r="I389" s="38">
        <v>5.5</v>
      </c>
      <c r="J389" s="41">
        <v>45819</v>
      </c>
      <c r="K389" s="38" t="s">
        <v>10768</v>
      </c>
      <c r="L389" s="42">
        <v>1000000</v>
      </c>
      <c r="O389"/>
      <c r="R389"/>
      <c r="T389" s="44"/>
    </row>
    <row r="390" spans="1:20" x14ac:dyDescent="0.3">
      <c r="A390" s="37">
        <v>156858</v>
      </c>
      <c r="B390" s="38">
        <v>384</v>
      </c>
      <c r="C390" s="39" t="s">
        <v>12161</v>
      </c>
      <c r="D390" s="10" t="str">
        <f>VLOOKUP(C390,'Data Angt'!$A$5:$B$5809,2,FALSE)</f>
        <v>A664</v>
      </c>
      <c r="E390" s="40" t="s">
        <v>24139</v>
      </c>
      <c r="F390" s="41">
        <v>45846</v>
      </c>
      <c r="G390" s="38">
        <v>12</v>
      </c>
      <c r="H390" s="40">
        <v>0</v>
      </c>
      <c r="I390" s="38">
        <v>5.5</v>
      </c>
      <c r="J390" s="41">
        <v>45846</v>
      </c>
      <c r="K390" s="38" t="s">
        <v>10768</v>
      </c>
      <c r="L390" s="42">
        <v>1000000</v>
      </c>
      <c r="O390"/>
      <c r="R390"/>
      <c r="T390" s="44"/>
    </row>
    <row r="391" spans="1:20" x14ac:dyDescent="0.3">
      <c r="A391" s="37">
        <v>157913</v>
      </c>
      <c r="B391" s="38">
        <v>385</v>
      </c>
      <c r="C391" s="39" t="s">
        <v>12161</v>
      </c>
      <c r="D391" s="10" t="str">
        <f>VLOOKUP(C391,'Data Angt'!$A$5:$B$5809,2,FALSE)</f>
        <v>A664</v>
      </c>
      <c r="E391" s="40" t="s">
        <v>24140</v>
      </c>
      <c r="F391" s="41">
        <v>45885</v>
      </c>
      <c r="G391" s="38">
        <v>12</v>
      </c>
      <c r="H391" s="40">
        <v>0</v>
      </c>
      <c r="I391" s="38">
        <v>5.5</v>
      </c>
      <c r="J391" s="41">
        <v>45885</v>
      </c>
      <c r="K391" s="38" t="s">
        <v>10768</v>
      </c>
      <c r="L391" s="42">
        <v>1000000</v>
      </c>
      <c r="O391"/>
      <c r="R391"/>
      <c r="T391" s="44"/>
    </row>
    <row r="392" spans="1:20" x14ac:dyDescent="0.3">
      <c r="A392" s="37">
        <v>158484</v>
      </c>
      <c r="B392" s="38">
        <v>386</v>
      </c>
      <c r="C392" s="39" t="s">
        <v>12161</v>
      </c>
      <c r="D392" s="10" t="str">
        <f>VLOOKUP(C392,'Data Angt'!$A$5:$B$5809,2,FALSE)</f>
        <v>A664</v>
      </c>
      <c r="E392" s="40" t="s">
        <v>24141</v>
      </c>
      <c r="F392" s="41">
        <v>45910</v>
      </c>
      <c r="G392" s="38">
        <v>12</v>
      </c>
      <c r="H392" s="40">
        <v>0</v>
      </c>
      <c r="I392" s="38">
        <v>5.5</v>
      </c>
      <c r="J392" s="41">
        <v>45910</v>
      </c>
      <c r="K392" s="38" t="s">
        <v>10768</v>
      </c>
      <c r="L392" s="42">
        <v>1000000</v>
      </c>
      <c r="O392"/>
      <c r="R392"/>
      <c r="T392" s="44"/>
    </row>
    <row r="393" spans="1:20" x14ac:dyDescent="0.3">
      <c r="A393" s="37">
        <v>136827</v>
      </c>
      <c r="B393" s="38">
        <v>387</v>
      </c>
      <c r="C393" s="39" t="s">
        <v>1774</v>
      </c>
      <c r="D393" s="10" t="str">
        <f>VLOOKUP(C393,'Data Angt'!$A$5:$B$5809,2,FALSE)</f>
        <v>A715</v>
      </c>
      <c r="E393" s="40" t="s">
        <v>11029</v>
      </c>
      <c r="F393" s="41">
        <v>45001</v>
      </c>
      <c r="G393" s="38">
        <v>12</v>
      </c>
      <c r="H393" s="40">
        <v>0</v>
      </c>
      <c r="I393" s="38">
        <v>5.5</v>
      </c>
      <c r="J393" s="41">
        <v>45001</v>
      </c>
      <c r="K393" s="38" t="s">
        <v>10768</v>
      </c>
      <c r="L393" s="42">
        <v>15500000</v>
      </c>
      <c r="O393"/>
      <c r="R393"/>
      <c r="T393" s="44"/>
    </row>
    <row r="394" spans="1:20" x14ac:dyDescent="0.3">
      <c r="A394" s="37">
        <v>143186</v>
      </c>
      <c r="B394" s="38">
        <v>388</v>
      </c>
      <c r="C394" s="39" t="s">
        <v>1823</v>
      </c>
      <c r="D394" s="10" t="str">
        <f>VLOOKUP(C394,'Data Angt'!$A$5:$B$5809,2,FALSE)</f>
        <v>A735</v>
      </c>
      <c r="E394" s="40" t="s">
        <v>18488</v>
      </c>
      <c r="F394" s="41">
        <v>45356</v>
      </c>
      <c r="G394" s="38">
        <v>12</v>
      </c>
      <c r="H394" s="40">
        <v>0</v>
      </c>
      <c r="I394" s="38">
        <v>5.5</v>
      </c>
      <c r="J394" s="41">
        <v>45356</v>
      </c>
      <c r="K394" s="38" t="s">
        <v>10768</v>
      </c>
      <c r="L394" s="42">
        <v>6000000</v>
      </c>
      <c r="O394"/>
      <c r="R394"/>
      <c r="T394" s="44"/>
    </row>
    <row r="395" spans="1:20" x14ac:dyDescent="0.3">
      <c r="A395" s="37">
        <v>143188</v>
      </c>
      <c r="B395" s="38">
        <v>389</v>
      </c>
      <c r="C395" s="39" t="s">
        <v>1823</v>
      </c>
      <c r="D395" s="10" t="str">
        <f>VLOOKUP(C395,'Data Angt'!$A$5:$B$5809,2,FALSE)</f>
        <v>A735</v>
      </c>
      <c r="E395" s="40" t="s">
        <v>18489</v>
      </c>
      <c r="F395" s="41">
        <v>45356</v>
      </c>
      <c r="G395" s="38">
        <v>12</v>
      </c>
      <c r="H395" s="40">
        <v>0</v>
      </c>
      <c r="I395" s="38">
        <v>5.5</v>
      </c>
      <c r="J395" s="41">
        <v>45356</v>
      </c>
      <c r="K395" s="38" t="s">
        <v>10768</v>
      </c>
      <c r="L395" s="42">
        <v>3500000</v>
      </c>
      <c r="O395"/>
      <c r="R395"/>
      <c r="T395" s="44"/>
    </row>
    <row r="396" spans="1:20" x14ac:dyDescent="0.3">
      <c r="A396" s="37">
        <v>143196</v>
      </c>
      <c r="B396" s="38">
        <v>390</v>
      </c>
      <c r="C396" s="39" t="s">
        <v>1823</v>
      </c>
      <c r="D396" s="10" t="str">
        <f>VLOOKUP(C396,'Data Angt'!$A$5:$B$5809,2,FALSE)</f>
        <v>A735</v>
      </c>
      <c r="E396" s="40" t="s">
        <v>18490</v>
      </c>
      <c r="F396" s="41">
        <v>45356</v>
      </c>
      <c r="G396" s="38">
        <v>12</v>
      </c>
      <c r="H396" s="40">
        <v>0</v>
      </c>
      <c r="I396" s="38">
        <v>5.5</v>
      </c>
      <c r="J396" s="41">
        <v>45356</v>
      </c>
      <c r="K396" s="38" t="s">
        <v>10768</v>
      </c>
      <c r="L396" s="42">
        <v>9000000</v>
      </c>
      <c r="O396"/>
      <c r="R396"/>
      <c r="T396" s="44"/>
    </row>
    <row r="397" spans="1:20" x14ac:dyDescent="0.3">
      <c r="A397" s="37">
        <v>88239</v>
      </c>
      <c r="B397" s="38">
        <v>391</v>
      </c>
      <c r="C397" s="39" t="s">
        <v>1823</v>
      </c>
      <c r="D397" s="10" t="str">
        <f>VLOOKUP(C397,'Data Angt'!$A$5:$B$5809,2,FALSE)</f>
        <v>A735</v>
      </c>
      <c r="E397" s="40" t="s">
        <v>11188</v>
      </c>
      <c r="F397" s="41">
        <v>43316</v>
      </c>
      <c r="G397" s="38">
        <v>12</v>
      </c>
      <c r="H397" s="40">
        <v>0</v>
      </c>
      <c r="I397" s="38">
        <v>5.5</v>
      </c>
      <c r="J397" s="41">
        <v>43316</v>
      </c>
      <c r="K397" s="38" t="s">
        <v>10768</v>
      </c>
      <c r="L397" s="42">
        <v>2000000</v>
      </c>
      <c r="O397"/>
      <c r="R397"/>
      <c r="T397" s="44"/>
    </row>
    <row r="398" spans="1:20" x14ac:dyDescent="0.3">
      <c r="A398" s="37">
        <v>79603</v>
      </c>
      <c r="B398" s="38">
        <v>392</v>
      </c>
      <c r="C398" s="39" t="s">
        <v>1823</v>
      </c>
      <c r="D398" s="10" t="str">
        <f>VLOOKUP(C398,'Data Angt'!$A$5:$B$5809,2,FALSE)</f>
        <v>A735</v>
      </c>
      <c r="E398" s="40" t="s">
        <v>11075</v>
      </c>
      <c r="F398" s="41">
        <v>42802</v>
      </c>
      <c r="G398" s="38">
        <v>12</v>
      </c>
      <c r="H398" s="40">
        <v>0</v>
      </c>
      <c r="I398" s="38">
        <v>5.5</v>
      </c>
      <c r="J398" s="41">
        <v>42950</v>
      </c>
      <c r="K398" s="38" t="s">
        <v>10768</v>
      </c>
      <c r="L398" s="42">
        <v>2000000</v>
      </c>
      <c r="O398"/>
      <c r="R398"/>
      <c r="T398" s="44"/>
    </row>
    <row r="399" spans="1:20" x14ac:dyDescent="0.3">
      <c r="A399" s="37">
        <v>79604</v>
      </c>
      <c r="B399" s="38">
        <v>393</v>
      </c>
      <c r="C399" s="39" t="s">
        <v>1823</v>
      </c>
      <c r="D399" s="10" t="str">
        <f>VLOOKUP(C399,'Data Angt'!$A$5:$B$5809,2,FALSE)</f>
        <v>A735</v>
      </c>
      <c r="E399" s="40" t="s">
        <v>11186</v>
      </c>
      <c r="F399" s="41">
        <v>42802</v>
      </c>
      <c r="G399" s="38">
        <v>12</v>
      </c>
      <c r="H399" s="40">
        <v>0</v>
      </c>
      <c r="I399" s="38">
        <v>5.5</v>
      </c>
      <c r="J399" s="41">
        <v>42950</v>
      </c>
      <c r="K399" s="38" t="s">
        <v>10768</v>
      </c>
      <c r="L399" s="42">
        <v>1000000</v>
      </c>
      <c r="O399"/>
      <c r="R399"/>
      <c r="T399" s="44"/>
    </row>
    <row r="400" spans="1:20" x14ac:dyDescent="0.3">
      <c r="A400" s="37">
        <v>79605</v>
      </c>
      <c r="B400" s="38">
        <v>394</v>
      </c>
      <c r="C400" s="39" t="s">
        <v>1823</v>
      </c>
      <c r="D400" s="10" t="str">
        <f>VLOOKUP(C400,'Data Angt'!$A$5:$B$5809,2,FALSE)</f>
        <v>A735</v>
      </c>
      <c r="E400" s="40" t="s">
        <v>11076</v>
      </c>
      <c r="F400" s="41">
        <v>42804</v>
      </c>
      <c r="G400" s="38">
        <v>12</v>
      </c>
      <c r="H400" s="40">
        <v>0</v>
      </c>
      <c r="I400" s="38">
        <v>5.5</v>
      </c>
      <c r="J400" s="41">
        <v>43011</v>
      </c>
      <c r="K400" s="38" t="s">
        <v>10768</v>
      </c>
      <c r="L400" s="42">
        <v>1000000</v>
      </c>
      <c r="O400"/>
      <c r="R400"/>
      <c r="T400" s="44"/>
    </row>
    <row r="401" spans="1:20" x14ac:dyDescent="0.3">
      <c r="A401" s="37">
        <v>79606</v>
      </c>
      <c r="B401" s="38">
        <v>395</v>
      </c>
      <c r="C401" s="39" t="s">
        <v>1823</v>
      </c>
      <c r="D401" s="10" t="str">
        <f>VLOOKUP(C401,'Data Angt'!$A$5:$B$5809,2,FALSE)</f>
        <v>A735</v>
      </c>
      <c r="E401" s="40" t="s">
        <v>11187</v>
      </c>
      <c r="F401" s="41">
        <v>42804</v>
      </c>
      <c r="G401" s="38">
        <v>12</v>
      </c>
      <c r="H401" s="40">
        <v>0</v>
      </c>
      <c r="I401" s="38">
        <v>5.5</v>
      </c>
      <c r="J401" s="41">
        <v>43011</v>
      </c>
      <c r="K401" s="38" t="s">
        <v>10768</v>
      </c>
      <c r="L401" s="42">
        <v>1000000</v>
      </c>
      <c r="O401"/>
      <c r="R401"/>
      <c r="T401" s="44"/>
    </row>
    <row r="402" spans="1:20" x14ac:dyDescent="0.3">
      <c r="A402" s="37">
        <v>81623</v>
      </c>
      <c r="B402" s="38">
        <v>396</v>
      </c>
      <c r="C402" s="39" t="s">
        <v>1823</v>
      </c>
      <c r="D402" s="10" t="str">
        <f>VLOOKUP(C402,'Data Angt'!$A$5:$B$5809,2,FALSE)</f>
        <v>A735</v>
      </c>
      <c r="E402" s="40" t="s">
        <v>11294</v>
      </c>
      <c r="F402" s="41">
        <v>43195</v>
      </c>
      <c r="G402" s="38">
        <v>12</v>
      </c>
      <c r="H402" s="40">
        <v>0</v>
      </c>
      <c r="I402" s="38">
        <v>5.5</v>
      </c>
      <c r="J402" s="41">
        <v>43195</v>
      </c>
      <c r="K402" s="38" t="s">
        <v>10768</v>
      </c>
      <c r="L402" s="42">
        <v>1000000</v>
      </c>
      <c r="O402"/>
      <c r="R402"/>
      <c r="T402" s="44"/>
    </row>
    <row r="403" spans="1:20" x14ac:dyDescent="0.3">
      <c r="A403" s="37">
        <v>87382</v>
      </c>
      <c r="B403" s="38">
        <v>397</v>
      </c>
      <c r="C403" s="39" t="s">
        <v>1823</v>
      </c>
      <c r="D403" s="10" t="str">
        <f>VLOOKUP(C403,'Data Angt'!$A$5:$B$5809,2,FALSE)</f>
        <v>A735</v>
      </c>
      <c r="E403" s="40" t="s">
        <v>11077</v>
      </c>
      <c r="F403" s="41">
        <v>43290</v>
      </c>
      <c r="G403" s="38">
        <v>12</v>
      </c>
      <c r="H403" s="40">
        <v>0</v>
      </c>
      <c r="I403" s="38">
        <v>5.5</v>
      </c>
      <c r="J403" s="41">
        <v>43290</v>
      </c>
      <c r="K403" s="38" t="s">
        <v>10768</v>
      </c>
      <c r="L403" s="42">
        <v>1000000</v>
      </c>
      <c r="O403"/>
      <c r="R403"/>
      <c r="T403" s="44"/>
    </row>
    <row r="404" spans="1:20" x14ac:dyDescent="0.3">
      <c r="A404" s="37">
        <v>124016</v>
      </c>
      <c r="B404" s="38">
        <v>398</v>
      </c>
      <c r="C404" s="39" t="s">
        <v>1823</v>
      </c>
      <c r="D404" s="10" t="str">
        <f>VLOOKUP(C404,'Data Angt'!$A$5:$B$5809,2,FALSE)</f>
        <v>A735</v>
      </c>
      <c r="E404" s="40" t="s">
        <v>11295</v>
      </c>
      <c r="F404" s="41">
        <v>44015</v>
      </c>
      <c r="G404" s="38">
        <v>12</v>
      </c>
      <c r="H404" s="40">
        <v>0</v>
      </c>
      <c r="I404" s="38">
        <v>5.5</v>
      </c>
      <c r="J404" s="41">
        <v>44015</v>
      </c>
      <c r="K404" s="38" t="s">
        <v>10768</v>
      </c>
      <c r="L404" s="42">
        <v>2500000</v>
      </c>
      <c r="O404"/>
      <c r="R404"/>
      <c r="T404" s="44"/>
    </row>
    <row r="405" spans="1:20" x14ac:dyDescent="0.3">
      <c r="A405" s="37">
        <v>137368</v>
      </c>
      <c r="B405" s="38">
        <v>399</v>
      </c>
      <c r="C405" s="39" t="s">
        <v>1823</v>
      </c>
      <c r="D405" s="10" t="str">
        <f>VLOOKUP(C405,'Data Angt'!$A$5:$B$5809,2,FALSE)</f>
        <v>A735</v>
      </c>
      <c r="E405" s="40" t="s">
        <v>11377</v>
      </c>
      <c r="F405" s="41">
        <v>45054</v>
      </c>
      <c r="G405" s="38">
        <v>12</v>
      </c>
      <c r="H405" s="40">
        <v>0</v>
      </c>
      <c r="I405" s="38">
        <v>5.5</v>
      </c>
      <c r="J405" s="41">
        <v>45054</v>
      </c>
      <c r="K405" s="38" t="s">
        <v>10768</v>
      </c>
      <c r="L405" s="42">
        <v>2000000</v>
      </c>
      <c r="O405"/>
      <c r="R405"/>
      <c r="T405" s="44"/>
    </row>
    <row r="406" spans="1:20" x14ac:dyDescent="0.3">
      <c r="A406" s="37">
        <v>143184</v>
      </c>
      <c r="B406" s="38">
        <v>400</v>
      </c>
      <c r="C406" s="39" t="s">
        <v>1823</v>
      </c>
      <c r="D406" s="10" t="str">
        <f>VLOOKUP(C406,'Data Angt'!$A$5:$B$5809,2,FALSE)</f>
        <v>A735</v>
      </c>
      <c r="E406" s="40" t="s">
        <v>18487</v>
      </c>
      <c r="F406" s="41">
        <v>45356</v>
      </c>
      <c r="G406" s="38">
        <v>12</v>
      </c>
      <c r="H406" s="40">
        <v>0</v>
      </c>
      <c r="I406" s="38">
        <v>5.5</v>
      </c>
      <c r="J406" s="41">
        <v>45356</v>
      </c>
      <c r="K406" s="38" t="s">
        <v>10768</v>
      </c>
      <c r="L406" s="42">
        <v>1000000</v>
      </c>
      <c r="O406"/>
      <c r="R406"/>
      <c r="T406" s="44"/>
    </row>
    <row r="407" spans="1:20" x14ac:dyDescent="0.3">
      <c r="A407" s="37">
        <v>157021</v>
      </c>
      <c r="B407" s="38">
        <v>401</v>
      </c>
      <c r="C407" s="39" t="s">
        <v>1829</v>
      </c>
      <c r="D407" s="10" t="str">
        <f>VLOOKUP(C407,'Data Angt'!$A$5:$B$5809,2,FALSE)</f>
        <v>A737</v>
      </c>
      <c r="E407" s="40" t="s">
        <v>24142</v>
      </c>
      <c r="F407" s="41">
        <v>45853</v>
      </c>
      <c r="G407" s="38">
        <v>12</v>
      </c>
      <c r="H407" s="40">
        <v>0</v>
      </c>
      <c r="I407" s="38">
        <v>5.5</v>
      </c>
      <c r="J407" s="41">
        <v>45853</v>
      </c>
      <c r="K407" s="38" t="s">
        <v>10768</v>
      </c>
      <c r="L407" s="42">
        <v>30000000</v>
      </c>
      <c r="O407"/>
      <c r="R407"/>
      <c r="T407" s="44"/>
    </row>
    <row r="408" spans="1:20" x14ac:dyDescent="0.3">
      <c r="A408" s="37">
        <v>158607</v>
      </c>
      <c r="B408" s="38">
        <v>402</v>
      </c>
      <c r="C408" s="39" t="s">
        <v>1849</v>
      </c>
      <c r="D408" s="10" t="str">
        <f>VLOOKUP(C408,'Data Angt'!$A$5:$B$5809,2,FALSE)</f>
        <v>A746</v>
      </c>
      <c r="E408" s="40" t="s">
        <v>24143</v>
      </c>
      <c r="F408" s="41">
        <v>45917</v>
      </c>
      <c r="G408" s="38">
        <v>12</v>
      </c>
      <c r="H408" s="40">
        <v>0</v>
      </c>
      <c r="I408" s="38">
        <v>5.5</v>
      </c>
      <c r="J408" s="41">
        <v>45917</v>
      </c>
      <c r="K408" s="38" t="s">
        <v>10768</v>
      </c>
      <c r="L408" s="42">
        <v>1500000</v>
      </c>
      <c r="O408"/>
      <c r="R408"/>
      <c r="T408" s="44"/>
    </row>
    <row r="409" spans="1:20" x14ac:dyDescent="0.3">
      <c r="A409" s="37">
        <v>156522</v>
      </c>
      <c r="B409" s="38">
        <v>403</v>
      </c>
      <c r="C409" s="39" t="s">
        <v>1851</v>
      </c>
      <c r="D409" s="10" t="str">
        <f>VLOOKUP(C409,'Data Angt'!$A$5:$B$5809,2,FALSE)</f>
        <v>A747</v>
      </c>
      <c r="E409" s="40" t="s">
        <v>18491</v>
      </c>
      <c r="F409" s="41">
        <v>45831</v>
      </c>
      <c r="G409" s="38">
        <v>12</v>
      </c>
      <c r="H409" s="40">
        <v>0</v>
      </c>
      <c r="I409" s="38">
        <v>5.5</v>
      </c>
      <c r="J409" s="41">
        <v>45831</v>
      </c>
      <c r="K409" s="38" t="s">
        <v>10768</v>
      </c>
      <c r="L409" s="42">
        <v>92000000</v>
      </c>
      <c r="O409"/>
      <c r="R409"/>
      <c r="T409" s="44"/>
    </row>
    <row r="410" spans="1:20" x14ac:dyDescent="0.3">
      <c r="A410" s="37">
        <v>157969</v>
      </c>
      <c r="B410" s="38">
        <v>404</v>
      </c>
      <c r="C410" s="39" t="s">
        <v>1851</v>
      </c>
      <c r="D410" s="10" t="str">
        <f>VLOOKUP(C410,'Data Angt'!$A$5:$B$5809,2,FALSE)</f>
        <v>A747</v>
      </c>
      <c r="E410" s="40" t="s">
        <v>24144</v>
      </c>
      <c r="F410" s="41">
        <v>45888</v>
      </c>
      <c r="G410" s="38">
        <v>12</v>
      </c>
      <c r="H410" s="40">
        <v>0</v>
      </c>
      <c r="I410" s="38">
        <v>5.5</v>
      </c>
      <c r="J410" s="41">
        <v>45888</v>
      </c>
      <c r="K410" s="38" t="s">
        <v>10768</v>
      </c>
      <c r="L410" s="42">
        <v>60000000</v>
      </c>
      <c r="O410"/>
      <c r="R410"/>
      <c r="T410" s="44"/>
    </row>
    <row r="411" spans="1:20" x14ac:dyDescent="0.3">
      <c r="A411" s="37">
        <v>88246</v>
      </c>
      <c r="B411" s="38">
        <v>405</v>
      </c>
      <c r="C411" s="39" t="s">
        <v>1864</v>
      </c>
      <c r="D411" s="10" t="str">
        <f>VLOOKUP(C411,'Data Angt'!$A$5:$B$5809,2,FALSE)</f>
        <v>A751</v>
      </c>
      <c r="E411" s="40" t="s">
        <v>11031</v>
      </c>
      <c r="F411" s="41">
        <v>43316</v>
      </c>
      <c r="G411" s="38">
        <v>12</v>
      </c>
      <c r="H411" s="40">
        <v>0</v>
      </c>
      <c r="I411" s="38">
        <v>5.5</v>
      </c>
      <c r="J411" s="41">
        <v>43316</v>
      </c>
      <c r="K411" s="38" t="s">
        <v>10768</v>
      </c>
      <c r="L411" s="42">
        <v>1000000</v>
      </c>
      <c r="O411"/>
      <c r="R411"/>
      <c r="T411" s="44"/>
    </row>
    <row r="412" spans="1:20" x14ac:dyDescent="0.3">
      <c r="A412" s="37">
        <v>79600</v>
      </c>
      <c r="B412" s="38">
        <v>406</v>
      </c>
      <c r="C412" s="39" t="s">
        <v>1864</v>
      </c>
      <c r="D412" s="10" t="str">
        <f>VLOOKUP(C412,'Data Angt'!$A$5:$B$5809,2,FALSE)</f>
        <v>A751</v>
      </c>
      <c r="E412" s="40" t="s">
        <v>11030</v>
      </c>
      <c r="F412" s="41">
        <v>42437</v>
      </c>
      <c r="G412" s="38">
        <v>12</v>
      </c>
      <c r="H412" s="40">
        <v>0</v>
      </c>
      <c r="I412" s="38">
        <v>5.5</v>
      </c>
      <c r="J412" s="41">
        <v>42585</v>
      </c>
      <c r="K412" s="38" t="s">
        <v>10768</v>
      </c>
      <c r="L412" s="42">
        <v>1000000</v>
      </c>
      <c r="O412"/>
      <c r="R412"/>
      <c r="T412" s="44"/>
    </row>
    <row r="413" spans="1:20" x14ac:dyDescent="0.3">
      <c r="A413" s="37">
        <v>135716</v>
      </c>
      <c r="B413" s="38">
        <v>407</v>
      </c>
      <c r="C413" s="39" t="s">
        <v>12174</v>
      </c>
      <c r="D413" s="10" t="str">
        <f>VLOOKUP(C413,'Data Angt'!$A$5:$B$5809,2,FALSE)</f>
        <v>A803</v>
      </c>
      <c r="E413" s="40" t="s">
        <v>11032</v>
      </c>
      <c r="F413" s="41">
        <v>44911</v>
      </c>
      <c r="G413" s="38">
        <v>12</v>
      </c>
      <c r="H413" s="40">
        <v>0</v>
      </c>
      <c r="I413" s="38">
        <v>5.5</v>
      </c>
      <c r="J413" s="41">
        <v>44911</v>
      </c>
      <c r="K413" s="38" t="s">
        <v>10768</v>
      </c>
      <c r="L413" s="42">
        <v>40000000</v>
      </c>
      <c r="O413"/>
      <c r="R413"/>
      <c r="T413" s="44"/>
    </row>
    <row r="414" spans="1:20" x14ac:dyDescent="0.3">
      <c r="A414" s="37">
        <v>81366</v>
      </c>
      <c r="B414" s="38">
        <v>408</v>
      </c>
      <c r="C414" s="39" t="s">
        <v>12176</v>
      </c>
      <c r="D414" s="10" t="str">
        <f>VLOOKUP(C414,'Data Angt'!$A$5:$B$5809,2,FALSE)</f>
        <v>A808</v>
      </c>
      <c r="E414" s="40" t="s">
        <v>11033</v>
      </c>
      <c r="F414" s="41">
        <v>43166</v>
      </c>
      <c r="G414" s="38">
        <v>12</v>
      </c>
      <c r="H414" s="40">
        <v>0</v>
      </c>
      <c r="I414" s="38">
        <v>5.5</v>
      </c>
      <c r="J414" s="41">
        <v>43166</v>
      </c>
      <c r="K414" s="38" t="s">
        <v>10768</v>
      </c>
      <c r="L414" s="42">
        <v>3000000</v>
      </c>
      <c r="O414"/>
      <c r="R414"/>
      <c r="T414" s="44"/>
    </row>
    <row r="415" spans="1:20" x14ac:dyDescent="0.3">
      <c r="A415" s="37">
        <v>79524</v>
      </c>
      <c r="B415" s="38">
        <v>409</v>
      </c>
      <c r="C415" s="39" t="s">
        <v>1985</v>
      </c>
      <c r="D415" s="10" t="str">
        <f>VLOOKUP(C415,'Data Angt'!$A$5:$B$5809,2,FALSE)</f>
        <v>A811</v>
      </c>
      <c r="E415" s="40" t="s">
        <v>11034</v>
      </c>
      <c r="F415" s="41">
        <v>42858</v>
      </c>
      <c r="G415" s="38">
        <v>12</v>
      </c>
      <c r="H415" s="40">
        <v>0</v>
      </c>
      <c r="I415" s="38">
        <v>5.5</v>
      </c>
      <c r="J415" s="41">
        <v>42799</v>
      </c>
      <c r="K415" s="38" t="s">
        <v>10768</v>
      </c>
      <c r="L415" s="42">
        <v>20000000</v>
      </c>
      <c r="O415"/>
      <c r="R415"/>
      <c r="T415" s="44"/>
    </row>
    <row r="416" spans="1:20" x14ac:dyDescent="0.3">
      <c r="A416" s="37">
        <v>86077</v>
      </c>
      <c r="B416" s="38">
        <v>410</v>
      </c>
      <c r="C416" s="39" t="s">
        <v>1985</v>
      </c>
      <c r="D416" s="10" t="str">
        <f>VLOOKUP(C416,'Data Angt'!$A$5:$B$5809,2,FALSE)</f>
        <v>A811</v>
      </c>
      <c r="E416" s="40" t="s">
        <v>11035</v>
      </c>
      <c r="F416" s="41">
        <v>43229</v>
      </c>
      <c r="G416" s="38">
        <v>12</v>
      </c>
      <c r="H416" s="40">
        <v>0</v>
      </c>
      <c r="I416" s="38">
        <v>5.5</v>
      </c>
      <c r="J416" s="41">
        <v>43229</v>
      </c>
      <c r="K416" s="38" t="s">
        <v>10768</v>
      </c>
      <c r="L416" s="42">
        <v>20000000</v>
      </c>
      <c r="O416"/>
      <c r="R416"/>
      <c r="T416" s="44"/>
    </row>
    <row r="417" spans="1:20" x14ac:dyDescent="0.3">
      <c r="A417" s="37">
        <v>139268</v>
      </c>
      <c r="B417" s="38">
        <v>411</v>
      </c>
      <c r="C417" s="39" t="s">
        <v>1985</v>
      </c>
      <c r="D417" s="10" t="str">
        <f>VLOOKUP(C417,'Data Angt'!$A$5:$B$5809,2,FALSE)</f>
        <v>A811</v>
      </c>
      <c r="E417" s="40" t="s">
        <v>11036</v>
      </c>
      <c r="F417" s="41">
        <v>45182</v>
      </c>
      <c r="G417" s="38">
        <v>12</v>
      </c>
      <c r="H417" s="40">
        <v>0</v>
      </c>
      <c r="I417" s="38">
        <v>5.5</v>
      </c>
      <c r="J417" s="41">
        <v>45182</v>
      </c>
      <c r="K417" s="38" t="s">
        <v>10768</v>
      </c>
      <c r="L417" s="42">
        <v>40000000</v>
      </c>
      <c r="O417"/>
      <c r="R417"/>
      <c r="T417" s="44"/>
    </row>
    <row r="418" spans="1:20" x14ac:dyDescent="0.3">
      <c r="A418" s="37">
        <v>141938</v>
      </c>
      <c r="B418" s="38">
        <v>412</v>
      </c>
      <c r="C418" s="39" t="s">
        <v>1985</v>
      </c>
      <c r="D418" s="10" t="str">
        <f>VLOOKUP(C418,'Data Angt'!$A$5:$B$5809,2,FALSE)</f>
        <v>A811</v>
      </c>
      <c r="E418" s="40" t="s">
        <v>18492</v>
      </c>
      <c r="F418" s="41">
        <v>45310</v>
      </c>
      <c r="G418" s="38">
        <v>12</v>
      </c>
      <c r="H418" s="40">
        <v>0</v>
      </c>
      <c r="I418" s="38">
        <v>5.5</v>
      </c>
      <c r="J418" s="41">
        <v>45310</v>
      </c>
      <c r="K418" s="38" t="s">
        <v>10768</v>
      </c>
      <c r="L418" s="42">
        <v>40000000</v>
      </c>
      <c r="O418"/>
      <c r="R418"/>
      <c r="T418" s="44"/>
    </row>
    <row r="419" spans="1:20" x14ac:dyDescent="0.3">
      <c r="A419" s="37">
        <v>158784</v>
      </c>
      <c r="B419" s="38">
        <v>413</v>
      </c>
      <c r="C419" s="39" t="s">
        <v>2000</v>
      </c>
      <c r="D419" s="10" t="str">
        <f>VLOOKUP(C419,'Data Angt'!$A$5:$B$5809,2,FALSE)</f>
        <v>A817</v>
      </c>
      <c r="E419" s="40" t="s">
        <v>24145</v>
      </c>
      <c r="F419" s="41">
        <v>45925</v>
      </c>
      <c r="G419" s="38">
        <v>12</v>
      </c>
      <c r="H419" s="40">
        <v>0</v>
      </c>
      <c r="I419" s="38">
        <v>5.5</v>
      </c>
      <c r="J419" s="41">
        <v>45925</v>
      </c>
      <c r="K419" s="38" t="s">
        <v>10768</v>
      </c>
      <c r="L419" s="42">
        <v>50000000</v>
      </c>
      <c r="O419"/>
      <c r="R419"/>
      <c r="T419" s="44"/>
    </row>
    <row r="420" spans="1:20" x14ac:dyDescent="0.3">
      <c r="A420" s="37">
        <v>87380</v>
      </c>
      <c r="B420" s="38">
        <v>414</v>
      </c>
      <c r="C420" s="39" t="s">
        <v>2023</v>
      </c>
      <c r="D420" s="10" t="str">
        <f>VLOOKUP(C420,'Data Angt'!$A$5:$B$5809,2,FALSE)</f>
        <v>A830</v>
      </c>
      <c r="E420" s="40" t="s">
        <v>11037</v>
      </c>
      <c r="F420" s="41">
        <v>43290</v>
      </c>
      <c r="G420" s="38">
        <v>12</v>
      </c>
      <c r="H420" s="40">
        <v>0</v>
      </c>
      <c r="I420" s="38">
        <v>5.5</v>
      </c>
      <c r="J420" s="41">
        <v>43290</v>
      </c>
      <c r="K420" s="38" t="s">
        <v>10768</v>
      </c>
      <c r="L420" s="42">
        <v>5000000</v>
      </c>
      <c r="O420"/>
      <c r="R420"/>
      <c r="T420" s="44"/>
    </row>
    <row r="421" spans="1:20" x14ac:dyDescent="0.3">
      <c r="A421" s="37">
        <v>134519</v>
      </c>
      <c r="B421" s="38">
        <v>415</v>
      </c>
      <c r="C421" s="39" t="s">
        <v>2037</v>
      </c>
      <c r="D421" s="10" t="str">
        <f>VLOOKUP(C421,'Data Angt'!$A$5:$B$5809,2,FALSE)</f>
        <v>A836</v>
      </c>
      <c r="E421" s="40" t="s">
        <v>11038</v>
      </c>
      <c r="F421" s="41">
        <v>44813</v>
      </c>
      <c r="G421" s="38">
        <v>12</v>
      </c>
      <c r="H421" s="40">
        <v>0</v>
      </c>
      <c r="I421" s="38">
        <v>5.5</v>
      </c>
      <c r="J421" s="41">
        <v>44813</v>
      </c>
      <c r="K421" s="38" t="s">
        <v>10768</v>
      </c>
      <c r="L421" s="42">
        <v>5000000</v>
      </c>
      <c r="O421"/>
      <c r="R421"/>
      <c r="T421" s="44"/>
    </row>
    <row r="422" spans="1:20" x14ac:dyDescent="0.3">
      <c r="A422" s="37">
        <v>139745</v>
      </c>
      <c r="B422" s="38">
        <v>416</v>
      </c>
      <c r="C422" s="39" t="s">
        <v>2037</v>
      </c>
      <c r="D422" s="10" t="str">
        <f>VLOOKUP(C422,'Data Angt'!$A$5:$B$5809,2,FALSE)</f>
        <v>A836</v>
      </c>
      <c r="E422" s="40" t="s">
        <v>11039</v>
      </c>
      <c r="F422" s="41">
        <v>45205</v>
      </c>
      <c r="G422" s="38">
        <v>12</v>
      </c>
      <c r="H422" s="40">
        <v>0</v>
      </c>
      <c r="I422" s="38">
        <v>5.5</v>
      </c>
      <c r="J422" s="41">
        <v>45205</v>
      </c>
      <c r="K422" s="38" t="s">
        <v>10768</v>
      </c>
      <c r="L422" s="42">
        <v>7000000</v>
      </c>
      <c r="O422"/>
      <c r="R422"/>
      <c r="T422" s="44"/>
    </row>
    <row r="423" spans="1:20" x14ac:dyDescent="0.3">
      <c r="A423" s="37">
        <v>151605</v>
      </c>
      <c r="B423" s="38">
        <v>417</v>
      </c>
      <c r="C423" s="39" t="s">
        <v>2037</v>
      </c>
      <c r="D423" s="10" t="str">
        <f>VLOOKUP(C423,'Data Angt'!$A$5:$B$5809,2,FALSE)</f>
        <v>A836</v>
      </c>
      <c r="E423" s="40" t="s">
        <v>18493</v>
      </c>
      <c r="F423" s="41">
        <v>45646</v>
      </c>
      <c r="G423" s="38">
        <v>12</v>
      </c>
      <c r="H423" s="40">
        <v>0</v>
      </c>
      <c r="I423" s="38">
        <v>5.5</v>
      </c>
      <c r="J423" s="41">
        <v>45646</v>
      </c>
      <c r="K423" s="38" t="s">
        <v>10768</v>
      </c>
      <c r="L423" s="42">
        <v>1000000</v>
      </c>
      <c r="O423"/>
      <c r="R423"/>
      <c r="T423" s="44"/>
    </row>
    <row r="424" spans="1:20" x14ac:dyDescent="0.3">
      <c r="A424" s="37">
        <v>135210</v>
      </c>
      <c r="B424" s="38">
        <v>418</v>
      </c>
      <c r="C424" s="39" t="s">
        <v>2077</v>
      </c>
      <c r="D424" s="10" t="str">
        <f>VLOOKUP(C424,'Data Angt'!$A$5:$B$5809,2,FALSE)</f>
        <v>A853</v>
      </c>
      <c r="E424" s="40" t="s">
        <v>11040</v>
      </c>
      <c r="F424" s="41">
        <v>44876</v>
      </c>
      <c r="G424" s="38">
        <v>12</v>
      </c>
      <c r="H424" s="40">
        <v>0</v>
      </c>
      <c r="I424" s="38">
        <v>5.5</v>
      </c>
      <c r="J424" s="41">
        <v>44876</v>
      </c>
      <c r="K424" s="38" t="s">
        <v>10768</v>
      </c>
      <c r="L424" s="42">
        <v>20000000</v>
      </c>
      <c r="O424"/>
      <c r="R424"/>
      <c r="T424" s="44"/>
    </row>
    <row r="425" spans="1:20" x14ac:dyDescent="0.3">
      <c r="A425" s="37">
        <v>79533</v>
      </c>
      <c r="B425" s="38">
        <v>419</v>
      </c>
      <c r="C425" s="39" t="s">
        <v>2112</v>
      </c>
      <c r="D425" s="10" t="str">
        <f>VLOOKUP(C425,'Data Angt'!$A$5:$B$5809,2,FALSE)</f>
        <v>A868</v>
      </c>
      <c r="E425" s="40" t="s">
        <v>11041</v>
      </c>
      <c r="F425" s="41">
        <v>42928</v>
      </c>
      <c r="G425" s="38">
        <v>12</v>
      </c>
      <c r="H425" s="40">
        <v>0</v>
      </c>
      <c r="I425" s="38">
        <v>5.5</v>
      </c>
      <c r="J425" s="41">
        <v>43076</v>
      </c>
      <c r="K425" s="38" t="s">
        <v>10768</v>
      </c>
      <c r="L425" s="42">
        <v>30000000</v>
      </c>
      <c r="O425"/>
      <c r="R425"/>
      <c r="T425" s="44"/>
    </row>
    <row r="426" spans="1:20" x14ac:dyDescent="0.3">
      <c r="A426" s="37">
        <v>117490</v>
      </c>
      <c r="B426" s="38">
        <v>420</v>
      </c>
      <c r="C426" s="39" t="s">
        <v>2112</v>
      </c>
      <c r="D426" s="10" t="str">
        <f>VLOOKUP(C426,'Data Angt'!$A$5:$B$5809,2,FALSE)</f>
        <v>A868</v>
      </c>
      <c r="E426" s="40" t="s">
        <v>11042</v>
      </c>
      <c r="F426" s="41">
        <v>43755</v>
      </c>
      <c r="G426" s="38">
        <v>12</v>
      </c>
      <c r="H426" s="40">
        <v>0</v>
      </c>
      <c r="I426" s="38">
        <v>5.5</v>
      </c>
      <c r="J426" s="41">
        <v>43755</v>
      </c>
      <c r="K426" s="38" t="s">
        <v>10768</v>
      </c>
      <c r="L426" s="42">
        <v>25000000</v>
      </c>
      <c r="O426"/>
      <c r="R426"/>
      <c r="T426" s="44"/>
    </row>
    <row r="427" spans="1:20" x14ac:dyDescent="0.3">
      <c r="A427" s="37">
        <v>79467</v>
      </c>
      <c r="B427" s="38">
        <v>421</v>
      </c>
      <c r="C427" s="39" t="s">
        <v>12193</v>
      </c>
      <c r="D427" s="10" t="str">
        <f>VLOOKUP(C427,'Data Angt'!$A$5:$B$5809,2,FALSE)</f>
        <v>A890</v>
      </c>
      <c r="E427" s="40" t="s">
        <v>11043</v>
      </c>
      <c r="F427" s="41">
        <v>42401</v>
      </c>
      <c r="G427" s="38">
        <v>12</v>
      </c>
      <c r="H427" s="40">
        <v>0</v>
      </c>
      <c r="I427" s="38">
        <v>5.5</v>
      </c>
      <c r="J427" s="41">
        <v>42371</v>
      </c>
      <c r="K427" s="38" t="s">
        <v>10768</v>
      </c>
      <c r="L427" s="42">
        <v>6000000</v>
      </c>
      <c r="O427"/>
      <c r="R427"/>
      <c r="T427" s="44"/>
    </row>
    <row r="428" spans="1:20" x14ac:dyDescent="0.3">
      <c r="A428" s="37">
        <v>81367</v>
      </c>
      <c r="B428" s="38">
        <v>422</v>
      </c>
      <c r="C428" s="39" t="s">
        <v>12193</v>
      </c>
      <c r="D428" s="10" t="str">
        <f>VLOOKUP(C428,'Data Angt'!$A$5:$B$5809,2,FALSE)</f>
        <v>A890</v>
      </c>
      <c r="E428" s="40" t="s">
        <v>11044</v>
      </c>
      <c r="F428" s="41">
        <v>43166</v>
      </c>
      <c r="G428" s="38">
        <v>12</v>
      </c>
      <c r="H428" s="40">
        <v>0</v>
      </c>
      <c r="I428" s="38">
        <v>5.5</v>
      </c>
      <c r="J428" s="41">
        <v>43166</v>
      </c>
      <c r="K428" s="38" t="s">
        <v>10768</v>
      </c>
      <c r="L428" s="42">
        <v>1500000</v>
      </c>
      <c r="O428"/>
      <c r="R428"/>
      <c r="T428" s="44"/>
    </row>
    <row r="429" spans="1:20" x14ac:dyDescent="0.3">
      <c r="A429" s="37">
        <v>125203</v>
      </c>
      <c r="B429" s="38">
        <v>423</v>
      </c>
      <c r="C429" s="39" t="s">
        <v>12193</v>
      </c>
      <c r="D429" s="10" t="str">
        <f>VLOOKUP(C429,'Data Angt'!$A$5:$B$5809,2,FALSE)</f>
        <v>A890</v>
      </c>
      <c r="E429" s="40" t="s">
        <v>11045</v>
      </c>
      <c r="F429" s="41">
        <v>44102</v>
      </c>
      <c r="G429" s="38">
        <v>12</v>
      </c>
      <c r="H429" s="40">
        <v>0</v>
      </c>
      <c r="I429" s="38">
        <v>5.5</v>
      </c>
      <c r="J429" s="41">
        <v>44102</v>
      </c>
      <c r="K429" s="38" t="s">
        <v>10768</v>
      </c>
      <c r="L429" s="42">
        <v>2000000</v>
      </c>
      <c r="O429"/>
      <c r="R429"/>
      <c r="T429" s="44"/>
    </row>
    <row r="430" spans="1:20" x14ac:dyDescent="0.3">
      <c r="A430" s="37">
        <v>127751</v>
      </c>
      <c r="B430" s="38">
        <v>424</v>
      </c>
      <c r="C430" s="39" t="s">
        <v>12193</v>
      </c>
      <c r="D430" s="10" t="str">
        <f>VLOOKUP(C430,'Data Angt'!$A$5:$B$5809,2,FALSE)</f>
        <v>A890</v>
      </c>
      <c r="E430" s="40" t="s">
        <v>11046</v>
      </c>
      <c r="F430" s="41">
        <v>44294</v>
      </c>
      <c r="G430" s="38">
        <v>12</v>
      </c>
      <c r="H430" s="40">
        <v>0</v>
      </c>
      <c r="I430" s="38">
        <v>5.5</v>
      </c>
      <c r="J430" s="41">
        <v>44294</v>
      </c>
      <c r="K430" s="38" t="s">
        <v>10768</v>
      </c>
      <c r="L430" s="42">
        <v>3000000</v>
      </c>
      <c r="O430"/>
      <c r="R430"/>
      <c r="T430" s="44"/>
    </row>
    <row r="431" spans="1:20" x14ac:dyDescent="0.3">
      <c r="A431" s="37">
        <v>134371</v>
      </c>
      <c r="B431" s="38">
        <v>425</v>
      </c>
      <c r="C431" s="39" t="s">
        <v>12193</v>
      </c>
      <c r="D431" s="10" t="str">
        <f>VLOOKUP(C431,'Data Angt'!$A$5:$B$5809,2,FALSE)</f>
        <v>A890</v>
      </c>
      <c r="E431" s="40" t="s">
        <v>11047</v>
      </c>
      <c r="F431" s="41">
        <v>44806</v>
      </c>
      <c r="G431" s="38">
        <v>12</v>
      </c>
      <c r="H431" s="40">
        <v>0</v>
      </c>
      <c r="I431" s="38">
        <v>5.5</v>
      </c>
      <c r="J431" s="41">
        <v>44806</v>
      </c>
      <c r="K431" s="38" t="s">
        <v>10768</v>
      </c>
      <c r="L431" s="42">
        <v>6000000</v>
      </c>
      <c r="O431"/>
      <c r="R431"/>
      <c r="T431" s="44"/>
    </row>
    <row r="432" spans="1:20" x14ac:dyDescent="0.3">
      <c r="A432" s="37">
        <v>146378</v>
      </c>
      <c r="B432" s="38">
        <v>426</v>
      </c>
      <c r="C432" s="39" t="s">
        <v>12193</v>
      </c>
      <c r="D432" s="10" t="str">
        <f>VLOOKUP(C432,'Data Angt'!$A$5:$B$5809,2,FALSE)</f>
        <v>A890</v>
      </c>
      <c r="E432" s="40" t="s">
        <v>18494</v>
      </c>
      <c r="F432" s="41">
        <v>45478</v>
      </c>
      <c r="G432" s="38">
        <v>12</v>
      </c>
      <c r="H432" s="40">
        <v>0</v>
      </c>
      <c r="I432" s="38">
        <v>5.5</v>
      </c>
      <c r="J432" s="41">
        <v>45478</v>
      </c>
      <c r="K432" s="38" t="s">
        <v>10768</v>
      </c>
      <c r="L432" s="42">
        <v>5000000</v>
      </c>
      <c r="O432"/>
      <c r="R432"/>
      <c r="T432" s="44"/>
    </row>
    <row r="433" spans="1:20" x14ac:dyDescent="0.3">
      <c r="A433" s="37">
        <v>134373</v>
      </c>
      <c r="B433" s="38">
        <v>427</v>
      </c>
      <c r="C433" s="39" t="s">
        <v>12194</v>
      </c>
      <c r="D433" s="10" t="str">
        <f>VLOOKUP(C433,'Data Angt'!$A$5:$B$5809,2,FALSE)</f>
        <v>A891</v>
      </c>
      <c r="E433" s="40" t="s">
        <v>11049</v>
      </c>
      <c r="F433" s="41">
        <v>44806</v>
      </c>
      <c r="G433" s="38">
        <v>12</v>
      </c>
      <c r="H433" s="40">
        <v>0</v>
      </c>
      <c r="I433" s="38">
        <v>5.5</v>
      </c>
      <c r="J433" s="41">
        <v>44806</v>
      </c>
      <c r="K433" s="38" t="s">
        <v>10768</v>
      </c>
      <c r="L433" s="42">
        <v>6000000</v>
      </c>
      <c r="O433"/>
      <c r="R433"/>
      <c r="T433" s="44"/>
    </row>
    <row r="434" spans="1:20" x14ac:dyDescent="0.3">
      <c r="A434" s="37">
        <v>146380</v>
      </c>
      <c r="B434" s="38">
        <v>428</v>
      </c>
      <c r="C434" s="39" t="s">
        <v>12194</v>
      </c>
      <c r="D434" s="10" t="str">
        <f>VLOOKUP(C434,'Data Angt'!$A$5:$B$5809,2,FALSE)</f>
        <v>A891</v>
      </c>
      <c r="E434" s="40" t="s">
        <v>18495</v>
      </c>
      <c r="F434" s="41">
        <v>45478</v>
      </c>
      <c r="G434" s="38">
        <v>12</v>
      </c>
      <c r="H434" s="40">
        <v>0</v>
      </c>
      <c r="I434" s="38">
        <v>5.5</v>
      </c>
      <c r="J434" s="41">
        <v>45478</v>
      </c>
      <c r="K434" s="38" t="s">
        <v>10768</v>
      </c>
      <c r="L434" s="42">
        <v>7000000</v>
      </c>
      <c r="O434"/>
      <c r="R434"/>
      <c r="T434" s="44"/>
    </row>
    <row r="435" spans="1:20" x14ac:dyDescent="0.3">
      <c r="A435" s="37">
        <v>125206</v>
      </c>
      <c r="B435" s="38">
        <v>429</v>
      </c>
      <c r="C435" s="39" t="s">
        <v>12194</v>
      </c>
      <c r="D435" s="10" t="str">
        <f>VLOOKUP(C435,'Data Angt'!$A$5:$B$5809,2,FALSE)</f>
        <v>A891</v>
      </c>
      <c r="E435" s="40" t="s">
        <v>11048</v>
      </c>
      <c r="F435" s="41">
        <v>44102</v>
      </c>
      <c r="G435" s="38">
        <v>12</v>
      </c>
      <c r="H435" s="40">
        <v>0</v>
      </c>
      <c r="I435" s="38">
        <v>5.5</v>
      </c>
      <c r="J435" s="41">
        <v>44102</v>
      </c>
      <c r="K435" s="38" t="s">
        <v>10768</v>
      </c>
      <c r="L435" s="42">
        <v>2000000</v>
      </c>
      <c r="O435"/>
      <c r="R435"/>
      <c r="T435" s="44"/>
    </row>
    <row r="436" spans="1:20" x14ac:dyDescent="0.3">
      <c r="A436" s="37">
        <v>135037</v>
      </c>
      <c r="B436" s="38">
        <v>430</v>
      </c>
      <c r="C436" s="39" t="s">
        <v>2200</v>
      </c>
      <c r="D436" s="10" t="str">
        <f>VLOOKUP(C436,'Data Angt'!$A$5:$B$5809,2,FALSE)</f>
        <v>A916</v>
      </c>
      <c r="E436" s="40" t="s">
        <v>11050</v>
      </c>
      <c r="F436" s="41">
        <v>44861</v>
      </c>
      <c r="G436" s="38">
        <v>12</v>
      </c>
      <c r="H436" s="40">
        <v>0</v>
      </c>
      <c r="I436" s="38">
        <v>5.5</v>
      </c>
      <c r="J436" s="41">
        <v>44861</v>
      </c>
      <c r="K436" s="38" t="s">
        <v>10768</v>
      </c>
      <c r="L436" s="42">
        <v>10000000</v>
      </c>
      <c r="O436"/>
      <c r="R436"/>
      <c r="T436" s="44"/>
    </row>
    <row r="437" spans="1:20" x14ac:dyDescent="0.3">
      <c r="A437" s="37">
        <v>142016</v>
      </c>
      <c r="B437" s="38">
        <v>431</v>
      </c>
      <c r="C437" s="39" t="s">
        <v>2200</v>
      </c>
      <c r="D437" s="10" t="str">
        <f>VLOOKUP(C437,'Data Angt'!$A$5:$B$5809,2,FALSE)</f>
        <v>A916</v>
      </c>
      <c r="E437" s="40" t="s">
        <v>18496</v>
      </c>
      <c r="F437" s="41">
        <v>45311</v>
      </c>
      <c r="G437" s="38">
        <v>12</v>
      </c>
      <c r="H437" s="40">
        <v>0</v>
      </c>
      <c r="I437" s="38">
        <v>5.5</v>
      </c>
      <c r="J437" s="41">
        <v>45311</v>
      </c>
      <c r="K437" s="38" t="s">
        <v>10768</v>
      </c>
      <c r="L437" s="42">
        <v>11000000</v>
      </c>
      <c r="O437"/>
      <c r="R437"/>
      <c r="T437" s="44"/>
    </row>
    <row r="438" spans="1:20" x14ac:dyDescent="0.3">
      <c r="A438" s="37">
        <v>122192</v>
      </c>
      <c r="B438" s="38">
        <v>432</v>
      </c>
      <c r="C438" s="39" t="s">
        <v>2247</v>
      </c>
      <c r="D438" s="10" t="str">
        <f>VLOOKUP(C438,'Data Angt'!$A$5:$B$5809,2,FALSE)</f>
        <v>A936</v>
      </c>
      <c r="E438" s="40" t="s">
        <v>11065</v>
      </c>
      <c r="F438" s="41">
        <v>43908</v>
      </c>
      <c r="G438" s="38">
        <v>12</v>
      </c>
      <c r="H438" s="40">
        <v>0</v>
      </c>
      <c r="I438" s="38">
        <v>5.5</v>
      </c>
      <c r="J438" s="41">
        <v>43908</v>
      </c>
      <c r="K438" s="38" t="s">
        <v>10768</v>
      </c>
      <c r="L438" s="42">
        <v>15000000</v>
      </c>
      <c r="O438"/>
      <c r="R438"/>
      <c r="T438" s="44"/>
    </row>
    <row r="439" spans="1:20" x14ac:dyDescent="0.3">
      <c r="A439" s="37">
        <v>122194</v>
      </c>
      <c r="B439" s="38">
        <v>433</v>
      </c>
      <c r="C439" s="39" t="s">
        <v>2247</v>
      </c>
      <c r="D439" s="10" t="str">
        <f>VLOOKUP(C439,'Data Angt'!$A$5:$B$5809,2,FALSE)</f>
        <v>A936</v>
      </c>
      <c r="E439" s="40" t="s">
        <v>11216</v>
      </c>
      <c r="F439" s="41">
        <v>43908</v>
      </c>
      <c r="G439" s="38">
        <v>12</v>
      </c>
      <c r="H439" s="40">
        <v>0</v>
      </c>
      <c r="I439" s="38">
        <v>5.5</v>
      </c>
      <c r="J439" s="41">
        <v>43908</v>
      </c>
      <c r="K439" s="38" t="s">
        <v>10768</v>
      </c>
      <c r="L439" s="42">
        <v>20000000</v>
      </c>
      <c r="O439"/>
      <c r="R439"/>
      <c r="T439" s="44"/>
    </row>
    <row r="440" spans="1:20" x14ac:dyDescent="0.3">
      <c r="A440" s="37">
        <v>133699</v>
      </c>
      <c r="B440" s="38">
        <v>434</v>
      </c>
      <c r="C440" s="39" t="s">
        <v>2247</v>
      </c>
      <c r="D440" s="10" t="str">
        <f>VLOOKUP(C440,'Data Angt'!$A$5:$B$5809,2,FALSE)</f>
        <v>A936</v>
      </c>
      <c r="E440" s="40" t="s">
        <v>11066</v>
      </c>
      <c r="F440" s="41">
        <v>44761</v>
      </c>
      <c r="G440" s="38">
        <v>12</v>
      </c>
      <c r="H440" s="40">
        <v>0</v>
      </c>
      <c r="I440" s="38">
        <v>5.5</v>
      </c>
      <c r="J440" s="41">
        <v>44761</v>
      </c>
      <c r="K440" s="38" t="s">
        <v>10768</v>
      </c>
      <c r="L440" s="42">
        <v>10000000</v>
      </c>
      <c r="O440"/>
      <c r="R440"/>
      <c r="T440" s="44"/>
    </row>
    <row r="441" spans="1:20" x14ac:dyDescent="0.3">
      <c r="A441" s="37">
        <v>133701</v>
      </c>
      <c r="B441" s="38">
        <v>435</v>
      </c>
      <c r="C441" s="39" t="s">
        <v>2247</v>
      </c>
      <c r="D441" s="10" t="str">
        <f>VLOOKUP(C441,'Data Angt'!$A$5:$B$5809,2,FALSE)</f>
        <v>A936</v>
      </c>
      <c r="E441" s="40" t="s">
        <v>11144</v>
      </c>
      <c r="F441" s="41">
        <v>44761</v>
      </c>
      <c r="G441" s="38">
        <v>12</v>
      </c>
      <c r="H441" s="40">
        <v>0</v>
      </c>
      <c r="I441" s="38">
        <v>5.5</v>
      </c>
      <c r="J441" s="41">
        <v>44761</v>
      </c>
      <c r="K441" s="38" t="s">
        <v>10768</v>
      </c>
      <c r="L441" s="42">
        <v>10000000</v>
      </c>
      <c r="O441"/>
      <c r="R441"/>
      <c r="T441" s="44"/>
    </row>
    <row r="442" spans="1:20" x14ac:dyDescent="0.3">
      <c r="A442" s="37">
        <v>133703</v>
      </c>
      <c r="B442" s="38">
        <v>436</v>
      </c>
      <c r="C442" s="39" t="s">
        <v>2247</v>
      </c>
      <c r="D442" s="10" t="str">
        <f>VLOOKUP(C442,'Data Angt'!$A$5:$B$5809,2,FALSE)</f>
        <v>A936</v>
      </c>
      <c r="E442" s="40" t="s">
        <v>11217</v>
      </c>
      <c r="F442" s="41">
        <v>44761</v>
      </c>
      <c r="G442" s="38">
        <v>12</v>
      </c>
      <c r="H442" s="40">
        <v>0</v>
      </c>
      <c r="I442" s="38">
        <v>5.5</v>
      </c>
      <c r="J442" s="41">
        <v>44761</v>
      </c>
      <c r="K442" s="38" t="s">
        <v>10768</v>
      </c>
      <c r="L442" s="42">
        <v>10000000</v>
      </c>
      <c r="O442"/>
      <c r="R442"/>
      <c r="T442" s="44"/>
    </row>
    <row r="443" spans="1:20" x14ac:dyDescent="0.3">
      <c r="A443" s="37">
        <v>79036</v>
      </c>
      <c r="B443" s="38">
        <v>437</v>
      </c>
      <c r="C443" s="39" t="s">
        <v>2247</v>
      </c>
      <c r="D443" s="10" t="str">
        <f>VLOOKUP(C443,'Data Angt'!$A$5:$B$5809,2,FALSE)</f>
        <v>A936</v>
      </c>
      <c r="E443" s="40" t="s">
        <v>11064</v>
      </c>
      <c r="F443" s="41">
        <v>42342</v>
      </c>
      <c r="G443" s="38">
        <v>12</v>
      </c>
      <c r="H443" s="40">
        <v>0</v>
      </c>
      <c r="I443" s="38">
        <v>5.5</v>
      </c>
      <c r="J443" s="41">
        <v>42106</v>
      </c>
      <c r="K443" s="38" t="s">
        <v>10768</v>
      </c>
      <c r="L443" s="42">
        <v>25000000</v>
      </c>
      <c r="O443"/>
      <c r="R443"/>
      <c r="T443" s="44"/>
    </row>
    <row r="444" spans="1:20" x14ac:dyDescent="0.3">
      <c r="A444" s="37">
        <v>79250</v>
      </c>
      <c r="B444" s="38">
        <v>438</v>
      </c>
      <c r="C444" s="39" t="s">
        <v>2247</v>
      </c>
      <c r="D444" s="10" t="str">
        <f>VLOOKUP(C444,'Data Angt'!$A$5:$B$5809,2,FALSE)</f>
        <v>A936</v>
      </c>
      <c r="E444" s="40" t="s">
        <v>11142</v>
      </c>
      <c r="F444" s="41">
        <v>42895</v>
      </c>
      <c r="G444" s="38">
        <v>12</v>
      </c>
      <c r="H444" s="40">
        <v>0</v>
      </c>
      <c r="I444" s="38">
        <v>5.5</v>
      </c>
      <c r="J444" s="41">
        <v>42984</v>
      </c>
      <c r="K444" s="38" t="s">
        <v>10768</v>
      </c>
      <c r="L444" s="42">
        <v>20000000</v>
      </c>
      <c r="O444"/>
      <c r="R444"/>
      <c r="T444" s="44"/>
    </row>
    <row r="445" spans="1:20" x14ac:dyDescent="0.3">
      <c r="A445" s="37">
        <v>79276</v>
      </c>
      <c r="B445" s="38">
        <v>439</v>
      </c>
      <c r="C445" s="39" t="s">
        <v>2247</v>
      </c>
      <c r="D445" s="10" t="str">
        <f>VLOOKUP(C445,'Data Angt'!$A$5:$B$5809,2,FALSE)</f>
        <v>A936</v>
      </c>
      <c r="E445" s="40" t="s">
        <v>11051</v>
      </c>
      <c r="F445" s="41">
        <v>42937</v>
      </c>
      <c r="G445" s="38">
        <v>12</v>
      </c>
      <c r="H445" s="40">
        <v>0</v>
      </c>
      <c r="I445" s="38">
        <v>5.5</v>
      </c>
      <c r="J445" s="41">
        <v>42937</v>
      </c>
      <c r="K445" s="38" t="s">
        <v>10768</v>
      </c>
      <c r="L445" s="42">
        <v>25000000</v>
      </c>
      <c r="O445"/>
      <c r="R445"/>
      <c r="T445" s="44"/>
    </row>
    <row r="446" spans="1:20" x14ac:dyDescent="0.3">
      <c r="A446" s="37">
        <v>122190</v>
      </c>
      <c r="B446" s="38">
        <v>440</v>
      </c>
      <c r="C446" s="39" t="s">
        <v>2247</v>
      </c>
      <c r="D446" s="10" t="str">
        <f>VLOOKUP(C446,'Data Angt'!$A$5:$B$5809,2,FALSE)</f>
        <v>A936</v>
      </c>
      <c r="E446" s="40" t="s">
        <v>11143</v>
      </c>
      <c r="F446" s="41">
        <v>43908</v>
      </c>
      <c r="G446" s="38">
        <v>12</v>
      </c>
      <c r="H446" s="40">
        <v>0</v>
      </c>
      <c r="I446" s="38">
        <v>5.5</v>
      </c>
      <c r="J446" s="41">
        <v>43908</v>
      </c>
      <c r="K446" s="38" t="s">
        <v>10768</v>
      </c>
      <c r="L446" s="42">
        <v>15000000</v>
      </c>
      <c r="O446"/>
      <c r="R446"/>
      <c r="T446" s="44"/>
    </row>
    <row r="447" spans="1:20" x14ac:dyDescent="0.3">
      <c r="A447" s="37">
        <v>136169</v>
      </c>
      <c r="B447" s="38">
        <v>441</v>
      </c>
      <c r="C447" s="39" t="s">
        <v>2293</v>
      </c>
      <c r="D447" s="10" t="str">
        <f>VLOOKUP(C447,'Data Angt'!$A$5:$B$5809,2,FALSE)</f>
        <v>A954</v>
      </c>
      <c r="E447" s="40" t="s">
        <v>11052</v>
      </c>
      <c r="F447" s="41">
        <v>44954</v>
      </c>
      <c r="G447" s="38">
        <v>12</v>
      </c>
      <c r="H447" s="40">
        <v>0</v>
      </c>
      <c r="I447" s="38">
        <v>5.5</v>
      </c>
      <c r="J447" s="41">
        <v>44954</v>
      </c>
      <c r="K447" s="38" t="s">
        <v>10768</v>
      </c>
      <c r="L447" s="42">
        <v>30000000</v>
      </c>
      <c r="O447"/>
      <c r="R447"/>
      <c r="T447" s="44"/>
    </row>
    <row r="448" spans="1:20" x14ac:dyDescent="0.3">
      <c r="A448" s="37">
        <v>127304</v>
      </c>
      <c r="B448" s="38">
        <v>442</v>
      </c>
      <c r="C448" s="39" t="s">
        <v>2295</v>
      </c>
      <c r="D448" s="10" t="str">
        <f>VLOOKUP(C448,'Data Angt'!$A$5:$B$5809,2,FALSE)</f>
        <v>A955</v>
      </c>
      <c r="E448" s="40" t="s">
        <v>11053</v>
      </c>
      <c r="F448" s="41">
        <v>44260</v>
      </c>
      <c r="G448" s="38">
        <v>12</v>
      </c>
      <c r="H448" s="40">
        <v>0</v>
      </c>
      <c r="I448" s="38">
        <v>5.5</v>
      </c>
      <c r="J448" s="41">
        <v>44260</v>
      </c>
      <c r="K448" s="38" t="s">
        <v>10768</v>
      </c>
      <c r="L448" s="42">
        <v>30000000</v>
      </c>
      <c r="O448"/>
      <c r="R448"/>
      <c r="T448" s="44"/>
    </row>
    <row r="449" spans="1:20" x14ac:dyDescent="0.3">
      <c r="A449" s="37">
        <v>127306</v>
      </c>
      <c r="B449" s="38">
        <v>443</v>
      </c>
      <c r="C449" s="39" t="s">
        <v>2295</v>
      </c>
      <c r="D449" s="10" t="str">
        <f>VLOOKUP(C449,'Data Angt'!$A$5:$B$5809,2,FALSE)</f>
        <v>A955</v>
      </c>
      <c r="E449" s="40" t="s">
        <v>11054</v>
      </c>
      <c r="F449" s="41">
        <v>44260</v>
      </c>
      <c r="G449" s="38">
        <v>12</v>
      </c>
      <c r="H449" s="40">
        <v>0</v>
      </c>
      <c r="I449" s="38">
        <v>5.5</v>
      </c>
      <c r="J449" s="41">
        <v>44260</v>
      </c>
      <c r="K449" s="38" t="s">
        <v>10768</v>
      </c>
      <c r="L449" s="42">
        <v>30000000</v>
      </c>
      <c r="O449"/>
      <c r="R449"/>
      <c r="T449" s="44"/>
    </row>
    <row r="450" spans="1:20" x14ac:dyDescent="0.3">
      <c r="A450" s="37">
        <v>128173</v>
      </c>
      <c r="B450" s="38">
        <v>444</v>
      </c>
      <c r="C450" s="39" t="s">
        <v>2295</v>
      </c>
      <c r="D450" s="10" t="str">
        <f>VLOOKUP(C450,'Data Angt'!$A$5:$B$5809,2,FALSE)</f>
        <v>A955</v>
      </c>
      <c r="E450" s="40" t="s">
        <v>11055</v>
      </c>
      <c r="F450" s="41">
        <v>44322</v>
      </c>
      <c r="G450" s="38">
        <v>12</v>
      </c>
      <c r="H450" s="40">
        <v>0</v>
      </c>
      <c r="I450" s="38">
        <v>5.5</v>
      </c>
      <c r="J450" s="41">
        <v>44322</v>
      </c>
      <c r="K450" s="38" t="s">
        <v>10768</v>
      </c>
      <c r="L450" s="42">
        <v>40000000</v>
      </c>
      <c r="O450"/>
      <c r="R450"/>
      <c r="T450" s="44"/>
    </row>
    <row r="451" spans="1:20" x14ac:dyDescent="0.3">
      <c r="A451" s="37">
        <v>137480</v>
      </c>
      <c r="B451" s="38">
        <v>445</v>
      </c>
      <c r="C451" s="39" t="s">
        <v>2295</v>
      </c>
      <c r="D451" s="10" t="str">
        <f>VLOOKUP(C451,'Data Angt'!$A$5:$B$5809,2,FALSE)</f>
        <v>A955</v>
      </c>
      <c r="E451" s="40" t="s">
        <v>11056</v>
      </c>
      <c r="F451" s="41">
        <v>45061</v>
      </c>
      <c r="G451" s="38">
        <v>12</v>
      </c>
      <c r="H451" s="40">
        <v>0</v>
      </c>
      <c r="I451" s="38">
        <v>5.5</v>
      </c>
      <c r="J451" s="41">
        <v>45061</v>
      </c>
      <c r="K451" s="38" t="s">
        <v>10768</v>
      </c>
      <c r="L451" s="42">
        <v>40000000</v>
      </c>
      <c r="O451"/>
      <c r="R451"/>
      <c r="T451" s="44"/>
    </row>
    <row r="452" spans="1:20" x14ac:dyDescent="0.3">
      <c r="A452" s="37">
        <v>79450</v>
      </c>
      <c r="B452" s="38">
        <v>446</v>
      </c>
      <c r="C452" s="39" t="s">
        <v>2389</v>
      </c>
      <c r="D452" s="10" t="str">
        <f>VLOOKUP(C452,'Data Angt'!$A$5:$B$5809,2,FALSE)</f>
        <v>A994</v>
      </c>
      <c r="E452" s="40" t="s">
        <v>11057</v>
      </c>
      <c r="F452" s="41">
        <v>42014</v>
      </c>
      <c r="G452" s="38">
        <v>12</v>
      </c>
      <c r="H452" s="40">
        <v>0</v>
      </c>
      <c r="I452" s="38">
        <v>5.5</v>
      </c>
      <c r="J452" s="41">
        <v>42278</v>
      </c>
      <c r="K452" s="38" t="s">
        <v>10768</v>
      </c>
      <c r="L452" s="42">
        <v>16000000</v>
      </c>
      <c r="O452"/>
      <c r="R452"/>
      <c r="T452" s="44"/>
    </row>
    <row r="453" spans="1:20" x14ac:dyDescent="0.3">
      <c r="A453" s="37">
        <v>79452</v>
      </c>
      <c r="B453" s="38">
        <v>447</v>
      </c>
      <c r="C453" s="39" t="s">
        <v>2389</v>
      </c>
      <c r="D453" s="10" t="str">
        <f>VLOOKUP(C453,'Data Angt'!$A$5:$B$5809,2,FALSE)</f>
        <v>A994</v>
      </c>
      <c r="E453" s="40" t="s">
        <v>11058</v>
      </c>
      <c r="F453" s="41">
        <v>42032</v>
      </c>
      <c r="G453" s="38">
        <v>12</v>
      </c>
      <c r="H453" s="40">
        <v>0</v>
      </c>
      <c r="I453" s="38">
        <v>5.5</v>
      </c>
      <c r="J453" s="41">
        <v>42032</v>
      </c>
      <c r="K453" s="38" t="s">
        <v>10768</v>
      </c>
      <c r="L453" s="42">
        <v>25000000</v>
      </c>
      <c r="O453"/>
      <c r="R453"/>
      <c r="T453" s="44"/>
    </row>
    <row r="454" spans="1:20" x14ac:dyDescent="0.3">
      <c r="A454" s="37">
        <v>152160</v>
      </c>
      <c r="B454" s="38">
        <v>448</v>
      </c>
      <c r="C454" s="39" t="s">
        <v>2437</v>
      </c>
      <c r="D454" s="10" t="str">
        <f>VLOOKUP(C454,'Data Angt'!$A$5:$B$5809,2,FALSE)</f>
        <v>A1015</v>
      </c>
      <c r="E454" s="40" t="s">
        <v>18497</v>
      </c>
      <c r="F454" s="41">
        <v>45671</v>
      </c>
      <c r="G454" s="38">
        <v>12</v>
      </c>
      <c r="H454" s="40">
        <v>0</v>
      </c>
      <c r="I454" s="38">
        <v>5.5</v>
      </c>
      <c r="J454" s="41">
        <v>45671</v>
      </c>
      <c r="K454" s="38" t="s">
        <v>10768</v>
      </c>
      <c r="L454" s="42">
        <v>2000000</v>
      </c>
      <c r="O454"/>
      <c r="R454"/>
      <c r="T454" s="44"/>
    </row>
    <row r="455" spans="1:20" x14ac:dyDescent="0.3">
      <c r="A455" s="37">
        <v>79520</v>
      </c>
      <c r="B455" s="38">
        <v>449</v>
      </c>
      <c r="C455" s="39" t="s">
        <v>2482</v>
      </c>
      <c r="D455" s="10" t="str">
        <f>VLOOKUP(C455,'Data Angt'!$A$5:$B$5809,2,FALSE)</f>
        <v>A1033</v>
      </c>
      <c r="E455" s="40" t="s">
        <v>11061</v>
      </c>
      <c r="F455" s="41">
        <v>42836</v>
      </c>
      <c r="G455" s="38">
        <v>12</v>
      </c>
      <c r="H455" s="40">
        <v>0</v>
      </c>
      <c r="I455" s="38">
        <v>5.5</v>
      </c>
      <c r="J455" s="41">
        <v>43043</v>
      </c>
      <c r="K455" s="38" t="s">
        <v>10768</v>
      </c>
      <c r="L455" s="42">
        <v>10000000</v>
      </c>
      <c r="O455"/>
      <c r="R455"/>
      <c r="T455" s="44"/>
    </row>
    <row r="456" spans="1:20" x14ac:dyDescent="0.3">
      <c r="A456" s="37">
        <v>135151</v>
      </c>
      <c r="B456" s="38">
        <v>450</v>
      </c>
      <c r="C456" s="39" t="s">
        <v>2482</v>
      </c>
      <c r="D456" s="10" t="str">
        <f>VLOOKUP(C456,'Data Angt'!$A$5:$B$5809,2,FALSE)</f>
        <v>A1033</v>
      </c>
      <c r="E456" s="40" t="s">
        <v>11059</v>
      </c>
      <c r="F456" s="41">
        <v>44870</v>
      </c>
      <c r="G456" s="38">
        <v>12</v>
      </c>
      <c r="H456" s="40">
        <v>0</v>
      </c>
      <c r="I456" s="38">
        <v>5.5</v>
      </c>
      <c r="J456" s="41">
        <v>44870</v>
      </c>
      <c r="K456" s="38" t="s">
        <v>10768</v>
      </c>
      <c r="L456" s="42">
        <v>10000000</v>
      </c>
      <c r="O456"/>
      <c r="R456"/>
      <c r="T456" s="44"/>
    </row>
    <row r="457" spans="1:20" x14ac:dyDescent="0.3">
      <c r="A457" s="37">
        <v>92024</v>
      </c>
      <c r="B457" s="38">
        <v>451</v>
      </c>
      <c r="C457" s="39" t="s">
        <v>2482</v>
      </c>
      <c r="D457" s="10" t="str">
        <f>VLOOKUP(C457,'Data Angt'!$A$5:$B$5809,2,FALSE)</f>
        <v>A1033</v>
      </c>
      <c r="E457" s="40" t="s">
        <v>11060</v>
      </c>
      <c r="F457" s="41">
        <v>43431</v>
      </c>
      <c r="G457" s="38">
        <v>12</v>
      </c>
      <c r="H457" s="40">
        <v>0</v>
      </c>
      <c r="I457" s="38">
        <v>5.5</v>
      </c>
      <c r="J457" s="41">
        <v>43431</v>
      </c>
      <c r="K457" s="38" t="s">
        <v>10768</v>
      </c>
      <c r="L457" s="42">
        <v>10000000</v>
      </c>
      <c r="O457"/>
      <c r="R457"/>
      <c r="T457" s="44"/>
    </row>
    <row r="458" spans="1:20" x14ac:dyDescent="0.3">
      <c r="A458" s="37">
        <v>113992</v>
      </c>
      <c r="B458" s="38">
        <v>452</v>
      </c>
      <c r="C458" s="39" t="s">
        <v>2505</v>
      </c>
      <c r="D458" s="10" t="str">
        <f>VLOOKUP(C458,'Data Angt'!$A$5:$B$5809,2,FALSE)</f>
        <v>A1044</v>
      </c>
      <c r="E458" s="40" t="s">
        <v>11063</v>
      </c>
      <c r="F458" s="41">
        <v>43657</v>
      </c>
      <c r="G458" s="38">
        <v>12</v>
      </c>
      <c r="H458" s="40">
        <v>0</v>
      </c>
      <c r="I458" s="38">
        <v>5.5</v>
      </c>
      <c r="J458" s="41">
        <v>43657</v>
      </c>
      <c r="K458" s="38" t="s">
        <v>10768</v>
      </c>
      <c r="L458" s="42">
        <v>23000000</v>
      </c>
      <c r="O458"/>
      <c r="R458"/>
      <c r="T458" s="44"/>
    </row>
    <row r="459" spans="1:20" x14ac:dyDescent="0.3">
      <c r="A459" s="37">
        <v>133726</v>
      </c>
      <c r="B459" s="38">
        <v>453</v>
      </c>
      <c r="C459" s="39" t="s">
        <v>2505</v>
      </c>
      <c r="D459" s="10" t="str">
        <f>VLOOKUP(C459,'Data Angt'!$A$5:$B$5809,2,FALSE)</f>
        <v>A1044</v>
      </c>
      <c r="E459" s="40" t="s">
        <v>11062</v>
      </c>
      <c r="F459" s="41">
        <v>44764</v>
      </c>
      <c r="G459" s="38">
        <v>12</v>
      </c>
      <c r="H459" s="40">
        <v>0</v>
      </c>
      <c r="I459" s="38">
        <v>5.5</v>
      </c>
      <c r="J459" s="41">
        <v>44764</v>
      </c>
      <c r="K459" s="38" t="s">
        <v>10768</v>
      </c>
      <c r="L459" s="42">
        <v>80000000</v>
      </c>
      <c r="O459"/>
      <c r="R459"/>
      <c r="T459" s="44"/>
    </row>
    <row r="460" spans="1:20" x14ac:dyDescent="0.3">
      <c r="A460" s="37">
        <v>156386</v>
      </c>
      <c r="B460" s="38">
        <v>454</v>
      </c>
      <c r="C460" s="39" t="s">
        <v>2574</v>
      </c>
      <c r="D460" s="10" t="str">
        <f>VLOOKUP(C460,'Data Angt'!$A$5:$B$5809,2,FALSE)</f>
        <v>A1071</v>
      </c>
      <c r="E460" s="40" t="s">
        <v>18498</v>
      </c>
      <c r="F460" s="41">
        <v>45824</v>
      </c>
      <c r="G460" s="38">
        <v>12</v>
      </c>
      <c r="H460" s="40">
        <v>0</v>
      </c>
      <c r="I460" s="38">
        <v>5.5</v>
      </c>
      <c r="J460" s="41">
        <v>45824</v>
      </c>
      <c r="K460" s="38" t="s">
        <v>10768</v>
      </c>
      <c r="L460" s="42">
        <v>20000000</v>
      </c>
      <c r="O460"/>
      <c r="R460"/>
      <c r="T460" s="44"/>
    </row>
    <row r="461" spans="1:20" x14ac:dyDescent="0.3">
      <c r="A461" s="37">
        <v>137158</v>
      </c>
      <c r="B461" s="38">
        <v>455</v>
      </c>
      <c r="C461" s="39" t="s">
        <v>2574</v>
      </c>
      <c r="D461" s="10" t="str">
        <f>VLOOKUP(C461,'Data Angt'!$A$5:$B$5809,2,FALSE)</f>
        <v>A1071</v>
      </c>
      <c r="E461" s="40" t="s">
        <v>11215</v>
      </c>
      <c r="F461" s="41">
        <v>45030</v>
      </c>
      <c r="G461" s="38">
        <v>12</v>
      </c>
      <c r="H461" s="40">
        <v>0</v>
      </c>
      <c r="I461" s="38">
        <v>5.5</v>
      </c>
      <c r="J461" s="41">
        <v>45030</v>
      </c>
      <c r="K461" s="38" t="s">
        <v>10768</v>
      </c>
      <c r="L461" s="42">
        <v>30000000</v>
      </c>
      <c r="O461"/>
      <c r="R461"/>
      <c r="T461" s="44"/>
    </row>
    <row r="462" spans="1:20" x14ac:dyDescent="0.3">
      <c r="A462" s="37">
        <v>138994</v>
      </c>
      <c r="B462" s="38">
        <v>456</v>
      </c>
      <c r="C462" s="39" t="s">
        <v>2613</v>
      </c>
      <c r="D462" s="10" t="str">
        <f>VLOOKUP(C462,'Data Angt'!$A$5:$B$5809,2,FALSE)</f>
        <v>A1093</v>
      </c>
      <c r="E462" s="40" t="s">
        <v>11347</v>
      </c>
      <c r="F462" s="41">
        <v>45164</v>
      </c>
      <c r="G462" s="38">
        <v>12</v>
      </c>
      <c r="H462" s="40">
        <v>0</v>
      </c>
      <c r="I462" s="38">
        <v>5.5</v>
      </c>
      <c r="J462" s="41">
        <v>45166</v>
      </c>
      <c r="K462" s="38" t="s">
        <v>10768</v>
      </c>
      <c r="L462" s="42">
        <v>10000000</v>
      </c>
      <c r="O462"/>
      <c r="R462"/>
      <c r="T462" s="44"/>
    </row>
    <row r="463" spans="1:20" x14ac:dyDescent="0.3">
      <c r="A463" s="37">
        <v>148777</v>
      </c>
      <c r="B463" s="38">
        <v>457</v>
      </c>
      <c r="C463" s="39" t="s">
        <v>2613</v>
      </c>
      <c r="D463" s="10" t="str">
        <f>VLOOKUP(C463,'Data Angt'!$A$5:$B$5809,2,FALSE)</f>
        <v>A1093</v>
      </c>
      <c r="E463" s="40" t="s">
        <v>18499</v>
      </c>
      <c r="F463" s="41">
        <v>45535</v>
      </c>
      <c r="G463" s="38">
        <v>12</v>
      </c>
      <c r="H463" s="40">
        <v>0</v>
      </c>
      <c r="I463" s="38">
        <v>5.5</v>
      </c>
      <c r="J463" s="41">
        <v>45535</v>
      </c>
      <c r="K463" s="38" t="s">
        <v>10768</v>
      </c>
      <c r="L463" s="42">
        <v>2000000</v>
      </c>
      <c r="O463"/>
      <c r="R463"/>
      <c r="T463" s="44"/>
    </row>
    <row r="464" spans="1:20" x14ac:dyDescent="0.3">
      <c r="A464" s="37">
        <v>131872</v>
      </c>
      <c r="B464" s="38">
        <v>458</v>
      </c>
      <c r="C464" s="39" t="s">
        <v>12225</v>
      </c>
      <c r="D464" s="10" t="str">
        <f>VLOOKUP(C464,'Data Angt'!$A$5:$B$5809,2,FALSE)</f>
        <v>A1124</v>
      </c>
      <c r="E464" s="40" t="s">
        <v>11067</v>
      </c>
      <c r="F464" s="41">
        <v>44614</v>
      </c>
      <c r="G464" s="38">
        <v>12</v>
      </c>
      <c r="H464" s="40">
        <v>0</v>
      </c>
      <c r="I464" s="38">
        <v>5.5</v>
      </c>
      <c r="J464" s="41">
        <v>44614</v>
      </c>
      <c r="K464" s="38" t="s">
        <v>10768</v>
      </c>
      <c r="L464" s="42">
        <v>40000000</v>
      </c>
      <c r="O464"/>
      <c r="R464"/>
      <c r="T464" s="44"/>
    </row>
    <row r="465" spans="1:20" x14ac:dyDescent="0.3">
      <c r="A465" s="37">
        <v>131874</v>
      </c>
      <c r="B465" s="38">
        <v>459</v>
      </c>
      <c r="C465" s="39" t="s">
        <v>12225</v>
      </c>
      <c r="D465" s="10" t="str">
        <f>VLOOKUP(C465,'Data Angt'!$A$5:$B$5809,2,FALSE)</f>
        <v>A1124</v>
      </c>
      <c r="E465" s="40" t="s">
        <v>11068</v>
      </c>
      <c r="F465" s="41">
        <v>44614</v>
      </c>
      <c r="G465" s="38">
        <v>12</v>
      </c>
      <c r="H465" s="40">
        <v>0</v>
      </c>
      <c r="I465" s="38">
        <v>5.5</v>
      </c>
      <c r="J465" s="41">
        <v>44614</v>
      </c>
      <c r="K465" s="38" t="s">
        <v>10768</v>
      </c>
      <c r="L465" s="42">
        <v>20000000</v>
      </c>
      <c r="O465"/>
      <c r="R465"/>
      <c r="T465" s="44"/>
    </row>
    <row r="466" spans="1:20" x14ac:dyDescent="0.3">
      <c r="A466" s="37">
        <v>79454</v>
      </c>
      <c r="B466" s="38">
        <v>460</v>
      </c>
      <c r="C466" s="39" t="s">
        <v>2746</v>
      </c>
      <c r="D466" s="10" t="str">
        <f>VLOOKUP(C466,'Data Angt'!$A$5:$B$5809,2,FALSE)</f>
        <v>A1152</v>
      </c>
      <c r="E466" s="40" t="s">
        <v>11069</v>
      </c>
      <c r="F466" s="41">
        <v>42111</v>
      </c>
      <c r="G466" s="38">
        <v>12</v>
      </c>
      <c r="H466" s="40">
        <v>0</v>
      </c>
      <c r="I466" s="38">
        <v>5.5</v>
      </c>
      <c r="J466" s="41">
        <v>42111</v>
      </c>
      <c r="K466" s="38" t="s">
        <v>10768</v>
      </c>
      <c r="L466" s="42">
        <v>1000000</v>
      </c>
      <c r="O466"/>
      <c r="R466"/>
      <c r="T466" s="44"/>
    </row>
    <row r="467" spans="1:20" x14ac:dyDescent="0.3">
      <c r="A467" s="37">
        <v>117492</v>
      </c>
      <c r="B467" s="38">
        <v>461</v>
      </c>
      <c r="C467" s="39" t="s">
        <v>2779</v>
      </c>
      <c r="D467" s="10" t="str">
        <f>VLOOKUP(C467,'Data Angt'!$A$5:$B$5809,2,FALSE)</f>
        <v>A1168</v>
      </c>
      <c r="E467" s="40" t="s">
        <v>11070</v>
      </c>
      <c r="F467" s="41">
        <v>43755</v>
      </c>
      <c r="G467" s="38">
        <v>12</v>
      </c>
      <c r="H467" s="40">
        <v>0</v>
      </c>
      <c r="I467" s="38">
        <v>5.5</v>
      </c>
      <c r="J467" s="41">
        <v>43755</v>
      </c>
      <c r="K467" s="38" t="s">
        <v>10768</v>
      </c>
      <c r="L467" s="42">
        <v>5000000</v>
      </c>
      <c r="O467"/>
      <c r="R467"/>
      <c r="T467" s="44"/>
    </row>
    <row r="468" spans="1:20" x14ac:dyDescent="0.3">
      <c r="A468" s="37">
        <v>120629</v>
      </c>
      <c r="B468" s="38">
        <v>462</v>
      </c>
      <c r="C468" s="39" t="s">
        <v>2779</v>
      </c>
      <c r="D468" s="10" t="str">
        <f>VLOOKUP(C468,'Data Angt'!$A$5:$B$5809,2,FALSE)</f>
        <v>A1168</v>
      </c>
      <c r="E468" s="40" t="s">
        <v>11071</v>
      </c>
      <c r="F468" s="41">
        <v>43872</v>
      </c>
      <c r="G468" s="38">
        <v>12</v>
      </c>
      <c r="H468" s="40">
        <v>0</v>
      </c>
      <c r="I468" s="38">
        <v>5.5</v>
      </c>
      <c r="J468" s="41">
        <v>43872</v>
      </c>
      <c r="K468" s="38" t="s">
        <v>10768</v>
      </c>
      <c r="L468" s="42">
        <v>100000000</v>
      </c>
      <c r="O468"/>
      <c r="R468"/>
      <c r="T468" s="44"/>
    </row>
    <row r="469" spans="1:20" x14ac:dyDescent="0.3">
      <c r="A469" s="37">
        <v>152133</v>
      </c>
      <c r="B469" s="38">
        <v>463</v>
      </c>
      <c r="C469" s="39" t="s">
        <v>2786</v>
      </c>
      <c r="D469" s="10" t="str">
        <f>VLOOKUP(C469,'Data Angt'!$A$5:$B$5809,2,FALSE)</f>
        <v>A1171</v>
      </c>
      <c r="E469" s="40" t="s">
        <v>18500</v>
      </c>
      <c r="F469" s="41">
        <v>45670</v>
      </c>
      <c r="G469" s="38">
        <v>12</v>
      </c>
      <c r="H469" s="40">
        <v>0</v>
      </c>
      <c r="I469" s="38">
        <v>5.5</v>
      </c>
      <c r="J469" s="41">
        <v>45670</v>
      </c>
      <c r="K469" s="38" t="s">
        <v>10768</v>
      </c>
      <c r="L469" s="42">
        <v>4000000</v>
      </c>
      <c r="O469"/>
      <c r="R469"/>
      <c r="T469" s="44"/>
    </row>
    <row r="470" spans="1:20" x14ac:dyDescent="0.3">
      <c r="A470" s="37">
        <v>152512</v>
      </c>
      <c r="B470" s="38">
        <v>464</v>
      </c>
      <c r="C470" s="39" t="s">
        <v>2786</v>
      </c>
      <c r="D470" s="10" t="str">
        <f>VLOOKUP(C470,'Data Angt'!$A$5:$B$5809,2,FALSE)</f>
        <v>A1171</v>
      </c>
      <c r="E470" s="40" t="s">
        <v>18501</v>
      </c>
      <c r="F470" s="41">
        <v>45682</v>
      </c>
      <c r="G470" s="38">
        <v>12</v>
      </c>
      <c r="H470" s="40">
        <v>0</v>
      </c>
      <c r="I470" s="38">
        <v>5.5</v>
      </c>
      <c r="J470" s="41">
        <v>45682</v>
      </c>
      <c r="K470" s="38" t="s">
        <v>10768</v>
      </c>
      <c r="L470" s="42">
        <v>3000000</v>
      </c>
      <c r="O470"/>
      <c r="R470"/>
      <c r="T470" s="44"/>
    </row>
    <row r="471" spans="1:20" x14ac:dyDescent="0.3">
      <c r="A471" s="37">
        <v>154998</v>
      </c>
      <c r="B471" s="38">
        <v>465</v>
      </c>
      <c r="C471" s="39" t="s">
        <v>2786</v>
      </c>
      <c r="D471" s="10" t="str">
        <f>VLOOKUP(C471,'Data Angt'!$A$5:$B$5809,2,FALSE)</f>
        <v>A1171</v>
      </c>
      <c r="E471" s="40" t="s">
        <v>18502</v>
      </c>
      <c r="F471" s="41">
        <v>45759</v>
      </c>
      <c r="G471" s="38">
        <v>12</v>
      </c>
      <c r="H471" s="40">
        <v>0</v>
      </c>
      <c r="I471" s="38">
        <v>5.5</v>
      </c>
      <c r="J471" s="41">
        <v>45759</v>
      </c>
      <c r="K471" s="38" t="s">
        <v>10768</v>
      </c>
      <c r="L471" s="42">
        <v>9000000</v>
      </c>
      <c r="O471"/>
      <c r="R471"/>
      <c r="T471" s="44"/>
    </row>
    <row r="472" spans="1:20" x14ac:dyDescent="0.3">
      <c r="A472" s="37">
        <v>155776</v>
      </c>
      <c r="B472" s="38">
        <v>466</v>
      </c>
      <c r="C472" s="39" t="s">
        <v>2786</v>
      </c>
      <c r="D472" s="10" t="str">
        <f>VLOOKUP(C472,'Data Angt'!$A$5:$B$5809,2,FALSE)</f>
        <v>A1171</v>
      </c>
      <c r="E472" s="40" t="s">
        <v>18503</v>
      </c>
      <c r="F472" s="41">
        <v>45797</v>
      </c>
      <c r="G472" s="38">
        <v>12</v>
      </c>
      <c r="H472" s="40">
        <v>0</v>
      </c>
      <c r="I472" s="38">
        <v>5.5</v>
      </c>
      <c r="J472" s="41">
        <v>45797</v>
      </c>
      <c r="K472" s="38" t="s">
        <v>10768</v>
      </c>
      <c r="L472" s="42">
        <v>2000000</v>
      </c>
      <c r="O472"/>
      <c r="R472"/>
      <c r="T472" s="44"/>
    </row>
    <row r="473" spans="1:20" x14ac:dyDescent="0.3">
      <c r="A473" s="37">
        <v>156211</v>
      </c>
      <c r="B473" s="38">
        <v>467</v>
      </c>
      <c r="C473" s="39" t="s">
        <v>2786</v>
      </c>
      <c r="D473" s="10" t="str">
        <f>VLOOKUP(C473,'Data Angt'!$A$5:$B$5809,2,FALSE)</f>
        <v>A1171</v>
      </c>
      <c r="E473" s="40" t="s">
        <v>18504</v>
      </c>
      <c r="F473" s="41">
        <v>45812</v>
      </c>
      <c r="G473" s="38">
        <v>12</v>
      </c>
      <c r="H473" s="40">
        <v>0</v>
      </c>
      <c r="I473" s="38">
        <v>5.5</v>
      </c>
      <c r="J473" s="41">
        <v>45812</v>
      </c>
      <c r="K473" s="38" t="s">
        <v>10768</v>
      </c>
      <c r="L473" s="42">
        <v>2500000</v>
      </c>
      <c r="O473"/>
      <c r="R473"/>
      <c r="T473" s="44"/>
    </row>
    <row r="474" spans="1:20" x14ac:dyDescent="0.3">
      <c r="A474" s="37">
        <v>157330</v>
      </c>
      <c r="B474" s="38">
        <v>468</v>
      </c>
      <c r="C474" s="39" t="s">
        <v>2786</v>
      </c>
      <c r="D474" s="10" t="str">
        <f>VLOOKUP(C474,'Data Angt'!$A$5:$B$5809,2,FALSE)</f>
        <v>A1171</v>
      </c>
      <c r="E474" s="40" t="s">
        <v>24146</v>
      </c>
      <c r="F474" s="41">
        <v>45863</v>
      </c>
      <c r="G474" s="38">
        <v>12</v>
      </c>
      <c r="H474" s="40">
        <v>0</v>
      </c>
      <c r="I474" s="38">
        <v>5.5</v>
      </c>
      <c r="J474" s="41">
        <v>45863</v>
      </c>
      <c r="K474" s="38" t="s">
        <v>10768</v>
      </c>
      <c r="L474" s="42">
        <v>3000000</v>
      </c>
      <c r="O474"/>
      <c r="R474"/>
      <c r="T474" s="44"/>
    </row>
    <row r="475" spans="1:20" x14ac:dyDescent="0.3">
      <c r="A475" s="37">
        <v>89568</v>
      </c>
      <c r="B475" s="38">
        <v>469</v>
      </c>
      <c r="C475" s="39" t="s">
        <v>2861</v>
      </c>
      <c r="D475" s="10" t="str">
        <f>VLOOKUP(C475,'Data Angt'!$A$5:$B$5809,2,FALSE)</f>
        <v>A1207</v>
      </c>
      <c r="E475" s="40" t="s">
        <v>11079</v>
      </c>
      <c r="F475" s="41">
        <v>43346</v>
      </c>
      <c r="G475" s="38">
        <v>12</v>
      </c>
      <c r="H475" s="40">
        <v>0</v>
      </c>
      <c r="I475" s="38">
        <v>5.5</v>
      </c>
      <c r="J475" s="41">
        <v>43346</v>
      </c>
      <c r="K475" s="38" t="s">
        <v>10768</v>
      </c>
      <c r="L475" s="42">
        <v>1000000</v>
      </c>
      <c r="O475"/>
    </row>
    <row r="476" spans="1:20" x14ac:dyDescent="0.3">
      <c r="A476" s="37">
        <v>87384</v>
      </c>
      <c r="B476" s="38">
        <v>470</v>
      </c>
      <c r="C476" s="39" t="s">
        <v>2861</v>
      </c>
      <c r="D476" s="10" t="str">
        <f>VLOOKUP(C476,'Data Angt'!$A$5:$B$5809,2,FALSE)</f>
        <v>A1207</v>
      </c>
      <c r="E476" s="40" t="s">
        <v>11078</v>
      </c>
      <c r="F476" s="41">
        <v>43290</v>
      </c>
      <c r="G476" s="38">
        <v>12</v>
      </c>
      <c r="H476" s="40">
        <v>0</v>
      </c>
      <c r="I476" s="38">
        <v>5.5</v>
      </c>
      <c r="J476" s="41">
        <v>43290</v>
      </c>
      <c r="K476" s="38" t="s">
        <v>10768</v>
      </c>
      <c r="L476" s="42">
        <v>3000000</v>
      </c>
      <c r="O476"/>
    </row>
    <row r="477" spans="1:20" x14ac:dyDescent="0.3">
      <c r="A477" s="37">
        <v>158499</v>
      </c>
      <c r="B477" s="38">
        <v>471</v>
      </c>
      <c r="C477" s="39" t="s">
        <v>2962</v>
      </c>
      <c r="D477" s="10" t="str">
        <f>VLOOKUP(C477,'Data Angt'!$A$5:$B$5809,2,FALSE)</f>
        <v>A1251</v>
      </c>
      <c r="E477" s="40" t="s">
        <v>24147</v>
      </c>
      <c r="F477" s="41">
        <v>45910</v>
      </c>
      <c r="G477" s="38">
        <v>12</v>
      </c>
      <c r="H477" s="40">
        <v>0</v>
      </c>
      <c r="I477" s="38">
        <v>5.5</v>
      </c>
      <c r="J477" s="41">
        <v>45910</v>
      </c>
      <c r="K477" s="38" t="s">
        <v>10768</v>
      </c>
      <c r="L477" s="42">
        <v>10000000</v>
      </c>
      <c r="O477"/>
    </row>
    <row r="478" spans="1:20" x14ac:dyDescent="0.3">
      <c r="A478" s="37">
        <v>156779</v>
      </c>
      <c r="B478" s="38">
        <v>472</v>
      </c>
      <c r="C478" s="39" t="s">
        <v>2995</v>
      </c>
      <c r="D478" s="10" t="str">
        <f>VLOOKUP(C478,'Data Angt'!$A$5:$B$5809,2,FALSE)</f>
        <v>A1266</v>
      </c>
      <c r="E478" s="40" t="s">
        <v>24148</v>
      </c>
      <c r="F478" s="41">
        <v>45843</v>
      </c>
      <c r="G478" s="38">
        <v>12</v>
      </c>
      <c r="H478" s="40">
        <v>0</v>
      </c>
      <c r="I478" s="38">
        <v>5.5</v>
      </c>
      <c r="J478" s="41">
        <v>45843</v>
      </c>
      <c r="K478" s="38" t="s">
        <v>10768</v>
      </c>
      <c r="L478" s="42">
        <v>20000000</v>
      </c>
      <c r="O478"/>
    </row>
    <row r="479" spans="1:20" x14ac:dyDescent="0.3">
      <c r="A479" s="37">
        <v>157803</v>
      </c>
      <c r="B479" s="38">
        <v>473</v>
      </c>
      <c r="C479" s="39" t="s">
        <v>2995</v>
      </c>
      <c r="D479" s="10" t="str">
        <f>VLOOKUP(C479,'Data Angt'!$A$5:$B$5809,2,FALSE)</f>
        <v>A1266</v>
      </c>
      <c r="E479" s="40" t="s">
        <v>24149</v>
      </c>
      <c r="F479" s="41">
        <v>45883</v>
      </c>
      <c r="G479" s="38">
        <v>12</v>
      </c>
      <c r="H479" s="40">
        <v>0</v>
      </c>
      <c r="I479" s="38">
        <v>5.5</v>
      </c>
      <c r="J479" s="41">
        <v>45883</v>
      </c>
      <c r="K479" s="38" t="s">
        <v>10768</v>
      </c>
      <c r="L479" s="42">
        <v>5000000</v>
      </c>
      <c r="O479"/>
    </row>
    <row r="480" spans="1:20" x14ac:dyDescent="0.3">
      <c r="A480" s="37">
        <v>137290</v>
      </c>
      <c r="B480" s="38">
        <v>474</v>
      </c>
      <c r="C480" s="39" t="s">
        <v>2995</v>
      </c>
      <c r="D480" s="10" t="str">
        <f>VLOOKUP(C480,'Data Angt'!$A$5:$B$5809,2,FALSE)</f>
        <v>A1266</v>
      </c>
      <c r="E480" s="40" t="s">
        <v>11081</v>
      </c>
      <c r="F480" s="41">
        <v>45048</v>
      </c>
      <c r="G480" s="38">
        <v>12</v>
      </c>
      <c r="H480" s="40">
        <v>0</v>
      </c>
      <c r="I480" s="38">
        <v>5.5</v>
      </c>
      <c r="J480" s="41">
        <v>45048</v>
      </c>
      <c r="K480" s="38" t="s">
        <v>10768</v>
      </c>
      <c r="L480" s="42">
        <v>20000000</v>
      </c>
      <c r="O480"/>
    </row>
    <row r="481" spans="1:15" x14ac:dyDescent="0.3">
      <c r="A481" s="37">
        <v>134888</v>
      </c>
      <c r="B481" s="38">
        <v>475</v>
      </c>
      <c r="C481" s="39" t="s">
        <v>3051</v>
      </c>
      <c r="D481" s="10" t="str">
        <f>VLOOKUP(C481,'Data Angt'!$A$5:$B$5809,2,FALSE)</f>
        <v>A1291</v>
      </c>
      <c r="E481" s="40" t="s">
        <v>11082</v>
      </c>
      <c r="F481" s="41">
        <v>44845</v>
      </c>
      <c r="G481" s="38">
        <v>12</v>
      </c>
      <c r="H481" s="40">
        <v>0</v>
      </c>
      <c r="I481" s="38">
        <v>5.5</v>
      </c>
      <c r="J481" s="41">
        <v>44845</v>
      </c>
      <c r="K481" s="38" t="s">
        <v>10768</v>
      </c>
      <c r="L481" s="42">
        <v>15000000</v>
      </c>
      <c r="O481"/>
    </row>
    <row r="482" spans="1:15" x14ac:dyDescent="0.3">
      <c r="A482" s="37">
        <v>124407</v>
      </c>
      <c r="B482" s="38">
        <v>476</v>
      </c>
      <c r="C482" s="39" t="s">
        <v>3089</v>
      </c>
      <c r="D482" s="10" t="str">
        <f>VLOOKUP(C482,'Data Angt'!$A$5:$B$5809,2,FALSE)</f>
        <v>A1308</v>
      </c>
      <c r="E482" s="40" t="s">
        <v>11083</v>
      </c>
      <c r="F482" s="41">
        <v>44046</v>
      </c>
      <c r="G482" s="38">
        <v>12</v>
      </c>
      <c r="H482" s="40">
        <v>0</v>
      </c>
      <c r="I482" s="38">
        <v>5.5</v>
      </c>
      <c r="J482" s="41">
        <v>44046</v>
      </c>
      <c r="K482" s="38" t="s">
        <v>10768</v>
      </c>
      <c r="L482" s="42">
        <v>4000000</v>
      </c>
      <c r="O482"/>
    </row>
    <row r="483" spans="1:15" x14ac:dyDescent="0.3">
      <c r="A483" s="37">
        <v>142855</v>
      </c>
      <c r="B483" s="38">
        <v>477</v>
      </c>
      <c r="C483" s="39" t="s">
        <v>3146</v>
      </c>
      <c r="D483" s="10" t="str">
        <f>VLOOKUP(C483,'Data Angt'!$A$5:$B$5809,2,FALSE)</f>
        <v>A1333</v>
      </c>
      <c r="E483" s="40" t="s">
        <v>18505</v>
      </c>
      <c r="F483" s="41">
        <v>45346</v>
      </c>
      <c r="G483" s="38">
        <v>12</v>
      </c>
      <c r="H483" s="40">
        <v>0</v>
      </c>
      <c r="I483" s="38">
        <v>5.5</v>
      </c>
      <c r="J483" s="41">
        <v>45346</v>
      </c>
      <c r="K483" s="38" t="s">
        <v>10768</v>
      </c>
      <c r="L483" s="42">
        <v>25000000</v>
      </c>
      <c r="O483"/>
    </row>
    <row r="484" spans="1:15" x14ac:dyDescent="0.3">
      <c r="A484" s="37">
        <v>142857</v>
      </c>
      <c r="B484" s="38">
        <v>478</v>
      </c>
      <c r="C484" s="39" t="s">
        <v>3146</v>
      </c>
      <c r="D484" s="10" t="str">
        <f>VLOOKUP(C484,'Data Angt'!$A$5:$B$5809,2,FALSE)</f>
        <v>A1333</v>
      </c>
      <c r="E484" s="40" t="s">
        <v>18506</v>
      </c>
      <c r="F484" s="41">
        <v>45346</v>
      </c>
      <c r="G484" s="38">
        <v>12</v>
      </c>
      <c r="H484" s="40">
        <v>0</v>
      </c>
      <c r="I484" s="38">
        <v>5.5</v>
      </c>
      <c r="J484" s="41">
        <v>45346</v>
      </c>
      <c r="K484" s="38" t="s">
        <v>10768</v>
      </c>
      <c r="L484" s="42">
        <v>15000000</v>
      </c>
      <c r="O484"/>
    </row>
    <row r="485" spans="1:15" x14ac:dyDescent="0.3">
      <c r="A485" s="37">
        <v>131795</v>
      </c>
      <c r="B485" s="38">
        <v>479</v>
      </c>
      <c r="C485" s="39" t="s">
        <v>3275</v>
      </c>
      <c r="D485" s="10" t="str">
        <f>VLOOKUP(C485,'Data Angt'!$A$5:$B$5809,2,FALSE)</f>
        <v>A1390</v>
      </c>
      <c r="E485" s="40" t="s">
        <v>11084</v>
      </c>
      <c r="F485" s="41">
        <v>44606</v>
      </c>
      <c r="G485" s="38">
        <v>12</v>
      </c>
      <c r="H485" s="40">
        <v>0</v>
      </c>
      <c r="I485" s="38">
        <v>5.5</v>
      </c>
      <c r="J485" s="41">
        <v>44606</v>
      </c>
      <c r="K485" s="38" t="s">
        <v>10768</v>
      </c>
      <c r="L485" s="42">
        <v>40000000</v>
      </c>
      <c r="O485"/>
    </row>
    <row r="486" spans="1:15" x14ac:dyDescent="0.3">
      <c r="A486" s="37">
        <v>152214</v>
      </c>
      <c r="B486" s="38">
        <v>480</v>
      </c>
      <c r="C486" s="39" t="s">
        <v>3279</v>
      </c>
      <c r="D486" s="10" t="str">
        <f>VLOOKUP(C486,'Data Angt'!$A$5:$B$5809,2,FALSE)</f>
        <v>A1392</v>
      </c>
      <c r="E486" s="40" t="s">
        <v>18507</v>
      </c>
      <c r="F486" s="41">
        <v>45672</v>
      </c>
      <c r="G486" s="38">
        <v>12</v>
      </c>
      <c r="H486" s="40">
        <v>0</v>
      </c>
      <c r="I486" s="38">
        <v>5.5</v>
      </c>
      <c r="J486" s="41">
        <v>45672</v>
      </c>
      <c r="K486" s="38" t="s">
        <v>10768</v>
      </c>
      <c r="L486" s="42">
        <v>9000000</v>
      </c>
      <c r="O486"/>
    </row>
    <row r="487" spans="1:15" x14ac:dyDescent="0.3">
      <c r="A487" s="37">
        <v>79060</v>
      </c>
      <c r="B487" s="38">
        <v>481</v>
      </c>
      <c r="C487" s="39" t="s">
        <v>3314</v>
      </c>
      <c r="D487" s="10" t="str">
        <f>VLOOKUP(C487,'Data Angt'!$A$5:$B$5809,2,FALSE)</f>
        <v>A1409</v>
      </c>
      <c r="E487" s="40" t="s">
        <v>11107</v>
      </c>
      <c r="F487" s="41">
        <v>42458</v>
      </c>
      <c r="G487" s="38">
        <v>12</v>
      </c>
      <c r="H487" s="40">
        <v>0</v>
      </c>
      <c r="I487" s="38">
        <v>5.5</v>
      </c>
      <c r="J487" s="41">
        <v>42458</v>
      </c>
      <c r="K487" s="38" t="s">
        <v>10768</v>
      </c>
      <c r="L487" s="42">
        <v>35000000</v>
      </c>
      <c r="O487"/>
    </row>
    <row r="488" spans="1:15" x14ac:dyDescent="0.3">
      <c r="A488" s="37">
        <v>79076</v>
      </c>
      <c r="B488" s="38">
        <v>482</v>
      </c>
      <c r="C488" s="39" t="s">
        <v>3314</v>
      </c>
      <c r="D488" s="10" t="str">
        <f>VLOOKUP(C488,'Data Angt'!$A$5:$B$5809,2,FALSE)</f>
        <v>A1409</v>
      </c>
      <c r="E488" s="40" t="s">
        <v>11108</v>
      </c>
      <c r="F488" s="41">
        <v>42458</v>
      </c>
      <c r="G488" s="38">
        <v>12</v>
      </c>
      <c r="H488" s="40">
        <v>0</v>
      </c>
      <c r="I488" s="38">
        <v>5.5</v>
      </c>
      <c r="J488" s="41">
        <v>42458</v>
      </c>
      <c r="K488" s="38" t="s">
        <v>10768</v>
      </c>
      <c r="L488" s="42">
        <v>35000000</v>
      </c>
      <c r="O488"/>
    </row>
    <row r="489" spans="1:15" x14ac:dyDescent="0.3">
      <c r="A489" s="37">
        <v>79061</v>
      </c>
      <c r="B489" s="38">
        <v>483</v>
      </c>
      <c r="C489" s="39" t="s">
        <v>3314</v>
      </c>
      <c r="D489" s="10" t="str">
        <f>VLOOKUP(C489,'Data Angt'!$A$5:$B$5809,2,FALSE)</f>
        <v>A1409</v>
      </c>
      <c r="E489" s="40" t="s">
        <v>11109</v>
      </c>
      <c r="F489" s="41">
        <v>42458</v>
      </c>
      <c r="G489" s="38">
        <v>12</v>
      </c>
      <c r="H489" s="40">
        <v>0</v>
      </c>
      <c r="I489" s="38">
        <v>5.5</v>
      </c>
      <c r="J489" s="41">
        <v>42458</v>
      </c>
      <c r="K489" s="38" t="s">
        <v>10768</v>
      </c>
      <c r="L489" s="42">
        <v>35000000</v>
      </c>
      <c r="O489"/>
    </row>
    <row r="490" spans="1:15" x14ac:dyDescent="0.3">
      <c r="A490" s="37">
        <v>79077</v>
      </c>
      <c r="B490" s="38">
        <v>484</v>
      </c>
      <c r="C490" s="39" t="s">
        <v>3314</v>
      </c>
      <c r="D490" s="10" t="str">
        <f>VLOOKUP(C490,'Data Angt'!$A$5:$B$5809,2,FALSE)</f>
        <v>A1409</v>
      </c>
      <c r="E490" s="40" t="s">
        <v>11110</v>
      </c>
      <c r="F490" s="41">
        <v>42458</v>
      </c>
      <c r="G490" s="38">
        <v>12</v>
      </c>
      <c r="H490" s="40">
        <v>0</v>
      </c>
      <c r="I490" s="38">
        <v>5.5</v>
      </c>
      <c r="J490" s="41">
        <v>42458</v>
      </c>
      <c r="K490" s="38" t="s">
        <v>10768</v>
      </c>
      <c r="L490" s="42">
        <v>35000000</v>
      </c>
      <c r="O490"/>
    </row>
    <row r="491" spans="1:15" x14ac:dyDescent="0.3">
      <c r="A491" s="37">
        <v>79062</v>
      </c>
      <c r="B491" s="38">
        <v>485</v>
      </c>
      <c r="C491" s="39" t="s">
        <v>3314</v>
      </c>
      <c r="D491" s="10" t="str">
        <f>VLOOKUP(C491,'Data Angt'!$A$5:$B$5809,2,FALSE)</f>
        <v>A1409</v>
      </c>
      <c r="E491" s="40" t="s">
        <v>11111</v>
      </c>
      <c r="F491" s="41">
        <v>42458</v>
      </c>
      <c r="G491" s="38">
        <v>12</v>
      </c>
      <c r="H491" s="40">
        <v>0</v>
      </c>
      <c r="I491" s="38">
        <v>5.5</v>
      </c>
      <c r="J491" s="41">
        <v>42458</v>
      </c>
      <c r="K491" s="38" t="s">
        <v>10768</v>
      </c>
      <c r="L491" s="42">
        <v>35000000</v>
      </c>
      <c r="O491"/>
    </row>
    <row r="492" spans="1:15" x14ac:dyDescent="0.3">
      <c r="A492" s="37">
        <v>79078</v>
      </c>
      <c r="B492" s="38">
        <v>486</v>
      </c>
      <c r="C492" s="39" t="s">
        <v>3314</v>
      </c>
      <c r="D492" s="10" t="str">
        <f>VLOOKUP(C492,'Data Angt'!$A$5:$B$5809,2,FALSE)</f>
        <v>A1409</v>
      </c>
      <c r="E492" s="40" t="s">
        <v>11112</v>
      </c>
      <c r="F492" s="41">
        <v>42458</v>
      </c>
      <c r="G492" s="38">
        <v>12</v>
      </c>
      <c r="H492" s="40">
        <v>0</v>
      </c>
      <c r="I492" s="38">
        <v>5.5</v>
      </c>
      <c r="J492" s="41">
        <v>42458</v>
      </c>
      <c r="K492" s="38" t="s">
        <v>10768</v>
      </c>
      <c r="L492" s="42">
        <v>35000000</v>
      </c>
      <c r="O492"/>
    </row>
    <row r="493" spans="1:15" x14ac:dyDescent="0.3">
      <c r="A493" s="37">
        <v>79063</v>
      </c>
      <c r="B493" s="38">
        <v>487</v>
      </c>
      <c r="C493" s="39" t="s">
        <v>3314</v>
      </c>
      <c r="D493" s="10" t="str">
        <f>VLOOKUP(C493,'Data Angt'!$A$5:$B$5809,2,FALSE)</f>
        <v>A1409</v>
      </c>
      <c r="E493" s="40" t="s">
        <v>11113</v>
      </c>
      <c r="F493" s="41">
        <v>42458</v>
      </c>
      <c r="G493" s="38">
        <v>12</v>
      </c>
      <c r="H493" s="40">
        <v>0</v>
      </c>
      <c r="I493" s="38">
        <v>5.5</v>
      </c>
      <c r="J493" s="41">
        <v>42458</v>
      </c>
      <c r="K493" s="38" t="s">
        <v>10768</v>
      </c>
      <c r="L493" s="42">
        <v>35000000</v>
      </c>
      <c r="O493"/>
    </row>
    <row r="494" spans="1:15" x14ac:dyDescent="0.3">
      <c r="A494" s="37">
        <v>79079</v>
      </c>
      <c r="B494" s="38">
        <v>488</v>
      </c>
      <c r="C494" s="39" t="s">
        <v>3314</v>
      </c>
      <c r="D494" s="10" t="str">
        <f>VLOOKUP(C494,'Data Angt'!$A$5:$B$5809,2,FALSE)</f>
        <v>A1409</v>
      </c>
      <c r="E494" s="40" t="s">
        <v>11114</v>
      </c>
      <c r="F494" s="41">
        <v>42458</v>
      </c>
      <c r="G494" s="38">
        <v>12</v>
      </c>
      <c r="H494" s="40">
        <v>0</v>
      </c>
      <c r="I494" s="38">
        <v>5.5</v>
      </c>
      <c r="J494" s="41">
        <v>42458</v>
      </c>
      <c r="K494" s="38" t="s">
        <v>10768</v>
      </c>
      <c r="L494" s="42">
        <v>35000000</v>
      </c>
      <c r="O494"/>
    </row>
    <row r="495" spans="1:15" x14ac:dyDescent="0.3">
      <c r="A495" s="37">
        <v>79064</v>
      </c>
      <c r="B495" s="38">
        <v>489</v>
      </c>
      <c r="C495" s="39" t="s">
        <v>3314</v>
      </c>
      <c r="D495" s="10" t="str">
        <f>VLOOKUP(C495,'Data Angt'!$A$5:$B$5809,2,FALSE)</f>
        <v>A1409</v>
      </c>
      <c r="E495" s="40" t="s">
        <v>11085</v>
      </c>
      <c r="F495" s="41">
        <v>42458</v>
      </c>
      <c r="G495" s="38">
        <v>12</v>
      </c>
      <c r="H495" s="40">
        <v>0</v>
      </c>
      <c r="I495" s="38">
        <v>5.5</v>
      </c>
      <c r="J495" s="41">
        <v>42458</v>
      </c>
      <c r="K495" s="38" t="s">
        <v>10768</v>
      </c>
      <c r="L495" s="42">
        <v>35000000</v>
      </c>
      <c r="O495"/>
    </row>
    <row r="496" spans="1:15" x14ac:dyDescent="0.3">
      <c r="A496" s="37">
        <v>79080</v>
      </c>
      <c r="B496" s="38">
        <v>490</v>
      </c>
      <c r="C496" s="39" t="s">
        <v>3314</v>
      </c>
      <c r="D496" s="10" t="str">
        <f>VLOOKUP(C496,'Data Angt'!$A$5:$B$5809,2,FALSE)</f>
        <v>A1409</v>
      </c>
      <c r="E496" s="40" t="s">
        <v>11086</v>
      </c>
      <c r="F496" s="41">
        <v>42458</v>
      </c>
      <c r="G496" s="38">
        <v>12</v>
      </c>
      <c r="H496" s="40">
        <v>0</v>
      </c>
      <c r="I496" s="38">
        <v>5.5</v>
      </c>
      <c r="J496" s="41">
        <v>42458</v>
      </c>
      <c r="K496" s="38" t="s">
        <v>10768</v>
      </c>
      <c r="L496" s="42">
        <v>35000000</v>
      </c>
      <c r="O496"/>
    </row>
    <row r="497" spans="1:15" x14ac:dyDescent="0.3">
      <c r="A497" s="37">
        <v>79065</v>
      </c>
      <c r="B497" s="38">
        <v>491</v>
      </c>
      <c r="C497" s="39" t="s">
        <v>3314</v>
      </c>
      <c r="D497" s="10" t="str">
        <f>VLOOKUP(C497,'Data Angt'!$A$5:$B$5809,2,FALSE)</f>
        <v>A1409</v>
      </c>
      <c r="E497" s="40" t="s">
        <v>11087</v>
      </c>
      <c r="F497" s="41">
        <v>42458</v>
      </c>
      <c r="G497" s="38">
        <v>12</v>
      </c>
      <c r="H497" s="40">
        <v>0</v>
      </c>
      <c r="I497" s="38">
        <v>5.5</v>
      </c>
      <c r="J497" s="41">
        <v>42458</v>
      </c>
      <c r="K497" s="38" t="s">
        <v>10768</v>
      </c>
      <c r="L497" s="42">
        <v>35000000</v>
      </c>
      <c r="O497"/>
    </row>
    <row r="498" spans="1:15" x14ac:dyDescent="0.3">
      <c r="A498" s="37">
        <v>79081</v>
      </c>
      <c r="B498" s="38">
        <v>492</v>
      </c>
      <c r="C498" s="39" t="s">
        <v>3314</v>
      </c>
      <c r="D498" s="10" t="str">
        <f>VLOOKUP(C498,'Data Angt'!$A$5:$B$5809,2,FALSE)</f>
        <v>A1409</v>
      </c>
      <c r="E498" s="40" t="s">
        <v>11088</v>
      </c>
      <c r="F498" s="41">
        <v>42458</v>
      </c>
      <c r="G498" s="38">
        <v>12</v>
      </c>
      <c r="H498" s="40">
        <v>0</v>
      </c>
      <c r="I498" s="38">
        <v>5.5</v>
      </c>
      <c r="J498" s="41">
        <v>42458</v>
      </c>
      <c r="K498" s="38" t="s">
        <v>10768</v>
      </c>
      <c r="L498" s="42">
        <v>35000000</v>
      </c>
      <c r="O498"/>
    </row>
    <row r="499" spans="1:15" x14ac:dyDescent="0.3">
      <c r="A499" s="37">
        <v>79066</v>
      </c>
      <c r="B499" s="38">
        <v>493</v>
      </c>
      <c r="C499" s="39" t="s">
        <v>3314</v>
      </c>
      <c r="D499" s="10" t="str">
        <f>VLOOKUP(C499,'Data Angt'!$A$5:$B$5809,2,FALSE)</f>
        <v>A1409</v>
      </c>
      <c r="E499" s="40" t="s">
        <v>11090</v>
      </c>
      <c r="F499" s="41">
        <v>42458</v>
      </c>
      <c r="G499" s="38">
        <v>12</v>
      </c>
      <c r="H499" s="40">
        <v>0</v>
      </c>
      <c r="I499" s="38">
        <v>5.5</v>
      </c>
      <c r="J499" s="41">
        <v>42458</v>
      </c>
      <c r="K499" s="38" t="s">
        <v>10768</v>
      </c>
      <c r="L499" s="42">
        <v>35000000</v>
      </c>
      <c r="O499"/>
    </row>
    <row r="500" spans="1:15" x14ac:dyDescent="0.3">
      <c r="A500" s="37">
        <v>79082</v>
      </c>
      <c r="B500" s="38">
        <v>494</v>
      </c>
      <c r="C500" s="39" t="s">
        <v>3314</v>
      </c>
      <c r="D500" s="10" t="str">
        <f>VLOOKUP(C500,'Data Angt'!$A$5:$B$5809,2,FALSE)</f>
        <v>A1409</v>
      </c>
      <c r="E500" s="40" t="s">
        <v>11089</v>
      </c>
      <c r="F500" s="41">
        <v>42458</v>
      </c>
      <c r="G500" s="38">
        <v>12</v>
      </c>
      <c r="H500" s="40">
        <v>0</v>
      </c>
      <c r="I500" s="38">
        <v>5.5</v>
      </c>
      <c r="J500" s="41">
        <v>42458</v>
      </c>
      <c r="K500" s="38" t="s">
        <v>10768</v>
      </c>
      <c r="L500" s="42">
        <v>35000000</v>
      </c>
      <c r="O500"/>
    </row>
    <row r="501" spans="1:15" x14ac:dyDescent="0.3">
      <c r="A501" s="37">
        <v>79067</v>
      </c>
      <c r="B501" s="38">
        <v>495</v>
      </c>
      <c r="C501" s="39" t="s">
        <v>3314</v>
      </c>
      <c r="D501" s="10" t="str">
        <f>VLOOKUP(C501,'Data Angt'!$A$5:$B$5809,2,FALSE)</f>
        <v>A1409</v>
      </c>
      <c r="E501" s="40" t="s">
        <v>11092</v>
      </c>
      <c r="F501" s="41">
        <v>42458</v>
      </c>
      <c r="G501" s="38">
        <v>12</v>
      </c>
      <c r="H501" s="40">
        <v>0</v>
      </c>
      <c r="I501" s="38">
        <v>5.5</v>
      </c>
      <c r="J501" s="41">
        <v>42458</v>
      </c>
      <c r="K501" s="38" t="s">
        <v>10768</v>
      </c>
      <c r="L501" s="42">
        <v>35000000</v>
      </c>
      <c r="O501"/>
    </row>
    <row r="502" spans="1:15" x14ac:dyDescent="0.3">
      <c r="A502" s="37">
        <v>79083</v>
      </c>
      <c r="B502" s="38">
        <v>496</v>
      </c>
      <c r="C502" s="39" t="s">
        <v>3314</v>
      </c>
      <c r="D502" s="10" t="str">
        <f>VLOOKUP(C502,'Data Angt'!$A$5:$B$5809,2,FALSE)</f>
        <v>A1409</v>
      </c>
      <c r="E502" s="40" t="s">
        <v>11091</v>
      </c>
      <c r="F502" s="41">
        <v>42458</v>
      </c>
      <c r="G502" s="38">
        <v>12</v>
      </c>
      <c r="H502" s="40">
        <v>0</v>
      </c>
      <c r="I502" s="38">
        <v>5.5</v>
      </c>
      <c r="J502" s="41">
        <v>42458</v>
      </c>
      <c r="K502" s="38" t="s">
        <v>10768</v>
      </c>
      <c r="L502" s="42">
        <v>35000000</v>
      </c>
      <c r="O502"/>
    </row>
    <row r="503" spans="1:15" x14ac:dyDescent="0.3">
      <c r="A503" s="37">
        <v>79068</v>
      </c>
      <c r="B503" s="38">
        <v>497</v>
      </c>
      <c r="C503" s="39" t="s">
        <v>3314</v>
      </c>
      <c r="D503" s="10" t="str">
        <f>VLOOKUP(C503,'Data Angt'!$A$5:$B$5809,2,FALSE)</f>
        <v>A1409</v>
      </c>
      <c r="E503" s="40" t="s">
        <v>11094</v>
      </c>
      <c r="F503" s="41">
        <v>42458</v>
      </c>
      <c r="G503" s="38">
        <v>12</v>
      </c>
      <c r="H503" s="40">
        <v>0</v>
      </c>
      <c r="I503" s="38">
        <v>5.5</v>
      </c>
      <c r="J503" s="41">
        <v>42458</v>
      </c>
      <c r="K503" s="38" t="s">
        <v>10768</v>
      </c>
      <c r="L503" s="42">
        <v>35000000</v>
      </c>
      <c r="O503"/>
    </row>
    <row r="504" spans="1:15" x14ac:dyDescent="0.3">
      <c r="A504" s="37">
        <v>79084</v>
      </c>
      <c r="B504" s="38">
        <v>498</v>
      </c>
      <c r="C504" s="39" t="s">
        <v>3314</v>
      </c>
      <c r="D504" s="10" t="str">
        <f>VLOOKUP(C504,'Data Angt'!$A$5:$B$5809,2,FALSE)</f>
        <v>A1409</v>
      </c>
      <c r="E504" s="40" t="s">
        <v>11093</v>
      </c>
      <c r="F504" s="41">
        <v>42458</v>
      </c>
      <c r="G504" s="38">
        <v>12</v>
      </c>
      <c r="H504" s="40">
        <v>0</v>
      </c>
      <c r="I504" s="38">
        <v>5.5</v>
      </c>
      <c r="J504" s="41">
        <v>42458</v>
      </c>
      <c r="K504" s="38" t="s">
        <v>10768</v>
      </c>
      <c r="L504" s="42">
        <v>35000000</v>
      </c>
      <c r="O504"/>
    </row>
    <row r="505" spans="1:15" x14ac:dyDescent="0.3">
      <c r="A505" s="37">
        <v>79069</v>
      </c>
      <c r="B505" s="38">
        <v>499</v>
      </c>
      <c r="C505" s="39" t="s">
        <v>3314</v>
      </c>
      <c r="D505" s="10" t="str">
        <f>VLOOKUP(C505,'Data Angt'!$A$5:$B$5809,2,FALSE)</f>
        <v>A1409</v>
      </c>
      <c r="E505" s="40" t="s">
        <v>11096</v>
      </c>
      <c r="F505" s="41">
        <v>42458</v>
      </c>
      <c r="G505" s="38">
        <v>12</v>
      </c>
      <c r="H505" s="40">
        <v>0</v>
      </c>
      <c r="I505" s="38">
        <v>5.5</v>
      </c>
      <c r="J505" s="41">
        <v>42458</v>
      </c>
      <c r="K505" s="38" t="s">
        <v>10768</v>
      </c>
      <c r="L505" s="42">
        <v>35000000</v>
      </c>
      <c r="O505"/>
    </row>
    <row r="506" spans="1:15" x14ac:dyDescent="0.3">
      <c r="A506" s="37">
        <v>79085</v>
      </c>
      <c r="B506" s="38">
        <v>500</v>
      </c>
      <c r="C506" s="39" t="s">
        <v>3314</v>
      </c>
      <c r="D506" s="10" t="str">
        <f>VLOOKUP(C506,'Data Angt'!$A$5:$B$5809,2,FALSE)</f>
        <v>A1409</v>
      </c>
      <c r="E506" s="40" t="s">
        <v>11095</v>
      </c>
      <c r="F506" s="41">
        <v>42458</v>
      </c>
      <c r="G506" s="38">
        <v>12</v>
      </c>
      <c r="H506" s="40">
        <v>0</v>
      </c>
      <c r="I506" s="38">
        <v>5.5</v>
      </c>
      <c r="J506" s="41">
        <v>42458</v>
      </c>
      <c r="K506" s="38" t="s">
        <v>10768</v>
      </c>
      <c r="L506" s="42">
        <v>35000000</v>
      </c>
      <c r="O506"/>
    </row>
    <row r="507" spans="1:15" x14ac:dyDescent="0.3">
      <c r="A507" s="37">
        <v>79070</v>
      </c>
      <c r="B507" s="38">
        <v>501</v>
      </c>
      <c r="C507" s="39" t="s">
        <v>3314</v>
      </c>
      <c r="D507" s="10" t="str">
        <f>VLOOKUP(C507,'Data Angt'!$A$5:$B$5809,2,FALSE)</f>
        <v>A1409</v>
      </c>
      <c r="E507" s="40" t="s">
        <v>11098</v>
      </c>
      <c r="F507" s="41">
        <v>42458</v>
      </c>
      <c r="G507" s="38">
        <v>12</v>
      </c>
      <c r="H507" s="40">
        <v>0</v>
      </c>
      <c r="I507" s="38">
        <v>5.5</v>
      </c>
      <c r="J507" s="41">
        <v>42458</v>
      </c>
      <c r="K507" s="38" t="s">
        <v>10768</v>
      </c>
      <c r="L507" s="42">
        <v>35000000</v>
      </c>
      <c r="O507"/>
    </row>
    <row r="508" spans="1:15" x14ac:dyDescent="0.3">
      <c r="A508" s="37">
        <v>120422</v>
      </c>
      <c r="B508" s="38">
        <v>502</v>
      </c>
      <c r="C508" s="39" t="s">
        <v>3314</v>
      </c>
      <c r="D508" s="10" t="str">
        <f>VLOOKUP(C508,'Data Angt'!$A$5:$B$5809,2,FALSE)</f>
        <v>A1409</v>
      </c>
      <c r="E508" s="40" t="s">
        <v>11097</v>
      </c>
      <c r="F508" s="41">
        <v>43866</v>
      </c>
      <c r="G508" s="38">
        <v>12</v>
      </c>
      <c r="H508" s="40">
        <v>0</v>
      </c>
      <c r="I508" s="38">
        <v>5.5</v>
      </c>
      <c r="J508" s="41">
        <v>43866</v>
      </c>
      <c r="K508" s="38" t="s">
        <v>10768</v>
      </c>
      <c r="L508" s="42">
        <v>500000000</v>
      </c>
      <c r="O508"/>
    </row>
    <row r="509" spans="1:15" x14ac:dyDescent="0.3">
      <c r="A509" s="37">
        <v>79071</v>
      </c>
      <c r="B509" s="38">
        <v>503</v>
      </c>
      <c r="C509" s="39" t="s">
        <v>3314</v>
      </c>
      <c r="D509" s="10" t="str">
        <f>VLOOKUP(C509,'Data Angt'!$A$5:$B$5809,2,FALSE)</f>
        <v>A1409</v>
      </c>
      <c r="E509" s="40" t="s">
        <v>11099</v>
      </c>
      <c r="F509" s="41">
        <v>42458</v>
      </c>
      <c r="G509" s="38">
        <v>12</v>
      </c>
      <c r="H509" s="40">
        <v>0</v>
      </c>
      <c r="I509" s="38">
        <v>5.5</v>
      </c>
      <c r="J509" s="41">
        <v>42458</v>
      </c>
      <c r="K509" s="38" t="s">
        <v>10768</v>
      </c>
      <c r="L509" s="42">
        <v>35000000</v>
      </c>
      <c r="O509"/>
    </row>
    <row r="510" spans="1:15" x14ac:dyDescent="0.3">
      <c r="A510" s="37">
        <v>79072</v>
      </c>
      <c r="B510" s="38">
        <v>504</v>
      </c>
      <c r="C510" s="39" t="s">
        <v>3314</v>
      </c>
      <c r="D510" s="10" t="str">
        <f>VLOOKUP(C510,'Data Angt'!$A$5:$B$5809,2,FALSE)</f>
        <v>A1409</v>
      </c>
      <c r="E510" s="40" t="s">
        <v>11100</v>
      </c>
      <c r="F510" s="41">
        <v>42458</v>
      </c>
      <c r="G510" s="38">
        <v>12</v>
      </c>
      <c r="H510" s="40">
        <v>0</v>
      </c>
      <c r="I510" s="38">
        <v>5.5</v>
      </c>
      <c r="J510" s="41">
        <v>42458</v>
      </c>
      <c r="K510" s="38" t="s">
        <v>10768</v>
      </c>
      <c r="L510" s="42">
        <v>35000000</v>
      </c>
      <c r="O510"/>
    </row>
    <row r="511" spans="1:15" x14ac:dyDescent="0.3">
      <c r="A511" s="37">
        <v>79057</v>
      </c>
      <c r="B511" s="38">
        <v>505</v>
      </c>
      <c r="C511" s="39" t="s">
        <v>3314</v>
      </c>
      <c r="D511" s="10" t="str">
        <f>VLOOKUP(C511,'Data Angt'!$A$5:$B$5809,2,FALSE)</f>
        <v>A1409</v>
      </c>
      <c r="E511" s="40" t="s">
        <v>11101</v>
      </c>
      <c r="F511" s="41">
        <v>42458</v>
      </c>
      <c r="G511" s="38">
        <v>12</v>
      </c>
      <c r="H511" s="40">
        <v>0</v>
      </c>
      <c r="I511" s="38">
        <v>5.5</v>
      </c>
      <c r="J511" s="41">
        <v>42458</v>
      </c>
      <c r="K511" s="38" t="s">
        <v>10768</v>
      </c>
      <c r="L511" s="42">
        <v>20000000</v>
      </c>
      <c r="O511"/>
    </row>
    <row r="512" spans="1:15" x14ac:dyDescent="0.3">
      <c r="A512" s="37">
        <v>79073</v>
      </c>
      <c r="B512" s="38">
        <v>506</v>
      </c>
      <c r="C512" s="39" t="s">
        <v>3314</v>
      </c>
      <c r="D512" s="10" t="str">
        <f>VLOOKUP(C512,'Data Angt'!$A$5:$B$5809,2,FALSE)</f>
        <v>A1409</v>
      </c>
      <c r="E512" s="40" t="s">
        <v>11102</v>
      </c>
      <c r="F512" s="41">
        <v>42458</v>
      </c>
      <c r="G512" s="38">
        <v>12</v>
      </c>
      <c r="H512" s="40">
        <v>0</v>
      </c>
      <c r="I512" s="38">
        <v>5.5</v>
      </c>
      <c r="J512" s="41">
        <v>42458</v>
      </c>
      <c r="K512" s="38" t="s">
        <v>10768</v>
      </c>
      <c r="L512" s="42">
        <v>35000000</v>
      </c>
      <c r="O512"/>
    </row>
    <row r="513" spans="1:15" x14ac:dyDescent="0.3">
      <c r="A513" s="37">
        <v>79058</v>
      </c>
      <c r="B513" s="38">
        <v>507</v>
      </c>
      <c r="C513" s="39" t="s">
        <v>3314</v>
      </c>
      <c r="D513" s="10" t="str">
        <f>VLOOKUP(C513,'Data Angt'!$A$5:$B$5809,2,FALSE)</f>
        <v>A1409</v>
      </c>
      <c r="E513" s="40" t="s">
        <v>11103</v>
      </c>
      <c r="F513" s="41">
        <v>42458</v>
      </c>
      <c r="G513" s="38">
        <v>12</v>
      </c>
      <c r="H513" s="40">
        <v>0</v>
      </c>
      <c r="I513" s="38">
        <v>5.5</v>
      </c>
      <c r="J513" s="41">
        <v>42458</v>
      </c>
      <c r="K513" s="38" t="s">
        <v>10768</v>
      </c>
      <c r="L513" s="42">
        <v>35000000</v>
      </c>
      <c r="O513"/>
    </row>
    <row r="514" spans="1:15" x14ac:dyDescent="0.3">
      <c r="A514" s="37">
        <v>79074</v>
      </c>
      <c r="B514" s="38">
        <v>508</v>
      </c>
      <c r="C514" s="39" t="s">
        <v>3314</v>
      </c>
      <c r="D514" s="10" t="str">
        <f>VLOOKUP(C514,'Data Angt'!$A$5:$B$5809,2,FALSE)</f>
        <v>A1409</v>
      </c>
      <c r="E514" s="40" t="s">
        <v>11104</v>
      </c>
      <c r="F514" s="41">
        <v>42458</v>
      </c>
      <c r="G514" s="38">
        <v>12</v>
      </c>
      <c r="H514" s="40">
        <v>0</v>
      </c>
      <c r="I514" s="38">
        <v>5.5</v>
      </c>
      <c r="J514" s="41">
        <v>42458</v>
      </c>
      <c r="K514" s="38" t="s">
        <v>10768</v>
      </c>
      <c r="L514" s="42">
        <v>35000000</v>
      </c>
      <c r="O514"/>
    </row>
    <row r="515" spans="1:15" x14ac:dyDescent="0.3">
      <c r="A515" s="37">
        <v>79059</v>
      </c>
      <c r="B515" s="38">
        <v>509</v>
      </c>
      <c r="C515" s="39" t="s">
        <v>3314</v>
      </c>
      <c r="D515" s="10" t="str">
        <f>VLOOKUP(C515,'Data Angt'!$A$5:$B$5809,2,FALSE)</f>
        <v>A1409</v>
      </c>
      <c r="E515" s="40" t="s">
        <v>11105</v>
      </c>
      <c r="F515" s="41">
        <v>42458</v>
      </c>
      <c r="G515" s="38">
        <v>12</v>
      </c>
      <c r="H515" s="40">
        <v>0</v>
      </c>
      <c r="I515" s="38">
        <v>5.5</v>
      </c>
      <c r="J515" s="41">
        <v>42458</v>
      </c>
      <c r="K515" s="38" t="s">
        <v>10768</v>
      </c>
      <c r="L515" s="42">
        <v>35000000</v>
      </c>
      <c r="O515"/>
    </row>
    <row r="516" spans="1:15" x14ac:dyDescent="0.3">
      <c r="A516" s="37">
        <v>79075</v>
      </c>
      <c r="B516" s="38">
        <v>510</v>
      </c>
      <c r="C516" s="39" t="s">
        <v>3314</v>
      </c>
      <c r="D516" s="10" t="str">
        <f>VLOOKUP(C516,'Data Angt'!$A$5:$B$5809,2,FALSE)</f>
        <v>A1409</v>
      </c>
      <c r="E516" s="40" t="s">
        <v>11106</v>
      </c>
      <c r="F516" s="41">
        <v>42458</v>
      </c>
      <c r="G516" s="38">
        <v>12</v>
      </c>
      <c r="H516" s="40">
        <v>0</v>
      </c>
      <c r="I516" s="38">
        <v>5.5</v>
      </c>
      <c r="J516" s="41">
        <v>42458</v>
      </c>
      <c r="K516" s="38" t="s">
        <v>10768</v>
      </c>
      <c r="L516" s="42">
        <v>35000000</v>
      </c>
      <c r="O516"/>
    </row>
    <row r="517" spans="1:15" x14ac:dyDescent="0.3">
      <c r="A517" s="37">
        <v>135900</v>
      </c>
      <c r="B517" s="38">
        <v>511</v>
      </c>
      <c r="C517" s="39" t="s">
        <v>12255</v>
      </c>
      <c r="D517" s="10" t="str">
        <f>VLOOKUP(C517,'Data Angt'!$A$5:$B$5809,2,FALSE)</f>
        <v>A1410</v>
      </c>
      <c r="E517" s="40" t="s">
        <v>11115</v>
      </c>
      <c r="F517" s="41">
        <v>44935</v>
      </c>
      <c r="G517" s="38">
        <v>12</v>
      </c>
      <c r="H517" s="40">
        <v>0</v>
      </c>
      <c r="I517" s="38">
        <v>5.5</v>
      </c>
      <c r="J517" s="41">
        <v>44935</v>
      </c>
      <c r="K517" s="38" t="s">
        <v>10768</v>
      </c>
      <c r="L517" s="42">
        <v>17500000</v>
      </c>
      <c r="O517"/>
    </row>
    <row r="518" spans="1:15" x14ac:dyDescent="0.3">
      <c r="A518" s="37">
        <v>116147</v>
      </c>
      <c r="B518" s="38">
        <v>512</v>
      </c>
      <c r="C518" s="39" t="s">
        <v>3391</v>
      </c>
      <c r="D518" s="10" t="str">
        <f>VLOOKUP(C518,'Data Angt'!$A$5:$B$5809,2,FALSE)</f>
        <v>A1441</v>
      </c>
      <c r="E518" s="40" t="s">
        <v>11116</v>
      </c>
      <c r="F518" s="41">
        <v>43713</v>
      </c>
      <c r="G518" s="38">
        <v>12</v>
      </c>
      <c r="H518" s="40">
        <v>0</v>
      </c>
      <c r="I518" s="38">
        <v>5.5</v>
      </c>
      <c r="J518" s="41">
        <v>43714</v>
      </c>
      <c r="K518" s="38" t="s">
        <v>10768</v>
      </c>
      <c r="L518" s="42">
        <v>24000000</v>
      </c>
      <c r="O518"/>
    </row>
    <row r="519" spans="1:15" x14ac:dyDescent="0.3">
      <c r="A519" s="37">
        <v>140035</v>
      </c>
      <c r="B519" s="38">
        <v>513</v>
      </c>
      <c r="C519" s="39" t="s">
        <v>3399</v>
      </c>
      <c r="D519" s="10" t="str">
        <f>VLOOKUP(C519,'Data Angt'!$A$5:$B$5809,2,FALSE)</f>
        <v>A1445</v>
      </c>
      <c r="E519" s="40" t="s">
        <v>11117</v>
      </c>
      <c r="F519" s="41">
        <v>45225</v>
      </c>
      <c r="G519" s="38">
        <v>12</v>
      </c>
      <c r="H519" s="40">
        <v>0</v>
      </c>
      <c r="I519" s="38">
        <v>5.5</v>
      </c>
      <c r="J519" s="41">
        <v>45225</v>
      </c>
      <c r="K519" s="38" t="s">
        <v>10768</v>
      </c>
      <c r="L519" s="42">
        <v>5000000</v>
      </c>
      <c r="O519"/>
    </row>
    <row r="520" spans="1:15" x14ac:dyDescent="0.3">
      <c r="A520" s="37">
        <v>152615</v>
      </c>
      <c r="B520" s="38">
        <v>514</v>
      </c>
      <c r="C520" s="39" t="s">
        <v>3399</v>
      </c>
      <c r="D520" s="10" t="str">
        <f>VLOOKUP(C520,'Data Angt'!$A$5:$B$5809,2,FALSE)</f>
        <v>A1445</v>
      </c>
      <c r="E520" s="40" t="s">
        <v>18508</v>
      </c>
      <c r="F520" s="41">
        <v>45688</v>
      </c>
      <c r="G520" s="38">
        <v>12</v>
      </c>
      <c r="H520" s="40">
        <v>0</v>
      </c>
      <c r="I520" s="38">
        <v>5.5</v>
      </c>
      <c r="J520" s="41">
        <v>45688</v>
      </c>
      <c r="K520" s="38" t="s">
        <v>10768</v>
      </c>
      <c r="L520" s="42">
        <v>25000000</v>
      </c>
      <c r="O520"/>
    </row>
    <row r="521" spans="1:15" x14ac:dyDescent="0.3">
      <c r="A521" s="37">
        <v>141516</v>
      </c>
      <c r="B521" s="38">
        <v>515</v>
      </c>
      <c r="C521" s="39" t="s">
        <v>3405</v>
      </c>
      <c r="D521" s="10" t="str">
        <f>VLOOKUP(C521,'Data Angt'!$A$5:$B$5809,2,FALSE)</f>
        <v>A1448</v>
      </c>
      <c r="E521" s="40" t="s">
        <v>18509</v>
      </c>
      <c r="F521" s="41">
        <v>45300</v>
      </c>
      <c r="G521" s="38">
        <v>12</v>
      </c>
      <c r="H521" s="40">
        <v>0</v>
      </c>
      <c r="I521" s="38">
        <v>5.5</v>
      </c>
      <c r="J521" s="41">
        <v>45300</v>
      </c>
      <c r="K521" s="38" t="s">
        <v>10768</v>
      </c>
      <c r="L521" s="42">
        <v>30000000</v>
      </c>
      <c r="O521"/>
    </row>
    <row r="522" spans="1:15" x14ac:dyDescent="0.3">
      <c r="A522" s="37">
        <v>154493</v>
      </c>
      <c r="B522" s="38">
        <v>516</v>
      </c>
      <c r="C522" s="39" t="s">
        <v>3504</v>
      </c>
      <c r="D522" s="10" t="str">
        <f>VLOOKUP(C522,'Data Angt'!$A$5:$B$5809,2,FALSE)</f>
        <v>A1496</v>
      </c>
      <c r="E522" s="40" t="s">
        <v>18510</v>
      </c>
      <c r="F522" s="41">
        <v>45728</v>
      </c>
      <c r="G522" s="38">
        <v>12</v>
      </c>
      <c r="H522" s="40">
        <v>0</v>
      </c>
      <c r="I522" s="38">
        <v>5.99</v>
      </c>
      <c r="J522" s="41">
        <v>45728</v>
      </c>
      <c r="K522" s="38" t="s">
        <v>10768</v>
      </c>
      <c r="L522" s="42">
        <v>100000000</v>
      </c>
      <c r="O522"/>
    </row>
    <row r="523" spans="1:15" x14ac:dyDescent="0.3">
      <c r="A523" s="37">
        <v>133839</v>
      </c>
      <c r="B523" s="38">
        <v>517</v>
      </c>
      <c r="C523" s="39" t="s">
        <v>3527</v>
      </c>
      <c r="D523" s="10" t="str">
        <f>VLOOKUP(C523,'Data Angt'!$A$5:$B$5809,2,FALSE)</f>
        <v>A1506</v>
      </c>
      <c r="E523" s="40" t="s">
        <v>11120</v>
      </c>
      <c r="F523" s="41">
        <v>44774</v>
      </c>
      <c r="G523" s="38">
        <v>12</v>
      </c>
      <c r="H523" s="40">
        <v>0</v>
      </c>
      <c r="I523" s="38">
        <v>5.5</v>
      </c>
      <c r="J523" s="41">
        <v>44774</v>
      </c>
      <c r="K523" s="38" t="s">
        <v>10768</v>
      </c>
      <c r="L523" s="42">
        <v>6500000</v>
      </c>
      <c r="O523"/>
    </row>
    <row r="524" spans="1:15" x14ac:dyDescent="0.3">
      <c r="A524" s="37">
        <v>79142</v>
      </c>
      <c r="B524" s="38">
        <v>518</v>
      </c>
      <c r="C524" s="39" t="s">
        <v>3527</v>
      </c>
      <c r="D524" s="10" t="str">
        <f>VLOOKUP(C524,'Data Angt'!$A$5:$B$5809,2,FALSE)</f>
        <v>A1506</v>
      </c>
      <c r="E524" s="40" t="s">
        <v>11118</v>
      </c>
      <c r="F524" s="41">
        <v>42675</v>
      </c>
      <c r="G524" s="38">
        <v>12</v>
      </c>
      <c r="H524" s="40">
        <v>0</v>
      </c>
      <c r="I524" s="38">
        <v>5.5</v>
      </c>
      <c r="J524" s="41">
        <v>42380</v>
      </c>
      <c r="K524" s="38" t="s">
        <v>10768</v>
      </c>
      <c r="L524" s="42">
        <v>20000000</v>
      </c>
      <c r="O524"/>
    </row>
    <row r="525" spans="1:15" x14ac:dyDescent="0.3">
      <c r="A525" s="37">
        <v>79335</v>
      </c>
      <c r="B525" s="38">
        <v>519</v>
      </c>
      <c r="C525" s="39" t="s">
        <v>3527</v>
      </c>
      <c r="D525" s="10" t="str">
        <f>VLOOKUP(C525,'Data Angt'!$A$5:$B$5809,2,FALSE)</f>
        <v>A1506</v>
      </c>
      <c r="E525" s="40" t="s">
        <v>11119</v>
      </c>
      <c r="F525" s="41">
        <v>43041</v>
      </c>
      <c r="G525" s="38">
        <v>12</v>
      </c>
      <c r="H525" s="40">
        <v>0</v>
      </c>
      <c r="I525" s="38">
        <v>5.5</v>
      </c>
      <c r="J525" s="41">
        <v>42777</v>
      </c>
      <c r="K525" s="38" t="s">
        <v>10768</v>
      </c>
      <c r="L525" s="42">
        <v>2000000</v>
      </c>
      <c r="O525"/>
    </row>
    <row r="526" spans="1:15" x14ac:dyDescent="0.3">
      <c r="A526" s="37">
        <v>125738</v>
      </c>
      <c r="B526" s="38">
        <v>520</v>
      </c>
      <c r="C526" s="39" t="s">
        <v>3544</v>
      </c>
      <c r="D526" s="10" t="str">
        <f>VLOOKUP(C526,'Data Angt'!$A$5:$B$5809,2,FALSE)</f>
        <v>A1514</v>
      </c>
      <c r="E526" s="40" t="s">
        <v>11122</v>
      </c>
      <c r="F526" s="41">
        <v>44146</v>
      </c>
      <c r="G526" s="38">
        <v>12</v>
      </c>
      <c r="H526" s="40">
        <v>0</v>
      </c>
      <c r="I526" s="38">
        <v>5.5</v>
      </c>
      <c r="J526" s="41">
        <v>44146</v>
      </c>
      <c r="K526" s="38" t="s">
        <v>10768</v>
      </c>
      <c r="L526" s="42">
        <v>50000000</v>
      </c>
      <c r="O526"/>
    </row>
    <row r="527" spans="1:15" x14ac:dyDescent="0.3">
      <c r="A527" s="37">
        <v>125739</v>
      </c>
      <c r="B527" s="38">
        <v>521</v>
      </c>
      <c r="C527" s="39" t="s">
        <v>3544</v>
      </c>
      <c r="D527" s="10" t="str">
        <f>VLOOKUP(C527,'Data Angt'!$A$5:$B$5809,2,FALSE)</f>
        <v>A1514</v>
      </c>
      <c r="E527" s="40" t="s">
        <v>11123</v>
      </c>
      <c r="F527" s="41">
        <v>44146</v>
      </c>
      <c r="G527" s="38">
        <v>12</v>
      </c>
      <c r="H527" s="40">
        <v>0</v>
      </c>
      <c r="I527" s="38">
        <v>5.5</v>
      </c>
      <c r="J527" s="41">
        <v>44146</v>
      </c>
      <c r="K527" s="38" t="s">
        <v>10768</v>
      </c>
      <c r="L527" s="42">
        <v>50000000</v>
      </c>
      <c r="O527"/>
    </row>
    <row r="528" spans="1:15" x14ac:dyDescent="0.3">
      <c r="A528" s="37">
        <v>125740</v>
      </c>
      <c r="B528" s="38">
        <v>522</v>
      </c>
      <c r="C528" s="39" t="s">
        <v>3544</v>
      </c>
      <c r="D528" s="10" t="str">
        <f>VLOOKUP(C528,'Data Angt'!$A$5:$B$5809,2,FALSE)</f>
        <v>A1514</v>
      </c>
      <c r="E528" s="40" t="s">
        <v>11124</v>
      </c>
      <c r="F528" s="41">
        <v>44146</v>
      </c>
      <c r="G528" s="38">
        <v>12</v>
      </c>
      <c r="H528" s="40">
        <v>0</v>
      </c>
      <c r="I528" s="38">
        <v>5.5</v>
      </c>
      <c r="J528" s="41">
        <v>44146</v>
      </c>
      <c r="K528" s="38" t="s">
        <v>10768</v>
      </c>
      <c r="L528" s="42">
        <v>50000000</v>
      </c>
      <c r="O528"/>
    </row>
    <row r="529" spans="1:15" x14ac:dyDescent="0.3">
      <c r="A529" s="37">
        <v>125741</v>
      </c>
      <c r="B529" s="38">
        <v>523</v>
      </c>
      <c r="C529" s="39" t="s">
        <v>3544</v>
      </c>
      <c r="D529" s="10" t="str">
        <f>VLOOKUP(C529,'Data Angt'!$A$5:$B$5809,2,FALSE)</f>
        <v>A1514</v>
      </c>
      <c r="E529" s="40" t="s">
        <v>11125</v>
      </c>
      <c r="F529" s="41">
        <v>44146</v>
      </c>
      <c r="G529" s="38">
        <v>12</v>
      </c>
      <c r="H529" s="40">
        <v>0</v>
      </c>
      <c r="I529" s="38">
        <v>5.5</v>
      </c>
      <c r="J529" s="41">
        <v>44146</v>
      </c>
      <c r="K529" s="38" t="s">
        <v>10768</v>
      </c>
      <c r="L529" s="42">
        <v>50000000</v>
      </c>
      <c r="O529"/>
    </row>
    <row r="530" spans="1:15" x14ac:dyDescent="0.3">
      <c r="A530" s="37">
        <v>125742</v>
      </c>
      <c r="B530" s="38">
        <v>524</v>
      </c>
      <c r="C530" s="39" t="s">
        <v>3544</v>
      </c>
      <c r="D530" s="10" t="str">
        <f>VLOOKUP(C530,'Data Angt'!$A$5:$B$5809,2,FALSE)</f>
        <v>A1514</v>
      </c>
      <c r="E530" s="40" t="s">
        <v>11126</v>
      </c>
      <c r="F530" s="41">
        <v>44146</v>
      </c>
      <c r="G530" s="38">
        <v>12</v>
      </c>
      <c r="H530" s="40">
        <v>0</v>
      </c>
      <c r="I530" s="38">
        <v>5.5</v>
      </c>
      <c r="J530" s="41">
        <v>44146</v>
      </c>
      <c r="K530" s="38" t="s">
        <v>10768</v>
      </c>
      <c r="L530" s="42">
        <v>50000000</v>
      </c>
      <c r="O530"/>
    </row>
    <row r="531" spans="1:15" x14ac:dyDescent="0.3">
      <c r="A531" s="37">
        <v>154445</v>
      </c>
      <c r="B531" s="38">
        <v>525</v>
      </c>
      <c r="C531" s="39" t="s">
        <v>3544</v>
      </c>
      <c r="D531" s="10" t="str">
        <f>VLOOKUP(C531,'Data Angt'!$A$5:$B$5809,2,FALSE)</f>
        <v>A1514</v>
      </c>
      <c r="E531" s="40" t="s">
        <v>18511</v>
      </c>
      <c r="F531" s="41">
        <v>45727</v>
      </c>
      <c r="G531" s="38">
        <v>12</v>
      </c>
      <c r="H531" s="40">
        <v>0</v>
      </c>
      <c r="I531" s="38">
        <v>5.5</v>
      </c>
      <c r="J531" s="41">
        <v>45727</v>
      </c>
      <c r="K531" s="38" t="s">
        <v>10768</v>
      </c>
      <c r="L531" s="42">
        <v>100000000</v>
      </c>
      <c r="O531"/>
    </row>
    <row r="532" spans="1:15" x14ac:dyDescent="0.3">
      <c r="A532" s="37">
        <v>125737</v>
      </c>
      <c r="B532" s="38">
        <v>526</v>
      </c>
      <c r="C532" s="39" t="s">
        <v>3544</v>
      </c>
      <c r="D532" s="10" t="str">
        <f>VLOOKUP(C532,'Data Angt'!$A$5:$B$5809,2,FALSE)</f>
        <v>A1514</v>
      </c>
      <c r="E532" s="40" t="s">
        <v>11121</v>
      </c>
      <c r="F532" s="41">
        <v>44146</v>
      </c>
      <c r="G532" s="38">
        <v>12</v>
      </c>
      <c r="H532" s="40">
        <v>0</v>
      </c>
      <c r="I532" s="38">
        <v>5.5</v>
      </c>
      <c r="J532" s="41">
        <v>44146</v>
      </c>
      <c r="K532" s="38" t="s">
        <v>10768</v>
      </c>
      <c r="L532" s="42">
        <v>50000000</v>
      </c>
      <c r="O532"/>
    </row>
    <row r="533" spans="1:15" x14ac:dyDescent="0.3">
      <c r="A533" s="37">
        <v>154505</v>
      </c>
      <c r="B533" s="38">
        <v>527</v>
      </c>
      <c r="C533" s="39" t="s">
        <v>3566</v>
      </c>
      <c r="D533" s="10" t="str">
        <f>VLOOKUP(C533,'Data Angt'!$A$5:$B$5809,2,FALSE)</f>
        <v>A1522</v>
      </c>
      <c r="E533" s="40" t="s">
        <v>18513</v>
      </c>
      <c r="F533" s="41">
        <v>45728</v>
      </c>
      <c r="G533" s="38">
        <v>12</v>
      </c>
      <c r="H533" s="40">
        <v>0</v>
      </c>
      <c r="I533" s="38">
        <v>5.5</v>
      </c>
      <c r="J533" s="41">
        <v>45728</v>
      </c>
      <c r="K533" s="38" t="s">
        <v>10768</v>
      </c>
      <c r="L533" s="42">
        <v>5000000</v>
      </c>
      <c r="O533"/>
    </row>
    <row r="534" spans="1:15" x14ac:dyDescent="0.3">
      <c r="A534" s="37">
        <v>110849</v>
      </c>
      <c r="B534" s="38">
        <v>528</v>
      </c>
      <c r="C534" s="39" t="s">
        <v>3566</v>
      </c>
      <c r="D534" s="10" t="str">
        <f>VLOOKUP(C534,'Data Angt'!$A$5:$B$5809,2,FALSE)</f>
        <v>A1522</v>
      </c>
      <c r="E534" s="40" t="s">
        <v>11128</v>
      </c>
      <c r="F534" s="41">
        <v>43543</v>
      </c>
      <c r="G534" s="38">
        <v>12</v>
      </c>
      <c r="H534" s="40">
        <v>0</v>
      </c>
      <c r="I534" s="38">
        <v>5.5</v>
      </c>
      <c r="J534" s="41">
        <v>43543</v>
      </c>
      <c r="K534" s="38" t="s">
        <v>10768</v>
      </c>
      <c r="L534" s="42">
        <v>7000000</v>
      </c>
      <c r="O534"/>
    </row>
    <row r="535" spans="1:15" x14ac:dyDescent="0.3">
      <c r="A535" s="37">
        <v>113170</v>
      </c>
      <c r="B535" s="38">
        <v>529</v>
      </c>
      <c r="C535" s="39" t="s">
        <v>3566</v>
      </c>
      <c r="D535" s="10" t="str">
        <f>VLOOKUP(C535,'Data Angt'!$A$5:$B$5809,2,FALSE)</f>
        <v>A1522</v>
      </c>
      <c r="E535" s="40" t="s">
        <v>11129</v>
      </c>
      <c r="F535" s="41">
        <v>43638</v>
      </c>
      <c r="G535" s="38">
        <v>12</v>
      </c>
      <c r="H535" s="40">
        <v>0</v>
      </c>
      <c r="I535" s="38">
        <v>5.5</v>
      </c>
      <c r="J535" s="41">
        <v>43638</v>
      </c>
      <c r="K535" s="38" t="s">
        <v>10768</v>
      </c>
      <c r="L535" s="42">
        <v>5000000</v>
      </c>
      <c r="O535"/>
    </row>
    <row r="536" spans="1:15" x14ac:dyDescent="0.3">
      <c r="A536" s="37">
        <v>121661</v>
      </c>
      <c r="B536" s="38">
        <v>530</v>
      </c>
      <c r="C536" s="39" t="s">
        <v>3566</v>
      </c>
      <c r="D536" s="10" t="str">
        <f>VLOOKUP(C536,'Data Angt'!$A$5:$B$5809,2,FALSE)</f>
        <v>A1522</v>
      </c>
      <c r="E536" s="40" t="s">
        <v>11130</v>
      </c>
      <c r="F536" s="41">
        <v>43897</v>
      </c>
      <c r="G536" s="38">
        <v>12</v>
      </c>
      <c r="H536" s="40">
        <v>0</v>
      </c>
      <c r="I536" s="38">
        <v>5.5</v>
      </c>
      <c r="J536" s="41">
        <v>43897</v>
      </c>
      <c r="K536" s="38" t="s">
        <v>10768</v>
      </c>
      <c r="L536" s="42">
        <v>7000000</v>
      </c>
      <c r="O536"/>
    </row>
    <row r="537" spans="1:15" x14ac:dyDescent="0.3">
      <c r="A537" s="37">
        <v>123957</v>
      </c>
      <c r="B537" s="38">
        <v>531</v>
      </c>
      <c r="C537" s="39" t="s">
        <v>3566</v>
      </c>
      <c r="D537" s="10" t="str">
        <f>VLOOKUP(C537,'Data Angt'!$A$5:$B$5809,2,FALSE)</f>
        <v>A1522</v>
      </c>
      <c r="E537" s="40" t="s">
        <v>11131</v>
      </c>
      <c r="F537" s="41">
        <v>44012</v>
      </c>
      <c r="G537" s="38">
        <v>12</v>
      </c>
      <c r="H537" s="40">
        <v>0</v>
      </c>
      <c r="I537" s="38">
        <v>5.5</v>
      </c>
      <c r="J537" s="41">
        <v>44012</v>
      </c>
      <c r="K537" s="38" t="s">
        <v>10768</v>
      </c>
      <c r="L537" s="42">
        <v>5000000</v>
      </c>
      <c r="O537"/>
    </row>
    <row r="538" spans="1:15" x14ac:dyDescent="0.3">
      <c r="A538" s="37">
        <v>125603</v>
      </c>
      <c r="B538" s="38">
        <v>532</v>
      </c>
      <c r="C538" s="39" t="s">
        <v>3566</v>
      </c>
      <c r="D538" s="10" t="str">
        <f>VLOOKUP(C538,'Data Angt'!$A$5:$B$5809,2,FALSE)</f>
        <v>A1522</v>
      </c>
      <c r="E538" s="40" t="s">
        <v>11132</v>
      </c>
      <c r="F538" s="41">
        <v>44140</v>
      </c>
      <c r="G538" s="38">
        <v>12</v>
      </c>
      <c r="H538" s="40">
        <v>0</v>
      </c>
      <c r="I538" s="38">
        <v>5.5</v>
      </c>
      <c r="J538" s="41">
        <v>44140</v>
      </c>
      <c r="K538" s="38" t="s">
        <v>10768</v>
      </c>
      <c r="L538" s="42">
        <v>5000000</v>
      </c>
      <c r="O538"/>
    </row>
    <row r="539" spans="1:15" x14ac:dyDescent="0.3">
      <c r="A539" s="37">
        <v>127118</v>
      </c>
      <c r="B539" s="38">
        <v>533</v>
      </c>
      <c r="C539" s="39" t="s">
        <v>3566</v>
      </c>
      <c r="D539" s="10" t="str">
        <f>VLOOKUP(C539,'Data Angt'!$A$5:$B$5809,2,FALSE)</f>
        <v>A1522</v>
      </c>
      <c r="E539" s="40" t="s">
        <v>11133</v>
      </c>
      <c r="F539" s="41">
        <v>44252</v>
      </c>
      <c r="G539" s="38">
        <v>12</v>
      </c>
      <c r="H539" s="40">
        <v>0</v>
      </c>
      <c r="I539" s="38">
        <v>5.5</v>
      </c>
      <c r="J539" s="41">
        <v>44252</v>
      </c>
      <c r="K539" s="38" t="s">
        <v>10768</v>
      </c>
      <c r="L539" s="42">
        <v>25000000</v>
      </c>
      <c r="O539"/>
    </row>
    <row r="540" spans="1:15" x14ac:dyDescent="0.3">
      <c r="A540" s="37">
        <v>127172</v>
      </c>
      <c r="B540" s="38">
        <v>534</v>
      </c>
      <c r="C540" s="39" t="s">
        <v>3566</v>
      </c>
      <c r="D540" s="10" t="str">
        <f>VLOOKUP(C540,'Data Angt'!$A$5:$B$5809,2,FALSE)</f>
        <v>A1522</v>
      </c>
      <c r="E540" s="40" t="s">
        <v>11134</v>
      </c>
      <c r="F540" s="41">
        <v>44254</v>
      </c>
      <c r="G540" s="38">
        <v>12</v>
      </c>
      <c r="H540" s="40">
        <v>0</v>
      </c>
      <c r="I540" s="38">
        <v>5.5</v>
      </c>
      <c r="J540" s="41">
        <v>44254</v>
      </c>
      <c r="K540" s="38" t="s">
        <v>10768</v>
      </c>
      <c r="L540" s="42">
        <v>10000000</v>
      </c>
      <c r="O540"/>
    </row>
    <row r="541" spans="1:15" x14ac:dyDescent="0.3">
      <c r="A541" s="37">
        <v>127662</v>
      </c>
      <c r="B541" s="38">
        <v>535</v>
      </c>
      <c r="C541" s="39" t="s">
        <v>3566</v>
      </c>
      <c r="D541" s="10" t="str">
        <f>VLOOKUP(C541,'Data Angt'!$A$5:$B$5809,2,FALSE)</f>
        <v>A1522</v>
      </c>
      <c r="E541" s="40" t="s">
        <v>11135</v>
      </c>
      <c r="F541" s="41">
        <v>44286</v>
      </c>
      <c r="G541" s="38">
        <v>12</v>
      </c>
      <c r="H541" s="40">
        <v>0</v>
      </c>
      <c r="I541" s="38">
        <v>5.5</v>
      </c>
      <c r="J541" s="41">
        <v>44286</v>
      </c>
      <c r="K541" s="38" t="s">
        <v>10768</v>
      </c>
      <c r="L541" s="42">
        <v>5000000</v>
      </c>
      <c r="O541"/>
    </row>
    <row r="542" spans="1:15" x14ac:dyDescent="0.3">
      <c r="A542" s="37">
        <v>128862</v>
      </c>
      <c r="B542" s="38">
        <v>536</v>
      </c>
      <c r="C542" s="39" t="s">
        <v>3566</v>
      </c>
      <c r="D542" s="10" t="str">
        <f>VLOOKUP(C542,'Data Angt'!$A$5:$B$5809,2,FALSE)</f>
        <v>A1522</v>
      </c>
      <c r="E542" s="40" t="s">
        <v>11136</v>
      </c>
      <c r="F542" s="41">
        <v>44379</v>
      </c>
      <c r="G542" s="38">
        <v>12</v>
      </c>
      <c r="H542" s="40">
        <v>0</v>
      </c>
      <c r="I542" s="38">
        <v>5.5</v>
      </c>
      <c r="J542" s="41">
        <v>44379</v>
      </c>
      <c r="K542" s="38" t="s">
        <v>10768</v>
      </c>
      <c r="L542" s="42">
        <v>6000000</v>
      </c>
      <c r="O542"/>
    </row>
    <row r="543" spans="1:15" x14ac:dyDescent="0.3">
      <c r="A543" s="37">
        <v>130234</v>
      </c>
      <c r="B543" s="38">
        <v>537</v>
      </c>
      <c r="C543" s="39" t="s">
        <v>3566</v>
      </c>
      <c r="D543" s="10" t="str">
        <f>VLOOKUP(C543,'Data Angt'!$A$5:$B$5809,2,FALSE)</f>
        <v>A1522</v>
      </c>
      <c r="E543" s="40" t="s">
        <v>11137</v>
      </c>
      <c r="F543" s="41">
        <v>44477</v>
      </c>
      <c r="G543" s="38">
        <v>12</v>
      </c>
      <c r="H543" s="40">
        <v>0</v>
      </c>
      <c r="I543" s="38">
        <v>5.5</v>
      </c>
      <c r="J543" s="41">
        <v>44477</v>
      </c>
      <c r="K543" s="38" t="s">
        <v>10768</v>
      </c>
      <c r="L543" s="42">
        <v>5000000</v>
      </c>
      <c r="O543"/>
    </row>
    <row r="544" spans="1:15" x14ac:dyDescent="0.3">
      <c r="A544" s="37">
        <v>131301</v>
      </c>
      <c r="B544" s="38">
        <v>538</v>
      </c>
      <c r="C544" s="39" t="s">
        <v>3566</v>
      </c>
      <c r="D544" s="10" t="str">
        <f>VLOOKUP(C544,'Data Angt'!$A$5:$B$5809,2,FALSE)</f>
        <v>A1522</v>
      </c>
      <c r="E544" s="40" t="s">
        <v>11138</v>
      </c>
      <c r="F544" s="41">
        <v>44572</v>
      </c>
      <c r="G544" s="38">
        <v>12</v>
      </c>
      <c r="H544" s="40">
        <v>0</v>
      </c>
      <c r="I544" s="38">
        <v>5.5</v>
      </c>
      <c r="J544" s="41">
        <v>44572</v>
      </c>
      <c r="K544" s="38" t="s">
        <v>10768</v>
      </c>
      <c r="L544" s="42">
        <v>5000000</v>
      </c>
      <c r="O544"/>
    </row>
    <row r="545" spans="1:15" x14ac:dyDescent="0.3">
      <c r="A545" s="37">
        <v>135861</v>
      </c>
      <c r="B545" s="38">
        <v>539</v>
      </c>
      <c r="C545" s="39" t="s">
        <v>3566</v>
      </c>
      <c r="D545" s="10" t="str">
        <f>VLOOKUP(C545,'Data Angt'!$A$5:$B$5809,2,FALSE)</f>
        <v>A1522</v>
      </c>
      <c r="E545" s="40" t="s">
        <v>11127</v>
      </c>
      <c r="F545" s="41">
        <v>44932</v>
      </c>
      <c r="G545" s="38">
        <v>12</v>
      </c>
      <c r="H545" s="40">
        <v>0</v>
      </c>
      <c r="I545" s="38">
        <v>5.5</v>
      </c>
      <c r="J545" s="41">
        <v>44932</v>
      </c>
      <c r="K545" s="38" t="s">
        <v>10768</v>
      </c>
      <c r="L545" s="42">
        <v>20000000</v>
      </c>
      <c r="O545"/>
    </row>
    <row r="546" spans="1:15" x14ac:dyDescent="0.3">
      <c r="A546" s="37">
        <v>142426</v>
      </c>
      <c r="B546" s="38">
        <v>540</v>
      </c>
      <c r="C546" s="39" t="s">
        <v>3566</v>
      </c>
      <c r="D546" s="10" t="str">
        <f>VLOOKUP(C546,'Data Angt'!$A$5:$B$5809,2,FALSE)</f>
        <v>A1522</v>
      </c>
      <c r="E546" s="40" t="s">
        <v>18512</v>
      </c>
      <c r="F546" s="41">
        <v>45329</v>
      </c>
      <c r="G546" s="38">
        <v>12</v>
      </c>
      <c r="H546" s="40">
        <v>0</v>
      </c>
      <c r="I546" s="38">
        <v>5.5</v>
      </c>
      <c r="J546" s="41">
        <v>45329</v>
      </c>
      <c r="K546" s="38" t="s">
        <v>10768</v>
      </c>
      <c r="L546" s="42">
        <v>5000000</v>
      </c>
      <c r="O546"/>
    </row>
    <row r="547" spans="1:15" x14ac:dyDescent="0.3">
      <c r="A547" s="37">
        <v>79105</v>
      </c>
      <c r="B547" s="38">
        <v>541</v>
      </c>
      <c r="C547" s="39" t="s">
        <v>3587</v>
      </c>
      <c r="D547" s="10" t="str">
        <f>VLOOKUP(C547,'Data Angt'!$A$5:$B$5809,2,FALSE)</f>
        <v>A1532</v>
      </c>
      <c r="E547" s="40" t="s">
        <v>11140</v>
      </c>
      <c r="F547" s="41">
        <v>42537</v>
      </c>
      <c r="G547" s="38">
        <v>12</v>
      </c>
      <c r="H547" s="40">
        <v>0</v>
      </c>
      <c r="I547" s="38">
        <v>5.5</v>
      </c>
      <c r="J547" s="41">
        <v>42537</v>
      </c>
      <c r="K547" s="38" t="s">
        <v>10768</v>
      </c>
      <c r="L547" s="42">
        <v>15000000</v>
      </c>
      <c r="O547"/>
    </row>
    <row r="548" spans="1:15" x14ac:dyDescent="0.3">
      <c r="A548" s="37">
        <v>117397</v>
      </c>
      <c r="B548" s="38">
        <v>542</v>
      </c>
      <c r="C548" s="39" t="s">
        <v>3587</v>
      </c>
      <c r="D548" s="10" t="str">
        <f>VLOOKUP(C548,'Data Angt'!$A$5:$B$5809,2,FALSE)</f>
        <v>A1532</v>
      </c>
      <c r="E548" s="40" t="s">
        <v>11139</v>
      </c>
      <c r="F548" s="41">
        <v>43752</v>
      </c>
      <c r="G548" s="38">
        <v>12</v>
      </c>
      <c r="H548" s="40">
        <v>0</v>
      </c>
      <c r="I548" s="38">
        <v>5.5</v>
      </c>
      <c r="J548" s="41">
        <v>43752</v>
      </c>
      <c r="K548" s="38" t="s">
        <v>10768</v>
      </c>
      <c r="L548" s="42">
        <v>15000000</v>
      </c>
      <c r="O548"/>
    </row>
    <row r="549" spans="1:15" x14ac:dyDescent="0.3">
      <c r="A549" s="37">
        <v>79321</v>
      </c>
      <c r="B549" s="38">
        <v>543</v>
      </c>
      <c r="C549" s="39" t="s">
        <v>12267</v>
      </c>
      <c r="D549" s="10" t="str">
        <f>VLOOKUP(C549,'Data Angt'!$A$5:$B$5809,2,FALSE)</f>
        <v>A1544</v>
      </c>
      <c r="E549" s="40" t="s">
        <v>11141</v>
      </c>
      <c r="F549" s="41">
        <v>43017</v>
      </c>
      <c r="G549" s="38">
        <v>12</v>
      </c>
      <c r="H549" s="40">
        <v>0</v>
      </c>
      <c r="I549" s="38">
        <v>5.5</v>
      </c>
      <c r="J549" s="41">
        <v>42988</v>
      </c>
      <c r="K549" s="38" t="s">
        <v>10768</v>
      </c>
      <c r="L549" s="42">
        <v>2000000</v>
      </c>
      <c r="O549"/>
    </row>
    <row r="550" spans="1:15" x14ac:dyDescent="0.3">
      <c r="A550" s="37">
        <v>142986</v>
      </c>
      <c r="B550" s="38">
        <v>544</v>
      </c>
      <c r="C550" s="39" t="s">
        <v>12268</v>
      </c>
      <c r="D550" s="10" t="str">
        <f>VLOOKUP(C550,'Data Angt'!$A$5:$B$5809,2,FALSE)</f>
        <v>A1555</v>
      </c>
      <c r="E550" s="40" t="s">
        <v>18514</v>
      </c>
      <c r="F550" s="41">
        <v>45350</v>
      </c>
      <c r="G550" s="38">
        <v>12</v>
      </c>
      <c r="H550" s="40">
        <v>0</v>
      </c>
      <c r="I550" s="38">
        <v>5.5</v>
      </c>
      <c r="J550" s="41">
        <v>45350</v>
      </c>
      <c r="K550" s="38" t="s">
        <v>10768</v>
      </c>
      <c r="L550" s="42">
        <v>7000000</v>
      </c>
      <c r="O550"/>
    </row>
    <row r="551" spans="1:15" x14ac:dyDescent="0.3">
      <c r="A551" s="37">
        <v>145579</v>
      </c>
      <c r="B551" s="38">
        <v>545</v>
      </c>
      <c r="C551" s="39" t="s">
        <v>3717</v>
      </c>
      <c r="D551" s="10" t="str">
        <f>VLOOKUP(C551,'Data Angt'!$A$5:$B$5809,2,FALSE)</f>
        <v>A1599</v>
      </c>
      <c r="E551" s="40" t="s">
        <v>18515</v>
      </c>
      <c r="F551" s="41">
        <v>45440</v>
      </c>
      <c r="G551" s="38">
        <v>12</v>
      </c>
      <c r="H551" s="40">
        <v>0</v>
      </c>
      <c r="I551" s="38">
        <v>5.5</v>
      </c>
      <c r="J551" s="41">
        <v>45440</v>
      </c>
      <c r="K551" s="38" t="s">
        <v>10768</v>
      </c>
      <c r="L551" s="42">
        <v>10000000</v>
      </c>
      <c r="O551"/>
    </row>
    <row r="552" spans="1:15" x14ac:dyDescent="0.3">
      <c r="A552" s="37">
        <v>125081</v>
      </c>
      <c r="B552" s="38">
        <v>546</v>
      </c>
      <c r="C552" s="39" t="s">
        <v>3740</v>
      </c>
      <c r="D552" s="10" t="str">
        <f>VLOOKUP(C552,'Data Angt'!$A$5:$B$5809,2,FALSE)</f>
        <v>A1609</v>
      </c>
      <c r="E552" s="40" t="s">
        <v>11145</v>
      </c>
      <c r="F552" s="41">
        <v>44092</v>
      </c>
      <c r="G552" s="38">
        <v>12</v>
      </c>
      <c r="H552" s="40">
        <v>0</v>
      </c>
      <c r="I552" s="38">
        <v>5.5</v>
      </c>
      <c r="J552" s="41">
        <v>44092</v>
      </c>
      <c r="K552" s="38" t="s">
        <v>10768</v>
      </c>
      <c r="L552" s="42">
        <v>25000000</v>
      </c>
      <c r="O552"/>
    </row>
    <row r="553" spans="1:15" x14ac:dyDescent="0.3">
      <c r="A553" s="37">
        <v>154900</v>
      </c>
      <c r="B553" s="38">
        <v>547</v>
      </c>
      <c r="C553" s="39" t="s">
        <v>3813</v>
      </c>
      <c r="D553" s="10" t="str">
        <f>VLOOKUP(C553,'Data Angt'!$A$5:$B$5809,2,FALSE)</f>
        <v>A1643</v>
      </c>
      <c r="E553" s="40" t="s">
        <v>18518</v>
      </c>
      <c r="F553" s="41">
        <v>45755</v>
      </c>
      <c r="G553" s="38">
        <v>12</v>
      </c>
      <c r="H553" s="40">
        <v>0</v>
      </c>
      <c r="I553" s="38">
        <v>5.5</v>
      </c>
      <c r="J553" s="41">
        <v>45755</v>
      </c>
      <c r="K553" s="38" t="s">
        <v>10768</v>
      </c>
      <c r="L553" s="42">
        <v>2000000</v>
      </c>
      <c r="O553"/>
    </row>
    <row r="554" spans="1:15" x14ac:dyDescent="0.3">
      <c r="A554" s="37">
        <v>128684</v>
      </c>
      <c r="B554" s="38">
        <v>548</v>
      </c>
      <c r="C554" s="39" t="s">
        <v>3813</v>
      </c>
      <c r="D554" s="10" t="str">
        <f>VLOOKUP(C554,'Data Angt'!$A$5:$B$5809,2,FALSE)</f>
        <v>A1643</v>
      </c>
      <c r="E554" s="40" t="s">
        <v>11146</v>
      </c>
      <c r="F554" s="41">
        <v>44369</v>
      </c>
      <c r="G554" s="38">
        <v>12</v>
      </c>
      <c r="H554" s="40">
        <v>0</v>
      </c>
      <c r="I554" s="38">
        <v>5.5</v>
      </c>
      <c r="J554" s="41">
        <v>44369</v>
      </c>
      <c r="K554" s="38" t="s">
        <v>10768</v>
      </c>
      <c r="L554" s="42">
        <v>10000000</v>
      </c>
      <c r="O554"/>
    </row>
    <row r="555" spans="1:15" x14ac:dyDescent="0.3">
      <c r="A555" s="37">
        <v>131014</v>
      </c>
      <c r="B555" s="38">
        <v>549</v>
      </c>
      <c r="C555" s="39" t="s">
        <v>3813</v>
      </c>
      <c r="D555" s="10" t="str">
        <f>VLOOKUP(C555,'Data Angt'!$A$5:$B$5809,2,FALSE)</f>
        <v>A1643</v>
      </c>
      <c r="E555" s="40" t="s">
        <v>11147</v>
      </c>
      <c r="F555" s="41">
        <v>44546</v>
      </c>
      <c r="G555" s="38">
        <v>12</v>
      </c>
      <c r="H555" s="40">
        <v>0</v>
      </c>
      <c r="I555" s="38">
        <v>5.5</v>
      </c>
      <c r="J555" s="41">
        <v>44546</v>
      </c>
      <c r="K555" s="38" t="s">
        <v>10768</v>
      </c>
      <c r="L555" s="42">
        <v>10000000</v>
      </c>
      <c r="O555"/>
    </row>
    <row r="556" spans="1:15" x14ac:dyDescent="0.3">
      <c r="A556" s="37">
        <v>131404</v>
      </c>
      <c r="B556" s="38">
        <v>550</v>
      </c>
      <c r="C556" s="39" t="s">
        <v>3813</v>
      </c>
      <c r="D556" s="10" t="str">
        <f>VLOOKUP(C556,'Data Angt'!$A$5:$B$5809,2,FALSE)</f>
        <v>A1643</v>
      </c>
      <c r="E556" s="40" t="s">
        <v>11148</v>
      </c>
      <c r="F556" s="41">
        <v>44579</v>
      </c>
      <c r="G556" s="38">
        <v>12</v>
      </c>
      <c r="H556" s="40">
        <v>0</v>
      </c>
      <c r="I556" s="38">
        <v>5.5</v>
      </c>
      <c r="J556" s="41">
        <v>44579</v>
      </c>
      <c r="K556" s="38" t="s">
        <v>10768</v>
      </c>
      <c r="L556" s="42">
        <v>10000000</v>
      </c>
      <c r="O556"/>
    </row>
    <row r="557" spans="1:15" x14ac:dyDescent="0.3">
      <c r="A557" s="37">
        <v>136266</v>
      </c>
      <c r="B557" s="38">
        <v>551</v>
      </c>
      <c r="C557" s="39" t="s">
        <v>3813</v>
      </c>
      <c r="D557" s="10" t="str">
        <f>VLOOKUP(C557,'Data Angt'!$A$5:$B$5809,2,FALSE)</f>
        <v>A1643</v>
      </c>
      <c r="E557" s="40" t="s">
        <v>11149</v>
      </c>
      <c r="F557" s="41">
        <v>44961</v>
      </c>
      <c r="G557" s="38">
        <v>12</v>
      </c>
      <c r="H557" s="40">
        <v>0</v>
      </c>
      <c r="I557" s="38">
        <v>5.5</v>
      </c>
      <c r="J557" s="41">
        <v>44961</v>
      </c>
      <c r="K557" s="38" t="s">
        <v>10768</v>
      </c>
      <c r="L557" s="42">
        <v>2500000</v>
      </c>
      <c r="O557"/>
    </row>
    <row r="558" spans="1:15" x14ac:dyDescent="0.3">
      <c r="A558" s="37">
        <v>137473</v>
      </c>
      <c r="B558" s="38">
        <v>552</v>
      </c>
      <c r="C558" s="39" t="s">
        <v>3813</v>
      </c>
      <c r="D558" s="10" t="str">
        <f>VLOOKUP(C558,'Data Angt'!$A$5:$B$5809,2,FALSE)</f>
        <v>A1643</v>
      </c>
      <c r="E558" s="40" t="s">
        <v>11150</v>
      </c>
      <c r="F558" s="41">
        <v>45059</v>
      </c>
      <c r="G558" s="38">
        <v>12</v>
      </c>
      <c r="H558" s="40">
        <v>0</v>
      </c>
      <c r="I558" s="38">
        <v>5.5</v>
      </c>
      <c r="J558" s="41">
        <v>45059</v>
      </c>
      <c r="K558" s="38" t="s">
        <v>10768</v>
      </c>
      <c r="L558" s="42">
        <v>21000000</v>
      </c>
      <c r="O558"/>
    </row>
    <row r="559" spans="1:15" x14ac:dyDescent="0.3">
      <c r="A559" s="37">
        <v>137476</v>
      </c>
      <c r="B559" s="38">
        <v>553</v>
      </c>
      <c r="C559" s="39" t="s">
        <v>3813</v>
      </c>
      <c r="D559" s="10" t="str">
        <f>VLOOKUP(C559,'Data Angt'!$A$5:$B$5809,2,FALSE)</f>
        <v>A1643</v>
      </c>
      <c r="E559" s="40" t="s">
        <v>11151</v>
      </c>
      <c r="F559" s="41">
        <v>45059</v>
      </c>
      <c r="G559" s="38">
        <v>12</v>
      </c>
      <c r="H559" s="40">
        <v>0</v>
      </c>
      <c r="I559" s="38">
        <v>5.5</v>
      </c>
      <c r="J559" s="41">
        <v>45059</v>
      </c>
      <c r="K559" s="38" t="s">
        <v>10768</v>
      </c>
      <c r="L559" s="42">
        <v>4500000</v>
      </c>
      <c r="O559"/>
    </row>
    <row r="560" spans="1:15" x14ac:dyDescent="0.3">
      <c r="A560" s="37">
        <v>144045</v>
      </c>
      <c r="B560" s="38">
        <v>554</v>
      </c>
      <c r="C560" s="39" t="s">
        <v>3813</v>
      </c>
      <c r="D560" s="10" t="str">
        <f>VLOOKUP(C560,'Data Angt'!$A$5:$B$5809,2,FALSE)</f>
        <v>A1643</v>
      </c>
      <c r="E560" s="40" t="s">
        <v>18516</v>
      </c>
      <c r="F560" s="41">
        <v>45383</v>
      </c>
      <c r="G560" s="38">
        <v>12</v>
      </c>
      <c r="H560" s="40">
        <v>0</v>
      </c>
      <c r="I560" s="38">
        <v>5.5</v>
      </c>
      <c r="J560" s="41">
        <v>45383</v>
      </c>
      <c r="K560" s="38" t="s">
        <v>10768</v>
      </c>
      <c r="L560" s="42">
        <v>5000000</v>
      </c>
      <c r="O560"/>
    </row>
    <row r="561" spans="1:15" x14ac:dyDescent="0.3">
      <c r="A561" s="37">
        <v>144047</v>
      </c>
      <c r="B561" s="38">
        <v>555</v>
      </c>
      <c r="C561" s="39" t="s">
        <v>3813</v>
      </c>
      <c r="D561" s="10" t="str">
        <f>VLOOKUP(C561,'Data Angt'!$A$5:$B$5809,2,FALSE)</f>
        <v>A1643</v>
      </c>
      <c r="E561" s="40" t="s">
        <v>18517</v>
      </c>
      <c r="F561" s="41">
        <v>45383</v>
      </c>
      <c r="G561" s="38">
        <v>12</v>
      </c>
      <c r="H561" s="40">
        <v>0</v>
      </c>
      <c r="I561" s="38">
        <v>5.5</v>
      </c>
      <c r="J561" s="41">
        <v>45383</v>
      </c>
      <c r="K561" s="38" t="s">
        <v>10768</v>
      </c>
      <c r="L561" s="42">
        <v>4500000</v>
      </c>
      <c r="O561"/>
    </row>
    <row r="562" spans="1:15" x14ac:dyDescent="0.3">
      <c r="A562" s="37">
        <v>129778</v>
      </c>
      <c r="B562" s="38">
        <v>556</v>
      </c>
      <c r="C562" s="39" t="s">
        <v>3857</v>
      </c>
      <c r="D562" s="10" t="str">
        <f>VLOOKUP(C562,'Data Angt'!$A$5:$B$5809,2,FALSE)</f>
        <v>A1666</v>
      </c>
      <c r="E562" s="40" t="s">
        <v>11153</v>
      </c>
      <c r="F562" s="41">
        <v>44441</v>
      </c>
      <c r="G562" s="38">
        <v>12</v>
      </c>
      <c r="H562" s="40">
        <v>0</v>
      </c>
      <c r="I562" s="38">
        <v>5.5</v>
      </c>
      <c r="J562" s="41">
        <v>44441</v>
      </c>
      <c r="K562" s="38" t="s">
        <v>10768</v>
      </c>
      <c r="L562" s="42">
        <v>35000000</v>
      </c>
      <c r="O562"/>
    </row>
    <row r="563" spans="1:15" x14ac:dyDescent="0.3">
      <c r="A563" s="37">
        <v>135818</v>
      </c>
      <c r="B563" s="38">
        <v>557</v>
      </c>
      <c r="C563" s="39" t="s">
        <v>3857</v>
      </c>
      <c r="D563" s="10" t="str">
        <f>VLOOKUP(C563,'Data Angt'!$A$5:$B$5809,2,FALSE)</f>
        <v>A1666</v>
      </c>
      <c r="E563" s="40" t="s">
        <v>11152</v>
      </c>
      <c r="F563" s="41">
        <v>44924</v>
      </c>
      <c r="G563" s="38">
        <v>12</v>
      </c>
      <c r="H563" s="40">
        <v>0</v>
      </c>
      <c r="I563" s="38">
        <v>5.5</v>
      </c>
      <c r="J563" s="41">
        <v>44924</v>
      </c>
      <c r="K563" s="38" t="s">
        <v>10768</v>
      </c>
      <c r="L563" s="42">
        <v>20000000</v>
      </c>
      <c r="O563"/>
    </row>
    <row r="564" spans="1:15" x14ac:dyDescent="0.3">
      <c r="A564" s="37">
        <v>129776</v>
      </c>
      <c r="B564" s="38">
        <v>558</v>
      </c>
      <c r="C564" s="39" t="s">
        <v>12282</v>
      </c>
      <c r="D564" s="10" t="str">
        <f>VLOOKUP(C564,'Data Angt'!$A$5:$B$5809,2,FALSE)</f>
        <v>A1670</v>
      </c>
      <c r="E564" s="40" t="s">
        <v>11154</v>
      </c>
      <c r="F564" s="41">
        <v>44441</v>
      </c>
      <c r="G564" s="38">
        <v>12</v>
      </c>
      <c r="H564" s="40">
        <v>0</v>
      </c>
      <c r="I564" s="38">
        <v>5.5</v>
      </c>
      <c r="J564" s="41">
        <v>44441</v>
      </c>
      <c r="K564" s="38" t="s">
        <v>10768</v>
      </c>
      <c r="L564" s="42">
        <v>10000000</v>
      </c>
      <c r="O564"/>
    </row>
    <row r="565" spans="1:15" x14ac:dyDescent="0.3">
      <c r="A565" s="37">
        <v>132060</v>
      </c>
      <c r="B565" s="38">
        <v>559</v>
      </c>
      <c r="C565" s="39" t="s">
        <v>3932</v>
      </c>
      <c r="D565" s="10" t="str">
        <f>VLOOKUP(C565,'Data Angt'!$A$5:$B$5809,2,FALSE)</f>
        <v>A1700</v>
      </c>
      <c r="E565" s="40" t="s">
        <v>11158</v>
      </c>
      <c r="F565" s="41">
        <v>44631</v>
      </c>
      <c r="G565" s="38">
        <v>12</v>
      </c>
      <c r="H565" s="40">
        <v>0</v>
      </c>
      <c r="I565" s="38">
        <v>5.5</v>
      </c>
      <c r="J565" s="41">
        <v>44631</v>
      </c>
      <c r="K565" s="38" t="s">
        <v>10768</v>
      </c>
      <c r="L565" s="42">
        <v>13000000</v>
      </c>
      <c r="O565"/>
    </row>
    <row r="566" spans="1:15" x14ac:dyDescent="0.3">
      <c r="A566" s="37">
        <v>132062</v>
      </c>
      <c r="B566" s="38">
        <v>560</v>
      </c>
      <c r="C566" s="39" t="s">
        <v>3932</v>
      </c>
      <c r="D566" s="10" t="str">
        <f>VLOOKUP(C566,'Data Angt'!$A$5:$B$5809,2,FALSE)</f>
        <v>A1700</v>
      </c>
      <c r="E566" s="40" t="s">
        <v>11159</v>
      </c>
      <c r="F566" s="41">
        <v>44631</v>
      </c>
      <c r="G566" s="38">
        <v>12</v>
      </c>
      <c r="H566" s="40">
        <v>0</v>
      </c>
      <c r="I566" s="38">
        <v>5.5</v>
      </c>
      <c r="J566" s="41">
        <v>44631</v>
      </c>
      <c r="K566" s="38" t="s">
        <v>10768</v>
      </c>
      <c r="L566" s="42">
        <v>20000000</v>
      </c>
      <c r="O566"/>
    </row>
    <row r="567" spans="1:15" x14ac:dyDescent="0.3">
      <c r="A567" s="37">
        <v>132064</v>
      </c>
      <c r="B567" s="38">
        <v>561</v>
      </c>
      <c r="C567" s="39" t="s">
        <v>3932</v>
      </c>
      <c r="D567" s="10" t="str">
        <f>VLOOKUP(C567,'Data Angt'!$A$5:$B$5809,2,FALSE)</f>
        <v>A1700</v>
      </c>
      <c r="E567" s="40" t="s">
        <v>11160</v>
      </c>
      <c r="F567" s="41">
        <v>44631</v>
      </c>
      <c r="G567" s="38">
        <v>12</v>
      </c>
      <c r="H567" s="40">
        <v>0</v>
      </c>
      <c r="I567" s="38">
        <v>5.5</v>
      </c>
      <c r="J567" s="41">
        <v>44631</v>
      </c>
      <c r="K567" s="38" t="s">
        <v>10768</v>
      </c>
      <c r="L567" s="42">
        <v>20000000</v>
      </c>
      <c r="O567"/>
    </row>
    <row r="568" spans="1:15" x14ac:dyDescent="0.3">
      <c r="A568" s="37">
        <v>145038</v>
      </c>
      <c r="B568" s="38">
        <v>562</v>
      </c>
      <c r="C568" s="39" t="s">
        <v>3932</v>
      </c>
      <c r="D568" s="10" t="str">
        <f>VLOOKUP(C568,'Data Angt'!$A$5:$B$5809,2,FALSE)</f>
        <v>A1700</v>
      </c>
      <c r="E568" s="40" t="s">
        <v>18519</v>
      </c>
      <c r="F568" s="41">
        <v>45427</v>
      </c>
      <c r="G568" s="38">
        <v>12</v>
      </c>
      <c r="H568" s="40">
        <v>0</v>
      </c>
      <c r="I568" s="38">
        <v>5.5</v>
      </c>
      <c r="J568" s="41">
        <v>45427</v>
      </c>
      <c r="K568" s="38" t="s">
        <v>10768</v>
      </c>
      <c r="L568" s="42">
        <v>19500000</v>
      </c>
      <c r="O568"/>
    </row>
    <row r="569" spans="1:15" x14ac:dyDescent="0.3">
      <c r="A569" s="37">
        <v>154145</v>
      </c>
      <c r="B569" s="38">
        <v>563</v>
      </c>
      <c r="C569" s="39" t="s">
        <v>3932</v>
      </c>
      <c r="D569" s="10" t="str">
        <f>VLOOKUP(C569,'Data Angt'!$A$5:$B$5809,2,FALSE)</f>
        <v>A1700</v>
      </c>
      <c r="E569" s="40" t="s">
        <v>18520</v>
      </c>
      <c r="F569" s="41">
        <v>45720</v>
      </c>
      <c r="G569" s="38">
        <v>12</v>
      </c>
      <c r="H569" s="40">
        <v>0</v>
      </c>
      <c r="I569" s="38">
        <v>5.5</v>
      </c>
      <c r="J569" s="41">
        <v>45720</v>
      </c>
      <c r="K569" s="38" t="s">
        <v>10768</v>
      </c>
      <c r="L569" s="42">
        <v>3000000</v>
      </c>
      <c r="O569"/>
    </row>
    <row r="570" spans="1:15" x14ac:dyDescent="0.3">
      <c r="A570" s="37">
        <v>82502</v>
      </c>
      <c r="B570" s="38">
        <v>564</v>
      </c>
      <c r="C570" s="39" t="s">
        <v>3932</v>
      </c>
      <c r="D570" s="10" t="str">
        <f>VLOOKUP(C570,'Data Angt'!$A$5:$B$5809,2,FALSE)</f>
        <v>A1700</v>
      </c>
      <c r="E570" s="40" t="s">
        <v>11155</v>
      </c>
      <c r="F570" s="41">
        <v>43210</v>
      </c>
      <c r="G570" s="38">
        <v>12</v>
      </c>
      <c r="H570" s="40">
        <v>0</v>
      </c>
      <c r="I570" s="38">
        <v>5.5</v>
      </c>
      <c r="J570" s="41">
        <v>43210</v>
      </c>
      <c r="K570" s="38" t="s">
        <v>10768</v>
      </c>
      <c r="L570" s="42">
        <v>22000000</v>
      </c>
      <c r="O570"/>
    </row>
    <row r="571" spans="1:15" x14ac:dyDescent="0.3">
      <c r="A571" s="37">
        <v>130343</v>
      </c>
      <c r="B571" s="38">
        <v>565</v>
      </c>
      <c r="C571" s="39" t="s">
        <v>3932</v>
      </c>
      <c r="D571" s="10" t="str">
        <f>VLOOKUP(C571,'Data Angt'!$A$5:$B$5809,2,FALSE)</f>
        <v>A1700</v>
      </c>
      <c r="E571" s="40" t="s">
        <v>11156</v>
      </c>
      <c r="F571" s="41">
        <v>44484</v>
      </c>
      <c r="G571" s="38">
        <v>12</v>
      </c>
      <c r="H571" s="40">
        <v>0</v>
      </c>
      <c r="I571" s="38">
        <v>5.5</v>
      </c>
      <c r="J571" s="41">
        <v>44484</v>
      </c>
      <c r="K571" s="38" t="s">
        <v>10768</v>
      </c>
      <c r="L571" s="42">
        <v>7500000</v>
      </c>
      <c r="O571"/>
    </row>
    <row r="572" spans="1:15" x14ac:dyDescent="0.3">
      <c r="A572" s="37">
        <v>130345</v>
      </c>
      <c r="B572" s="38">
        <v>566</v>
      </c>
      <c r="C572" s="39" t="s">
        <v>3932</v>
      </c>
      <c r="D572" s="10" t="str">
        <f>VLOOKUP(C572,'Data Angt'!$A$5:$B$5809,2,FALSE)</f>
        <v>A1700</v>
      </c>
      <c r="E572" s="40" t="s">
        <v>11157</v>
      </c>
      <c r="F572" s="41">
        <v>44484</v>
      </c>
      <c r="G572" s="38">
        <v>12</v>
      </c>
      <c r="H572" s="40">
        <v>0</v>
      </c>
      <c r="I572" s="38">
        <v>5.5</v>
      </c>
      <c r="J572" s="41">
        <v>44484</v>
      </c>
      <c r="K572" s="38" t="s">
        <v>10768</v>
      </c>
      <c r="L572" s="42">
        <v>7500000</v>
      </c>
      <c r="O572"/>
    </row>
    <row r="573" spans="1:15" x14ac:dyDescent="0.3">
      <c r="A573" s="37">
        <v>79150</v>
      </c>
      <c r="B573" s="38">
        <v>567</v>
      </c>
      <c r="C573" s="39" t="s">
        <v>3946</v>
      </c>
      <c r="D573" s="10" t="str">
        <f>VLOOKUP(C573,'Data Angt'!$A$5:$B$5809,2,FALSE)</f>
        <v>A1705</v>
      </c>
      <c r="E573" s="40" t="s">
        <v>11161</v>
      </c>
      <c r="F573" s="41">
        <v>42713</v>
      </c>
      <c r="G573" s="38">
        <v>12</v>
      </c>
      <c r="H573" s="40">
        <v>0</v>
      </c>
      <c r="I573" s="38">
        <v>5.5</v>
      </c>
      <c r="J573" s="41">
        <v>42625</v>
      </c>
      <c r="K573" s="38" t="s">
        <v>10768</v>
      </c>
      <c r="L573" s="42">
        <v>3000000</v>
      </c>
      <c r="O573"/>
    </row>
    <row r="574" spans="1:15" x14ac:dyDescent="0.3">
      <c r="A574" s="37">
        <v>135857</v>
      </c>
      <c r="B574" s="38">
        <v>568</v>
      </c>
      <c r="C574" s="39" t="s">
        <v>4010</v>
      </c>
      <c r="D574" s="10" t="str">
        <f>VLOOKUP(C574,'Data Angt'!$A$5:$B$5809,2,FALSE)</f>
        <v>A1735</v>
      </c>
      <c r="E574" s="40" t="s">
        <v>11162</v>
      </c>
      <c r="F574" s="41">
        <v>44931</v>
      </c>
      <c r="G574" s="38">
        <v>12</v>
      </c>
      <c r="H574" s="40">
        <v>0</v>
      </c>
      <c r="I574" s="38">
        <v>5.5</v>
      </c>
      <c r="J574" s="41">
        <v>44931</v>
      </c>
      <c r="K574" s="38" t="s">
        <v>10768</v>
      </c>
      <c r="L574" s="42">
        <v>10000000</v>
      </c>
      <c r="O574"/>
    </row>
    <row r="575" spans="1:15" x14ac:dyDescent="0.3">
      <c r="A575" s="37">
        <v>79088</v>
      </c>
      <c r="B575" s="38">
        <v>569</v>
      </c>
      <c r="C575" s="39" t="s">
        <v>4029</v>
      </c>
      <c r="D575" s="10" t="str">
        <f>VLOOKUP(C575,'Data Angt'!$A$5:$B$5809,2,FALSE)</f>
        <v>A1745</v>
      </c>
      <c r="E575" s="40" t="s">
        <v>11163</v>
      </c>
      <c r="F575" s="41">
        <v>42465</v>
      </c>
      <c r="G575" s="38">
        <v>12</v>
      </c>
      <c r="H575" s="40">
        <v>0</v>
      </c>
      <c r="I575" s="38">
        <v>5.5</v>
      </c>
      <c r="J575" s="41">
        <v>42494</v>
      </c>
      <c r="K575" s="38" t="s">
        <v>10768</v>
      </c>
      <c r="L575" s="42">
        <v>16000000</v>
      </c>
      <c r="O575"/>
    </row>
    <row r="576" spans="1:15" x14ac:dyDescent="0.3">
      <c r="A576" s="37">
        <v>79159</v>
      </c>
      <c r="B576" s="38">
        <v>570</v>
      </c>
      <c r="C576" s="39" t="s">
        <v>4029</v>
      </c>
      <c r="D576" s="10" t="str">
        <f>VLOOKUP(C576,'Data Angt'!$A$5:$B$5809,2,FALSE)</f>
        <v>A1745</v>
      </c>
      <c r="E576" s="40" t="s">
        <v>11164</v>
      </c>
      <c r="F576" s="41">
        <v>42753</v>
      </c>
      <c r="G576" s="38">
        <v>12</v>
      </c>
      <c r="H576" s="40">
        <v>0</v>
      </c>
      <c r="I576" s="38">
        <v>5.5</v>
      </c>
      <c r="J576" s="41">
        <v>42753</v>
      </c>
      <c r="K576" s="38" t="s">
        <v>10768</v>
      </c>
      <c r="L576" s="42">
        <v>5000000</v>
      </c>
      <c r="O576"/>
    </row>
    <row r="577" spans="1:15" x14ac:dyDescent="0.3">
      <c r="A577" s="37">
        <v>79086</v>
      </c>
      <c r="B577" s="38">
        <v>571</v>
      </c>
      <c r="C577" s="39" t="s">
        <v>4031</v>
      </c>
      <c r="D577" s="10" t="str">
        <f>VLOOKUP(C577,'Data Angt'!$A$5:$B$5809,2,FALSE)</f>
        <v>A1746</v>
      </c>
      <c r="E577" s="40" t="s">
        <v>11165</v>
      </c>
      <c r="F577" s="41">
        <v>42461</v>
      </c>
      <c r="G577" s="38">
        <v>12</v>
      </c>
      <c r="H577" s="40">
        <v>0</v>
      </c>
      <c r="I577" s="38">
        <v>5.5</v>
      </c>
      <c r="J577" s="41">
        <v>42373</v>
      </c>
      <c r="K577" s="38" t="s">
        <v>10768</v>
      </c>
      <c r="L577" s="42">
        <v>9000000</v>
      </c>
      <c r="O577"/>
    </row>
    <row r="578" spans="1:15" x14ac:dyDescent="0.3">
      <c r="A578" s="37">
        <v>79665</v>
      </c>
      <c r="B578" s="38">
        <v>572</v>
      </c>
      <c r="C578" s="39" t="s">
        <v>4043</v>
      </c>
      <c r="D578" s="10" t="str">
        <f>VLOOKUP(C578,'Data Angt'!$A$5:$B$5809,2,FALSE)</f>
        <v>A1751</v>
      </c>
      <c r="E578" s="40" t="s">
        <v>11166</v>
      </c>
      <c r="F578" s="41">
        <v>43124</v>
      </c>
      <c r="G578" s="38">
        <v>12</v>
      </c>
      <c r="H578" s="40">
        <v>0</v>
      </c>
      <c r="I578" s="38">
        <v>5.5</v>
      </c>
      <c r="J578" s="41">
        <v>44562</v>
      </c>
      <c r="K578" s="38" t="s">
        <v>10768</v>
      </c>
      <c r="L578" s="42">
        <v>10000000</v>
      </c>
      <c r="O578"/>
    </row>
    <row r="579" spans="1:15" x14ac:dyDescent="0.3">
      <c r="A579" s="37">
        <v>142609</v>
      </c>
      <c r="B579" s="38">
        <v>573</v>
      </c>
      <c r="C579" s="39" t="s">
        <v>4043</v>
      </c>
      <c r="D579" s="10" t="str">
        <f>VLOOKUP(C579,'Data Angt'!$A$5:$B$5809,2,FALSE)</f>
        <v>A1751</v>
      </c>
      <c r="E579" s="40" t="s">
        <v>18521</v>
      </c>
      <c r="F579" s="41">
        <v>45338</v>
      </c>
      <c r="G579" s="38">
        <v>12</v>
      </c>
      <c r="H579" s="40">
        <v>0</v>
      </c>
      <c r="I579" s="38">
        <v>5.5</v>
      </c>
      <c r="J579" s="41">
        <v>45338</v>
      </c>
      <c r="K579" s="38" t="s">
        <v>10768</v>
      </c>
      <c r="L579" s="42">
        <v>50000000</v>
      </c>
      <c r="O579"/>
    </row>
    <row r="580" spans="1:15" x14ac:dyDescent="0.3">
      <c r="A580" s="37">
        <v>144615</v>
      </c>
      <c r="B580" s="38">
        <v>574</v>
      </c>
      <c r="C580" s="39" t="s">
        <v>4043</v>
      </c>
      <c r="D580" s="10" t="str">
        <f>VLOOKUP(C580,'Data Angt'!$A$5:$B$5809,2,FALSE)</f>
        <v>A1751</v>
      </c>
      <c r="E580" s="40" t="s">
        <v>18522</v>
      </c>
      <c r="F580" s="41">
        <v>45415</v>
      </c>
      <c r="G580" s="38">
        <v>12</v>
      </c>
      <c r="H580" s="40">
        <v>0</v>
      </c>
      <c r="I580" s="38">
        <v>5.5</v>
      </c>
      <c r="J580" s="41">
        <v>45415</v>
      </c>
      <c r="K580" s="38" t="s">
        <v>10768</v>
      </c>
      <c r="L580" s="42">
        <v>1500000</v>
      </c>
      <c r="O580"/>
    </row>
    <row r="581" spans="1:15" x14ac:dyDescent="0.3">
      <c r="A581" s="37">
        <v>78995</v>
      </c>
      <c r="B581" s="38">
        <v>575</v>
      </c>
      <c r="C581" s="39" t="s">
        <v>4056</v>
      </c>
      <c r="D581" s="10" t="str">
        <f>VLOOKUP(C581,'Data Angt'!$A$5:$B$5809,2,FALSE)</f>
        <v>A1759</v>
      </c>
      <c r="E581" s="40" t="s">
        <v>11167</v>
      </c>
      <c r="F581" s="41">
        <v>41586</v>
      </c>
      <c r="G581" s="38">
        <v>12</v>
      </c>
      <c r="H581" s="40">
        <v>0</v>
      </c>
      <c r="I581" s="38">
        <v>5.5</v>
      </c>
      <c r="J581" s="41">
        <v>41497</v>
      </c>
      <c r="K581" s="38" t="s">
        <v>10768</v>
      </c>
      <c r="L581" s="42">
        <v>4000000</v>
      </c>
      <c r="O581"/>
    </row>
    <row r="582" spans="1:15" x14ac:dyDescent="0.3">
      <c r="A582" s="37">
        <v>78996</v>
      </c>
      <c r="B582" s="38">
        <v>576</v>
      </c>
      <c r="C582" s="39" t="s">
        <v>4056</v>
      </c>
      <c r="D582" s="10" t="str">
        <f>VLOOKUP(C582,'Data Angt'!$A$5:$B$5809,2,FALSE)</f>
        <v>A1759</v>
      </c>
      <c r="E582" s="40" t="s">
        <v>11168</v>
      </c>
      <c r="F582" s="41">
        <v>41606</v>
      </c>
      <c r="G582" s="38">
        <v>12</v>
      </c>
      <c r="H582" s="40">
        <v>0</v>
      </c>
      <c r="I582" s="38">
        <v>5.5</v>
      </c>
      <c r="J582" s="41">
        <v>41606</v>
      </c>
      <c r="K582" s="38" t="s">
        <v>10768</v>
      </c>
      <c r="L582" s="42">
        <v>10000000</v>
      </c>
      <c r="O582"/>
    </row>
    <row r="583" spans="1:15" x14ac:dyDescent="0.3">
      <c r="A583" s="37">
        <v>79003</v>
      </c>
      <c r="B583" s="38">
        <v>577</v>
      </c>
      <c r="C583" s="39" t="s">
        <v>4056</v>
      </c>
      <c r="D583" s="10" t="str">
        <f>VLOOKUP(C583,'Data Angt'!$A$5:$B$5809,2,FALSE)</f>
        <v>A1759</v>
      </c>
      <c r="E583" s="40" t="s">
        <v>11169</v>
      </c>
      <c r="F583" s="41">
        <v>41856</v>
      </c>
      <c r="G583" s="38">
        <v>12</v>
      </c>
      <c r="H583" s="40">
        <v>0</v>
      </c>
      <c r="I583" s="38">
        <v>5.5</v>
      </c>
      <c r="J583" s="41">
        <v>41767</v>
      </c>
      <c r="K583" s="38" t="s">
        <v>10768</v>
      </c>
      <c r="L583" s="42">
        <v>10000000</v>
      </c>
      <c r="O583"/>
    </row>
    <row r="584" spans="1:15" x14ac:dyDescent="0.3">
      <c r="A584" s="37">
        <v>113243</v>
      </c>
      <c r="B584" s="38">
        <v>578</v>
      </c>
      <c r="C584" s="39" t="s">
        <v>12298</v>
      </c>
      <c r="D584" s="10" t="str">
        <f>VLOOKUP(C584,'Data Angt'!$A$5:$B$5809,2,FALSE)</f>
        <v>A1767</v>
      </c>
      <c r="E584" s="40" t="s">
        <v>11170</v>
      </c>
      <c r="F584" s="41">
        <v>43641</v>
      </c>
      <c r="G584" s="38">
        <v>12</v>
      </c>
      <c r="H584" s="40">
        <v>0</v>
      </c>
      <c r="I584" s="38">
        <v>5.5</v>
      </c>
      <c r="J584" s="41">
        <v>43641</v>
      </c>
      <c r="K584" s="38" t="s">
        <v>10768</v>
      </c>
      <c r="L584" s="42">
        <v>15000000</v>
      </c>
      <c r="O584"/>
    </row>
    <row r="585" spans="1:15" x14ac:dyDescent="0.3">
      <c r="A585" s="37">
        <v>137779</v>
      </c>
      <c r="B585" s="38">
        <v>579</v>
      </c>
      <c r="C585" s="39" t="s">
        <v>4122</v>
      </c>
      <c r="D585" s="10" t="str">
        <f>VLOOKUP(C585,'Data Angt'!$A$5:$B$5809,2,FALSE)</f>
        <v>A1789</v>
      </c>
      <c r="E585" s="40" t="s">
        <v>11171</v>
      </c>
      <c r="F585" s="41">
        <v>45090</v>
      </c>
      <c r="G585" s="38">
        <v>12</v>
      </c>
      <c r="H585" s="40">
        <v>0</v>
      </c>
      <c r="I585" s="38">
        <v>5.5</v>
      </c>
      <c r="J585" s="41">
        <v>45090</v>
      </c>
      <c r="K585" s="38" t="s">
        <v>10768</v>
      </c>
      <c r="L585" s="42">
        <v>70000000</v>
      </c>
      <c r="O585"/>
    </row>
    <row r="586" spans="1:15" x14ac:dyDescent="0.3">
      <c r="A586" s="37">
        <v>157737</v>
      </c>
      <c r="B586" s="38">
        <v>580</v>
      </c>
      <c r="C586" s="39" t="s">
        <v>4122</v>
      </c>
      <c r="D586" s="10" t="str">
        <f>VLOOKUP(C586,'Data Angt'!$A$5:$B$5809,2,FALSE)</f>
        <v>A1789</v>
      </c>
      <c r="E586" s="40" t="s">
        <v>24150</v>
      </c>
      <c r="F586" s="41">
        <v>45880</v>
      </c>
      <c r="G586" s="38">
        <v>12</v>
      </c>
      <c r="H586" s="40">
        <v>0</v>
      </c>
      <c r="I586" s="38">
        <v>5.5</v>
      </c>
      <c r="J586" s="41">
        <v>45880</v>
      </c>
      <c r="K586" s="38" t="s">
        <v>10768</v>
      </c>
      <c r="L586" s="42">
        <v>35000000</v>
      </c>
      <c r="O586"/>
    </row>
    <row r="587" spans="1:15" x14ac:dyDescent="0.3">
      <c r="A587" s="37">
        <v>149727</v>
      </c>
      <c r="B587" s="38">
        <v>581</v>
      </c>
      <c r="C587" s="39" t="s">
        <v>4219</v>
      </c>
      <c r="D587" s="10" t="str">
        <f>VLOOKUP(C587,'Data Angt'!$A$5:$B$5809,2,FALSE)</f>
        <v>A1829</v>
      </c>
      <c r="E587" s="40" t="s">
        <v>18523</v>
      </c>
      <c r="F587" s="41">
        <v>45586</v>
      </c>
      <c r="G587" s="38">
        <v>12</v>
      </c>
      <c r="H587" s="40">
        <v>0</v>
      </c>
      <c r="I587" s="38">
        <v>5.5</v>
      </c>
      <c r="J587" s="41">
        <v>45586</v>
      </c>
      <c r="K587" s="38" t="s">
        <v>10768</v>
      </c>
      <c r="L587" s="42">
        <v>35000000</v>
      </c>
      <c r="O587"/>
    </row>
    <row r="588" spans="1:15" x14ac:dyDescent="0.3">
      <c r="A588" s="37">
        <v>124682</v>
      </c>
      <c r="B588" s="38">
        <v>582</v>
      </c>
      <c r="C588" s="39" t="s">
        <v>4231</v>
      </c>
      <c r="D588" s="10" t="str">
        <f>VLOOKUP(C588,'Data Angt'!$A$5:$B$5809,2,FALSE)</f>
        <v>A1834</v>
      </c>
      <c r="E588" s="40" t="s">
        <v>11172</v>
      </c>
      <c r="F588" s="41">
        <v>44064</v>
      </c>
      <c r="G588" s="38">
        <v>12</v>
      </c>
      <c r="H588" s="40">
        <v>0</v>
      </c>
      <c r="I588" s="38">
        <v>5.5</v>
      </c>
      <c r="J588" s="41">
        <v>44064</v>
      </c>
      <c r="K588" s="38" t="s">
        <v>10768</v>
      </c>
      <c r="L588" s="42">
        <v>2000000</v>
      </c>
      <c r="O588"/>
    </row>
    <row r="589" spans="1:15" x14ac:dyDescent="0.3">
      <c r="A589" s="37">
        <v>79160</v>
      </c>
      <c r="B589" s="38">
        <v>583</v>
      </c>
      <c r="C589" s="39" t="s">
        <v>4239</v>
      </c>
      <c r="D589" s="10" t="str">
        <f>VLOOKUP(C589,'Data Angt'!$A$5:$B$5809,2,FALSE)</f>
        <v>A1837</v>
      </c>
      <c r="E589" s="40" t="s">
        <v>11173</v>
      </c>
      <c r="F589" s="41">
        <v>42756</v>
      </c>
      <c r="G589" s="38">
        <v>12</v>
      </c>
      <c r="H589" s="40">
        <v>0</v>
      </c>
      <c r="I589" s="38">
        <v>5.5</v>
      </c>
      <c r="J589" s="41">
        <v>42756</v>
      </c>
      <c r="K589" s="38" t="s">
        <v>10768</v>
      </c>
      <c r="L589" s="42">
        <v>22000000</v>
      </c>
      <c r="O589"/>
    </row>
    <row r="590" spans="1:15" x14ac:dyDescent="0.3">
      <c r="A590" s="37">
        <v>79393</v>
      </c>
      <c r="B590" s="38">
        <v>584</v>
      </c>
      <c r="C590" s="39" t="s">
        <v>4239</v>
      </c>
      <c r="D590" s="10" t="str">
        <f>VLOOKUP(C590,'Data Angt'!$A$5:$B$5809,2,FALSE)</f>
        <v>A1837</v>
      </c>
      <c r="E590" s="40" t="s">
        <v>11174</v>
      </c>
      <c r="F590" s="41">
        <v>43127</v>
      </c>
      <c r="G590" s="38">
        <v>12</v>
      </c>
      <c r="H590" s="40">
        <v>0</v>
      </c>
      <c r="I590" s="38">
        <v>5.5</v>
      </c>
      <c r="J590" s="41">
        <v>43127</v>
      </c>
      <c r="K590" s="38" t="s">
        <v>10768</v>
      </c>
      <c r="L590" s="42">
        <v>24000000</v>
      </c>
      <c r="O590"/>
    </row>
    <row r="591" spans="1:15" x14ac:dyDescent="0.3">
      <c r="A591" s="37">
        <v>79394</v>
      </c>
      <c r="B591" s="38">
        <v>585</v>
      </c>
      <c r="C591" s="39" t="s">
        <v>4239</v>
      </c>
      <c r="D591" s="10" t="str">
        <f>VLOOKUP(C591,'Data Angt'!$A$5:$B$5809,2,FALSE)</f>
        <v>A1837</v>
      </c>
      <c r="E591" s="40" t="s">
        <v>11175</v>
      </c>
      <c r="F591" s="41">
        <v>43127</v>
      </c>
      <c r="G591" s="38">
        <v>12</v>
      </c>
      <c r="H591" s="40">
        <v>0</v>
      </c>
      <c r="I591" s="38">
        <v>5.5</v>
      </c>
      <c r="J591" s="41">
        <v>43127</v>
      </c>
      <c r="K591" s="38" t="s">
        <v>10768</v>
      </c>
      <c r="L591" s="42">
        <v>23000000</v>
      </c>
      <c r="O591"/>
    </row>
    <row r="592" spans="1:15" x14ac:dyDescent="0.3">
      <c r="A592" s="37">
        <v>154640</v>
      </c>
      <c r="B592" s="38">
        <v>586</v>
      </c>
      <c r="C592" s="39" t="s">
        <v>4256</v>
      </c>
      <c r="D592" s="10" t="str">
        <f>VLOOKUP(C592,'Data Angt'!$A$5:$B$5809,2,FALSE)</f>
        <v>A1844</v>
      </c>
      <c r="E592" s="40" t="s">
        <v>18524</v>
      </c>
      <c r="F592" s="41">
        <v>45735</v>
      </c>
      <c r="G592" s="38">
        <v>12</v>
      </c>
      <c r="H592" s="40">
        <v>0</v>
      </c>
      <c r="I592" s="38">
        <v>5.5</v>
      </c>
      <c r="J592" s="41">
        <v>45735</v>
      </c>
      <c r="K592" s="38" t="s">
        <v>10768</v>
      </c>
      <c r="L592" s="42">
        <v>20000000</v>
      </c>
      <c r="O592"/>
    </row>
    <row r="593" spans="1:15" x14ac:dyDescent="0.3">
      <c r="A593" s="37">
        <v>139975</v>
      </c>
      <c r="B593" s="38">
        <v>587</v>
      </c>
      <c r="C593" s="39" t="s">
        <v>4265</v>
      </c>
      <c r="D593" s="10" t="str">
        <f>VLOOKUP(C593,'Data Angt'!$A$5:$B$5809,2,FALSE)</f>
        <v>A1848</v>
      </c>
      <c r="E593" s="40" t="s">
        <v>11176</v>
      </c>
      <c r="F593" s="41">
        <v>45222</v>
      </c>
      <c r="G593" s="38">
        <v>12</v>
      </c>
      <c r="H593" s="40">
        <v>0</v>
      </c>
      <c r="I593" s="38">
        <v>5.5</v>
      </c>
      <c r="J593" s="41">
        <v>45222</v>
      </c>
      <c r="K593" s="38" t="s">
        <v>10768</v>
      </c>
      <c r="L593" s="42">
        <v>10000000</v>
      </c>
      <c r="O593"/>
    </row>
    <row r="594" spans="1:15" x14ac:dyDescent="0.3">
      <c r="A594" s="37">
        <v>144613</v>
      </c>
      <c r="B594" s="38">
        <v>588</v>
      </c>
      <c r="C594" s="39" t="s">
        <v>4265</v>
      </c>
      <c r="D594" s="10" t="str">
        <f>VLOOKUP(C594,'Data Angt'!$A$5:$B$5809,2,FALSE)</f>
        <v>A1848</v>
      </c>
      <c r="E594" s="40" t="s">
        <v>18525</v>
      </c>
      <c r="F594" s="41">
        <v>45415</v>
      </c>
      <c r="G594" s="38">
        <v>12</v>
      </c>
      <c r="H594" s="40">
        <v>0</v>
      </c>
      <c r="I594" s="38">
        <v>5.5</v>
      </c>
      <c r="J594" s="41">
        <v>45415</v>
      </c>
      <c r="K594" s="38" t="s">
        <v>10768</v>
      </c>
      <c r="L594" s="42">
        <v>10000000</v>
      </c>
      <c r="O594"/>
    </row>
    <row r="595" spans="1:15" x14ac:dyDescent="0.3">
      <c r="A595" s="37">
        <v>151548</v>
      </c>
      <c r="B595" s="38">
        <v>589</v>
      </c>
      <c r="C595" s="39" t="s">
        <v>4265</v>
      </c>
      <c r="D595" s="10" t="str">
        <f>VLOOKUP(C595,'Data Angt'!$A$5:$B$5809,2,FALSE)</f>
        <v>A1848</v>
      </c>
      <c r="E595" s="40" t="s">
        <v>18526</v>
      </c>
      <c r="F595" s="41">
        <v>45645</v>
      </c>
      <c r="G595" s="38">
        <v>12</v>
      </c>
      <c r="H595" s="40">
        <v>0</v>
      </c>
      <c r="I595" s="38">
        <v>5.5</v>
      </c>
      <c r="J595" s="41">
        <v>45645</v>
      </c>
      <c r="K595" s="38" t="s">
        <v>10768</v>
      </c>
      <c r="L595" s="42">
        <v>10000000</v>
      </c>
      <c r="O595"/>
    </row>
    <row r="596" spans="1:15" x14ac:dyDescent="0.3">
      <c r="A596" s="37">
        <v>154844</v>
      </c>
      <c r="B596" s="38">
        <v>590</v>
      </c>
      <c r="C596" s="39" t="s">
        <v>4265</v>
      </c>
      <c r="D596" s="10" t="str">
        <f>VLOOKUP(C596,'Data Angt'!$A$5:$B$5809,2,FALSE)</f>
        <v>A1848</v>
      </c>
      <c r="E596" s="40" t="s">
        <v>18527</v>
      </c>
      <c r="F596" s="41">
        <v>45744</v>
      </c>
      <c r="G596" s="38">
        <v>12</v>
      </c>
      <c r="H596" s="40">
        <v>0</v>
      </c>
      <c r="I596" s="38">
        <v>5.5</v>
      </c>
      <c r="J596" s="41">
        <v>45744</v>
      </c>
      <c r="K596" s="38" t="s">
        <v>10768</v>
      </c>
      <c r="L596" s="42">
        <v>15000000</v>
      </c>
      <c r="O596"/>
    </row>
    <row r="597" spans="1:15" x14ac:dyDescent="0.3">
      <c r="A597" s="37">
        <v>155761</v>
      </c>
      <c r="B597" s="38">
        <v>591</v>
      </c>
      <c r="C597" s="39" t="s">
        <v>4270</v>
      </c>
      <c r="D597" s="10" t="str">
        <f>VLOOKUP(C597,'Data Angt'!$A$5:$B$5809,2,FALSE)</f>
        <v>A1850</v>
      </c>
      <c r="E597" s="40" t="s">
        <v>18528</v>
      </c>
      <c r="F597" s="41">
        <v>45796</v>
      </c>
      <c r="G597" s="38">
        <v>12</v>
      </c>
      <c r="H597" s="40">
        <v>0</v>
      </c>
      <c r="I597" s="38">
        <v>5.5</v>
      </c>
      <c r="J597" s="41">
        <v>45796</v>
      </c>
      <c r="K597" s="38" t="s">
        <v>10768</v>
      </c>
      <c r="L597" s="42">
        <v>50000000</v>
      </c>
      <c r="O597"/>
    </row>
    <row r="598" spans="1:15" x14ac:dyDescent="0.3">
      <c r="A598" s="37">
        <v>152916</v>
      </c>
      <c r="B598" s="38">
        <v>592</v>
      </c>
      <c r="C598" s="39" t="s">
        <v>4301</v>
      </c>
      <c r="D598" s="10" t="str">
        <f>VLOOKUP(C598,'Data Angt'!$A$5:$B$5809,2,FALSE)</f>
        <v>A1864</v>
      </c>
      <c r="E598" s="40" t="s">
        <v>18529</v>
      </c>
      <c r="F598" s="41">
        <v>45694</v>
      </c>
      <c r="G598" s="38">
        <v>12</v>
      </c>
      <c r="H598" s="40">
        <v>0</v>
      </c>
      <c r="I598" s="38">
        <v>5.5</v>
      </c>
      <c r="J598" s="41">
        <v>45694</v>
      </c>
      <c r="K598" s="38" t="s">
        <v>10768</v>
      </c>
      <c r="L598" s="42">
        <v>25000000</v>
      </c>
      <c r="O598"/>
    </row>
    <row r="599" spans="1:15" x14ac:dyDescent="0.3">
      <c r="A599" s="37">
        <v>155492</v>
      </c>
      <c r="B599" s="38">
        <v>593</v>
      </c>
      <c r="C599" s="39" t="s">
        <v>4301</v>
      </c>
      <c r="D599" s="10" t="str">
        <f>VLOOKUP(C599,'Data Angt'!$A$5:$B$5809,2,FALSE)</f>
        <v>A1864</v>
      </c>
      <c r="E599" s="40" t="s">
        <v>18530</v>
      </c>
      <c r="F599" s="41">
        <v>45784</v>
      </c>
      <c r="G599" s="38">
        <v>12</v>
      </c>
      <c r="H599" s="40">
        <v>0</v>
      </c>
      <c r="I599" s="38">
        <v>5.5</v>
      </c>
      <c r="J599" s="41">
        <v>45784</v>
      </c>
      <c r="K599" s="38" t="s">
        <v>10768</v>
      </c>
      <c r="L599" s="42">
        <v>75000000</v>
      </c>
      <c r="O599"/>
    </row>
    <row r="600" spans="1:15" x14ac:dyDescent="0.3">
      <c r="A600" s="37">
        <v>141762</v>
      </c>
      <c r="B600" s="38">
        <v>594</v>
      </c>
      <c r="C600" s="39" t="s">
        <v>4324</v>
      </c>
      <c r="D600" s="10" t="str">
        <f>VLOOKUP(C600,'Data Angt'!$A$5:$B$5809,2,FALSE)</f>
        <v>A1875</v>
      </c>
      <c r="E600" s="40" t="s">
        <v>18531</v>
      </c>
      <c r="F600" s="41">
        <v>45306</v>
      </c>
      <c r="G600" s="38">
        <v>12</v>
      </c>
      <c r="H600" s="40">
        <v>0</v>
      </c>
      <c r="I600" s="38">
        <v>5.5</v>
      </c>
      <c r="J600" s="41">
        <v>45306</v>
      </c>
      <c r="K600" s="38" t="s">
        <v>10768</v>
      </c>
      <c r="L600" s="42">
        <v>10000000</v>
      </c>
      <c r="O600"/>
    </row>
    <row r="601" spans="1:15" x14ac:dyDescent="0.3">
      <c r="A601" s="37">
        <v>129780</v>
      </c>
      <c r="B601" s="38">
        <v>595</v>
      </c>
      <c r="C601" s="39" t="s">
        <v>4382</v>
      </c>
      <c r="D601" s="10" t="str">
        <f>VLOOKUP(C601,'Data Angt'!$A$5:$B$5809,2,FALSE)</f>
        <v>A1903</v>
      </c>
      <c r="E601" s="40" t="s">
        <v>11177</v>
      </c>
      <c r="F601" s="41">
        <v>44441</v>
      </c>
      <c r="G601" s="38">
        <v>12</v>
      </c>
      <c r="H601" s="40">
        <v>0</v>
      </c>
      <c r="I601" s="38">
        <v>5.5</v>
      </c>
      <c r="J601" s="41">
        <v>44441</v>
      </c>
      <c r="K601" s="38" t="s">
        <v>10768</v>
      </c>
      <c r="L601" s="42">
        <v>22000000</v>
      </c>
      <c r="O601"/>
    </row>
    <row r="602" spans="1:15" x14ac:dyDescent="0.3">
      <c r="A602" s="37">
        <v>156807</v>
      </c>
      <c r="B602" s="38">
        <v>596</v>
      </c>
      <c r="C602" s="39" t="s">
        <v>4403</v>
      </c>
      <c r="D602" s="10" t="str">
        <f>VLOOKUP(C602,'Data Angt'!$A$5:$B$5809,2,FALSE)</f>
        <v>A1914</v>
      </c>
      <c r="E602" s="40" t="s">
        <v>24151</v>
      </c>
      <c r="F602" s="41">
        <v>45843</v>
      </c>
      <c r="G602" s="38">
        <v>12</v>
      </c>
      <c r="H602" s="40">
        <v>0</v>
      </c>
      <c r="I602" s="38">
        <v>5.5</v>
      </c>
      <c r="J602" s="41">
        <v>45843</v>
      </c>
      <c r="K602" s="38" t="s">
        <v>10768</v>
      </c>
      <c r="L602" s="42">
        <v>30000000</v>
      </c>
      <c r="O602"/>
    </row>
    <row r="603" spans="1:15" x14ac:dyDescent="0.3">
      <c r="A603" s="37">
        <v>131487</v>
      </c>
      <c r="B603" s="38">
        <v>597</v>
      </c>
      <c r="C603" s="39" t="s">
        <v>4483</v>
      </c>
      <c r="D603" s="10" t="str">
        <f>VLOOKUP(C603,'Data Angt'!$A$5:$B$5809,2,FALSE)</f>
        <v>A1951</v>
      </c>
      <c r="E603" s="40" t="s">
        <v>11178</v>
      </c>
      <c r="F603" s="41">
        <v>44585</v>
      </c>
      <c r="G603" s="38">
        <v>12</v>
      </c>
      <c r="H603" s="40">
        <v>0</v>
      </c>
      <c r="I603" s="38">
        <v>5.5</v>
      </c>
      <c r="J603" s="41">
        <v>44585</v>
      </c>
      <c r="K603" s="38" t="s">
        <v>10768</v>
      </c>
      <c r="L603" s="42">
        <v>1000000</v>
      </c>
      <c r="O603"/>
    </row>
    <row r="604" spans="1:15" x14ac:dyDescent="0.3">
      <c r="A604" s="37">
        <v>135000</v>
      </c>
      <c r="B604" s="38">
        <v>598</v>
      </c>
      <c r="C604" s="39" t="s">
        <v>4483</v>
      </c>
      <c r="D604" s="10" t="str">
        <f>VLOOKUP(C604,'Data Angt'!$A$5:$B$5809,2,FALSE)</f>
        <v>A1951</v>
      </c>
      <c r="E604" s="40" t="s">
        <v>11179</v>
      </c>
      <c r="F604" s="41">
        <v>44858</v>
      </c>
      <c r="G604" s="38">
        <v>12</v>
      </c>
      <c r="H604" s="40">
        <v>0</v>
      </c>
      <c r="I604" s="38">
        <v>5.5</v>
      </c>
      <c r="J604" s="41">
        <v>44858</v>
      </c>
      <c r="K604" s="38" t="s">
        <v>10768</v>
      </c>
      <c r="L604" s="42">
        <v>1000000</v>
      </c>
      <c r="O604"/>
    </row>
    <row r="605" spans="1:15" x14ac:dyDescent="0.3">
      <c r="A605" s="37">
        <v>135167</v>
      </c>
      <c r="B605" s="38">
        <v>599</v>
      </c>
      <c r="C605" s="39" t="s">
        <v>4483</v>
      </c>
      <c r="D605" s="10" t="str">
        <f>VLOOKUP(C605,'Data Angt'!$A$5:$B$5809,2,FALSE)</f>
        <v>A1951</v>
      </c>
      <c r="E605" s="40" t="s">
        <v>11180</v>
      </c>
      <c r="F605" s="41">
        <v>44872</v>
      </c>
      <c r="G605" s="38">
        <v>12</v>
      </c>
      <c r="H605" s="40">
        <v>0</v>
      </c>
      <c r="I605" s="38">
        <v>5.5</v>
      </c>
      <c r="J605" s="41">
        <v>44872</v>
      </c>
      <c r="K605" s="38" t="s">
        <v>10768</v>
      </c>
      <c r="L605" s="42">
        <v>1000000</v>
      </c>
      <c r="O605"/>
    </row>
    <row r="606" spans="1:15" x14ac:dyDescent="0.3">
      <c r="A606" s="37">
        <v>135231</v>
      </c>
      <c r="B606" s="38">
        <v>600</v>
      </c>
      <c r="C606" s="39" t="s">
        <v>4483</v>
      </c>
      <c r="D606" s="10" t="str">
        <f>VLOOKUP(C606,'Data Angt'!$A$5:$B$5809,2,FALSE)</f>
        <v>A1951</v>
      </c>
      <c r="E606" s="40" t="s">
        <v>11181</v>
      </c>
      <c r="F606" s="41">
        <v>44877</v>
      </c>
      <c r="G606" s="38">
        <v>12</v>
      </c>
      <c r="H606" s="40">
        <v>0</v>
      </c>
      <c r="I606" s="38">
        <v>5.5</v>
      </c>
      <c r="J606" s="41">
        <v>44877</v>
      </c>
      <c r="K606" s="38" t="s">
        <v>10768</v>
      </c>
      <c r="L606" s="42">
        <v>10000000</v>
      </c>
      <c r="O606"/>
    </row>
    <row r="607" spans="1:15" x14ac:dyDescent="0.3">
      <c r="A607" s="37">
        <v>135734</v>
      </c>
      <c r="B607" s="38">
        <v>601</v>
      </c>
      <c r="C607" s="39" t="s">
        <v>4483</v>
      </c>
      <c r="D607" s="10" t="str">
        <f>VLOOKUP(C607,'Data Angt'!$A$5:$B$5809,2,FALSE)</f>
        <v>A1951</v>
      </c>
      <c r="E607" s="40" t="s">
        <v>11182</v>
      </c>
      <c r="F607" s="41">
        <v>44914</v>
      </c>
      <c r="G607" s="38">
        <v>12</v>
      </c>
      <c r="H607" s="40">
        <v>0</v>
      </c>
      <c r="I607" s="38">
        <v>5.5</v>
      </c>
      <c r="J607" s="41">
        <v>44914</v>
      </c>
      <c r="K607" s="38" t="s">
        <v>10768</v>
      </c>
      <c r="L607" s="42">
        <v>1500000</v>
      </c>
      <c r="O607"/>
    </row>
    <row r="608" spans="1:15" x14ac:dyDescent="0.3">
      <c r="A608" s="37">
        <v>136552</v>
      </c>
      <c r="B608" s="38">
        <v>602</v>
      </c>
      <c r="C608" s="39" t="s">
        <v>4483</v>
      </c>
      <c r="D608" s="10" t="str">
        <f>VLOOKUP(C608,'Data Angt'!$A$5:$B$5809,2,FALSE)</f>
        <v>A1951</v>
      </c>
      <c r="E608" s="40" t="s">
        <v>11183</v>
      </c>
      <c r="F608" s="41">
        <v>44978</v>
      </c>
      <c r="G608" s="38">
        <v>12</v>
      </c>
      <c r="H608" s="40">
        <v>0</v>
      </c>
      <c r="I608" s="38">
        <v>5.5</v>
      </c>
      <c r="J608" s="41">
        <v>44978</v>
      </c>
      <c r="K608" s="38" t="s">
        <v>10768</v>
      </c>
      <c r="L608" s="42">
        <v>1500000</v>
      </c>
      <c r="O608"/>
    </row>
    <row r="609" spans="1:15" x14ac:dyDescent="0.3">
      <c r="A609" s="37">
        <v>79571</v>
      </c>
      <c r="B609" s="38">
        <v>603</v>
      </c>
      <c r="C609" s="39" t="s">
        <v>4500</v>
      </c>
      <c r="D609" s="10" t="str">
        <f>VLOOKUP(C609,'Data Angt'!$A$5:$B$5809,2,FALSE)</f>
        <v>A1961</v>
      </c>
      <c r="E609" s="40" t="s">
        <v>11185</v>
      </c>
      <c r="F609" s="41">
        <v>43109</v>
      </c>
      <c r="G609" s="38">
        <v>12</v>
      </c>
      <c r="H609" s="40">
        <v>0</v>
      </c>
      <c r="I609" s="38">
        <v>5.5</v>
      </c>
      <c r="J609" s="41">
        <v>43109</v>
      </c>
      <c r="K609" s="38" t="s">
        <v>10768</v>
      </c>
      <c r="L609" s="42">
        <v>4000000</v>
      </c>
      <c r="O609"/>
    </row>
    <row r="610" spans="1:15" x14ac:dyDescent="0.3">
      <c r="A610" s="37">
        <v>135891</v>
      </c>
      <c r="B610" s="38">
        <v>604</v>
      </c>
      <c r="C610" s="39" t="s">
        <v>4500</v>
      </c>
      <c r="D610" s="10" t="str">
        <f>VLOOKUP(C610,'Data Angt'!$A$5:$B$5809,2,FALSE)</f>
        <v>A1961</v>
      </c>
      <c r="E610" s="40" t="s">
        <v>11184</v>
      </c>
      <c r="F610" s="41">
        <v>44935</v>
      </c>
      <c r="G610" s="38">
        <v>12</v>
      </c>
      <c r="H610" s="40">
        <v>0</v>
      </c>
      <c r="I610" s="38">
        <v>5.5</v>
      </c>
      <c r="J610" s="41">
        <v>44935</v>
      </c>
      <c r="K610" s="38" t="s">
        <v>10768</v>
      </c>
      <c r="L610" s="42">
        <v>8000000</v>
      </c>
      <c r="O610"/>
    </row>
    <row r="611" spans="1:15" x14ac:dyDescent="0.3">
      <c r="A611" s="37">
        <v>143263</v>
      </c>
      <c r="B611" s="38">
        <v>605</v>
      </c>
      <c r="C611" s="39" t="s">
        <v>4531</v>
      </c>
      <c r="D611" s="10" t="str">
        <f>VLOOKUP(C611,'Data Angt'!$A$5:$B$5809,2,FALSE)</f>
        <v>A1973</v>
      </c>
      <c r="E611" s="40" t="s">
        <v>18532</v>
      </c>
      <c r="F611" s="41">
        <v>45358</v>
      </c>
      <c r="G611" s="38">
        <v>12</v>
      </c>
      <c r="H611" s="40">
        <v>0</v>
      </c>
      <c r="I611" s="38">
        <v>5.5</v>
      </c>
      <c r="J611" s="41">
        <v>45358</v>
      </c>
      <c r="K611" s="38" t="s">
        <v>10768</v>
      </c>
      <c r="L611" s="42">
        <v>1500000</v>
      </c>
      <c r="O611"/>
    </row>
    <row r="612" spans="1:15" x14ac:dyDescent="0.3">
      <c r="A612" s="37">
        <v>142092</v>
      </c>
      <c r="B612" s="38">
        <v>606</v>
      </c>
      <c r="C612" s="39" t="s">
        <v>4611</v>
      </c>
      <c r="D612" s="10" t="str">
        <f>VLOOKUP(C612,'Data Angt'!$A$5:$B$5809,2,FALSE)</f>
        <v>A2014</v>
      </c>
      <c r="E612" s="40" t="s">
        <v>18533</v>
      </c>
      <c r="F612" s="41">
        <v>45314</v>
      </c>
      <c r="G612" s="38">
        <v>12</v>
      </c>
      <c r="H612" s="40">
        <v>0</v>
      </c>
      <c r="I612" s="38">
        <v>5.5</v>
      </c>
      <c r="J612" s="41">
        <v>45314</v>
      </c>
      <c r="K612" s="38" t="s">
        <v>10768</v>
      </c>
      <c r="L612" s="42">
        <v>20000000</v>
      </c>
      <c r="O612"/>
    </row>
    <row r="613" spans="1:15" x14ac:dyDescent="0.3">
      <c r="A613" s="37">
        <v>152935</v>
      </c>
      <c r="B613" s="38">
        <v>607</v>
      </c>
      <c r="C613" s="39" t="s">
        <v>4765</v>
      </c>
      <c r="D613" s="10" t="str">
        <f>VLOOKUP(C613,'Data Angt'!$A$5:$B$5809,2,FALSE)</f>
        <v>A2085</v>
      </c>
      <c r="E613" s="40" t="s">
        <v>18534</v>
      </c>
      <c r="F613" s="41">
        <v>45695</v>
      </c>
      <c r="G613" s="38">
        <v>12</v>
      </c>
      <c r="H613" s="40">
        <v>0</v>
      </c>
      <c r="I613" s="38">
        <v>5.5</v>
      </c>
      <c r="J613" s="41">
        <v>45695</v>
      </c>
      <c r="K613" s="38" t="s">
        <v>10768</v>
      </c>
      <c r="L613" s="42">
        <v>5500000</v>
      </c>
      <c r="O613"/>
    </row>
    <row r="614" spans="1:15" x14ac:dyDescent="0.3">
      <c r="A614" s="37">
        <v>153587</v>
      </c>
      <c r="B614" s="38">
        <v>608</v>
      </c>
      <c r="C614" s="39" t="s">
        <v>4765</v>
      </c>
      <c r="D614" s="10" t="str">
        <f>VLOOKUP(C614,'Data Angt'!$A$5:$B$5809,2,FALSE)</f>
        <v>A2085</v>
      </c>
      <c r="E614" s="40" t="s">
        <v>18535</v>
      </c>
      <c r="F614" s="41">
        <v>45708</v>
      </c>
      <c r="G614" s="38">
        <v>12</v>
      </c>
      <c r="H614" s="40">
        <v>0</v>
      </c>
      <c r="I614" s="38">
        <v>5.5</v>
      </c>
      <c r="J614" s="41">
        <v>45708</v>
      </c>
      <c r="K614" s="38" t="s">
        <v>10768</v>
      </c>
      <c r="L614" s="42">
        <v>10500000</v>
      </c>
      <c r="O614"/>
    </row>
    <row r="615" spans="1:15" x14ac:dyDescent="0.3">
      <c r="A615" s="37">
        <v>79622</v>
      </c>
      <c r="B615" s="38">
        <v>609</v>
      </c>
      <c r="C615" s="39" t="s">
        <v>4797</v>
      </c>
      <c r="D615" s="10" t="str">
        <f>VLOOKUP(C615,'Data Angt'!$A$5:$B$5809,2,FALSE)</f>
        <v>A2099</v>
      </c>
      <c r="E615" s="40" t="s">
        <v>11190</v>
      </c>
      <c r="F615" s="41">
        <v>42101</v>
      </c>
      <c r="G615" s="38">
        <v>12</v>
      </c>
      <c r="H615" s="40">
        <v>0</v>
      </c>
      <c r="I615" s="38">
        <v>5.5</v>
      </c>
      <c r="J615" s="41">
        <v>44658</v>
      </c>
      <c r="K615" s="38" t="s">
        <v>10768</v>
      </c>
      <c r="L615" s="42">
        <v>15000000</v>
      </c>
      <c r="O615"/>
    </row>
    <row r="616" spans="1:15" x14ac:dyDescent="0.3">
      <c r="A616" s="37">
        <v>86874</v>
      </c>
      <c r="B616" s="38">
        <v>610</v>
      </c>
      <c r="C616" s="39" t="s">
        <v>4797</v>
      </c>
      <c r="D616" s="10" t="str">
        <f>VLOOKUP(C616,'Data Angt'!$A$5:$B$5809,2,FALSE)</f>
        <v>A2099</v>
      </c>
      <c r="E616" s="40" t="s">
        <v>11191</v>
      </c>
      <c r="F616" s="41">
        <v>43262</v>
      </c>
      <c r="G616" s="38">
        <v>12</v>
      </c>
      <c r="H616" s="40">
        <v>0</v>
      </c>
      <c r="I616" s="38">
        <v>5.5</v>
      </c>
      <c r="J616" s="41">
        <v>43262</v>
      </c>
      <c r="K616" s="38" t="s">
        <v>10768</v>
      </c>
      <c r="L616" s="42">
        <v>5000000</v>
      </c>
      <c r="O616"/>
    </row>
    <row r="617" spans="1:15" x14ac:dyDescent="0.3">
      <c r="A617" s="37">
        <v>126249</v>
      </c>
      <c r="B617" s="38">
        <v>611</v>
      </c>
      <c r="C617" s="39" t="s">
        <v>4797</v>
      </c>
      <c r="D617" s="10" t="str">
        <f>VLOOKUP(C617,'Data Angt'!$A$5:$B$5809,2,FALSE)</f>
        <v>A2099</v>
      </c>
      <c r="E617" s="40" t="s">
        <v>11192</v>
      </c>
      <c r="F617" s="41">
        <v>44188</v>
      </c>
      <c r="G617" s="38">
        <v>12</v>
      </c>
      <c r="H617" s="40">
        <v>0</v>
      </c>
      <c r="I617" s="38">
        <v>5.5</v>
      </c>
      <c r="J617" s="41">
        <v>44565</v>
      </c>
      <c r="K617" s="38" t="s">
        <v>10768</v>
      </c>
      <c r="L617" s="42">
        <v>20000000</v>
      </c>
      <c r="O617"/>
    </row>
    <row r="618" spans="1:15" x14ac:dyDescent="0.3">
      <c r="A618" s="37">
        <v>127170</v>
      </c>
      <c r="B618" s="38">
        <v>612</v>
      </c>
      <c r="C618" s="39" t="s">
        <v>4797</v>
      </c>
      <c r="D618" s="10" t="str">
        <f>VLOOKUP(C618,'Data Angt'!$A$5:$B$5809,2,FALSE)</f>
        <v>A2099</v>
      </c>
      <c r="E618" s="40" t="s">
        <v>11193</v>
      </c>
      <c r="F618" s="41">
        <v>44254</v>
      </c>
      <c r="G618" s="38">
        <v>12</v>
      </c>
      <c r="H618" s="40">
        <v>0</v>
      </c>
      <c r="I618" s="38">
        <v>5.5</v>
      </c>
      <c r="J618" s="41">
        <v>44619</v>
      </c>
      <c r="K618" s="38" t="s">
        <v>10768</v>
      </c>
      <c r="L618" s="42">
        <v>33000000</v>
      </c>
      <c r="O618"/>
    </row>
    <row r="619" spans="1:15" x14ac:dyDescent="0.3">
      <c r="A619" s="37">
        <v>133635</v>
      </c>
      <c r="B619" s="38">
        <v>613</v>
      </c>
      <c r="C619" s="39" t="s">
        <v>4797</v>
      </c>
      <c r="D619" s="10" t="str">
        <f>VLOOKUP(C619,'Data Angt'!$A$5:$B$5809,2,FALSE)</f>
        <v>A2099</v>
      </c>
      <c r="E619" s="40" t="s">
        <v>11194</v>
      </c>
      <c r="F619" s="41">
        <v>44621</v>
      </c>
      <c r="G619" s="38">
        <v>12</v>
      </c>
      <c r="H619" s="40">
        <v>0</v>
      </c>
      <c r="I619" s="38">
        <v>5.5</v>
      </c>
      <c r="J619" s="41">
        <v>44621</v>
      </c>
      <c r="K619" s="38" t="s">
        <v>10768</v>
      </c>
      <c r="L619" s="42">
        <v>25000000</v>
      </c>
      <c r="O619"/>
    </row>
    <row r="620" spans="1:15" x14ac:dyDescent="0.3">
      <c r="A620" s="37">
        <v>133636</v>
      </c>
      <c r="B620" s="38">
        <v>614</v>
      </c>
      <c r="C620" s="39" t="s">
        <v>4797</v>
      </c>
      <c r="D620" s="10" t="str">
        <f>VLOOKUP(C620,'Data Angt'!$A$5:$B$5809,2,FALSE)</f>
        <v>A2099</v>
      </c>
      <c r="E620" s="40" t="s">
        <v>11195</v>
      </c>
      <c r="F620" s="41">
        <v>44574</v>
      </c>
      <c r="G620" s="38">
        <v>12</v>
      </c>
      <c r="H620" s="40">
        <v>0</v>
      </c>
      <c r="I620" s="38">
        <v>5.5</v>
      </c>
      <c r="J620" s="41">
        <v>44574</v>
      </c>
      <c r="K620" s="38" t="s">
        <v>10768</v>
      </c>
      <c r="L620" s="42">
        <v>35000000</v>
      </c>
      <c r="O620"/>
    </row>
    <row r="621" spans="1:15" x14ac:dyDescent="0.3">
      <c r="A621" s="37">
        <v>133637</v>
      </c>
      <c r="B621" s="38">
        <v>615</v>
      </c>
      <c r="C621" s="39" t="s">
        <v>4797</v>
      </c>
      <c r="D621" s="10" t="str">
        <f>VLOOKUP(C621,'Data Angt'!$A$5:$B$5809,2,FALSE)</f>
        <v>A2099</v>
      </c>
      <c r="E621" s="40" t="s">
        <v>11196</v>
      </c>
      <c r="F621" s="41">
        <v>44574</v>
      </c>
      <c r="G621" s="38">
        <v>12</v>
      </c>
      <c r="H621" s="40">
        <v>0</v>
      </c>
      <c r="I621" s="38">
        <v>5.5</v>
      </c>
      <c r="J621" s="41">
        <v>44574</v>
      </c>
      <c r="K621" s="38" t="s">
        <v>10768</v>
      </c>
      <c r="L621" s="42">
        <v>35000000</v>
      </c>
      <c r="O621"/>
    </row>
    <row r="622" spans="1:15" x14ac:dyDescent="0.3">
      <c r="A622" s="37">
        <v>151818</v>
      </c>
      <c r="B622" s="38">
        <v>616</v>
      </c>
      <c r="C622" s="39" t="s">
        <v>4797</v>
      </c>
      <c r="D622" s="10" t="str">
        <f>VLOOKUP(C622,'Data Angt'!$A$5:$B$5809,2,FALSE)</f>
        <v>A2099</v>
      </c>
      <c r="E622" s="40" t="s">
        <v>18536</v>
      </c>
      <c r="F622" s="41">
        <v>45663</v>
      </c>
      <c r="G622" s="38">
        <v>12</v>
      </c>
      <c r="H622" s="40">
        <v>0</v>
      </c>
      <c r="I622" s="38">
        <v>5.5</v>
      </c>
      <c r="J622" s="41">
        <v>45663</v>
      </c>
      <c r="K622" s="38" t="s">
        <v>10768</v>
      </c>
      <c r="L622" s="42">
        <v>35000000</v>
      </c>
      <c r="O622"/>
    </row>
    <row r="623" spans="1:15" x14ac:dyDescent="0.3">
      <c r="A623" s="37">
        <v>79621</v>
      </c>
      <c r="B623" s="38">
        <v>617</v>
      </c>
      <c r="C623" s="39" t="s">
        <v>4797</v>
      </c>
      <c r="D623" s="10" t="str">
        <f>VLOOKUP(C623,'Data Angt'!$A$5:$B$5809,2,FALSE)</f>
        <v>A2099</v>
      </c>
      <c r="E623" s="40" t="s">
        <v>11189</v>
      </c>
      <c r="F623" s="41">
        <v>42055</v>
      </c>
      <c r="G623" s="38">
        <v>12</v>
      </c>
      <c r="H623" s="40">
        <v>0</v>
      </c>
      <c r="I623" s="38">
        <v>5.5</v>
      </c>
      <c r="J623" s="41">
        <v>44612</v>
      </c>
      <c r="K623" s="38" t="s">
        <v>10768</v>
      </c>
      <c r="L623" s="42">
        <v>20000000</v>
      </c>
      <c r="O623"/>
    </row>
    <row r="624" spans="1:15" x14ac:dyDescent="0.3">
      <c r="A624" s="37">
        <v>133639</v>
      </c>
      <c r="B624" s="38">
        <v>618</v>
      </c>
      <c r="C624" s="39" t="s">
        <v>4807</v>
      </c>
      <c r="D624" s="10" t="str">
        <f>VLOOKUP(C624,'Data Angt'!$A$5:$B$5809,2,FALSE)</f>
        <v>A2103</v>
      </c>
      <c r="E624" s="40" t="s">
        <v>11201</v>
      </c>
      <c r="F624" s="41">
        <v>44680</v>
      </c>
      <c r="G624" s="38">
        <v>12</v>
      </c>
      <c r="H624" s="40">
        <v>0</v>
      </c>
      <c r="I624" s="38">
        <v>5.5</v>
      </c>
      <c r="J624" s="41">
        <v>44680</v>
      </c>
      <c r="K624" s="38" t="s">
        <v>10768</v>
      </c>
      <c r="L624" s="42">
        <v>30000000</v>
      </c>
      <c r="O624"/>
    </row>
    <row r="625" spans="1:15" x14ac:dyDescent="0.3">
      <c r="A625" s="37">
        <v>136977</v>
      </c>
      <c r="B625" s="38">
        <v>619</v>
      </c>
      <c r="C625" s="39" t="s">
        <v>4807</v>
      </c>
      <c r="D625" s="10" t="str">
        <f>VLOOKUP(C625,'Data Angt'!$A$5:$B$5809,2,FALSE)</f>
        <v>A2103</v>
      </c>
      <c r="E625" s="40" t="s">
        <v>11202</v>
      </c>
      <c r="F625" s="41">
        <v>45017</v>
      </c>
      <c r="G625" s="38">
        <v>12</v>
      </c>
      <c r="H625" s="40">
        <v>0</v>
      </c>
      <c r="I625" s="38">
        <v>5.5</v>
      </c>
      <c r="J625" s="41">
        <v>45017</v>
      </c>
      <c r="K625" s="38" t="s">
        <v>10768</v>
      </c>
      <c r="L625" s="42">
        <v>35000000</v>
      </c>
      <c r="O625"/>
    </row>
    <row r="626" spans="1:15" x14ac:dyDescent="0.3">
      <c r="A626" s="37">
        <v>143885</v>
      </c>
      <c r="B626" s="38">
        <v>620</v>
      </c>
      <c r="C626" s="39" t="s">
        <v>4807</v>
      </c>
      <c r="D626" s="10" t="str">
        <f>VLOOKUP(C626,'Data Angt'!$A$5:$B$5809,2,FALSE)</f>
        <v>A2103</v>
      </c>
      <c r="E626" s="40" t="s">
        <v>18537</v>
      </c>
      <c r="F626" s="41">
        <v>45377</v>
      </c>
      <c r="G626" s="38">
        <v>12</v>
      </c>
      <c r="H626" s="40">
        <v>0</v>
      </c>
      <c r="I626" s="38">
        <v>5.5</v>
      </c>
      <c r="J626" s="41">
        <v>45377</v>
      </c>
      <c r="K626" s="38" t="s">
        <v>10768</v>
      </c>
      <c r="L626" s="42">
        <v>35000000</v>
      </c>
      <c r="O626"/>
    </row>
    <row r="627" spans="1:15" x14ac:dyDescent="0.3">
      <c r="A627" s="37">
        <v>153974</v>
      </c>
      <c r="B627" s="38">
        <v>621</v>
      </c>
      <c r="C627" s="39" t="s">
        <v>4807</v>
      </c>
      <c r="D627" s="10" t="str">
        <f>VLOOKUP(C627,'Data Angt'!$A$5:$B$5809,2,FALSE)</f>
        <v>A2103</v>
      </c>
      <c r="E627" s="40" t="s">
        <v>18538</v>
      </c>
      <c r="F627" s="41">
        <v>45714</v>
      </c>
      <c r="G627" s="38">
        <v>12</v>
      </c>
      <c r="H627" s="40">
        <v>0</v>
      </c>
      <c r="I627" s="38">
        <v>5.5</v>
      </c>
      <c r="J627" s="41">
        <v>45714</v>
      </c>
      <c r="K627" s="38" t="s">
        <v>10768</v>
      </c>
      <c r="L627" s="42">
        <v>35000000</v>
      </c>
      <c r="O627"/>
    </row>
    <row r="628" spans="1:15" x14ac:dyDescent="0.3">
      <c r="A628" s="37">
        <v>157395</v>
      </c>
      <c r="B628" s="38">
        <v>622</v>
      </c>
      <c r="C628" s="39" t="s">
        <v>4807</v>
      </c>
      <c r="D628" s="10" t="str">
        <f>VLOOKUP(C628,'Data Angt'!$A$5:$B$5809,2,FALSE)</f>
        <v>A2103</v>
      </c>
      <c r="E628" s="40" t="s">
        <v>24152</v>
      </c>
      <c r="F628" s="41">
        <v>45867</v>
      </c>
      <c r="G628" s="38">
        <v>12</v>
      </c>
      <c r="H628" s="40">
        <v>0</v>
      </c>
      <c r="I628" s="38">
        <v>5.5</v>
      </c>
      <c r="J628" s="41">
        <v>45867</v>
      </c>
      <c r="K628" s="38" t="s">
        <v>10768</v>
      </c>
      <c r="L628" s="42">
        <v>35000000</v>
      </c>
      <c r="O628"/>
    </row>
    <row r="629" spans="1:15" x14ac:dyDescent="0.3">
      <c r="A629" s="37">
        <v>120208</v>
      </c>
      <c r="B629" s="38">
        <v>623</v>
      </c>
      <c r="C629" s="39" t="s">
        <v>4807</v>
      </c>
      <c r="D629" s="10" t="str">
        <f>VLOOKUP(C629,'Data Angt'!$A$5:$B$5809,2,FALSE)</f>
        <v>A2103</v>
      </c>
      <c r="E629" s="40" t="s">
        <v>11203</v>
      </c>
      <c r="F629" s="41">
        <v>43859</v>
      </c>
      <c r="G629" s="38">
        <v>12</v>
      </c>
      <c r="H629" s="40">
        <v>0</v>
      </c>
      <c r="I629" s="38">
        <v>5.5</v>
      </c>
      <c r="J629" s="41">
        <v>44590</v>
      </c>
      <c r="K629" s="38" t="s">
        <v>10768</v>
      </c>
      <c r="L629" s="42">
        <v>10000000</v>
      </c>
      <c r="O629"/>
    </row>
    <row r="630" spans="1:15" x14ac:dyDescent="0.3">
      <c r="A630" s="37">
        <v>123204</v>
      </c>
      <c r="B630" s="38">
        <v>624</v>
      </c>
      <c r="C630" s="39" t="s">
        <v>4807</v>
      </c>
      <c r="D630" s="10" t="str">
        <f>VLOOKUP(C630,'Data Angt'!$A$5:$B$5809,2,FALSE)</f>
        <v>A2103</v>
      </c>
      <c r="E630" s="40" t="s">
        <v>11197</v>
      </c>
      <c r="F630" s="41">
        <v>43962</v>
      </c>
      <c r="G630" s="38">
        <v>12</v>
      </c>
      <c r="H630" s="40">
        <v>0</v>
      </c>
      <c r="I630" s="38">
        <v>5.5</v>
      </c>
      <c r="J630" s="41">
        <v>44692</v>
      </c>
      <c r="K630" s="38" t="s">
        <v>10768</v>
      </c>
      <c r="L630" s="42">
        <v>20000000</v>
      </c>
      <c r="O630"/>
    </row>
    <row r="631" spans="1:15" x14ac:dyDescent="0.3">
      <c r="A631" s="37">
        <v>124002</v>
      </c>
      <c r="B631" s="38">
        <v>625</v>
      </c>
      <c r="C631" s="39" t="s">
        <v>4807</v>
      </c>
      <c r="D631" s="10" t="str">
        <f>VLOOKUP(C631,'Data Angt'!$A$5:$B$5809,2,FALSE)</f>
        <v>A2103</v>
      </c>
      <c r="E631" s="40" t="s">
        <v>11198</v>
      </c>
      <c r="F631" s="41">
        <v>44015</v>
      </c>
      <c r="G631" s="38">
        <v>12</v>
      </c>
      <c r="H631" s="40">
        <v>0</v>
      </c>
      <c r="I631" s="38">
        <v>5.5</v>
      </c>
      <c r="J631" s="41">
        <v>44745</v>
      </c>
      <c r="K631" s="38" t="s">
        <v>10768</v>
      </c>
      <c r="L631" s="42">
        <v>15000000</v>
      </c>
      <c r="O631"/>
    </row>
    <row r="632" spans="1:15" x14ac:dyDescent="0.3">
      <c r="A632" s="37">
        <v>127254</v>
      </c>
      <c r="B632" s="38">
        <v>626</v>
      </c>
      <c r="C632" s="39" t="s">
        <v>4807</v>
      </c>
      <c r="D632" s="10" t="str">
        <f>VLOOKUP(C632,'Data Angt'!$A$5:$B$5809,2,FALSE)</f>
        <v>A2103</v>
      </c>
      <c r="E632" s="40" t="s">
        <v>11199</v>
      </c>
      <c r="F632" s="41">
        <v>44258</v>
      </c>
      <c r="G632" s="38">
        <v>12</v>
      </c>
      <c r="H632" s="40">
        <v>0</v>
      </c>
      <c r="I632" s="38">
        <v>5.5</v>
      </c>
      <c r="J632" s="41">
        <v>44623</v>
      </c>
      <c r="K632" s="38" t="s">
        <v>10768</v>
      </c>
      <c r="L632" s="42">
        <v>25000000</v>
      </c>
      <c r="O632"/>
    </row>
    <row r="633" spans="1:15" x14ac:dyDescent="0.3">
      <c r="A633" s="37">
        <v>132817</v>
      </c>
      <c r="B633" s="38">
        <v>627</v>
      </c>
      <c r="C633" s="39" t="s">
        <v>4807</v>
      </c>
      <c r="D633" s="10" t="str">
        <f>VLOOKUP(C633,'Data Angt'!$A$5:$B$5809,2,FALSE)</f>
        <v>A2103</v>
      </c>
      <c r="E633" s="40" t="s">
        <v>11200</v>
      </c>
      <c r="F633" s="41">
        <v>44690</v>
      </c>
      <c r="G633" s="38">
        <v>12</v>
      </c>
      <c r="H633" s="40">
        <v>0</v>
      </c>
      <c r="I633" s="38">
        <v>5.5</v>
      </c>
      <c r="J633" s="41">
        <v>44690</v>
      </c>
      <c r="K633" s="38" t="s">
        <v>10768</v>
      </c>
      <c r="L633" s="42">
        <v>3500000</v>
      </c>
      <c r="O633"/>
    </row>
    <row r="634" spans="1:15" x14ac:dyDescent="0.3">
      <c r="A634" s="37">
        <v>79028</v>
      </c>
      <c r="B634" s="38">
        <v>628</v>
      </c>
      <c r="C634" s="39" t="s">
        <v>4817</v>
      </c>
      <c r="D634" s="10" t="str">
        <f>VLOOKUP(C634,'Data Angt'!$A$5:$B$5809,2,FALSE)</f>
        <v>A2107</v>
      </c>
      <c r="E634" s="40" t="s">
        <v>11206</v>
      </c>
      <c r="F634" s="41">
        <v>42231</v>
      </c>
      <c r="G634" s="38">
        <v>12</v>
      </c>
      <c r="H634" s="40">
        <v>0</v>
      </c>
      <c r="I634" s="38">
        <v>5.5</v>
      </c>
      <c r="J634" s="41">
        <v>42231</v>
      </c>
      <c r="K634" s="38" t="s">
        <v>10768</v>
      </c>
      <c r="L634" s="42">
        <v>30000000</v>
      </c>
      <c r="O634"/>
    </row>
    <row r="635" spans="1:15" x14ac:dyDescent="0.3">
      <c r="A635" s="37">
        <v>124770</v>
      </c>
      <c r="B635" s="38">
        <v>629</v>
      </c>
      <c r="C635" s="39" t="s">
        <v>4817</v>
      </c>
      <c r="D635" s="10" t="str">
        <f>VLOOKUP(C635,'Data Angt'!$A$5:$B$5809,2,FALSE)</f>
        <v>A2107</v>
      </c>
      <c r="E635" s="40" t="s">
        <v>11204</v>
      </c>
      <c r="F635" s="41">
        <v>44072</v>
      </c>
      <c r="G635" s="38">
        <v>12</v>
      </c>
      <c r="H635" s="40">
        <v>0</v>
      </c>
      <c r="I635" s="38">
        <v>5.5</v>
      </c>
      <c r="J635" s="41">
        <v>44072</v>
      </c>
      <c r="K635" s="38" t="s">
        <v>10768</v>
      </c>
      <c r="L635" s="42">
        <v>40000000</v>
      </c>
      <c r="O635"/>
    </row>
    <row r="636" spans="1:15" x14ac:dyDescent="0.3">
      <c r="A636" s="37">
        <v>134440</v>
      </c>
      <c r="B636" s="38">
        <v>630</v>
      </c>
      <c r="C636" s="39" t="s">
        <v>4817</v>
      </c>
      <c r="D636" s="10" t="str">
        <f>VLOOKUP(C636,'Data Angt'!$A$5:$B$5809,2,FALSE)</f>
        <v>A2107</v>
      </c>
      <c r="E636" s="40" t="s">
        <v>11205</v>
      </c>
      <c r="F636" s="41">
        <v>44810</v>
      </c>
      <c r="G636" s="38">
        <v>12</v>
      </c>
      <c r="H636" s="40">
        <v>0</v>
      </c>
      <c r="I636" s="38">
        <v>5.5</v>
      </c>
      <c r="J636" s="41">
        <v>44810</v>
      </c>
      <c r="K636" s="38" t="s">
        <v>10768</v>
      </c>
      <c r="L636" s="42">
        <v>35000000</v>
      </c>
      <c r="O636"/>
    </row>
    <row r="637" spans="1:15" x14ac:dyDescent="0.3">
      <c r="A637" s="37">
        <v>131076</v>
      </c>
      <c r="B637" s="38">
        <v>631</v>
      </c>
      <c r="C637" s="39" t="s">
        <v>4827</v>
      </c>
      <c r="D637" s="10" t="str">
        <f>VLOOKUP(C637,'Data Angt'!$A$5:$B$5809,2,FALSE)</f>
        <v>A2112</v>
      </c>
      <c r="E637" s="40" t="s">
        <v>11207</v>
      </c>
      <c r="F637" s="41">
        <v>44552</v>
      </c>
      <c r="G637" s="38">
        <v>12</v>
      </c>
      <c r="H637" s="40">
        <v>0</v>
      </c>
      <c r="I637" s="38">
        <v>5.5</v>
      </c>
      <c r="J637" s="41">
        <v>44552</v>
      </c>
      <c r="K637" s="38" t="s">
        <v>10768</v>
      </c>
      <c r="L637" s="42">
        <v>15000000</v>
      </c>
      <c r="O637"/>
    </row>
    <row r="638" spans="1:15" x14ac:dyDescent="0.3">
      <c r="A638" s="37">
        <v>149301</v>
      </c>
      <c r="B638" s="38">
        <v>632</v>
      </c>
      <c r="C638" s="39" t="s">
        <v>4870</v>
      </c>
      <c r="D638" s="10" t="str">
        <f>VLOOKUP(C638,'Data Angt'!$A$5:$B$5809,2,FALSE)</f>
        <v>A2132</v>
      </c>
      <c r="E638" s="40" t="s">
        <v>18539</v>
      </c>
      <c r="F638" s="41">
        <v>45558</v>
      </c>
      <c r="G638" s="38">
        <v>12</v>
      </c>
      <c r="H638" s="40">
        <v>0</v>
      </c>
      <c r="I638" s="38">
        <v>5.5</v>
      </c>
      <c r="J638" s="41">
        <v>45558</v>
      </c>
      <c r="K638" s="38" t="s">
        <v>10768</v>
      </c>
      <c r="L638" s="42">
        <v>5000000</v>
      </c>
      <c r="O638"/>
    </row>
    <row r="639" spans="1:15" x14ac:dyDescent="0.3">
      <c r="A639" s="37">
        <v>79093</v>
      </c>
      <c r="B639" s="38">
        <v>633</v>
      </c>
      <c r="C639" s="39" t="s">
        <v>4872</v>
      </c>
      <c r="D639" s="10" t="str">
        <f>VLOOKUP(C639,'Data Angt'!$A$5:$B$5809,2,FALSE)</f>
        <v>A2133</v>
      </c>
      <c r="E639" s="40" t="s">
        <v>11208</v>
      </c>
      <c r="F639" s="41">
        <v>42485</v>
      </c>
      <c r="G639" s="38">
        <v>12</v>
      </c>
      <c r="H639" s="40">
        <v>0</v>
      </c>
      <c r="I639" s="38">
        <v>5.5</v>
      </c>
      <c r="J639" s="41">
        <v>42485</v>
      </c>
      <c r="K639" s="38" t="s">
        <v>10768</v>
      </c>
      <c r="L639" s="42">
        <v>20000000</v>
      </c>
      <c r="O639"/>
    </row>
    <row r="640" spans="1:15" x14ac:dyDescent="0.3">
      <c r="A640" s="37">
        <v>79218</v>
      </c>
      <c r="B640" s="38">
        <v>634</v>
      </c>
      <c r="C640" s="39" t="s">
        <v>4948</v>
      </c>
      <c r="D640" s="10" t="str">
        <f>VLOOKUP(C640,'Data Angt'!$A$5:$B$5809,2,FALSE)</f>
        <v>A2167</v>
      </c>
      <c r="E640" s="40" t="s">
        <v>11209</v>
      </c>
      <c r="F640" s="41">
        <v>42850</v>
      </c>
      <c r="G640" s="38">
        <v>12</v>
      </c>
      <c r="H640" s="40">
        <v>0</v>
      </c>
      <c r="I640" s="38">
        <v>5.5</v>
      </c>
      <c r="J640" s="41">
        <v>42850</v>
      </c>
      <c r="K640" s="38" t="s">
        <v>10768</v>
      </c>
      <c r="L640" s="42">
        <v>5000000</v>
      </c>
      <c r="O640"/>
    </row>
    <row r="641" spans="1:15" x14ac:dyDescent="0.3">
      <c r="A641" s="37">
        <v>93248</v>
      </c>
      <c r="B641" s="38">
        <v>635</v>
      </c>
      <c r="C641" s="39" t="s">
        <v>4948</v>
      </c>
      <c r="D641" s="10" t="str">
        <f>VLOOKUP(C641,'Data Angt'!$A$5:$B$5809,2,FALSE)</f>
        <v>A2167</v>
      </c>
      <c r="E641" s="40" t="s">
        <v>11210</v>
      </c>
      <c r="F641" s="41">
        <v>43488</v>
      </c>
      <c r="G641" s="38">
        <v>12</v>
      </c>
      <c r="H641" s="40">
        <v>0</v>
      </c>
      <c r="I641" s="38">
        <v>5.5</v>
      </c>
      <c r="J641" s="41">
        <v>43488</v>
      </c>
      <c r="K641" s="38" t="s">
        <v>10768</v>
      </c>
      <c r="L641" s="42">
        <v>5000000</v>
      </c>
      <c r="O641"/>
    </row>
    <row r="642" spans="1:15" x14ac:dyDescent="0.3">
      <c r="A642" s="37">
        <v>158026</v>
      </c>
      <c r="B642" s="38">
        <v>636</v>
      </c>
      <c r="C642" s="39" t="s">
        <v>4948</v>
      </c>
      <c r="D642" s="10" t="str">
        <f>VLOOKUP(C642,'Data Angt'!$A$5:$B$5809,2,FALSE)</f>
        <v>A2167</v>
      </c>
      <c r="E642" s="40" t="s">
        <v>24153</v>
      </c>
      <c r="F642" s="41">
        <v>45890</v>
      </c>
      <c r="G642" s="38">
        <v>12</v>
      </c>
      <c r="H642" s="40">
        <v>0</v>
      </c>
      <c r="I642" s="38">
        <v>5.5</v>
      </c>
      <c r="J642" s="41">
        <v>45890</v>
      </c>
      <c r="K642" s="38" t="s">
        <v>10768</v>
      </c>
      <c r="L642" s="42">
        <v>5000000</v>
      </c>
      <c r="O642"/>
    </row>
    <row r="643" spans="1:15" x14ac:dyDescent="0.3">
      <c r="A643" s="37">
        <v>158028</v>
      </c>
      <c r="B643" s="38">
        <v>637</v>
      </c>
      <c r="C643" s="39" t="s">
        <v>4948</v>
      </c>
      <c r="D643" s="10" t="str">
        <f>VLOOKUP(C643,'Data Angt'!$A$5:$B$5809,2,FALSE)</f>
        <v>A2167</v>
      </c>
      <c r="E643" s="40" t="s">
        <v>24154</v>
      </c>
      <c r="F643" s="41">
        <v>45890</v>
      </c>
      <c r="G643" s="38">
        <v>12</v>
      </c>
      <c r="H643" s="40">
        <v>0</v>
      </c>
      <c r="I643" s="38">
        <v>5.5</v>
      </c>
      <c r="J643" s="41">
        <v>45890</v>
      </c>
      <c r="K643" s="38" t="s">
        <v>10768</v>
      </c>
      <c r="L643" s="42">
        <v>5000000</v>
      </c>
      <c r="O643"/>
    </row>
    <row r="644" spans="1:15" x14ac:dyDescent="0.3">
      <c r="A644" s="37">
        <v>114787</v>
      </c>
      <c r="B644" s="38">
        <v>638</v>
      </c>
      <c r="C644" s="39" t="s">
        <v>12347</v>
      </c>
      <c r="D644" s="10" t="str">
        <f>VLOOKUP(C644,'Data Angt'!$A$5:$B$5809,2,FALSE)</f>
        <v>A2174</v>
      </c>
      <c r="E644" s="40" t="s">
        <v>11212</v>
      </c>
      <c r="F644" s="41">
        <v>43678</v>
      </c>
      <c r="G644" s="38">
        <v>12</v>
      </c>
      <c r="H644" s="40">
        <v>0</v>
      </c>
      <c r="I644" s="38">
        <v>5.5</v>
      </c>
      <c r="J644" s="41">
        <v>43678</v>
      </c>
      <c r="K644" s="38" t="s">
        <v>10768</v>
      </c>
      <c r="L644" s="42">
        <v>10000000</v>
      </c>
      <c r="O644"/>
    </row>
    <row r="645" spans="1:15" x14ac:dyDescent="0.3">
      <c r="A645" s="37">
        <v>148359</v>
      </c>
      <c r="B645" s="38">
        <v>639</v>
      </c>
      <c r="C645" s="39" t="s">
        <v>12347</v>
      </c>
      <c r="D645" s="10" t="str">
        <f>VLOOKUP(C645,'Data Angt'!$A$5:$B$5809,2,FALSE)</f>
        <v>A2174</v>
      </c>
      <c r="E645" s="40" t="s">
        <v>18540</v>
      </c>
      <c r="F645" s="41">
        <v>45526</v>
      </c>
      <c r="G645" s="38">
        <v>12</v>
      </c>
      <c r="H645" s="40">
        <v>0</v>
      </c>
      <c r="I645" s="38">
        <v>5.5</v>
      </c>
      <c r="J645" s="41">
        <v>45526</v>
      </c>
      <c r="K645" s="38" t="s">
        <v>10768</v>
      </c>
      <c r="L645" s="42">
        <v>50000000</v>
      </c>
      <c r="O645"/>
    </row>
    <row r="646" spans="1:15" x14ac:dyDescent="0.3">
      <c r="A646" s="37">
        <v>114785</v>
      </c>
      <c r="B646" s="38">
        <v>640</v>
      </c>
      <c r="C646" s="39" t="s">
        <v>12347</v>
      </c>
      <c r="D646" s="10" t="str">
        <f>VLOOKUP(C646,'Data Angt'!$A$5:$B$5809,2,FALSE)</f>
        <v>A2174</v>
      </c>
      <c r="E646" s="40" t="s">
        <v>11211</v>
      </c>
      <c r="F646" s="41">
        <v>43678</v>
      </c>
      <c r="G646" s="38">
        <v>12</v>
      </c>
      <c r="H646" s="40">
        <v>0</v>
      </c>
      <c r="I646" s="38">
        <v>5.5</v>
      </c>
      <c r="J646" s="41">
        <v>43678</v>
      </c>
      <c r="K646" s="38" t="s">
        <v>10768</v>
      </c>
      <c r="L646" s="42">
        <v>10000000</v>
      </c>
      <c r="O646"/>
    </row>
    <row r="647" spans="1:15" x14ac:dyDescent="0.3">
      <c r="A647" s="37">
        <v>148361</v>
      </c>
      <c r="B647" s="38">
        <v>641</v>
      </c>
      <c r="C647" s="39" t="s">
        <v>12348</v>
      </c>
      <c r="D647" s="10" t="str">
        <f>VLOOKUP(C647,'Data Angt'!$A$5:$B$5809,2,FALSE)</f>
        <v>A2175</v>
      </c>
      <c r="E647" s="40" t="s">
        <v>18541</v>
      </c>
      <c r="F647" s="41">
        <v>45526</v>
      </c>
      <c r="G647" s="38">
        <v>12</v>
      </c>
      <c r="H647" s="40">
        <v>0</v>
      </c>
      <c r="I647" s="38">
        <v>5.5</v>
      </c>
      <c r="J647" s="41">
        <v>45526</v>
      </c>
      <c r="K647" s="38" t="s">
        <v>10768</v>
      </c>
      <c r="L647" s="42">
        <v>50000000</v>
      </c>
      <c r="O647"/>
    </row>
    <row r="648" spans="1:15" x14ac:dyDescent="0.3">
      <c r="A648" s="37">
        <v>79389</v>
      </c>
      <c r="B648" s="38">
        <v>642</v>
      </c>
      <c r="C648" s="39" t="s">
        <v>12349</v>
      </c>
      <c r="D648" s="10" t="str">
        <f>VLOOKUP(C648,'Data Angt'!$A$5:$B$5809,2,FALSE)</f>
        <v>A2177</v>
      </c>
      <c r="E648" s="40" t="s">
        <v>11213</v>
      </c>
      <c r="F648" s="41">
        <v>43125</v>
      </c>
      <c r="G648" s="38">
        <v>12</v>
      </c>
      <c r="H648" s="40">
        <v>0</v>
      </c>
      <c r="I648" s="38">
        <v>5.5</v>
      </c>
      <c r="J648" s="41">
        <v>43125</v>
      </c>
      <c r="K648" s="38" t="s">
        <v>10768</v>
      </c>
      <c r="L648" s="42">
        <v>14000000</v>
      </c>
      <c r="O648"/>
    </row>
    <row r="649" spans="1:15" x14ac:dyDescent="0.3">
      <c r="A649" s="37">
        <v>119743</v>
      </c>
      <c r="B649" s="38">
        <v>643</v>
      </c>
      <c r="C649" s="39" t="s">
        <v>5030</v>
      </c>
      <c r="D649" s="10" t="str">
        <f>VLOOKUP(C649,'Data Angt'!$A$5:$B$5809,2,FALSE)</f>
        <v>A2205</v>
      </c>
      <c r="E649" s="40" t="s">
        <v>11214</v>
      </c>
      <c r="F649" s="41">
        <v>43846</v>
      </c>
      <c r="G649" s="38">
        <v>12</v>
      </c>
      <c r="H649" s="40">
        <v>0</v>
      </c>
      <c r="I649" s="38">
        <v>5.5</v>
      </c>
      <c r="J649" s="41">
        <v>44942</v>
      </c>
      <c r="K649" s="38" t="s">
        <v>10768</v>
      </c>
      <c r="L649" s="42">
        <v>23000000</v>
      </c>
      <c r="O649"/>
    </row>
    <row r="650" spans="1:15" x14ac:dyDescent="0.3">
      <c r="A650" s="37">
        <v>123447</v>
      </c>
      <c r="B650" s="38">
        <v>644</v>
      </c>
      <c r="C650" s="39" t="s">
        <v>5152</v>
      </c>
      <c r="D650" s="10" t="str">
        <f>VLOOKUP(C650,'Data Angt'!$A$5:$B$5809,2,FALSE)</f>
        <v>A2266</v>
      </c>
      <c r="E650" s="40" t="s">
        <v>11220</v>
      </c>
      <c r="F650" s="41">
        <v>43978</v>
      </c>
      <c r="G650" s="38">
        <v>12</v>
      </c>
      <c r="H650" s="40">
        <v>0</v>
      </c>
      <c r="I650" s="38">
        <v>5.5</v>
      </c>
      <c r="J650" s="41">
        <v>43978</v>
      </c>
      <c r="K650" s="38" t="s">
        <v>10768</v>
      </c>
      <c r="L650" s="42">
        <v>20000000</v>
      </c>
      <c r="O650"/>
    </row>
    <row r="651" spans="1:15" x14ac:dyDescent="0.3">
      <c r="A651" s="37">
        <v>137655</v>
      </c>
      <c r="B651" s="38">
        <v>645</v>
      </c>
      <c r="C651" s="39" t="s">
        <v>5152</v>
      </c>
      <c r="D651" s="10" t="str">
        <f>VLOOKUP(C651,'Data Angt'!$A$5:$B$5809,2,FALSE)</f>
        <v>A2266</v>
      </c>
      <c r="E651" s="40" t="s">
        <v>11221</v>
      </c>
      <c r="F651" s="41">
        <v>45082</v>
      </c>
      <c r="G651" s="38">
        <v>12</v>
      </c>
      <c r="H651" s="40">
        <v>0</v>
      </c>
      <c r="I651" s="38">
        <v>5.5</v>
      </c>
      <c r="J651" s="41">
        <v>45082</v>
      </c>
      <c r="K651" s="38" t="s">
        <v>10768</v>
      </c>
      <c r="L651" s="42">
        <v>10000000</v>
      </c>
      <c r="O651"/>
    </row>
    <row r="652" spans="1:15" x14ac:dyDescent="0.3">
      <c r="A652" s="37">
        <v>138019</v>
      </c>
      <c r="B652" s="38">
        <v>646</v>
      </c>
      <c r="C652" s="39" t="s">
        <v>5152</v>
      </c>
      <c r="D652" s="10" t="str">
        <f>VLOOKUP(C652,'Data Angt'!$A$5:$B$5809,2,FALSE)</f>
        <v>A2266</v>
      </c>
      <c r="E652" s="40" t="s">
        <v>11222</v>
      </c>
      <c r="F652" s="41">
        <v>45112</v>
      </c>
      <c r="G652" s="38">
        <v>12</v>
      </c>
      <c r="H652" s="40">
        <v>0</v>
      </c>
      <c r="I652" s="38">
        <v>5.5</v>
      </c>
      <c r="J652" s="41">
        <v>45112</v>
      </c>
      <c r="K652" s="38" t="s">
        <v>10768</v>
      </c>
      <c r="L652" s="42">
        <v>15000000</v>
      </c>
      <c r="O652"/>
    </row>
    <row r="653" spans="1:15" x14ac:dyDescent="0.3">
      <c r="A653" s="37">
        <v>150305</v>
      </c>
      <c r="B653" s="38">
        <v>647</v>
      </c>
      <c r="C653" s="39" t="s">
        <v>5152</v>
      </c>
      <c r="D653" s="10" t="str">
        <f>VLOOKUP(C653,'Data Angt'!$A$5:$B$5809,2,FALSE)</f>
        <v>A2266</v>
      </c>
      <c r="E653" s="40" t="s">
        <v>18542</v>
      </c>
      <c r="F653" s="41">
        <v>45602</v>
      </c>
      <c r="G653" s="38">
        <v>12</v>
      </c>
      <c r="H653" s="40">
        <v>0</v>
      </c>
      <c r="I653" s="38">
        <v>5.5</v>
      </c>
      <c r="J653" s="41">
        <v>45602</v>
      </c>
      <c r="K653" s="38" t="s">
        <v>10768</v>
      </c>
      <c r="L653" s="42">
        <v>30000000</v>
      </c>
      <c r="O653"/>
    </row>
    <row r="654" spans="1:15" x14ac:dyDescent="0.3">
      <c r="A654" s="37">
        <v>153349</v>
      </c>
      <c r="B654" s="38">
        <v>648</v>
      </c>
      <c r="C654" s="39" t="s">
        <v>5152</v>
      </c>
      <c r="D654" s="10" t="str">
        <f>VLOOKUP(C654,'Data Angt'!$A$5:$B$5809,2,FALSE)</f>
        <v>A2266</v>
      </c>
      <c r="E654" s="40" t="s">
        <v>18543</v>
      </c>
      <c r="F654" s="41">
        <v>45703</v>
      </c>
      <c r="G654" s="38">
        <v>12</v>
      </c>
      <c r="H654" s="40">
        <v>0</v>
      </c>
      <c r="I654" s="38">
        <v>5.5</v>
      </c>
      <c r="J654" s="41">
        <v>45703</v>
      </c>
      <c r="K654" s="38" t="s">
        <v>10768</v>
      </c>
      <c r="L654" s="42">
        <v>20000000</v>
      </c>
      <c r="O654"/>
    </row>
    <row r="655" spans="1:15" x14ac:dyDescent="0.3">
      <c r="A655" s="37">
        <v>154126</v>
      </c>
      <c r="B655" s="38">
        <v>649</v>
      </c>
      <c r="C655" s="39" t="s">
        <v>5152</v>
      </c>
      <c r="D655" s="10" t="str">
        <f>VLOOKUP(C655,'Data Angt'!$A$5:$B$5809,2,FALSE)</f>
        <v>A2266</v>
      </c>
      <c r="E655" s="40" t="s">
        <v>18544</v>
      </c>
      <c r="F655" s="41">
        <v>45719</v>
      </c>
      <c r="G655" s="38">
        <v>12</v>
      </c>
      <c r="H655" s="40">
        <v>0</v>
      </c>
      <c r="I655" s="38">
        <v>5.5</v>
      </c>
      <c r="J655" s="41">
        <v>45719</v>
      </c>
      <c r="K655" s="38" t="s">
        <v>10768</v>
      </c>
      <c r="L655" s="42">
        <v>10000000</v>
      </c>
      <c r="O655"/>
    </row>
    <row r="656" spans="1:15" x14ac:dyDescent="0.3">
      <c r="A656" s="37">
        <v>129592</v>
      </c>
      <c r="B656" s="38">
        <v>650</v>
      </c>
      <c r="C656" s="39" t="s">
        <v>5152</v>
      </c>
      <c r="D656" s="10" t="str">
        <f>VLOOKUP(C656,'Data Angt'!$A$5:$B$5809,2,FALSE)</f>
        <v>A2266</v>
      </c>
      <c r="E656" s="40" t="s">
        <v>11218</v>
      </c>
      <c r="F656" s="41">
        <v>44432</v>
      </c>
      <c r="G656" s="38">
        <v>12</v>
      </c>
      <c r="H656" s="40">
        <v>0</v>
      </c>
      <c r="I656" s="38">
        <v>5.5</v>
      </c>
      <c r="J656" s="41">
        <v>44432</v>
      </c>
      <c r="K656" s="38" t="s">
        <v>10768</v>
      </c>
      <c r="L656" s="42">
        <v>45000000</v>
      </c>
      <c r="O656"/>
    </row>
    <row r="657" spans="1:15" x14ac:dyDescent="0.3">
      <c r="A657" s="37">
        <v>135510</v>
      </c>
      <c r="B657" s="38">
        <v>651</v>
      </c>
      <c r="C657" s="39" t="s">
        <v>5152</v>
      </c>
      <c r="D657" s="10" t="str">
        <f>VLOOKUP(C657,'Data Angt'!$A$5:$B$5809,2,FALSE)</f>
        <v>A2266</v>
      </c>
      <c r="E657" s="40" t="s">
        <v>11219</v>
      </c>
      <c r="F657" s="41">
        <v>44897</v>
      </c>
      <c r="G657" s="38">
        <v>12</v>
      </c>
      <c r="H657" s="40">
        <v>0</v>
      </c>
      <c r="I657" s="38">
        <v>5.5</v>
      </c>
      <c r="J657" s="41">
        <v>44897</v>
      </c>
      <c r="K657" s="38" t="s">
        <v>10768</v>
      </c>
      <c r="L657" s="42">
        <v>20000000</v>
      </c>
      <c r="O657"/>
    </row>
    <row r="658" spans="1:15" x14ac:dyDescent="0.3">
      <c r="A658" s="37">
        <v>118751</v>
      </c>
      <c r="B658" s="38">
        <v>652</v>
      </c>
      <c r="C658" s="39" t="s">
        <v>5163</v>
      </c>
      <c r="D658" s="10" t="str">
        <f>VLOOKUP(C658,'Data Angt'!$A$5:$B$5809,2,FALSE)</f>
        <v>A2271</v>
      </c>
      <c r="E658" s="40" t="s">
        <v>11223</v>
      </c>
      <c r="F658" s="41">
        <v>43799</v>
      </c>
      <c r="G658" s="38">
        <v>12</v>
      </c>
      <c r="H658" s="40">
        <v>0</v>
      </c>
      <c r="I658" s="38">
        <v>5.5</v>
      </c>
      <c r="J658" s="41">
        <v>43799</v>
      </c>
      <c r="K658" s="38" t="s">
        <v>10768</v>
      </c>
      <c r="L658" s="42">
        <v>10000000</v>
      </c>
      <c r="O658"/>
    </row>
    <row r="659" spans="1:15" x14ac:dyDescent="0.3">
      <c r="A659" s="37">
        <v>158595</v>
      </c>
      <c r="B659" s="38">
        <v>653</v>
      </c>
      <c r="C659" s="39" t="s">
        <v>5246</v>
      </c>
      <c r="D659" s="10" t="str">
        <f>VLOOKUP(C659,'Data Angt'!$A$5:$B$5809,2,FALSE)</f>
        <v>A2308</v>
      </c>
      <c r="E659" s="40" t="s">
        <v>24155</v>
      </c>
      <c r="F659" s="41">
        <v>45915</v>
      </c>
      <c r="G659" s="38">
        <v>12</v>
      </c>
      <c r="H659" s="40">
        <v>0</v>
      </c>
      <c r="I659" s="38">
        <v>5.5</v>
      </c>
      <c r="J659" s="41">
        <v>45915</v>
      </c>
      <c r="K659" s="38" t="s">
        <v>10768</v>
      </c>
      <c r="L659" s="42">
        <v>20500000</v>
      </c>
      <c r="O659"/>
    </row>
    <row r="660" spans="1:15" x14ac:dyDescent="0.3">
      <c r="A660" s="37">
        <v>130034</v>
      </c>
      <c r="B660" s="38">
        <v>654</v>
      </c>
      <c r="C660" s="39" t="s">
        <v>5289</v>
      </c>
      <c r="D660" s="10" t="str">
        <f>VLOOKUP(C660,'Data Angt'!$A$5:$B$5809,2,FALSE)</f>
        <v>A2329</v>
      </c>
      <c r="E660" s="40" t="s">
        <v>11224</v>
      </c>
      <c r="F660" s="41">
        <v>44463</v>
      </c>
      <c r="G660" s="38">
        <v>12</v>
      </c>
      <c r="H660" s="40">
        <v>0</v>
      </c>
      <c r="I660" s="38">
        <v>5.5</v>
      </c>
      <c r="J660" s="41">
        <v>44463</v>
      </c>
      <c r="K660" s="38" t="s">
        <v>10768</v>
      </c>
      <c r="L660" s="42">
        <v>10000000</v>
      </c>
      <c r="O660"/>
    </row>
    <row r="661" spans="1:15" x14ac:dyDescent="0.3">
      <c r="A661" s="37">
        <v>137023</v>
      </c>
      <c r="B661" s="38">
        <v>655</v>
      </c>
      <c r="C661" s="39" t="s">
        <v>5330</v>
      </c>
      <c r="D661" s="10" t="str">
        <f>VLOOKUP(C661,'Data Angt'!$A$5:$B$5809,2,FALSE)</f>
        <v>A2347</v>
      </c>
      <c r="E661" s="40" t="s">
        <v>11225</v>
      </c>
      <c r="F661" s="41">
        <v>45019</v>
      </c>
      <c r="G661" s="38">
        <v>12</v>
      </c>
      <c r="H661" s="40">
        <v>0</v>
      </c>
      <c r="I661" s="38">
        <v>5.5</v>
      </c>
      <c r="J661" s="41">
        <v>45019</v>
      </c>
      <c r="K661" s="38" t="s">
        <v>10768</v>
      </c>
      <c r="L661" s="42">
        <v>18000000</v>
      </c>
      <c r="O661"/>
    </row>
    <row r="662" spans="1:15" x14ac:dyDescent="0.3">
      <c r="A662" s="37">
        <v>137025</v>
      </c>
      <c r="B662" s="38">
        <v>656</v>
      </c>
      <c r="C662" s="39" t="s">
        <v>5330</v>
      </c>
      <c r="D662" s="10" t="str">
        <f>VLOOKUP(C662,'Data Angt'!$A$5:$B$5809,2,FALSE)</f>
        <v>A2347</v>
      </c>
      <c r="E662" s="40" t="s">
        <v>11226</v>
      </c>
      <c r="F662" s="41">
        <v>45019</v>
      </c>
      <c r="G662" s="38">
        <v>12</v>
      </c>
      <c r="H662" s="40">
        <v>0</v>
      </c>
      <c r="I662" s="38">
        <v>5.5</v>
      </c>
      <c r="J662" s="41">
        <v>45019</v>
      </c>
      <c r="K662" s="38" t="s">
        <v>10768</v>
      </c>
      <c r="L662" s="42">
        <v>18000000</v>
      </c>
      <c r="O662"/>
    </row>
    <row r="663" spans="1:15" x14ac:dyDescent="0.3">
      <c r="A663" s="37">
        <v>79557</v>
      </c>
      <c r="B663" s="38">
        <v>657</v>
      </c>
      <c r="C663" s="39" t="s">
        <v>5392</v>
      </c>
      <c r="D663" s="10" t="str">
        <f>VLOOKUP(C663,'Data Angt'!$A$5:$B$5809,2,FALSE)</f>
        <v>A2378</v>
      </c>
      <c r="E663" s="40" t="s">
        <v>11227</v>
      </c>
      <c r="F663" s="41">
        <v>43049</v>
      </c>
      <c r="G663" s="38">
        <v>12</v>
      </c>
      <c r="H663" s="40">
        <v>0</v>
      </c>
      <c r="I663" s="38">
        <v>0</v>
      </c>
      <c r="J663" s="41">
        <v>43019</v>
      </c>
      <c r="K663" s="38" t="s">
        <v>10768</v>
      </c>
      <c r="L663" s="42">
        <v>10000000</v>
      </c>
      <c r="O663"/>
    </row>
    <row r="664" spans="1:15" x14ac:dyDescent="0.3">
      <c r="A664" s="37">
        <v>133674</v>
      </c>
      <c r="B664" s="38">
        <v>658</v>
      </c>
      <c r="C664" s="39" t="s">
        <v>5393</v>
      </c>
      <c r="D664" s="10" t="str">
        <f>VLOOKUP(C664,'Data Angt'!$A$5:$B$5809,2,FALSE)</f>
        <v>A2379</v>
      </c>
      <c r="E664" s="40" t="s">
        <v>11231</v>
      </c>
      <c r="F664" s="41">
        <v>43083</v>
      </c>
      <c r="G664" s="38">
        <v>12</v>
      </c>
      <c r="H664" s="40">
        <v>0</v>
      </c>
      <c r="I664" s="38">
        <v>5.5</v>
      </c>
      <c r="J664" s="41">
        <v>44575</v>
      </c>
      <c r="K664" s="38" t="s">
        <v>10768</v>
      </c>
      <c r="L664" s="42">
        <v>24000000</v>
      </c>
      <c r="O664"/>
    </row>
    <row r="665" spans="1:15" x14ac:dyDescent="0.3">
      <c r="A665" s="37">
        <v>135799</v>
      </c>
      <c r="B665" s="38">
        <v>659</v>
      </c>
      <c r="C665" s="39" t="s">
        <v>5393</v>
      </c>
      <c r="D665" s="10" t="str">
        <f>VLOOKUP(C665,'Data Angt'!$A$5:$B$5809,2,FALSE)</f>
        <v>A2379</v>
      </c>
      <c r="E665" s="40" t="s">
        <v>11232</v>
      </c>
      <c r="F665" s="41">
        <v>44918</v>
      </c>
      <c r="G665" s="38">
        <v>12</v>
      </c>
      <c r="H665" s="40">
        <v>0</v>
      </c>
      <c r="I665" s="38">
        <v>5.5</v>
      </c>
      <c r="J665" s="41">
        <v>44918</v>
      </c>
      <c r="K665" s="38" t="s">
        <v>10768</v>
      </c>
      <c r="L665" s="42">
        <v>25000000</v>
      </c>
      <c r="O665"/>
    </row>
    <row r="666" spans="1:15" x14ac:dyDescent="0.3">
      <c r="A666" s="37">
        <v>135800</v>
      </c>
      <c r="B666" s="38">
        <v>660</v>
      </c>
      <c r="C666" s="39" t="s">
        <v>5393</v>
      </c>
      <c r="D666" s="10" t="str">
        <f>VLOOKUP(C666,'Data Angt'!$A$5:$B$5809,2,FALSE)</f>
        <v>A2379</v>
      </c>
      <c r="E666" s="40" t="s">
        <v>11233</v>
      </c>
      <c r="F666" s="41">
        <v>44918</v>
      </c>
      <c r="G666" s="38">
        <v>12</v>
      </c>
      <c r="H666" s="40">
        <v>0</v>
      </c>
      <c r="I666" s="38">
        <v>5.5</v>
      </c>
      <c r="J666" s="41">
        <v>44918</v>
      </c>
      <c r="K666" s="38" t="s">
        <v>10768</v>
      </c>
      <c r="L666" s="42">
        <v>25000000</v>
      </c>
      <c r="O666"/>
    </row>
    <row r="667" spans="1:15" x14ac:dyDescent="0.3">
      <c r="A667" s="37">
        <v>79659</v>
      </c>
      <c r="B667" s="38">
        <v>661</v>
      </c>
      <c r="C667" s="39" t="s">
        <v>5393</v>
      </c>
      <c r="D667" s="10" t="str">
        <f>VLOOKUP(C667,'Data Angt'!$A$5:$B$5809,2,FALSE)</f>
        <v>A2379</v>
      </c>
      <c r="E667" s="40" t="s">
        <v>11234</v>
      </c>
      <c r="F667" s="41">
        <v>43083</v>
      </c>
      <c r="G667" s="38">
        <v>12</v>
      </c>
      <c r="H667" s="40">
        <v>0</v>
      </c>
      <c r="I667" s="38">
        <v>5.5</v>
      </c>
      <c r="J667" s="41">
        <v>44575</v>
      </c>
      <c r="K667" s="38" t="s">
        <v>10768</v>
      </c>
      <c r="L667" s="42">
        <v>24000000</v>
      </c>
      <c r="O667"/>
    </row>
    <row r="668" spans="1:15" x14ac:dyDescent="0.3">
      <c r="A668" s="37">
        <v>79660</v>
      </c>
      <c r="B668" s="38">
        <v>662</v>
      </c>
      <c r="C668" s="39" t="s">
        <v>5393</v>
      </c>
      <c r="D668" s="10" t="str">
        <f>VLOOKUP(C668,'Data Angt'!$A$5:$B$5809,2,FALSE)</f>
        <v>A2379</v>
      </c>
      <c r="E668" s="40" t="s">
        <v>11228</v>
      </c>
      <c r="F668" s="41">
        <v>43083</v>
      </c>
      <c r="G668" s="38">
        <v>12</v>
      </c>
      <c r="H668" s="40">
        <v>0</v>
      </c>
      <c r="I668" s="38">
        <v>5.5</v>
      </c>
      <c r="J668" s="41">
        <v>44575</v>
      </c>
      <c r="K668" s="38" t="s">
        <v>10768</v>
      </c>
      <c r="L668" s="42">
        <v>24000000</v>
      </c>
      <c r="O668"/>
    </row>
    <row r="669" spans="1:15" x14ac:dyDescent="0.3">
      <c r="A669" s="37">
        <v>79661</v>
      </c>
      <c r="B669" s="38">
        <v>663</v>
      </c>
      <c r="C669" s="39" t="s">
        <v>5393</v>
      </c>
      <c r="D669" s="10" t="str">
        <f>VLOOKUP(C669,'Data Angt'!$A$5:$B$5809,2,FALSE)</f>
        <v>A2379</v>
      </c>
      <c r="E669" s="40" t="s">
        <v>11229</v>
      </c>
      <c r="F669" s="41">
        <v>43083</v>
      </c>
      <c r="G669" s="38">
        <v>12</v>
      </c>
      <c r="H669" s="40">
        <v>0</v>
      </c>
      <c r="I669" s="38">
        <v>5.5</v>
      </c>
      <c r="J669" s="41">
        <v>44575</v>
      </c>
      <c r="K669" s="38" t="s">
        <v>10768</v>
      </c>
      <c r="L669" s="42">
        <v>24000000</v>
      </c>
      <c r="O669"/>
    </row>
    <row r="670" spans="1:15" x14ac:dyDescent="0.3">
      <c r="A670" s="37">
        <v>119102</v>
      </c>
      <c r="B670" s="38">
        <v>664</v>
      </c>
      <c r="C670" s="39" t="s">
        <v>5393</v>
      </c>
      <c r="D670" s="10" t="str">
        <f>VLOOKUP(C670,'Data Angt'!$A$5:$B$5809,2,FALSE)</f>
        <v>A2379</v>
      </c>
      <c r="E670" s="40" t="s">
        <v>11230</v>
      </c>
      <c r="F670" s="41">
        <v>43813</v>
      </c>
      <c r="G670" s="38">
        <v>12</v>
      </c>
      <c r="H670" s="40">
        <v>0</v>
      </c>
      <c r="I670" s="38">
        <v>5.5</v>
      </c>
      <c r="J670" s="41">
        <v>44575</v>
      </c>
      <c r="K670" s="38" t="s">
        <v>10768</v>
      </c>
      <c r="L670" s="42">
        <v>25000000</v>
      </c>
      <c r="O670"/>
    </row>
    <row r="671" spans="1:15" x14ac:dyDescent="0.3">
      <c r="A671" s="37">
        <v>154583</v>
      </c>
      <c r="B671" s="38">
        <v>665</v>
      </c>
      <c r="C671" s="39" t="s">
        <v>5461</v>
      </c>
      <c r="D671" s="10" t="str">
        <f>VLOOKUP(C671,'Data Angt'!$A$5:$B$5809,2,FALSE)</f>
        <v>A2411</v>
      </c>
      <c r="E671" s="40" t="s">
        <v>18545</v>
      </c>
      <c r="F671" s="41">
        <v>45730</v>
      </c>
      <c r="G671" s="38">
        <v>12</v>
      </c>
      <c r="H671" s="40">
        <v>0</v>
      </c>
      <c r="I671" s="38">
        <v>5.99</v>
      </c>
      <c r="J671" s="41">
        <v>45730</v>
      </c>
      <c r="K671" s="38" t="s">
        <v>10768</v>
      </c>
      <c r="L671" s="42">
        <v>100000000</v>
      </c>
      <c r="O671"/>
    </row>
    <row r="672" spans="1:15" x14ac:dyDescent="0.3">
      <c r="A672" s="37">
        <v>155207</v>
      </c>
      <c r="B672" s="38">
        <v>666</v>
      </c>
      <c r="C672" s="39" t="s">
        <v>5466</v>
      </c>
      <c r="D672" s="10" t="str">
        <f>VLOOKUP(C672,'Data Angt'!$A$5:$B$5809,2,FALSE)</f>
        <v>A2413</v>
      </c>
      <c r="E672" s="40" t="s">
        <v>18546</v>
      </c>
      <c r="F672" s="41">
        <v>45771</v>
      </c>
      <c r="G672" s="38">
        <v>12</v>
      </c>
      <c r="H672" s="40">
        <v>0</v>
      </c>
      <c r="I672" s="38">
        <v>5.5</v>
      </c>
      <c r="J672" s="41">
        <v>45771</v>
      </c>
      <c r="K672" s="38" t="s">
        <v>10768</v>
      </c>
      <c r="L672" s="42">
        <v>20000000</v>
      </c>
      <c r="O672"/>
    </row>
    <row r="673" spans="1:15" x14ac:dyDescent="0.3">
      <c r="A673" s="37">
        <v>145553</v>
      </c>
      <c r="B673" s="38">
        <v>667</v>
      </c>
      <c r="C673" s="39" t="s">
        <v>5554</v>
      </c>
      <c r="D673" s="10" t="str">
        <f>VLOOKUP(C673,'Data Angt'!$A$5:$B$5809,2,FALSE)</f>
        <v>A2451</v>
      </c>
      <c r="E673" s="40" t="s">
        <v>18547</v>
      </c>
      <c r="F673" s="41">
        <v>45439</v>
      </c>
      <c r="G673" s="38">
        <v>12</v>
      </c>
      <c r="H673" s="40">
        <v>0</v>
      </c>
      <c r="I673" s="38">
        <v>5.5</v>
      </c>
      <c r="J673" s="41">
        <v>45439</v>
      </c>
      <c r="K673" s="38" t="s">
        <v>10768</v>
      </c>
      <c r="L673" s="42">
        <v>10000000</v>
      </c>
      <c r="O673"/>
    </row>
    <row r="674" spans="1:15" x14ac:dyDescent="0.3">
      <c r="A674" s="37">
        <v>145840</v>
      </c>
      <c r="B674" s="38">
        <v>668</v>
      </c>
      <c r="C674" s="39" t="s">
        <v>5554</v>
      </c>
      <c r="D674" s="10" t="str">
        <f>VLOOKUP(C674,'Data Angt'!$A$5:$B$5809,2,FALSE)</f>
        <v>A2451</v>
      </c>
      <c r="E674" s="40" t="s">
        <v>18548</v>
      </c>
      <c r="F674" s="41">
        <v>45448</v>
      </c>
      <c r="G674" s="38">
        <v>12</v>
      </c>
      <c r="H674" s="40">
        <v>0</v>
      </c>
      <c r="I674" s="38">
        <v>5.5</v>
      </c>
      <c r="J674" s="41">
        <v>45448</v>
      </c>
      <c r="K674" s="38" t="s">
        <v>10768</v>
      </c>
      <c r="L674" s="42">
        <v>5000000</v>
      </c>
      <c r="O674"/>
    </row>
    <row r="675" spans="1:15" x14ac:dyDescent="0.3">
      <c r="A675" s="37">
        <v>132072</v>
      </c>
      <c r="B675" s="38">
        <v>669</v>
      </c>
      <c r="C675" s="39" t="s">
        <v>5597</v>
      </c>
      <c r="D675" s="10" t="str">
        <f>VLOOKUP(C675,'Data Angt'!$A$5:$B$5809,2,FALSE)</f>
        <v>A2472</v>
      </c>
      <c r="E675" s="40" t="s">
        <v>11235</v>
      </c>
      <c r="F675" s="41">
        <v>44632</v>
      </c>
      <c r="G675" s="38">
        <v>12</v>
      </c>
      <c r="H675" s="40">
        <v>0</v>
      </c>
      <c r="I675" s="38">
        <v>5.5</v>
      </c>
      <c r="J675" s="41">
        <v>44632</v>
      </c>
      <c r="K675" s="38" t="s">
        <v>10768</v>
      </c>
      <c r="L675" s="42">
        <v>20000000</v>
      </c>
      <c r="O675"/>
    </row>
    <row r="676" spans="1:15" x14ac:dyDescent="0.3">
      <c r="A676" s="37">
        <v>133354</v>
      </c>
      <c r="B676" s="38">
        <v>670</v>
      </c>
      <c r="C676" s="39" t="s">
        <v>5597</v>
      </c>
      <c r="D676" s="10" t="str">
        <f>VLOOKUP(C676,'Data Angt'!$A$5:$B$5809,2,FALSE)</f>
        <v>A2472</v>
      </c>
      <c r="E676" s="40" t="s">
        <v>11236</v>
      </c>
      <c r="F676" s="41">
        <v>44734</v>
      </c>
      <c r="G676" s="38">
        <v>12</v>
      </c>
      <c r="H676" s="40">
        <v>0</v>
      </c>
      <c r="I676" s="38">
        <v>5.5</v>
      </c>
      <c r="J676" s="41">
        <v>44734</v>
      </c>
      <c r="K676" s="38" t="s">
        <v>10768</v>
      </c>
      <c r="L676" s="42">
        <v>10000000</v>
      </c>
      <c r="O676"/>
    </row>
    <row r="677" spans="1:15" x14ac:dyDescent="0.3">
      <c r="A677" s="37">
        <v>81359</v>
      </c>
      <c r="B677" s="38">
        <v>671</v>
      </c>
      <c r="C677" s="39" t="s">
        <v>5621</v>
      </c>
      <c r="D677" s="10" t="str">
        <f>VLOOKUP(C677,'Data Angt'!$A$5:$B$5809,2,FALSE)</f>
        <v>A2483</v>
      </c>
      <c r="E677" s="40" t="s">
        <v>11237</v>
      </c>
      <c r="F677" s="41">
        <v>43186</v>
      </c>
      <c r="G677" s="38">
        <v>12</v>
      </c>
      <c r="H677" s="40">
        <v>0</v>
      </c>
      <c r="I677" s="38">
        <v>5.5</v>
      </c>
      <c r="J677" s="41">
        <v>43186</v>
      </c>
      <c r="K677" s="38" t="s">
        <v>10768</v>
      </c>
      <c r="L677" s="42">
        <v>5000000</v>
      </c>
      <c r="O677"/>
    </row>
    <row r="678" spans="1:15" x14ac:dyDescent="0.3">
      <c r="A678" s="37">
        <v>158585</v>
      </c>
      <c r="B678" s="38">
        <v>672</v>
      </c>
      <c r="C678" s="39" t="s">
        <v>5621</v>
      </c>
      <c r="D678" s="10" t="str">
        <f>VLOOKUP(C678,'Data Angt'!$A$5:$B$5809,2,FALSE)</f>
        <v>A2483</v>
      </c>
      <c r="E678" s="40" t="s">
        <v>24156</v>
      </c>
      <c r="F678" s="41">
        <v>45915</v>
      </c>
      <c r="G678" s="38">
        <v>12</v>
      </c>
      <c r="H678" s="40">
        <v>0</v>
      </c>
      <c r="I678" s="38">
        <v>5.5</v>
      </c>
      <c r="J678" s="41">
        <v>45915</v>
      </c>
      <c r="K678" s="38" t="s">
        <v>10768</v>
      </c>
      <c r="L678" s="42">
        <v>23000000</v>
      </c>
      <c r="O678"/>
    </row>
    <row r="679" spans="1:15" x14ac:dyDescent="0.3">
      <c r="A679" s="37">
        <v>127974</v>
      </c>
      <c r="B679" s="38">
        <v>673</v>
      </c>
      <c r="C679" s="39" t="s">
        <v>5648</v>
      </c>
      <c r="D679" s="10" t="str">
        <f>VLOOKUP(C679,'Data Angt'!$A$5:$B$5809,2,FALSE)</f>
        <v>A2493</v>
      </c>
      <c r="E679" s="40" t="s">
        <v>11238</v>
      </c>
      <c r="F679" s="41">
        <v>44309</v>
      </c>
      <c r="G679" s="38">
        <v>12</v>
      </c>
      <c r="H679" s="40">
        <v>0</v>
      </c>
      <c r="I679" s="38">
        <v>5.5</v>
      </c>
      <c r="J679" s="41">
        <v>44309</v>
      </c>
      <c r="K679" s="38" t="s">
        <v>10768</v>
      </c>
      <c r="L679" s="42">
        <v>100000000</v>
      </c>
      <c r="O679"/>
    </row>
    <row r="680" spans="1:15" x14ac:dyDescent="0.3">
      <c r="A680" s="37">
        <v>155314</v>
      </c>
      <c r="B680" s="38">
        <v>674</v>
      </c>
      <c r="C680" s="39" t="s">
        <v>5648</v>
      </c>
      <c r="D680" s="10" t="str">
        <f>VLOOKUP(C680,'Data Angt'!$A$5:$B$5809,2,FALSE)</f>
        <v>A2493</v>
      </c>
      <c r="E680" s="40" t="s">
        <v>18549</v>
      </c>
      <c r="F680" s="41">
        <v>45776</v>
      </c>
      <c r="G680" s="38">
        <v>12</v>
      </c>
      <c r="H680" s="40">
        <v>0</v>
      </c>
      <c r="I680" s="38">
        <v>5.5</v>
      </c>
      <c r="J680" s="41">
        <v>45776</v>
      </c>
      <c r="K680" s="38" t="s">
        <v>10768</v>
      </c>
      <c r="L680" s="42">
        <v>100000000</v>
      </c>
      <c r="O680"/>
    </row>
    <row r="681" spans="1:15" x14ac:dyDescent="0.3">
      <c r="A681" s="37">
        <v>146799</v>
      </c>
      <c r="B681" s="38">
        <v>675</v>
      </c>
      <c r="C681" s="39" t="s">
        <v>5654</v>
      </c>
      <c r="D681" s="10" t="str">
        <f>VLOOKUP(C681,'Data Angt'!$A$5:$B$5809,2,FALSE)</f>
        <v>A2495</v>
      </c>
      <c r="E681" s="40" t="s">
        <v>18550</v>
      </c>
      <c r="F681" s="41">
        <v>45493</v>
      </c>
      <c r="G681" s="38">
        <v>12</v>
      </c>
      <c r="H681" s="40">
        <v>0</v>
      </c>
      <c r="I681" s="38">
        <v>5.5</v>
      </c>
      <c r="J681" s="41">
        <v>45493</v>
      </c>
      <c r="K681" s="38" t="s">
        <v>10768</v>
      </c>
      <c r="L681" s="42">
        <v>5000000</v>
      </c>
      <c r="O681"/>
    </row>
    <row r="682" spans="1:15" x14ac:dyDescent="0.3">
      <c r="A682" s="37">
        <v>126657</v>
      </c>
      <c r="B682" s="38">
        <v>676</v>
      </c>
      <c r="C682" s="39" t="s">
        <v>5661</v>
      </c>
      <c r="D682" s="10" t="str">
        <f>VLOOKUP(C682,'Data Angt'!$A$5:$B$5809,2,FALSE)</f>
        <v>A2498</v>
      </c>
      <c r="E682" s="40" t="s">
        <v>11239</v>
      </c>
      <c r="F682" s="41">
        <v>44219</v>
      </c>
      <c r="G682" s="38">
        <v>12</v>
      </c>
      <c r="H682" s="40">
        <v>0</v>
      </c>
      <c r="I682" s="38">
        <v>5.5</v>
      </c>
      <c r="J682" s="41">
        <v>44219</v>
      </c>
      <c r="K682" s="38" t="s">
        <v>10768</v>
      </c>
      <c r="L682" s="42">
        <v>5000000</v>
      </c>
      <c r="O682"/>
    </row>
    <row r="683" spans="1:15" x14ac:dyDescent="0.3">
      <c r="A683" s="37">
        <v>149023</v>
      </c>
      <c r="B683" s="38">
        <v>677</v>
      </c>
      <c r="C683" s="39" t="s">
        <v>5777</v>
      </c>
      <c r="D683" s="10" t="str">
        <f>VLOOKUP(C683,'Data Angt'!$A$5:$B$5809,2,FALSE)</f>
        <v>A2547</v>
      </c>
      <c r="E683" s="40" t="s">
        <v>18556</v>
      </c>
      <c r="F683" s="41">
        <v>45545</v>
      </c>
      <c r="G683" s="38">
        <v>12</v>
      </c>
      <c r="H683" s="40">
        <v>0</v>
      </c>
      <c r="I683" s="38">
        <v>5.5</v>
      </c>
      <c r="J683" s="41">
        <v>45545</v>
      </c>
      <c r="K683" s="38" t="s">
        <v>10768</v>
      </c>
      <c r="L683" s="42">
        <v>15000000</v>
      </c>
      <c r="O683"/>
    </row>
    <row r="684" spans="1:15" x14ac:dyDescent="0.3">
      <c r="A684" s="37">
        <v>149666</v>
      </c>
      <c r="B684" s="38">
        <v>678</v>
      </c>
      <c r="C684" s="39" t="s">
        <v>5777</v>
      </c>
      <c r="D684" s="10" t="str">
        <f>VLOOKUP(C684,'Data Angt'!$A$5:$B$5809,2,FALSE)</f>
        <v>A2547</v>
      </c>
      <c r="E684" s="40" t="s">
        <v>18557</v>
      </c>
      <c r="F684" s="41">
        <v>45577</v>
      </c>
      <c r="G684" s="38">
        <v>12</v>
      </c>
      <c r="H684" s="40">
        <v>0</v>
      </c>
      <c r="I684" s="38">
        <v>5.5</v>
      </c>
      <c r="J684" s="41">
        <v>45577</v>
      </c>
      <c r="K684" s="38" t="s">
        <v>10768</v>
      </c>
      <c r="L684" s="42">
        <v>10000000</v>
      </c>
      <c r="O684"/>
    </row>
    <row r="685" spans="1:15" x14ac:dyDescent="0.3">
      <c r="A685" s="37">
        <v>150444</v>
      </c>
      <c r="B685" s="38">
        <v>679</v>
      </c>
      <c r="C685" s="39" t="s">
        <v>5777</v>
      </c>
      <c r="D685" s="10" t="str">
        <f>VLOOKUP(C685,'Data Angt'!$A$5:$B$5809,2,FALSE)</f>
        <v>A2547</v>
      </c>
      <c r="E685" s="40" t="s">
        <v>18558</v>
      </c>
      <c r="F685" s="41">
        <v>45607</v>
      </c>
      <c r="G685" s="38">
        <v>12</v>
      </c>
      <c r="H685" s="40">
        <v>0</v>
      </c>
      <c r="I685" s="38">
        <v>5.5</v>
      </c>
      <c r="J685" s="41">
        <v>45607</v>
      </c>
      <c r="K685" s="38" t="s">
        <v>10768</v>
      </c>
      <c r="L685" s="42">
        <v>10000000</v>
      </c>
      <c r="O685"/>
    </row>
    <row r="686" spans="1:15" x14ac:dyDescent="0.3">
      <c r="A686" s="37">
        <v>151463</v>
      </c>
      <c r="B686" s="38">
        <v>680</v>
      </c>
      <c r="C686" s="39" t="s">
        <v>5777</v>
      </c>
      <c r="D686" s="10" t="str">
        <f>VLOOKUP(C686,'Data Angt'!$A$5:$B$5809,2,FALSE)</f>
        <v>A2547</v>
      </c>
      <c r="E686" s="40" t="s">
        <v>18559</v>
      </c>
      <c r="F686" s="41">
        <v>45642</v>
      </c>
      <c r="G686" s="38">
        <v>12</v>
      </c>
      <c r="H686" s="40">
        <v>0</v>
      </c>
      <c r="I686" s="38">
        <v>5.5</v>
      </c>
      <c r="J686" s="41">
        <v>45642</v>
      </c>
      <c r="K686" s="38" t="s">
        <v>10768</v>
      </c>
      <c r="L686" s="42">
        <v>15000000</v>
      </c>
      <c r="O686"/>
    </row>
    <row r="687" spans="1:15" x14ac:dyDescent="0.3">
      <c r="A687" s="37">
        <v>151920</v>
      </c>
      <c r="B687" s="38">
        <v>681</v>
      </c>
      <c r="C687" s="39" t="s">
        <v>5777</v>
      </c>
      <c r="D687" s="10" t="str">
        <f>VLOOKUP(C687,'Data Angt'!$A$5:$B$5809,2,FALSE)</f>
        <v>A2547</v>
      </c>
      <c r="E687" s="40" t="s">
        <v>18560</v>
      </c>
      <c r="F687" s="41">
        <v>45665</v>
      </c>
      <c r="G687" s="38">
        <v>12</v>
      </c>
      <c r="H687" s="40">
        <v>0</v>
      </c>
      <c r="I687" s="38">
        <v>5.5</v>
      </c>
      <c r="J687" s="41">
        <v>45665</v>
      </c>
      <c r="K687" s="38" t="s">
        <v>10768</v>
      </c>
      <c r="L687" s="42">
        <v>15000000</v>
      </c>
      <c r="O687"/>
    </row>
    <row r="688" spans="1:15" x14ac:dyDescent="0.3">
      <c r="A688" s="37">
        <v>154510</v>
      </c>
      <c r="B688" s="38">
        <v>682</v>
      </c>
      <c r="C688" s="39" t="s">
        <v>5777</v>
      </c>
      <c r="D688" s="10" t="str">
        <f>VLOOKUP(C688,'Data Angt'!$A$5:$B$5809,2,FALSE)</f>
        <v>A2547</v>
      </c>
      <c r="E688" s="40" t="s">
        <v>18561</v>
      </c>
      <c r="F688" s="41">
        <v>45729</v>
      </c>
      <c r="G688" s="38">
        <v>12</v>
      </c>
      <c r="H688" s="40">
        <v>0</v>
      </c>
      <c r="I688" s="38">
        <v>5.5</v>
      </c>
      <c r="J688" s="41">
        <v>45729</v>
      </c>
      <c r="K688" s="38" t="s">
        <v>10768</v>
      </c>
      <c r="L688" s="42">
        <v>15000000</v>
      </c>
      <c r="O688"/>
    </row>
    <row r="689" spans="1:15" x14ac:dyDescent="0.3">
      <c r="A689" s="37">
        <v>142410</v>
      </c>
      <c r="B689" s="38">
        <v>683</v>
      </c>
      <c r="C689" s="39" t="s">
        <v>5777</v>
      </c>
      <c r="D689" s="10" t="str">
        <f>VLOOKUP(C689,'Data Angt'!$A$5:$B$5809,2,FALSE)</f>
        <v>A2547</v>
      </c>
      <c r="E689" s="40" t="s">
        <v>18562</v>
      </c>
      <c r="F689" s="41">
        <v>45329</v>
      </c>
      <c r="G689" s="38">
        <v>12</v>
      </c>
      <c r="H689" s="40">
        <v>0</v>
      </c>
      <c r="I689" s="38">
        <v>5.5</v>
      </c>
      <c r="J689" s="41">
        <v>45329</v>
      </c>
      <c r="K689" s="38" t="s">
        <v>10768</v>
      </c>
      <c r="L689" s="42">
        <v>10000000</v>
      </c>
      <c r="O689"/>
    </row>
    <row r="690" spans="1:15" x14ac:dyDescent="0.3">
      <c r="A690" s="37">
        <v>144386</v>
      </c>
      <c r="B690" s="38">
        <v>684</v>
      </c>
      <c r="C690" s="39" t="s">
        <v>5777</v>
      </c>
      <c r="D690" s="10" t="str">
        <f>VLOOKUP(C690,'Data Angt'!$A$5:$B$5809,2,FALSE)</f>
        <v>A2547</v>
      </c>
      <c r="E690" s="40" t="s">
        <v>18551</v>
      </c>
      <c r="F690" s="41">
        <v>45405</v>
      </c>
      <c r="G690" s="38">
        <v>12</v>
      </c>
      <c r="H690" s="40">
        <v>0</v>
      </c>
      <c r="I690" s="38">
        <v>5.5</v>
      </c>
      <c r="J690" s="41">
        <v>45405</v>
      </c>
      <c r="K690" s="38" t="s">
        <v>10768</v>
      </c>
      <c r="L690" s="42">
        <v>10000000</v>
      </c>
      <c r="O690"/>
    </row>
    <row r="691" spans="1:15" x14ac:dyDescent="0.3">
      <c r="A691" s="37">
        <v>144784</v>
      </c>
      <c r="B691" s="38">
        <v>685</v>
      </c>
      <c r="C691" s="39" t="s">
        <v>5777</v>
      </c>
      <c r="D691" s="10" t="str">
        <f>VLOOKUP(C691,'Data Angt'!$A$5:$B$5809,2,FALSE)</f>
        <v>A2547</v>
      </c>
      <c r="E691" s="40" t="s">
        <v>18552</v>
      </c>
      <c r="F691" s="41">
        <v>45422</v>
      </c>
      <c r="G691" s="38">
        <v>12</v>
      </c>
      <c r="H691" s="40">
        <v>0</v>
      </c>
      <c r="I691" s="38">
        <v>5.5</v>
      </c>
      <c r="J691" s="41">
        <v>45422</v>
      </c>
      <c r="K691" s="38" t="s">
        <v>10768</v>
      </c>
      <c r="L691" s="42">
        <v>10000000</v>
      </c>
      <c r="O691"/>
    </row>
    <row r="692" spans="1:15" x14ac:dyDescent="0.3">
      <c r="A692" s="37">
        <v>145877</v>
      </c>
      <c r="B692" s="38">
        <v>686</v>
      </c>
      <c r="C692" s="39" t="s">
        <v>5777</v>
      </c>
      <c r="D692" s="10" t="str">
        <f>VLOOKUP(C692,'Data Angt'!$A$5:$B$5809,2,FALSE)</f>
        <v>A2547</v>
      </c>
      <c r="E692" s="40" t="s">
        <v>18553</v>
      </c>
      <c r="F692" s="41">
        <v>45450</v>
      </c>
      <c r="G692" s="38">
        <v>12</v>
      </c>
      <c r="H692" s="40">
        <v>0</v>
      </c>
      <c r="I692" s="38">
        <v>5.5</v>
      </c>
      <c r="J692" s="41">
        <v>45450</v>
      </c>
      <c r="K692" s="38" t="s">
        <v>10768</v>
      </c>
      <c r="L692" s="42">
        <v>10000000</v>
      </c>
      <c r="O692"/>
    </row>
    <row r="693" spans="1:15" x14ac:dyDescent="0.3">
      <c r="A693" s="37">
        <v>146452</v>
      </c>
      <c r="B693" s="38">
        <v>687</v>
      </c>
      <c r="C693" s="39" t="s">
        <v>5777</v>
      </c>
      <c r="D693" s="10" t="str">
        <f>VLOOKUP(C693,'Data Angt'!$A$5:$B$5809,2,FALSE)</f>
        <v>A2547</v>
      </c>
      <c r="E693" s="40" t="s">
        <v>18554</v>
      </c>
      <c r="F693" s="41">
        <v>45482</v>
      </c>
      <c r="G693" s="38">
        <v>12</v>
      </c>
      <c r="H693" s="40">
        <v>0</v>
      </c>
      <c r="I693" s="38">
        <v>5.5</v>
      </c>
      <c r="J693" s="41">
        <v>45482</v>
      </c>
      <c r="K693" s="38" t="s">
        <v>10768</v>
      </c>
      <c r="L693" s="42">
        <v>10000000</v>
      </c>
      <c r="O693"/>
    </row>
    <row r="694" spans="1:15" x14ac:dyDescent="0.3">
      <c r="A694" s="37">
        <v>148135</v>
      </c>
      <c r="B694" s="38">
        <v>688</v>
      </c>
      <c r="C694" s="39" t="s">
        <v>5777</v>
      </c>
      <c r="D694" s="10" t="str">
        <f>VLOOKUP(C694,'Data Angt'!$A$5:$B$5809,2,FALSE)</f>
        <v>A2547</v>
      </c>
      <c r="E694" s="40" t="s">
        <v>18555</v>
      </c>
      <c r="F694" s="41">
        <v>45517</v>
      </c>
      <c r="G694" s="38">
        <v>12</v>
      </c>
      <c r="H694" s="40">
        <v>0</v>
      </c>
      <c r="I694" s="38">
        <v>5.5</v>
      </c>
      <c r="J694" s="41">
        <v>45517</v>
      </c>
      <c r="K694" s="38" t="s">
        <v>10768</v>
      </c>
      <c r="L694" s="42">
        <v>15000000</v>
      </c>
      <c r="O694"/>
    </row>
    <row r="695" spans="1:15" x14ac:dyDescent="0.3">
      <c r="A695" s="37">
        <v>79264</v>
      </c>
      <c r="B695" s="38">
        <v>689</v>
      </c>
      <c r="C695" s="39" t="s">
        <v>5792</v>
      </c>
      <c r="D695" s="10" t="str">
        <f>VLOOKUP(C695,'Data Angt'!$A$5:$B$5809,2,FALSE)</f>
        <v>A2554</v>
      </c>
      <c r="E695" s="40" t="s">
        <v>11240</v>
      </c>
      <c r="F695" s="41">
        <v>42921</v>
      </c>
      <c r="G695" s="38">
        <v>12</v>
      </c>
      <c r="H695" s="40">
        <v>0</v>
      </c>
      <c r="I695" s="38">
        <v>5.5</v>
      </c>
      <c r="J695" s="41">
        <v>42862</v>
      </c>
      <c r="K695" s="38" t="s">
        <v>10768</v>
      </c>
      <c r="L695" s="42">
        <v>75000000</v>
      </c>
      <c r="O695"/>
    </row>
    <row r="696" spans="1:15" x14ac:dyDescent="0.3">
      <c r="A696" s="37">
        <v>134475</v>
      </c>
      <c r="B696" s="38">
        <v>690</v>
      </c>
      <c r="C696" s="39" t="s">
        <v>5825</v>
      </c>
      <c r="D696" s="10" t="str">
        <f>VLOOKUP(C696,'Data Angt'!$A$5:$B$5809,2,FALSE)</f>
        <v>A2569</v>
      </c>
      <c r="E696" s="40" t="s">
        <v>11241</v>
      </c>
      <c r="F696" s="41">
        <v>44812</v>
      </c>
      <c r="G696" s="38">
        <v>12</v>
      </c>
      <c r="H696" s="40">
        <v>0</v>
      </c>
      <c r="I696" s="38">
        <v>5.5</v>
      </c>
      <c r="J696" s="41">
        <v>44812</v>
      </c>
      <c r="K696" s="38" t="s">
        <v>10768</v>
      </c>
      <c r="L696" s="42">
        <v>25000000</v>
      </c>
      <c r="O696"/>
    </row>
    <row r="697" spans="1:15" x14ac:dyDescent="0.3">
      <c r="A697" s="37">
        <v>116953</v>
      </c>
      <c r="B697" s="38">
        <v>691</v>
      </c>
      <c r="C697" s="39" t="s">
        <v>5844</v>
      </c>
      <c r="D697" s="10" t="str">
        <f>VLOOKUP(C697,'Data Angt'!$A$5:$B$5809,2,FALSE)</f>
        <v>A2581</v>
      </c>
      <c r="E697" s="40" t="s">
        <v>11242</v>
      </c>
      <c r="F697" s="41">
        <v>43735</v>
      </c>
      <c r="G697" s="38">
        <v>12</v>
      </c>
      <c r="H697" s="40">
        <v>0</v>
      </c>
      <c r="I697" s="38">
        <v>5.5</v>
      </c>
      <c r="J697" s="41">
        <v>43735</v>
      </c>
      <c r="K697" s="38" t="s">
        <v>10768</v>
      </c>
      <c r="L697" s="42">
        <v>2000000</v>
      </c>
      <c r="O697"/>
    </row>
    <row r="698" spans="1:15" x14ac:dyDescent="0.3">
      <c r="A698" s="37">
        <v>87806</v>
      </c>
      <c r="B698" s="38">
        <v>692</v>
      </c>
      <c r="C698" s="39" t="s">
        <v>5939</v>
      </c>
      <c r="D698" s="10" t="str">
        <f>VLOOKUP(C698,'Data Angt'!$A$5:$B$5809,2,FALSE)</f>
        <v>A2621</v>
      </c>
      <c r="E698" s="40" t="s">
        <v>11243</v>
      </c>
      <c r="F698" s="41">
        <v>43306</v>
      </c>
      <c r="G698" s="38">
        <v>12</v>
      </c>
      <c r="H698" s="40">
        <v>0</v>
      </c>
      <c r="I698" s="38">
        <v>5.5</v>
      </c>
      <c r="J698" s="41">
        <v>43306</v>
      </c>
      <c r="K698" s="38" t="s">
        <v>10768</v>
      </c>
      <c r="L698" s="42">
        <v>20000000</v>
      </c>
      <c r="O698"/>
    </row>
    <row r="699" spans="1:15" x14ac:dyDescent="0.3">
      <c r="A699" s="37">
        <v>155972</v>
      </c>
      <c r="B699" s="38">
        <v>693</v>
      </c>
      <c r="C699" s="39" t="s">
        <v>5939</v>
      </c>
      <c r="D699" s="10" t="str">
        <f>VLOOKUP(C699,'Data Angt'!$A$5:$B$5809,2,FALSE)</f>
        <v>A2621</v>
      </c>
      <c r="E699" s="40" t="s">
        <v>18563</v>
      </c>
      <c r="F699" s="41">
        <v>45803</v>
      </c>
      <c r="G699" s="38">
        <v>12</v>
      </c>
      <c r="H699" s="40">
        <v>0</v>
      </c>
      <c r="I699" s="38">
        <v>5.5</v>
      </c>
      <c r="J699" s="41">
        <v>45803</v>
      </c>
      <c r="K699" s="38" t="s">
        <v>10768</v>
      </c>
      <c r="L699" s="42">
        <v>50000000</v>
      </c>
      <c r="O699"/>
    </row>
    <row r="700" spans="1:15" x14ac:dyDescent="0.3">
      <c r="A700" s="37">
        <v>155974</v>
      </c>
      <c r="B700" s="38">
        <v>694</v>
      </c>
      <c r="C700" s="39" t="s">
        <v>5939</v>
      </c>
      <c r="D700" s="10" t="str">
        <f>VLOOKUP(C700,'Data Angt'!$A$5:$B$5809,2,FALSE)</f>
        <v>A2621</v>
      </c>
      <c r="E700" s="40" t="s">
        <v>18564</v>
      </c>
      <c r="F700" s="41">
        <v>45803</v>
      </c>
      <c r="G700" s="38">
        <v>12</v>
      </c>
      <c r="H700" s="40">
        <v>0</v>
      </c>
      <c r="I700" s="38">
        <v>5.5</v>
      </c>
      <c r="J700" s="41">
        <v>45803</v>
      </c>
      <c r="K700" s="38" t="s">
        <v>10768</v>
      </c>
      <c r="L700" s="42">
        <v>50000000</v>
      </c>
      <c r="O700"/>
    </row>
    <row r="701" spans="1:15" x14ac:dyDescent="0.3">
      <c r="A701" s="37">
        <v>155867</v>
      </c>
      <c r="B701" s="38">
        <v>695</v>
      </c>
      <c r="C701" s="39" t="s">
        <v>5971</v>
      </c>
      <c r="D701" s="10" t="str">
        <f>VLOOKUP(C701,'Data Angt'!$A$5:$B$5809,2,FALSE)</f>
        <v>A2635</v>
      </c>
      <c r="E701" s="40" t="s">
        <v>18567</v>
      </c>
      <c r="F701" s="41">
        <v>45799</v>
      </c>
      <c r="G701" s="38">
        <v>12</v>
      </c>
      <c r="H701" s="40">
        <v>0</v>
      </c>
      <c r="I701" s="38">
        <v>5.5</v>
      </c>
      <c r="J701" s="41">
        <v>45799</v>
      </c>
      <c r="K701" s="38" t="s">
        <v>10768</v>
      </c>
      <c r="L701" s="42">
        <v>50000000</v>
      </c>
      <c r="O701"/>
    </row>
    <row r="702" spans="1:15" x14ac:dyDescent="0.3">
      <c r="A702" s="37">
        <v>133467</v>
      </c>
      <c r="B702" s="38">
        <v>696</v>
      </c>
      <c r="C702" s="39" t="s">
        <v>5971</v>
      </c>
      <c r="D702" s="10" t="str">
        <f>VLOOKUP(C702,'Data Angt'!$A$5:$B$5809,2,FALSE)</f>
        <v>A2635</v>
      </c>
      <c r="E702" s="40" t="s">
        <v>11244</v>
      </c>
      <c r="F702" s="41">
        <v>44743</v>
      </c>
      <c r="G702" s="38">
        <v>12</v>
      </c>
      <c r="H702" s="40">
        <v>0</v>
      </c>
      <c r="I702" s="38">
        <v>5.5</v>
      </c>
      <c r="J702" s="41">
        <v>44743</v>
      </c>
      <c r="K702" s="38" t="s">
        <v>10768</v>
      </c>
      <c r="L702" s="42">
        <v>20000000</v>
      </c>
      <c r="O702"/>
    </row>
    <row r="703" spans="1:15" x14ac:dyDescent="0.3">
      <c r="A703" s="37">
        <v>140595</v>
      </c>
      <c r="B703" s="38">
        <v>697</v>
      </c>
      <c r="C703" s="39" t="s">
        <v>5971</v>
      </c>
      <c r="D703" s="10" t="str">
        <f>VLOOKUP(C703,'Data Angt'!$A$5:$B$5809,2,FALSE)</f>
        <v>A2635</v>
      </c>
      <c r="E703" s="40" t="s">
        <v>11245</v>
      </c>
      <c r="F703" s="41">
        <v>45252</v>
      </c>
      <c r="G703" s="38">
        <v>12</v>
      </c>
      <c r="H703" s="40">
        <v>0</v>
      </c>
      <c r="I703" s="38">
        <v>5.5</v>
      </c>
      <c r="J703" s="41">
        <v>45252</v>
      </c>
      <c r="K703" s="38" t="s">
        <v>10768</v>
      </c>
      <c r="L703" s="42">
        <v>12000000</v>
      </c>
      <c r="O703"/>
    </row>
    <row r="704" spans="1:15" x14ac:dyDescent="0.3">
      <c r="A704" s="37">
        <v>142637</v>
      </c>
      <c r="B704" s="38">
        <v>698</v>
      </c>
      <c r="C704" s="39" t="s">
        <v>5971</v>
      </c>
      <c r="D704" s="10" t="str">
        <f>VLOOKUP(C704,'Data Angt'!$A$5:$B$5809,2,FALSE)</f>
        <v>A2635</v>
      </c>
      <c r="E704" s="40" t="s">
        <v>18565</v>
      </c>
      <c r="F704" s="41">
        <v>45339</v>
      </c>
      <c r="G704" s="38">
        <v>12</v>
      </c>
      <c r="H704" s="40">
        <v>0</v>
      </c>
      <c r="I704" s="38">
        <v>5.5</v>
      </c>
      <c r="J704" s="41">
        <v>45339</v>
      </c>
      <c r="K704" s="38" t="s">
        <v>10768</v>
      </c>
      <c r="L704" s="42">
        <v>25000000</v>
      </c>
      <c r="O704"/>
    </row>
    <row r="705" spans="1:15" x14ac:dyDescent="0.3">
      <c r="A705" s="37">
        <v>155865</v>
      </c>
      <c r="B705" s="38">
        <v>699</v>
      </c>
      <c r="C705" s="39" t="s">
        <v>5971</v>
      </c>
      <c r="D705" s="10" t="str">
        <f>VLOOKUP(C705,'Data Angt'!$A$5:$B$5809,2,FALSE)</f>
        <v>A2635</v>
      </c>
      <c r="E705" s="40" t="s">
        <v>18566</v>
      </c>
      <c r="F705" s="41">
        <v>45799</v>
      </c>
      <c r="G705" s="38">
        <v>12</v>
      </c>
      <c r="H705" s="40">
        <v>0</v>
      </c>
      <c r="I705" s="38">
        <v>5.5</v>
      </c>
      <c r="J705" s="41">
        <v>45799</v>
      </c>
      <c r="K705" s="38" t="s">
        <v>10768</v>
      </c>
      <c r="L705" s="42">
        <v>50000000</v>
      </c>
      <c r="O705"/>
    </row>
    <row r="706" spans="1:15" x14ac:dyDescent="0.3">
      <c r="A706" s="37">
        <v>148243</v>
      </c>
      <c r="B706" s="38">
        <v>700</v>
      </c>
      <c r="C706" s="39" t="s">
        <v>5976</v>
      </c>
      <c r="D706" s="10" t="str">
        <f>VLOOKUP(C706,'Data Angt'!$A$5:$B$5809,2,FALSE)</f>
        <v>A2639</v>
      </c>
      <c r="E706" s="40" t="s">
        <v>18568</v>
      </c>
      <c r="F706" s="41">
        <v>45520</v>
      </c>
      <c r="G706" s="38">
        <v>12</v>
      </c>
      <c r="H706" s="40">
        <v>0</v>
      </c>
      <c r="I706" s="38">
        <v>5.5</v>
      </c>
      <c r="J706" s="41">
        <v>45520</v>
      </c>
      <c r="K706" s="38" t="s">
        <v>10768</v>
      </c>
      <c r="L706" s="42">
        <v>2000000</v>
      </c>
      <c r="O706"/>
    </row>
    <row r="707" spans="1:15" x14ac:dyDescent="0.3">
      <c r="A707" s="37">
        <v>158096</v>
      </c>
      <c r="B707" s="38">
        <v>701</v>
      </c>
      <c r="C707" s="39" t="s">
        <v>5976</v>
      </c>
      <c r="D707" s="10" t="str">
        <f>VLOOKUP(C707,'Data Angt'!$A$5:$B$5809,2,FALSE)</f>
        <v>A2639</v>
      </c>
      <c r="E707" s="40" t="s">
        <v>24157</v>
      </c>
      <c r="F707" s="41">
        <v>45894</v>
      </c>
      <c r="G707" s="38">
        <v>12</v>
      </c>
      <c r="H707" s="40">
        <v>0</v>
      </c>
      <c r="I707" s="38">
        <v>5.5</v>
      </c>
      <c r="J707" s="41">
        <v>45894</v>
      </c>
      <c r="K707" s="38" t="s">
        <v>10768</v>
      </c>
      <c r="L707" s="42">
        <v>1500000</v>
      </c>
      <c r="O707"/>
    </row>
    <row r="708" spans="1:15" x14ac:dyDescent="0.3">
      <c r="A708" s="37">
        <v>126210</v>
      </c>
      <c r="B708" s="38">
        <v>702</v>
      </c>
      <c r="C708" s="39" t="s">
        <v>5976</v>
      </c>
      <c r="D708" s="10" t="str">
        <f>VLOOKUP(C708,'Data Angt'!$A$5:$B$5809,2,FALSE)</f>
        <v>A2639</v>
      </c>
      <c r="E708" s="40" t="s">
        <v>11246</v>
      </c>
      <c r="F708" s="41">
        <v>44184</v>
      </c>
      <c r="G708" s="38">
        <v>12</v>
      </c>
      <c r="H708" s="40">
        <v>0</v>
      </c>
      <c r="I708" s="38">
        <v>5.5</v>
      </c>
      <c r="J708" s="41">
        <v>44184</v>
      </c>
      <c r="K708" s="38" t="s">
        <v>10768</v>
      </c>
      <c r="L708" s="42">
        <v>5000000</v>
      </c>
      <c r="O708"/>
    </row>
    <row r="709" spans="1:15" x14ac:dyDescent="0.3">
      <c r="A709" s="37">
        <v>125458</v>
      </c>
      <c r="B709" s="38">
        <v>703</v>
      </c>
      <c r="C709" s="39" t="s">
        <v>6030</v>
      </c>
      <c r="D709" s="10" t="str">
        <f>VLOOKUP(C709,'Data Angt'!$A$5:$B$5809,2,FALSE)</f>
        <v>A2664</v>
      </c>
      <c r="E709" s="40" t="s">
        <v>11247</v>
      </c>
      <c r="F709" s="41">
        <v>44124</v>
      </c>
      <c r="G709" s="38">
        <v>12</v>
      </c>
      <c r="H709" s="40">
        <v>0</v>
      </c>
      <c r="I709" s="38">
        <v>5.5</v>
      </c>
      <c r="J709" s="41">
        <v>44124</v>
      </c>
      <c r="K709" s="38" t="s">
        <v>10768</v>
      </c>
      <c r="L709" s="42">
        <v>50000000</v>
      </c>
      <c r="O709"/>
    </row>
    <row r="710" spans="1:15" x14ac:dyDescent="0.3">
      <c r="A710" s="37">
        <v>125460</v>
      </c>
      <c r="B710" s="38">
        <v>704</v>
      </c>
      <c r="C710" s="39" t="s">
        <v>6030</v>
      </c>
      <c r="D710" s="10" t="str">
        <f>VLOOKUP(C710,'Data Angt'!$A$5:$B$5809,2,FALSE)</f>
        <v>A2664</v>
      </c>
      <c r="E710" s="40" t="s">
        <v>11248</v>
      </c>
      <c r="F710" s="41">
        <v>44124</v>
      </c>
      <c r="G710" s="38">
        <v>12</v>
      </c>
      <c r="H710" s="40">
        <v>0</v>
      </c>
      <c r="I710" s="38">
        <v>5.5</v>
      </c>
      <c r="J710" s="41">
        <v>44124</v>
      </c>
      <c r="K710" s="38" t="s">
        <v>10768</v>
      </c>
      <c r="L710" s="42">
        <v>50000000</v>
      </c>
      <c r="O710"/>
    </row>
    <row r="711" spans="1:15" x14ac:dyDescent="0.3">
      <c r="A711" s="37">
        <v>125461</v>
      </c>
      <c r="B711" s="38">
        <v>705</v>
      </c>
      <c r="C711" s="39" t="s">
        <v>6030</v>
      </c>
      <c r="D711" s="10" t="str">
        <f>VLOOKUP(C711,'Data Angt'!$A$5:$B$5809,2,FALSE)</f>
        <v>A2664</v>
      </c>
      <c r="E711" s="40" t="s">
        <v>11249</v>
      </c>
      <c r="F711" s="41">
        <v>44124</v>
      </c>
      <c r="G711" s="38">
        <v>12</v>
      </c>
      <c r="H711" s="40">
        <v>0</v>
      </c>
      <c r="I711" s="38">
        <v>5.5</v>
      </c>
      <c r="J711" s="41">
        <v>44124</v>
      </c>
      <c r="K711" s="38" t="s">
        <v>10768</v>
      </c>
      <c r="L711" s="42">
        <v>50000000</v>
      </c>
      <c r="O711"/>
    </row>
    <row r="712" spans="1:15" x14ac:dyDescent="0.3">
      <c r="A712" s="37">
        <v>125462</v>
      </c>
      <c r="B712" s="38">
        <v>706</v>
      </c>
      <c r="C712" s="39" t="s">
        <v>6030</v>
      </c>
      <c r="D712" s="10" t="str">
        <f>VLOOKUP(C712,'Data Angt'!$A$5:$B$5809,2,FALSE)</f>
        <v>A2664</v>
      </c>
      <c r="E712" s="40" t="s">
        <v>11250</v>
      </c>
      <c r="F712" s="41">
        <v>44124</v>
      </c>
      <c r="G712" s="38">
        <v>12</v>
      </c>
      <c r="H712" s="40">
        <v>0</v>
      </c>
      <c r="I712" s="38">
        <v>5.5</v>
      </c>
      <c r="J712" s="41">
        <v>44124</v>
      </c>
      <c r="K712" s="38" t="s">
        <v>10768</v>
      </c>
      <c r="L712" s="42">
        <v>50000000</v>
      </c>
      <c r="O712"/>
    </row>
    <row r="713" spans="1:15" x14ac:dyDescent="0.3">
      <c r="A713" s="37">
        <v>125463</v>
      </c>
      <c r="B713" s="38">
        <v>707</v>
      </c>
      <c r="C713" s="39" t="s">
        <v>6030</v>
      </c>
      <c r="D713" s="10" t="str">
        <f>VLOOKUP(C713,'Data Angt'!$A$5:$B$5809,2,FALSE)</f>
        <v>A2664</v>
      </c>
      <c r="E713" s="40" t="s">
        <v>11251</v>
      </c>
      <c r="F713" s="41">
        <v>44124</v>
      </c>
      <c r="G713" s="38">
        <v>12</v>
      </c>
      <c r="H713" s="40">
        <v>0</v>
      </c>
      <c r="I713" s="38">
        <v>5.5</v>
      </c>
      <c r="J713" s="41">
        <v>44124</v>
      </c>
      <c r="K713" s="38" t="s">
        <v>10768</v>
      </c>
      <c r="L713" s="42">
        <v>50000000</v>
      </c>
      <c r="O713"/>
    </row>
    <row r="714" spans="1:15" x14ac:dyDescent="0.3">
      <c r="A714" s="37">
        <v>79277</v>
      </c>
      <c r="B714" s="38">
        <v>708</v>
      </c>
      <c r="C714" s="39" t="s">
        <v>6044</v>
      </c>
      <c r="D714" s="10" t="str">
        <f>VLOOKUP(C714,'Data Angt'!$A$5:$B$5809,2,FALSE)</f>
        <v>A2671</v>
      </c>
      <c r="E714" s="40" t="s">
        <v>11252</v>
      </c>
      <c r="F714" s="41">
        <v>42941</v>
      </c>
      <c r="G714" s="38">
        <v>12</v>
      </c>
      <c r="H714" s="40">
        <v>0</v>
      </c>
      <c r="I714" s="38">
        <v>5.5</v>
      </c>
      <c r="J714" s="41">
        <v>42941</v>
      </c>
      <c r="K714" s="38" t="s">
        <v>10768</v>
      </c>
      <c r="L714" s="42">
        <v>75000000</v>
      </c>
      <c r="O714"/>
    </row>
    <row r="715" spans="1:15" x14ac:dyDescent="0.3">
      <c r="A715" s="37">
        <v>87103</v>
      </c>
      <c r="B715" s="38">
        <v>709</v>
      </c>
      <c r="C715" s="39" t="s">
        <v>6044</v>
      </c>
      <c r="D715" s="10" t="str">
        <f>VLOOKUP(C715,'Data Angt'!$A$5:$B$5809,2,FALSE)</f>
        <v>A2671</v>
      </c>
      <c r="E715" s="40" t="s">
        <v>11253</v>
      </c>
      <c r="F715" s="41">
        <v>43277</v>
      </c>
      <c r="G715" s="38">
        <v>12</v>
      </c>
      <c r="H715" s="40">
        <v>0</v>
      </c>
      <c r="I715" s="38">
        <v>5.5</v>
      </c>
      <c r="J715" s="41">
        <v>43277</v>
      </c>
      <c r="K715" s="38" t="s">
        <v>10768</v>
      </c>
      <c r="L715" s="42">
        <v>50000000</v>
      </c>
      <c r="O715"/>
    </row>
    <row r="716" spans="1:15" x14ac:dyDescent="0.3">
      <c r="A716" s="37">
        <v>91885</v>
      </c>
      <c r="B716" s="38">
        <v>710</v>
      </c>
      <c r="C716" s="39" t="s">
        <v>6044</v>
      </c>
      <c r="D716" s="10" t="str">
        <f>VLOOKUP(C716,'Data Angt'!$A$5:$B$5809,2,FALSE)</f>
        <v>A2671</v>
      </c>
      <c r="E716" s="40" t="s">
        <v>11254</v>
      </c>
      <c r="F716" s="41">
        <v>43426</v>
      </c>
      <c r="G716" s="38">
        <v>12</v>
      </c>
      <c r="H716" s="40">
        <v>0</v>
      </c>
      <c r="I716" s="38">
        <v>5.5</v>
      </c>
      <c r="J716" s="41">
        <v>43426</v>
      </c>
      <c r="K716" s="38" t="s">
        <v>10768</v>
      </c>
      <c r="L716" s="42">
        <v>60000000</v>
      </c>
      <c r="O716"/>
    </row>
    <row r="717" spans="1:15" x14ac:dyDescent="0.3">
      <c r="A717" s="37">
        <v>136276</v>
      </c>
      <c r="B717" s="38">
        <v>711</v>
      </c>
      <c r="C717" s="39" t="s">
        <v>6071</v>
      </c>
      <c r="D717" s="10" t="str">
        <f>VLOOKUP(C717,'Data Angt'!$A$5:$B$5809,2,FALSE)</f>
        <v>A2683</v>
      </c>
      <c r="E717" s="40" t="s">
        <v>11256</v>
      </c>
      <c r="F717" s="41">
        <v>44963</v>
      </c>
      <c r="G717" s="38">
        <v>12</v>
      </c>
      <c r="H717" s="40">
        <v>0</v>
      </c>
      <c r="I717" s="38">
        <v>5.5</v>
      </c>
      <c r="J717" s="41">
        <v>44963</v>
      </c>
      <c r="K717" s="38" t="s">
        <v>10768</v>
      </c>
      <c r="L717" s="42">
        <v>10000000</v>
      </c>
      <c r="O717"/>
    </row>
    <row r="718" spans="1:15" x14ac:dyDescent="0.3">
      <c r="A718" s="37">
        <v>144194</v>
      </c>
      <c r="B718" s="38">
        <v>712</v>
      </c>
      <c r="C718" s="39" t="s">
        <v>6071</v>
      </c>
      <c r="D718" s="10" t="str">
        <f>VLOOKUP(C718,'Data Angt'!$A$5:$B$5809,2,FALSE)</f>
        <v>A2683</v>
      </c>
      <c r="E718" s="40" t="s">
        <v>18569</v>
      </c>
      <c r="F718" s="41">
        <v>45387</v>
      </c>
      <c r="G718" s="38">
        <v>12</v>
      </c>
      <c r="H718" s="40">
        <v>0</v>
      </c>
      <c r="I718" s="38">
        <v>5.5</v>
      </c>
      <c r="J718" s="41">
        <v>45388</v>
      </c>
      <c r="K718" s="38" t="s">
        <v>10768</v>
      </c>
      <c r="L718" s="42">
        <v>13000000</v>
      </c>
      <c r="O718"/>
    </row>
    <row r="719" spans="1:15" x14ac:dyDescent="0.3">
      <c r="A719" s="37">
        <v>144196</v>
      </c>
      <c r="B719" s="38">
        <v>713</v>
      </c>
      <c r="C719" s="39" t="s">
        <v>6071</v>
      </c>
      <c r="D719" s="10" t="str">
        <f>VLOOKUP(C719,'Data Angt'!$A$5:$B$5809,2,FALSE)</f>
        <v>A2683</v>
      </c>
      <c r="E719" s="40" t="s">
        <v>18570</v>
      </c>
      <c r="F719" s="41">
        <v>45387</v>
      </c>
      <c r="G719" s="38">
        <v>12</v>
      </c>
      <c r="H719" s="40">
        <v>0</v>
      </c>
      <c r="I719" s="38">
        <v>5.5</v>
      </c>
      <c r="J719" s="41">
        <v>45388</v>
      </c>
      <c r="K719" s="38" t="s">
        <v>10768</v>
      </c>
      <c r="L719" s="42">
        <v>19000000</v>
      </c>
      <c r="O719"/>
    </row>
    <row r="720" spans="1:15" x14ac:dyDescent="0.3">
      <c r="A720" s="37">
        <v>79156</v>
      </c>
      <c r="B720" s="38">
        <v>714</v>
      </c>
      <c r="C720" s="39" t="s">
        <v>6071</v>
      </c>
      <c r="D720" s="10" t="str">
        <f>VLOOKUP(C720,'Data Angt'!$A$5:$B$5809,2,FALSE)</f>
        <v>A2683</v>
      </c>
      <c r="E720" s="40" t="s">
        <v>11255</v>
      </c>
      <c r="F720" s="41">
        <v>42748</v>
      </c>
      <c r="G720" s="38">
        <v>12</v>
      </c>
      <c r="H720" s="40">
        <v>0</v>
      </c>
      <c r="I720" s="38">
        <v>5.5</v>
      </c>
      <c r="J720" s="41">
        <v>42748</v>
      </c>
      <c r="K720" s="38" t="s">
        <v>10768</v>
      </c>
      <c r="L720" s="42">
        <v>30000000</v>
      </c>
      <c r="O720"/>
    </row>
    <row r="721" spans="1:15" x14ac:dyDescent="0.3">
      <c r="A721" s="37">
        <v>87134</v>
      </c>
      <c r="B721" s="38">
        <v>715</v>
      </c>
      <c r="C721" s="39" t="s">
        <v>12416</v>
      </c>
      <c r="D721" s="10" t="str">
        <f>VLOOKUP(C721,'Data Angt'!$A$5:$B$5809,2,FALSE)</f>
        <v>A2684</v>
      </c>
      <c r="E721" s="40" t="s">
        <v>11257</v>
      </c>
      <c r="F721" s="41">
        <v>43280</v>
      </c>
      <c r="G721" s="38">
        <v>12</v>
      </c>
      <c r="H721" s="40">
        <v>0</v>
      </c>
      <c r="I721" s="38">
        <v>5.5</v>
      </c>
      <c r="J721" s="41">
        <v>43280</v>
      </c>
      <c r="K721" s="38" t="s">
        <v>10768</v>
      </c>
      <c r="L721" s="42">
        <v>8000000</v>
      </c>
      <c r="O721"/>
    </row>
    <row r="722" spans="1:15" x14ac:dyDescent="0.3">
      <c r="A722" s="37">
        <v>110575</v>
      </c>
      <c r="B722" s="38">
        <v>716</v>
      </c>
      <c r="C722" s="39" t="s">
        <v>12416</v>
      </c>
      <c r="D722" s="10" t="str">
        <f>VLOOKUP(C722,'Data Angt'!$A$5:$B$5809,2,FALSE)</f>
        <v>A2684</v>
      </c>
      <c r="E722" s="40" t="s">
        <v>11258</v>
      </c>
      <c r="F722" s="41">
        <v>43537</v>
      </c>
      <c r="G722" s="38">
        <v>12</v>
      </c>
      <c r="H722" s="40">
        <v>0</v>
      </c>
      <c r="I722" s="38">
        <v>5.5</v>
      </c>
      <c r="J722" s="41">
        <v>43537</v>
      </c>
      <c r="K722" s="38" t="s">
        <v>10768</v>
      </c>
      <c r="L722" s="42">
        <v>8000000</v>
      </c>
      <c r="O722"/>
    </row>
    <row r="723" spans="1:15" x14ac:dyDescent="0.3">
      <c r="A723" s="37">
        <v>114760</v>
      </c>
      <c r="B723" s="38">
        <v>717</v>
      </c>
      <c r="C723" s="39" t="s">
        <v>12416</v>
      </c>
      <c r="D723" s="10" t="str">
        <f>VLOOKUP(C723,'Data Angt'!$A$5:$B$5809,2,FALSE)</f>
        <v>A2684</v>
      </c>
      <c r="E723" s="40" t="s">
        <v>11259</v>
      </c>
      <c r="F723" s="41">
        <v>43678</v>
      </c>
      <c r="G723" s="38">
        <v>12</v>
      </c>
      <c r="H723" s="40">
        <v>0</v>
      </c>
      <c r="I723" s="38">
        <v>5.5</v>
      </c>
      <c r="J723" s="41">
        <v>43678</v>
      </c>
      <c r="K723" s="38" t="s">
        <v>10768</v>
      </c>
      <c r="L723" s="42">
        <v>5000000</v>
      </c>
      <c r="O723"/>
    </row>
    <row r="724" spans="1:15" x14ac:dyDescent="0.3">
      <c r="A724" s="37">
        <v>119490</v>
      </c>
      <c r="B724" s="38">
        <v>718</v>
      </c>
      <c r="C724" s="39" t="s">
        <v>12416</v>
      </c>
      <c r="D724" s="10" t="str">
        <f>VLOOKUP(C724,'Data Angt'!$A$5:$B$5809,2,FALSE)</f>
        <v>A2684</v>
      </c>
      <c r="E724" s="40" t="s">
        <v>11260</v>
      </c>
      <c r="F724" s="41">
        <v>43838</v>
      </c>
      <c r="G724" s="38">
        <v>12</v>
      </c>
      <c r="H724" s="40">
        <v>0</v>
      </c>
      <c r="I724" s="38">
        <v>5.5</v>
      </c>
      <c r="J724" s="41">
        <v>43838</v>
      </c>
      <c r="K724" s="38" t="s">
        <v>10768</v>
      </c>
      <c r="L724" s="42">
        <v>10000000</v>
      </c>
      <c r="O724"/>
    </row>
    <row r="725" spans="1:15" x14ac:dyDescent="0.3">
      <c r="A725" s="37">
        <v>141257</v>
      </c>
      <c r="B725" s="38">
        <v>719</v>
      </c>
      <c r="C725" s="39" t="s">
        <v>12416</v>
      </c>
      <c r="D725" s="10" t="str">
        <f>VLOOKUP(C725,'Data Angt'!$A$5:$B$5809,2,FALSE)</f>
        <v>A2684</v>
      </c>
      <c r="E725" s="40" t="s">
        <v>11261</v>
      </c>
      <c r="F725" s="41">
        <v>45282</v>
      </c>
      <c r="G725" s="38">
        <v>12</v>
      </c>
      <c r="H725" s="40">
        <v>0</v>
      </c>
      <c r="I725" s="38">
        <v>5.5</v>
      </c>
      <c r="J725" s="41">
        <v>45282</v>
      </c>
      <c r="K725" s="38" t="s">
        <v>10768</v>
      </c>
      <c r="L725" s="42">
        <v>6000000</v>
      </c>
      <c r="O725"/>
    </row>
    <row r="726" spans="1:15" x14ac:dyDescent="0.3">
      <c r="A726" s="37">
        <v>79631</v>
      </c>
      <c r="B726" s="38">
        <v>720</v>
      </c>
      <c r="C726" s="39" t="s">
        <v>6088</v>
      </c>
      <c r="D726" s="10" t="str">
        <f>VLOOKUP(C726,'Data Angt'!$A$5:$B$5809,2,FALSE)</f>
        <v>A2693</v>
      </c>
      <c r="E726" s="40" t="s">
        <v>11262</v>
      </c>
      <c r="F726" s="41">
        <v>42788</v>
      </c>
      <c r="G726" s="38">
        <v>12</v>
      </c>
      <c r="H726" s="40">
        <v>0</v>
      </c>
      <c r="I726" s="38">
        <v>5.5</v>
      </c>
      <c r="J726" s="41">
        <v>42788</v>
      </c>
      <c r="K726" s="38" t="s">
        <v>10768</v>
      </c>
      <c r="L726" s="42">
        <v>3000000</v>
      </c>
      <c r="O726"/>
    </row>
    <row r="727" spans="1:15" x14ac:dyDescent="0.3">
      <c r="A727" s="37">
        <v>79632</v>
      </c>
      <c r="B727" s="38">
        <v>721</v>
      </c>
      <c r="C727" s="39" t="s">
        <v>6088</v>
      </c>
      <c r="D727" s="10" t="str">
        <f>VLOOKUP(C727,'Data Angt'!$A$5:$B$5809,2,FALSE)</f>
        <v>A2693</v>
      </c>
      <c r="E727" s="40" t="s">
        <v>11263</v>
      </c>
      <c r="F727" s="41">
        <v>42788</v>
      </c>
      <c r="G727" s="38">
        <v>12</v>
      </c>
      <c r="H727" s="40">
        <v>0</v>
      </c>
      <c r="I727" s="38">
        <v>5.5</v>
      </c>
      <c r="J727" s="41">
        <v>44583</v>
      </c>
      <c r="K727" s="38" t="s">
        <v>10768</v>
      </c>
      <c r="L727" s="42">
        <v>10000000</v>
      </c>
      <c r="O727"/>
    </row>
    <row r="728" spans="1:15" x14ac:dyDescent="0.3">
      <c r="A728" s="37">
        <v>79655</v>
      </c>
      <c r="B728" s="38">
        <v>722</v>
      </c>
      <c r="C728" s="39" t="s">
        <v>6088</v>
      </c>
      <c r="D728" s="10" t="str">
        <f>VLOOKUP(C728,'Data Angt'!$A$5:$B$5809,2,FALSE)</f>
        <v>A2693</v>
      </c>
      <c r="E728" s="40" t="s">
        <v>11264</v>
      </c>
      <c r="F728" s="41">
        <v>43030</v>
      </c>
      <c r="G728" s="38">
        <v>12</v>
      </c>
      <c r="H728" s="40">
        <v>0</v>
      </c>
      <c r="I728" s="38">
        <v>5.5</v>
      </c>
      <c r="J728" s="41">
        <v>44562</v>
      </c>
      <c r="K728" s="38" t="s">
        <v>10768</v>
      </c>
      <c r="L728" s="42">
        <v>15000000</v>
      </c>
      <c r="O728"/>
    </row>
    <row r="729" spans="1:15" x14ac:dyDescent="0.3">
      <c r="A729" s="37">
        <v>144875</v>
      </c>
      <c r="B729" s="38">
        <v>723</v>
      </c>
      <c r="C729" s="39" t="s">
        <v>6105</v>
      </c>
      <c r="D729" s="10" t="str">
        <f>VLOOKUP(C729,'Data Angt'!$A$5:$B$5809,2,FALSE)</f>
        <v>A2703</v>
      </c>
      <c r="E729" s="40" t="s">
        <v>18577</v>
      </c>
      <c r="F729" s="41">
        <v>45423</v>
      </c>
      <c r="G729" s="38">
        <v>12</v>
      </c>
      <c r="H729" s="40">
        <v>0</v>
      </c>
      <c r="I729" s="38">
        <v>5.5</v>
      </c>
      <c r="J729" s="41">
        <v>45423</v>
      </c>
      <c r="K729" s="38" t="s">
        <v>10768</v>
      </c>
      <c r="L729" s="42">
        <v>5000000</v>
      </c>
      <c r="O729"/>
    </row>
    <row r="730" spans="1:15" x14ac:dyDescent="0.3">
      <c r="A730" s="37">
        <v>149025</v>
      </c>
      <c r="B730" s="38">
        <v>724</v>
      </c>
      <c r="C730" s="39" t="s">
        <v>6105</v>
      </c>
      <c r="D730" s="10" t="str">
        <f>VLOOKUP(C730,'Data Angt'!$A$5:$B$5809,2,FALSE)</f>
        <v>A2703</v>
      </c>
      <c r="E730" s="40" t="s">
        <v>18571</v>
      </c>
      <c r="F730" s="41">
        <v>45545</v>
      </c>
      <c r="G730" s="38">
        <v>12</v>
      </c>
      <c r="H730" s="40">
        <v>0</v>
      </c>
      <c r="I730" s="38">
        <v>5.5</v>
      </c>
      <c r="J730" s="41">
        <v>45545</v>
      </c>
      <c r="K730" s="38" t="s">
        <v>10768</v>
      </c>
      <c r="L730" s="42">
        <v>7000000</v>
      </c>
      <c r="O730"/>
    </row>
    <row r="731" spans="1:15" x14ac:dyDescent="0.3">
      <c r="A731" s="37">
        <v>151406</v>
      </c>
      <c r="B731" s="38">
        <v>725</v>
      </c>
      <c r="C731" s="39" t="s">
        <v>6105</v>
      </c>
      <c r="D731" s="10" t="str">
        <f>VLOOKUP(C731,'Data Angt'!$A$5:$B$5809,2,FALSE)</f>
        <v>A2703</v>
      </c>
      <c r="E731" s="40" t="s">
        <v>18572</v>
      </c>
      <c r="F731" s="41">
        <v>45636</v>
      </c>
      <c r="G731" s="38">
        <v>12</v>
      </c>
      <c r="H731" s="40">
        <v>0</v>
      </c>
      <c r="I731" s="38">
        <v>5.5</v>
      </c>
      <c r="J731" s="41">
        <v>45636</v>
      </c>
      <c r="K731" s="38" t="s">
        <v>10768</v>
      </c>
      <c r="L731" s="42">
        <v>5000000</v>
      </c>
      <c r="O731"/>
    </row>
    <row r="732" spans="1:15" x14ac:dyDescent="0.3">
      <c r="A732" s="37">
        <v>152040</v>
      </c>
      <c r="B732" s="38">
        <v>726</v>
      </c>
      <c r="C732" s="39" t="s">
        <v>6105</v>
      </c>
      <c r="D732" s="10" t="str">
        <f>VLOOKUP(C732,'Data Angt'!$A$5:$B$5809,2,FALSE)</f>
        <v>A2703</v>
      </c>
      <c r="E732" s="40" t="s">
        <v>18573</v>
      </c>
      <c r="F732" s="41">
        <v>45667</v>
      </c>
      <c r="G732" s="38">
        <v>12</v>
      </c>
      <c r="H732" s="40">
        <v>0</v>
      </c>
      <c r="I732" s="38">
        <v>5.5</v>
      </c>
      <c r="J732" s="41">
        <v>45667</v>
      </c>
      <c r="K732" s="38" t="s">
        <v>10768</v>
      </c>
      <c r="L732" s="42">
        <v>5000000</v>
      </c>
      <c r="O732"/>
    </row>
    <row r="733" spans="1:15" x14ac:dyDescent="0.3">
      <c r="A733" s="37">
        <v>154392</v>
      </c>
      <c r="B733" s="38">
        <v>727</v>
      </c>
      <c r="C733" s="39" t="s">
        <v>6105</v>
      </c>
      <c r="D733" s="10" t="str">
        <f>VLOOKUP(C733,'Data Angt'!$A$5:$B$5809,2,FALSE)</f>
        <v>A2703</v>
      </c>
      <c r="E733" s="40" t="s">
        <v>18574</v>
      </c>
      <c r="F733" s="41">
        <v>45726</v>
      </c>
      <c r="G733" s="38">
        <v>12</v>
      </c>
      <c r="H733" s="40">
        <v>0</v>
      </c>
      <c r="I733" s="38">
        <v>5.5</v>
      </c>
      <c r="J733" s="41">
        <v>45726</v>
      </c>
      <c r="K733" s="38" t="s">
        <v>10768</v>
      </c>
      <c r="L733" s="42">
        <v>5000000</v>
      </c>
      <c r="O733"/>
    </row>
    <row r="734" spans="1:15" x14ac:dyDescent="0.3">
      <c r="A734" s="37">
        <v>154955</v>
      </c>
      <c r="B734" s="38">
        <v>728</v>
      </c>
      <c r="C734" s="39" t="s">
        <v>6105</v>
      </c>
      <c r="D734" s="10" t="str">
        <f>VLOOKUP(C734,'Data Angt'!$A$5:$B$5809,2,FALSE)</f>
        <v>A2703</v>
      </c>
      <c r="E734" s="40" t="s">
        <v>18575</v>
      </c>
      <c r="F734" s="41">
        <v>45757</v>
      </c>
      <c r="G734" s="38">
        <v>12</v>
      </c>
      <c r="H734" s="40">
        <v>0</v>
      </c>
      <c r="I734" s="38">
        <v>5.5</v>
      </c>
      <c r="J734" s="41">
        <v>45757</v>
      </c>
      <c r="K734" s="38" t="s">
        <v>10768</v>
      </c>
      <c r="L734" s="42">
        <v>5000000</v>
      </c>
      <c r="O734"/>
    </row>
    <row r="735" spans="1:15" x14ac:dyDescent="0.3">
      <c r="A735" s="37">
        <v>156288</v>
      </c>
      <c r="B735" s="38">
        <v>729</v>
      </c>
      <c r="C735" s="39" t="s">
        <v>6105</v>
      </c>
      <c r="D735" s="10" t="str">
        <f>VLOOKUP(C735,'Data Angt'!$A$5:$B$5809,2,FALSE)</f>
        <v>A2703</v>
      </c>
      <c r="E735" s="40" t="s">
        <v>18576</v>
      </c>
      <c r="F735" s="41">
        <v>45818</v>
      </c>
      <c r="G735" s="38">
        <v>12</v>
      </c>
      <c r="H735" s="40">
        <v>0</v>
      </c>
      <c r="I735" s="38">
        <v>5.5</v>
      </c>
      <c r="J735" s="41">
        <v>45818</v>
      </c>
      <c r="K735" s="38" t="s">
        <v>10768</v>
      </c>
      <c r="L735" s="42">
        <v>5000000</v>
      </c>
      <c r="O735"/>
    </row>
    <row r="736" spans="1:15" x14ac:dyDescent="0.3">
      <c r="A736" s="37">
        <v>156921</v>
      </c>
      <c r="B736" s="38">
        <v>730</v>
      </c>
      <c r="C736" s="39" t="s">
        <v>6105</v>
      </c>
      <c r="D736" s="10" t="str">
        <f>VLOOKUP(C736,'Data Angt'!$A$5:$B$5809,2,FALSE)</f>
        <v>A2703</v>
      </c>
      <c r="E736" s="40" t="s">
        <v>24158</v>
      </c>
      <c r="F736" s="41">
        <v>45849</v>
      </c>
      <c r="G736" s="38">
        <v>12</v>
      </c>
      <c r="H736" s="40">
        <v>0</v>
      </c>
      <c r="I736" s="38">
        <v>5.5</v>
      </c>
      <c r="J736" s="41">
        <v>45849</v>
      </c>
      <c r="K736" s="38" t="s">
        <v>10768</v>
      </c>
      <c r="L736" s="42">
        <v>5000000</v>
      </c>
      <c r="O736"/>
    </row>
    <row r="737" spans="1:15" x14ac:dyDescent="0.3">
      <c r="A737" s="37">
        <v>138653</v>
      </c>
      <c r="B737" s="38">
        <v>731</v>
      </c>
      <c r="C737" s="39" t="s">
        <v>6105</v>
      </c>
      <c r="D737" s="10" t="str">
        <f>VLOOKUP(C737,'Data Angt'!$A$5:$B$5809,2,FALSE)</f>
        <v>A2703</v>
      </c>
      <c r="E737" s="40" t="s">
        <v>11265</v>
      </c>
      <c r="F737" s="41">
        <v>45148</v>
      </c>
      <c r="G737" s="38">
        <v>12</v>
      </c>
      <c r="H737" s="40">
        <v>0</v>
      </c>
      <c r="I737" s="38">
        <v>5.5</v>
      </c>
      <c r="J737" s="41">
        <v>45148</v>
      </c>
      <c r="K737" s="38" t="s">
        <v>10768</v>
      </c>
      <c r="L737" s="42">
        <v>5000000</v>
      </c>
      <c r="O737"/>
    </row>
    <row r="738" spans="1:15" x14ac:dyDescent="0.3">
      <c r="A738" s="37">
        <v>146551</v>
      </c>
      <c r="B738" s="38">
        <v>732</v>
      </c>
      <c r="C738" s="39" t="s">
        <v>12421</v>
      </c>
      <c r="D738" s="10" t="str">
        <f>VLOOKUP(C738,'Data Angt'!$A$5:$B$5809,2,FALSE)</f>
        <v>A2709</v>
      </c>
      <c r="E738" s="40" t="s">
        <v>18578</v>
      </c>
      <c r="F738" s="41">
        <v>45486</v>
      </c>
      <c r="G738" s="38">
        <v>12</v>
      </c>
      <c r="H738" s="40">
        <v>0</v>
      </c>
      <c r="I738" s="38">
        <v>5.5</v>
      </c>
      <c r="J738" s="41">
        <v>45486</v>
      </c>
      <c r="K738" s="38" t="s">
        <v>10768</v>
      </c>
      <c r="L738" s="42">
        <v>35000000</v>
      </c>
      <c r="O738"/>
    </row>
    <row r="739" spans="1:15" x14ac:dyDescent="0.3">
      <c r="A739" s="37">
        <v>130896</v>
      </c>
      <c r="B739" s="38">
        <v>733</v>
      </c>
      <c r="C739" s="39" t="s">
        <v>12423</v>
      </c>
      <c r="D739" s="10" t="str">
        <f>VLOOKUP(C739,'Data Angt'!$A$5:$B$5809,2,FALSE)</f>
        <v>A2729</v>
      </c>
      <c r="E739" s="40" t="s">
        <v>11266</v>
      </c>
      <c r="F739" s="41">
        <v>44538</v>
      </c>
      <c r="G739" s="38">
        <v>12</v>
      </c>
      <c r="H739" s="40">
        <v>0</v>
      </c>
      <c r="I739" s="38">
        <v>5.5</v>
      </c>
      <c r="J739" s="41">
        <v>44538</v>
      </c>
      <c r="K739" s="38" t="s">
        <v>10768</v>
      </c>
      <c r="L739" s="42">
        <v>30000000</v>
      </c>
      <c r="O739"/>
    </row>
    <row r="740" spans="1:15" x14ac:dyDescent="0.3">
      <c r="A740" s="37">
        <v>140213</v>
      </c>
      <c r="B740" s="38">
        <v>734</v>
      </c>
      <c r="C740" s="39" t="s">
        <v>6173</v>
      </c>
      <c r="D740" s="10" t="str">
        <f>VLOOKUP(C740,'Data Angt'!$A$5:$B$5809,2,FALSE)</f>
        <v>A2736</v>
      </c>
      <c r="E740" s="40" t="s">
        <v>11267</v>
      </c>
      <c r="F740" s="41">
        <v>45236</v>
      </c>
      <c r="G740" s="38">
        <v>12</v>
      </c>
      <c r="H740" s="40">
        <v>0</v>
      </c>
      <c r="I740" s="38">
        <v>5.5</v>
      </c>
      <c r="J740" s="41">
        <v>45236</v>
      </c>
      <c r="K740" s="38" t="s">
        <v>10768</v>
      </c>
      <c r="L740" s="42">
        <v>10000000</v>
      </c>
      <c r="O740"/>
    </row>
    <row r="741" spans="1:15" x14ac:dyDescent="0.3">
      <c r="A741" s="37">
        <v>134181</v>
      </c>
      <c r="B741" s="38">
        <v>735</v>
      </c>
      <c r="C741" s="39" t="s">
        <v>6197</v>
      </c>
      <c r="D741" s="10" t="str">
        <f>VLOOKUP(C741,'Data Angt'!$A$5:$B$5809,2,FALSE)</f>
        <v>A2745</v>
      </c>
      <c r="E741" s="40" t="s">
        <v>11268</v>
      </c>
      <c r="F741" s="41">
        <v>44789</v>
      </c>
      <c r="G741" s="38">
        <v>12</v>
      </c>
      <c r="H741" s="40">
        <v>0</v>
      </c>
      <c r="I741" s="38">
        <v>5.5</v>
      </c>
      <c r="J741" s="41">
        <v>44789</v>
      </c>
      <c r="K741" s="38" t="s">
        <v>10768</v>
      </c>
      <c r="L741" s="42">
        <v>10000000</v>
      </c>
      <c r="O741"/>
    </row>
    <row r="742" spans="1:15" x14ac:dyDescent="0.3">
      <c r="A742" s="37">
        <v>142229</v>
      </c>
      <c r="B742" s="38">
        <v>736</v>
      </c>
      <c r="C742" s="39" t="s">
        <v>6197</v>
      </c>
      <c r="D742" s="10" t="str">
        <f>VLOOKUP(C742,'Data Angt'!$A$5:$B$5809,2,FALSE)</f>
        <v>A2745</v>
      </c>
      <c r="E742" s="40" t="s">
        <v>18579</v>
      </c>
      <c r="F742" s="41">
        <v>45320</v>
      </c>
      <c r="G742" s="38">
        <v>12</v>
      </c>
      <c r="H742" s="40">
        <v>0</v>
      </c>
      <c r="I742" s="38">
        <v>5.5</v>
      </c>
      <c r="J742" s="41">
        <v>45320</v>
      </c>
      <c r="K742" s="38" t="s">
        <v>10768</v>
      </c>
      <c r="L742" s="42">
        <v>100000000</v>
      </c>
      <c r="O742"/>
    </row>
    <row r="743" spans="1:15" x14ac:dyDescent="0.3">
      <c r="A743" s="37">
        <v>152617</v>
      </c>
      <c r="B743" s="38">
        <v>737</v>
      </c>
      <c r="C743" s="39" t="s">
        <v>6197</v>
      </c>
      <c r="D743" s="10" t="str">
        <f>VLOOKUP(C743,'Data Angt'!$A$5:$B$5809,2,FALSE)</f>
        <v>A2745</v>
      </c>
      <c r="E743" s="40" t="s">
        <v>18580</v>
      </c>
      <c r="F743" s="41">
        <v>45688</v>
      </c>
      <c r="G743" s="38">
        <v>12</v>
      </c>
      <c r="H743" s="40">
        <v>0</v>
      </c>
      <c r="I743" s="38">
        <v>5.5</v>
      </c>
      <c r="J743" s="41">
        <v>45688</v>
      </c>
      <c r="K743" s="38" t="s">
        <v>10768</v>
      </c>
      <c r="L743" s="42">
        <v>15000000</v>
      </c>
      <c r="O743"/>
    </row>
    <row r="744" spans="1:15" x14ac:dyDescent="0.3">
      <c r="A744" s="37">
        <v>125160</v>
      </c>
      <c r="B744" s="38">
        <v>738</v>
      </c>
      <c r="C744" s="39" t="s">
        <v>6247</v>
      </c>
      <c r="D744" s="10" t="str">
        <f>VLOOKUP(C744,'Data Angt'!$A$5:$B$5809,2,FALSE)</f>
        <v>A2767</v>
      </c>
      <c r="E744" s="40" t="s">
        <v>11270</v>
      </c>
      <c r="F744" s="41">
        <v>44099</v>
      </c>
      <c r="G744" s="38">
        <v>12</v>
      </c>
      <c r="H744" s="40">
        <v>0</v>
      </c>
      <c r="I744" s="38">
        <v>5.5</v>
      </c>
      <c r="J744" s="41">
        <v>44099</v>
      </c>
      <c r="K744" s="38" t="s">
        <v>10768</v>
      </c>
      <c r="L744" s="42">
        <v>87500000</v>
      </c>
      <c r="O744"/>
    </row>
    <row r="745" spans="1:15" x14ac:dyDescent="0.3">
      <c r="A745" s="37">
        <v>125162</v>
      </c>
      <c r="B745" s="38">
        <v>739</v>
      </c>
      <c r="C745" s="39" t="s">
        <v>6247</v>
      </c>
      <c r="D745" s="10" t="str">
        <f>VLOOKUP(C745,'Data Angt'!$A$5:$B$5809,2,FALSE)</f>
        <v>A2767</v>
      </c>
      <c r="E745" s="40" t="s">
        <v>11271</v>
      </c>
      <c r="F745" s="41">
        <v>44099</v>
      </c>
      <c r="G745" s="38">
        <v>12</v>
      </c>
      <c r="H745" s="40">
        <v>0</v>
      </c>
      <c r="I745" s="38">
        <v>5.5</v>
      </c>
      <c r="J745" s="41">
        <v>44099</v>
      </c>
      <c r="K745" s="38" t="s">
        <v>10768</v>
      </c>
      <c r="L745" s="42">
        <v>87500000</v>
      </c>
      <c r="O745"/>
    </row>
    <row r="746" spans="1:15" x14ac:dyDescent="0.3">
      <c r="A746" s="37">
        <v>125853</v>
      </c>
      <c r="B746" s="38">
        <v>740</v>
      </c>
      <c r="C746" s="39" t="s">
        <v>6247</v>
      </c>
      <c r="D746" s="10" t="str">
        <f>VLOOKUP(C746,'Data Angt'!$A$5:$B$5809,2,FALSE)</f>
        <v>A2767</v>
      </c>
      <c r="E746" s="40" t="s">
        <v>11272</v>
      </c>
      <c r="F746" s="41">
        <v>44152</v>
      </c>
      <c r="G746" s="38">
        <v>12</v>
      </c>
      <c r="H746" s="40">
        <v>0</v>
      </c>
      <c r="I746" s="38">
        <v>5.5</v>
      </c>
      <c r="J746" s="41">
        <v>44152</v>
      </c>
      <c r="K746" s="38" t="s">
        <v>10768</v>
      </c>
      <c r="L746" s="42">
        <v>17500000</v>
      </c>
      <c r="O746"/>
    </row>
    <row r="747" spans="1:15" x14ac:dyDescent="0.3">
      <c r="A747" s="37">
        <v>136381</v>
      </c>
      <c r="B747" s="38">
        <v>741</v>
      </c>
      <c r="C747" s="39" t="s">
        <v>6247</v>
      </c>
      <c r="D747" s="10" t="str">
        <f>VLOOKUP(C747,'Data Angt'!$A$5:$B$5809,2,FALSE)</f>
        <v>A2767</v>
      </c>
      <c r="E747" s="40" t="s">
        <v>11269</v>
      </c>
      <c r="F747" s="41">
        <v>44968</v>
      </c>
      <c r="G747" s="38">
        <v>12</v>
      </c>
      <c r="H747" s="40">
        <v>0</v>
      </c>
      <c r="I747" s="38">
        <v>5.5</v>
      </c>
      <c r="J747" s="41">
        <v>44968</v>
      </c>
      <c r="K747" s="38" t="s">
        <v>10768</v>
      </c>
      <c r="L747" s="42">
        <v>10000000</v>
      </c>
      <c r="O747"/>
    </row>
    <row r="748" spans="1:15" x14ac:dyDescent="0.3">
      <c r="A748" s="37">
        <v>149732</v>
      </c>
      <c r="B748" s="38">
        <v>742</v>
      </c>
      <c r="C748" s="39" t="s">
        <v>6247</v>
      </c>
      <c r="D748" s="10" t="str">
        <f>VLOOKUP(C748,'Data Angt'!$A$5:$B$5809,2,FALSE)</f>
        <v>A2767</v>
      </c>
      <c r="E748" s="40" t="s">
        <v>18581</v>
      </c>
      <c r="F748" s="41">
        <v>45586</v>
      </c>
      <c r="G748" s="38">
        <v>12</v>
      </c>
      <c r="H748" s="40">
        <v>0</v>
      </c>
      <c r="I748" s="38">
        <v>5.5</v>
      </c>
      <c r="J748" s="41">
        <v>45586</v>
      </c>
      <c r="K748" s="38" t="s">
        <v>10768</v>
      </c>
      <c r="L748" s="42">
        <v>10000000</v>
      </c>
      <c r="O748"/>
    </row>
    <row r="749" spans="1:15" x14ac:dyDescent="0.3">
      <c r="A749" s="37">
        <v>150689</v>
      </c>
      <c r="B749" s="38">
        <v>743</v>
      </c>
      <c r="C749" s="39" t="s">
        <v>6247</v>
      </c>
      <c r="D749" s="10" t="str">
        <f>VLOOKUP(C749,'Data Angt'!$A$5:$B$5809,2,FALSE)</f>
        <v>A2767</v>
      </c>
      <c r="E749" s="40" t="s">
        <v>18582</v>
      </c>
      <c r="F749" s="41">
        <v>45614</v>
      </c>
      <c r="G749" s="38">
        <v>12</v>
      </c>
      <c r="H749" s="40">
        <v>0</v>
      </c>
      <c r="I749" s="38">
        <v>5.5</v>
      </c>
      <c r="J749" s="41">
        <v>45614</v>
      </c>
      <c r="K749" s="38" t="s">
        <v>10768</v>
      </c>
      <c r="L749" s="42">
        <v>5000000</v>
      </c>
      <c r="O749"/>
    </row>
    <row r="750" spans="1:15" x14ac:dyDescent="0.3">
      <c r="A750" s="37">
        <v>133332</v>
      </c>
      <c r="B750" s="38">
        <v>744</v>
      </c>
      <c r="C750" s="39" t="s">
        <v>6249</v>
      </c>
      <c r="D750" s="10" t="str">
        <f>VLOOKUP(C750,'Data Angt'!$A$5:$B$5809,2,FALSE)</f>
        <v>A2768</v>
      </c>
      <c r="E750" s="40" t="s">
        <v>11280</v>
      </c>
      <c r="F750" s="41">
        <v>44730</v>
      </c>
      <c r="G750" s="38">
        <v>12</v>
      </c>
      <c r="H750" s="40">
        <v>0</v>
      </c>
      <c r="I750" s="38">
        <v>5.5</v>
      </c>
      <c r="J750" s="41">
        <v>44730</v>
      </c>
      <c r="K750" s="38" t="s">
        <v>10768</v>
      </c>
      <c r="L750" s="42">
        <v>3000000</v>
      </c>
      <c r="O750"/>
    </row>
    <row r="751" spans="1:15" x14ac:dyDescent="0.3">
      <c r="A751" s="37">
        <v>155695</v>
      </c>
      <c r="B751" s="38">
        <v>745</v>
      </c>
      <c r="C751" s="39" t="s">
        <v>6249</v>
      </c>
      <c r="D751" s="10" t="str">
        <f>VLOOKUP(C751,'Data Angt'!$A$5:$B$5809,2,FALSE)</f>
        <v>A2768</v>
      </c>
      <c r="E751" s="40" t="s">
        <v>18583</v>
      </c>
      <c r="F751" s="41">
        <v>45792</v>
      </c>
      <c r="G751" s="38">
        <v>12</v>
      </c>
      <c r="H751" s="40">
        <v>0</v>
      </c>
      <c r="I751" s="38">
        <v>5.5</v>
      </c>
      <c r="J751" s="41">
        <v>45792</v>
      </c>
      <c r="K751" s="38" t="s">
        <v>10768</v>
      </c>
      <c r="L751" s="42">
        <v>2000000</v>
      </c>
      <c r="O751"/>
    </row>
    <row r="752" spans="1:15" x14ac:dyDescent="0.3">
      <c r="A752" s="37">
        <v>79161</v>
      </c>
      <c r="B752" s="38">
        <v>746</v>
      </c>
      <c r="C752" s="39" t="s">
        <v>6252</v>
      </c>
      <c r="D752" s="10" t="str">
        <f>VLOOKUP(C752,'Data Angt'!$A$5:$B$5809,2,FALSE)</f>
        <v>A2770</v>
      </c>
      <c r="E752" s="40" t="s">
        <v>11281</v>
      </c>
      <c r="F752" s="41">
        <v>42762</v>
      </c>
      <c r="G752" s="38">
        <v>12</v>
      </c>
      <c r="H752" s="40">
        <v>0</v>
      </c>
      <c r="I752" s="38">
        <v>5.5</v>
      </c>
      <c r="J752" s="41">
        <v>42762</v>
      </c>
      <c r="K752" s="38" t="s">
        <v>10768</v>
      </c>
      <c r="L752" s="42">
        <v>10000000</v>
      </c>
      <c r="O752"/>
    </row>
    <row r="753" spans="1:15" x14ac:dyDescent="0.3">
      <c r="A753" s="37">
        <v>79405</v>
      </c>
      <c r="B753" s="38">
        <v>747</v>
      </c>
      <c r="C753" s="39" t="s">
        <v>6252</v>
      </c>
      <c r="D753" s="10" t="str">
        <f>VLOOKUP(C753,'Data Angt'!$A$5:$B$5809,2,FALSE)</f>
        <v>A2770</v>
      </c>
      <c r="E753" s="40" t="s">
        <v>11282</v>
      </c>
      <c r="F753" s="41">
        <v>43148</v>
      </c>
      <c r="G753" s="38">
        <v>12</v>
      </c>
      <c r="H753" s="40">
        <v>0</v>
      </c>
      <c r="I753" s="38">
        <v>5.5</v>
      </c>
      <c r="J753" s="41">
        <v>43148</v>
      </c>
      <c r="K753" s="38" t="s">
        <v>10768</v>
      </c>
      <c r="L753" s="42">
        <v>10000000</v>
      </c>
      <c r="O753"/>
    </row>
    <row r="754" spans="1:15" x14ac:dyDescent="0.3">
      <c r="A754" s="37">
        <v>120695</v>
      </c>
      <c r="B754" s="38">
        <v>748</v>
      </c>
      <c r="C754" s="39" t="s">
        <v>6267</v>
      </c>
      <c r="D754" s="10" t="str">
        <f>VLOOKUP(C754,'Data Angt'!$A$5:$B$5809,2,FALSE)</f>
        <v>A2776</v>
      </c>
      <c r="E754" s="40" t="s">
        <v>11348</v>
      </c>
      <c r="F754" s="41">
        <v>43874</v>
      </c>
      <c r="G754" s="38">
        <v>12</v>
      </c>
      <c r="H754" s="40">
        <v>0</v>
      </c>
      <c r="I754" s="38">
        <v>5.5</v>
      </c>
      <c r="J754" s="41">
        <v>43874</v>
      </c>
      <c r="K754" s="38" t="s">
        <v>10768</v>
      </c>
      <c r="L754" s="42">
        <v>3500000</v>
      </c>
      <c r="O754"/>
    </row>
    <row r="755" spans="1:15" x14ac:dyDescent="0.3">
      <c r="A755" s="37">
        <v>132378</v>
      </c>
      <c r="B755" s="38">
        <v>749</v>
      </c>
      <c r="C755" s="39" t="s">
        <v>6267</v>
      </c>
      <c r="D755" s="10" t="str">
        <f>VLOOKUP(C755,'Data Angt'!$A$5:$B$5809,2,FALSE)</f>
        <v>A2776</v>
      </c>
      <c r="E755" s="40" t="s">
        <v>11301</v>
      </c>
      <c r="F755" s="41">
        <v>44652</v>
      </c>
      <c r="G755" s="38">
        <v>12</v>
      </c>
      <c r="H755" s="40">
        <v>0</v>
      </c>
      <c r="I755" s="38">
        <v>5.5</v>
      </c>
      <c r="J755" s="41">
        <v>44652</v>
      </c>
      <c r="K755" s="38" t="s">
        <v>10768</v>
      </c>
      <c r="L755" s="42">
        <v>2500000</v>
      </c>
      <c r="O755"/>
    </row>
    <row r="756" spans="1:15" x14ac:dyDescent="0.3">
      <c r="A756" s="37">
        <v>140531</v>
      </c>
      <c r="B756" s="38">
        <v>750</v>
      </c>
      <c r="C756" s="39" t="s">
        <v>6267</v>
      </c>
      <c r="D756" s="10" t="str">
        <f>VLOOKUP(C756,'Data Angt'!$A$5:$B$5809,2,FALSE)</f>
        <v>A2776</v>
      </c>
      <c r="E756" s="40" t="s">
        <v>11304</v>
      </c>
      <c r="F756" s="41">
        <v>45248</v>
      </c>
      <c r="G756" s="38">
        <v>12</v>
      </c>
      <c r="H756" s="40">
        <v>0</v>
      </c>
      <c r="I756" s="38">
        <v>5.5</v>
      </c>
      <c r="J756" s="41">
        <v>45248</v>
      </c>
      <c r="K756" s="38" t="s">
        <v>10768</v>
      </c>
      <c r="L756" s="42">
        <v>2000000</v>
      </c>
      <c r="O756"/>
    </row>
    <row r="757" spans="1:15" x14ac:dyDescent="0.3">
      <c r="A757" s="37">
        <v>132470</v>
      </c>
      <c r="B757" s="38">
        <v>751</v>
      </c>
      <c r="C757" s="39" t="s">
        <v>6267</v>
      </c>
      <c r="D757" s="10" t="str">
        <f>VLOOKUP(C757,'Data Angt'!$A$5:$B$5809,2,FALSE)</f>
        <v>A2776</v>
      </c>
      <c r="E757" s="40" t="s">
        <v>11351</v>
      </c>
      <c r="F757" s="41">
        <v>44657</v>
      </c>
      <c r="G757" s="38">
        <v>12</v>
      </c>
      <c r="H757" s="40">
        <v>0</v>
      </c>
      <c r="I757" s="38">
        <v>5.5</v>
      </c>
      <c r="J757" s="41">
        <v>44657</v>
      </c>
      <c r="K757" s="38" t="s">
        <v>10768</v>
      </c>
      <c r="L757" s="42">
        <v>1000000</v>
      </c>
      <c r="O757"/>
    </row>
    <row r="758" spans="1:15" x14ac:dyDescent="0.3">
      <c r="A758" s="37">
        <v>143100</v>
      </c>
      <c r="B758" s="38">
        <v>752</v>
      </c>
      <c r="C758" s="39" t="s">
        <v>6267</v>
      </c>
      <c r="D758" s="10" t="str">
        <f>VLOOKUP(C758,'Data Angt'!$A$5:$B$5809,2,FALSE)</f>
        <v>A2776</v>
      </c>
      <c r="E758" s="40" t="s">
        <v>18584</v>
      </c>
      <c r="F758" s="41">
        <v>45355</v>
      </c>
      <c r="G758" s="38">
        <v>12</v>
      </c>
      <c r="H758" s="40">
        <v>0</v>
      </c>
      <c r="I758" s="38">
        <v>5.5</v>
      </c>
      <c r="J758" s="41">
        <v>45355</v>
      </c>
      <c r="K758" s="38" t="s">
        <v>10768</v>
      </c>
      <c r="L758" s="42">
        <v>5000000</v>
      </c>
      <c r="O758"/>
    </row>
    <row r="759" spans="1:15" x14ac:dyDescent="0.3">
      <c r="A759" s="37">
        <v>122265</v>
      </c>
      <c r="B759" s="38">
        <v>753</v>
      </c>
      <c r="C759" s="39" t="s">
        <v>6267</v>
      </c>
      <c r="D759" s="10" t="str">
        <f>VLOOKUP(C759,'Data Angt'!$A$5:$B$5809,2,FALSE)</f>
        <v>A2776</v>
      </c>
      <c r="E759" s="40" t="s">
        <v>11349</v>
      </c>
      <c r="F759" s="41">
        <v>43909</v>
      </c>
      <c r="G759" s="38">
        <v>12</v>
      </c>
      <c r="H759" s="40">
        <v>0</v>
      </c>
      <c r="I759" s="38">
        <v>5.5</v>
      </c>
      <c r="J759" s="41">
        <v>43909</v>
      </c>
      <c r="K759" s="38" t="s">
        <v>10768</v>
      </c>
      <c r="L759" s="42">
        <v>2000000</v>
      </c>
      <c r="O759"/>
    </row>
    <row r="760" spans="1:15" x14ac:dyDescent="0.3">
      <c r="A760" s="37">
        <v>153129</v>
      </c>
      <c r="B760" s="38">
        <v>754</v>
      </c>
      <c r="C760" s="39" t="s">
        <v>6267</v>
      </c>
      <c r="D760" s="10" t="str">
        <f>VLOOKUP(C760,'Data Angt'!$A$5:$B$5809,2,FALSE)</f>
        <v>A2776</v>
      </c>
      <c r="E760" s="40" t="s">
        <v>18585</v>
      </c>
      <c r="F760" s="41">
        <v>45699</v>
      </c>
      <c r="G760" s="38">
        <v>12</v>
      </c>
      <c r="H760" s="40">
        <v>0</v>
      </c>
      <c r="I760" s="38">
        <v>5.5</v>
      </c>
      <c r="J760" s="41">
        <v>45699</v>
      </c>
      <c r="K760" s="38" t="s">
        <v>10768</v>
      </c>
      <c r="L760" s="42">
        <v>3000000</v>
      </c>
      <c r="O760"/>
    </row>
    <row r="761" spans="1:15" x14ac:dyDescent="0.3">
      <c r="A761" s="37">
        <v>122267</v>
      </c>
      <c r="B761" s="38">
        <v>755</v>
      </c>
      <c r="C761" s="39" t="s">
        <v>6267</v>
      </c>
      <c r="D761" s="10" t="str">
        <f>VLOOKUP(C761,'Data Angt'!$A$5:$B$5809,2,FALSE)</f>
        <v>A2776</v>
      </c>
      <c r="E761" s="40" t="s">
        <v>11300</v>
      </c>
      <c r="F761" s="41">
        <v>43909</v>
      </c>
      <c r="G761" s="38">
        <v>12</v>
      </c>
      <c r="H761" s="40">
        <v>0</v>
      </c>
      <c r="I761" s="38">
        <v>5.5</v>
      </c>
      <c r="J761" s="41">
        <v>43909</v>
      </c>
      <c r="K761" s="38" t="s">
        <v>10768</v>
      </c>
      <c r="L761" s="42">
        <v>2000000</v>
      </c>
      <c r="O761"/>
    </row>
    <row r="762" spans="1:15" x14ac:dyDescent="0.3">
      <c r="A762" s="37">
        <v>156296</v>
      </c>
      <c r="B762" s="38">
        <v>756</v>
      </c>
      <c r="C762" s="39" t="s">
        <v>6267</v>
      </c>
      <c r="D762" s="10" t="str">
        <f>VLOOKUP(C762,'Data Angt'!$A$5:$B$5809,2,FALSE)</f>
        <v>A2776</v>
      </c>
      <c r="E762" s="40" t="s">
        <v>18586</v>
      </c>
      <c r="F762" s="41">
        <v>45818</v>
      </c>
      <c r="G762" s="38">
        <v>12</v>
      </c>
      <c r="H762" s="40">
        <v>0</v>
      </c>
      <c r="I762" s="38">
        <v>5.5</v>
      </c>
      <c r="J762" s="41">
        <v>45818</v>
      </c>
      <c r="K762" s="38" t="s">
        <v>10768</v>
      </c>
      <c r="L762" s="42">
        <v>10000000</v>
      </c>
      <c r="O762"/>
    </row>
    <row r="763" spans="1:15" x14ac:dyDescent="0.3">
      <c r="A763" s="37">
        <v>135391</v>
      </c>
      <c r="B763" s="38">
        <v>757</v>
      </c>
      <c r="C763" s="39" t="s">
        <v>6267</v>
      </c>
      <c r="D763" s="10" t="str">
        <f>VLOOKUP(C763,'Data Angt'!$A$5:$B$5809,2,FALSE)</f>
        <v>A2776</v>
      </c>
      <c r="E763" s="40" t="s">
        <v>11292</v>
      </c>
      <c r="F763" s="41">
        <v>44887</v>
      </c>
      <c r="G763" s="38">
        <v>12</v>
      </c>
      <c r="H763" s="40">
        <v>0</v>
      </c>
      <c r="I763" s="38">
        <v>5.5</v>
      </c>
      <c r="J763" s="41">
        <v>44887</v>
      </c>
      <c r="K763" s="38" t="s">
        <v>10768</v>
      </c>
      <c r="L763" s="42">
        <v>2500000</v>
      </c>
      <c r="O763"/>
    </row>
    <row r="764" spans="1:15" x14ac:dyDescent="0.3">
      <c r="A764" s="37">
        <v>156749</v>
      </c>
      <c r="B764" s="38">
        <v>758</v>
      </c>
      <c r="C764" s="39" t="s">
        <v>6267</v>
      </c>
      <c r="D764" s="10" t="str">
        <f>VLOOKUP(C764,'Data Angt'!$A$5:$B$5809,2,FALSE)</f>
        <v>A2776</v>
      </c>
      <c r="E764" s="40" t="s">
        <v>24159</v>
      </c>
      <c r="F764" s="41">
        <v>45842</v>
      </c>
      <c r="G764" s="38">
        <v>12</v>
      </c>
      <c r="H764" s="40">
        <v>0</v>
      </c>
      <c r="I764" s="38">
        <v>5.5</v>
      </c>
      <c r="J764" s="41">
        <v>45842</v>
      </c>
      <c r="K764" s="38" t="s">
        <v>10768</v>
      </c>
      <c r="L764" s="42">
        <v>7000000</v>
      </c>
      <c r="O764"/>
    </row>
    <row r="765" spans="1:15" x14ac:dyDescent="0.3">
      <c r="A765" s="37">
        <v>135674</v>
      </c>
      <c r="B765" s="38">
        <v>759</v>
      </c>
      <c r="C765" s="39" t="s">
        <v>6267</v>
      </c>
      <c r="D765" s="10" t="str">
        <f>VLOOKUP(C765,'Data Angt'!$A$5:$B$5809,2,FALSE)</f>
        <v>A2776</v>
      </c>
      <c r="E765" s="40" t="s">
        <v>11293</v>
      </c>
      <c r="F765" s="41">
        <v>44908</v>
      </c>
      <c r="G765" s="38">
        <v>12</v>
      </c>
      <c r="H765" s="40">
        <v>0</v>
      </c>
      <c r="I765" s="38">
        <v>5.5</v>
      </c>
      <c r="J765" s="41">
        <v>44908</v>
      </c>
      <c r="K765" s="38" t="s">
        <v>10768</v>
      </c>
      <c r="L765" s="42">
        <v>4000000</v>
      </c>
      <c r="O765"/>
    </row>
    <row r="766" spans="1:15" x14ac:dyDescent="0.3">
      <c r="A766" s="37">
        <v>135839</v>
      </c>
      <c r="B766" s="38">
        <v>760</v>
      </c>
      <c r="C766" s="39" t="s">
        <v>6267</v>
      </c>
      <c r="D766" s="10" t="str">
        <f>VLOOKUP(C766,'Data Angt'!$A$5:$B$5809,2,FALSE)</f>
        <v>A2776</v>
      </c>
      <c r="E766" s="40" t="s">
        <v>11352</v>
      </c>
      <c r="F766" s="41">
        <v>44931</v>
      </c>
      <c r="G766" s="38">
        <v>12</v>
      </c>
      <c r="H766" s="40">
        <v>0</v>
      </c>
      <c r="I766" s="38">
        <v>5.5</v>
      </c>
      <c r="J766" s="41">
        <v>44931</v>
      </c>
      <c r="K766" s="38" t="s">
        <v>10768</v>
      </c>
      <c r="L766" s="42">
        <v>4000000</v>
      </c>
      <c r="O766"/>
    </row>
    <row r="767" spans="1:15" x14ac:dyDescent="0.3">
      <c r="A767" s="37">
        <v>135843</v>
      </c>
      <c r="B767" s="38">
        <v>761</v>
      </c>
      <c r="C767" s="39" t="s">
        <v>6267</v>
      </c>
      <c r="D767" s="10" t="str">
        <f>VLOOKUP(C767,'Data Angt'!$A$5:$B$5809,2,FALSE)</f>
        <v>A2776</v>
      </c>
      <c r="E767" s="40" t="s">
        <v>11302</v>
      </c>
      <c r="F767" s="41">
        <v>44931</v>
      </c>
      <c r="G767" s="38">
        <v>12</v>
      </c>
      <c r="H767" s="40">
        <v>0</v>
      </c>
      <c r="I767" s="38">
        <v>5.5</v>
      </c>
      <c r="J767" s="41">
        <v>44931</v>
      </c>
      <c r="K767" s="38" t="s">
        <v>10768</v>
      </c>
      <c r="L767" s="42">
        <v>4000000</v>
      </c>
      <c r="O767"/>
    </row>
    <row r="768" spans="1:15" x14ac:dyDescent="0.3">
      <c r="A768" s="37">
        <v>135846</v>
      </c>
      <c r="B768" s="38">
        <v>762</v>
      </c>
      <c r="C768" s="39" t="s">
        <v>6267</v>
      </c>
      <c r="D768" s="10" t="str">
        <f>VLOOKUP(C768,'Data Angt'!$A$5:$B$5809,2,FALSE)</f>
        <v>A2776</v>
      </c>
      <c r="E768" s="40" t="s">
        <v>11283</v>
      </c>
      <c r="F768" s="41">
        <v>44931</v>
      </c>
      <c r="G768" s="38">
        <v>12</v>
      </c>
      <c r="H768" s="40">
        <v>0</v>
      </c>
      <c r="I768" s="38">
        <v>5.5</v>
      </c>
      <c r="J768" s="41">
        <v>44931</v>
      </c>
      <c r="K768" s="38" t="s">
        <v>10768</v>
      </c>
      <c r="L768" s="42">
        <v>4000000</v>
      </c>
      <c r="O768"/>
    </row>
    <row r="769" spans="1:15" x14ac:dyDescent="0.3">
      <c r="A769" s="37">
        <v>126748</v>
      </c>
      <c r="B769" s="38">
        <v>763</v>
      </c>
      <c r="C769" s="39" t="s">
        <v>6267</v>
      </c>
      <c r="D769" s="10" t="str">
        <f>VLOOKUP(C769,'Data Angt'!$A$5:$B$5809,2,FALSE)</f>
        <v>A2776</v>
      </c>
      <c r="E769" s="40" t="s">
        <v>11288</v>
      </c>
      <c r="F769" s="41">
        <v>44228</v>
      </c>
      <c r="G769" s="38">
        <v>12</v>
      </c>
      <c r="H769" s="40">
        <v>0</v>
      </c>
      <c r="I769" s="38">
        <v>5.5</v>
      </c>
      <c r="J769" s="41">
        <v>44228</v>
      </c>
      <c r="K769" s="38" t="s">
        <v>10768</v>
      </c>
      <c r="L769" s="42">
        <v>16000000</v>
      </c>
      <c r="O769"/>
    </row>
    <row r="770" spans="1:15" x14ac:dyDescent="0.3">
      <c r="A770" s="37">
        <v>137809</v>
      </c>
      <c r="B770" s="38">
        <v>764</v>
      </c>
      <c r="C770" s="39" t="s">
        <v>6267</v>
      </c>
      <c r="D770" s="10" t="str">
        <f>VLOOKUP(C770,'Data Angt'!$A$5:$B$5809,2,FALSE)</f>
        <v>A2776</v>
      </c>
      <c r="E770" s="40" t="s">
        <v>11284</v>
      </c>
      <c r="F770" s="41">
        <v>45092</v>
      </c>
      <c r="G770" s="38">
        <v>12</v>
      </c>
      <c r="H770" s="40">
        <v>0</v>
      </c>
      <c r="I770" s="38">
        <v>5.5</v>
      </c>
      <c r="J770" s="41">
        <v>45092</v>
      </c>
      <c r="K770" s="38" t="s">
        <v>10768</v>
      </c>
      <c r="L770" s="42">
        <v>4000000</v>
      </c>
      <c r="O770"/>
    </row>
    <row r="771" spans="1:15" x14ac:dyDescent="0.3">
      <c r="A771" s="37">
        <v>137811</v>
      </c>
      <c r="B771" s="38">
        <v>765</v>
      </c>
      <c r="C771" s="39" t="s">
        <v>6267</v>
      </c>
      <c r="D771" s="10" t="str">
        <f>VLOOKUP(C771,'Data Angt'!$A$5:$B$5809,2,FALSE)</f>
        <v>A2776</v>
      </c>
      <c r="E771" s="40" t="s">
        <v>11303</v>
      </c>
      <c r="F771" s="41">
        <v>45092</v>
      </c>
      <c r="G771" s="38">
        <v>12</v>
      </c>
      <c r="H771" s="40">
        <v>0</v>
      </c>
      <c r="I771" s="38">
        <v>5.5</v>
      </c>
      <c r="J771" s="41">
        <v>45092</v>
      </c>
      <c r="K771" s="38" t="s">
        <v>10768</v>
      </c>
      <c r="L771" s="42">
        <v>2000000</v>
      </c>
      <c r="O771"/>
    </row>
    <row r="772" spans="1:15" x14ac:dyDescent="0.3">
      <c r="A772" s="37">
        <v>131251</v>
      </c>
      <c r="B772" s="38">
        <v>766</v>
      </c>
      <c r="C772" s="39" t="s">
        <v>6267</v>
      </c>
      <c r="D772" s="10" t="str">
        <f>VLOOKUP(C772,'Data Angt'!$A$5:$B$5809,2,FALSE)</f>
        <v>A2776</v>
      </c>
      <c r="E772" s="40" t="s">
        <v>11289</v>
      </c>
      <c r="F772" s="41">
        <v>44568</v>
      </c>
      <c r="G772" s="38">
        <v>12</v>
      </c>
      <c r="H772" s="40">
        <v>0</v>
      </c>
      <c r="I772" s="38">
        <v>5.5</v>
      </c>
      <c r="J772" s="41">
        <v>44568</v>
      </c>
      <c r="K772" s="38" t="s">
        <v>10768</v>
      </c>
      <c r="L772" s="42">
        <v>4000000</v>
      </c>
      <c r="O772"/>
    </row>
    <row r="773" spans="1:15" x14ac:dyDescent="0.3">
      <c r="A773" s="37">
        <v>137820</v>
      </c>
      <c r="B773" s="38">
        <v>767</v>
      </c>
      <c r="C773" s="39" t="s">
        <v>6267</v>
      </c>
      <c r="D773" s="10" t="str">
        <f>VLOOKUP(C773,'Data Angt'!$A$5:$B$5809,2,FALSE)</f>
        <v>A2776</v>
      </c>
      <c r="E773" s="40" t="s">
        <v>11353</v>
      </c>
      <c r="F773" s="41">
        <v>45092</v>
      </c>
      <c r="G773" s="38">
        <v>12</v>
      </c>
      <c r="H773" s="40">
        <v>0</v>
      </c>
      <c r="I773" s="38">
        <v>5.5</v>
      </c>
      <c r="J773" s="41">
        <v>45092</v>
      </c>
      <c r="K773" s="38" t="s">
        <v>10768</v>
      </c>
      <c r="L773" s="42">
        <v>2000000</v>
      </c>
      <c r="O773"/>
    </row>
    <row r="774" spans="1:15" x14ac:dyDescent="0.3">
      <c r="A774" s="37">
        <v>131253</v>
      </c>
      <c r="B774" s="38">
        <v>768</v>
      </c>
      <c r="C774" s="39" t="s">
        <v>6267</v>
      </c>
      <c r="D774" s="10" t="str">
        <f>VLOOKUP(C774,'Data Angt'!$A$5:$B$5809,2,FALSE)</f>
        <v>A2776</v>
      </c>
      <c r="E774" s="40" t="s">
        <v>11290</v>
      </c>
      <c r="F774" s="41">
        <v>44568</v>
      </c>
      <c r="G774" s="38">
        <v>12</v>
      </c>
      <c r="H774" s="40">
        <v>0</v>
      </c>
      <c r="I774" s="38">
        <v>5.5</v>
      </c>
      <c r="J774" s="41">
        <v>44568</v>
      </c>
      <c r="K774" s="38" t="s">
        <v>10768</v>
      </c>
      <c r="L774" s="42">
        <v>20000000</v>
      </c>
      <c r="O774"/>
    </row>
    <row r="775" spans="1:15" x14ac:dyDescent="0.3">
      <c r="A775" s="37">
        <v>139124</v>
      </c>
      <c r="B775" s="38">
        <v>769</v>
      </c>
      <c r="C775" s="39" t="s">
        <v>6267</v>
      </c>
      <c r="D775" s="10" t="str">
        <f>VLOOKUP(C775,'Data Angt'!$A$5:$B$5809,2,FALSE)</f>
        <v>A2776</v>
      </c>
      <c r="E775" s="40" t="s">
        <v>11285</v>
      </c>
      <c r="F775" s="41">
        <v>45174</v>
      </c>
      <c r="G775" s="38">
        <v>12</v>
      </c>
      <c r="H775" s="40">
        <v>0</v>
      </c>
      <c r="I775" s="38">
        <v>5.5</v>
      </c>
      <c r="J775" s="41">
        <v>45174</v>
      </c>
      <c r="K775" s="38" t="s">
        <v>10768</v>
      </c>
      <c r="L775" s="42">
        <v>4000000</v>
      </c>
      <c r="O775"/>
    </row>
    <row r="776" spans="1:15" x14ac:dyDescent="0.3">
      <c r="A776" s="37">
        <v>131961</v>
      </c>
      <c r="B776" s="38">
        <v>770</v>
      </c>
      <c r="C776" s="39" t="s">
        <v>6267</v>
      </c>
      <c r="D776" s="10" t="str">
        <f>VLOOKUP(C776,'Data Angt'!$A$5:$B$5809,2,FALSE)</f>
        <v>A2776</v>
      </c>
      <c r="E776" s="40" t="s">
        <v>11291</v>
      </c>
      <c r="F776" s="41">
        <v>44599</v>
      </c>
      <c r="G776" s="38">
        <v>12</v>
      </c>
      <c r="H776" s="40">
        <v>0</v>
      </c>
      <c r="I776" s="38">
        <v>5.5</v>
      </c>
      <c r="J776" s="41">
        <v>44599</v>
      </c>
      <c r="K776" s="38" t="s">
        <v>10768</v>
      </c>
      <c r="L776" s="42">
        <v>4000000</v>
      </c>
      <c r="O776"/>
    </row>
    <row r="777" spans="1:15" x14ac:dyDescent="0.3">
      <c r="A777" s="37">
        <v>140525</v>
      </c>
      <c r="B777" s="38">
        <v>771</v>
      </c>
      <c r="C777" s="39" t="s">
        <v>6267</v>
      </c>
      <c r="D777" s="10" t="str">
        <f>VLOOKUP(C777,'Data Angt'!$A$5:$B$5809,2,FALSE)</f>
        <v>A2776</v>
      </c>
      <c r="E777" s="40" t="s">
        <v>11286</v>
      </c>
      <c r="F777" s="41">
        <v>45248</v>
      </c>
      <c r="G777" s="38">
        <v>12</v>
      </c>
      <c r="H777" s="40">
        <v>0</v>
      </c>
      <c r="I777" s="38">
        <v>5.5</v>
      </c>
      <c r="J777" s="41">
        <v>45248</v>
      </c>
      <c r="K777" s="38" t="s">
        <v>10768</v>
      </c>
      <c r="L777" s="42">
        <v>2000000</v>
      </c>
      <c r="O777"/>
    </row>
    <row r="778" spans="1:15" x14ac:dyDescent="0.3">
      <c r="A778" s="37">
        <v>140527</v>
      </c>
      <c r="B778" s="38">
        <v>772</v>
      </c>
      <c r="C778" s="39" t="s">
        <v>6267</v>
      </c>
      <c r="D778" s="10" t="str">
        <f>VLOOKUP(C778,'Data Angt'!$A$5:$B$5809,2,FALSE)</f>
        <v>A2776</v>
      </c>
      <c r="E778" s="40" t="s">
        <v>11287</v>
      </c>
      <c r="F778" s="41">
        <v>45248</v>
      </c>
      <c r="G778" s="38">
        <v>12</v>
      </c>
      <c r="H778" s="40">
        <v>0</v>
      </c>
      <c r="I778" s="38">
        <v>5.5</v>
      </c>
      <c r="J778" s="41">
        <v>45248</v>
      </c>
      <c r="K778" s="38" t="s">
        <v>10768</v>
      </c>
      <c r="L778" s="42">
        <v>2000000</v>
      </c>
      <c r="O778"/>
    </row>
    <row r="779" spans="1:15" x14ac:dyDescent="0.3">
      <c r="A779" s="37">
        <v>120693</v>
      </c>
      <c r="B779" s="38">
        <v>773</v>
      </c>
      <c r="C779" s="39" t="s">
        <v>6267</v>
      </c>
      <c r="D779" s="10" t="str">
        <f>VLOOKUP(C779,'Data Angt'!$A$5:$B$5809,2,FALSE)</f>
        <v>A2776</v>
      </c>
      <c r="E779" s="40" t="s">
        <v>11299</v>
      </c>
      <c r="F779" s="41">
        <v>43874</v>
      </c>
      <c r="G779" s="38">
        <v>12</v>
      </c>
      <c r="H779" s="40">
        <v>0</v>
      </c>
      <c r="I779" s="38">
        <v>5.5</v>
      </c>
      <c r="J779" s="41">
        <v>43874</v>
      </c>
      <c r="K779" s="38" t="s">
        <v>10768</v>
      </c>
      <c r="L779" s="42">
        <v>3500000</v>
      </c>
      <c r="O779"/>
    </row>
    <row r="780" spans="1:15" x14ac:dyDescent="0.3">
      <c r="A780" s="37">
        <v>132376</v>
      </c>
      <c r="B780" s="38">
        <v>774</v>
      </c>
      <c r="C780" s="39" t="s">
        <v>6267</v>
      </c>
      <c r="D780" s="10" t="str">
        <f>VLOOKUP(C780,'Data Angt'!$A$5:$B$5809,2,FALSE)</f>
        <v>A2776</v>
      </c>
      <c r="E780" s="40" t="s">
        <v>11350</v>
      </c>
      <c r="F780" s="41">
        <v>44652</v>
      </c>
      <c r="G780" s="38">
        <v>12</v>
      </c>
      <c r="H780" s="40">
        <v>0</v>
      </c>
      <c r="I780" s="38">
        <v>5.5</v>
      </c>
      <c r="J780" s="41">
        <v>44652</v>
      </c>
      <c r="K780" s="38" t="s">
        <v>10768</v>
      </c>
      <c r="L780" s="42">
        <v>1500000</v>
      </c>
      <c r="O780"/>
    </row>
    <row r="781" spans="1:15" x14ac:dyDescent="0.3">
      <c r="A781" s="37">
        <v>140529</v>
      </c>
      <c r="B781" s="38">
        <v>775</v>
      </c>
      <c r="C781" s="39" t="s">
        <v>6267</v>
      </c>
      <c r="D781" s="10" t="str">
        <f>VLOOKUP(C781,'Data Angt'!$A$5:$B$5809,2,FALSE)</f>
        <v>A2776</v>
      </c>
      <c r="E781" s="40" t="s">
        <v>11354</v>
      </c>
      <c r="F781" s="41">
        <v>45248</v>
      </c>
      <c r="G781" s="38">
        <v>12</v>
      </c>
      <c r="H781" s="40">
        <v>0</v>
      </c>
      <c r="I781" s="38">
        <v>5.5</v>
      </c>
      <c r="J781" s="41">
        <v>45248</v>
      </c>
      <c r="K781" s="38" t="s">
        <v>10768</v>
      </c>
      <c r="L781" s="42">
        <v>2000000</v>
      </c>
      <c r="O781"/>
    </row>
    <row r="782" spans="1:15" x14ac:dyDescent="0.3">
      <c r="A782" s="37">
        <v>79235</v>
      </c>
      <c r="B782" s="38">
        <v>776</v>
      </c>
      <c r="C782" s="39" t="s">
        <v>6303</v>
      </c>
      <c r="D782" s="10" t="str">
        <f>VLOOKUP(C782,'Data Angt'!$A$5:$B$5809,2,FALSE)</f>
        <v>A2793</v>
      </c>
      <c r="E782" s="40" t="s">
        <v>11296</v>
      </c>
      <c r="F782" s="41">
        <v>42882</v>
      </c>
      <c r="G782" s="38">
        <v>12</v>
      </c>
      <c r="H782" s="40">
        <v>0</v>
      </c>
      <c r="I782" s="38">
        <v>5.5</v>
      </c>
      <c r="J782" s="41">
        <v>42882</v>
      </c>
      <c r="K782" s="38" t="s">
        <v>10768</v>
      </c>
      <c r="L782" s="42">
        <v>15000000</v>
      </c>
      <c r="O782"/>
    </row>
    <row r="783" spans="1:15" x14ac:dyDescent="0.3">
      <c r="A783" s="37">
        <v>112436</v>
      </c>
      <c r="B783" s="38">
        <v>777</v>
      </c>
      <c r="C783" s="39" t="s">
        <v>6307</v>
      </c>
      <c r="D783" s="10" t="str">
        <f>VLOOKUP(C783,'Data Angt'!$A$5:$B$5809,2,FALSE)</f>
        <v>A2795</v>
      </c>
      <c r="E783" s="40" t="s">
        <v>11297</v>
      </c>
      <c r="F783" s="41">
        <v>43607</v>
      </c>
      <c r="G783" s="38">
        <v>12</v>
      </c>
      <c r="H783" s="40">
        <v>0</v>
      </c>
      <c r="I783" s="38">
        <v>5.5</v>
      </c>
      <c r="J783" s="41">
        <v>43607</v>
      </c>
      <c r="K783" s="38" t="s">
        <v>10768</v>
      </c>
      <c r="L783" s="42">
        <v>5000000</v>
      </c>
      <c r="O783"/>
    </row>
    <row r="784" spans="1:15" x14ac:dyDescent="0.3">
      <c r="A784" s="37">
        <v>79437</v>
      </c>
      <c r="B784" s="38">
        <v>778</v>
      </c>
      <c r="C784" s="39" t="s">
        <v>6318</v>
      </c>
      <c r="D784" s="10" t="str">
        <f>VLOOKUP(C784,'Data Angt'!$A$5:$B$5809,2,FALSE)</f>
        <v>A2800</v>
      </c>
      <c r="E784" s="40" t="s">
        <v>11298</v>
      </c>
      <c r="F784" s="41">
        <v>42908</v>
      </c>
      <c r="G784" s="38">
        <v>12</v>
      </c>
      <c r="H784" s="40">
        <v>0</v>
      </c>
      <c r="I784" s="38">
        <v>5.5</v>
      </c>
      <c r="J784" s="41">
        <v>42908</v>
      </c>
      <c r="K784" s="38" t="s">
        <v>10768</v>
      </c>
      <c r="L784" s="42">
        <v>60000000</v>
      </c>
      <c r="O784"/>
    </row>
    <row r="785" spans="1:15" x14ac:dyDescent="0.3">
      <c r="A785" s="37">
        <v>144326</v>
      </c>
      <c r="B785" s="38">
        <v>779</v>
      </c>
      <c r="C785" s="39" t="s">
        <v>6318</v>
      </c>
      <c r="D785" s="10" t="str">
        <f>VLOOKUP(C785,'Data Angt'!$A$5:$B$5809,2,FALSE)</f>
        <v>A2800</v>
      </c>
      <c r="E785" s="40" t="s">
        <v>18587</v>
      </c>
      <c r="F785" s="41">
        <v>45401</v>
      </c>
      <c r="G785" s="38">
        <v>12</v>
      </c>
      <c r="H785" s="40">
        <v>0</v>
      </c>
      <c r="I785" s="38">
        <v>5.5</v>
      </c>
      <c r="J785" s="41">
        <v>45401</v>
      </c>
      <c r="K785" s="38" t="s">
        <v>10768</v>
      </c>
      <c r="L785" s="42">
        <v>150000000</v>
      </c>
      <c r="O785"/>
    </row>
    <row r="786" spans="1:15" x14ac:dyDescent="0.3">
      <c r="A786" s="37">
        <v>151249</v>
      </c>
      <c r="B786" s="38">
        <v>780</v>
      </c>
      <c r="C786" s="39" t="s">
        <v>6386</v>
      </c>
      <c r="D786" s="10" t="str">
        <f>VLOOKUP(C786,'Data Angt'!$A$5:$B$5809,2,FALSE)</f>
        <v>A2831</v>
      </c>
      <c r="E786" s="40" t="s">
        <v>18588</v>
      </c>
      <c r="F786" s="41">
        <v>45629</v>
      </c>
      <c r="G786" s="38">
        <v>12</v>
      </c>
      <c r="H786" s="40">
        <v>0</v>
      </c>
      <c r="I786" s="38">
        <v>5.5</v>
      </c>
      <c r="J786" s="41">
        <v>45629</v>
      </c>
      <c r="K786" s="38" t="s">
        <v>10768</v>
      </c>
      <c r="L786" s="42">
        <v>70000000</v>
      </c>
      <c r="O786"/>
    </row>
    <row r="787" spans="1:15" x14ac:dyDescent="0.3">
      <c r="A787" s="37">
        <v>130583</v>
      </c>
      <c r="B787" s="38">
        <v>781</v>
      </c>
      <c r="C787" s="39" t="s">
        <v>6436</v>
      </c>
      <c r="D787" s="10" t="str">
        <f>VLOOKUP(C787,'Data Angt'!$A$5:$B$5809,2,FALSE)</f>
        <v>A2855</v>
      </c>
      <c r="E787" s="40" t="s">
        <v>11305</v>
      </c>
      <c r="F787" s="41">
        <v>44508</v>
      </c>
      <c r="G787" s="38">
        <v>12</v>
      </c>
      <c r="H787" s="40">
        <v>0</v>
      </c>
      <c r="I787" s="38">
        <v>5.5</v>
      </c>
      <c r="J787" s="41">
        <v>44508</v>
      </c>
      <c r="K787" s="38" t="s">
        <v>10768</v>
      </c>
      <c r="L787" s="42">
        <v>15000000</v>
      </c>
      <c r="O787"/>
    </row>
    <row r="788" spans="1:15" x14ac:dyDescent="0.3">
      <c r="A788" s="37">
        <v>136389</v>
      </c>
      <c r="B788" s="38">
        <v>782</v>
      </c>
      <c r="C788" s="39" t="s">
        <v>6436</v>
      </c>
      <c r="D788" s="10" t="str">
        <f>VLOOKUP(C788,'Data Angt'!$A$5:$B$5809,2,FALSE)</f>
        <v>A2855</v>
      </c>
      <c r="E788" s="40" t="s">
        <v>11306</v>
      </c>
      <c r="F788" s="41">
        <v>44970</v>
      </c>
      <c r="G788" s="38">
        <v>12</v>
      </c>
      <c r="H788" s="40">
        <v>0</v>
      </c>
      <c r="I788" s="38">
        <v>5.5</v>
      </c>
      <c r="J788" s="41">
        <v>44970</v>
      </c>
      <c r="K788" s="38" t="s">
        <v>10768</v>
      </c>
      <c r="L788" s="42">
        <v>10000000</v>
      </c>
      <c r="O788"/>
    </row>
    <row r="789" spans="1:15" x14ac:dyDescent="0.3">
      <c r="A789" s="37">
        <v>81341</v>
      </c>
      <c r="B789" s="38">
        <v>783</v>
      </c>
      <c r="C789" s="39" t="s">
        <v>6451</v>
      </c>
      <c r="D789" s="10" t="str">
        <f>VLOOKUP(C789,'Data Angt'!$A$5:$B$5809,2,FALSE)</f>
        <v>A2861</v>
      </c>
      <c r="E789" s="40" t="s">
        <v>11307</v>
      </c>
      <c r="F789" s="41">
        <v>43165</v>
      </c>
      <c r="G789" s="38">
        <v>12</v>
      </c>
      <c r="H789" s="40">
        <v>0</v>
      </c>
      <c r="I789" s="38">
        <v>5.5</v>
      </c>
      <c r="J789" s="41">
        <v>43165</v>
      </c>
      <c r="K789" s="38" t="s">
        <v>10768</v>
      </c>
      <c r="L789" s="42">
        <v>100000000</v>
      </c>
      <c r="O789"/>
    </row>
    <row r="790" spans="1:15" x14ac:dyDescent="0.3">
      <c r="A790" s="37">
        <v>79215</v>
      </c>
      <c r="B790" s="38">
        <v>784</v>
      </c>
      <c r="C790" s="39" t="s">
        <v>6477</v>
      </c>
      <c r="D790" s="10" t="str">
        <f>VLOOKUP(C790,'Data Angt'!$A$5:$B$5809,2,FALSE)</f>
        <v>A2872</v>
      </c>
      <c r="E790" s="40" t="s">
        <v>11308</v>
      </c>
      <c r="F790" s="41">
        <v>42845</v>
      </c>
      <c r="G790" s="38">
        <v>12</v>
      </c>
      <c r="H790" s="40">
        <v>0</v>
      </c>
      <c r="I790" s="38">
        <v>5.5</v>
      </c>
      <c r="J790" s="41">
        <v>42845</v>
      </c>
      <c r="K790" s="38" t="s">
        <v>10768</v>
      </c>
      <c r="L790" s="42">
        <v>1000000</v>
      </c>
      <c r="O790"/>
    </row>
    <row r="791" spans="1:15" x14ac:dyDescent="0.3">
      <c r="A791" s="37">
        <v>79302</v>
      </c>
      <c r="B791" s="38">
        <v>785</v>
      </c>
      <c r="C791" s="39" t="s">
        <v>6516</v>
      </c>
      <c r="D791" s="10" t="str">
        <f>VLOOKUP(C791,'Data Angt'!$A$5:$B$5809,2,FALSE)</f>
        <v>A2894</v>
      </c>
      <c r="E791" s="40" t="s">
        <v>11309</v>
      </c>
      <c r="F791" s="41">
        <v>42989</v>
      </c>
      <c r="G791" s="38">
        <v>12</v>
      </c>
      <c r="H791" s="40">
        <v>0</v>
      </c>
      <c r="I791" s="38">
        <v>5.5</v>
      </c>
      <c r="J791" s="41">
        <v>43048</v>
      </c>
      <c r="K791" s="38" t="s">
        <v>10768</v>
      </c>
      <c r="L791" s="42">
        <v>7000000</v>
      </c>
      <c r="O791"/>
    </row>
    <row r="792" spans="1:15" x14ac:dyDescent="0.3">
      <c r="A792" s="37">
        <v>157150</v>
      </c>
      <c r="B792" s="38">
        <v>786</v>
      </c>
      <c r="C792" s="39" t="s">
        <v>6577</v>
      </c>
      <c r="D792" s="10" t="str">
        <f>VLOOKUP(C792,'Data Angt'!$A$5:$B$5809,2,FALSE)</f>
        <v>A2922</v>
      </c>
      <c r="E792" s="40" t="s">
        <v>24160</v>
      </c>
      <c r="F792" s="41">
        <v>45856</v>
      </c>
      <c r="G792" s="38">
        <v>12</v>
      </c>
      <c r="H792" s="40">
        <v>0</v>
      </c>
      <c r="I792" s="38">
        <v>5.5</v>
      </c>
      <c r="J792" s="41">
        <v>45856</v>
      </c>
      <c r="K792" s="38" t="s">
        <v>10768</v>
      </c>
      <c r="L792" s="42">
        <v>16500000</v>
      </c>
      <c r="O792"/>
    </row>
    <row r="793" spans="1:15" x14ac:dyDescent="0.3">
      <c r="A793" s="37">
        <v>148485</v>
      </c>
      <c r="B793" s="38">
        <v>787</v>
      </c>
      <c r="C793" s="39" t="s">
        <v>6633</v>
      </c>
      <c r="D793" s="10" t="str">
        <f>VLOOKUP(C793,'Data Angt'!$A$5:$B$5809,2,FALSE)</f>
        <v>A2947</v>
      </c>
      <c r="E793" s="40" t="s">
        <v>18589</v>
      </c>
      <c r="F793" s="41">
        <v>45532</v>
      </c>
      <c r="G793" s="38">
        <v>12</v>
      </c>
      <c r="H793" s="40">
        <v>0</v>
      </c>
      <c r="I793" s="38">
        <v>5.5</v>
      </c>
      <c r="J793" s="41">
        <v>45532</v>
      </c>
      <c r="K793" s="38" t="s">
        <v>10768</v>
      </c>
      <c r="L793" s="42">
        <v>20000000</v>
      </c>
      <c r="O793"/>
    </row>
    <row r="794" spans="1:15" x14ac:dyDescent="0.3">
      <c r="A794" s="37">
        <v>93319</v>
      </c>
      <c r="B794" s="38">
        <v>788</v>
      </c>
      <c r="C794" s="39" t="s">
        <v>6640</v>
      </c>
      <c r="D794" s="10" t="str">
        <f>VLOOKUP(C794,'Data Angt'!$A$5:$B$5809,2,FALSE)</f>
        <v>A2950</v>
      </c>
      <c r="E794" s="40" t="s">
        <v>11310</v>
      </c>
      <c r="F794" s="41">
        <v>43489</v>
      </c>
      <c r="G794" s="38">
        <v>12</v>
      </c>
      <c r="H794" s="40">
        <v>0</v>
      </c>
      <c r="I794" s="38">
        <v>5.5</v>
      </c>
      <c r="J794" s="41">
        <v>43489</v>
      </c>
      <c r="K794" s="38" t="s">
        <v>10768</v>
      </c>
      <c r="L794" s="42">
        <v>20000000</v>
      </c>
      <c r="O794"/>
    </row>
    <row r="795" spans="1:15" x14ac:dyDescent="0.3">
      <c r="A795" s="37">
        <v>158494</v>
      </c>
      <c r="B795" s="38">
        <v>789</v>
      </c>
      <c r="C795" s="39" t="s">
        <v>6656</v>
      </c>
      <c r="D795" s="10" t="str">
        <f>VLOOKUP(C795,'Data Angt'!$A$5:$B$5809,2,FALSE)</f>
        <v>A2956</v>
      </c>
      <c r="E795" s="40" t="s">
        <v>24161</v>
      </c>
      <c r="F795" s="41">
        <v>45910</v>
      </c>
      <c r="G795" s="38">
        <v>12</v>
      </c>
      <c r="H795" s="40">
        <v>0</v>
      </c>
      <c r="I795" s="38">
        <v>5.5</v>
      </c>
      <c r="J795" s="41">
        <v>45910</v>
      </c>
      <c r="K795" s="38" t="s">
        <v>10768</v>
      </c>
      <c r="L795" s="42">
        <v>1000000</v>
      </c>
      <c r="O795"/>
    </row>
    <row r="796" spans="1:15" x14ac:dyDescent="0.3">
      <c r="A796" s="37">
        <v>79327</v>
      </c>
      <c r="B796" s="38">
        <v>790</v>
      </c>
      <c r="C796" s="39" t="s">
        <v>6669</v>
      </c>
      <c r="D796" s="10" t="str">
        <f>VLOOKUP(C796,'Data Angt'!$A$5:$B$5809,2,FALSE)</f>
        <v>A2963</v>
      </c>
      <c r="E796" s="40" t="s">
        <v>11314</v>
      </c>
      <c r="F796" s="41">
        <v>43032</v>
      </c>
      <c r="G796" s="38">
        <v>12</v>
      </c>
      <c r="H796" s="40">
        <v>0</v>
      </c>
      <c r="I796" s="38">
        <v>5.5</v>
      </c>
      <c r="J796" s="41">
        <v>43032</v>
      </c>
      <c r="K796" s="38" t="s">
        <v>10768</v>
      </c>
      <c r="L796" s="42">
        <v>22500000</v>
      </c>
      <c r="O796"/>
    </row>
    <row r="797" spans="1:15" x14ac:dyDescent="0.3">
      <c r="A797" s="37">
        <v>79328</v>
      </c>
      <c r="B797" s="38">
        <v>791</v>
      </c>
      <c r="C797" s="39" t="s">
        <v>6669</v>
      </c>
      <c r="D797" s="10" t="str">
        <f>VLOOKUP(C797,'Data Angt'!$A$5:$B$5809,2,FALSE)</f>
        <v>A2963</v>
      </c>
      <c r="E797" s="40" t="s">
        <v>11311</v>
      </c>
      <c r="F797" s="41">
        <v>43032</v>
      </c>
      <c r="G797" s="38">
        <v>12</v>
      </c>
      <c r="H797" s="40">
        <v>0</v>
      </c>
      <c r="I797" s="38">
        <v>5.5</v>
      </c>
      <c r="J797" s="41">
        <v>43032</v>
      </c>
      <c r="K797" s="38" t="s">
        <v>10768</v>
      </c>
      <c r="L797" s="42">
        <v>22500000</v>
      </c>
      <c r="O797"/>
    </row>
    <row r="798" spans="1:15" x14ac:dyDescent="0.3">
      <c r="A798" s="37">
        <v>79329</v>
      </c>
      <c r="B798" s="38">
        <v>792</v>
      </c>
      <c r="C798" s="39" t="s">
        <v>6669</v>
      </c>
      <c r="D798" s="10" t="str">
        <f>VLOOKUP(C798,'Data Angt'!$A$5:$B$5809,2,FALSE)</f>
        <v>A2963</v>
      </c>
      <c r="E798" s="40" t="s">
        <v>11312</v>
      </c>
      <c r="F798" s="41">
        <v>43032</v>
      </c>
      <c r="G798" s="38">
        <v>12</v>
      </c>
      <c r="H798" s="40">
        <v>0</v>
      </c>
      <c r="I798" s="38">
        <v>5.5</v>
      </c>
      <c r="J798" s="41">
        <v>43032</v>
      </c>
      <c r="K798" s="38" t="s">
        <v>10768</v>
      </c>
      <c r="L798" s="42">
        <v>22500000</v>
      </c>
      <c r="O798"/>
    </row>
    <row r="799" spans="1:15" x14ac:dyDescent="0.3">
      <c r="A799" s="37">
        <v>79330</v>
      </c>
      <c r="B799" s="38">
        <v>793</v>
      </c>
      <c r="C799" s="39" t="s">
        <v>6669</v>
      </c>
      <c r="D799" s="10" t="str">
        <f>VLOOKUP(C799,'Data Angt'!$A$5:$B$5809,2,FALSE)</f>
        <v>A2963</v>
      </c>
      <c r="E799" s="40" t="s">
        <v>11313</v>
      </c>
      <c r="F799" s="41">
        <v>43032</v>
      </c>
      <c r="G799" s="38">
        <v>12</v>
      </c>
      <c r="H799" s="40">
        <v>0</v>
      </c>
      <c r="I799" s="38">
        <v>5.5</v>
      </c>
      <c r="J799" s="41">
        <v>43032</v>
      </c>
      <c r="K799" s="38" t="s">
        <v>10768</v>
      </c>
      <c r="L799" s="42">
        <v>22500000</v>
      </c>
      <c r="O799"/>
    </row>
    <row r="800" spans="1:15" x14ac:dyDescent="0.3">
      <c r="A800" s="37">
        <v>130417</v>
      </c>
      <c r="B800" s="38">
        <v>794</v>
      </c>
      <c r="C800" s="39" t="s">
        <v>6672</v>
      </c>
      <c r="D800" s="10" t="str">
        <f>VLOOKUP(C800,'Data Angt'!$A$5:$B$5809,2,FALSE)</f>
        <v>A2965</v>
      </c>
      <c r="E800" s="40" t="s">
        <v>11315</v>
      </c>
      <c r="F800" s="41">
        <v>44496</v>
      </c>
      <c r="G800" s="38">
        <v>12</v>
      </c>
      <c r="H800" s="40">
        <v>0</v>
      </c>
      <c r="I800" s="38">
        <v>5.5</v>
      </c>
      <c r="J800" s="41">
        <v>44496</v>
      </c>
      <c r="K800" s="38" t="s">
        <v>10768</v>
      </c>
      <c r="L800" s="42">
        <v>12000000</v>
      </c>
      <c r="O800"/>
    </row>
    <row r="801" spans="1:15" x14ac:dyDescent="0.3">
      <c r="A801" s="37">
        <v>151309</v>
      </c>
      <c r="B801" s="38">
        <v>795</v>
      </c>
      <c r="C801" s="39" t="s">
        <v>6672</v>
      </c>
      <c r="D801" s="10" t="str">
        <f>VLOOKUP(C801,'Data Angt'!$A$5:$B$5809,2,FALSE)</f>
        <v>A2965</v>
      </c>
      <c r="E801" s="40" t="s">
        <v>18590</v>
      </c>
      <c r="F801" s="41">
        <v>45631</v>
      </c>
      <c r="G801" s="38">
        <v>12</v>
      </c>
      <c r="H801" s="40">
        <v>0</v>
      </c>
      <c r="I801" s="38">
        <v>5.5</v>
      </c>
      <c r="J801" s="41">
        <v>45631</v>
      </c>
      <c r="K801" s="38" t="s">
        <v>10768</v>
      </c>
      <c r="L801" s="42">
        <v>13000000</v>
      </c>
      <c r="O801"/>
    </row>
    <row r="802" spans="1:15" x14ac:dyDescent="0.3">
      <c r="A802" s="37">
        <v>123632</v>
      </c>
      <c r="B802" s="38">
        <v>796</v>
      </c>
      <c r="C802" s="39" t="s">
        <v>6785</v>
      </c>
      <c r="D802" s="10" t="str">
        <f>VLOOKUP(C802,'Data Angt'!$A$5:$B$5809,2,FALSE)</f>
        <v>A3019</v>
      </c>
      <c r="E802" s="40" t="s">
        <v>11316</v>
      </c>
      <c r="F802" s="41">
        <v>43990</v>
      </c>
      <c r="G802" s="38">
        <v>12</v>
      </c>
      <c r="H802" s="40">
        <v>0</v>
      </c>
      <c r="I802" s="38">
        <v>5.5</v>
      </c>
      <c r="J802" s="41">
        <v>43990</v>
      </c>
      <c r="K802" s="38" t="s">
        <v>10768</v>
      </c>
      <c r="L802" s="42">
        <v>50000000</v>
      </c>
      <c r="O802"/>
    </row>
    <row r="803" spans="1:15" x14ac:dyDescent="0.3">
      <c r="A803" s="37">
        <v>144254</v>
      </c>
      <c r="B803" s="38">
        <v>797</v>
      </c>
      <c r="C803" s="39" t="s">
        <v>6785</v>
      </c>
      <c r="D803" s="10" t="str">
        <f>VLOOKUP(C803,'Data Angt'!$A$5:$B$5809,2,FALSE)</f>
        <v>A3019</v>
      </c>
      <c r="E803" s="40" t="s">
        <v>18591</v>
      </c>
      <c r="F803" s="41">
        <v>45391</v>
      </c>
      <c r="G803" s="38">
        <v>12</v>
      </c>
      <c r="H803" s="40">
        <v>0</v>
      </c>
      <c r="I803" s="38">
        <v>5.5</v>
      </c>
      <c r="J803" s="41">
        <v>45391</v>
      </c>
      <c r="K803" s="38" t="s">
        <v>10768</v>
      </c>
      <c r="L803" s="42">
        <v>50000000</v>
      </c>
      <c r="O803"/>
    </row>
    <row r="804" spans="1:15" x14ac:dyDescent="0.3">
      <c r="A804" s="37">
        <v>144480</v>
      </c>
      <c r="B804" s="38">
        <v>798</v>
      </c>
      <c r="C804" s="39" t="s">
        <v>6785</v>
      </c>
      <c r="D804" s="10" t="str">
        <f>VLOOKUP(C804,'Data Angt'!$A$5:$B$5809,2,FALSE)</f>
        <v>A3019</v>
      </c>
      <c r="E804" s="40" t="s">
        <v>18592</v>
      </c>
      <c r="F804" s="41">
        <v>45411</v>
      </c>
      <c r="G804" s="38">
        <v>12</v>
      </c>
      <c r="H804" s="40">
        <v>0</v>
      </c>
      <c r="I804" s="38">
        <v>5.5</v>
      </c>
      <c r="J804" s="41">
        <v>45411</v>
      </c>
      <c r="K804" s="38" t="s">
        <v>10768</v>
      </c>
      <c r="L804" s="42">
        <v>50000000</v>
      </c>
      <c r="O804"/>
    </row>
    <row r="805" spans="1:15" x14ac:dyDescent="0.3">
      <c r="A805" s="37">
        <v>154951</v>
      </c>
      <c r="B805" s="38">
        <v>799</v>
      </c>
      <c r="C805" s="39" t="s">
        <v>6785</v>
      </c>
      <c r="D805" s="10" t="str">
        <f>VLOOKUP(C805,'Data Angt'!$A$5:$B$5809,2,FALSE)</f>
        <v>A3019</v>
      </c>
      <c r="E805" s="40" t="s">
        <v>18593</v>
      </c>
      <c r="F805" s="41">
        <v>45757</v>
      </c>
      <c r="G805" s="38">
        <v>12</v>
      </c>
      <c r="H805" s="40">
        <v>0</v>
      </c>
      <c r="I805" s="38">
        <v>5.5</v>
      </c>
      <c r="J805" s="41">
        <v>45757</v>
      </c>
      <c r="K805" s="38" t="s">
        <v>10768</v>
      </c>
      <c r="L805" s="42">
        <v>15000000</v>
      </c>
      <c r="O805"/>
    </row>
    <row r="806" spans="1:15" x14ac:dyDescent="0.3">
      <c r="A806" s="37">
        <v>155377</v>
      </c>
      <c r="B806" s="38">
        <v>800</v>
      </c>
      <c r="C806" s="39" t="s">
        <v>6785</v>
      </c>
      <c r="D806" s="10" t="str">
        <f>VLOOKUP(C806,'Data Angt'!$A$5:$B$5809,2,FALSE)</f>
        <v>A3019</v>
      </c>
      <c r="E806" s="40" t="s">
        <v>18594</v>
      </c>
      <c r="F806" s="41">
        <v>45779</v>
      </c>
      <c r="G806" s="38">
        <v>12</v>
      </c>
      <c r="H806" s="40">
        <v>0</v>
      </c>
      <c r="I806" s="38">
        <v>5.5</v>
      </c>
      <c r="J806" s="41">
        <v>45779</v>
      </c>
      <c r="K806" s="38" t="s">
        <v>10768</v>
      </c>
      <c r="L806" s="42">
        <v>50000000</v>
      </c>
      <c r="O806"/>
    </row>
    <row r="807" spans="1:15" x14ac:dyDescent="0.3">
      <c r="A807" s="37">
        <v>79384</v>
      </c>
      <c r="B807" s="38">
        <v>801</v>
      </c>
      <c r="C807" s="39" t="s">
        <v>6874</v>
      </c>
      <c r="D807" s="10" t="str">
        <f>VLOOKUP(C807,'Data Angt'!$A$5:$B$5809,2,FALSE)</f>
        <v>A3067</v>
      </c>
      <c r="E807" s="40" t="s">
        <v>11317</v>
      </c>
      <c r="F807" s="41">
        <v>43116</v>
      </c>
      <c r="G807" s="38">
        <v>12</v>
      </c>
      <c r="H807" s="40">
        <v>0</v>
      </c>
      <c r="I807" s="38">
        <v>5.5</v>
      </c>
      <c r="J807" s="41">
        <v>43116</v>
      </c>
      <c r="K807" s="38" t="s">
        <v>10768</v>
      </c>
      <c r="L807" s="42">
        <v>10000000</v>
      </c>
      <c r="O807"/>
    </row>
    <row r="808" spans="1:15" x14ac:dyDescent="0.3">
      <c r="A808" s="37">
        <v>111948</v>
      </c>
      <c r="B808" s="38">
        <v>802</v>
      </c>
      <c r="C808" s="39" t="s">
        <v>6874</v>
      </c>
      <c r="D808" s="10" t="str">
        <f>VLOOKUP(C808,'Data Angt'!$A$5:$B$5809,2,FALSE)</f>
        <v>A3067</v>
      </c>
      <c r="E808" s="40" t="s">
        <v>11318</v>
      </c>
      <c r="F808" s="41">
        <v>43589</v>
      </c>
      <c r="G808" s="38">
        <v>12</v>
      </c>
      <c r="H808" s="40">
        <v>0</v>
      </c>
      <c r="I808" s="38">
        <v>5.5</v>
      </c>
      <c r="J808" s="41">
        <v>43589</v>
      </c>
      <c r="K808" s="38" t="s">
        <v>10768</v>
      </c>
      <c r="L808" s="42">
        <v>5000000</v>
      </c>
      <c r="O808"/>
    </row>
    <row r="809" spans="1:15" x14ac:dyDescent="0.3">
      <c r="A809" s="37">
        <v>149944</v>
      </c>
      <c r="B809" s="38">
        <v>803</v>
      </c>
      <c r="C809" s="39" t="s">
        <v>12462</v>
      </c>
      <c r="D809" s="10" t="str">
        <f>VLOOKUP(C809,'Data Angt'!$A$5:$B$5809,2,FALSE)</f>
        <v>A3086</v>
      </c>
      <c r="E809" s="40" t="s">
        <v>18595</v>
      </c>
      <c r="F809" s="41">
        <v>45595</v>
      </c>
      <c r="G809" s="38">
        <v>12</v>
      </c>
      <c r="H809" s="40">
        <v>0</v>
      </c>
      <c r="I809" s="38">
        <v>5.5</v>
      </c>
      <c r="J809" s="41">
        <v>45595</v>
      </c>
      <c r="K809" s="38" t="s">
        <v>10768</v>
      </c>
      <c r="L809" s="42">
        <v>100000000</v>
      </c>
      <c r="O809"/>
    </row>
    <row r="810" spans="1:15" x14ac:dyDescent="0.3">
      <c r="A810" s="37">
        <v>130248</v>
      </c>
      <c r="B810" s="38">
        <v>804</v>
      </c>
      <c r="C810" s="39" t="s">
        <v>6929</v>
      </c>
      <c r="D810" s="10" t="str">
        <f>VLOOKUP(C810,'Data Angt'!$A$5:$B$5809,2,FALSE)</f>
        <v>A3097</v>
      </c>
      <c r="E810" s="40" t="s">
        <v>11319</v>
      </c>
      <c r="F810" s="41">
        <v>44480</v>
      </c>
      <c r="G810" s="38">
        <v>12</v>
      </c>
      <c r="H810" s="40">
        <v>0</v>
      </c>
      <c r="I810" s="38">
        <v>5.5</v>
      </c>
      <c r="J810" s="41">
        <v>44480</v>
      </c>
      <c r="K810" s="38" t="s">
        <v>10768</v>
      </c>
      <c r="L810" s="42">
        <v>10000000</v>
      </c>
      <c r="O810"/>
    </row>
    <row r="811" spans="1:15" x14ac:dyDescent="0.3">
      <c r="A811" s="37">
        <v>135807</v>
      </c>
      <c r="B811" s="38">
        <v>805</v>
      </c>
      <c r="C811" s="39" t="s">
        <v>6929</v>
      </c>
      <c r="D811" s="10" t="str">
        <f>VLOOKUP(C811,'Data Angt'!$A$5:$B$5809,2,FALSE)</f>
        <v>A3097</v>
      </c>
      <c r="E811" s="40" t="s">
        <v>11320</v>
      </c>
      <c r="F811" s="41">
        <v>44918</v>
      </c>
      <c r="G811" s="38">
        <v>12</v>
      </c>
      <c r="H811" s="40">
        <v>0</v>
      </c>
      <c r="I811" s="38">
        <v>5.5</v>
      </c>
      <c r="J811" s="41">
        <v>44918</v>
      </c>
      <c r="K811" s="38" t="s">
        <v>10768</v>
      </c>
      <c r="L811" s="42">
        <v>50000000</v>
      </c>
      <c r="O811"/>
    </row>
    <row r="812" spans="1:15" x14ac:dyDescent="0.3">
      <c r="A812" s="37">
        <v>135808</v>
      </c>
      <c r="B812" s="38">
        <v>806</v>
      </c>
      <c r="C812" s="39" t="s">
        <v>6929</v>
      </c>
      <c r="D812" s="10" t="str">
        <f>VLOOKUP(C812,'Data Angt'!$A$5:$B$5809,2,FALSE)</f>
        <v>A3097</v>
      </c>
      <c r="E812" s="40" t="s">
        <v>11321</v>
      </c>
      <c r="F812" s="41">
        <v>44918</v>
      </c>
      <c r="G812" s="38">
        <v>12</v>
      </c>
      <c r="H812" s="40">
        <v>0</v>
      </c>
      <c r="I812" s="38">
        <v>5.5</v>
      </c>
      <c r="J812" s="41">
        <v>44918</v>
      </c>
      <c r="K812" s="38" t="s">
        <v>10768</v>
      </c>
      <c r="L812" s="42">
        <v>50000000</v>
      </c>
      <c r="O812"/>
    </row>
    <row r="813" spans="1:15" x14ac:dyDescent="0.3">
      <c r="A813" s="37">
        <v>151770</v>
      </c>
      <c r="B813" s="38">
        <v>807</v>
      </c>
      <c r="C813" s="39" t="s">
        <v>6929</v>
      </c>
      <c r="D813" s="10" t="str">
        <f>VLOOKUP(C813,'Data Angt'!$A$5:$B$5809,2,FALSE)</f>
        <v>A3097</v>
      </c>
      <c r="E813" s="40" t="s">
        <v>18596</v>
      </c>
      <c r="F813" s="41">
        <v>45656</v>
      </c>
      <c r="G813" s="38">
        <v>12</v>
      </c>
      <c r="H813" s="40">
        <v>0</v>
      </c>
      <c r="I813" s="38">
        <v>5.5</v>
      </c>
      <c r="J813" s="41">
        <v>45656</v>
      </c>
      <c r="K813" s="38" t="s">
        <v>10768</v>
      </c>
      <c r="L813" s="42">
        <v>50000000</v>
      </c>
      <c r="O813"/>
    </row>
    <row r="814" spans="1:15" x14ac:dyDescent="0.3">
      <c r="A814" s="37">
        <v>151771</v>
      </c>
      <c r="B814" s="38">
        <v>808</v>
      </c>
      <c r="C814" s="39" t="s">
        <v>6929</v>
      </c>
      <c r="D814" s="10" t="str">
        <f>VLOOKUP(C814,'Data Angt'!$A$5:$B$5809,2,FALSE)</f>
        <v>A3097</v>
      </c>
      <c r="E814" s="40" t="s">
        <v>18597</v>
      </c>
      <c r="F814" s="41">
        <v>45656</v>
      </c>
      <c r="G814" s="38">
        <v>12</v>
      </c>
      <c r="H814" s="40">
        <v>0</v>
      </c>
      <c r="I814" s="38">
        <v>5.5</v>
      </c>
      <c r="J814" s="41">
        <v>45656</v>
      </c>
      <c r="K814" s="38" t="s">
        <v>10768</v>
      </c>
      <c r="L814" s="42">
        <v>50000000</v>
      </c>
      <c r="O814"/>
    </row>
    <row r="815" spans="1:15" x14ac:dyDescent="0.3">
      <c r="A815" s="37">
        <v>117124</v>
      </c>
      <c r="B815" s="38">
        <v>809</v>
      </c>
      <c r="C815" s="39" t="s">
        <v>6938</v>
      </c>
      <c r="D815" s="10" t="str">
        <f>VLOOKUP(C815,'Data Angt'!$A$5:$B$5809,2,FALSE)</f>
        <v>A3102</v>
      </c>
      <c r="E815" s="40" t="s">
        <v>11322</v>
      </c>
      <c r="F815" s="41">
        <v>43742</v>
      </c>
      <c r="G815" s="38">
        <v>12</v>
      </c>
      <c r="H815" s="40">
        <v>0</v>
      </c>
      <c r="I815" s="38">
        <v>5.5</v>
      </c>
      <c r="J815" s="41">
        <v>43742</v>
      </c>
      <c r="K815" s="38" t="s">
        <v>10768</v>
      </c>
      <c r="L815" s="42">
        <v>10000000</v>
      </c>
      <c r="O815"/>
    </row>
    <row r="816" spans="1:15" x14ac:dyDescent="0.3">
      <c r="A816" s="37">
        <v>82512</v>
      </c>
      <c r="B816" s="38">
        <v>810</v>
      </c>
      <c r="C816" s="39" t="s">
        <v>6940</v>
      </c>
      <c r="D816" s="10" t="str">
        <f>VLOOKUP(C816,'Data Angt'!$A$5:$B$5809,2,FALSE)</f>
        <v>A3103</v>
      </c>
      <c r="E816" s="40" t="s">
        <v>11323</v>
      </c>
      <c r="F816" s="41">
        <v>43213</v>
      </c>
      <c r="G816" s="38">
        <v>12</v>
      </c>
      <c r="H816" s="40">
        <v>0</v>
      </c>
      <c r="I816" s="38">
        <v>5.5</v>
      </c>
      <c r="J816" s="41">
        <v>43213</v>
      </c>
      <c r="K816" s="38" t="s">
        <v>10768</v>
      </c>
      <c r="L816" s="42">
        <v>10000000</v>
      </c>
      <c r="O816"/>
    </row>
    <row r="817" spans="1:15" x14ac:dyDescent="0.3">
      <c r="A817" s="37">
        <v>119126</v>
      </c>
      <c r="B817" s="38">
        <v>811</v>
      </c>
      <c r="C817" s="39" t="s">
        <v>6940</v>
      </c>
      <c r="D817" s="10" t="str">
        <f>VLOOKUP(C817,'Data Angt'!$A$5:$B$5809,2,FALSE)</f>
        <v>A3103</v>
      </c>
      <c r="E817" s="40" t="s">
        <v>11324</v>
      </c>
      <c r="F817" s="41">
        <v>43813</v>
      </c>
      <c r="G817" s="38">
        <v>12</v>
      </c>
      <c r="H817" s="40">
        <v>0</v>
      </c>
      <c r="I817" s="38">
        <v>5.5</v>
      </c>
      <c r="J817" s="41">
        <v>43813</v>
      </c>
      <c r="K817" s="38" t="s">
        <v>10768</v>
      </c>
      <c r="L817" s="42">
        <v>25000000</v>
      </c>
      <c r="O817"/>
    </row>
    <row r="818" spans="1:15" x14ac:dyDescent="0.3">
      <c r="A818" s="37">
        <v>153131</v>
      </c>
      <c r="B818" s="38">
        <v>812</v>
      </c>
      <c r="C818" s="39" t="s">
        <v>7023</v>
      </c>
      <c r="D818" s="10" t="str">
        <f>VLOOKUP(C818,'Data Angt'!$A$5:$B$5809,2,FALSE)</f>
        <v>A3142</v>
      </c>
      <c r="E818" s="40" t="s">
        <v>18598</v>
      </c>
      <c r="F818" s="41">
        <v>45699</v>
      </c>
      <c r="G818" s="38">
        <v>12</v>
      </c>
      <c r="H818" s="40">
        <v>0</v>
      </c>
      <c r="I818" s="38">
        <v>5.5</v>
      </c>
      <c r="J818" s="41">
        <v>45699</v>
      </c>
      <c r="K818" s="38" t="s">
        <v>10768</v>
      </c>
      <c r="L818" s="42">
        <v>2500000</v>
      </c>
      <c r="O818"/>
    </row>
    <row r="819" spans="1:15" x14ac:dyDescent="0.3">
      <c r="A819" s="37">
        <v>81585</v>
      </c>
      <c r="B819" s="38">
        <v>813</v>
      </c>
      <c r="C819" s="39" t="s">
        <v>7032</v>
      </c>
      <c r="D819" s="10" t="str">
        <f>VLOOKUP(C819,'Data Angt'!$A$5:$B$5809,2,FALSE)</f>
        <v>A3146</v>
      </c>
      <c r="E819" s="40" t="s">
        <v>11325</v>
      </c>
      <c r="F819" s="41">
        <v>43192</v>
      </c>
      <c r="G819" s="38">
        <v>12</v>
      </c>
      <c r="H819" s="40">
        <v>0</v>
      </c>
      <c r="I819" s="38">
        <v>5.5</v>
      </c>
      <c r="J819" s="41">
        <v>43192</v>
      </c>
      <c r="K819" s="38" t="s">
        <v>10768</v>
      </c>
      <c r="L819" s="42">
        <v>10000000</v>
      </c>
      <c r="O819"/>
    </row>
    <row r="820" spans="1:15" x14ac:dyDescent="0.3">
      <c r="A820" s="37">
        <v>81674</v>
      </c>
      <c r="B820" s="38">
        <v>814</v>
      </c>
      <c r="C820" s="39" t="s">
        <v>7096</v>
      </c>
      <c r="D820" s="10" t="str">
        <f>VLOOKUP(C820,'Data Angt'!$A$5:$B$5809,2,FALSE)</f>
        <v>A3175</v>
      </c>
      <c r="E820" s="40" t="s">
        <v>11326</v>
      </c>
      <c r="F820" s="41">
        <v>43203</v>
      </c>
      <c r="G820" s="38">
        <v>12</v>
      </c>
      <c r="H820" s="40">
        <v>0</v>
      </c>
      <c r="I820" s="38">
        <v>5.5</v>
      </c>
      <c r="J820" s="41">
        <v>43203</v>
      </c>
      <c r="K820" s="38" t="s">
        <v>10768</v>
      </c>
      <c r="L820" s="42">
        <v>4000000</v>
      </c>
      <c r="O820"/>
    </row>
    <row r="821" spans="1:15" x14ac:dyDescent="0.3">
      <c r="A821" s="37">
        <v>82387</v>
      </c>
      <c r="B821" s="38">
        <v>815</v>
      </c>
      <c r="C821" s="39" t="s">
        <v>7108</v>
      </c>
      <c r="D821" s="10" t="str">
        <f>VLOOKUP(C821,'Data Angt'!$A$5:$B$5809,2,FALSE)</f>
        <v>A3181</v>
      </c>
      <c r="E821" s="40" t="s">
        <v>11327</v>
      </c>
      <c r="F821" s="41">
        <v>43214</v>
      </c>
      <c r="G821" s="38">
        <v>12</v>
      </c>
      <c r="H821" s="40">
        <v>0</v>
      </c>
      <c r="I821" s="38">
        <v>5.5</v>
      </c>
      <c r="J821" s="41">
        <v>43214</v>
      </c>
      <c r="K821" s="38" t="s">
        <v>10768</v>
      </c>
      <c r="L821" s="42">
        <v>10000000</v>
      </c>
      <c r="O821"/>
    </row>
    <row r="822" spans="1:15" x14ac:dyDescent="0.3">
      <c r="A822" s="37">
        <v>138737</v>
      </c>
      <c r="B822" s="38">
        <v>816</v>
      </c>
      <c r="C822" s="39" t="s">
        <v>7151</v>
      </c>
      <c r="D822" s="10" t="str">
        <f>VLOOKUP(C822,'Data Angt'!$A$5:$B$5809,2,FALSE)</f>
        <v>A3199</v>
      </c>
      <c r="E822" s="40" t="s">
        <v>11329</v>
      </c>
      <c r="F822" s="41">
        <v>45153</v>
      </c>
      <c r="G822" s="38">
        <v>12</v>
      </c>
      <c r="H822" s="40">
        <v>0</v>
      </c>
      <c r="I822" s="38">
        <v>5.5</v>
      </c>
      <c r="J822" s="41">
        <v>45153</v>
      </c>
      <c r="K822" s="38" t="s">
        <v>10768</v>
      </c>
      <c r="L822" s="42">
        <v>1000000</v>
      </c>
      <c r="O822"/>
    </row>
    <row r="823" spans="1:15" x14ac:dyDescent="0.3">
      <c r="A823" s="37">
        <v>157899</v>
      </c>
      <c r="B823" s="38">
        <v>817</v>
      </c>
      <c r="C823" s="39" t="s">
        <v>7151</v>
      </c>
      <c r="D823" s="10" t="str">
        <f>VLOOKUP(C823,'Data Angt'!$A$5:$B$5809,2,FALSE)</f>
        <v>A3199</v>
      </c>
      <c r="E823" s="40" t="s">
        <v>24162</v>
      </c>
      <c r="F823" s="41">
        <v>45885</v>
      </c>
      <c r="G823" s="38">
        <v>12</v>
      </c>
      <c r="H823" s="40">
        <v>0</v>
      </c>
      <c r="I823" s="38">
        <v>5.5</v>
      </c>
      <c r="J823" s="41">
        <v>45885</v>
      </c>
      <c r="K823" s="38" t="s">
        <v>10768</v>
      </c>
      <c r="L823" s="42">
        <v>1000000</v>
      </c>
      <c r="O823"/>
    </row>
    <row r="824" spans="1:15" x14ac:dyDescent="0.3">
      <c r="A824" s="37">
        <v>130937</v>
      </c>
      <c r="B824" s="38">
        <v>818</v>
      </c>
      <c r="C824" s="39" t="s">
        <v>7151</v>
      </c>
      <c r="D824" s="10" t="str">
        <f>VLOOKUP(C824,'Data Angt'!$A$5:$B$5809,2,FALSE)</f>
        <v>A3199</v>
      </c>
      <c r="E824" s="40" t="s">
        <v>11328</v>
      </c>
      <c r="F824" s="41">
        <v>44541</v>
      </c>
      <c r="G824" s="38">
        <v>12</v>
      </c>
      <c r="H824" s="40">
        <v>0</v>
      </c>
      <c r="I824" s="38">
        <v>5.5</v>
      </c>
      <c r="J824" s="41">
        <v>44541</v>
      </c>
      <c r="K824" s="38" t="s">
        <v>10768</v>
      </c>
      <c r="L824" s="42">
        <v>1000000</v>
      </c>
      <c r="O824"/>
    </row>
    <row r="825" spans="1:15" x14ac:dyDescent="0.3">
      <c r="A825" s="37">
        <v>127832</v>
      </c>
      <c r="B825" s="38">
        <v>819</v>
      </c>
      <c r="C825" s="39" t="s">
        <v>7154</v>
      </c>
      <c r="D825" s="10" t="str">
        <f>VLOOKUP(C825,'Data Angt'!$A$5:$B$5809,2,FALSE)</f>
        <v>A3200</v>
      </c>
      <c r="E825" s="40" t="s">
        <v>11330</v>
      </c>
      <c r="F825" s="41">
        <v>44301</v>
      </c>
      <c r="G825" s="38">
        <v>12</v>
      </c>
      <c r="H825" s="40">
        <v>0</v>
      </c>
      <c r="I825" s="38">
        <v>5.5</v>
      </c>
      <c r="J825" s="41">
        <v>44301</v>
      </c>
      <c r="K825" s="38" t="s">
        <v>10768</v>
      </c>
      <c r="L825" s="42">
        <v>1000000</v>
      </c>
      <c r="O825"/>
    </row>
    <row r="826" spans="1:15" x14ac:dyDescent="0.3">
      <c r="A826" s="37">
        <v>130280</v>
      </c>
      <c r="B826" s="38">
        <v>820</v>
      </c>
      <c r="C826" s="39" t="s">
        <v>7154</v>
      </c>
      <c r="D826" s="10" t="str">
        <f>VLOOKUP(C826,'Data Angt'!$A$5:$B$5809,2,FALSE)</f>
        <v>A3200</v>
      </c>
      <c r="E826" s="40" t="s">
        <v>11331</v>
      </c>
      <c r="F826" s="41">
        <v>44481</v>
      </c>
      <c r="G826" s="38">
        <v>12</v>
      </c>
      <c r="H826" s="40">
        <v>0</v>
      </c>
      <c r="I826" s="38">
        <v>5.5</v>
      </c>
      <c r="J826" s="41">
        <v>44481</v>
      </c>
      <c r="K826" s="38" t="s">
        <v>10768</v>
      </c>
      <c r="L826" s="42">
        <v>1000000</v>
      </c>
      <c r="O826"/>
    </row>
    <row r="827" spans="1:15" x14ac:dyDescent="0.3">
      <c r="A827" s="37">
        <v>137361</v>
      </c>
      <c r="B827" s="38">
        <v>821</v>
      </c>
      <c r="C827" s="39" t="s">
        <v>7154</v>
      </c>
      <c r="D827" s="10" t="str">
        <f>VLOOKUP(C827,'Data Angt'!$A$5:$B$5809,2,FALSE)</f>
        <v>A3200</v>
      </c>
      <c r="E827" s="40" t="s">
        <v>11332</v>
      </c>
      <c r="F827" s="41">
        <v>45054</v>
      </c>
      <c r="G827" s="38">
        <v>12</v>
      </c>
      <c r="H827" s="40">
        <v>0</v>
      </c>
      <c r="I827" s="38">
        <v>5.5</v>
      </c>
      <c r="J827" s="41">
        <v>45054</v>
      </c>
      <c r="K827" s="38" t="s">
        <v>10768</v>
      </c>
      <c r="L827" s="42">
        <v>1000000</v>
      </c>
      <c r="O827"/>
    </row>
    <row r="828" spans="1:15" x14ac:dyDescent="0.3">
      <c r="A828" s="37">
        <v>142027</v>
      </c>
      <c r="B828" s="38">
        <v>822</v>
      </c>
      <c r="C828" s="39" t="s">
        <v>7154</v>
      </c>
      <c r="D828" s="10" t="str">
        <f>VLOOKUP(C828,'Data Angt'!$A$5:$B$5809,2,FALSE)</f>
        <v>A3200</v>
      </c>
      <c r="E828" s="40" t="s">
        <v>18599</v>
      </c>
      <c r="F828" s="41">
        <v>45311</v>
      </c>
      <c r="G828" s="38">
        <v>12</v>
      </c>
      <c r="H828" s="40">
        <v>0</v>
      </c>
      <c r="I828" s="38">
        <v>5.5</v>
      </c>
      <c r="J828" s="41">
        <v>45311</v>
      </c>
      <c r="K828" s="38" t="s">
        <v>10768</v>
      </c>
      <c r="L828" s="42">
        <v>1000000</v>
      </c>
      <c r="O828"/>
    </row>
    <row r="829" spans="1:15" x14ac:dyDescent="0.3">
      <c r="A829" s="37">
        <v>127853</v>
      </c>
      <c r="B829" s="38">
        <v>823</v>
      </c>
      <c r="C829" s="39" t="s">
        <v>7156</v>
      </c>
      <c r="D829" s="10" t="str">
        <f>VLOOKUP(C829,'Data Angt'!$A$5:$B$5809,2,FALSE)</f>
        <v>A3201</v>
      </c>
      <c r="E829" s="40" t="s">
        <v>11333</v>
      </c>
      <c r="F829" s="41">
        <v>44301</v>
      </c>
      <c r="G829" s="38">
        <v>12</v>
      </c>
      <c r="H829" s="40">
        <v>0</v>
      </c>
      <c r="I829" s="38">
        <v>5.5</v>
      </c>
      <c r="J829" s="41">
        <v>44301</v>
      </c>
      <c r="K829" s="38" t="s">
        <v>10768</v>
      </c>
      <c r="L829" s="42">
        <v>1000000</v>
      </c>
      <c r="O829"/>
    </row>
    <row r="830" spans="1:15" x14ac:dyDescent="0.3">
      <c r="A830" s="37">
        <v>130928</v>
      </c>
      <c r="B830" s="38">
        <v>824</v>
      </c>
      <c r="C830" s="39" t="s">
        <v>7156</v>
      </c>
      <c r="D830" s="10" t="str">
        <f>VLOOKUP(C830,'Data Angt'!$A$5:$B$5809,2,FALSE)</f>
        <v>A3201</v>
      </c>
      <c r="E830" s="40" t="s">
        <v>11334</v>
      </c>
      <c r="F830" s="41">
        <v>44541</v>
      </c>
      <c r="G830" s="38">
        <v>12</v>
      </c>
      <c r="H830" s="40">
        <v>0</v>
      </c>
      <c r="I830" s="38">
        <v>5.5</v>
      </c>
      <c r="J830" s="41">
        <v>44541</v>
      </c>
      <c r="K830" s="38" t="s">
        <v>10768</v>
      </c>
      <c r="L830" s="42">
        <v>1000000</v>
      </c>
      <c r="O830"/>
    </row>
    <row r="831" spans="1:15" x14ac:dyDescent="0.3">
      <c r="A831" s="37">
        <v>137360</v>
      </c>
      <c r="B831" s="38">
        <v>825</v>
      </c>
      <c r="C831" s="39" t="s">
        <v>7156</v>
      </c>
      <c r="D831" s="10" t="str">
        <f>VLOOKUP(C831,'Data Angt'!$A$5:$B$5809,2,FALSE)</f>
        <v>A3201</v>
      </c>
      <c r="E831" s="40" t="s">
        <v>11335</v>
      </c>
      <c r="F831" s="41">
        <v>45054</v>
      </c>
      <c r="G831" s="38">
        <v>12</v>
      </c>
      <c r="H831" s="40">
        <v>0</v>
      </c>
      <c r="I831" s="38">
        <v>5.5</v>
      </c>
      <c r="J831" s="41">
        <v>45054</v>
      </c>
      <c r="K831" s="38" t="s">
        <v>10768</v>
      </c>
      <c r="L831" s="42">
        <v>2000000</v>
      </c>
      <c r="O831"/>
    </row>
    <row r="832" spans="1:15" x14ac:dyDescent="0.3">
      <c r="A832" s="37">
        <v>142029</v>
      </c>
      <c r="B832" s="38">
        <v>826</v>
      </c>
      <c r="C832" s="39" t="s">
        <v>7156</v>
      </c>
      <c r="D832" s="10" t="str">
        <f>VLOOKUP(C832,'Data Angt'!$A$5:$B$5809,2,FALSE)</f>
        <v>A3201</v>
      </c>
      <c r="E832" s="40" t="s">
        <v>18600</v>
      </c>
      <c r="F832" s="41">
        <v>45311</v>
      </c>
      <c r="G832" s="38">
        <v>12</v>
      </c>
      <c r="H832" s="40">
        <v>0</v>
      </c>
      <c r="I832" s="38">
        <v>5.5</v>
      </c>
      <c r="J832" s="41">
        <v>45311</v>
      </c>
      <c r="K832" s="38" t="s">
        <v>10768</v>
      </c>
      <c r="L832" s="42">
        <v>1000000</v>
      </c>
      <c r="O832"/>
    </row>
    <row r="833" spans="1:15" x14ac:dyDescent="0.3">
      <c r="A833" s="37">
        <v>157905</v>
      </c>
      <c r="B833" s="38">
        <v>827</v>
      </c>
      <c r="C833" s="39" t="s">
        <v>7156</v>
      </c>
      <c r="D833" s="10" t="str">
        <f>VLOOKUP(C833,'Data Angt'!$A$5:$B$5809,2,FALSE)</f>
        <v>A3201</v>
      </c>
      <c r="E833" s="40" t="s">
        <v>24163</v>
      </c>
      <c r="F833" s="41">
        <v>45885</v>
      </c>
      <c r="G833" s="38">
        <v>12</v>
      </c>
      <c r="H833" s="40">
        <v>0</v>
      </c>
      <c r="I833" s="38">
        <v>5.5</v>
      </c>
      <c r="J833" s="41">
        <v>45885</v>
      </c>
      <c r="K833" s="38" t="s">
        <v>10768</v>
      </c>
      <c r="L833" s="42">
        <v>1000000</v>
      </c>
      <c r="O833"/>
    </row>
    <row r="834" spans="1:15" x14ac:dyDescent="0.3">
      <c r="A834" s="37">
        <v>127854</v>
      </c>
      <c r="B834" s="38">
        <v>828</v>
      </c>
      <c r="C834" s="39" t="s">
        <v>7177</v>
      </c>
      <c r="D834" s="10" t="str">
        <f>VLOOKUP(C834,'Data Angt'!$A$5:$B$5809,2,FALSE)</f>
        <v>A3210</v>
      </c>
      <c r="E834" s="40" t="s">
        <v>11336</v>
      </c>
      <c r="F834" s="41">
        <v>44301</v>
      </c>
      <c r="G834" s="38">
        <v>12</v>
      </c>
      <c r="H834" s="40">
        <v>0</v>
      </c>
      <c r="I834" s="38">
        <v>5.5</v>
      </c>
      <c r="J834" s="41">
        <v>44301</v>
      </c>
      <c r="K834" s="38" t="s">
        <v>10768</v>
      </c>
      <c r="L834" s="42">
        <v>1000000</v>
      </c>
      <c r="O834"/>
    </row>
    <row r="835" spans="1:15" x14ac:dyDescent="0.3">
      <c r="A835" s="37">
        <v>152049</v>
      </c>
      <c r="B835" s="38">
        <v>829</v>
      </c>
      <c r="C835" s="39" t="s">
        <v>7177</v>
      </c>
      <c r="D835" s="10" t="str">
        <f>VLOOKUP(C835,'Data Angt'!$A$5:$B$5809,2,FALSE)</f>
        <v>A3210</v>
      </c>
      <c r="E835" s="40" t="s">
        <v>18601</v>
      </c>
      <c r="F835" s="41">
        <v>45667</v>
      </c>
      <c r="G835" s="38">
        <v>12</v>
      </c>
      <c r="H835" s="40">
        <v>0</v>
      </c>
      <c r="I835" s="38">
        <v>5.5</v>
      </c>
      <c r="J835" s="41">
        <v>45667</v>
      </c>
      <c r="K835" s="38" t="s">
        <v>10768</v>
      </c>
      <c r="L835" s="42">
        <v>2000000</v>
      </c>
      <c r="O835"/>
    </row>
    <row r="836" spans="1:15" x14ac:dyDescent="0.3">
      <c r="A836" s="37">
        <v>130761</v>
      </c>
      <c r="B836" s="38">
        <v>830</v>
      </c>
      <c r="C836" s="39" t="s">
        <v>7232</v>
      </c>
      <c r="D836" s="10" t="str">
        <f>VLOOKUP(C836,'Data Angt'!$A$5:$B$5809,2,FALSE)</f>
        <v>A3233</v>
      </c>
      <c r="E836" s="40" t="s">
        <v>11337</v>
      </c>
      <c r="F836" s="41">
        <v>44524</v>
      </c>
      <c r="G836" s="38">
        <v>12</v>
      </c>
      <c r="H836" s="40">
        <v>0</v>
      </c>
      <c r="I836" s="38">
        <v>5.5</v>
      </c>
      <c r="J836" s="41">
        <v>44524</v>
      </c>
      <c r="K836" s="38" t="s">
        <v>10768</v>
      </c>
      <c r="L836" s="42">
        <v>5000000</v>
      </c>
      <c r="O836"/>
    </row>
    <row r="837" spans="1:15" x14ac:dyDescent="0.3">
      <c r="A837" s="37">
        <v>137358</v>
      </c>
      <c r="B837" s="38">
        <v>831</v>
      </c>
      <c r="C837" s="39" t="s">
        <v>7248</v>
      </c>
      <c r="D837" s="10" t="str">
        <f>VLOOKUP(C837,'Data Angt'!$A$5:$B$5809,2,FALSE)</f>
        <v>A3240</v>
      </c>
      <c r="E837" s="40" t="s">
        <v>11339</v>
      </c>
      <c r="F837" s="41">
        <v>45054</v>
      </c>
      <c r="G837" s="38">
        <v>12</v>
      </c>
      <c r="H837" s="40">
        <v>0</v>
      </c>
      <c r="I837" s="38">
        <v>5.5</v>
      </c>
      <c r="J837" s="41">
        <v>45054</v>
      </c>
      <c r="K837" s="38" t="s">
        <v>10768</v>
      </c>
      <c r="L837" s="42">
        <v>1000000</v>
      </c>
      <c r="O837"/>
    </row>
    <row r="838" spans="1:15" x14ac:dyDescent="0.3">
      <c r="A838" s="37">
        <v>138742</v>
      </c>
      <c r="B838" s="38">
        <v>832</v>
      </c>
      <c r="C838" s="39" t="s">
        <v>7248</v>
      </c>
      <c r="D838" s="10" t="str">
        <f>VLOOKUP(C838,'Data Angt'!$A$5:$B$5809,2,FALSE)</f>
        <v>A3240</v>
      </c>
      <c r="E838" s="40" t="s">
        <v>11340</v>
      </c>
      <c r="F838" s="41">
        <v>45153</v>
      </c>
      <c r="G838" s="38">
        <v>12</v>
      </c>
      <c r="H838" s="40">
        <v>0</v>
      </c>
      <c r="I838" s="38">
        <v>5.5</v>
      </c>
      <c r="J838" s="41">
        <v>45153</v>
      </c>
      <c r="K838" s="38" t="s">
        <v>10768</v>
      </c>
      <c r="L838" s="42">
        <v>1000000</v>
      </c>
      <c r="O838"/>
    </row>
    <row r="839" spans="1:15" x14ac:dyDescent="0.3">
      <c r="A839" s="37">
        <v>157903</v>
      </c>
      <c r="B839" s="38">
        <v>833</v>
      </c>
      <c r="C839" s="39" t="s">
        <v>7248</v>
      </c>
      <c r="D839" s="10" t="str">
        <f>VLOOKUP(C839,'Data Angt'!$A$5:$B$5809,2,FALSE)</f>
        <v>A3240</v>
      </c>
      <c r="E839" s="40" t="s">
        <v>24164</v>
      </c>
      <c r="F839" s="41">
        <v>45885</v>
      </c>
      <c r="G839" s="38">
        <v>12</v>
      </c>
      <c r="H839" s="40">
        <v>0</v>
      </c>
      <c r="I839" s="38">
        <v>5.5</v>
      </c>
      <c r="J839" s="41">
        <v>45885</v>
      </c>
      <c r="K839" s="38" t="s">
        <v>10768</v>
      </c>
      <c r="L839" s="42">
        <v>1000000</v>
      </c>
      <c r="O839"/>
    </row>
    <row r="840" spans="1:15" x14ac:dyDescent="0.3">
      <c r="A840" s="37">
        <v>127855</v>
      </c>
      <c r="B840" s="38">
        <v>834</v>
      </c>
      <c r="C840" s="39" t="s">
        <v>7248</v>
      </c>
      <c r="D840" s="10" t="str">
        <f>VLOOKUP(C840,'Data Angt'!$A$5:$B$5809,2,FALSE)</f>
        <v>A3240</v>
      </c>
      <c r="E840" s="40" t="s">
        <v>11338</v>
      </c>
      <c r="F840" s="41">
        <v>44301</v>
      </c>
      <c r="G840" s="38">
        <v>12</v>
      </c>
      <c r="H840" s="40">
        <v>0</v>
      </c>
      <c r="I840" s="38">
        <v>5.5</v>
      </c>
      <c r="J840" s="41">
        <v>44301</v>
      </c>
      <c r="K840" s="38" t="s">
        <v>10768</v>
      </c>
      <c r="L840" s="42">
        <v>1000000</v>
      </c>
      <c r="O840"/>
    </row>
    <row r="841" spans="1:15" x14ac:dyDescent="0.3">
      <c r="A841" s="37">
        <v>127848</v>
      </c>
      <c r="B841" s="38">
        <v>835</v>
      </c>
      <c r="C841" s="39" t="s">
        <v>7301</v>
      </c>
      <c r="D841" s="10" t="str">
        <f>VLOOKUP(C841,'Data Angt'!$A$5:$B$5809,2,FALSE)</f>
        <v>A3267</v>
      </c>
      <c r="E841" s="40" t="s">
        <v>11341</v>
      </c>
      <c r="F841" s="41">
        <v>44301</v>
      </c>
      <c r="G841" s="38">
        <v>12</v>
      </c>
      <c r="H841" s="40">
        <v>0</v>
      </c>
      <c r="I841" s="38">
        <v>5.5</v>
      </c>
      <c r="J841" s="41">
        <v>44301</v>
      </c>
      <c r="K841" s="38" t="s">
        <v>10768</v>
      </c>
      <c r="L841" s="42">
        <v>1000000</v>
      </c>
      <c r="O841"/>
    </row>
    <row r="842" spans="1:15" x14ac:dyDescent="0.3">
      <c r="A842" s="37">
        <v>130935</v>
      </c>
      <c r="B842" s="38">
        <v>836</v>
      </c>
      <c r="C842" s="39" t="s">
        <v>7301</v>
      </c>
      <c r="D842" s="10" t="str">
        <f>VLOOKUP(C842,'Data Angt'!$A$5:$B$5809,2,FALSE)</f>
        <v>A3267</v>
      </c>
      <c r="E842" s="40" t="s">
        <v>11342</v>
      </c>
      <c r="F842" s="41">
        <v>44541</v>
      </c>
      <c r="G842" s="38">
        <v>12</v>
      </c>
      <c r="H842" s="40">
        <v>0</v>
      </c>
      <c r="I842" s="38">
        <v>5.5</v>
      </c>
      <c r="J842" s="41">
        <v>44541</v>
      </c>
      <c r="K842" s="38" t="s">
        <v>10768</v>
      </c>
      <c r="L842" s="42">
        <v>1000000</v>
      </c>
      <c r="O842"/>
    </row>
    <row r="843" spans="1:15" x14ac:dyDescent="0.3">
      <c r="A843" s="37">
        <v>142033</v>
      </c>
      <c r="B843" s="38">
        <v>837</v>
      </c>
      <c r="C843" s="39" t="s">
        <v>7301</v>
      </c>
      <c r="D843" s="10" t="str">
        <f>VLOOKUP(C843,'Data Angt'!$A$5:$B$5809,2,FALSE)</f>
        <v>A3267</v>
      </c>
      <c r="E843" s="40" t="s">
        <v>18602</v>
      </c>
      <c r="F843" s="41">
        <v>45311</v>
      </c>
      <c r="G843" s="38">
        <v>12</v>
      </c>
      <c r="H843" s="40">
        <v>0</v>
      </c>
      <c r="I843" s="38">
        <v>5.5</v>
      </c>
      <c r="J843" s="41">
        <v>45311</v>
      </c>
      <c r="K843" s="38" t="s">
        <v>10768</v>
      </c>
      <c r="L843" s="42">
        <v>1000000</v>
      </c>
      <c r="O843"/>
    </row>
    <row r="844" spans="1:15" x14ac:dyDescent="0.3">
      <c r="A844" s="37">
        <v>157907</v>
      </c>
      <c r="B844" s="38">
        <v>838</v>
      </c>
      <c r="C844" s="39" t="s">
        <v>7301</v>
      </c>
      <c r="D844" s="10" t="str">
        <f>VLOOKUP(C844,'Data Angt'!$A$5:$B$5809,2,FALSE)</f>
        <v>A3267</v>
      </c>
      <c r="E844" s="40" t="s">
        <v>24165</v>
      </c>
      <c r="F844" s="41">
        <v>45885</v>
      </c>
      <c r="G844" s="38">
        <v>12</v>
      </c>
      <c r="H844" s="40">
        <v>0</v>
      </c>
      <c r="I844" s="38">
        <v>5.5</v>
      </c>
      <c r="J844" s="41">
        <v>45885</v>
      </c>
      <c r="K844" s="38" t="s">
        <v>10768</v>
      </c>
      <c r="L844" s="42">
        <v>1000000</v>
      </c>
      <c r="O844"/>
    </row>
    <row r="845" spans="1:15" x14ac:dyDescent="0.3">
      <c r="A845" s="37">
        <v>123591</v>
      </c>
      <c r="B845" s="38">
        <v>839</v>
      </c>
      <c r="C845" s="39" t="s">
        <v>7337</v>
      </c>
      <c r="D845" s="10" t="str">
        <f>VLOOKUP(C845,'Data Angt'!$A$5:$B$5809,2,FALSE)</f>
        <v>A3282</v>
      </c>
      <c r="E845" s="40" t="s">
        <v>11343</v>
      </c>
      <c r="F845" s="41">
        <v>43987</v>
      </c>
      <c r="G845" s="38">
        <v>12</v>
      </c>
      <c r="H845" s="40">
        <v>0</v>
      </c>
      <c r="I845" s="38">
        <v>5.5</v>
      </c>
      <c r="J845" s="41">
        <v>43987</v>
      </c>
      <c r="K845" s="38" t="s">
        <v>10768</v>
      </c>
      <c r="L845" s="42">
        <v>1000000</v>
      </c>
      <c r="O845"/>
    </row>
    <row r="846" spans="1:15" x14ac:dyDescent="0.3">
      <c r="A846" s="37">
        <v>124518</v>
      </c>
      <c r="B846" s="38">
        <v>840</v>
      </c>
      <c r="C846" s="39" t="s">
        <v>7468</v>
      </c>
      <c r="D846" s="10" t="str">
        <f>VLOOKUP(C846,'Data Angt'!$A$5:$B$5809,2,FALSE)</f>
        <v>A3342</v>
      </c>
      <c r="E846" s="40" t="s">
        <v>11344</v>
      </c>
      <c r="F846" s="41">
        <v>44050</v>
      </c>
      <c r="G846" s="38">
        <v>12</v>
      </c>
      <c r="H846" s="40">
        <v>0</v>
      </c>
      <c r="I846" s="38">
        <v>5.5</v>
      </c>
      <c r="J846" s="41">
        <v>44050</v>
      </c>
      <c r="K846" s="38" t="s">
        <v>10768</v>
      </c>
      <c r="L846" s="42">
        <v>15000000</v>
      </c>
      <c r="O846"/>
    </row>
    <row r="847" spans="1:15" x14ac:dyDescent="0.3">
      <c r="A847" s="37">
        <v>128675</v>
      </c>
      <c r="B847" s="38">
        <v>841</v>
      </c>
      <c r="C847" s="39" t="s">
        <v>7468</v>
      </c>
      <c r="D847" s="10" t="str">
        <f>VLOOKUP(C847,'Data Angt'!$A$5:$B$5809,2,FALSE)</f>
        <v>A3342</v>
      </c>
      <c r="E847" s="40" t="s">
        <v>11345</v>
      </c>
      <c r="F847" s="41">
        <v>44368</v>
      </c>
      <c r="G847" s="38">
        <v>12</v>
      </c>
      <c r="H847" s="40">
        <v>0</v>
      </c>
      <c r="I847" s="38">
        <v>5.5</v>
      </c>
      <c r="J847" s="41">
        <v>44368</v>
      </c>
      <c r="K847" s="38" t="s">
        <v>10768</v>
      </c>
      <c r="L847" s="42">
        <v>10000000</v>
      </c>
      <c r="O847"/>
    </row>
    <row r="848" spans="1:15" x14ac:dyDescent="0.3">
      <c r="A848" s="37">
        <v>93558</v>
      </c>
      <c r="B848" s="38">
        <v>842</v>
      </c>
      <c r="C848" s="39" t="s">
        <v>7498</v>
      </c>
      <c r="D848" s="10" t="str">
        <f>VLOOKUP(C848,'Data Angt'!$A$5:$B$5809,2,FALSE)</f>
        <v>A3358</v>
      </c>
      <c r="E848" s="40" t="s">
        <v>11346</v>
      </c>
      <c r="F848" s="41">
        <v>43496</v>
      </c>
      <c r="G848" s="38">
        <v>12</v>
      </c>
      <c r="H848" s="40">
        <v>0</v>
      </c>
      <c r="I848" s="38">
        <v>5.5</v>
      </c>
      <c r="J848" s="41">
        <v>43496</v>
      </c>
      <c r="K848" s="38" t="s">
        <v>10768</v>
      </c>
      <c r="L848" s="42">
        <v>35000000</v>
      </c>
      <c r="O848"/>
    </row>
    <row r="849" spans="1:15" x14ac:dyDescent="0.3">
      <c r="A849" s="37">
        <v>157564</v>
      </c>
      <c r="B849" s="38">
        <v>843</v>
      </c>
      <c r="C849" s="39" t="s">
        <v>7504</v>
      </c>
      <c r="D849" s="10" t="str">
        <f>VLOOKUP(C849,'Data Angt'!$A$5:$B$5809,2,FALSE)</f>
        <v>A3360</v>
      </c>
      <c r="E849" s="40" t="s">
        <v>24166</v>
      </c>
      <c r="F849" s="41">
        <v>45873</v>
      </c>
      <c r="G849" s="38">
        <v>12</v>
      </c>
      <c r="H849" s="40">
        <v>0</v>
      </c>
      <c r="I849" s="38">
        <v>5.5</v>
      </c>
      <c r="J849" s="41">
        <v>45873</v>
      </c>
      <c r="K849" s="38" t="s">
        <v>10768</v>
      </c>
      <c r="L849" s="42">
        <v>15000000</v>
      </c>
      <c r="O849"/>
    </row>
    <row r="850" spans="1:15" x14ac:dyDescent="0.3">
      <c r="A850" s="37">
        <v>141758</v>
      </c>
      <c r="B850" s="38">
        <v>844</v>
      </c>
      <c r="C850" s="39" t="s">
        <v>7593</v>
      </c>
      <c r="D850" s="10" t="str">
        <f>VLOOKUP(C850,'Data Angt'!$A$5:$B$5809,2,FALSE)</f>
        <v>A3401</v>
      </c>
      <c r="E850" s="40" t="s">
        <v>18603</v>
      </c>
      <c r="F850" s="41">
        <v>45306</v>
      </c>
      <c r="G850" s="38">
        <v>12</v>
      </c>
      <c r="H850" s="40">
        <v>0</v>
      </c>
      <c r="I850" s="38">
        <v>5.5</v>
      </c>
      <c r="J850" s="41">
        <v>45306</v>
      </c>
      <c r="K850" s="38" t="s">
        <v>10768</v>
      </c>
      <c r="L850" s="42">
        <v>10000000</v>
      </c>
      <c r="O850"/>
    </row>
    <row r="851" spans="1:15" x14ac:dyDescent="0.3">
      <c r="A851" s="37">
        <v>140725</v>
      </c>
      <c r="B851" s="38">
        <v>845</v>
      </c>
      <c r="C851" s="39" t="s">
        <v>7677</v>
      </c>
      <c r="D851" s="10" t="str">
        <f>VLOOKUP(C851,'Data Angt'!$A$5:$B$5809,2,FALSE)</f>
        <v>A3442</v>
      </c>
      <c r="E851" s="40" t="s">
        <v>11355</v>
      </c>
      <c r="F851" s="41">
        <v>45264</v>
      </c>
      <c r="G851" s="38">
        <v>12</v>
      </c>
      <c r="H851" s="40">
        <v>0</v>
      </c>
      <c r="I851" s="38">
        <v>5.5</v>
      </c>
      <c r="J851" s="41">
        <v>45264</v>
      </c>
      <c r="K851" s="38" t="s">
        <v>10768</v>
      </c>
      <c r="L851" s="42">
        <v>25000000</v>
      </c>
      <c r="O851"/>
    </row>
    <row r="852" spans="1:15" x14ac:dyDescent="0.3">
      <c r="A852" s="37">
        <v>127409</v>
      </c>
      <c r="B852" s="38">
        <v>846</v>
      </c>
      <c r="C852" s="39" t="s">
        <v>7678</v>
      </c>
      <c r="D852" s="10" t="str">
        <f>VLOOKUP(C852,'Data Angt'!$A$5:$B$5809,2,FALSE)</f>
        <v>A3443</v>
      </c>
      <c r="E852" s="40" t="s">
        <v>11356</v>
      </c>
      <c r="F852" s="41">
        <v>44265</v>
      </c>
      <c r="G852" s="38">
        <v>12</v>
      </c>
      <c r="H852" s="40">
        <v>0</v>
      </c>
      <c r="I852" s="38">
        <v>5.5</v>
      </c>
      <c r="J852" s="41">
        <v>44265</v>
      </c>
      <c r="K852" s="38" t="s">
        <v>10768</v>
      </c>
      <c r="L852" s="42">
        <v>1500000</v>
      </c>
      <c r="O852"/>
    </row>
    <row r="853" spans="1:15" x14ac:dyDescent="0.3">
      <c r="A853" s="37">
        <v>151980</v>
      </c>
      <c r="B853" s="38">
        <v>847</v>
      </c>
      <c r="C853" s="39" t="s">
        <v>7707</v>
      </c>
      <c r="D853" s="10" t="str">
        <f>VLOOKUP(C853,'Data Angt'!$A$5:$B$5809,2,FALSE)</f>
        <v>A3458</v>
      </c>
      <c r="E853" s="40" t="s">
        <v>18604</v>
      </c>
      <c r="F853" s="41">
        <v>45666</v>
      </c>
      <c r="G853" s="38">
        <v>12</v>
      </c>
      <c r="H853" s="40">
        <v>0</v>
      </c>
      <c r="I853" s="38">
        <v>5.5</v>
      </c>
      <c r="J853" s="41">
        <v>45666</v>
      </c>
      <c r="K853" s="38" t="s">
        <v>10768</v>
      </c>
      <c r="L853" s="42">
        <v>70000000</v>
      </c>
      <c r="O853"/>
    </row>
    <row r="854" spans="1:15" x14ac:dyDescent="0.3">
      <c r="A854" s="37">
        <v>151982</v>
      </c>
      <c r="B854" s="38">
        <v>848</v>
      </c>
      <c r="C854" s="39" t="s">
        <v>7707</v>
      </c>
      <c r="D854" s="10" t="str">
        <f>VLOOKUP(C854,'Data Angt'!$A$5:$B$5809,2,FALSE)</f>
        <v>A3458</v>
      </c>
      <c r="E854" s="40" t="s">
        <v>18605</v>
      </c>
      <c r="F854" s="41">
        <v>45666</v>
      </c>
      <c r="G854" s="38">
        <v>12</v>
      </c>
      <c r="H854" s="40">
        <v>0</v>
      </c>
      <c r="I854" s="38">
        <v>5.5</v>
      </c>
      <c r="J854" s="41">
        <v>45666</v>
      </c>
      <c r="K854" s="38" t="s">
        <v>10768</v>
      </c>
      <c r="L854" s="42">
        <v>70000000</v>
      </c>
      <c r="O854"/>
    </row>
    <row r="855" spans="1:15" x14ac:dyDescent="0.3">
      <c r="A855" s="37">
        <v>154980</v>
      </c>
      <c r="B855" s="38">
        <v>849</v>
      </c>
      <c r="C855" s="39" t="s">
        <v>7707</v>
      </c>
      <c r="D855" s="10" t="str">
        <f>VLOOKUP(C855,'Data Angt'!$A$5:$B$5809,2,FALSE)</f>
        <v>A3458</v>
      </c>
      <c r="E855" s="40" t="s">
        <v>18606</v>
      </c>
      <c r="F855" s="41">
        <v>45758</v>
      </c>
      <c r="G855" s="38">
        <v>12</v>
      </c>
      <c r="H855" s="40">
        <v>0</v>
      </c>
      <c r="I855" s="38">
        <v>5.5</v>
      </c>
      <c r="J855" s="41">
        <v>45758</v>
      </c>
      <c r="K855" s="38" t="s">
        <v>10768</v>
      </c>
      <c r="L855" s="42">
        <v>15000000</v>
      </c>
      <c r="O855"/>
    </row>
    <row r="856" spans="1:15" x14ac:dyDescent="0.3">
      <c r="A856" s="37">
        <v>132362</v>
      </c>
      <c r="B856" s="38">
        <v>850</v>
      </c>
      <c r="C856" s="39" t="s">
        <v>7740</v>
      </c>
      <c r="D856" s="10" t="str">
        <f>VLOOKUP(C856,'Data Angt'!$A$5:$B$5809,2,FALSE)</f>
        <v>A3474</v>
      </c>
      <c r="E856" s="40" t="s">
        <v>11357</v>
      </c>
      <c r="F856" s="41">
        <v>44651</v>
      </c>
      <c r="G856" s="38">
        <v>12</v>
      </c>
      <c r="H856" s="40">
        <v>0</v>
      </c>
      <c r="I856" s="38">
        <v>5.5</v>
      </c>
      <c r="J856" s="41">
        <v>44651</v>
      </c>
      <c r="K856" s="38" t="s">
        <v>10768</v>
      </c>
      <c r="L856" s="42">
        <v>10000000</v>
      </c>
      <c r="O856"/>
    </row>
    <row r="857" spans="1:15" x14ac:dyDescent="0.3">
      <c r="A857" s="37">
        <v>154547</v>
      </c>
      <c r="B857" s="38">
        <v>851</v>
      </c>
      <c r="C857" s="39" t="s">
        <v>7756</v>
      </c>
      <c r="D857" s="10" t="str">
        <f>VLOOKUP(C857,'Data Angt'!$A$5:$B$5809,2,FALSE)</f>
        <v>A3482</v>
      </c>
      <c r="E857" s="40" t="s">
        <v>18607</v>
      </c>
      <c r="F857" s="41">
        <v>45729</v>
      </c>
      <c r="G857" s="38">
        <v>12</v>
      </c>
      <c r="H857" s="40">
        <v>0</v>
      </c>
      <c r="I857" s="38">
        <v>5.5</v>
      </c>
      <c r="J857" s="41">
        <v>45729</v>
      </c>
      <c r="K857" s="38" t="s">
        <v>10768</v>
      </c>
      <c r="L857" s="42">
        <v>60000000</v>
      </c>
      <c r="O857"/>
    </row>
    <row r="858" spans="1:15" x14ac:dyDescent="0.3">
      <c r="A858" s="37">
        <v>116919</v>
      </c>
      <c r="B858" s="38">
        <v>852</v>
      </c>
      <c r="C858" s="39" t="s">
        <v>7764</v>
      </c>
      <c r="D858" s="10" t="str">
        <f>VLOOKUP(C858,'Data Angt'!$A$5:$B$5809,2,FALSE)</f>
        <v>A3487</v>
      </c>
      <c r="E858" s="40" t="s">
        <v>11358</v>
      </c>
      <c r="F858" s="41">
        <v>43734</v>
      </c>
      <c r="G858" s="38">
        <v>12</v>
      </c>
      <c r="H858" s="40">
        <v>0</v>
      </c>
      <c r="I858" s="38">
        <v>5.5</v>
      </c>
      <c r="J858" s="41">
        <v>43734</v>
      </c>
      <c r="K858" s="38" t="s">
        <v>10768</v>
      </c>
      <c r="L858" s="42">
        <v>2000000</v>
      </c>
      <c r="O858"/>
    </row>
    <row r="859" spans="1:15" x14ac:dyDescent="0.3">
      <c r="A859" s="37">
        <v>144118</v>
      </c>
      <c r="B859" s="38">
        <v>853</v>
      </c>
      <c r="C859" s="39" t="s">
        <v>7795</v>
      </c>
      <c r="D859" s="10" t="str">
        <f>VLOOKUP(C859,'Data Angt'!$A$5:$B$5809,2,FALSE)</f>
        <v>A3504</v>
      </c>
      <c r="E859" s="40" t="s">
        <v>18608</v>
      </c>
      <c r="F859" s="41">
        <v>45385</v>
      </c>
      <c r="G859" s="38">
        <v>12</v>
      </c>
      <c r="H859" s="40">
        <v>0</v>
      </c>
      <c r="I859" s="38">
        <v>5.5</v>
      </c>
      <c r="J859" s="41">
        <v>45385</v>
      </c>
      <c r="K859" s="38" t="s">
        <v>10768</v>
      </c>
      <c r="L859" s="42">
        <v>25000000</v>
      </c>
      <c r="O859"/>
    </row>
    <row r="860" spans="1:15" x14ac:dyDescent="0.3">
      <c r="A860" s="37">
        <v>150675</v>
      </c>
      <c r="B860" s="38">
        <v>854</v>
      </c>
      <c r="C860" s="39" t="s">
        <v>12517</v>
      </c>
      <c r="D860" s="10" t="str">
        <f>VLOOKUP(C860,'Data Angt'!$A$5:$B$5809,2,FALSE)</f>
        <v>A3515</v>
      </c>
      <c r="E860" s="40" t="s">
        <v>18609</v>
      </c>
      <c r="F860" s="41">
        <v>45612</v>
      </c>
      <c r="G860" s="38">
        <v>12</v>
      </c>
      <c r="H860" s="40">
        <v>0</v>
      </c>
      <c r="I860" s="38">
        <v>5.5</v>
      </c>
      <c r="J860" s="41">
        <v>45612</v>
      </c>
      <c r="K860" s="38" t="s">
        <v>10768</v>
      </c>
      <c r="L860" s="42">
        <v>5000000</v>
      </c>
      <c r="O860"/>
    </row>
    <row r="861" spans="1:15" x14ac:dyDescent="0.3">
      <c r="A861" s="37">
        <v>123433</v>
      </c>
      <c r="B861" s="38">
        <v>855</v>
      </c>
      <c r="C861" s="39" t="s">
        <v>12552</v>
      </c>
      <c r="D861" s="10" t="str">
        <f>VLOOKUP(C861,'Data Angt'!$A$5:$B$5809,2,FALSE)</f>
        <v>A3718</v>
      </c>
      <c r="E861" s="40" t="s">
        <v>11359</v>
      </c>
      <c r="F861" s="41">
        <v>43977</v>
      </c>
      <c r="G861" s="38">
        <v>12</v>
      </c>
      <c r="H861" s="40">
        <v>0</v>
      </c>
      <c r="I861" s="38">
        <v>5.5</v>
      </c>
      <c r="J861" s="41">
        <v>43977</v>
      </c>
      <c r="K861" s="38" t="s">
        <v>10768</v>
      </c>
      <c r="L861" s="42">
        <v>5000000</v>
      </c>
      <c r="O861"/>
    </row>
    <row r="862" spans="1:15" x14ac:dyDescent="0.3">
      <c r="A862" s="37">
        <v>132157</v>
      </c>
      <c r="B862" s="38">
        <v>856</v>
      </c>
      <c r="C862" s="39" t="s">
        <v>12552</v>
      </c>
      <c r="D862" s="10" t="str">
        <f>VLOOKUP(C862,'Data Angt'!$A$5:$B$5809,2,FALSE)</f>
        <v>A3718</v>
      </c>
      <c r="E862" s="40" t="s">
        <v>11360</v>
      </c>
      <c r="F862" s="41">
        <v>44637</v>
      </c>
      <c r="G862" s="38">
        <v>12</v>
      </c>
      <c r="H862" s="40">
        <v>0</v>
      </c>
      <c r="I862" s="38">
        <v>5.5</v>
      </c>
      <c r="J862" s="41">
        <v>44637</v>
      </c>
      <c r="K862" s="38" t="s">
        <v>10768</v>
      </c>
      <c r="L862" s="42">
        <v>5000000</v>
      </c>
      <c r="O862"/>
    </row>
    <row r="863" spans="1:15" x14ac:dyDescent="0.3">
      <c r="A863" s="37">
        <v>145951</v>
      </c>
      <c r="B863" s="38">
        <v>857</v>
      </c>
      <c r="C863" s="39" t="s">
        <v>12552</v>
      </c>
      <c r="D863" s="10" t="str">
        <f>VLOOKUP(C863,'Data Angt'!$A$5:$B$5809,2,FALSE)</f>
        <v>A3718</v>
      </c>
      <c r="E863" s="40" t="s">
        <v>18612</v>
      </c>
      <c r="F863" s="41">
        <v>45455</v>
      </c>
      <c r="G863" s="38">
        <v>12</v>
      </c>
      <c r="H863" s="40">
        <v>0</v>
      </c>
      <c r="I863" s="38">
        <v>5.5</v>
      </c>
      <c r="J863" s="41">
        <v>45455</v>
      </c>
      <c r="K863" s="38" t="s">
        <v>10768</v>
      </c>
      <c r="L863" s="42">
        <v>5000000</v>
      </c>
      <c r="O863"/>
    </row>
    <row r="864" spans="1:15" x14ac:dyDescent="0.3">
      <c r="A864" s="37">
        <v>151509</v>
      </c>
      <c r="B864" s="38">
        <v>858</v>
      </c>
      <c r="C864" s="39" t="s">
        <v>12552</v>
      </c>
      <c r="D864" s="10" t="str">
        <f>VLOOKUP(C864,'Data Angt'!$A$5:$B$5809,2,FALSE)</f>
        <v>A3718</v>
      </c>
      <c r="E864" s="40" t="s">
        <v>18610</v>
      </c>
      <c r="F864" s="41">
        <v>45644</v>
      </c>
      <c r="G864" s="38">
        <v>12</v>
      </c>
      <c r="H864" s="40">
        <v>0</v>
      </c>
      <c r="I864" s="38">
        <v>5.5</v>
      </c>
      <c r="J864" s="41">
        <v>45644</v>
      </c>
      <c r="K864" s="38" t="s">
        <v>10768</v>
      </c>
      <c r="L864" s="42">
        <v>5000000</v>
      </c>
      <c r="O864"/>
    </row>
    <row r="865" spans="1:15" x14ac:dyDescent="0.3">
      <c r="A865" s="37">
        <v>153128</v>
      </c>
      <c r="B865" s="38">
        <v>859</v>
      </c>
      <c r="C865" s="39" t="s">
        <v>12552</v>
      </c>
      <c r="D865" s="10" t="str">
        <f>VLOOKUP(C865,'Data Angt'!$A$5:$B$5809,2,FALSE)</f>
        <v>A3718</v>
      </c>
      <c r="E865" s="40" t="s">
        <v>18611</v>
      </c>
      <c r="F865" s="41">
        <v>45699</v>
      </c>
      <c r="G865" s="38">
        <v>12</v>
      </c>
      <c r="H865" s="40">
        <v>0</v>
      </c>
      <c r="I865" s="38">
        <v>5.5</v>
      </c>
      <c r="J865" s="41">
        <v>45699</v>
      </c>
      <c r="K865" s="38" t="s">
        <v>10768</v>
      </c>
      <c r="L865" s="42">
        <v>5000000</v>
      </c>
      <c r="O865"/>
    </row>
    <row r="866" spans="1:15" x14ac:dyDescent="0.3">
      <c r="A866" s="37">
        <v>134271</v>
      </c>
      <c r="B866" s="38">
        <v>860</v>
      </c>
      <c r="C866" s="39" t="s">
        <v>8251</v>
      </c>
      <c r="D866" s="10" t="str">
        <f>VLOOKUP(C866,'Data Angt'!$A$5:$B$5809,2,FALSE)</f>
        <v>A3738</v>
      </c>
      <c r="E866" s="40" t="s">
        <v>11361</v>
      </c>
      <c r="F866" s="41">
        <v>44802</v>
      </c>
      <c r="G866" s="38">
        <v>12</v>
      </c>
      <c r="H866" s="40">
        <v>0</v>
      </c>
      <c r="I866" s="38">
        <v>5.5</v>
      </c>
      <c r="J866" s="41">
        <v>44802</v>
      </c>
      <c r="K866" s="38" t="s">
        <v>10768</v>
      </c>
      <c r="L866" s="42">
        <v>5000000</v>
      </c>
      <c r="O866"/>
    </row>
    <row r="867" spans="1:15" x14ac:dyDescent="0.3">
      <c r="A867" s="37">
        <v>124657</v>
      </c>
      <c r="B867" s="38">
        <v>861</v>
      </c>
      <c r="C867" s="39" t="s">
        <v>8252</v>
      </c>
      <c r="D867" s="10" t="str">
        <f>VLOOKUP(C867,'Data Angt'!$A$5:$B$5809,2,FALSE)</f>
        <v>A3739</v>
      </c>
      <c r="E867" s="40" t="s">
        <v>11362</v>
      </c>
      <c r="F867" s="41">
        <v>44062</v>
      </c>
      <c r="G867" s="38">
        <v>12</v>
      </c>
      <c r="H867" s="40">
        <v>0</v>
      </c>
      <c r="I867" s="38">
        <v>5.5</v>
      </c>
      <c r="J867" s="41">
        <v>44062</v>
      </c>
      <c r="K867" s="38" t="s">
        <v>10768</v>
      </c>
      <c r="L867" s="42">
        <v>1000000000</v>
      </c>
      <c r="O867"/>
    </row>
    <row r="868" spans="1:15" x14ac:dyDescent="0.3">
      <c r="A868" s="37">
        <v>135423</v>
      </c>
      <c r="B868" s="38">
        <v>862</v>
      </c>
      <c r="C868" s="39" t="s">
        <v>8310</v>
      </c>
      <c r="D868" s="10" t="str">
        <f>VLOOKUP(C868,'Data Angt'!$A$5:$B$5809,2,FALSE)</f>
        <v>A3768</v>
      </c>
      <c r="E868" s="40" t="s">
        <v>11363</v>
      </c>
      <c r="F868" s="41">
        <v>44890</v>
      </c>
      <c r="G868" s="38">
        <v>12</v>
      </c>
      <c r="H868" s="40">
        <v>0</v>
      </c>
      <c r="I868" s="38">
        <v>5.5</v>
      </c>
      <c r="J868" s="41">
        <v>44890</v>
      </c>
      <c r="K868" s="38" t="s">
        <v>10768</v>
      </c>
      <c r="L868" s="42">
        <v>2000000</v>
      </c>
      <c r="O868"/>
    </row>
    <row r="869" spans="1:15" x14ac:dyDescent="0.3">
      <c r="A869" s="37">
        <v>132188</v>
      </c>
      <c r="B869" s="38">
        <v>863</v>
      </c>
      <c r="C869" s="39" t="s">
        <v>8333</v>
      </c>
      <c r="D869" s="10" t="str">
        <f>VLOOKUP(C869,'Data Angt'!$A$5:$B$5809,2,FALSE)</f>
        <v>A3778</v>
      </c>
      <c r="E869" s="40" t="s">
        <v>11365</v>
      </c>
      <c r="F869" s="41">
        <v>44638</v>
      </c>
      <c r="G869" s="38">
        <v>12</v>
      </c>
      <c r="H869" s="40">
        <v>0</v>
      </c>
      <c r="I869" s="38">
        <v>5.5</v>
      </c>
      <c r="J869" s="41">
        <v>44638</v>
      </c>
      <c r="K869" s="38" t="s">
        <v>10768</v>
      </c>
      <c r="L869" s="42">
        <v>3000000</v>
      </c>
      <c r="O869"/>
    </row>
    <row r="870" spans="1:15" x14ac:dyDescent="0.3">
      <c r="A870" s="37">
        <v>127319</v>
      </c>
      <c r="B870" s="38">
        <v>864</v>
      </c>
      <c r="C870" s="39" t="s">
        <v>8346</v>
      </c>
      <c r="D870" s="10" t="str">
        <f>VLOOKUP(C870,'Data Angt'!$A$5:$B$5809,2,FALSE)</f>
        <v>A3784</v>
      </c>
      <c r="E870" s="40" t="s">
        <v>11366</v>
      </c>
      <c r="F870" s="41">
        <v>44260</v>
      </c>
      <c r="G870" s="38">
        <v>12</v>
      </c>
      <c r="H870" s="40">
        <v>0</v>
      </c>
      <c r="I870" s="38">
        <v>5.5</v>
      </c>
      <c r="J870" s="41">
        <v>44260</v>
      </c>
      <c r="K870" s="38" t="s">
        <v>10768</v>
      </c>
      <c r="L870" s="42">
        <v>15000000</v>
      </c>
      <c r="O870"/>
    </row>
    <row r="871" spans="1:15" x14ac:dyDescent="0.3">
      <c r="A871" s="37">
        <v>132863</v>
      </c>
      <c r="B871" s="38">
        <v>865</v>
      </c>
      <c r="C871" s="39" t="s">
        <v>8376</v>
      </c>
      <c r="D871" s="10" t="str">
        <f>VLOOKUP(C871,'Data Angt'!$A$5:$B$5809,2,FALSE)</f>
        <v>A3796</v>
      </c>
      <c r="E871" s="40" t="s">
        <v>11367</v>
      </c>
      <c r="F871" s="41">
        <v>44693</v>
      </c>
      <c r="G871" s="38">
        <v>12</v>
      </c>
      <c r="H871" s="40">
        <v>0</v>
      </c>
      <c r="I871" s="38">
        <v>5.5</v>
      </c>
      <c r="J871" s="41">
        <v>44693</v>
      </c>
      <c r="K871" s="38" t="s">
        <v>10768</v>
      </c>
      <c r="L871" s="42">
        <v>25000000</v>
      </c>
      <c r="O871"/>
    </row>
    <row r="872" spans="1:15" x14ac:dyDescent="0.3">
      <c r="A872" s="37">
        <v>127683</v>
      </c>
      <c r="B872" s="38">
        <v>866</v>
      </c>
      <c r="C872" s="39" t="s">
        <v>8391</v>
      </c>
      <c r="D872" s="10" t="str">
        <f>VLOOKUP(C872,'Data Angt'!$A$5:$B$5809,2,FALSE)</f>
        <v>A3803</v>
      </c>
      <c r="E872" s="40" t="s">
        <v>11370</v>
      </c>
      <c r="F872" s="41">
        <v>44291</v>
      </c>
      <c r="G872" s="38">
        <v>12</v>
      </c>
      <c r="H872" s="40">
        <v>0</v>
      </c>
      <c r="I872" s="38">
        <v>5.5</v>
      </c>
      <c r="J872" s="41">
        <v>44291</v>
      </c>
      <c r="K872" s="38" t="s">
        <v>10768</v>
      </c>
      <c r="L872" s="42">
        <v>50000000</v>
      </c>
      <c r="O872"/>
    </row>
    <row r="873" spans="1:15" x14ac:dyDescent="0.3">
      <c r="A873" s="37">
        <v>127684</v>
      </c>
      <c r="B873" s="38">
        <v>867</v>
      </c>
      <c r="C873" s="39" t="s">
        <v>8391</v>
      </c>
      <c r="D873" s="10" t="str">
        <f>VLOOKUP(C873,'Data Angt'!$A$5:$B$5809,2,FALSE)</f>
        <v>A3803</v>
      </c>
      <c r="E873" s="40" t="s">
        <v>11371</v>
      </c>
      <c r="F873" s="41">
        <v>44291</v>
      </c>
      <c r="G873" s="38">
        <v>12</v>
      </c>
      <c r="H873" s="40">
        <v>0</v>
      </c>
      <c r="I873" s="38">
        <v>5.5</v>
      </c>
      <c r="J873" s="41">
        <v>44291</v>
      </c>
      <c r="K873" s="38" t="s">
        <v>10768</v>
      </c>
      <c r="L873" s="42">
        <v>50000000</v>
      </c>
      <c r="O873"/>
    </row>
    <row r="874" spans="1:15" x14ac:dyDescent="0.3">
      <c r="A874" s="37">
        <v>131176</v>
      </c>
      <c r="B874" s="38">
        <v>868</v>
      </c>
      <c r="C874" s="39" t="s">
        <v>8391</v>
      </c>
      <c r="D874" s="10" t="str">
        <f>VLOOKUP(C874,'Data Angt'!$A$5:$B$5809,2,FALSE)</f>
        <v>A3803</v>
      </c>
      <c r="E874" s="40" t="s">
        <v>11372</v>
      </c>
      <c r="F874" s="41">
        <v>44566</v>
      </c>
      <c r="G874" s="38">
        <v>12</v>
      </c>
      <c r="H874" s="40">
        <v>0</v>
      </c>
      <c r="I874" s="38">
        <v>5.5</v>
      </c>
      <c r="J874" s="41">
        <v>44566</v>
      </c>
      <c r="K874" s="38" t="s">
        <v>10768</v>
      </c>
      <c r="L874" s="42">
        <v>25000000</v>
      </c>
      <c r="O874"/>
    </row>
    <row r="875" spans="1:15" x14ac:dyDescent="0.3">
      <c r="A875" s="37">
        <v>131178</v>
      </c>
      <c r="B875" s="38">
        <v>869</v>
      </c>
      <c r="C875" s="39" t="s">
        <v>8391</v>
      </c>
      <c r="D875" s="10" t="str">
        <f>VLOOKUP(C875,'Data Angt'!$A$5:$B$5809,2,FALSE)</f>
        <v>A3803</v>
      </c>
      <c r="E875" s="40" t="s">
        <v>11368</v>
      </c>
      <c r="F875" s="41">
        <v>44565</v>
      </c>
      <c r="G875" s="38">
        <v>12</v>
      </c>
      <c r="H875" s="40">
        <v>0</v>
      </c>
      <c r="I875" s="38">
        <v>5.5</v>
      </c>
      <c r="J875" s="41">
        <v>44565</v>
      </c>
      <c r="K875" s="38" t="s">
        <v>10768</v>
      </c>
      <c r="L875" s="42">
        <v>50000000</v>
      </c>
      <c r="O875"/>
    </row>
    <row r="876" spans="1:15" x14ac:dyDescent="0.3">
      <c r="A876" s="37">
        <v>131180</v>
      </c>
      <c r="B876" s="38">
        <v>870</v>
      </c>
      <c r="C876" s="39" t="s">
        <v>8391</v>
      </c>
      <c r="D876" s="10" t="str">
        <f>VLOOKUP(C876,'Data Angt'!$A$5:$B$5809,2,FALSE)</f>
        <v>A3803</v>
      </c>
      <c r="E876" s="40" t="s">
        <v>11369</v>
      </c>
      <c r="F876" s="41">
        <v>44565</v>
      </c>
      <c r="G876" s="38">
        <v>12</v>
      </c>
      <c r="H876" s="40">
        <v>0</v>
      </c>
      <c r="I876" s="38">
        <v>5.5</v>
      </c>
      <c r="J876" s="41">
        <v>44565</v>
      </c>
      <c r="K876" s="38" t="s">
        <v>10768</v>
      </c>
      <c r="L876" s="42">
        <v>50000000</v>
      </c>
      <c r="O876"/>
    </row>
    <row r="877" spans="1:15" x14ac:dyDescent="0.3">
      <c r="A877" s="37">
        <v>158775</v>
      </c>
      <c r="B877" s="38">
        <v>871</v>
      </c>
      <c r="C877" s="39" t="s">
        <v>8391</v>
      </c>
      <c r="D877" s="10" t="str">
        <f>VLOOKUP(C877,'Data Angt'!$A$5:$B$5809,2,FALSE)</f>
        <v>A3803</v>
      </c>
      <c r="E877" s="40" t="s">
        <v>24167</v>
      </c>
      <c r="F877" s="41">
        <v>45925</v>
      </c>
      <c r="G877" s="38">
        <v>12</v>
      </c>
      <c r="H877" s="40">
        <v>0</v>
      </c>
      <c r="I877" s="38">
        <v>5.5</v>
      </c>
      <c r="J877" s="41">
        <v>45925</v>
      </c>
      <c r="K877" s="38" t="s">
        <v>10768</v>
      </c>
      <c r="L877" s="42">
        <v>56000000</v>
      </c>
      <c r="O877"/>
    </row>
    <row r="878" spans="1:15" x14ac:dyDescent="0.3">
      <c r="A878" s="37">
        <v>158777</v>
      </c>
      <c r="B878" s="38">
        <v>872</v>
      </c>
      <c r="C878" s="39" t="s">
        <v>8391</v>
      </c>
      <c r="D878" s="10" t="str">
        <f>VLOOKUP(C878,'Data Angt'!$A$5:$B$5809,2,FALSE)</f>
        <v>A3803</v>
      </c>
      <c r="E878" s="40" t="s">
        <v>24168</v>
      </c>
      <c r="F878" s="41">
        <v>45925</v>
      </c>
      <c r="G878" s="38">
        <v>12</v>
      </c>
      <c r="H878" s="40">
        <v>0</v>
      </c>
      <c r="I878" s="38">
        <v>5.5</v>
      </c>
      <c r="J878" s="41">
        <v>45925</v>
      </c>
      <c r="K878" s="38" t="s">
        <v>10768</v>
      </c>
      <c r="L878" s="42">
        <v>56000000</v>
      </c>
      <c r="O878"/>
    </row>
    <row r="879" spans="1:15" x14ac:dyDescent="0.3">
      <c r="A879" s="37">
        <v>158813</v>
      </c>
      <c r="B879" s="38">
        <v>873</v>
      </c>
      <c r="C879" s="39" t="s">
        <v>8391</v>
      </c>
      <c r="D879" s="10" t="str">
        <f>VLOOKUP(C879,'Data Angt'!$A$5:$B$5809,2,FALSE)</f>
        <v>A3803</v>
      </c>
      <c r="E879" s="40" t="s">
        <v>24169</v>
      </c>
      <c r="F879" s="41">
        <v>45926</v>
      </c>
      <c r="G879" s="38">
        <v>12</v>
      </c>
      <c r="H879" s="40">
        <v>0</v>
      </c>
      <c r="I879" s="38">
        <v>5.5</v>
      </c>
      <c r="J879" s="41">
        <v>45926</v>
      </c>
      <c r="K879" s="38" t="s">
        <v>10768</v>
      </c>
      <c r="L879" s="42">
        <v>20000000</v>
      </c>
      <c r="O879"/>
    </row>
    <row r="880" spans="1:15" x14ac:dyDescent="0.3">
      <c r="A880" s="37">
        <v>158815</v>
      </c>
      <c r="B880" s="38">
        <v>874</v>
      </c>
      <c r="C880" s="39" t="s">
        <v>8391</v>
      </c>
      <c r="D880" s="10" t="str">
        <f>VLOOKUP(C880,'Data Angt'!$A$5:$B$5809,2,FALSE)</f>
        <v>A3803</v>
      </c>
      <c r="E880" s="40" t="s">
        <v>24170</v>
      </c>
      <c r="F880" s="41">
        <v>45926</v>
      </c>
      <c r="G880" s="38">
        <v>12</v>
      </c>
      <c r="H880" s="40">
        <v>0</v>
      </c>
      <c r="I880" s="38">
        <v>5.5</v>
      </c>
      <c r="J880" s="41">
        <v>45926</v>
      </c>
      <c r="K880" s="38" t="s">
        <v>10768</v>
      </c>
      <c r="L880" s="42">
        <v>25000000</v>
      </c>
      <c r="O880"/>
    </row>
    <row r="881" spans="1:15" x14ac:dyDescent="0.3">
      <c r="A881" s="37">
        <v>127837</v>
      </c>
      <c r="B881" s="38">
        <v>875</v>
      </c>
      <c r="C881" s="39" t="s">
        <v>8393</v>
      </c>
      <c r="D881" s="10" t="str">
        <f>VLOOKUP(C881,'Data Angt'!$A$5:$B$5809,2,FALSE)</f>
        <v>A3804</v>
      </c>
      <c r="E881" s="40" t="s">
        <v>11373</v>
      </c>
      <c r="F881" s="41">
        <v>44301</v>
      </c>
      <c r="G881" s="38">
        <v>12</v>
      </c>
      <c r="H881" s="40">
        <v>0</v>
      </c>
      <c r="I881" s="38">
        <v>5.5</v>
      </c>
      <c r="J881" s="41">
        <v>44301</v>
      </c>
      <c r="K881" s="38" t="s">
        <v>10768</v>
      </c>
      <c r="L881" s="42">
        <v>1000000</v>
      </c>
      <c r="O881"/>
    </row>
    <row r="882" spans="1:15" x14ac:dyDescent="0.3">
      <c r="A882" s="37">
        <v>130283</v>
      </c>
      <c r="B882" s="38">
        <v>876</v>
      </c>
      <c r="C882" s="39" t="s">
        <v>8393</v>
      </c>
      <c r="D882" s="10" t="str">
        <f>VLOOKUP(C882,'Data Angt'!$A$5:$B$5809,2,FALSE)</f>
        <v>A3804</v>
      </c>
      <c r="E882" s="40" t="s">
        <v>11374</v>
      </c>
      <c r="F882" s="41">
        <v>44481</v>
      </c>
      <c r="G882" s="38">
        <v>12</v>
      </c>
      <c r="H882" s="40">
        <v>0</v>
      </c>
      <c r="I882" s="38">
        <v>5.5</v>
      </c>
      <c r="J882" s="41">
        <v>44481</v>
      </c>
      <c r="K882" s="38" t="s">
        <v>10768</v>
      </c>
      <c r="L882" s="42">
        <v>1000000</v>
      </c>
      <c r="O882"/>
    </row>
    <row r="883" spans="1:15" x14ac:dyDescent="0.3">
      <c r="A883" s="37">
        <v>138740</v>
      </c>
      <c r="B883" s="38">
        <v>877</v>
      </c>
      <c r="C883" s="39" t="s">
        <v>8393</v>
      </c>
      <c r="D883" s="10" t="str">
        <f>VLOOKUP(C883,'Data Angt'!$A$5:$B$5809,2,FALSE)</f>
        <v>A3804</v>
      </c>
      <c r="E883" s="40" t="s">
        <v>11375</v>
      </c>
      <c r="F883" s="41">
        <v>45153</v>
      </c>
      <c r="G883" s="38">
        <v>12</v>
      </c>
      <c r="H883" s="40">
        <v>0</v>
      </c>
      <c r="I883" s="38">
        <v>5.5</v>
      </c>
      <c r="J883" s="41">
        <v>45153</v>
      </c>
      <c r="K883" s="38" t="s">
        <v>10768</v>
      </c>
      <c r="L883" s="42">
        <v>2000000</v>
      </c>
      <c r="O883"/>
    </row>
    <row r="884" spans="1:15" x14ac:dyDescent="0.3">
      <c r="A884" s="37">
        <v>152048</v>
      </c>
      <c r="B884" s="38">
        <v>878</v>
      </c>
      <c r="C884" s="39" t="s">
        <v>8393</v>
      </c>
      <c r="D884" s="10" t="str">
        <f>VLOOKUP(C884,'Data Angt'!$A$5:$B$5809,2,FALSE)</f>
        <v>A3804</v>
      </c>
      <c r="E884" s="40" t="s">
        <v>18613</v>
      </c>
      <c r="F884" s="41">
        <v>45667</v>
      </c>
      <c r="G884" s="38">
        <v>12</v>
      </c>
      <c r="H884" s="40">
        <v>0</v>
      </c>
      <c r="I884" s="38">
        <v>5.5</v>
      </c>
      <c r="J884" s="41">
        <v>45667</v>
      </c>
      <c r="K884" s="38" t="s">
        <v>10768</v>
      </c>
      <c r="L884" s="42">
        <v>1000000</v>
      </c>
      <c r="O884"/>
    </row>
    <row r="885" spans="1:15" x14ac:dyDescent="0.3">
      <c r="A885" s="37">
        <v>157881</v>
      </c>
      <c r="B885" s="38">
        <v>879</v>
      </c>
      <c r="C885" s="39" t="s">
        <v>8393</v>
      </c>
      <c r="D885" s="10" t="str">
        <f>VLOOKUP(C885,'Data Angt'!$A$5:$B$5809,2,FALSE)</f>
        <v>A3804</v>
      </c>
      <c r="E885" s="40" t="s">
        <v>24171</v>
      </c>
      <c r="F885" s="41">
        <v>45885</v>
      </c>
      <c r="G885" s="38">
        <v>12</v>
      </c>
      <c r="H885" s="40">
        <v>0</v>
      </c>
      <c r="I885" s="38">
        <v>5.5</v>
      </c>
      <c r="J885" s="41">
        <v>45885</v>
      </c>
      <c r="K885" s="38" t="s">
        <v>10768</v>
      </c>
      <c r="L885" s="42">
        <v>1000000</v>
      </c>
      <c r="O885"/>
    </row>
    <row r="886" spans="1:15" x14ac:dyDescent="0.3">
      <c r="A886" s="37">
        <v>155057</v>
      </c>
      <c r="B886" s="38">
        <v>880</v>
      </c>
      <c r="C886" s="39" t="s">
        <v>8519</v>
      </c>
      <c r="D886" s="10" t="str">
        <f>VLOOKUP(C886,'Data Angt'!$A$5:$B$5809,2,FALSE)</f>
        <v>A3865</v>
      </c>
      <c r="E886" s="40" t="s">
        <v>18614</v>
      </c>
      <c r="F886" s="41">
        <v>45762</v>
      </c>
      <c r="G886" s="38">
        <v>12</v>
      </c>
      <c r="H886" s="40">
        <v>0</v>
      </c>
      <c r="I886" s="38">
        <v>5.5</v>
      </c>
      <c r="J886" s="41">
        <v>45762</v>
      </c>
      <c r="K886" s="38" t="s">
        <v>10768</v>
      </c>
      <c r="L886" s="42">
        <v>15000000</v>
      </c>
      <c r="O886"/>
    </row>
    <row r="887" spans="1:15" x14ac:dyDescent="0.3">
      <c r="A887" s="37">
        <v>130285</v>
      </c>
      <c r="B887" s="38">
        <v>881</v>
      </c>
      <c r="C887" s="39" t="s">
        <v>8557</v>
      </c>
      <c r="D887" s="10" t="str">
        <f>VLOOKUP(C887,'Data Angt'!$A$5:$B$5809,2,FALSE)</f>
        <v>A3881</v>
      </c>
      <c r="E887" s="40" t="s">
        <v>11376</v>
      </c>
      <c r="F887" s="41">
        <v>44481</v>
      </c>
      <c r="G887" s="38">
        <v>12</v>
      </c>
      <c r="H887" s="40">
        <v>0</v>
      </c>
      <c r="I887" s="38">
        <v>5.5</v>
      </c>
      <c r="J887" s="41">
        <v>44481</v>
      </c>
      <c r="K887" s="38" t="s">
        <v>10768</v>
      </c>
      <c r="L887" s="42">
        <v>1000000</v>
      </c>
      <c r="O887"/>
    </row>
    <row r="888" spans="1:15" x14ac:dyDescent="0.3">
      <c r="A888" s="37">
        <v>142031</v>
      </c>
      <c r="B888" s="38">
        <v>882</v>
      </c>
      <c r="C888" s="39" t="s">
        <v>8557</v>
      </c>
      <c r="D888" s="10" t="str">
        <f>VLOOKUP(C888,'Data Angt'!$A$5:$B$5809,2,FALSE)</f>
        <v>A3881</v>
      </c>
      <c r="E888" s="40" t="s">
        <v>18615</v>
      </c>
      <c r="F888" s="41">
        <v>45311</v>
      </c>
      <c r="G888" s="38">
        <v>12</v>
      </c>
      <c r="H888" s="40">
        <v>0</v>
      </c>
      <c r="I888" s="38">
        <v>5.5</v>
      </c>
      <c r="J888" s="41">
        <v>45311</v>
      </c>
      <c r="K888" s="38" t="s">
        <v>10768</v>
      </c>
      <c r="L888" s="42">
        <v>1000000</v>
      </c>
      <c r="O888"/>
    </row>
    <row r="889" spans="1:15" x14ac:dyDescent="0.3">
      <c r="A889" s="37">
        <v>139712</v>
      </c>
      <c r="B889" s="38">
        <v>883</v>
      </c>
      <c r="C889" s="39" t="s">
        <v>8584</v>
      </c>
      <c r="D889" s="10" t="str">
        <f>VLOOKUP(C889,'Data Angt'!$A$5:$B$5809,2,FALSE)</f>
        <v>A3893</v>
      </c>
      <c r="E889" s="40" t="s">
        <v>11379</v>
      </c>
      <c r="F889" s="41">
        <v>45204</v>
      </c>
      <c r="G889" s="38">
        <v>12</v>
      </c>
      <c r="H889" s="40">
        <v>0</v>
      </c>
      <c r="I889" s="38">
        <v>5.5</v>
      </c>
      <c r="J889" s="41">
        <v>45204</v>
      </c>
      <c r="K889" s="38" t="s">
        <v>10768</v>
      </c>
      <c r="L889" s="42">
        <v>9000000</v>
      </c>
      <c r="O889"/>
    </row>
    <row r="890" spans="1:15" x14ac:dyDescent="0.3">
      <c r="A890" s="37">
        <v>140451</v>
      </c>
      <c r="B890" s="38">
        <v>884</v>
      </c>
      <c r="C890" s="39" t="s">
        <v>8584</v>
      </c>
      <c r="D890" s="10" t="str">
        <f>VLOOKUP(C890,'Data Angt'!$A$5:$B$5809,2,FALSE)</f>
        <v>A3893</v>
      </c>
      <c r="E890" s="40" t="s">
        <v>11380</v>
      </c>
      <c r="F890" s="41">
        <v>45244</v>
      </c>
      <c r="G890" s="38">
        <v>12</v>
      </c>
      <c r="H890" s="40">
        <v>0</v>
      </c>
      <c r="I890" s="38">
        <v>5.5</v>
      </c>
      <c r="J890" s="41">
        <v>45244</v>
      </c>
      <c r="K890" s="38" t="s">
        <v>10768</v>
      </c>
      <c r="L890" s="42">
        <v>30000000</v>
      </c>
      <c r="O890"/>
    </row>
    <row r="891" spans="1:15" x14ac:dyDescent="0.3">
      <c r="A891" s="37">
        <v>158381</v>
      </c>
      <c r="B891" s="38">
        <v>885</v>
      </c>
      <c r="C891" s="39" t="s">
        <v>8584</v>
      </c>
      <c r="D891" s="10" t="str">
        <f>VLOOKUP(C891,'Data Angt'!$A$5:$B$5809,2,FALSE)</f>
        <v>A3893</v>
      </c>
      <c r="E891" s="40" t="s">
        <v>24172</v>
      </c>
      <c r="F891" s="41">
        <v>45908</v>
      </c>
      <c r="G891" s="38">
        <v>12</v>
      </c>
      <c r="H891" s="40">
        <v>0</v>
      </c>
      <c r="I891" s="38">
        <v>5.5</v>
      </c>
      <c r="J891" s="41">
        <v>45908</v>
      </c>
      <c r="K891" s="38" t="s">
        <v>10768</v>
      </c>
      <c r="L891" s="42">
        <v>5000000</v>
      </c>
      <c r="O891"/>
    </row>
    <row r="892" spans="1:15" x14ac:dyDescent="0.3">
      <c r="A892" s="37">
        <v>134659</v>
      </c>
      <c r="B892" s="38">
        <v>886</v>
      </c>
      <c r="C892" s="39" t="s">
        <v>8584</v>
      </c>
      <c r="D892" s="10" t="str">
        <f>VLOOKUP(C892,'Data Angt'!$A$5:$B$5809,2,FALSE)</f>
        <v>A3893</v>
      </c>
      <c r="E892" s="40" t="s">
        <v>11378</v>
      </c>
      <c r="F892" s="41">
        <v>44826</v>
      </c>
      <c r="G892" s="38">
        <v>12</v>
      </c>
      <c r="H892" s="40">
        <v>0</v>
      </c>
      <c r="I892" s="38">
        <v>5.5</v>
      </c>
      <c r="J892" s="41">
        <v>44826</v>
      </c>
      <c r="K892" s="38" t="s">
        <v>10768</v>
      </c>
      <c r="L892" s="42">
        <v>5000000</v>
      </c>
      <c r="O892"/>
    </row>
    <row r="893" spans="1:15" x14ac:dyDescent="0.3">
      <c r="A893" s="37">
        <v>130952</v>
      </c>
      <c r="B893" s="38">
        <v>887</v>
      </c>
      <c r="C893" s="39" t="s">
        <v>8600</v>
      </c>
      <c r="D893" s="10" t="str">
        <f>VLOOKUP(C893,'Data Angt'!$A$5:$B$5809,2,FALSE)</f>
        <v>A3901</v>
      </c>
      <c r="E893" s="40" t="s">
        <v>11381</v>
      </c>
      <c r="F893" s="41">
        <v>44543</v>
      </c>
      <c r="G893" s="38">
        <v>12</v>
      </c>
      <c r="H893" s="40">
        <v>0</v>
      </c>
      <c r="I893" s="38">
        <v>5.5</v>
      </c>
      <c r="J893" s="41">
        <v>44543</v>
      </c>
      <c r="K893" s="38" t="s">
        <v>10768</v>
      </c>
      <c r="L893" s="42">
        <v>1000000</v>
      </c>
      <c r="O893"/>
    </row>
    <row r="894" spans="1:15" x14ac:dyDescent="0.3">
      <c r="A894" s="37">
        <v>138732</v>
      </c>
      <c r="B894" s="38">
        <v>888</v>
      </c>
      <c r="C894" s="39" t="s">
        <v>8600</v>
      </c>
      <c r="D894" s="10" t="str">
        <f>VLOOKUP(C894,'Data Angt'!$A$5:$B$5809,2,FALSE)</f>
        <v>A3901</v>
      </c>
      <c r="E894" s="40" t="s">
        <v>11382</v>
      </c>
      <c r="F894" s="41">
        <v>45152</v>
      </c>
      <c r="G894" s="38">
        <v>12</v>
      </c>
      <c r="H894" s="40">
        <v>0</v>
      </c>
      <c r="I894" s="38">
        <v>5.5</v>
      </c>
      <c r="J894" s="41">
        <v>45153</v>
      </c>
      <c r="K894" s="38" t="s">
        <v>10768</v>
      </c>
      <c r="L894" s="42">
        <v>1000000</v>
      </c>
      <c r="O894"/>
    </row>
    <row r="895" spans="1:15" x14ac:dyDescent="0.3">
      <c r="A895" s="37">
        <v>157883</v>
      </c>
      <c r="B895" s="38">
        <v>889</v>
      </c>
      <c r="C895" s="39" t="s">
        <v>8600</v>
      </c>
      <c r="D895" s="10" t="str">
        <f>VLOOKUP(C895,'Data Angt'!$A$5:$B$5809,2,FALSE)</f>
        <v>A3901</v>
      </c>
      <c r="E895" s="40" t="s">
        <v>24173</v>
      </c>
      <c r="F895" s="41">
        <v>45885</v>
      </c>
      <c r="G895" s="38">
        <v>12</v>
      </c>
      <c r="H895" s="40">
        <v>0</v>
      </c>
      <c r="I895" s="38">
        <v>5.5</v>
      </c>
      <c r="J895" s="41">
        <v>45885</v>
      </c>
      <c r="K895" s="38" t="s">
        <v>10768</v>
      </c>
      <c r="L895" s="42">
        <v>1000000</v>
      </c>
      <c r="O895"/>
    </row>
    <row r="896" spans="1:15" x14ac:dyDescent="0.3">
      <c r="A896" s="37">
        <v>137006</v>
      </c>
      <c r="B896" s="38">
        <v>890</v>
      </c>
      <c r="C896" s="39" t="s">
        <v>8606</v>
      </c>
      <c r="D896" s="10" t="str">
        <f>VLOOKUP(C896,'Data Angt'!$A$5:$B$5809,2,FALSE)</f>
        <v>A3903</v>
      </c>
      <c r="E896" s="40" t="s">
        <v>11383</v>
      </c>
      <c r="F896" s="41">
        <v>45019</v>
      </c>
      <c r="G896" s="38">
        <v>12</v>
      </c>
      <c r="H896" s="40">
        <v>0</v>
      </c>
      <c r="I896" s="38">
        <v>5.5</v>
      </c>
      <c r="J896" s="41">
        <v>45019</v>
      </c>
      <c r="K896" s="38" t="s">
        <v>10768</v>
      </c>
      <c r="L896" s="42">
        <v>5000000</v>
      </c>
      <c r="O896"/>
    </row>
    <row r="897" spans="1:15" x14ac:dyDescent="0.3">
      <c r="A897" s="37">
        <v>132374</v>
      </c>
      <c r="B897" s="38">
        <v>891</v>
      </c>
      <c r="C897" s="39" t="s">
        <v>8621</v>
      </c>
      <c r="D897" s="10" t="str">
        <f>VLOOKUP(C897,'Data Angt'!$A$5:$B$5809,2,FALSE)</f>
        <v>A3909</v>
      </c>
      <c r="E897" s="40" t="s">
        <v>11384</v>
      </c>
      <c r="F897" s="41">
        <v>44652</v>
      </c>
      <c r="G897" s="38">
        <v>12</v>
      </c>
      <c r="H897" s="40">
        <v>0</v>
      </c>
      <c r="I897" s="38">
        <v>5.5</v>
      </c>
      <c r="J897" s="41">
        <v>44652</v>
      </c>
      <c r="K897" s="38" t="s">
        <v>10768</v>
      </c>
      <c r="L897" s="42">
        <v>25000000</v>
      </c>
      <c r="O897"/>
    </row>
    <row r="898" spans="1:15" x14ac:dyDescent="0.3">
      <c r="A898" s="37">
        <v>132206</v>
      </c>
      <c r="B898" s="38">
        <v>892</v>
      </c>
      <c r="C898" s="39" t="s">
        <v>8663</v>
      </c>
      <c r="D898" s="10" t="str">
        <f>VLOOKUP(C898,'Data Angt'!$A$5:$B$5809,2,FALSE)</f>
        <v>A3929</v>
      </c>
      <c r="E898" s="40" t="s">
        <v>11385</v>
      </c>
      <c r="F898" s="41">
        <v>44639</v>
      </c>
      <c r="G898" s="38">
        <v>12</v>
      </c>
      <c r="H898" s="40">
        <v>0</v>
      </c>
      <c r="I898" s="38">
        <v>5.5</v>
      </c>
      <c r="J898" s="41">
        <v>44639</v>
      </c>
      <c r="K898" s="38" t="s">
        <v>10768</v>
      </c>
      <c r="L898" s="42">
        <v>25000000</v>
      </c>
      <c r="O898"/>
    </row>
    <row r="899" spans="1:15" x14ac:dyDescent="0.3">
      <c r="A899" s="37">
        <v>132209</v>
      </c>
      <c r="B899" s="38">
        <v>893</v>
      </c>
      <c r="C899" s="39" t="s">
        <v>8663</v>
      </c>
      <c r="D899" s="10" t="str">
        <f>VLOOKUP(C899,'Data Angt'!$A$5:$B$5809,2,FALSE)</f>
        <v>A3929</v>
      </c>
      <c r="E899" s="40" t="s">
        <v>11386</v>
      </c>
      <c r="F899" s="41">
        <v>44639</v>
      </c>
      <c r="G899" s="38">
        <v>12</v>
      </c>
      <c r="H899" s="40">
        <v>0</v>
      </c>
      <c r="I899" s="38">
        <v>5.5</v>
      </c>
      <c r="J899" s="41">
        <v>44639</v>
      </c>
      <c r="K899" s="38" t="s">
        <v>10768</v>
      </c>
      <c r="L899" s="42">
        <v>25000000</v>
      </c>
      <c r="O899"/>
    </row>
    <row r="900" spans="1:15" x14ac:dyDescent="0.3">
      <c r="A900" s="37">
        <v>132211</v>
      </c>
      <c r="B900" s="38">
        <v>894</v>
      </c>
      <c r="C900" s="39" t="s">
        <v>8663</v>
      </c>
      <c r="D900" s="10" t="str">
        <f>VLOOKUP(C900,'Data Angt'!$A$5:$B$5809,2,FALSE)</f>
        <v>A3929</v>
      </c>
      <c r="E900" s="40" t="s">
        <v>11387</v>
      </c>
      <c r="F900" s="41">
        <v>44639</v>
      </c>
      <c r="G900" s="38">
        <v>12</v>
      </c>
      <c r="H900" s="40">
        <v>0</v>
      </c>
      <c r="I900" s="38">
        <v>5.5</v>
      </c>
      <c r="J900" s="41">
        <v>44639</v>
      </c>
      <c r="K900" s="38" t="s">
        <v>10768</v>
      </c>
      <c r="L900" s="42">
        <v>25000000</v>
      </c>
      <c r="O900"/>
    </row>
    <row r="901" spans="1:15" x14ac:dyDescent="0.3">
      <c r="A901" s="37">
        <v>132213</v>
      </c>
      <c r="B901" s="38">
        <v>895</v>
      </c>
      <c r="C901" s="39" t="s">
        <v>8663</v>
      </c>
      <c r="D901" s="10" t="str">
        <f>VLOOKUP(C901,'Data Angt'!$A$5:$B$5809,2,FALSE)</f>
        <v>A3929</v>
      </c>
      <c r="E901" s="40" t="s">
        <v>11388</v>
      </c>
      <c r="F901" s="41">
        <v>44639</v>
      </c>
      <c r="G901" s="38">
        <v>12</v>
      </c>
      <c r="H901" s="40">
        <v>0</v>
      </c>
      <c r="I901" s="38">
        <v>5.5</v>
      </c>
      <c r="J901" s="41">
        <v>44639</v>
      </c>
      <c r="K901" s="38" t="s">
        <v>10768</v>
      </c>
      <c r="L901" s="42">
        <v>25000000</v>
      </c>
      <c r="O901"/>
    </row>
    <row r="902" spans="1:15" x14ac:dyDescent="0.3">
      <c r="A902" s="37">
        <v>154601</v>
      </c>
      <c r="B902" s="38">
        <v>896</v>
      </c>
      <c r="C902" s="39" t="s">
        <v>8663</v>
      </c>
      <c r="D902" s="10" t="str">
        <f>VLOOKUP(C902,'Data Angt'!$A$5:$B$5809,2,FALSE)</f>
        <v>A3929</v>
      </c>
      <c r="E902" s="40" t="s">
        <v>18616</v>
      </c>
      <c r="F902" s="41">
        <v>45731</v>
      </c>
      <c r="G902" s="38">
        <v>12</v>
      </c>
      <c r="H902" s="40">
        <v>0</v>
      </c>
      <c r="I902" s="38">
        <v>5.5</v>
      </c>
      <c r="J902" s="41">
        <v>45731</v>
      </c>
      <c r="K902" s="38" t="s">
        <v>10768</v>
      </c>
      <c r="L902" s="42">
        <v>40000000</v>
      </c>
      <c r="O902"/>
    </row>
    <row r="903" spans="1:15" x14ac:dyDescent="0.3">
      <c r="A903" s="37">
        <v>132414</v>
      </c>
      <c r="B903" s="38">
        <v>897</v>
      </c>
      <c r="C903" s="39" t="s">
        <v>8679</v>
      </c>
      <c r="D903" s="10" t="str">
        <f>VLOOKUP(C903,'Data Angt'!$A$5:$B$5809,2,FALSE)</f>
        <v>A3937</v>
      </c>
      <c r="E903" s="40" t="s">
        <v>11389</v>
      </c>
      <c r="F903" s="41">
        <v>44655</v>
      </c>
      <c r="G903" s="38">
        <v>12</v>
      </c>
      <c r="H903" s="40">
        <v>0</v>
      </c>
      <c r="I903" s="38">
        <v>5.5</v>
      </c>
      <c r="J903" s="41">
        <v>44655</v>
      </c>
      <c r="K903" s="38" t="s">
        <v>10768</v>
      </c>
      <c r="L903" s="42">
        <v>20000000</v>
      </c>
      <c r="O903"/>
    </row>
    <row r="904" spans="1:15" x14ac:dyDescent="0.3">
      <c r="A904" s="37">
        <v>135794</v>
      </c>
      <c r="B904" s="38">
        <v>898</v>
      </c>
      <c r="C904" s="39" t="s">
        <v>8682</v>
      </c>
      <c r="D904" s="10" t="str">
        <f>VLOOKUP(C904,'Data Angt'!$A$5:$B$5809,2,FALSE)</f>
        <v>A3939</v>
      </c>
      <c r="E904" s="40" t="s">
        <v>11390</v>
      </c>
      <c r="F904" s="41">
        <v>44918</v>
      </c>
      <c r="G904" s="38">
        <v>12</v>
      </c>
      <c r="H904" s="40">
        <v>0</v>
      </c>
      <c r="I904" s="38">
        <v>5.5</v>
      </c>
      <c r="J904" s="41">
        <v>44918</v>
      </c>
      <c r="K904" s="38" t="s">
        <v>10768</v>
      </c>
      <c r="L904" s="42">
        <v>4000000</v>
      </c>
      <c r="O904"/>
    </row>
    <row r="905" spans="1:15" x14ac:dyDescent="0.3">
      <c r="A905" s="37">
        <v>140097</v>
      </c>
      <c r="B905" s="38">
        <v>899</v>
      </c>
      <c r="C905" s="39" t="s">
        <v>8684</v>
      </c>
      <c r="D905" s="10" t="str">
        <f>VLOOKUP(C905,'Data Angt'!$A$5:$B$5809,2,FALSE)</f>
        <v>A3940</v>
      </c>
      <c r="E905" s="40" t="s">
        <v>11391</v>
      </c>
      <c r="F905" s="41">
        <v>45230</v>
      </c>
      <c r="G905" s="38">
        <v>12</v>
      </c>
      <c r="H905" s="40">
        <v>0</v>
      </c>
      <c r="I905" s="38">
        <v>5.5</v>
      </c>
      <c r="J905" s="41">
        <v>45230</v>
      </c>
      <c r="K905" s="38" t="s">
        <v>10768</v>
      </c>
      <c r="L905" s="42">
        <v>5000000</v>
      </c>
      <c r="O905"/>
    </row>
    <row r="906" spans="1:15" x14ac:dyDescent="0.3">
      <c r="A906" s="37">
        <v>138331</v>
      </c>
      <c r="B906" s="38">
        <v>900</v>
      </c>
      <c r="C906" s="39" t="s">
        <v>8706</v>
      </c>
      <c r="D906" s="10" t="str">
        <f>VLOOKUP(C906,'Data Angt'!$A$5:$B$5809,2,FALSE)</f>
        <v>A3951</v>
      </c>
      <c r="E906" s="40" t="s">
        <v>11392</v>
      </c>
      <c r="F906" s="41">
        <v>45133</v>
      </c>
      <c r="G906" s="38">
        <v>12</v>
      </c>
      <c r="H906" s="40">
        <v>0</v>
      </c>
      <c r="I906" s="38">
        <v>5.5</v>
      </c>
      <c r="J906" s="41">
        <v>45133</v>
      </c>
      <c r="K906" s="38" t="s">
        <v>10768</v>
      </c>
      <c r="L906" s="42">
        <v>2000000</v>
      </c>
      <c r="O906"/>
    </row>
    <row r="907" spans="1:15" x14ac:dyDescent="0.3">
      <c r="A907" s="37">
        <v>140809</v>
      </c>
      <c r="B907" s="38">
        <v>901</v>
      </c>
      <c r="C907" s="39" t="s">
        <v>8706</v>
      </c>
      <c r="D907" s="10" t="str">
        <f>VLOOKUP(C907,'Data Angt'!$A$5:$B$5809,2,FALSE)</f>
        <v>A3951</v>
      </c>
      <c r="E907" s="40" t="s">
        <v>11393</v>
      </c>
      <c r="F907" s="41">
        <v>45267</v>
      </c>
      <c r="G907" s="38">
        <v>12</v>
      </c>
      <c r="H907" s="40">
        <v>0</v>
      </c>
      <c r="I907" s="38">
        <v>5.5</v>
      </c>
      <c r="J907" s="41">
        <v>45267</v>
      </c>
      <c r="K907" s="38" t="s">
        <v>10768</v>
      </c>
      <c r="L907" s="42">
        <v>2500000</v>
      </c>
      <c r="O907"/>
    </row>
    <row r="908" spans="1:15" x14ac:dyDescent="0.3">
      <c r="A908" s="37">
        <v>140810</v>
      </c>
      <c r="B908" s="38">
        <v>902</v>
      </c>
      <c r="C908" s="39" t="s">
        <v>8706</v>
      </c>
      <c r="D908" s="10" t="str">
        <f>VLOOKUP(C908,'Data Angt'!$A$5:$B$5809,2,FALSE)</f>
        <v>A3951</v>
      </c>
      <c r="E908" s="40" t="s">
        <v>11394</v>
      </c>
      <c r="F908" s="41">
        <v>45267</v>
      </c>
      <c r="G908" s="38">
        <v>12</v>
      </c>
      <c r="H908" s="40">
        <v>0</v>
      </c>
      <c r="I908" s="38">
        <v>5.5</v>
      </c>
      <c r="J908" s="41">
        <v>45267</v>
      </c>
      <c r="K908" s="38" t="s">
        <v>10768</v>
      </c>
      <c r="L908" s="42">
        <v>2500000</v>
      </c>
      <c r="O908"/>
    </row>
    <row r="909" spans="1:15" x14ac:dyDescent="0.3">
      <c r="A909" s="37">
        <v>141435</v>
      </c>
      <c r="B909" s="38">
        <v>903</v>
      </c>
      <c r="C909" s="39" t="s">
        <v>8706</v>
      </c>
      <c r="D909" s="10" t="str">
        <f>VLOOKUP(C909,'Data Angt'!$A$5:$B$5809,2,FALSE)</f>
        <v>A3951</v>
      </c>
      <c r="E909" s="40" t="s">
        <v>18617</v>
      </c>
      <c r="F909" s="41">
        <v>45297</v>
      </c>
      <c r="G909" s="38">
        <v>12</v>
      </c>
      <c r="H909" s="40">
        <v>0</v>
      </c>
      <c r="I909" s="38">
        <v>5.5</v>
      </c>
      <c r="J909" s="41">
        <v>45297</v>
      </c>
      <c r="K909" s="38" t="s">
        <v>10768</v>
      </c>
      <c r="L909" s="42">
        <v>2000000</v>
      </c>
      <c r="O909"/>
    </row>
    <row r="910" spans="1:15" x14ac:dyDescent="0.3">
      <c r="A910" s="37">
        <v>144234</v>
      </c>
      <c r="B910" s="38">
        <v>904</v>
      </c>
      <c r="C910" s="39" t="s">
        <v>8706</v>
      </c>
      <c r="D910" s="10" t="str">
        <f>VLOOKUP(C910,'Data Angt'!$A$5:$B$5809,2,FALSE)</f>
        <v>A3951</v>
      </c>
      <c r="E910" s="40" t="s">
        <v>18618</v>
      </c>
      <c r="F910" s="41">
        <v>45390</v>
      </c>
      <c r="G910" s="38">
        <v>12</v>
      </c>
      <c r="H910" s="40">
        <v>0</v>
      </c>
      <c r="I910" s="38">
        <v>5.5</v>
      </c>
      <c r="J910" s="41">
        <v>45390</v>
      </c>
      <c r="K910" s="38" t="s">
        <v>10768</v>
      </c>
      <c r="L910" s="42">
        <v>4000000</v>
      </c>
      <c r="O910"/>
    </row>
    <row r="911" spans="1:15" x14ac:dyDescent="0.3">
      <c r="A911" s="37">
        <v>146059</v>
      </c>
      <c r="B911" s="38">
        <v>905</v>
      </c>
      <c r="C911" s="39" t="s">
        <v>8706</v>
      </c>
      <c r="D911" s="10" t="str">
        <f>VLOOKUP(C911,'Data Angt'!$A$5:$B$5809,2,FALSE)</f>
        <v>A3951</v>
      </c>
      <c r="E911" s="40" t="s">
        <v>18619</v>
      </c>
      <c r="F911" s="41">
        <v>45458</v>
      </c>
      <c r="G911" s="38">
        <v>12</v>
      </c>
      <c r="H911" s="40">
        <v>0</v>
      </c>
      <c r="I911" s="38">
        <v>5.5</v>
      </c>
      <c r="J911" s="41">
        <v>45458</v>
      </c>
      <c r="K911" s="38" t="s">
        <v>10768</v>
      </c>
      <c r="L911" s="42">
        <v>2000000</v>
      </c>
      <c r="O911"/>
    </row>
    <row r="912" spans="1:15" x14ac:dyDescent="0.3">
      <c r="A912" s="37">
        <v>147601</v>
      </c>
      <c r="B912" s="38">
        <v>906</v>
      </c>
      <c r="C912" s="39" t="s">
        <v>8706</v>
      </c>
      <c r="D912" s="10" t="str">
        <f>VLOOKUP(C912,'Data Angt'!$A$5:$B$5809,2,FALSE)</f>
        <v>A3951</v>
      </c>
      <c r="E912" s="40" t="s">
        <v>18620</v>
      </c>
      <c r="F912" s="41">
        <v>45496</v>
      </c>
      <c r="G912" s="38">
        <v>12</v>
      </c>
      <c r="H912" s="40">
        <v>0</v>
      </c>
      <c r="I912" s="38">
        <v>5.5</v>
      </c>
      <c r="J912" s="41">
        <v>45496</v>
      </c>
      <c r="K912" s="38" t="s">
        <v>10768</v>
      </c>
      <c r="L912" s="42">
        <v>2000000</v>
      </c>
      <c r="O912"/>
    </row>
    <row r="913" spans="1:15" x14ac:dyDescent="0.3">
      <c r="A913" s="37">
        <v>148795</v>
      </c>
      <c r="B913" s="38">
        <v>907</v>
      </c>
      <c r="C913" s="39" t="s">
        <v>8706</v>
      </c>
      <c r="D913" s="10" t="str">
        <f>VLOOKUP(C913,'Data Angt'!$A$5:$B$5809,2,FALSE)</f>
        <v>A3951</v>
      </c>
      <c r="E913" s="40" t="s">
        <v>18621</v>
      </c>
      <c r="F913" s="41">
        <v>45537</v>
      </c>
      <c r="G913" s="38">
        <v>12</v>
      </c>
      <c r="H913" s="40">
        <v>0</v>
      </c>
      <c r="I913" s="38">
        <v>5.5</v>
      </c>
      <c r="J913" s="41">
        <v>45537</v>
      </c>
      <c r="K913" s="38" t="s">
        <v>10768</v>
      </c>
      <c r="L913" s="42">
        <v>2000000</v>
      </c>
      <c r="O913"/>
    </row>
    <row r="914" spans="1:15" x14ac:dyDescent="0.3">
      <c r="A914" s="37">
        <v>150988</v>
      </c>
      <c r="B914" s="38">
        <v>908</v>
      </c>
      <c r="C914" s="39" t="s">
        <v>8706</v>
      </c>
      <c r="D914" s="10" t="str">
        <f>VLOOKUP(C914,'Data Angt'!$A$5:$B$5809,2,FALSE)</f>
        <v>A3951</v>
      </c>
      <c r="E914" s="40" t="s">
        <v>18622</v>
      </c>
      <c r="F914" s="41">
        <v>45622</v>
      </c>
      <c r="G914" s="38">
        <v>12</v>
      </c>
      <c r="H914" s="40">
        <v>0</v>
      </c>
      <c r="I914" s="38">
        <v>5.5</v>
      </c>
      <c r="J914" s="41">
        <v>45622</v>
      </c>
      <c r="K914" s="38" t="s">
        <v>10768</v>
      </c>
      <c r="L914" s="42">
        <v>4000000</v>
      </c>
      <c r="O914"/>
    </row>
    <row r="915" spans="1:15" x14ac:dyDescent="0.3">
      <c r="A915" s="37">
        <v>152667</v>
      </c>
      <c r="B915" s="38">
        <v>909</v>
      </c>
      <c r="C915" s="39" t="s">
        <v>8852</v>
      </c>
      <c r="D915" s="10" t="str">
        <f>VLOOKUP(C915,'Data Angt'!$A$5:$B$5809,2,FALSE)</f>
        <v>A4019</v>
      </c>
      <c r="E915" s="40" t="s">
        <v>18623</v>
      </c>
      <c r="F915" s="41">
        <v>45691</v>
      </c>
      <c r="G915" s="38">
        <v>12</v>
      </c>
      <c r="H915" s="40">
        <v>0</v>
      </c>
      <c r="I915" s="38">
        <v>5.5</v>
      </c>
      <c r="J915" s="41">
        <v>45691</v>
      </c>
      <c r="K915" s="38" t="s">
        <v>10768</v>
      </c>
      <c r="L915" s="42">
        <v>37500000</v>
      </c>
      <c r="O915"/>
    </row>
    <row r="916" spans="1:15" x14ac:dyDescent="0.3">
      <c r="A916" s="37">
        <v>143058</v>
      </c>
      <c r="B916" s="38">
        <v>910</v>
      </c>
      <c r="C916" s="39" t="s">
        <v>8855</v>
      </c>
      <c r="D916" s="10" t="str">
        <f>VLOOKUP(C916,'Data Angt'!$A$5:$B$5809,2,FALSE)</f>
        <v>A4021</v>
      </c>
      <c r="E916" s="40" t="s">
        <v>18630</v>
      </c>
      <c r="F916" s="41">
        <v>45353</v>
      </c>
      <c r="G916" s="38">
        <v>12</v>
      </c>
      <c r="H916" s="40">
        <v>0</v>
      </c>
      <c r="I916" s="38">
        <v>5.5</v>
      </c>
      <c r="J916" s="41">
        <v>45353</v>
      </c>
      <c r="K916" s="38" t="s">
        <v>10768</v>
      </c>
      <c r="L916" s="42">
        <v>40000000</v>
      </c>
      <c r="O916"/>
    </row>
    <row r="917" spans="1:15" x14ac:dyDescent="0.3">
      <c r="A917" s="37">
        <v>143891</v>
      </c>
      <c r="B917" s="38">
        <v>911</v>
      </c>
      <c r="C917" s="39" t="s">
        <v>8855</v>
      </c>
      <c r="D917" s="10" t="str">
        <f>VLOOKUP(C917,'Data Angt'!$A$5:$B$5809,2,FALSE)</f>
        <v>A4021</v>
      </c>
      <c r="E917" s="40" t="s">
        <v>18631</v>
      </c>
      <c r="F917" s="41">
        <v>45377</v>
      </c>
      <c r="G917" s="38">
        <v>12</v>
      </c>
      <c r="H917" s="40">
        <v>0</v>
      </c>
      <c r="I917" s="38">
        <v>5.5</v>
      </c>
      <c r="J917" s="41">
        <v>45377</v>
      </c>
      <c r="K917" s="38" t="s">
        <v>10768</v>
      </c>
      <c r="L917" s="42">
        <v>40000000</v>
      </c>
      <c r="O917"/>
    </row>
    <row r="918" spans="1:15" x14ac:dyDescent="0.3">
      <c r="A918" s="37">
        <v>144625</v>
      </c>
      <c r="B918" s="38">
        <v>912</v>
      </c>
      <c r="C918" s="39" t="s">
        <v>8855</v>
      </c>
      <c r="D918" s="10" t="str">
        <f>VLOOKUP(C918,'Data Angt'!$A$5:$B$5809,2,FALSE)</f>
        <v>A4021</v>
      </c>
      <c r="E918" s="40" t="s">
        <v>18632</v>
      </c>
      <c r="F918" s="41">
        <v>45416</v>
      </c>
      <c r="G918" s="38">
        <v>12</v>
      </c>
      <c r="H918" s="40">
        <v>0</v>
      </c>
      <c r="I918" s="38">
        <v>5.5</v>
      </c>
      <c r="J918" s="41">
        <v>45416</v>
      </c>
      <c r="K918" s="38" t="s">
        <v>10768</v>
      </c>
      <c r="L918" s="42">
        <v>32000000</v>
      </c>
      <c r="O918"/>
    </row>
    <row r="919" spans="1:15" ht="18.75" customHeight="1" x14ac:dyDescent="0.3">
      <c r="A919" s="37">
        <v>146523</v>
      </c>
      <c r="B919" s="38">
        <v>913</v>
      </c>
      <c r="C919" s="39" t="s">
        <v>8855</v>
      </c>
      <c r="D919" s="10" t="str">
        <f>VLOOKUP(C919,'Data Angt'!$A$5:$B$5809,2,FALSE)</f>
        <v>A4021</v>
      </c>
      <c r="E919" s="40" t="s">
        <v>18624</v>
      </c>
      <c r="F919" s="41">
        <v>45485</v>
      </c>
      <c r="G919" s="38">
        <v>12</v>
      </c>
      <c r="H919" s="40">
        <v>0</v>
      </c>
      <c r="I919" s="38">
        <v>5.5</v>
      </c>
      <c r="J919" s="41">
        <v>45485</v>
      </c>
      <c r="K919" s="38" t="s">
        <v>10768</v>
      </c>
      <c r="L919" s="42">
        <v>50000000</v>
      </c>
      <c r="O919"/>
    </row>
    <row r="920" spans="1:15" x14ac:dyDescent="0.3">
      <c r="A920" s="37">
        <v>150665</v>
      </c>
      <c r="B920" s="38">
        <v>914</v>
      </c>
      <c r="C920" s="39" t="s">
        <v>8855</v>
      </c>
      <c r="D920" s="10" t="str">
        <f>VLOOKUP(C920,'Data Angt'!$A$5:$B$5809,2,FALSE)</f>
        <v>A4021</v>
      </c>
      <c r="E920" s="40" t="s">
        <v>18625</v>
      </c>
      <c r="F920" s="41">
        <v>45612</v>
      </c>
      <c r="G920" s="38">
        <v>12</v>
      </c>
      <c r="H920" s="40">
        <v>0</v>
      </c>
      <c r="I920" s="38">
        <v>5.5</v>
      </c>
      <c r="J920" s="41">
        <v>45612</v>
      </c>
      <c r="K920" s="38" t="s">
        <v>10768</v>
      </c>
      <c r="L920" s="42">
        <v>25000000</v>
      </c>
      <c r="O920"/>
    </row>
    <row r="921" spans="1:15" x14ac:dyDescent="0.3">
      <c r="A921" s="37">
        <v>152656</v>
      </c>
      <c r="B921" s="38">
        <v>915</v>
      </c>
      <c r="C921" s="39" t="s">
        <v>8855</v>
      </c>
      <c r="D921" s="10" t="str">
        <f>VLOOKUP(C921,'Data Angt'!$A$5:$B$5809,2,FALSE)</f>
        <v>A4021</v>
      </c>
      <c r="E921" s="40" t="s">
        <v>18626</v>
      </c>
      <c r="F921" s="41">
        <v>45689</v>
      </c>
      <c r="G921" s="38">
        <v>12</v>
      </c>
      <c r="H921" s="40">
        <v>0</v>
      </c>
      <c r="I921" s="38">
        <v>5.5</v>
      </c>
      <c r="J921" s="41">
        <v>45689</v>
      </c>
      <c r="K921" s="38" t="s">
        <v>10768</v>
      </c>
      <c r="L921" s="42">
        <v>45000000</v>
      </c>
      <c r="O921"/>
    </row>
    <row r="922" spans="1:15" x14ac:dyDescent="0.3">
      <c r="A922" s="37">
        <v>154345</v>
      </c>
      <c r="B922" s="38">
        <v>916</v>
      </c>
      <c r="C922" s="39" t="s">
        <v>8855</v>
      </c>
      <c r="D922" s="10" t="str">
        <f>VLOOKUP(C922,'Data Angt'!$A$5:$B$5809,2,FALSE)</f>
        <v>A4021</v>
      </c>
      <c r="E922" s="40" t="s">
        <v>18627</v>
      </c>
      <c r="F922" s="41">
        <v>45724</v>
      </c>
      <c r="G922" s="38">
        <v>12</v>
      </c>
      <c r="H922" s="40">
        <v>0</v>
      </c>
      <c r="I922" s="38">
        <v>5.5</v>
      </c>
      <c r="J922" s="41">
        <v>45724</v>
      </c>
      <c r="K922" s="38" t="s">
        <v>10768</v>
      </c>
      <c r="L922" s="42">
        <v>17500000</v>
      </c>
      <c r="O922"/>
    </row>
    <row r="923" spans="1:15" x14ac:dyDescent="0.3">
      <c r="A923" s="37">
        <v>155441</v>
      </c>
      <c r="B923" s="38">
        <v>917</v>
      </c>
      <c r="C923" s="39" t="s">
        <v>8855</v>
      </c>
      <c r="D923" s="10" t="str">
        <f>VLOOKUP(C923,'Data Angt'!$A$5:$B$5809,2,FALSE)</f>
        <v>A4021</v>
      </c>
      <c r="E923" s="40" t="s">
        <v>18628</v>
      </c>
      <c r="F923" s="41">
        <v>45783</v>
      </c>
      <c r="G923" s="38">
        <v>12</v>
      </c>
      <c r="H923" s="40">
        <v>0</v>
      </c>
      <c r="I923" s="38">
        <v>5.5</v>
      </c>
      <c r="J923" s="41">
        <v>45783</v>
      </c>
      <c r="K923" s="38" t="s">
        <v>10768</v>
      </c>
      <c r="L923" s="42">
        <v>17000000</v>
      </c>
      <c r="O923"/>
    </row>
    <row r="924" spans="1:15" x14ac:dyDescent="0.3">
      <c r="A924" s="37">
        <v>156213</v>
      </c>
      <c r="B924" s="38">
        <v>918</v>
      </c>
      <c r="C924" s="39" t="s">
        <v>8855</v>
      </c>
      <c r="D924" s="10" t="str">
        <f>VLOOKUP(C924,'Data Angt'!$A$5:$B$5809,2,FALSE)</f>
        <v>A4021</v>
      </c>
      <c r="E924" s="40" t="s">
        <v>18629</v>
      </c>
      <c r="F924" s="41">
        <v>45812</v>
      </c>
      <c r="G924" s="38">
        <v>12</v>
      </c>
      <c r="H924" s="40">
        <v>0</v>
      </c>
      <c r="I924" s="38">
        <v>5.5</v>
      </c>
      <c r="J924" s="41">
        <v>45812</v>
      </c>
      <c r="K924" s="38" t="s">
        <v>10768</v>
      </c>
      <c r="L924" s="42">
        <v>15000000</v>
      </c>
      <c r="O924"/>
    </row>
    <row r="925" spans="1:15" x14ac:dyDescent="0.3">
      <c r="A925" s="37">
        <v>156903</v>
      </c>
      <c r="B925" s="38">
        <v>919</v>
      </c>
      <c r="C925" s="39" t="s">
        <v>8855</v>
      </c>
      <c r="D925" s="10" t="str">
        <f>VLOOKUP(C925,'Data Angt'!$A$5:$B$5809,2,FALSE)</f>
        <v>A4021</v>
      </c>
      <c r="E925" s="40" t="s">
        <v>24174</v>
      </c>
      <c r="F925" s="41">
        <v>45848</v>
      </c>
      <c r="G925" s="38">
        <v>12</v>
      </c>
      <c r="H925" s="40">
        <v>0</v>
      </c>
      <c r="I925" s="38">
        <v>5.5</v>
      </c>
      <c r="J925" s="41">
        <v>45848</v>
      </c>
      <c r="K925" s="38" t="s">
        <v>10768</v>
      </c>
      <c r="L925" s="42">
        <v>11000000</v>
      </c>
      <c r="O925"/>
    </row>
    <row r="926" spans="1:15" x14ac:dyDescent="0.3">
      <c r="A926" s="37">
        <v>157986</v>
      </c>
      <c r="B926" s="38">
        <v>920</v>
      </c>
      <c r="C926" s="39" t="s">
        <v>8855</v>
      </c>
      <c r="D926" s="10" t="str">
        <f>VLOOKUP(C926,'Data Angt'!$A$5:$B$5809,2,FALSE)</f>
        <v>A4021</v>
      </c>
      <c r="E926" s="40" t="s">
        <v>24175</v>
      </c>
      <c r="F926" s="41">
        <v>45889</v>
      </c>
      <c r="G926" s="38">
        <v>12</v>
      </c>
      <c r="H926" s="40">
        <v>0</v>
      </c>
      <c r="I926" s="38">
        <v>5.5</v>
      </c>
      <c r="J926" s="41">
        <v>45889</v>
      </c>
      <c r="K926" s="38" t="s">
        <v>10768</v>
      </c>
      <c r="L926" s="42">
        <v>14000000</v>
      </c>
      <c r="O926"/>
    </row>
    <row r="927" spans="1:15" x14ac:dyDescent="0.3">
      <c r="A927" s="37">
        <v>151384</v>
      </c>
      <c r="B927" s="38">
        <v>921</v>
      </c>
      <c r="C927" s="39" t="s">
        <v>8874</v>
      </c>
      <c r="D927" s="10" t="str">
        <f>VLOOKUP(C927,'Data Angt'!$A$5:$B$5809,2,FALSE)</f>
        <v>A4030</v>
      </c>
      <c r="E927" s="40" t="s">
        <v>18633</v>
      </c>
      <c r="F927" s="41">
        <v>45635</v>
      </c>
      <c r="G927" s="38">
        <v>12</v>
      </c>
      <c r="H927" s="40">
        <v>0</v>
      </c>
      <c r="I927" s="38">
        <v>5.5</v>
      </c>
      <c r="J927" s="41">
        <v>45635</v>
      </c>
      <c r="K927" s="38" t="s">
        <v>10768</v>
      </c>
      <c r="L927" s="42">
        <v>47000000</v>
      </c>
      <c r="O927"/>
    </row>
    <row r="928" spans="1:15" x14ac:dyDescent="0.3">
      <c r="A928" s="37">
        <v>154416</v>
      </c>
      <c r="B928" s="38">
        <v>922</v>
      </c>
      <c r="C928" s="39" t="s">
        <v>8874</v>
      </c>
      <c r="D928" s="10" t="str">
        <f>VLOOKUP(C928,'Data Angt'!$A$5:$B$5809,2,FALSE)</f>
        <v>A4030</v>
      </c>
      <c r="E928" s="40" t="s">
        <v>18634</v>
      </c>
      <c r="F928" s="41">
        <v>45726</v>
      </c>
      <c r="G928" s="38">
        <v>12</v>
      </c>
      <c r="H928" s="40">
        <v>0</v>
      </c>
      <c r="I928" s="38">
        <v>5.5</v>
      </c>
      <c r="J928" s="41">
        <v>45726</v>
      </c>
      <c r="K928" s="38" t="s">
        <v>10768</v>
      </c>
      <c r="L928" s="42">
        <v>70000000</v>
      </c>
      <c r="O928"/>
    </row>
    <row r="929" spans="1:15" x14ac:dyDescent="0.3">
      <c r="A929" s="37">
        <v>154811</v>
      </c>
      <c r="B929" s="38">
        <v>923</v>
      </c>
      <c r="C929" s="39" t="s">
        <v>8874</v>
      </c>
      <c r="D929" s="10" t="str">
        <f>VLOOKUP(C929,'Data Angt'!$A$5:$B$5809,2,FALSE)</f>
        <v>A4030</v>
      </c>
      <c r="E929" s="40" t="s">
        <v>18635</v>
      </c>
      <c r="F929" s="41">
        <v>45742</v>
      </c>
      <c r="G929" s="38">
        <v>12</v>
      </c>
      <c r="H929" s="40">
        <v>0</v>
      </c>
      <c r="I929" s="38">
        <v>5.5</v>
      </c>
      <c r="J929" s="41">
        <v>45742</v>
      </c>
      <c r="K929" s="38" t="s">
        <v>10768</v>
      </c>
      <c r="L929" s="42">
        <v>25000000</v>
      </c>
      <c r="O929"/>
    </row>
    <row r="930" spans="1:15" x14ac:dyDescent="0.3">
      <c r="A930" s="37">
        <v>154813</v>
      </c>
      <c r="B930" s="38">
        <v>924</v>
      </c>
      <c r="C930" s="39" t="s">
        <v>8874</v>
      </c>
      <c r="D930" s="10" t="str">
        <f>VLOOKUP(C930,'Data Angt'!$A$5:$B$5809,2,FALSE)</f>
        <v>A4030</v>
      </c>
      <c r="E930" s="40" t="s">
        <v>18636</v>
      </c>
      <c r="F930" s="41">
        <v>45742</v>
      </c>
      <c r="G930" s="38">
        <v>12</v>
      </c>
      <c r="H930" s="40">
        <v>0</v>
      </c>
      <c r="I930" s="38">
        <v>5.5</v>
      </c>
      <c r="J930" s="41">
        <v>45742</v>
      </c>
      <c r="K930" s="38" t="s">
        <v>10768</v>
      </c>
      <c r="L930" s="42">
        <v>7000000</v>
      </c>
      <c r="O930"/>
    </row>
    <row r="931" spans="1:15" x14ac:dyDescent="0.3">
      <c r="A931" s="37">
        <v>144451</v>
      </c>
      <c r="B931" s="38">
        <v>925</v>
      </c>
      <c r="C931" s="39" t="s">
        <v>8900</v>
      </c>
      <c r="D931" s="10" t="str">
        <f>VLOOKUP(C931,'Data Angt'!$A$5:$B$5809,2,FALSE)</f>
        <v>A4044</v>
      </c>
      <c r="E931" s="40" t="s">
        <v>18637</v>
      </c>
      <c r="F931" s="41">
        <v>45409</v>
      </c>
      <c r="G931" s="38">
        <v>12</v>
      </c>
      <c r="H931" s="40">
        <v>0</v>
      </c>
      <c r="I931" s="38">
        <v>5.5</v>
      </c>
      <c r="J931" s="41">
        <v>45409</v>
      </c>
      <c r="K931" s="38" t="s">
        <v>10768</v>
      </c>
      <c r="L931" s="42">
        <v>17000000</v>
      </c>
      <c r="O931"/>
    </row>
    <row r="932" spans="1:15" x14ac:dyDescent="0.3">
      <c r="A932" s="37">
        <v>136213</v>
      </c>
      <c r="B932" s="38">
        <v>926</v>
      </c>
      <c r="C932" s="39" t="s">
        <v>8921</v>
      </c>
      <c r="D932" s="10" t="str">
        <f>VLOOKUP(C932,'Data Angt'!$A$5:$B$5809,2,FALSE)</f>
        <v>A4055</v>
      </c>
      <c r="E932" s="40" t="s">
        <v>11395</v>
      </c>
      <c r="F932" s="41">
        <v>44958</v>
      </c>
      <c r="G932" s="38">
        <v>12</v>
      </c>
      <c r="H932" s="40">
        <v>0</v>
      </c>
      <c r="I932" s="38">
        <v>5.5</v>
      </c>
      <c r="J932" s="41">
        <v>44958</v>
      </c>
      <c r="K932" s="38" t="s">
        <v>10768</v>
      </c>
      <c r="L932" s="42">
        <v>10000000</v>
      </c>
      <c r="O932"/>
    </row>
    <row r="933" spans="1:15" x14ac:dyDescent="0.3">
      <c r="A933" s="37">
        <v>136693</v>
      </c>
      <c r="B933" s="38">
        <v>927</v>
      </c>
      <c r="C933" s="39" t="s">
        <v>8921</v>
      </c>
      <c r="D933" s="10" t="str">
        <f>VLOOKUP(C933,'Data Angt'!$A$5:$B$5809,2,FALSE)</f>
        <v>A4055</v>
      </c>
      <c r="E933" s="40" t="s">
        <v>11396</v>
      </c>
      <c r="F933" s="41">
        <v>44988</v>
      </c>
      <c r="G933" s="38">
        <v>12</v>
      </c>
      <c r="H933" s="40">
        <v>0</v>
      </c>
      <c r="I933" s="38">
        <v>5.5</v>
      </c>
      <c r="J933" s="41">
        <v>44988</v>
      </c>
      <c r="K933" s="38" t="s">
        <v>10768</v>
      </c>
      <c r="L933" s="42">
        <v>10000000</v>
      </c>
      <c r="O933"/>
    </row>
    <row r="934" spans="1:15" x14ac:dyDescent="0.3">
      <c r="A934" s="37">
        <v>137057</v>
      </c>
      <c r="B934" s="38">
        <v>928</v>
      </c>
      <c r="C934" s="39" t="s">
        <v>8921</v>
      </c>
      <c r="D934" s="10" t="str">
        <f>VLOOKUP(C934,'Data Angt'!$A$5:$B$5809,2,FALSE)</f>
        <v>A4055</v>
      </c>
      <c r="E934" s="40" t="s">
        <v>11397</v>
      </c>
      <c r="F934" s="41">
        <v>45021</v>
      </c>
      <c r="G934" s="38">
        <v>12</v>
      </c>
      <c r="H934" s="40">
        <v>0</v>
      </c>
      <c r="I934" s="38">
        <v>5.5</v>
      </c>
      <c r="J934" s="41">
        <v>45021</v>
      </c>
      <c r="K934" s="38" t="s">
        <v>10768</v>
      </c>
      <c r="L934" s="42">
        <v>10000000</v>
      </c>
      <c r="O934"/>
    </row>
    <row r="935" spans="1:15" x14ac:dyDescent="0.3">
      <c r="A935" s="37">
        <v>136188</v>
      </c>
      <c r="B935" s="38">
        <v>929</v>
      </c>
      <c r="C935" s="39" t="s">
        <v>8923</v>
      </c>
      <c r="D935" s="10" t="str">
        <f>VLOOKUP(C935,'Data Angt'!$A$5:$B$5809,2,FALSE)</f>
        <v>A4056</v>
      </c>
      <c r="E935" s="40" t="s">
        <v>11398</v>
      </c>
      <c r="F935" s="41">
        <v>44957</v>
      </c>
      <c r="G935" s="38">
        <v>12</v>
      </c>
      <c r="H935" s="40">
        <v>0</v>
      </c>
      <c r="I935" s="38">
        <v>5.5</v>
      </c>
      <c r="J935" s="41">
        <v>44957</v>
      </c>
      <c r="K935" s="38" t="s">
        <v>10768</v>
      </c>
      <c r="L935" s="42">
        <v>10000000</v>
      </c>
      <c r="O935"/>
    </row>
    <row r="936" spans="1:15" x14ac:dyDescent="0.3">
      <c r="A936" s="37">
        <v>137017</v>
      </c>
      <c r="B936" s="38">
        <v>930</v>
      </c>
      <c r="C936" s="39" t="s">
        <v>9009</v>
      </c>
      <c r="D936" s="10" t="str">
        <f>VLOOKUP(C936,'Data Angt'!$A$5:$B$5809,2,FALSE)</f>
        <v>A4097</v>
      </c>
      <c r="E936" s="40" t="s">
        <v>11399</v>
      </c>
      <c r="F936" s="41">
        <v>45019</v>
      </c>
      <c r="G936" s="38">
        <v>12</v>
      </c>
      <c r="H936" s="40">
        <v>0</v>
      </c>
      <c r="I936" s="38">
        <v>5.5</v>
      </c>
      <c r="J936" s="41">
        <v>45019</v>
      </c>
      <c r="K936" s="38" t="s">
        <v>10768</v>
      </c>
      <c r="L936" s="42">
        <v>100000000</v>
      </c>
      <c r="O936"/>
    </row>
    <row r="937" spans="1:15" x14ac:dyDescent="0.3">
      <c r="A937" s="37">
        <v>158459</v>
      </c>
      <c r="B937" s="38">
        <v>931</v>
      </c>
      <c r="C937" s="39" t="s">
        <v>9022</v>
      </c>
      <c r="D937" s="10" t="str">
        <f>VLOOKUP(C937,'Data Angt'!$A$5:$B$5809,2,FALSE)</f>
        <v>A4102</v>
      </c>
      <c r="E937" s="40" t="s">
        <v>24176</v>
      </c>
      <c r="F937" s="41">
        <v>45909</v>
      </c>
      <c r="G937" s="38">
        <v>12</v>
      </c>
      <c r="H937" s="40">
        <v>0</v>
      </c>
      <c r="I937" s="38">
        <v>5.5</v>
      </c>
      <c r="J937" s="41">
        <v>45909</v>
      </c>
      <c r="K937" s="38" t="s">
        <v>10768</v>
      </c>
      <c r="L937" s="42">
        <v>2500000</v>
      </c>
      <c r="O937"/>
    </row>
    <row r="938" spans="1:15" x14ac:dyDescent="0.3">
      <c r="A938" s="37">
        <v>156167</v>
      </c>
      <c r="B938" s="38">
        <v>932</v>
      </c>
      <c r="C938" s="39" t="s">
        <v>12588</v>
      </c>
      <c r="D938" s="10" t="str">
        <f>VLOOKUP(C938,'Data Angt'!$A$5:$B$5809,2,FALSE)</f>
        <v>A4107</v>
      </c>
      <c r="E938" s="40" t="s">
        <v>18638</v>
      </c>
      <c r="F938" s="41">
        <v>45810</v>
      </c>
      <c r="G938" s="38">
        <v>12</v>
      </c>
      <c r="H938" s="40">
        <v>0</v>
      </c>
      <c r="I938" s="38">
        <v>5.5</v>
      </c>
      <c r="J938" s="41">
        <v>45810</v>
      </c>
      <c r="K938" s="38" t="s">
        <v>10768</v>
      </c>
      <c r="L938" s="42">
        <v>4000000</v>
      </c>
      <c r="O938"/>
    </row>
    <row r="939" spans="1:15" x14ac:dyDescent="0.3">
      <c r="A939" s="37">
        <v>148002</v>
      </c>
      <c r="B939" s="38">
        <v>933</v>
      </c>
      <c r="C939" s="39" t="s">
        <v>9092</v>
      </c>
      <c r="D939" s="10" t="str">
        <f>VLOOKUP(C939,'Data Angt'!$A$5:$B$5809,2,FALSE)</f>
        <v>A4137</v>
      </c>
      <c r="E939" s="40" t="s">
        <v>18639</v>
      </c>
      <c r="F939" s="41">
        <v>45512</v>
      </c>
      <c r="G939" s="38">
        <v>12</v>
      </c>
      <c r="H939" s="40">
        <v>0</v>
      </c>
      <c r="I939" s="38">
        <v>5.5</v>
      </c>
      <c r="J939" s="41">
        <v>45512</v>
      </c>
      <c r="K939" s="38" t="s">
        <v>10768</v>
      </c>
      <c r="L939" s="42">
        <v>15000000</v>
      </c>
      <c r="O939"/>
    </row>
    <row r="940" spans="1:15" x14ac:dyDescent="0.3">
      <c r="A940" s="37">
        <v>148036</v>
      </c>
      <c r="B940" s="38">
        <v>934</v>
      </c>
      <c r="C940" s="39" t="s">
        <v>9092</v>
      </c>
      <c r="D940" s="10" t="str">
        <f>VLOOKUP(C940,'Data Angt'!$A$5:$B$5809,2,FALSE)</f>
        <v>A4137</v>
      </c>
      <c r="E940" s="40" t="s">
        <v>18640</v>
      </c>
      <c r="F940" s="41">
        <v>45513</v>
      </c>
      <c r="G940" s="38">
        <v>12</v>
      </c>
      <c r="H940" s="40">
        <v>0</v>
      </c>
      <c r="I940" s="38">
        <v>5.5</v>
      </c>
      <c r="J940" s="41">
        <v>45513</v>
      </c>
      <c r="K940" s="38" t="s">
        <v>10768</v>
      </c>
      <c r="L940" s="42">
        <v>15000000</v>
      </c>
      <c r="O940"/>
    </row>
    <row r="941" spans="1:15" x14ac:dyDescent="0.3">
      <c r="A941" s="37">
        <v>157567</v>
      </c>
      <c r="B941" s="38">
        <v>935</v>
      </c>
      <c r="C941" s="39" t="s">
        <v>9092</v>
      </c>
      <c r="D941" s="10" t="str">
        <f>VLOOKUP(C941,'Data Angt'!$A$5:$B$5809,2,FALSE)</f>
        <v>A4137</v>
      </c>
      <c r="E941" s="40" t="s">
        <v>24177</v>
      </c>
      <c r="F941" s="41">
        <v>45873</v>
      </c>
      <c r="G941" s="38">
        <v>12</v>
      </c>
      <c r="H941" s="40">
        <v>0</v>
      </c>
      <c r="I941" s="38">
        <v>5.5</v>
      </c>
      <c r="J941" s="41">
        <v>45873</v>
      </c>
      <c r="K941" s="38" t="s">
        <v>10768</v>
      </c>
      <c r="L941" s="42">
        <v>10000000</v>
      </c>
      <c r="O941"/>
    </row>
    <row r="942" spans="1:15" x14ac:dyDescent="0.3">
      <c r="A942" s="37">
        <v>138956</v>
      </c>
      <c r="B942" s="38">
        <v>936</v>
      </c>
      <c r="C942" s="39" t="s">
        <v>9271</v>
      </c>
      <c r="D942" s="10" t="str">
        <f>VLOOKUP(C942,'Data Angt'!$A$5:$B$5809,2,FALSE)</f>
        <v>A4214</v>
      </c>
      <c r="E942" s="40" t="s">
        <v>11401</v>
      </c>
      <c r="F942" s="41">
        <v>45162</v>
      </c>
      <c r="G942" s="38">
        <v>12</v>
      </c>
      <c r="H942" s="40">
        <v>0</v>
      </c>
      <c r="I942" s="38">
        <v>5.5</v>
      </c>
      <c r="J942" s="41">
        <v>45162</v>
      </c>
      <c r="K942" s="38" t="s">
        <v>10768</v>
      </c>
      <c r="L942" s="42">
        <v>20000000</v>
      </c>
      <c r="O942"/>
    </row>
    <row r="943" spans="1:15" x14ac:dyDescent="0.3">
      <c r="A943" s="37">
        <v>150882</v>
      </c>
      <c r="B943" s="38">
        <v>937</v>
      </c>
      <c r="C943" s="39" t="s">
        <v>9407</v>
      </c>
      <c r="D943" s="10" t="str">
        <f>VLOOKUP(C943,'Data Angt'!$A$5:$B$5809,2,FALSE)</f>
        <v>A4279</v>
      </c>
      <c r="E943" s="40" t="s">
        <v>18641</v>
      </c>
      <c r="F943" s="41">
        <v>45619</v>
      </c>
      <c r="G943" s="38">
        <v>12</v>
      </c>
      <c r="H943" s="40">
        <v>0</v>
      </c>
      <c r="I943" s="38">
        <v>5.5</v>
      </c>
      <c r="J943" s="41">
        <v>45619</v>
      </c>
      <c r="K943" s="38" t="s">
        <v>10768</v>
      </c>
      <c r="L943" s="42">
        <v>200000000</v>
      </c>
      <c r="O943"/>
    </row>
    <row r="944" spans="1:15" x14ac:dyDescent="0.3">
      <c r="A944" s="37">
        <v>141914</v>
      </c>
      <c r="B944" s="38">
        <v>938</v>
      </c>
      <c r="C944" s="39" t="s">
        <v>9426</v>
      </c>
      <c r="D944" s="10" t="str">
        <f>VLOOKUP(C944,'Data Angt'!$A$5:$B$5809,2,FALSE)</f>
        <v>A4288</v>
      </c>
      <c r="E944" s="40" t="s">
        <v>18642</v>
      </c>
      <c r="F944" s="41">
        <v>45308</v>
      </c>
      <c r="G944" s="38">
        <v>12</v>
      </c>
      <c r="H944" s="40">
        <v>0</v>
      </c>
      <c r="I944" s="38">
        <v>5.5</v>
      </c>
      <c r="J944" s="41">
        <v>45308</v>
      </c>
      <c r="K944" s="38" t="s">
        <v>10768</v>
      </c>
      <c r="L944" s="42">
        <v>10000000</v>
      </c>
      <c r="O944"/>
    </row>
    <row r="945" spans="1:15" x14ac:dyDescent="0.3">
      <c r="A945" s="37">
        <v>152948</v>
      </c>
      <c r="B945" s="38">
        <v>939</v>
      </c>
      <c r="C945" s="39" t="s">
        <v>9455</v>
      </c>
      <c r="D945" s="10" t="str">
        <f>VLOOKUP(C945,'Data Angt'!$A$5:$B$5809,2,FALSE)</f>
        <v>A4301</v>
      </c>
      <c r="E945" s="40" t="s">
        <v>18643</v>
      </c>
      <c r="F945" s="41">
        <v>45695</v>
      </c>
      <c r="G945" s="38">
        <v>12</v>
      </c>
      <c r="H945" s="40">
        <v>0</v>
      </c>
      <c r="I945" s="38">
        <v>5.5</v>
      </c>
      <c r="J945" s="41">
        <v>45695</v>
      </c>
      <c r="K945" s="38" t="s">
        <v>10768</v>
      </c>
      <c r="L945" s="42">
        <v>15000000</v>
      </c>
      <c r="O945"/>
    </row>
    <row r="946" spans="1:15" x14ac:dyDescent="0.3">
      <c r="A946" s="37">
        <v>150468</v>
      </c>
      <c r="B946" s="38">
        <v>940</v>
      </c>
      <c r="C946" s="39" t="s">
        <v>9557</v>
      </c>
      <c r="D946" s="10" t="str">
        <f>VLOOKUP(C946,'Data Angt'!$A$5:$B$5809,2,FALSE)</f>
        <v>A4343</v>
      </c>
      <c r="E946" s="40" t="s">
        <v>18644</v>
      </c>
      <c r="F946" s="41">
        <v>45608</v>
      </c>
      <c r="G946" s="38">
        <v>12</v>
      </c>
      <c r="H946" s="40">
        <v>0</v>
      </c>
      <c r="I946" s="38">
        <v>5.5</v>
      </c>
      <c r="J946" s="41">
        <v>45608</v>
      </c>
      <c r="K946" s="38" t="s">
        <v>10768</v>
      </c>
      <c r="L946" s="42">
        <v>4000000</v>
      </c>
      <c r="O946"/>
    </row>
    <row r="947" spans="1:15" x14ac:dyDescent="0.3">
      <c r="A947" s="37">
        <v>141514</v>
      </c>
      <c r="B947" s="38">
        <v>941</v>
      </c>
      <c r="C947" s="39" t="s">
        <v>12631</v>
      </c>
      <c r="D947" s="10" t="str">
        <f>VLOOKUP(C947,'Data Angt'!$A$5:$B$5809,2,FALSE)</f>
        <v>A4368</v>
      </c>
      <c r="E947" s="40" t="s">
        <v>18645</v>
      </c>
      <c r="F947" s="41">
        <v>45300</v>
      </c>
      <c r="G947" s="38">
        <v>12</v>
      </c>
      <c r="H947" s="40">
        <v>0</v>
      </c>
      <c r="I947" s="38">
        <v>5.5</v>
      </c>
      <c r="J947" s="41">
        <v>45300</v>
      </c>
      <c r="K947" s="38" t="s">
        <v>10768</v>
      </c>
      <c r="L947" s="42">
        <v>15000000</v>
      </c>
      <c r="O947"/>
    </row>
    <row r="948" spans="1:15" x14ac:dyDescent="0.3">
      <c r="A948" s="37">
        <v>142790</v>
      </c>
      <c r="B948" s="38">
        <v>942</v>
      </c>
      <c r="C948" s="39" t="s">
        <v>12631</v>
      </c>
      <c r="D948" s="10" t="str">
        <f>VLOOKUP(C948,'Data Angt'!$A$5:$B$5809,2,FALSE)</f>
        <v>A4368</v>
      </c>
      <c r="E948" s="40" t="s">
        <v>18646</v>
      </c>
      <c r="F948" s="41">
        <v>45345</v>
      </c>
      <c r="G948" s="38">
        <v>12</v>
      </c>
      <c r="H948" s="40">
        <v>0</v>
      </c>
      <c r="I948" s="38">
        <v>5.5</v>
      </c>
      <c r="J948" s="41">
        <v>45345</v>
      </c>
      <c r="K948" s="38" t="s">
        <v>10768</v>
      </c>
      <c r="L948" s="42">
        <v>15000000</v>
      </c>
      <c r="O948"/>
    </row>
    <row r="949" spans="1:15" x14ac:dyDescent="0.3">
      <c r="A949" s="37">
        <v>157889</v>
      </c>
      <c r="B949" s="38">
        <v>943</v>
      </c>
      <c r="C949" s="39" t="s">
        <v>12639</v>
      </c>
      <c r="D949" s="10" t="str">
        <f>VLOOKUP(C949,'Data Angt'!$A$5:$B$5809,2,FALSE)</f>
        <v>A4372</v>
      </c>
      <c r="E949" s="40" t="s">
        <v>24178</v>
      </c>
      <c r="F949" s="41">
        <v>45885</v>
      </c>
      <c r="G949" s="38">
        <v>12</v>
      </c>
      <c r="H949" s="40">
        <v>0</v>
      </c>
      <c r="I949" s="38">
        <v>5.5</v>
      </c>
      <c r="J949" s="41">
        <v>45885</v>
      </c>
      <c r="K949" s="38" t="s">
        <v>10768</v>
      </c>
      <c r="L949" s="42">
        <v>1000000</v>
      </c>
      <c r="O949"/>
    </row>
    <row r="950" spans="1:15" x14ac:dyDescent="0.3">
      <c r="A950" s="37">
        <v>141807</v>
      </c>
      <c r="B950" s="38">
        <v>944</v>
      </c>
      <c r="C950" s="39" t="s">
        <v>12670</v>
      </c>
      <c r="D950" s="10" t="str">
        <f>VLOOKUP(C950,'Data Angt'!$A$5:$B$5809,2,FALSE)</f>
        <v>A4387</v>
      </c>
      <c r="E950" s="40" t="s">
        <v>18647</v>
      </c>
      <c r="F950" s="41">
        <v>45307</v>
      </c>
      <c r="G950" s="38">
        <v>12</v>
      </c>
      <c r="H950" s="40">
        <v>0</v>
      </c>
      <c r="I950" s="38">
        <v>5.5</v>
      </c>
      <c r="J950" s="41">
        <v>45307</v>
      </c>
      <c r="K950" s="38" t="s">
        <v>10768</v>
      </c>
      <c r="L950" s="42">
        <v>750000000</v>
      </c>
      <c r="O950"/>
    </row>
    <row r="951" spans="1:15" x14ac:dyDescent="0.3">
      <c r="A951" s="37">
        <v>141809</v>
      </c>
      <c r="B951" s="38">
        <v>945</v>
      </c>
      <c r="C951" s="39" t="s">
        <v>12670</v>
      </c>
      <c r="D951" s="10" t="str">
        <f>VLOOKUP(C951,'Data Angt'!$A$5:$B$5809,2,FALSE)</f>
        <v>A4387</v>
      </c>
      <c r="E951" s="40" t="s">
        <v>18648</v>
      </c>
      <c r="F951" s="41">
        <v>45307</v>
      </c>
      <c r="G951" s="38">
        <v>12</v>
      </c>
      <c r="H951" s="40">
        <v>0</v>
      </c>
      <c r="I951" s="38">
        <v>5.5</v>
      </c>
      <c r="J951" s="41">
        <v>45307</v>
      </c>
      <c r="K951" s="38" t="s">
        <v>10768</v>
      </c>
      <c r="L951" s="42">
        <v>500000000</v>
      </c>
      <c r="O951"/>
    </row>
    <row r="952" spans="1:15" x14ac:dyDescent="0.3">
      <c r="A952" s="37">
        <v>146446</v>
      </c>
      <c r="B952" s="38">
        <v>946</v>
      </c>
      <c r="C952" s="39" t="s">
        <v>12677</v>
      </c>
      <c r="D952" s="10" t="str">
        <f>VLOOKUP(C952,'Data Angt'!$A$5:$B$5809,2,FALSE)</f>
        <v>A4391</v>
      </c>
      <c r="E952" s="40" t="s">
        <v>18651</v>
      </c>
      <c r="F952" s="41">
        <v>45482</v>
      </c>
      <c r="G952" s="38">
        <v>12</v>
      </c>
      <c r="H952" s="40">
        <v>0</v>
      </c>
      <c r="I952" s="38">
        <v>5.5</v>
      </c>
      <c r="J952" s="41">
        <v>45482</v>
      </c>
      <c r="K952" s="38" t="s">
        <v>10768</v>
      </c>
      <c r="L952" s="42">
        <v>1000000</v>
      </c>
      <c r="O952"/>
    </row>
    <row r="953" spans="1:15" x14ac:dyDescent="0.3">
      <c r="A953" s="37">
        <v>147858</v>
      </c>
      <c r="B953" s="38">
        <v>947</v>
      </c>
      <c r="C953" s="39" t="s">
        <v>12677</v>
      </c>
      <c r="D953" s="10" t="str">
        <f>VLOOKUP(C953,'Data Angt'!$A$5:$B$5809,2,FALSE)</f>
        <v>A4391</v>
      </c>
      <c r="E953" s="40" t="s">
        <v>18652</v>
      </c>
      <c r="F953" s="41">
        <v>45506</v>
      </c>
      <c r="G953" s="38">
        <v>12</v>
      </c>
      <c r="H953" s="40">
        <v>0</v>
      </c>
      <c r="I953" s="38">
        <v>5.5</v>
      </c>
      <c r="J953" s="41">
        <v>45506</v>
      </c>
      <c r="K953" s="38" t="s">
        <v>10768</v>
      </c>
      <c r="L953" s="42">
        <v>1000000</v>
      </c>
      <c r="O953"/>
    </row>
    <row r="954" spans="1:15" x14ac:dyDescent="0.3">
      <c r="A954" s="37">
        <v>149252</v>
      </c>
      <c r="B954" s="38">
        <v>948</v>
      </c>
      <c r="C954" s="39" t="s">
        <v>12677</v>
      </c>
      <c r="D954" s="10" t="str">
        <f>VLOOKUP(C954,'Data Angt'!$A$5:$B$5809,2,FALSE)</f>
        <v>A4391</v>
      </c>
      <c r="E954" s="40" t="s">
        <v>18653</v>
      </c>
      <c r="F954" s="41">
        <v>45555</v>
      </c>
      <c r="G954" s="38">
        <v>12</v>
      </c>
      <c r="H954" s="40">
        <v>0</v>
      </c>
      <c r="I954" s="38">
        <v>5.5</v>
      </c>
      <c r="J954" s="41">
        <v>45555</v>
      </c>
      <c r="K954" s="38" t="s">
        <v>10768</v>
      </c>
      <c r="L954" s="42">
        <v>1000000</v>
      </c>
      <c r="O954"/>
    </row>
    <row r="955" spans="1:15" x14ac:dyDescent="0.3">
      <c r="A955" s="37">
        <v>150714</v>
      </c>
      <c r="B955" s="38">
        <v>949</v>
      </c>
      <c r="C955" s="39" t="s">
        <v>12677</v>
      </c>
      <c r="D955" s="10" t="str">
        <f>VLOOKUP(C955,'Data Angt'!$A$5:$B$5809,2,FALSE)</f>
        <v>A4391</v>
      </c>
      <c r="E955" s="40" t="s">
        <v>18654</v>
      </c>
      <c r="F955" s="41">
        <v>45614</v>
      </c>
      <c r="G955" s="38">
        <v>12</v>
      </c>
      <c r="H955" s="40">
        <v>0</v>
      </c>
      <c r="I955" s="38">
        <v>5.5</v>
      </c>
      <c r="J955" s="41">
        <v>45614</v>
      </c>
      <c r="K955" s="38" t="s">
        <v>10768</v>
      </c>
      <c r="L955" s="42">
        <v>2000000</v>
      </c>
      <c r="O955"/>
    </row>
    <row r="956" spans="1:15" x14ac:dyDescent="0.3">
      <c r="A956" s="37">
        <v>151777</v>
      </c>
      <c r="B956" s="38">
        <v>950</v>
      </c>
      <c r="C956" s="39" t="s">
        <v>12677</v>
      </c>
      <c r="D956" s="10" t="str">
        <f>VLOOKUP(C956,'Data Angt'!$A$5:$B$5809,2,FALSE)</f>
        <v>A4391</v>
      </c>
      <c r="E956" s="40" t="s">
        <v>18655</v>
      </c>
      <c r="F956" s="41">
        <v>45657</v>
      </c>
      <c r="G956" s="38">
        <v>12</v>
      </c>
      <c r="H956" s="40">
        <v>0</v>
      </c>
      <c r="I956" s="38">
        <v>5.5</v>
      </c>
      <c r="J956" s="41">
        <v>45657</v>
      </c>
      <c r="K956" s="38" t="s">
        <v>10768</v>
      </c>
      <c r="L956" s="42">
        <v>2000000</v>
      </c>
      <c r="O956"/>
    </row>
    <row r="957" spans="1:15" x14ac:dyDescent="0.3">
      <c r="A957" s="37">
        <v>151779</v>
      </c>
      <c r="B957" s="38">
        <v>951</v>
      </c>
      <c r="C957" s="39" t="s">
        <v>12677</v>
      </c>
      <c r="D957" s="10" t="str">
        <f>VLOOKUP(C957,'Data Angt'!$A$5:$B$5809,2,FALSE)</f>
        <v>A4391</v>
      </c>
      <c r="E957" s="40" t="s">
        <v>18656</v>
      </c>
      <c r="F957" s="41">
        <v>45657</v>
      </c>
      <c r="G957" s="38">
        <v>12</v>
      </c>
      <c r="H957" s="40">
        <v>0</v>
      </c>
      <c r="I957" s="38">
        <v>5.5</v>
      </c>
      <c r="J957" s="41">
        <v>45657</v>
      </c>
      <c r="K957" s="38" t="s">
        <v>10768</v>
      </c>
      <c r="L957" s="42">
        <v>5000000</v>
      </c>
      <c r="O957"/>
    </row>
    <row r="958" spans="1:15" x14ac:dyDescent="0.3">
      <c r="A958" s="37">
        <v>154679</v>
      </c>
      <c r="B958" s="38">
        <v>952</v>
      </c>
      <c r="C958" s="39" t="s">
        <v>12677</v>
      </c>
      <c r="D958" s="10" t="str">
        <f>VLOOKUP(C958,'Data Angt'!$A$5:$B$5809,2,FALSE)</f>
        <v>A4391</v>
      </c>
      <c r="E958" s="40" t="s">
        <v>18649</v>
      </c>
      <c r="F958" s="41">
        <v>45736</v>
      </c>
      <c r="G958" s="38">
        <v>12</v>
      </c>
      <c r="H958" s="40">
        <v>0</v>
      </c>
      <c r="I958" s="38">
        <v>5.5</v>
      </c>
      <c r="J958" s="41">
        <v>45736</v>
      </c>
      <c r="K958" s="38" t="s">
        <v>10768</v>
      </c>
      <c r="L958" s="42">
        <v>1500000</v>
      </c>
      <c r="O958"/>
    </row>
    <row r="959" spans="1:15" x14ac:dyDescent="0.3">
      <c r="A959" s="37">
        <v>156647</v>
      </c>
      <c r="B959" s="38">
        <v>953</v>
      </c>
      <c r="C959" s="39" t="s">
        <v>12677</v>
      </c>
      <c r="D959" s="10" t="str">
        <f>VLOOKUP(C959,'Data Angt'!$A$5:$B$5809,2,FALSE)</f>
        <v>A4391</v>
      </c>
      <c r="E959" s="40" t="s">
        <v>18650</v>
      </c>
      <c r="F959" s="41">
        <v>45838</v>
      </c>
      <c r="G959" s="38">
        <v>12</v>
      </c>
      <c r="H959" s="40">
        <v>0</v>
      </c>
      <c r="I959" s="38">
        <v>5.5</v>
      </c>
      <c r="J959" s="41">
        <v>45838</v>
      </c>
      <c r="K959" s="38" t="s">
        <v>10768</v>
      </c>
      <c r="L959" s="42">
        <v>1500000</v>
      </c>
      <c r="O959"/>
    </row>
    <row r="960" spans="1:15" x14ac:dyDescent="0.3">
      <c r="A960" s="37">
        <v>142138</v>
      </c>
      <c r="B960" s="38">
        <v>954</v>
      </c>
      <c r="C960" s="39" t="s">
        <v>12694</v>
      </c>
      <c r="D960" s="10" t="str">
        <f>VLOOKUP(C960,'Data Angt'!$A$5:$B$5809,2,FALSE)</f>
        <v>A4398</v>
      </c>
      <c r="E960" s="40" t="s">
        <v>18657</v>
      </c>
      <c r="F960" s="41">
        <v>45315</v>
      </c>
      <c r="G960" s="38">
        <v>12</v>
      </c>
      <c r="H960" s="40">
        <v>0</v>
      </c>
      <c r="I960" s="38">
        <v>5.5</v>
      </c>
      <c r="J960" s="41">
        <v>45315</v>
      </c>
      <c r="K960" s="38" t="s">
        <v>10768</v>
      </c>
      <c r="L960" s="42">
        <v>300000000</v>
      </c>
      <c r="O960"/>
    </row>
    <row r="961" spans="1:15" x14ac:dyDescent="0.3">
      <c r="A961" s="37">
        <v>154835</v>
      </c>
      <c r="B961" s="38">
        <v>955</v>
      </c>
      <c r="C961" s="39" t="s">
        <v>12694</v>
      </c>
      <c r="D961" s="10" t="str">
        <f>VLOOKUP(C961,'Data Angt'!$A$5:$B$5809,2,FALSE)</f>
        <v>A4398</v>
      </c>
      <c r="E961" s="40" t="s">
        <v>18658</v>
      </c>
      <c r="F961" s="41">
        <v>45743</v>
      </c>
      <c r="G961" s="38">
        <v>12</v>
      </c>
      <c r="H961" s="40">
        <v>0</v>
      </c>
      <c r="I961" s="38">
        <v>5.99</v>
      </c>
      <c r="J961" s="41">
        <v>45743</v>
      </c>
      <c r="K961" s="38" t="s">
        <v>10768</v>
      </c>
      <c r="L961" s="42">
        <v>150000000</v>
      </c>
      <c r="O961"/>
    </row>
    <row r="962" spans="1:15" x14ac:dyDescent="0.3">
      <c r="A962" s="37">
        <v>154837</v>
      </c>
      <c r="B962" s="38">
        <v>956</v>
      </c>
      <c r="C962" s="39" t="s">
        <v>12694</v>
      </c>
      <c r="D962" s="10" t="str">
        <f>VLOOKUP(C962,'Data Angt'!$A$5:$B$5809,2,FALSE)</f>
        <v>A4398</v>
      </c>
      <c r="E962" s="40" t="s">
        <v>18659</v>
      </c>
      <c r="F962" s="41">
        <v>45743</v>
      </c>
      <c r="G962" s="38">
        <v>12</v>
      </c>
      <c r="H962" s="40">
        <v>0</v>
      </c>
      <c r="I962" s="38">
        <v>5.99</v>
      </c>
      <c r="J962" s="41">
        <v>45743</v>
      </c>
      <c r="K962" s="38" t="s">
        <v>10768</v>
      </c>
      <c r="L962" s="42">
        <v>100000000</v>
      </c>
      <c r="O962"/>
    </row>
    <row r="963" spans="1:15" x14ac:dyDescent="0.3">
      <c r="A963" s="37">
        <v>142136</v>
      </c>
      <c r="B963" s="38">
        <v>957</v>
      </c>
      <c r="C963" s="39" t="s">
        <v>12698</v>
      </c>
      <c r="D963" s="10" t="str">
        <f>VLOOKUP(C963,'Data Angt'!$A$5:$B$5809,2,FALSE)</f>
        <v>A4400</v>
      </c>
      <c r="E963" s="40" t="s">
        <v>18660</v>
      </c>
      <c r="F963" s="41">
        <v>45315</v>
      </c>
      <c r="G963" s="38">
        <v>12</v>
      </c>
      <c r="H963" s="40">
        <v>0</v>
      </c>
      <c r="I963" s="38">
        <v>5.5</v>
      </c>
      <c r="J963" s="41">
        <v>45315</v>
      </c>
      <c r="K963" s="38" t="s">
        <v>10768</v>
      </c>
      <c r="L963" s="42">
        <v>100000000</v>
      </c>
      <c r="O963"/>
    </row>
    <row r="964" spans="1:15" x14ac:dyDescent="0.3">
      <c r="A964" s="37">
        <v>153152</v>
      </c>
      <c r="B964" s="38">
        <v>958</v>
      </c>
      <c r="C964" s="39" t="s">
        <v>12698</v>
      </c>
      <c r="D964" s="10" t="str">
        <f>VLOOKUP(C964,'Data Angt'!$A$5:$B$5809,2,FALSE)</f>
        <v>A4400</v>
      </c>
      <c r="E964" s="40" t="s">
        <v>18661</v>
      </c>
      <c r="F964" s="41">
        <v>45699</v>
      </c>
      <c r="G964" s="38">
        <v>12</v>
      </c>
      <c r="H964" s="40">
        <v>0</v>
      </c>
      <c r="I964" s="38">
        <v>5.5</v>
      </c>
      <c r="J964" s="41">
        <v>45699</v>
      </c>
      <c r="K964" s="38" t="s">
        <v>10768</v>
      </c>
      <c r="L964" s="42">
        <v>10000000</v>
      </c>
      <c r="O964"/>
    </row>
    <row r="965" spans="1:15" x14ac:dyDescent="0.3">
      <c r="A965" s="37">
        <v>143114</v>
      </c>
      <c r="B965" s="38">
        <v>959</v>
      </c>
      <c r="C965" s="39" t="s">
        <v>12863</v>
      </c>
      <c r="D965" s="10" t="str">
        <f>VLOOKUP(C965,'Data Angt'!$A$5:$B$5809,2,FALSE)</f>
        <v>A4470</v>
      </c>
      <c r="E965" s="40" t="s">
        <v>18662</v>
      </c>
      <c r="F965" s="41">
        <v>45355</v>
      </c>
      <c r="G965" s="38">
        <v>12</v>
      </c>
      <c r="H965" s="40">
        <v>0</v>
      </c>
      <c r="I965" s="38">
        <v>5.5</v>
      </c>
      <c r="J965" s="41">
        <v>45355</v>
      </c>
      <c r="K965" s="38" t="s">
        <v>10768</v>
      </c>
      <c r="L965" s="42">
        <v>10000000</v>
      </c>
      <c r="O965"/>
    </row>
    <row r="966" spans="1:15" x14ac:dyDescent="0.3">
      <c r="A966" s="37">
        <v>154209</v>
      </c>
      <c r="B966" s="38">
        <v>960</v>
      </c>
      <c r="C966" s="39" t="s">
        <v>12863</v>
      </c>
      <c r="D966" s="10" t="str">
        <f>VLOOKUP(C966,'Data Angt'!$A$5:$B$5809,2,FALSE)</f>
        <v>A4470</v>
      </c>
      <c r="E966" s="40" t="s">
        <v>18663</v>
      </c>
      <c r="F966" s="41">
        <v>45721</v>
      </c>
      <c r="G966" s="38">
        <v>12</v>
      </c>
      <c r="H966" s="40">
        <v>0</v>
      </c>
      <c r="I966" s="38">
        <v>5.5</v>
      </c>
      <c r="J966" s="41">
        <v>45721</v>
      </c>
      <c r="K966" s="38" t="s">
        <v>10768</v>
      </c>
      <c r="L966" s="42">
        <v>9500000</v>
      </c>
      <c r="O966"/>
    </row>
    <row r="967" spans="1:15" x14ac:dyDescent="0.3">
      <c r="A967" s="37">
        <v>144619</v>
      </c>
      <c r="B967" s="38">
        <v>961</v>
      </c>
      <c r="C967" s="39" t="s">
        <v>12925</v>
      </c>
      <c r="D967" s="10" t="str">
        <f>VLOOKUP(C967,'Data Angt'!$A$5:$B$5809,2,FALSE)</f>
        <v>A4501</v>
      </c>
      <c r="E967" s="40" t="s">
        <v>18664</v>
      </c>
      <c r="F967" s="41">
        <v>45415</v>
      </c>
      <c r="G967" s="38">
        <v>12</v>
      </c>
      <c r="H967" s="40">
        <v>0</v>
      </c>
      <c r="I967" s="38">
        <v>5.5</v>
      </c>
      <c r="J967" s="41">
        <v>45415</v>
      </c>
      <c r="K967" s="38" t="s">
        <v>10768</v>
      </c>
      <c r="L967" s="42">
        <v>2000000</v>
      </c>
      <c r="O967"/>
    </row>
    <row r="968" spans="1:15" x14ac:dyDescent="0.3">
      <c r="A968" s="37">
        <v>142296</v>
      </c>
      <c r="B968" s="38">
        <v>962</v>
      </c>
      <c r="C968" s="39" t="s">
        <v>12970</v>
      </c>
      <c r="D968" s="10" t="str">
        <f>VLOOKUP(C968,'Data Angt'!$A$5:$B$5809,2,FALSE)</f>
        <v>A4521</v>
      </c>
      <c r="E968" s="40" t="s">
        <v>18665</v>
      </c>
      <c r="F968" s="41">
        <v>45323</v>
      </c>
      <c r="G968" s="38">
        <v>12</v>
      </c>
      <c r="H968" s="40">
        <v>0</v>
      </c>
      <c r="I968" s="38">
        <v>5.5</v>
      </c>
      <c r="J968" s="41">
        <v>45323</v>
      </c>
      <c r="K968" s="38" t="s">
        <v>10768</v>
      </c>
      <c r="L968" s="42">
        <v>10000000</v>
      </c>
      <c r="O968"/>
    </row>
    <row r="969" spans="1:15" x14ac:dyDescent="0.3">
      <c r="A969" s="37">
        <v>143044</v>
      </c>
      <c r="B969" s="38">
        <v>963</v>
      </c>
      <c r="C969" s="39" t="s">
        <v>12970</v>
      </c>
      <c r="D969" s="10" t="str">
        <f>VLOOKUP(C969,'Data Angt'!$A$5:$B$5809,2,FALSE)</f>
        <v>A4521</v>
      </c>
      <c r="E969" s="40" t="s">
        <v>18666</v>
      </c>
      <c r="F969" s="41">
        <v>45352</v>
      </c>
      <c r="G969" s="38">
        <v>12</v>
      </c>
      <c r="H969" s="40">
        <v>0</v>
      </c>
      <c r="I969" s="38">
        <v>5.5</v>
      </c>
      <c r="J969" s="41">
        <v>45352</v>
      </c>
      <c r="K969" s="38" t="s">
        <v>10768</v>
      </c>
      <c r="L969" s="42">
        <v>10000000</v>
      </c>
      <c r="O969"/>
    </row>
    <row r="970" spans="1:15" x14ac:dyDescent="0.3">
      <c r="A970" s="37">
        <v>144092</v>
      </c>
      <c r="B970" s="38">
        <v>964</v>
      </c>
      <c r="C970" s="39" t="s">
        <v>12970</v>
      </c>
      <c r="D970" s="10" t="str">
        <f>VLOOKUP(C970,'Data Angt'!$A$5:$B$5809,2,FALSE)</f>
        <v>A4521</v>
      </c>
      <c r="E970" s="40" t="s">
        <v>18667</v>
      </c>
      <c r="F970" s="41">
        <v>45384</v>
      </c>
      <c r="G970" s="38">
        <v>12</v>
      </c>
      <c r="H970" s="40">
        <v>0</v>
      </c>
      <c r="I970" s="38">
        <v>5.5</v>
      </c>
      <c r="J970" s="41">
        <v>45384</v>
      </c>
      <c r="K970" s="38" t="s">
        <v>10768</v>
      </c>
      <c r="L970" s="42">
        <v>10000000</v>
      </c>
      <c r="O970"/>
    </row>
    <row r="971" spans="1:15" x14ac:dyDescent="0.3">
      <c r="A971" s="37">
        <v>144699</v>
      </c>
      <c r="B971" s="38">
        <v>965</v>
      </c>
      <c r="C971" s="39" t="s">
        <v>12970</v>
      </c>
      <c r="D971" s="10" t="str">
        <f>VLOOKUP(C971,'Data Angt'!$A$5:$B$5809,2,FALSE)</f>
        <v>A4521</v>
      </c>
      <c r="E971" s="40" t="s">
        <v>18668</v>
      </c>
      <c r="F971" s="41">
        <v>45418</v>
      </c>
      <c r="G971" s="38">
        <v>12</v>
      </c>
      <c r="H971" s="40">
        <v>0</v>
      </c>
      <c r="I971" s="38">
        <v>5.5</v>
      </c>
      <c r="J971" s="41">
        <v>45418</v>
      </c>
      <c r="K971" s="38" t="s">
        <v>10768</v>
      </c>
      <c r="L971" s="42">
        <v>10000000</v>
      </c>
      <c r="O971"/>
    </row>
    <row r="972" spans="1:15" x14ac:dyDescent="0.3">
      <c r="A972" s="37">
        <v>145850</v>
      </c>
      <c r="B972" s="38">
        <v>966</v>
      </c>
      <c r="C972" s="39" t="s">
        <v>12970</v>
      </c>
      <c r="D972" s="10" t="str">
        <f>VLOOKUP(C972,'Data Angt'!$A$5:$B$5809,2,FALSE)</f>
        <v>A4521</v>
      </c>
      <c r="E972" s="40" t="s">
        <v>18669</v>
      </c>
      <c r="F972" s="41">
        <v>45449</v>
      </c>
      <c r="G972" s="38">
        <v>12</v>
      </c>
      <c r="H972" s="40">
        <v>0</v>
      </c>
      <c r="I972" s="38">
        <v>5.5</v>
      </c>
      <c r="J972" s="41">
        <v>45449</v>
      </c>
      <c r="K972" s="38" t="s">
        <v>10768</v>
      </c>
      <c r="L972" s="42">
        <v>8000000</v>
      </c>
      <c r="O972"/>
    </row>
    <row r="973" spans="1:15" x14ac:dyDescent="0.3">
      <c r="A973" s="37">
        <v>155331</v>
      </c>
      <c r="B973" s="38">
        <v>967</v>
      </c>
      <c r="C973" s="39" t="s">
        <v>12970</v>
      </c>
      <c r="D973" s="10" t="str">
        <f>VLOOKUP(C973,'Data Angt'!$A$5:$B$5809,2,FALSE)</f>
        <v>A4521</v>
      </c>
      <c r="E973" s="40" t="s">
        <v>18670</v>
      </c>
      <c r="F973" s="41">
        <v>45776</v>
      </c>
      <c r="G973" s="38">
        <v>12</v>
      </c>
      <c r="H973" s="40">
        <v>0</v>
      </c>
      <c r="I973" s="38">
        <v>5.5</v>
      </c>
      <c r="J973" s="41">
        <v>45776</v>
      </c>
      <c r="K973" s="38" t="s">
        <v>10768</v>
      </c>
      <c r="L973" s="42">
        <v>23500000</v>
      </c>
      <c r="O973"/>
    </row>
    <row r="974" spans="1:15" x14ac:dyDescent="0.3">
      <c r="A974" s="37">
        <v>156978</v>
      </c>
      <c r="B974" s="38">
        <v>968</v>
      </c>
      <c r="C974" s="39" t="s">
        <v>12970</v>
      </c>
      <c r="D974" s="10" t="str">
        <f>VLOOKUP(C974,'Data Angt'!$A$5:$B$5809,2,FALSE)</f>
        <v>A4521</v>
      </c>
      <c r="E974" s="40" t="s">
        <v>24179</v>
      </c>
      <c r="F974" s="41">
        <v>45850</v>
      </c>
      <c r="G974" s="38">
        <v>12</v>
      </c>
      <c r="H974" s="40">
        <v>0</v>
      </c>
      <c r="I974" s="38">
        <v>5.5</v>
      </c>
      <c r="J974" s="41">
        <v>45850</v>
      </c>
      <c r="K974" s="38" t="s">
        <v>10768</v>
      </c>
      <c r="L974" s="42">
        <v>6500000</v>
      </c>
      <c r="O974"/>
    </row>
    <row r="975" spans="1:15" x14ac:dyDescent="0.3">
      <c r="A975" s="37">
        <v>156980</v>
      </c>
      <c r="B975" s="38">
        <v>969</v>
      </c>
      <c r="C975" s="39" t="s">
        <v>12970</v>
      </c>
      <c r="D975" s="10" t="str">
        <f>VLOOKUP(C975,'Data Angt'!$A$5:$B$5809,2,FALSE)</f>
        <v>A4521</v>
      </c>
      <c r="E975" s="40" t="s">
        <v>24180</v>
      </c>
      <c r="F975" s="41">
        <v>45850</v>
      </c>
      <c r="G975" s="38">
        <v>12</v>
      </c>
      <c r="H975" s="40">
        <v>0</v>
      </c>
      <c r="I975" s="38">
        <v>5.5</v>
      </c>
      <c r="J975" s="41">
        <v>45850</v>
      </c>
      <c r="K975" s="38" t="s">
        <v>10768</v>
      </c>
      <c r="L975" s="42">
        <v>5000000</v>
      </c>
      <c r="O975"/>
    </row>
    <row r="976" spans="1:15" x14ac:dyDescent="0.3">
      <c r="A976" s="37">
        <v>157535</v>
      </c>
      <c r="B976" s="38">
        <v>970</v>
      </c>
      <c r="C976" s="39" t="s">
        <v>12970</v>
      </c>
      <c r="D976" s="10" t="str">
        <f>VLOOKUP(C976,'Data Angt'!$A$5:$B$5809,2,FALSE)</f>
        <v>A4521</v>
      </c>
      <c r="E976" s="40" t="s">
        <v>24181</v>
      </c>
      <c r="F976" s="41">
        <v>45870</v>
      </c>
      <c r="G976" s="38">
        <v>12</v>
      </c>
      <c r="H976" s="40">
        <v>0</v>
      </c>
      <c r="I976" s="38">
        <v>5.5</v>
      </c>
      <c r="J976" s="41">
        <v>45870</v>
      </c>
      <c r="K976" s="38" t="s">
        <v>10768</v>
      </c>
      <c r="L976" s="42">
        <v>10000000</v>
      </c>
      <c r="O976"/>
    </row>
    <row r="977" spans="1:15" x14ac:dyDescent="0.3">
      <c r="A977" s="37">
        <v>114462</v>
      </c>
      <c r="B977" s="38">
        <v>971</v>
      </c>
      <c r="C977" s="39" t="s">
        <v>12970</v>
      </c>
      <c r="D977" s="10" t="str">
        <f>VLOOKUP(C977,'Data Angt'!$A$5:$B$5809,2,FALSE)</f>
        <v>A4521</v>
      </c>
      <c r="E977" s="40" t="s">
        <v>11400</v>
      </c>
      <c r="F977" s="41">
        <v>43670</v>
      </c>
      <c r="G977" s="38">
        <v>12</v>
      </c>
      <c r="H977" s="40">
        <v>0</v>
      </c>
      <c r="I977" s="38">
        <v>5.5</v>
      </c>
      <c r="J977" s="41">
        <v>43670</v>
      </c>
      <c r="K977" s="38" t="s">
        <v>10768</v>
      </c>
      <c r="L977" s="42">
        <v>5000000</v>
      </c>
      <c r="O977"/>
    </row>
    <row r="978" spans="1:15" x14ac:dyDescent="0.3">
      <c r="A978" s="37">
        <v>145536</v>
      </c>
      <c r="B978" s="38">
        <v>972</v>
      </c>
      <c r="C978" s="39" t="s">
        <v>13046</v>
      </c>
      <c r="D978" s="10" t="str">
        <f>VLOOKUP(C978,'Data Angt'!$A$5:$B$5809,2,FALSE)</f>
        <v>A4556</v>
      </c>
      <c r="E978" s="40" t="s">
        <v>18671</v>
      </c>
      <c r="F978" s="41">
        <v>45439</v>
      </c>
      <c r="G978" s="38">
        <v>12</v>
      </c>
      <c r="H978" s="40">
        <v>0</v>
      </c>
      <c r="I978" s="38">
        <v>5.5</v>
      </c>
      <c r="J978" s="41">
        <v>45439</v>
      </c>
      <c r="K978" s="38" t="s">
        <v>10768</v>
      </c>
      <c r="L978" s="42">
        <v>1000000</v>
      </c>
      <c r="O978"/>
    </row>
    <row r="979" spans="1:15" x14ac:dyDescent="0.3">
      <c r="A979" s="37">
        <v>152066</v>
      </c>
      <c r="B979" s="38">
        <v>973</v>
      </c>
      <c r="C979" s="39" t="s">
        <v>13524</v>
      </c>
      <c r="D979" s="10" t="str">
        <f>VLOOKUP(C979,'Data Angt'!$A$5:$B$5809,2,FALSE)</f>
        <v>A4828</v>
      </c>
      <c r="E979" s="40" t="s">
        <v>18674</v>
      </c>
      <c r="F979" s="41">
        <v>45667</v>
      </c>
      <c r="G979" s="38">
        <v>12</v>
      </c>
      <c r="H979" s="40">
        <v>0</v>
      </c>
      <c r="I979" s="38">
        <v>5.5</v>
      </c>
      <c r="J979" s="41">
        <v>45668</v>
      </c>
      <c r="K979" s="38" t="s">
        <v>10768</v>
      </c>
      <c r="L979" s="42">
        <v>250000000</v>
      </c>
      <c r="O979"/>
    </row>
    <row r="980" spans="1:15" x14ac:dyDescent="0.3">
      <c r="A980" s="37">
        <v>152068</v>
      </c>
      <c r="B980" s="38">
        <v>974</v>
      </c>
      <c r="C980" s="39" t="s">
        <v>13524</v>
      </c>
      <c r="D980" s="10" t="str">
        <f>VLOOKUP(C980,'Data Angt'!$A$5:$B$5809,2,FALSE)</f>
        <v>A4828</v>
      </c>
      <c r="E980" s="40" t="s">
        <v>18675</v>
      </c>
      <c r="F980" s="41">
        <v>45667</v>
      </c>
      <c r="G980" s="38">
        <v>12</v>
      </c>
      <c r="H980" s="40">
        <v>0</v>
      </c>
      <c r="I980" s="38">
        <v>5.5</v>
      </c>
      <c r="J980" s="41">
        <v>45668</v>
      </c>
      <c r="K980" s="38" t="s">
        <v>10768</v>
      </c>
      <c r="L980" s="42">
        <v>250000000</v>
      </c>
      <c r="O980"/>
    </row>
    <row r="981" spans="1:15" x14ac:dyDescent="0.3">
      <c r="A981" s="37">
        <v>154433</v>
      </c>
      <c r="B981" s="38">
        <v>975</v>
      </c>
      <c r="C981" s="39" t="s">
        <v>13524</v>
      </c>
      <c r="D981" s="10" t="str">
        <f>VLOOKUP(C981,'Data Angt'!$A$5:$B$5809,2,FALSE)</f>
        <v>A4828</v>
      </c>
      <c r="E981" s="40" t="s">
        <v>18676</v>
      </c>
      <c r="F981" s="41">
        <v>45727</v>
      </c>
      <c r="G981" s="38">
        <v>12</v>
      </c>
      <c r="H981" s="40">
        <v>0</v>
      </c>
      <c r="I981" s="38">
        <v>5.5</v>
      </c>
      <c r="J981" s="41">
        <v>45727</v>
      </c>
      <c r="K981" s="38" t="s">
        <v>10768</v>
      </c>
      <c r="L981" s="42">
        <v>500000000</v>
      </c>
      <c r="O981"/>
    </row>
    <row r="982" spans="1:15" x14ac:dyDescent="0.3">
      <c r="A982" s="37">
        <v>154435</v>
      </c>
      <c r="B982" s="38">
        <v>976</v>
      </c>
      <c r="C982" s="39" t="s">
        <v>13524</v>
      </c>
      <c r="D982" s="10" t="str">
        <f>VLOOKUP(C982,'Data Angt'!$A$5:$B$5809,2,FALSE)</f>
        <v>A4828</v>
      </c>
      <c r="E982" s="40" t="s">
        <v>18677</v>
      </c>
      <c r="F982" s="41">
        <v>45727</v>
      </c>
      <c r="G982" s="38">
        <v>12</v>
      </c>
      <c r="H982" s="40">
        <v>0</v>
      </c>
      <c r="I982" s="38">
        <v>5.5</v>
      </c>
      <c r="J982" s="41">
        <v>45727</v>
      </c>
      <c r="K982" s="38" t="s">
        <v>10768</v>
      </c>
      <c r="L982" s="42">
        <v>500000000</v>
      </c>
      <c r="O982"/>
    </row>
    <row r="983" spans="1:15" x14ac:dyDescent="0.3">
      <c r="A983" s="37">
        <v>157429</v>
      </c>
      <c r="B983" s="38">
        <v>977</v>
      </c>
      <c r="C983" s="39" t="s">
        <v>13524</v>
      </c>
      <c r="D983" s="10" t="str">
        <f>VLOOKUP(C983,'Data Angt'!$A$5:$B$5809,2,FALSE)</f>
        <v>A4828</v>
      </c>
      <c r="E983" s="40" t="s">
        <v>24182</v>
      </c>
      <c r="F983" s="41">
        <v>45868</v>
      </c>
      <c r="G983" s="38">
        <v>12</v>
      </c>
      <c r="H983" s="40">
        <v>0</v>
      </c>
      <c r="I983" s="38">
        <v>5.5</v>
      </c>
      <c r="J983" s="41">
        <v>45868</v>
      </c>
      <c r="K983" s="38" t="s">
        <v>10768</v>
      </c>
      <c r="L983" s="42">
        <v>250000000</v>
      </c>
      <c r="O983"/>
    </row>
    <row r="984" spans="1:15" x14ac:dyDescent="0.3">
      <c r="A984" s="37">
        <v>157431</v>
      </c>
      <c r="B984" s="38">
        <v>978</v>
      </c>
      <c r="C984" s="39" t="s">
        <v>13524</v>
      </c>
      <c r="D984" s="10" t="str">
        <f>VLOOKUP(C984,'Data Angt'!$A$5:$B$5809,2,FALSE)</f>
        <v>A4828</v>
      </c>
      <c r="E984" s="40" t="s">
        <v>24183</v>
      </c>
      <c r="F984" s="41">
        <v>45868</v>
      </c>
      <c r="G984" s="38">
        <v>12</v>
      </c>
      <c r="H984" s="40">
        <v>0</v>
      </c>
      <c r="I984" s="38">
        <v>5.5</v>
      </c>
      <c r="J984" s="41">
        <v>45868</v>
      </c>
      <c r="K984" s="38" t="s">
        <v>10768</v>
      </c>
      <c r="L984" s="42">
        <v>250000000</v>
      </c>
      <c r="O984"/>
    </row>
    <row r="985" spans="1:15" x14ac:dyDescent="0.3">
      <c r="A985" s="37">
        <v>157433</v>
      </c>
      <c r="B985" s="38">
        <v>979</v>
      </c>
      <c r="C985" s="39" t="s">
        <v>13524</v>
      </c>
      <c r="D985" s="10" t="str">
        <f>VLOOKUP(C985,'Data Angt'!$A$5:$B$5809,2,FALSE)</f>
        <v>A4828</v>
      </c>
      <c r="E985" s="40" t="s">
        <v>24184</v>
      </c>
      <c r="F985" s="41">
        <v>45868</v>
      </c>
      <c r="G985" s="38">
        <v>12</v>
      </c>
      <c r="H985" s="40">
        <v>0</v>
      </c>
      <c r="I985" s="38">
        <v>5.5</v>
      </c>
      <c r="J985" s="41">
        <v>45868</v>
      </c>
      <c r="K985" s="38" t="s">
        <v>10768</v>
      </c>
      <c r="L985" s="42">
        <v>250000000</v>
      </c>
      <c r="O985"/>
    </row>
    <row r="986" spans="1:15" x14ac:dyDescent="0.3">
      <c r="A986" s="37">
        <v>157435</v>
      </c>
      <c r="B986" s="38">
        <v>980</v>
      </c>
      <c r="C986" s="39" t="s">
        <v>13524</v>
      </c>
      <c r="D986" s="10" t="str">
        <f>VLOOKUP(C986,'Data Angt'!$A$5:$B$5809,2,FALSE)</f>
        <v>A4828</v>
      </c>
      <c r="E986" s="40" t="s">
        <v>24185</v>
      </c>
      <c r="F986" s="41">
        <v>45868</v>
      </c>
      <c r="G986" s="38">
        <v>12</v>
      </c>
      <c r="H986" s="40">
        <v>0</v>
      </c>
      <c r="I986" s="38">
        <v>5.5</v>
      </c>
      <c r="J986" s="41">
        <v>45868</v>
      </c>
      <c r="K986" s="38" t="s">
        <v>10768</v>
      </c>
      <c r="L986" s="42">
        <v>250000000</v>
      </c>
      <c r="O986"/>
    </row>
    <row r="987" spans="1:15" x14ac:dyDescent="0.3">
      <c r="A987" s="37">
        <v>152031</v>
      </c>
      <c r="B987" s="38">
        <v>981</v>
      </c>
      <c r="C987" s="39" t="s">
        <v>13524</v>
      </c>
      <c r="D987" s="10" t="str">
        <f>VLOOKUP(C987,'Data Angt'!$A$5:$B$5809,2,FALSE)</f>
        <v>A4828</v>
      </c>
      <c r="E987" s="40" t="s">
        <v>18672</v>
      </c>
      <c r="F987" s="41">
        <v>45666</v>
      </c>
      <c r="G987" s="38">
        <v>12</v>
      </c>
      <c r="H987" s="40">
        <v>0</v>
      </c>
      <c r="I987" s="38">
        <v>5.5</v>
      </c>
      <c r="J987" s="41">
        <v>45666</v>
      </c>
      <c r="K987" s="38" t="s">
        <v>10768</v>
      </c>
      <c r="L987" s="42">
        <v>250000000</v>
      </c>
      <c r="O987"/>
    </row>
    <row r="988" spans="1:15" x14ac:dyDescent="0.3">
      <c r="A988" s="37">
        <v>152033</v>
      </c>
      <c r="B988" s="38">
        <v>982</v>
      </c>
      <c r="C988" s="39" t="s">
        <v>13524</v>
      </c>
      <c r="D988" s="10" t="str">
        <f>VLOOKUP(C988,'Data Angt'!$A$5:$B$5809,2,FALSE)</f>
        <v>A4828</v>
      </c>
      <c r="E988" s="40" t="s">
        <v>18673</v>
      </c>
      <c r="F988" s="41">
        <v>45666</v>
      </c>
      <c r="G988" s="38">
        <v>12</v>
      </c>
      <c r="H988" s="40">
        <v>0</v>
      </c>
      <c r="I988" s="38">
        <v>5.5</v>
      </c>
      <c r="J988" s="41">
        <v>45666</v>
      </c>
      <c r="K988" s="38" t="s">
        <v>10768</v>
      </c>
      <c r="L988" s="42">
        <v>250000000</v>
      </c>
      <c r="O988"/>
    </row>
    <row r="989" spans="1:15" x14ac:dyDescent="0.3">
      <c r="A989" s="37">
        <v>148990</v>
      </c>
      <c r="B989" s="38">
        <v>983</v>
      </c>
      <c r="C989" s="39" t="s">
        <v>13763</v>
      </c>
      <c r="D989" s="10" t="str">
        <f>VLOOKUP(C989,'Data Angt'!$A$5:$B$5809,2,FALSE)</f>
        <v>A4933</v>
      </c>
      <c r="E989" s="40" t="s">
        <v>18678</v>
      </c>
      <c r="F989" s="41">
        <v>45544</v>
      </c>
      <c r="G989" s="38">
        <v>12</v>
      </c>
      <c r="H989" s="40">
        <v>0</v>
      </c>
      <c r="I989" s="38">
        <v>5.5</v>
      </c>
      <c r="J989" s="41">
        <v>45544</v>
      </c>
      <c r="K989" s="38" t="s">
        <v>10768</v>
      </c>
      <c r="L989" s="42">
        <v>15000000</v>
      </c>
      <c r="O989"/>
    </row>
    <row r="990" spans="1:15" x14ac:dyDescent="0.3">
      <c r="A990" s="37">
        <v>154604</v>
      </c>
      <c r="B990" s="38">
        <v>984</v>
      </c>
      <c r="C990" s="39" t="s">
        <v>13763</v>
      </c>
      <c r="D990" s="10" t="str">
        <f>VLOOKUP(C990,'Data Angt'!$A$5:$B$5809,2,FALSE)</f>
        <v>A4933</v>
      </c>
      <c r="E990" s="40" t="s">
        <v>18679</v>
      </c>
      <c r="F990" s="41">
        <v>45733</v>
      </c>
      <c r="G990" s="38">
        <v>12</v>
      </c>
      <c r="H990" s="40">
        <v>0</v>
      </c>
      <c r="I990" s="38">
        <v>5.5</v>
      </c>
      <c r="J990" s="41">
        <v>45733</v>
      </c>
      <c r="K990" s="38" t="s">
        <v>10768</v>
      </c>
      <c r="L990" s="42">
        <v>20000000</v>
      </c>
      <c r="O990"/>
    </row>
    <row r="991" spans="1:15" x14ac:dyDescent="0.3">
      <c r="A991" s="37">
        <v>157767</v>
      </c>
      <c r="B991" s="38">
        <v>985</v>
      </c>
      <c r="C991" s="39" t="s">
        <v>13763</v>
      </c>
      <c r="D991" s="10" t="str">
        <f>VLOOKUP(C991,'Data Angt'!$A$5:$B$5809,2,FALSE)</f>
        <v>A4933</v>
      </c>
      <c r="E991" s="40" t="s">
        <v>24186</v>
      </c>
      <c r="F991" s="41">
        <v>45882</v>
      </c>
      <c r="G991" s="38">
        <v>12</v>
      </c>
      <c r="H991" s="40">
        <v>0</v>
      </c>
      <c r="I991" s="38">
        <v>5.5</v>
      </c>
      <c r="J991" s="41">
        <v>45882</v>
      </c>
      <c r="K991" s="38" t="s">
        <v>10768</v>
      </c>
      <c r="L991" s="42">
        <v>50000000</v>
      </c>
      <c r="O991"/>
    </row>
    <row r="992" spans="1:15" x14ac:dyDescent="0.3">
      <c r="A992" s="37">
        <v>154522</v>
      </c>
      <c r="B992" s="38">
        <v>986</v>
      </c>
      <c r="C992" s="39" t="s">
        <v>13802</v>
      </c>
      <c r="D992" s="10" t="str">
        <f>VLOOKUP(C992,'Data Angt'!$A$5:$B$5809,2,FALSE)</f>
        <v>A4952</v>
      </c>
      <c r="E992" s="40" t="s">
        <v>18680</v>
      </c>
      <c r="F992" s="41">
        <v>45729</v>
      </c>
      <c r="G992" s="38">
        <v>12</v>
      </c>
      <c r="H992" s="40">
        <v>0</v>
      </c>
      <c r="I992" s="38">
        <v>5.5</v>
      </c>
      <c r="J992" s="41">
        <v>45729</v>
      </c>
      <c r="K992" s="38" t="s">
        <v>10768</v>
      </c>
      <c r="L992" s="42">
        <v>2000000</v>
      </c>
      <c r="O992"/>
    </row>
    <row r="993" spans="1:15" x14ac:dyDescent="0.3">
      <c r="A993" s="37">
        <v>155984</v>
      </c>
      <c r="B993" s="38">
        <v>987</v>
      </c>
      <c r="C993" s="39" t="s">
        <v>13802</v>
      </c>
      <c r="D993" s="10" t="str">
        <f>VLOOKUP(C993,'Data Angt'!$A$5:$B$5809,2,FALSE)</f>
        <v>A4952</v>
      </c>
      <c r="E993" s="40" t="s">
        <v>18681</v>
      </c>
      <c r="F993" s="41">
        <v>45804</v>
      </c>
      <c r="G993" s="38">
        <v>12</v>
      </c>
      <c r="H993" s="40">
        <v>0</v>
      </c>
      <c r="I993" s="38">
        <v>5.5</v>
      </c>
      <c r="J993" s="41">
        <v>45804</v>
      </c>
      <c r="K993" s="38" t="s">
        <v>10768</v>
      </c>
      <c r="L993" s="42">
        <v>10000000</v>
      </c>
      <c r="O993"/>
    </row>
    <row r="994" spans="1:15" x14ac:dyDescent="0.3">
      <c r="A994" s="37">
        <v>153090</v>
      </c>
      <c r="B994" s="38">
        <v>988</v>
      </c>
      <c r="C994" s="39" t="s">
        <v>14006</v>
      </c>
      <c r="D994" s="10" t="str">
        <f>VLOOKUP(C994,'Data Angt'!$A$5:$B$5809,2,FALSE)</f>
        <v>A5044</v>
      </c>
      <c r="E994" s="40" t="s">
        <v>18682</v>
      </c>
      <c r="F994" s="41">
        <v>45699</v>
      </c>
      <c r="G994" s="38">
        <v>12</v>
      </c>
      <c r="H994" s="40">
        <v>0</v>
      </c>
      <c r="I994" s="38">
        <v>5.5</v>
      </c>
      <c r="J994" s="41">
        <v>45699</v>
      </c>
      <c r="K994" s="38" t="s">
        <v>10768</v>
      </c>
      <c r="L994" s="42">
        <v>2000000</v>
      </c>
      <c r="O994"/>
    </row>
    <row r="995" spans="1:15" x14ac:dyDescent="0.3">
      <c r="A995" s="37">
        <v>150538</v>
      </c>
      <c r="B995" s="38">
        <v>989</v>
      </c>
      <c r="C995" s="39" t="s">
        <v>14036</v>
      </c>
      <c r="D995" s="10" t="str">
        <f>VLOOKUP(C995,'Data Angt'!$A$5:$B$5809,2,FALSE)</f>
        <v>A5059</v>
      </c>
      <c r="E995" s="40" t="s">
        <v>18683</v>
      </c>
      <c r="F995" s="41">
        <v>45608</v>
      </c>
      <c r="G995" s="38">
        <v>12</v>
      </c>
      <c r="H995" s="40">
        <v>0</v>
      </c>
      <c r="I995" s="38">
        <v>5.5</v>
      </c>
      <c r="J995" s="41">
        <v>45608</v>
      </c>
      <c r="K995" s="38" t="s">
        <v>10768</v>
      </c>
      <c r="L995" s="42">
        <v>15000000</v>
      </c>
      <c r="O995"/>
    </row>
    <row r="996" spans="1:15" x14ac:dyDescent="0.3">
      <c r="A996" s="37">
        <v>150545</v>
      </c>
      <c r="B996" s="38">
        <v>990</v>
      </c>
      <c r="C996" s="39" t="s">
        <v>14037</v>
      </c>
      <c r="D996" s="10" t="str">
        <f>VLOOKUP(C996,'Data Angt'!$A$5:$B$5809,2,FALSE)</f>
        <v>A5060</v>
      </c>
      <c r="E996" s="40" t="s">
        <v>18684</v>
      </c>
      <c r="F996" s="41">
        <v>45608</v>
      </c>
      <c r="G996" s="38">
        <v>12</v>
      </c>
      <c r="H996" s="40">
        <v>0</v>
      </c>
      <c r="I996" s="38">
        <v>5.5</v>
      </c>
      <c r="J996" s="41">
        <v>45608</v>
      </c>
      <c r="K996" s="38" t="s">
        <v>10768</v>
      </c>
      <c r="L996" s="42">
        <v>30000000</v>
      </c>
      <c r="O996"/>
    </row>
    <row r="997" spans="1:15" x14ac:dyDescent="0.3">
      <c r="A997" s="37">
        <v>150697</v>
      </c>
      <c r="B997" s="38">
        <v>991</v>
      </c>
      <c r="C997" s="39" t="s">
        <v>14074</v>
      </c>
      <c r="D997" s="10" t="str">
        <f>VLOOKUP(C997,'Data Angt'!$A$5:$B$5809,2,FALSE)</f>
        <v>A5073</v>
      </c>
      <c r="E997" s="40" t="s">
        <v>18685</v>
      </c>
      <c r="F997" s="41">
        <v>45614</v>
      </c>
      <c r="G997" s="38">
        <v>12</v>
      </c>
      <c r="H997" s="40">
        <v>0</v>
      </c>
      <c r="I997" s="38">
        <v>5.5</v>
      </c>
      <c r="J997" s="41">
        <v>45614</v>
      </c>
      <c r="K997" s="38" t="s">
        <v>10768</v>
      </c>
      <c r="L997" s="42">
        <v>7000000</v>
      </c>
      <c r="O997"/>
    </row>
    <row r="998" spans="1:15" x14ac:dyDescent="0.3">
      <c r="A998" s="37">
        <v>158110</v>
      </c>
      <c r="B998" s="38">
        <v>992</v>
      </c>
      <c r="C998" s="39" t="s">
        <v>14192</v>
      </c>
      <c r="D998" s="10" t="str">
        <f>VLOOKUP(C998,'Data Angt'!$A$5:$B$5809,2,FALSE)</f>
        <v>A5132</v>
      </c>
      <c r="E998" s="40" t="s">
        <v>24187</v>
      </c>
      <c r="F998" s="41">
        <v>45894</v>
      </c>
      <c r="G998" s="38">
        <v>12</v>
      </c>
      <c r="H998" s="40">
        <v>0</v>
      </c>
      <c r="I998" s="38">
        <v>5.5</v>
      </c>
      <c r="J998" s="41">
        <v>45894</v>
      </c>
      <c r="K998" s="38" t="s">
        <v>10768</v>
      </c>
      <c r="L998" s="42">
        <v>25000000</v>
      </c>
      <c r="O998"/>
    </row>
    <row r="999" spans="1:15" x14ac:dyDescent="0.3">
      <c r="A999" s="37">
        <v>151299</v>
      </c>
      <c r="B999" s="38">
        <v>993</v>
      </c>
      <c r="C999" s="39" t="s">
        <v>14214</v>
      </c>
      <c r="D999" s="10" t="str">
        <f>VLOOKUP(C999,'Data Angt'!$A$5:$B$5809,2,FALSE)</f>
        <v>A5142</v>
      </c>
      <c r="E999" s="40" t="s">
        <v>18686</v>
      </c>
      <c r="F999" s="41">
        <v>45630</v>
      </c>
      <c r="G999" s="38">
        <v>12</v>
      </c>
      <c r="H999" s="40">
        <v>0</v>
      </c>
      <c r="I999" s="38">
        <v>5.5</v>
      </c>
      <c r="J999" s="41">
        <v>45630</v>
      </c>
      <c r="K999" s="38" t="s">
        <v>10768</v>
      </c>
      <c r="L999" s="42">
        <v>44000000</v>
      </c>
      <c r="O999"/>
    </row>
    <row r="1000" spans="1:15" x14ac:dyDescent="0.3">
      <c r="A1000" s="37">
        <v>156336</v>
      </c>
      <c r="B1000" s="38">
        <v>994</v>
      </c>
      <c r="C1000" s="39" t="s">
        <v>14214</v>
      </c>
      <c r="D1000" s="10" t="str">
        <f>VLOOKUP(C1000,'Data Angt'!$A$5:$B$5809,2,FALSE)</f>
        <v>A5142</v>
      </c>
      <c r="E1000" s="40" t="s">
        <v>18687</v>
      </c>
      <c r="F1000" s="41">
        <v>45820</v>
      </c>
      <c r="G1000" s="38">
        <v>12</v>
      </c>
      <c r="H1000" s="40">
        <v>0</v>
      </c>
      <c r="I1000" s="38">
        <v>5.5</v>
      </c>
      <c r="J1000" s="41">
        <v>45820</v>
      </c>
      <c r="K1000" s="38" t="s">
        <v>10768</v>
      </c>
      <c r="L1000" s="42">
        <v>25000000</v>
      </c>
      <c r="O1000"/>
    </row>
    <row r="1001" spans="1:15" x14ac:dyDescent="0.3">
      <c r="A1001" s="37">
        <v>149595</v>
      </c>
      <c r="B1001" s="38">
        <v>995</v>
      </c>
      <c r="C1001" s="39" t="s">
        <v>14249</v>
      </c>
      <c r="D1001" s="10" t="str">
        <f>VLOOKUP(C1001,'Data Angt'!$A$5:$B$5809,2,FALSE)</f>
        <v>A5158</v>
      </c>
      <c r="E1001" s="40" t="s">
        <v>18688</v>
      </c>
      <c r="F1001" s="41">
        <v>45574</v>
      </c>
      <c r="G1001" s="38">
        <v>12</v>
      </c>
      <c r="H1001" s="40">
        <v>0</v>
      </c>
      <c r="I1001" s="38">
        <v>5.5</v>
      </c>
      <c r="J1001" s="41">
        <v>45574</v>
      </c>
      <c r="K1001" s="38" t="s">
        <v>10768</v>
      </c>
      <c r="L1001" s="42">
        <v>30000000</v>
      </c>
      <c r="O1001"/>
    </row>
    <row r="1002" spans="1:15" x14ac:dyDescent="0.3">
      <c r="A1002" s="37">
        <v>151602</v>
      </c>
      <c r="B1002" s="38">
        <v>996</v>
      </c>
      <c r="C1002" s="39" t="s">
        <v>14251</v>
      </c>
      <c r="D1002" s="10" t="str">
        <f>VLOOKUP(C1002,'Data Angt'!$A$5:$B$5809,2,FALSE)</f>
        <v>A5159</v>
      </c>
      <c r="E1002" s="40" t="s">
        <v>18689</v>
      </c>
      <c r="F1002" s="41">
        <v>45646</v>
      </c>
      <c r="G1002" s="38">
        <v>12</v>
      </c>
      <c r="H1002" s="40">
        <v>0</v>
      </c>
      <c r="I1002" s="38">
        <v>5.5</v>
      </c>
      <c r="J1002" s="41">
        <v>45646</v>
      </c>
      <c r="K1002" s="38" t="s">
        <v>10768</v>
      </c>
      <c r="L1002" s="42">
        <v>30000000</v>
      </c>
      <c r="O1002"/>
    </row>
    <row r="1003" spans="1:15" x14ac:dyDescent="0.3">
      <c r="A1003" s="37">
        <v>153789</v>
      </c>
      <c r="B1003" s="38">
        <v>997</v>
      </c>
      <c r="C1003" s="39" t="s">
        <v>14753</v>
      </c>
      <c r="D1003" s="10" t="str">
        <f>VLOOKUP(C1003,'Data Angt'!$A$5:$B$5809,2,FALSE)</f>
        <v>A5344</v>
      </c>
      <c r="E1003" s="40" t="s">
        <v>18690</v>
      </c>
      <c r="F1003" s="41">
        <v>45710</v>
      </c>
      <c r="G1003" s="38">
        <v>12</v>
      </c>
      <c r="H1003" s="40">
        <v>0</v>
      </c>
      <c r="I1003" s="38">
        <v>5.5</v>
      </c>
      <c r="J1003" s="41">
        <v>45710</v>
      </c>
      <c r="K1003" s="38" t="s">
        <v>10768</v>
      </c>
      <c r="L1003" s="42">
        <v>1000000</v>
      </c>
      <c r="O1003"/>
    </row>
    <row r="1004" spans="1:15" x14ac:dyDescent="0.3">
      <c r="A1004" s="37">
        <v>153740</v>
      </c>
      <c r="B1004" s="38">
        <v>998</v>
      </c>
      <c r="C1004" s="39" t="s">
        <v>14805</v>
      </c>
      <c r="D1004" s="10" t="str">
        <f>VLOOKUP(C1004,'Data Angt'!$A$5:$B$5809,2,FALSE)</f>
        <v>A5368</v>
      </c>
      <c r="E1004" s="40" t="s">
        <v>18691</v>
      </c>
      <c r="F1004" s="41">
        <v>45709</v>
      </c>
      <c r="G1004" s="38">
        <v>12</v>
      </c>
      <c r="H1004" s="40">
        <v>0</v>
      </c>
      <c r="I1004" s="38">
        <v>5.5</v>
      </c>
      <c r="J1004" s="41">
        <v>45709</v>
      </c>
      <c r="K1004" s="38" t="s">
        <v>10768</v>
      </c>
      <c r="L1004" s="42">
        <v>3000000</v>
      </c>
      <c r="O1004"/>
    </row>
    <row r="1005" spans="1:15" x14ac:dyDescent="0.3">
      <c r="A1005" s="37">
        <v>153948</v>
      </c>
      <c r="B1005" s="38">
        <v>999</v>
      </c>
      <c r="C1005" s="39" t="s">
        <v>14824</v>
      </c>
      <c r="D1005" s="10" t="str">
        <f>VLOOKUP(C1005,'Data Angt'!$A$5:$B$5809,2,FALSE)</f>
        <v>A5379</v>
      </c>
      <c r="E1005" s="40" t="s">
        <v>18692</v>
      </c>
      <c r="F1005" s="41">
        <v>45714</v>
      </c>
      <c r="G1005" s="38">
        <v>12</v>
      </c>
      <c r="H1005" s="40">
        <v>0</v>
      </c>
      <c r="I1005" s="38">
        <v>5.5</v>
      </c>
      <c r="J1005" s="41">
        <v>45714</v>
      </c>
      <c r="K1005" s="38" t="s">
        <v>10768</v>
      </c>
      <c r="L1005" s="42">
        <v>1000000</v>
      </c>
      <c r="O1005"/>
    </row>
    <row r="1006" spans="1:15" x14ac:dyDescent="0.3">
      <c r="A1006" s="37">
        <v>154107</v>
      </c>
      <c r="B1006" s="38">
        <v>1000</v>
      </c>
      <c r="C1006" s="39" t="s">
        <v>14874</v>
      </c>
      <c r="D1006" s="10" t="str">
        <f>VLOOKUP(C1006,'Data Angt'!$A$5:$B$5809,2,FALSE)</f>
        <v>A5401</v>
      </c>
      <c r="E1006" s="40" t="s">
        <v>18693</v>
      </c>
      <c r="F1006" s="41">
        <v>45716</v>
      </c>
      <c r="G1006" s="38">
        <v>12</v>
      </c>
      <c r="H1006" s="40">
        <v>0</v>
      </c>
      <c r="I1006" s="38">
        <v>5.5</v>
      </c>
      <c r="J1006" s="41">
        <v>45716</v>
      </c>
      <c r="K1006" s="38" t="s">
        <v>10768</v>
      </c>
      <c r="L1006" s="42">
        <v>50000000</v>
      </c>
      <c r="O1006"/>
    </row>
    <row r="1007" spans="1:15" x14ac:dyDescent="0.3">
      <c r="A1007" s="37">
        <v>158851</v>
      </c>
      <c r="B1007" s="38">
        <v>1001</v>
      </c>
      <c r="C1007" s="39" t="s">
        <v>14890</v>
      </c>
      <c r="D1007" s="10" t="str">
        <f>VLOOKUP(C1007,'Data Angt'!$A$5:$B$5809,2,FALSE)</f>
        <v>A5408</v>
      </c>
      <c r="E1007" s="40" t="s">
        <v>24188</v>
      </c>
      <c r="F1007" s="41">
        <v>45929</v>
      </c>
      <c r="G1007" s="38">
        <v>12</v>
      </c>
      <c r="H1007" s="40">
        <v>0</v>
      </c>
      <c r="I1007" s="38">
        <v>5.5</v>
      </c>
      <c r="J1007" s="41">
        <v>45929</v>
      </c>
      <c r="K1007" s="38" t="s">
        <v>10768</v>
      </c>
      <c r="L1007" s="42">
        <v>7000000</v>
      </c>
      <c r="O1007"/>
    </row>
    <row r="1008" spans="1:15" x14ac:dyDescent="0.3">
      <c r="A1008" s="37">
        <v>154807</v>
      </c>
      <c r="B1008" s="38">
        <v>1002</v>
      </c>
      <c r="C1008" s="39" t="s">
        <v>14903</v>
      </c>
      <c r="D1008" s="10" t="str">
        <f>VLOOKUP(C1008,'Data Angt'!$A$5:$B$5809,2,FALSE)</f>
        <v>A5414</v>
      </c>
      <c r="E1008" s="40" t="s">
        <v>18694</v>
      </c>
      <c r="F1008" s="41">
        <v>45742</v>
      </c>
      <c r="G1008" s="38">
        <v>12</v>
      </c>
      <c r="H1008" s="40">
        <v>0</v>
      </c>
      <c r="I1008" s="38">
        <v>5.5</v>
      </c>
      <c r="J1008" s="41">
        <v>45742</v>
      </c>
      <c r="K1008" s="38" t="s">
        <v>10768</v>
      </c>
      <c r="L1008" s="42">
        <v>250000000</v>
      </c>
      <c r="O1008"/>
    </row>
    <row r="1009" spans="1:15" x14ac:dyDescent="0.3">
      <c r="A1009" s="37">
        <v>154809</v>
      </c>
      <c r="B1009" s="38">
        <v>1003</v>
      </c>
      <c r="C1009" s="39" t="s">
        <v>14905</v>
      </c>
      <c r="D1009" s="10" t="str">
        <f>VLOOKUP(C1009,'Data Angt'!$A$5:$B$5809,2,FALSE)</f>
        <v>A5415</v>
      </c>
      <c r="E1009" s="40" t="s">
        <v>18695</v>
      </c>
      <c r="F1009" s="41">
        <v>45742</v>
      </c>
      <c r="G1009" s="38">
        <v>12</v>
      </c>
      <c r="H1009" s="40">
        <v>0</v>
      </c>
      <c r="I1009" s="38">
        <v>5.5</v>
      </c>
      <c r="J1009" s="41">
        <v>45742</v>
      </c>
      <c r="K1009" s="38" t="s">
        <v>10768</v>
      </c>
      <c r="L1009" s="42">
        <v>250000000</v>
      </c>
      <c r="O1009"/>
    </row>
    <row r="1010" spans="1:15" x14ac:dyDescent="0.3">
      <c r="A1010" s="37">
        <v>155410</v>
      </c>
      <c r="B1010" s="38">
        <v>1004</v>
      </c>
      <c r="C1010" s="39" t="s">
        <v>15091</v>
      </c>
      <c r="D1010" s="10" t="str">
        <f>VLOOKUP(C1010,'Data Angt'!$A$5:$B$5809,2,FALSE)</f>
        <v>A5500</v>
      </c>
      <c r="E1010" s="40" t="s">
        <v>18696</v>
      </c>
      <c r="F1010" s="41">
        <v>45780</v>
      </c>
      <c r="G1010" s="38">
        <v>12</v>
      </c>
      <c r="H1010" s="40">
        <v>0</v>
      </c>
      <c r="I1010" s="38">
        <v>5.5</v>
      </c>
      <c r="J1010" s="41">
        <v>45780</v>
      </c>
      <c r="K1010" s="38" t="s">
        <v>10768</v>
      </c>
      <c r="L1010" s="42">
        <v>50000000</v>
      </c>
      <c r="O1010"/>
    </row>
    <row r="1011" spans="1:15" x14ac:dyDescent="0.3">
      <c r="A1011" s="37">
        <v>155840</v>
      </c>
      <c r="B1011" s="38">
        <v>1005</v>
      </c>
      <c r="C1011" s="39" t="s">
        <v>15142</v>
      </c>
      <c r="D1011" s="10" t="str">
        <f>VLOOKUP(C1011,'Data Angt'!$A$5:$B$5809,2,FALSE)</f>
        <v>A5524</v>
      </c>
      <c r="E1011" s="40" t="s">
        <v>18697</v>
      </c>
      <c r="F1011" s="41">
        <v>45798</v>
      </c>
      <c r="G1011" s="38">
        <v>12</v>
      </c>
      <c r="H1011" s="40">
        <v>0</v>
      </c>
      <c r="I1011" s="38">
        <v>5.5</v>
      </c>
      <c r="J1011" s="41">
        <v>45798</v>
      </c>
      <c r="K1011" s="38" t="s">
        <v>10768</v>
      </c>
      <c r="L1011" s="42">
        <v>5000000</v>
      </c>
      <c r="O1011"/>
    </row>
    <row r="1012" spans="1:15" x14ac:dyDescent="0.3">
      <c r="A1012" s="37">
        <v>158528</v>
      </c>
      <c r="B1012" s="38">
        <v>1006</v>
      </c>
      <c r="C1012" s="39" t="s">
        <v>15142</v>
      </c>
      <c r="D1012" s="10" t="str">
        <f>VLOOKUP(C1012,'Data Angt'!$A$5:$B$5809,2,FALSE)</f>
        <v>A5524</v>
      </c>
      <c r="E1012" s="40" t="s">
        <v>24189</v>
      </c>
      <c r="F1012" s="41">
        <v>45912</v>
      </c>
      <c r="G1012" s="38">
        <v>12</v>
      </c>
      <c r="H1012" s="40">
        <v>0</v>
      </c>
      <c r="I1012" s="38">
        <v>5.5</v>
      </c>
      <c r="J1012" s="41">
        <v>45912</v>
      </c>
      <c r="K1012" s="38" t="s">
        <v>10768</v>
      </c>
      <c r="L1012" s="42">
        <v>10000000</v>
      </c>
      <c r="O1012"/>
    </row>
    <row r="1013" spans="1:15" x14ac:dyDescent="0.3">
      <c r="A1013" s="37">
        <v>156595</v>
      </c>
      <c r="B1013" s="38">
        <v>1007</v>
      </c>
      <c r="C1013" s="39" t="s">
        <v>15288</v>
      </c>
      <c r="D1013" s="10" t="str">
        <f>VLOOKUP(C1013,'Data Angt'!$A$5:$B$5809,2,FALSE)</f>
        <v>A5592</v>
      </c>
      <c r="E1013" s="40" t="s">
        <v>18698</v>
      </c>
      <c r="F1013" s="41">
        <v>45834</v>
      </c>
      <c r="G1013" s="38">
        <v>12</v>
      </c>
      <c r="H1013" s="40">
        <v>0</v>
      </c>
      <c r="I1013" s="38">
        <v>5.5</v>
      </c>
      <c r="J1013" s="41">
        <v>45834</v>
      </c>
      <c r="K1013" s="38" t="s">
        <v>10768</v>
      </c>
      <c r="L1013" s="42">
        <v>1500000</v>
      </c>
      <c r="O1013"/>
    </row>
    <row r="1014" spans="1:15" x14ac:dyDescent="0.3">
      <c r="A1014" s="37">
        <v>158313</v>
      </c>
      <c r="B1014" s="38">
        <v>1008</v>
      </c>
      <c r="C1014" s="39" t="s">
        <v>19144</v>
      </c>
      <c r="D1014" s="10" t="str">
        <f>VLOOKUP(C1014,'Data Angt'!$A$5:$B$5809,2,FALSE)</f>
        <v>A5739</v>
      </c>
      <c r="E1014" s="40" t="s">
        <v>24190</v>
      </c>
      <c r="F1014" s="41">
        <v>45903</v>
      </c>
      <c r="G1014" s="38">
        <v>12</v>
      </c>
      <c r="H1014" s="40">
        <v>0</v>
      </c>
      <c r="I1014" s="38">
        <v>5.5</v>
      </c>
      <c r="J1014" s="41">
        <v>45903</v>
      </c>
      <c r="K1014" s="38" t="s">
        <v>10768</v>
      </c>
      <c r="L1014" s="42">
        <v>5000000</v>
      </c>
      <c r="O1014"/>
    </row>
    <row r="1015" spans="1:15" x14ac:dyDescent="0.3">
      <c r="A1015" s="37">
        <v>79418</v>
      </c>
      <c r="B1015" s="38">
        <v>1009</v>
      </c>
      <c r="C1015" s="39" t="s">
        <v>11402</v>
      </c>
      <c r="D1015" s="10" t="e">
        <f>VLOOKUP(C1015,'Data Angt'!$A$5:$B$5809,2,FALSE)</f>
        <v>#N/A</v>
      </c>
      <c r="E1015" s="40" t="s">
        <v>11403</v>
      </c>
      <c r="F1015" s="41">
        <v>42966</v>
      </c>
      <c r="G1015" s="38">
        <v>12</v>
      </c>
      <c r="H1015" s="40">
        <v>0</v>
      </c>
      <c r="I1015" s="38">
        <v>5.5</v>
      </c>
      <c r="J1015" s="41">
        <v>42966</v>
      </c>
      <c r="K1015" s="38" t="s">
        <v>10768</v>
      </c>
      <c r="L1015" s="42">
        <v>50000000</v>
      </c>
      <c r="O1015"/>
    </row>
    <row r="1016" spans="1:15" x14ac:dyDescent="0.3">
      <c r="A1016" s="37">
        <v>79675</v>
      </c>
      <c r="B1016" s="38">
        <v>1010</v>
      </c>
      <c r="C1016" s="39" t="s">
        <v>11404</v>
      </c>
      <c r="D1016" s="10" t="e">
        <f>VLOOKUP(C1016,'Data Angt'!$A$5:$B$5809,2,FALSE)</f>
        <v>#N/A</v>
      </c>
      <c r="E1016" s="40" t="s">
        <v>11405</v>
      </c>
      <c r="F1016" s="41">
        <v>42458</v>
      </c>
      <c r="G1016" s="38">
        <v>12</v>
      </c>
      <c r="H1016" s="40">
        <v>0</v>
      </c>
      <c r="I1016" s="38">
        <v>5.5</v>
      </c>
      <c r="J1016" s="41">
        <v>42458</v>
      </c>
      <c r="K1016" s="38" t="s">
        <v>10768</v>
      </c>
      <c r="L1016" s="42">
        <v>35000000</v>
      </c>
      <c r="O1016"/>
    </row>
    <row r="1017" spans="1:15" ht="15" thickBot="1" x14ac:dyDescent="0.35">
      <c r="A1017" s="348" t="s">
        <v>11406</v>
      </c>
      <c r="B1017" s="349"/>
      <c r="C1017" s="349"/>
      <c r="D1017" s="349"/>
      <c r="E1017" s="349"/>
      <c r="F1017" s="349"/>
      <c r="G1017" s="349"/>
      <c r="H1017" s="349"/>
      <c r="I1017" s="349"/>
      <c r="J1017" s="349"/>
      <c r="K1017" s="350"/>
      <c r="L1017" s="43">
        <v>31191000000</v>
      </c>
      <c r="O1017"/>
    </row>
    <row r="1018" spans="1:15" x14ac:dyDescent="0.3">
      <c r="O1018"/>
    </row>
    <row r="1019" spans="1:15" x14ac:dyDescent="0.3">
      <c r="O1019"/>
    </row>
    <row r="1020" spans="1:15" x14ac:dyDescent="0.3">
      <c r="O1020"/>
    </row>
    <row r="1021" spans="1:15" x14ac:dyDescent="0.3">
      <c r="O1021"/>
    </row>
    <row r="1022" spans="1:15" x14ac:dyDescent="0.3">
      <c r="O1022"/>
    </row>
    <row r="1023" spans="1:15" x14ac:dyDescent="0.3">
      <c r="O1023"/>
    </row>
    <row r="1024" spans="1:15" x14ac:dyDescent="0.3">
      <c r="O1024"/>
    </row>
    <row r="1025" spans="15:15" x14ac:dyDescent="0.3">
      <c r="O1025"/>
    </row>
    <row r="1026" spans="15:15" x14ac:dyDescent="0.3">
      <c r="O1026"/>
    </row>
    <row r="1027" spans="15:15" x14ac:dyDescent="0.3">
      <c r="O1027"/>
    </row>
    <row r="1028" spans="15:15" x14ac:dyDescent="0.3">
      <c r="O1028"/>
    </row>
    <row r="1029" spans="15:15" x14ac:dyDescent="0.3">
      <c r="O1029"/>
    </row>
    <row r="1030" spans="15:15" x14ac:dyDescent="0.3">
      <c r="O1030"/>
    </row>
    <row r="1031" spans="15:15" x14ac:dyDescent="0.3">
      <c r="O1031"/>
    </row>
    <row r="1032" spans="15:15" x14ac:dyDescent="0.3">
      <c r="O1032"/>
    </row>
    <row r="1033" spans="15:15" x14ac:dyDescent="0.3">
      <c r="O1033"/>
    </row>
    <row r="1034" spans="15:15" x14ac:dyDescent="0.3">
      <c r="O1034"/>
    </row>
    <row r="1035" spans="15:15" x14ac:dyDescent="0.3">
      <c r="O1035"/>
    </row>
    <row r="1036" spans="15:15" x14ac:dyDescent="0.3">
      <c r="O1036"/>
    </row>
    <row r="1037" spans="15:15" x14ac:dyDescent="0.3">
      <c r="O1037"/>
    </row>
    <row r="1038" spans="15:15" x14ac:dyDescent="0.3">
      <c r="O1038"/>
    </row>
    <row r="1039" spans="15:15" x14ac:dyDescent="0.3">
      <c r="O1039"/>
    </row>
    <row r="1040" spans="15:15" x14ac:dyDescent="0.3">
      <c r="O1040"/>
    </row>
    <row r="1041" spans="15:15" x14ac:dyDescent="0.3">
      <c r="O1041"/>
    </row>
    <row r="1042" spans="15:15" x14ac:dyDescent="0.3">
      <c r="O1042"/>
    </row>
    <row r="1043" spans="15:15" x14ac:dyDescent="0.3">
      <c r="O1043"/>
    </row>
    <row r="1044" spans="15:15" x14ac:dyDescent="0.3">
      <c r="O1044"/>
    </row>
    <row r="1045" spans="15:15" x14ac:dyDescent="0.3">
      <c r="O1045"/>
    </row>
    <row r="1046" spans="15:15" x14ac:dyDescent="0.3">
      <c r="O1046"/>
    </row>
    <row r="1047" spans="15:15" x14ac:dyDescent="0.3">
      <c r="O1047"/>
    </row>
    <row r="1048" spans="15:15" x14ac:dyDescent="0.3">
      <c r="O1048"/>
    </row>
    <row r="1049" spans="15:15" x14ac:dyDescent="0.3">
      <c r="O1049"/>
    </row>
    <row r="1050" spans="15:15" x14ac:dyDescent="0.3">
      <c r="O1050"/>
    </row>
    <row r="1051" spans="15:15" x14ac:dyDescent="0.3">
      <c r="O1051"/>
    </row>
    <row r="1052" spans="15:15" x14ac:dyDescent="0.3">
      <c r="O1052"/>
    </row>
    <row r="1053" spans="15:15" x14ac:dyDescent="0.3">
      <c r="O1053"/>
    </row>
    <row r="1054" spans="15:15" x14ac:dyDescent="0.3">
      <c r="O1054"/>
    </row>
    <row r="1055" spans="15:15" x14ac:dyDescent="0.3">
      <c r="O1055"/>
    </row>
    <row r="1056" spans="15:15" x14ac:dyDescent="0.3">
      <c r="O1056"/>
    </row>
    <row r="1057" spans="15:15" x14ac:dyDescent="0.3">
      <c r="O1057"/>
    </row>
    <row r="1058" spans="15:15" x14ac:dyDescent="0.3">
      <c r="O1058"/>
    </row>
    <row r="1059" spans="15:15" x14ac:dyDescent="0.3">
      <c r="O1059"/>
    </row>
    <row r="1060" spans="15:15" x14ac:dyDescent="0.3">
      <c r="O1060"/>
    </row>
    <row r="1061" spans="15:15" x14ac:dyDescent="0.3">
      <c r="O1061"/>
    </row>
    <row r="1062" spans="15:15" x14ac:dyDescent="0.3">
      <c r="O1062"/>
    </row>
    <row r="1063" spans="15:15" x14ac:dyDescent="0.3">
      <c r="O1063"/>
    </row>
    <row r="1064" spans="15:15" x14ac:dyDescent="0.3">
      <c r="O1064"/>
    </row>
    <row r="1065" spans="15:15" x14ac:dyDescent="0.3">
      <c r="O1065"/>
    </row>
    <row r="1066" spans="15:15" x14ac:dyDescent="0.3">
      <c r="O1066"/>
    </row>
    <row r="1067" spans="15:15" x14ac:dyDescent="0.3">
      <c r="O1067"/>
    </row>
    <row r="1068" spans="15:15" x14ac:dyDescent="0.3">
      <c r="O1068"/>
    </row>
    <row r="1069" spans="15:15" x14ac:dyDescent="0.3">
      <c r="O1069"/>
    </row>
    <row r="1070" spans="15:15" x14ac:dyDescent="0.3">
      <c r="O1070"/>
    </row>
    <row r="1071" spans="15:15" x14ac:dyDescent="0.3">
      <c r="O1071"/>
    </row>
    <row r="1072" spans="15:15" x14ac:dyDescent="0.3">
      <c r="O1072"/>
    </row>
    <row r="1073" spans="15:15" x14ac:dyDescent="0.3">
      <c r="O1073"/>
    </row>
    <row r="1074" spans="15:15" x14ac:dyDescent="0.3">
      <c r="O1074"/>
    </row>
    <row r="1075" spans="15:15" x14ac:dyDescent="0.3">
      <c r="O1075"/>
    </row>
    <row r="1076" spans="15:15" x14ac:dyDescent="0.3">
      <c r="O1076"/>
    </row>
    <row r="1077" spans="15:15" x14ac:dyDescent="0.3">
      <c r="O1077"/>
    </row>
    <row r="1078" spans="15:15" x14ac:dyDescent="0.3">
      <c r="O1078"/>
    </row>
    <row r="1079" spans="15:15" x14ac:dyDescent="0.3">
      <c r="O1079"/>
    </row>
    <row r="1080" spans="15:15" x14ac:dyDescent="0.3">
      <c r="O1080"/>
    </row>
    <row r="1081" spans="15:15" x14ac:dyDescent="0.3">
      <c r="O1081"/>
    </row>
    <row r="1082" spans="15:15" x14ac:dyDescent="0.3">
      <c r="O1082"/>
    </row>
    <row r="1083" spans="15:15" x14ac:dyDescent="0.3">
      <c r="O1083"/>
    </row>
    <row r="1084" spans="15:15" x14ac:dyDescent="0.3">
      <c r="O1084"/>
    </row>
    <row r="1085" spans="15:15" x14ac:dyDescent="0.3">
      <c r="O1085"/>
    </row>
    <row r="1086" spans="15:15" x14ac:dyDescent="0.3">
      <c r="O1086"/>
    </row>
    <row r="1087" spans="15:15" x14ac:dyDescent="0.3">
      <c r="O1087"/>
    </row>
    <row r="1088" spans="15:15" x14ac:dyDescent="0.3">
      <c r="O1088"/>
    </row>
    <row r="1089" spans="15:15" x14ac:dyDescent="0.3">
      <c r="O1089"/>
    </row>
    <row r="1090" spans="15:15" x14ac:dyDescent="0.3">
      <c r="O1090"/>
    </row>
    <row r="1091" spans="15:15" x14ac:dyDescent="0.3">
      <c r="O1091"/>
    </row>
    <row r="1092" spans="15:15" x14ac:dyDescent="0.3">
      <c r="O1092"/>
    </row>
    <row r="1093" spans="15:15" x14ac:dyDescent="0.3">
      <c r="O1093"/>
    </row>
    <row r="1094" spans="15:15" x14ac:dyDescent="0.3">
      <c r="O1094"/>
    </row>
    <row r="1095" spans="15:15" x14ac:dyDescent="0.3">
      <c r="O1095"/>
    </row>
    <row r="1096" spans="15:15" x14ac:dyDescent="0.3">
      <c r="O1096"/>
    </row>
    <row r="1097" spans="15:15" x14ac:dyDescent="0.3">
      <c r="O1097"/>
    </row>
    <row r="1098" spans="15:15" x14ac:dyDescent="0.3">
      <c r="O1098"/>
    </row>
    <row r="1099" spans="15:15" x14ac:dyDescent="0.3">
      <c r="O1099"/>
    </row>
    <row r="1100" spans="15:15" x14ac:dyDescent="0.3">
      <c r="O1100"/>
    </row>
    <row r="1101" spans="15:15" x14ac:dyDescent="0.3">
      <c r="O1101"/>
    </row>
    <row r="1102" spans="15:15" x14ac:dyDescent="0.3">
      <c r="O1102"/>
    </row>
    <row r="1103" spans="15:15" x14ac:dyDescent="0.3">
      <c r="O1103"/>
    </row>
    <row r="1104" spans="15:15" x14ac:dyDescent="0.3">
      <c r="O1104"/>
    </row>
    <row r="1105" spans="15:15" x14ac:dyDescent="0.3">
      <c r="O1105"/>
    </row>
    <row r="1106" spans="15:15" x14ac:dyDescent="0.3">
      <c r="O1106"/>
    </row>
    <row r="1107" spans="15:15" x14ac:dyDescent="0.3">
      <c r="O1107"/>
    </row>
    <row r="1108" spans="15:15" x14ac:dyDescent="0.3">
      <c r="O1108"/>
    </row>
    <row r="1109" spans="15:15" x14ac:dyDescent="0.3">
      <c r="O1109"/>
    </row>
    <row r="1110" spans="15:15" x14ac:dyDescent="0.3">
      <c r="O1110"/>
    </row>
    <row r="1111" spans="15:15" x14ac:dyDescent="0.3">
      <c r="O1111"/>
    </row>
    <row r="1112" spans="15:15" x14ac:dyDescent="0.3">
      <c r="O1112"/>
    </row>
    <row r="1113" spans="15:15" x14ac:dyDescent="0.3">
      <c r="O1113"/>
    </row>
    <row r="1114" spans="15:15" x14ac:dyDescent="0.3">
      <c r="O1114"/>
    </row>
    <row r="1115" spans="15:15" x14ac:dyDescent="0.3">
      <c r="O1115"/>
    </row>
    <row r="1116" spans="15:15" x14ac:dyDescent="0.3">
      <c r="O1116"/>
    </row>
    <row r="1117" spans="15:15" x14ac:dyDescent="0.3">
      <c r="O1117"/>
    </row>
    <row r="1118" spans="15:15" x14ac:dyDescent="0.3">
      <c r="O1118"/>
    </row>
    <row r="1119" spans="15:15" x14ac:dyDescent="0.3">
      <c r="O1119"/>
    </row>
    <row r="1120" spans="15:15" x14ac:dyDescent="0.3">
      <c r="O1120"/>
    </row>
    <row r="1121" spans="15:15" x14ac:dyDescent="0.3">
      <c r="O1121"/>
    </row>
    <row r="1122" spans="15:15" x14ac:dyDescent="0.3">
      <c r="O1122"/>
    </row>
    <row r="1123" spans="15:15" x14ac:dyDescent="0.3">
      <c r="O1123"/>
    </row>
    <row r="1124" spans="15:15" x14ac:dyDescent="0.3">
      <c r="O1124"/>
    </row>
    <row r="1125" spans="15:15" x14ac:dyDescent="0.3">
      <c r="O1125"/>
    </row>
    <row r="1126" spans="15:15" x14ac:dyDescent="0.3">
      <c r="O1126"/>
    </row>
    <row r="1127" spans="15:15" x14ac:dyDescent="0.3">
      <c r="O1127"/>
    </row>
    <row r="1128" spans="15:15" x14ac:dyDescent="0.3">
      <c r="O1128"/>
    </row>
    <row r="1129" spans="15:15" x14ac:dyDescent="0.3">
      <c r="O1129"/>
    </row>
    <row r="1130" spans="15:15" x14ac:dyDescent="0.3">
      <c r="O1130"/>
    </row>
    <row r="1131" spans="15:15" x14ac:dyDescent="0.3">
      <c r="O1131"/>
    </row>
    <row r="1132" spans="15:15" x14ac:dyDescent="0.3">
      <c r="O1132"/>
    </row>
    <row r="1133" spans="15:15" x14ac:dyDescent="0.3">
      <c r="O1133"/>
    </row>
    <row r="1134" spans="15:15" x14ac:dyDescent="0.3">
      <c r="O1134"/>
    </row>
    <row r="1135" spans="15:15" x14ac:dyDescent="0.3">
      <c r="O1135"/>
    </row>
    <row r="1136" spans="15:15" x14ac:dyDescent="0.3">
      <c r="O1136"/>
    </row>
    <row r="1137" spans="15:15" x14ac:dyDescent="0.3">
      <c r="O1137"/>
    </row>
    <row r="1138" spans="15:15" x14ac:dyDescent="0.3">
      <c r="O1138"/>
    </row>
    <row r="1139" spans="15:15" x14ac:dyDescent="0.3">
      <c r="O1139"/>
    </row>
    <row r="1140" spans="15:15" x14ac:dyDescent="0.3">
      <c r="O1140"/>
    </row>
    <row r="1141" spans="15:15" x14ac:dyDescent="0.3">
      <c r="O1141"/>
    </row>
    <row r="1142" spans="15:15" x14ac:dyDescent="0.3">
      <c r="O1142"/>
    </row>
    <row r="1143" spans="15:15" x14ac:dyDescent="0.3">
      <c r="O1143"/>
    </row>
    <row r="1144" spans="15:15" x14ac:dyDescent="0.3">
      <c r="O1144"/>
    </row>
    <row r="1145" spans="15:15" x14ac:dyDescent="0.3">
      <c r="O1145"/>
    </row>
  </sheetData>
  <autoFilter ref="O5:S474" xr:uid="{97EDC6FF-82E7-43D3-8EC1-41B79835DE91}">
    <sortState xmlns:xlrd2="http://schemas.microsoft.com/office/spreadsheetml/2017/richdata2" ref="O6:S474">
      <sortCondition ref="O6:O331"/>
    </sortState>
  </autoFilter>
  <mergeCells count="16">
    <mergeCell ref="A1017:K1017"/>
    <mergeCell ref="A1:L1"/>
    <mergeCell ref="A2:L2"/>
    <mergeCell ref="A3:L3"/>
    <mergeCell ref="A4:L4"/>
    <mergeCell ref="A5:A6"/>
    <mergeCell ref="B5:B6"/>
    <mergeCell ref="C5:C6"/>
    <mergeCell ref="D5:D6"/>
    <mergeCell ref="E5:E6"/>
    <mergeCell ref="F5:F6"/>
    <mergeCell ref="G5:G6"/>
    <mergeCell ref="H5:H6"/>
    <mergeCell ref="I5:I6"/>
    <mergeCell ref="J5:J6"/>
    <mergeCell ref="L5:L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0AC21-AB91-4CAA-A684-7D8C22D59C97}">
  <dimension ref="A1:T1187"/>
  <sheetViews>
    <sheetView showGridLines="0" topLeftCell="A5" workbookViewId="0">
      <selection activeCell="F28" sqref="F28"/>
    </sheetView>
  </sheetViews>
  <sheetFormatPr defaultColWidth="9.109375" defaultRowHeight="14.4" x14ac:dyDescent="0.3"/>
  <cols>
    <col min="1" max="1" width="7" style="5" bestFit="1" customWidth="1"/>
    <col min="2" max="2" width="5" style="5" bestFit="1" customWidth="1"/>
    <col min="3" max="3" width="18" style="5" bestFit="1" customWidth="1"/>
    <col min="4" max="4" width="6.33203125" style="5" bestFit="1" customWidth="1"/>
    <col min="5" max="5" width="12.6640625" style="5" bestFit="1" customWidth="1"/>
    <col min="6" max="6" width="10.6640625" style="5" bestFit="1" customWidth="1"/>
    <col min="7" max="7" width="13.33203125" style="5" bestFit="1" customWidth="1"/>
    <col min="8" max="8" width="15.109375" style="5" bestFit="1" customWidth="1"/>
    <col min="9" max="9" width="6.44140625" style="5" bestFit="1" customWidth="1"/>
    <col min="10" max="10" width="17" style="5" bestFit="1" customWidth="1"/>
    <col min="11" max="11" width="13.33203125" style="5" bestFit="1" customWidth="1"/>
    <col min="12" max="12" width="19.6640625" style="5" bestFit="1" customWidth="1"/>
    <col min="13" max="14" width="7.33203125" style="5"/>
    <col min="15" max="15" width="18" style="5" bestFit="1" customWidth="1"/>
    <col min="16" max="16" width="18" style="5" customWidth="1"/>
    <col min="17" max="18" width="7.33203125" style="5"/>
    <col min="19" max="19" width="22.33203125" style="5" customWidth="1"/>
    <col min="20" max="16384" width="9.109375" style="44"/>
  </cols>
  <sheetData>
    <row r="1" spans="1:20" ht="15" customHeight="1" x14ac:dyDescent="0.3">
      <c r="A1" s="331" t="s">
        <v>10757</v>
      </c>
      <c r="B1" s="332"/>
      <c r="C1" s="332"/>
      <c r="D1" s="332"/>
      <c r="E1" s="332"/>
      <c r="F1" s="332"/>
      <c r="G1" s="332"/>
      <c r="H1" s="332"/>
      <c r="I1" s="332"/>
      <c r="J1" s="332"/>
      <c r="K1" s="332"/>
      <c r="L1" s="332"/>
    </row>
    <row r="2" spans="1:20" ht="15" customHeight="1" x14ac:dyDescent="0.3">
      <c r="A2" s="333" t="s">
        <v>22185</v>
      </c>
      <c r="B2" s="332"/>
      <c r="C2" s="332"/>
      <c r="D2" s="332"/>
      <c r="E2" s="332"/>
      <c r="F2" s="332"/>
      <c r="G2" s="332"/>
      <c r="H2" s="332"/>
      <c r="I2" s="332"/>
      <c r="J2" s="332"/>
      <c r="K2" s="332"/>
      <c r="L2" s="332"/>
    </row>
    <row r="3" spans="1:20" ht="15" customHeight="1" x14ac:dyDescent="0.3">
      <c r="A3" s="333" t="s">
        <v>11973</v>
      </c>
      <c r="B3" s="332"/>
      <c r="C3" s="332"/>
      <c r="D3" s="332"/>
      <c r="E3" s="332"/>
      <c r="F3" s="332"/>
      <c r="G3" s="332"/>
      <c r="H3" s="332"/>
      <c r="I3" s="332"/>
      <c r="J3" s="332"/>
      <c r="K3" s="332"/>
      <c r="L3" s="332"/>
    </row>
    <row r="4" spans="1:20" ht="15" thickBot="1" x14ac:dyDescent="0.35">
      <c r="A4" s="333" t="s">
        <v>9809</v>
      </c>
      <c r="B4" s="332"/>
      <c r="C4" s="332"/>
      <c r="D4" s="332"/>
      <c r="E4" s="332"/>
      <c r="F4" s="332"/>
      <c r="G4" s="332"/>
      <c r="H4" s="332"/>
      <c r="I4" s="332"/>
      <c r="J4" s="332"/>
      <c r="K4" s="332"/>
      <c r="L4" s="332"/>
    </row>
    <row r="5" spans="1:20" ht="15" customHeight="1" x14ac:dyDescent="0.3">
      <c r="A5" s="351" t="s">
        <v>10759</v>
      </c>
      <c r="B5" s="353" t="s">
        <v>9810</v>
      </c>
      <c r="C5" s="353" t="s">
        <v>10760</v>
      </c>
      <c r="D5" s="353" t="s">
        <v>30029</v>
      </c>
      <c r="E5" s="353" t="s">
        <v>10761</v>
      </c>
      <c r="F5" s="353" t="s">
        <v>10762</v>
      </c>
      <c r="G5" s="353" t="s">
        <v>10763</v>
      </c>
      <c r="H5" s="353" t="s">
        <v>10764</v>
      </c>
      <c r="I5" s="353" t="s">
        <v>10765</v>
      </c>
      <c r="J5" s="353" t="s">
        <v>10766</v>
      </c>
      <c r="K5" s="35" t="s">
        <v>10767</v>
      </c>
      <c r="L5" s="355" t="s">
        <v>23974</v>
      </c>
      <c r="N5"/>
      <c r="O5" s="46" t="s">
        <v>10745</v>
      </c>
      <c r="P5" s="371" t="s">
        <v>30029</v>
      </c>
      <c r="Q5" s="46" t="s">
        <v>12050</v>
      </c>
      <c r="R5" s="5" t="s">
        <v>9786</v>
      </c>
      <c r="S5" s="19" t="s">
        <v>9792</v>
      </c>
      <c r="T5" s="191" t="s">
        <v>19267</v>
      </c>
    </row>
    <row r="6" spans="1:20" ht="15" customHeight="1" x14ac:dyDescent="0.3">
      <c r="A6" s="352"/>
      <c r="B6" s="354"/>
      <c r="C6" s="354"/>
      <c r="D6" s="354"/>
      <c r="E6" s="354"/>
      <c r="F6" s="354"/>
      <c r="G6" s="354"/>
      <c r="H6" s="354"/>
      <c r="I6" s="354"/>
      <c r="J6" s="354"/>
      <c r="K6" s="36" t="s">
        <v>10763</v>
      </c>
      <c r="L6" s="356"/>
      <c r="N6"/>
      <c r="O6" s="39" t="s">
        <v>34</v>
      </c>
      <c r="P6" s="5" t="str">
        <f>VLOOKUP(O6,$C$7:$D$1146,2,FALSE)</f>
        <v>A7</v>
      </c>
      <c r="Q6" s="5">
        <f>COUNTIF($C$7:$C$1146,O6)</f>
        <v>1</v>
      </c>
      <c r="R6">
        <f>VLOOKUP(O6,'Data Angt'!$A$5:$F$5810,6,FALSE)</f>
        <v>84</v>
      </c>
      <c r="S6" s="5" t="str">
        <f>VLOOKUP(O6,'Data Angt'!$A$5:$H$5810,8,FALSE)</f>
        <v>Mengurus Rumah Tangga</v>
      </c>
      <c r="T6" s="44" t="str">
        <f>VLOOKUP(O6,'Data Angt'!$A$5:$C$5809,3,FALSE)</f>
        <v>PBL</v>
      </c>
    </row>
    <row r="7" spans="1:20" x14ac:dyDescent="0.3">
      <c r="A7" s="37">
        <v>77867</v>
      </c>
      <c r="B7" s="38">
        <v>1</v>
      </c>
      <c r="C7" s="39" t="s">
        <v>34</v>
      </c>
      <c r="D7" s="10" t="str">
        <f>VLOOKUP(C7,'Data Angt'!$A$5:$B$5809,2,FALSE)</f>
        <v>A7</v>
      </c>
      <c r="E7" s="40" t="s">
        <v>11972</v>
      </c>
      <c r="F7" s="41">
        <v>38724</v>
      </c>
      <c r="G7" s="38">
        <v>1</v>
      </c>
      <c r="H7" s="40">
        <v>0</v>
      </c>
      <c r="I7" s="38">
        <v>4</v>
      </c>
      <c r="J7" s="41">
        <v>38899</v>
      </c>
      <c r="K7" s="38" t="s">
        <v>10768</v>
      </c>
      <c r="L7" s="42">
        <v>10000000</v>
      </c>
      <c r="N7"/>
      <c r="O7" s="39" t="s">
        <v>38</v>
      </c>
      <c r="P7" s="5" t="str">
        <f t="shared" ref="P7:P69" si="0">VLOOKUP(O7,$C$7:$D$1146,2,FALSE)</f>
        <v>A9</v>
      </c>
      <c r="Q7" s="5">
        <f t="shared" ref="Q7:Q70" si="1">COUNTIF($C$7:$C$1146,O7)</f>
        <v>4</v>
      </c>
      <c r="R7">
        <f>VLOOKUP(O7,'Data Angt'!$A$5:$F$5810,6,FALSE)</f>
        <v>60</v>
      </c>
      <c r="S7" s="5" t="str">
        <f>VLOOKUP(O7,'Data Angt'!$A$5:$H$5810,8,FALSE)</f>
        <v>Pensiunan</v>
      </c>
      <c r="T7" s="44" t="str">
        <f>VLOOKUP(O7,'Data Angt'!$A$5:$C$5809,3,FALSE)</f>
        <v>PBL</v>
      </c>
    </row>
    <row r="8" spans="1:20" x14ac:dyDescent="0.3">
      <c r="A8" s="37">
        <v>153183</v>
      </c>
      <c r="B8" s="38">
        <v>2</v>
      </c>
      <c r="C8" s="39" t="s">
        <v>38</v>
      </c>
      <c r="D8" s="10" t="str">
        <f>VLOOKUP(C8,'Data Angt'!$A$5:$B$5809,2,FALSE)</f>
        <v>A9</v>
      </c>
      <c r="E8" s="40" t="s">
        <v>17966</v>
      </c>
      <c r="F8" s="41">
        <v>45700</v>
      </c>
      <c r="G8" s="38">
        <v>1</v>
      </c>
      <c r="H8" s="40">
        <v>0</v>
      </c>
      <c r="I8" s="38">
        <v>4</v>
      </c>
      <c r="J8" s="41">
        <v>45700</v>
      </c>
      <c r="K8" s="38" t="s">
        <v>10768</v>
      </c>
      <c r="L8" s="42">
        <v>2500000</v>
      </c>
      <c r="N8"/>
      <c r="O8" s="39" t="s">
        <v>49</v>
      </c>
      <c r="P8" s="5" t="str">
        <f t="shared" si="0"/>
        <v>A13</v>
      </c>
      <c r="Q8" s="5">
        <f t="shared" si="1"/>
        <v>1</v>
      </c>
      <c r="R8">
        <f>VLOOKUP(O8,'Data Angt'!$A$5:$F$5810,6,FALSE)</f>
        <v>62</v>
      </c>
      <c r="S8" s="5" t="str">
        <f>VLOOKUP(O8,'Data Angt'!$A$5:$H$5810,8,FALSE)</f>
        <v>Wiraswasta</v>
      </c>
      <c r="T8" s="44" t="str">
        <f>VLOOKUP(O8,'Data Angt'!$A$5:$C$5809,3,FALSE)</f>
        <v>PBL</v>
      </c>
    </row>
    <row r="9" spans="1:20" x14ac:dyDescent="0.3">
      <c r="A9" s="37">
        <v>153185</v>
      </c>
      <c r="B9" s="38">
        <v>3</v>
      </c>
      <c r="C9" s="39" t="s">
        <v>38</v>
      </c>
      <c r="D9" s="10" t="str">
        <f>VLOOKUP(C9,'Data Angt'!$A$5:$B$5809,2,FALSE)</f>
        <v>A9</v>
      </c>
      <c r="E9" s="40" t="s">
        <v>17967</v>
      </c>
      <c r="F9" s="41">
        <v>45700</v>
      </c>
      <c r="G9" s="38">
        <v>1</v>
      </c>
      <c r="H9" s="40">
        <v>0</v>
      </c>
      <c r="I9" s="38">
        <v>4</v>
      </c>
      <c r="J9" s="41">
        <v>45700</v>
      </c>
      <c r="K9" s="38" t="s">
        <v>10768</v>
      </c>
      <c r="L9" s="42">
        <v>10000000</v>
      </c>
      <c r="N9"/>
      <c r="O9" s="39" t="s">
        <v>52</v>
      </c>
      <c r="P9" s="5" t="str">
        <f t="shared" si="0"/>
        <v>A14</v>
      </c>
      <c r="Q9" s="5">
        <f t="shared" si="1"/>
        <v>5</v>
      </c>
      <c r="R9">
        <f>VLOOKUP(O9,'Data Angt'!$A$5:$F$5810,6,FALSE)</f>
        <v>69</v>
      </c>
      <c r="S9" s="5" t="str">
        <f>VLOOKUP(O9,'Data Angt'!$A$5:$H$5810,8,FALSE)</f>
        <v>Pensiunan</v>
      </c>
      <c r="T9" s="44" t="str">
        <f>VLOOKUP(O9,'Data Angt'!$A$5:$C$5809,3,FALSE)</f>
        <v>PBL</v>
      </c>
    </row>
    <row r="10" spans="1:20" x14ac:dyDescent="0.3">
      <c r="A10" s="37">
        <v>157415</v>
      </c>
      <c r="B10" s="38">
        <v>4</v>
      </c>
      <c r="C10" s="39" t="s">
        <v>38</v>
      </c>
      <c r="D10" s="10" t="str">
        <f>VLOOKUP(C10,'Data Angt'!$A$5:$B$5809,2,FALSE)</f>
        <v>A9</v>
      </c>
      <c r="E10" s="40" t="s">
        <v>23975</v>
      </c>
      <c r="F10" s="41">
        <v>45867</v>
      </c>
      <c r="G10" s="38">
        <v>1</v>
      </c>
      <c r="H10" s="40">
        <v>0</v>
      </c>
      <c r="I10" s="38">
        <v>4</v>
      </c>
      <c r="J10" s="41">
        <v>45867</v>
      </c>
      <c r="K10" s="38" t="s">
        <v>10768</v>
      </c>
      <c r="L10" s="42">
        <v>1500000</v>
      </c>
      <c r="N10"/>
      <c r="O10" s="39" t="s">
        <v>68</v>
      </c>
      <c r="P10" s="5" t="str">
        <f t="shared" si="0"/>
        <v>A21</v>
      </c>
      <c r="Q10" s="5">
        <f t="shared" si="1"/>
        <v>1</v>
      </c>
      <c r="R10">
        <f>VLOOKUP(O10,'Data Angt'!$A$5:$F$5810,6,FALSE)</f>
        <v>62</v>
      </c>
      <c r="S10" s="5" t="str">
        <f>VLOOKUP(O10,'Data Angt'!$A$5:$H$5810,8,FALSE)</f>
        <v>Lain-Lain</v>
      </c>
      <c r="T10" s="44" t="str">
        <f>VLOOKUP(O10,'Data Angt'!$A$5:$C$5809,3,FALSE)</f>
        <v>PBL</v>
      </c>
    </row>
    <row r="11" spans="1:20" x14ac:dyDescent="0.3">
      <c r="A11" s="37">
        <v>158147</v>
      </c>
      <c r="B11" s="38">
        <v>5</v>
      </c>
      <c r="C11" s="39" t="s">
        <v>38</v>
      </c>
      <c r="D11" s="10" t="str">
        <f>VLOOKUP(C11,'Data Angt'!$A$5:$B$5809,2,FALSE)</f>
        <v>A9</v>
      </c>
      <c r="E11" s="40" t="s">
        <v>23976</v>
      </c>
      <c r="F11" s="41">
        <v>45895</v>
      </c>
      <c r="G11" s="38">
        <v>1</v>
      </c>
      <c r="H11" s="40">
        <v>0</v>
      </c>
      <c r="I11" s="38">
        <v>4</v>
      </c>
      <c r="J11" s="41">
        <v>45895</v>
      </c>
      <c r="K11" s="38" t="s">
        <v>10768</v>
      </c>
      <c r="L11" s="42">
        <v>1000000</v>
      </c>
      <c r="N11"/>
      <c r="O11" s="39" t="s">
        <v>78</v>
      </c>
      <c r="P11" s="5" t="str">
        <f t="shared" si="0"/>
        <v>A24</v>
      </c>
      <c r="Q11" s="5">
        <f t="shared" si="1"/>
        <v>2</v>
      </c>
      <c r="R11">
        <f>VLOOKUP(O11,'Data Angt'!$A$5:$F$5810,6,FALSE)</f>
        <v>59</v>
      </c>
      <c r="S11" s="5" t="str">
        <f>VLOOKUP(O11,'Data Angt'!$A$5:$H$5810,8,FALSE)</f>
        <v>Tenaga Pengajar</v>
      </c>
      <c r="T11" s="44" t="str">
        <f>VLOOKUP(O11,'Data Angt'!$A$5:$C$5809,3,FALSE)</f>
        <v>PBL</v>
      </c>
    </row>
    <row r="12" spans="1:20" x14ac:dyDescent="0.3">
      <c r="A12" s="37">
        <v>77869</v>
      </c>
      <c r="B12" s="38">
        <v>6</v>
      </c>
      <c r="C12" s="39" t="s">
        <v>49</v>
      </c>
      <c r="D12" s="10" t="str">
        <f>VLOOKUP(C12,'Data Angt'!$A$5:$B$5809,2,FALSE)</f>
        <v>A13</v>
      </c>
      <c r="E12" s="40" t="s">
        <v>11971</v>
      </c>
      <c r="F12" s="41">
        <v>38777</v>
      </c>
      <c r="G12" s="38">
        <v>1</v>
      </c>
      <c r="H12" s="40">
        <v>0</v>
      </c>
      <c r="I12" s="38">
        <v>4</v>
      </c>
      <c r="J12" s="41">
        <v>38720</v>
      </c>
      <c r="K12" s="38" t="s">
        <v>10768</v>
      </c>
      <c r="L12" s="42">
        <v>2000000</v>
      </c>
      <c r="N12"/>
      <c r="O12" s="39" t="s">
        <v>91</v>
      </c>
      <c r="P12" s="5" t="str">
        <f t="shared" si="0"/>
        <v>A27</v>
      </c>
      <c r="Q12" s="5">
        <f t="shared" si="1"/>
        <v>3</v>
      </c>
      <c r="R12">
        <f>VLOOKUP(O12,'Data Angt'!$A$5:$F$5810,6,FALSE)</f>
        <v>61</v>
      </c>
      <c r="S12" s="5" t="str">
        <f>VLOOKUP(O12,'Data Angt'!$A$5:$H$5810,8,FALSE)</f>
        <v>Pensiunan</v>
      </c>
      <c r="T12" s="44" t="str">
        <f>VLOOKUP(O12,'Data Angt'!$A$5:$C$5809,3,FALSE)</f>
        <v>PBL</v>
      </c>
    </row>
    <row r="13" spans="1:20" x14ac:dyDescent="0.3">
      <c r="A13" s="37">
        <v>151928</v>
      </c>
      <c r="B13" s="38">
        <v>7</v>
      </c>
      <c r="C13" s="39" t="s">
        <v>52</v>
      </c>
      <c r="D13" s="10" t="str">
        <f>VLOOKUP(C13,'Data Angt'!$A$5:$B$5809,2,FALSE)</f>
        <v>A14</v>
      </c>
      <c r="E13" s="40" t="s">
        <v>17968</v>
      </c>
      <c r="F13" s="41">
        <v>45665</v>
      </c>
      <c r="G13" s="38">
        <v>1</v>
      </c>
      <c r="H13" s="40">
        <v>0</v>
      </c>
      <c r="I13" s="38">
        <v>4</v>
      </c>
      <c r="J13" s="41">
        <v>45665</v>
      </c>
      <c r="K13" s="38" t="s">
        <v>10768</v>
      </c>
      <c r="L13" s="42">
        <v>8000000</v>
      </c>
      <c r="N13"/>
      <c r="O13" s="39" t="s">
        <v>95</v>
      </c>
      <c r="P13" s="5" t="str">
        <f t="shared" si="0"/>
        <v>A29</v>
      </c>
      <c r="Q13" s="5">
        <f t="shared" si="1"/>
        <v>3</v>
      </c>
      <c r="R13">
        <f>VLOOKUP(O13,'Data Angt'!$A$5:$F$5810,6,FALSE)</f>
        <v>60</v>
      </c>
      <c r="S13" s="5" t="str">
        <f>VLOOKUP(O13,'Data Angt'!$A$5:$H$5810,8,FALSE)</f>
        <v>Pensiunan</v>
      </c>
      <c r="T13" s="44" t="str">
        <f>VLOOKUP(O13,'Data Angt'!$A$5:$C$5809,3,FALSE)</f>
        <v>PBL</v>
      </c>
    </row>
    <row r="14" spans="1:20" x14ac:dyDescent="0.3">
      <c r="A14" s="37">
        <v>156717</v>
      </c>
      <c r="B14" s="38">
        <v>8</v>
      </c>
      <c r="C14" s="39" t="s">
        <v>52</v>
      </c>
      <c r="D14" s="10" t="str">
        <f>VLOOKUP(C14,'Data Angt'!$A$5:$B$5809,2,FALSE)</f>
        <v>A14</v>
      </c>
      <c r="E14" s="40" t="s">
        <v>23977</v>
      </c>
      <c r="F14" s="41">
        <v>45841</v>
      </c>
      <c r="G14" s="38">
        <v>1</v>
      </c>
      <c r="H14" s="40">
        <v>0</v>
      </c>
      <c r="I14" s="38">
        <v>4</v>
      </c>
      <c r="J14" s="41">
        <v>45841</v>
      </c>
      <c r="K14" s="38" t="s">
        <v>10768</v>
      </c>
      <c r="L14" s="42">
        <v>5000000</v>
      </c>
      <c r="N14"/>
      <c r="O14" s="39" t="s">
        <v>99</v>
      </c>
      <c r="P14" s="5" t="str">
        <f t="shared" si="0"/>
        <v>A31</v>
      </c>
      <c r="Q14" s="5">
        <f t="shared" si="1"/>
        <v>8</v>
      </c>
      <c r="R14">
        <f>VLOOKUP(O14,'Data Angt'!$A$5:$F$5810,6,FALSE)</f>
        <v>59</v>
      </c>
      <c r="S14" s="5" t="str">
        <f>VLOOKUP(O14,'Data Angt'!$A$5:$H$5810,8,FALSE)</f>
        <v>Tenaga Pengajar</v>
      </c>
      <c r="T14" s="44" t="str">
        <f>VLOOKUP(O14,'Data Angt'!$A$5:$C$5809,3,FALSE)</f>
        <v>PBL</v>
      </c>
    </row>
    <row r="15" spans="1:20" x14ac:dyDescent="0.3">
      <c r="A15" s="37">
        <v>126554</v>
      </c>
      <c r="B15" s="38">
        <v>9</v>
      </c>
      <c r="C15" s="39" t="s">
        <v>52</v>
      </c>
      <c r="D15" s="10" t="str">
        <f>VLOOKUP(C15,'Data Angt'!$A$5:$B$5809,2,FALSE)</f>
        <v>A14</v>
      </c>
      <c r="E15" s="40" t="s">
        <v>11969</v>
      </c>
      <c r="F15" s="41">
        <v>44212</v>
      </c>
      <c r="G15" s="38">
        <v>1</v>
      </c>
      <c r="H15" s="40">
        <v>0</v>
      </c>
      <c r="I15" s="38">
        <v>4</v>
      </c>
      <c r="J15" s="41">
        <v>44212</v>
      </c>
      <c r="K15" s="38" t="s">
        <v>10768</v>
      </c>
      <c r="L15" s="42">
        <v>50000000</v>
      </c>
      <c r="N15"/>
      <c r="O15" s="39" t="s">
        <v>102</v>
      </c>
      <c r="P15" s="5" t="str">
        <f t="shared" si="0"/>
        <v>A32</v>
      </c>
      <c r="Q15" s="5">
        <f t="shared" si="1"/>
        <v>1</v>
      </c>
      <c r="R15">
        <f>VLOOKUP(O15,'Data Angt'!$A$5:$F$5810,6,FALSE)</f>
        <v>58</v>
      </c>
      <c r="S15" s="5" t="str">
        <f>VLOOKUP(O15,'Data Angt'!$A$5:$H$5810,8,FALSE)</f>
        <v>Tenaga Pengajar</v>
      </c>
      <c r="T15" s="44" t="str">
        <f>VLOOKUP(O15,'Data Angt'!$A$5:$C$5809,3,FALSE)</f>
        <v>PBL</v>
      </c>
    </row>
    <row r="16" spans="1:20" x14ac:dyDescent="0.3">
      <c r="A16" s="37">
        <v>126555</v>
      </c>
      <c r="B16" s="38">
        <v>10</v>
      </c>
      <c r="C16" s="39" t="s">
        <v>52</v>
      </c>
      <c r="D16" s="10" t="str">
        <f>VLOOKUP(C16,'Data Angt'!$A$5:$B$5809,2,FALSE)</f>
        <v>A14</v>
      </c>
      <c r="E16" s="40" t="s">
        <v>11968</v>
      </c>
      <c r="F16" s="41">
        <v>44212</v>
      </c>
      <c r="G16" s="38">
        <v>1</v>
      </c>
      <c r="H16" s="40">
        <v>0</v>
      </c>
      <c r="I16" s="38">
        <v>4</v>
      </c>
      <c r="J16" s="41">
        <v>44212</v>
      </c>
      <c r="K16" s="38" t="s">
        <v>10768</v>
      </c>
      <c r="L16" s="42">
        <v>50000000</v>
      </c>
      <c r="N16"/>
      <c r="O16" s="39" t="s">
        <v>104</v>
      </c>
      <c r="P16" s="5" t="str">
        <f t="shared" si="0"/>
        <v>A33</v>
      </c>
      <c r="Q16" s="5">
        <f t="shared" si="1"/>
        <v>7</v>
      </c>
      <c r="R16">
        <f>VLOOKUP(O16,'Data Angt'!$A$5:$F$5810,6,FALSE)</f>
        <v>54</v>
      </c>
      <c r="S16" s="5" t="str">
        <f>VLOOKUP(O16,'Data Angt'!$A$5:$H$5810,8,FALSE)</f>
        <v>Tenaga Pengajar</v>
      </c>
      <c r="T16" s="44" t="str">
        <f>VLOOKUP(O16,'Data Angt'!$A$5:$C$5809,3,FALSE)</f>
        <v>PBL</v>
      </c>
    </row>
    <row r="17" spans="1:20" x14ac:dyDescent="0.3">
      <c r="A17" s="37">
        <v>137930</v>
      </c>
      <c r="B17" s="38">
        <v>11</v>
      </c>
      <c r="C17" s="39" t="s">
        <v>52</v>
      </c>
      <c r="D17" s="10" t="str">
        <f>VLOOKUP(C17,'Data Angt'!$A$5:$B$5809,2,FALSE)</f>
        <v>A14</v>
      </c>
      <c r="E17" s="40" t="s">
        <v>11970</v>
      </c>
      <c r="F17" s="41">
        <v>45103</v>
      </c>
      <c r="G17" s="38">
        <v>1</v>
      </c>
      <c r="H17" s="40">
        <v>0</v>
      </c>
      <c r="I17" s="38">
        <v>4</v>
      </c>
      <c r="J17" s="41">
        <v>45103</v>
      </c>
      <c r="K17" s="38" t="s">
        <v>10768</v>
      </c>
      <c r="L17" s="42">
        <v>45000000</v>
      </c>
      <c r="N17"/>
      <c r="O17" s="39" t="s">
        <v>107</v>
      </c>
      <c r="P17" s="5" t="str">
        <f t="shared" si="0"/>
        <v>A34</v>
      </c>
      <c r="Q17" s="5">
        <f t="shared" si="1"/>
        <v>2</v>
      </c>
      <c r="R17">
        <f>VLOOKUP(O17,'Data Angt'!$A$5:$F$5810,6,FALSE)</f>
        <v>62</v>
      </c>
      <c r="S17" s="5" t="str">
        <f>VLOOKUP(O17,'Data Angt'!$A$5:$H$5810,8,FALSE)</f>
        <v>Karyawan</v>
      </c>
      <c r="T17" s="44" t="str">
        <f>VLOOKUP(O17,'Data Angt'!$A$5:$C$5809,3,FALSE)</f>
        <v>PBL</v>
      </c>
    </row>
    <row r="18" spans="1:20" x14ac:dyDescent="0.3">
      <c r="A18" s="37">
        <v>151371</v>
      </c>
      <c r="B18" s="38">
        <v>12</v>
      </c>
      <c r="C18" s="39" t="s">
        <v>68</v>
      </c>
      <c r="D18" s="10" t="str">
        <f>VLOOKUP(C18,'Data Angt'!$A$5:$B$5809,2,FALSE)</f>
        <v>A21</v>
      </c>
      <c r="E18" s="40" t="s">
        <v>17969</v>
      </c>
      <c r="F18" s="41">
        <v>45635</v>
      </c>
      <c r="G18" s="38">
        <v>1</v>
      </c>
      <c r="H18" s="40">
        <v>0</v>
      </c>
      <c r="I18" s="38">
        <v>4</v>
      </c>
      <c r="J18" s="41">
        <v>45635</v>
      </c>
      <c r="K18" s="38" t="s">
        <v>10768</v>
      </c>
      <c r="L18" s="42">
        <v>4000000</v>
      </c>
      <c r="N18"/>
      <c r="O18" s="39" t="s">
        <v>116</v>
      </c>
      <c r="P18" s="5" t="str">
        <f t="shared" si="0"/>
        <v>A37</v>
      </c>
      <c r="Q18" s="5">
        <f t="shared" si="1"/>
        <v>3</v>
      </c>
      <c r="R18">
        <f>VLOOKUP(O18,'Data Angt'!$A$5:$F$5810,6,FALSE)</f>
        <v>65</v>
      </c>
      <c r="S18" s="5" t="str">
        <f>VLOOKUP(O18,'Data Angt'!$A$5:$H$5810,8,FALSE)</f>
        <v>Pensiunan</v>
      </c>
      <c r="T18" s="44" t="str">
        <f>VLOOKUP(O18,'Data Angt'!$A$5:$C$5809,3,FALSE)</f>
        <v>PBL</v>
      </c>
    </row>
    <row r="19" spans="1:20" x14ac:dyDescent="0.3">
      <c r="A19" s="37">
        <v>152977</v>
      </c>
      <c r="B19" s="38">
        <v>13</v>
      </c>
      <c r="C19" s="39" t="s">
        <v>78</v>
      </c>
      <c r="D19" s="10" t="str">
        <f>VLOOKUP(C19,'Data Angt'!$A$5:$B$5809,2,FALSE)</f>
        <v>A24</v>
      </c>
      <c r="E19" s="40" t="s">
        <v>17970</v>
      </c>
      <c r="F19" s="41">
        <v>45696</v>
      </c>
      <c r="G19" s="38">
        <v>1</v>
      </c>
      <c r="H19" s="40">
        <v>0</v>
      </c>
      <c r="I19" s="38">
        <v>4</v>
      </c>
      <c r="J19" s="41">
        <v>45696</v>
      </c>
      <c r="K19" s="38" t="s">
        <v>10768</v>
      </c>
      <c r="L19" s="42">
        <v>25000000</v>
      </c>
      <c r="N19"/>
      <c r="O19" s="39" t="s">
        <v>125</v>
      </c>
      <c r="P19" s="5" t="str">
        <f t="shared" si="0"/>
        <v>A40</v>
      </c>
      <c r="Q19" s="5">
        <f t="shared" si="1"/>
        <v>2</v>
      </c>
      <c r="R19">
        <f>VLOOKUP(O19,'Data Angt'!$A$5:$F$5810,6,FALSE)</f>
        <v>57</v>
      </c>
      <c r="S19" s="5" t="str">
        <f>VLOOKUP(O19,'Data Angt'!$A$5:$H$5810,8,FALSE)</f>
        <v>Tenaga Pengajar</v>
      </c>
      <c r="T19" s="44" t="str">
        <f>VLOOKUP(O19,'Data Angt'!$A$5:$C$5809,3,FALSE)</f>
        <v>PBL</v>
      </c>
    </row>
    <row r="20" spans="1:20" x14ac:dyDescent="0.3">
      <c r="A20" s="37">
        <v>155102</v>
      </c>
      <c r="B20" s="38">
        <v>14</v>
      </c>
      <c r="C20" s="39" t="s">
        <v>78</v>
      </c>
      <c r="D20" s="10" t="str">
        <f>VLOOKUP(C20,'Data Angt'!$A$5:$B$5809,2,FALSE)</f>
        <v>A24</v>
      </c>
      <c r="E20" s="40" t="s">
        <v>17971</v>
      </c>
      <c r="F20" s="41">
        <v>45764</v>
      </c>
      <c r="G20" s="38">
        <v>1</v>
      </c>
      <c r="H20" s="40">
        <v>0</v>
      </c>
      <c r="I20" s="38">
        <v>4</v>
      </c>
      <c r="J20" s="41">
        <v>45764</v>
      </c>
      <c r="K20" s="38" t="s">
        <v>10768</v>
      </c>
      <c r="L20" s="42">
        <v>10000000</v>
      </c>
      <c r="N20"/>
      <c r="O20" s="39" t="s">
        <v>175</v>
      </c>
      <c r="P20" s="5" t="str">
        <f t="shared" si="0"/>
        <v>A56</v>
      </c>
      <c r="Q20" s="5">
        <f t="shared" si="1"/>
        <v>1</v>
      </c>
      <c r="R20">
        <f>VLOOKUP(O20,'Data Angt'!$A$5:$F$5810,6,FALSE)</f>
        <v>47</v>
      </c>
      <c r="S20" s="5" t="str">
        <f>VLOOKUP(O20,'Data Angt'!$A$5:$H$5810,8,FALSE)</f>
        <v>Tenaga Medis</v>
      </c>
      <c r="T20" s="44" t="str">
        <f>VLOOKUP(O20,'Data Angt'!$A$5:$C$5809,3,FALSE)</f>
        <v>PBL</v>
      </c>
    </row>
    <row r="21" spans="1:20" x14ac:dyDescent="0.3">
      <c r="A21" s="37">
        <v>78278</v>
      </c>
      <c r="B21" s="38">
        <v>15</v>
      </c>
      <c r="C21" s="39" t="s">
        <v>91</v>
      </c>
      <c r="D21" s="10" t="str">
        <f>VLOOKUP(C21,'Data Angt'!$A$5:$B$5809,2,FALSE)</f>
        <v>A27</v>
      </c>
      <c r="E21" s="40" t="s">
        <v>11967</v>
      </c>
      <c r="F21" s="41">
        <v>43061</v>
      </c>
      <c r="G21" s="38">
        <v>1</v>
      </c>
      <c r="H21" s="40">
        <v>0</v>
      </c>
      <c r="I21" s="38">
        <v>4</v>
      </c>
      <c r="J21" s="41">
        <v>43061</v>
      </c>
      <c r="K21" s="38" t="s">
        <v>10768</v>
      </c>
      <c r="L21" s="42">
        <v>10000000</v>
      </c>
      <c r="N21"/>
      <c r="O21" s="39" t="s">
        <v>194</v>
      </c>
      <c r="P21" s="5" t="str">
        <f t="shared" si="0"/>
        <v>A62</v>
      </c>
      <c r="Q21" s="5">
        <f t="shared" si="1"/>
        <v>1</v>
      </c>
      <c r="R21">
        <f>VLOOKUP(O21,'Data Angt'!$A$5:$F$5810,6,FALSE)</f>
        <v>60</v>
      </c>
      <c r="S21" s="5" t="str">
        <f>VLOOKUP(O21,'Data Angt'!$A$5:$H$5810,8,FALSE)</f>
        <v>Karyawan</v>
      </c>
      <c r="T21" s="44" t="str">
        <f>VLOOKUP(O21,'Data Angt'!$A$5:$C$5809,3,FALSE)</f>
        <v>MGL</v>
      </c>
    </row>
    <row r="22" spans="1:20" x14ac:dyDescent="0.3">
      <c r="A22" s="37">
        <v>125650</v>
      </c>
      <c r="B22" s="38">
        <v>16</v>
      </c>
      <c r="C22" s="39" t="s">
        <v>91</v>
      </c>
      <c r="D22" s="10" t="str">
        <f>VLOOKUP(C22,'Data Angt'!$A$5:$B$5809,2,FALSE)</f>
        <v>A27</v>
      </c>
      <c r="E22" s="40" t="s">
        <v>11966</v>
      </c>
      <c r="F22" s="41">
        <v>44141</v>
      </c>
      <c r="G22" s="38">
        <v>1</v>
      </c>
      <c r="H22" s="40">
        <v>0</v>
      </c>
      <c r="I22" s="38">
        <v>4</v>
      </c>
      <c r="J22" s="41">
        <v>44141</v>
      </c>
      <c r="K22" s="38" t="s">
        <v>10768</v>
      </c>
      <c r="L22" s="42">
        <v>10000000</v>
      </c>
      <c r="N22"/>
      <c r="O22" s="39" t="s">
        <v>215</v>
      </c>
      <c r="P22" s="5" t="str">
        <f t="shared" si="0"/>
        <v>A68</v>
      </c>
      <c r="Q22" s="5">
        <f t="shared" si="1"/>
        <v>2</v>
      </c>
      <c r="R22">
        <f>VLOOKUP(O22,'Data Angt'!$A$5:$F$5810,6,FALSE)</f>
        <v>62</v>
      </c>
      <c r="S22" s="5" t="str">
        <f>VLOOKUP(O22,'Data Angt'!$A$5:$H$5810,8,FALSE)</f>
        <v>Tenaga Medis</v>
      </c>
      <c r="T22" s="44" t="str">
        <f>VLOOKUP(O22,'Data Angt'!$A$5:$C$5809,3,FALSE)</f>
        <v>MGL</v>
      </c>
    </row>
    <row r="23" spans="1:20" x14ac:dyDescent="0.3">
      <c r="A23" s="37">
        <v>129086</v>
      </c>
      <c r="B23" s="38">
        <v>17</v>
      </c>
      <c r="C23" s="39" t="s">
        <v>91</v>
      </c>
      <c r="D23" s="10" t="str">
        <f>VLOOKUP(C23,'Data Angt'!$A$5:$B$5809,2,FALSE)</f>
        <v>A27</v>
      </c>
      <c r="E23" s="40" t="s">
        <v>11965</v>
      </c>
      <c r="F23" s="41">
        <v>44393</v>
      </c>
      <c r="G23" s="38">
        <v>1</v>
      </c>
      <c r="H23" s="40">
        <v>0</v>
      </c>
      <c r="I23" s="38">
        <v>4</v>
      </c>
      <c r="J23" s="41">
        <v>44393</v>
      </c>
      <c r="K23" s="38" t="s">
        <v>10768</v>
      </c>
      <c r="L23" s="42">
        <v>5000000</v>
      </c>
      <c r="O23" s="39" t="s">
        <v>250</v>
      </c>
      <c r="P23" s="5" t="str">
        <f t="shared" si="0"/>
        <v>A79</v>
      </c>
      <c r="Q23" s="5">
        <f t="shared" si="1"/>
        <v>3</v>
      </c>
      <c r="R23">
        <f>VLOOKUP(O23,'Data Angt'!$A$5:$F$5810,6,FALSE)</f>
        <v>62</v>
      </c>
      <c r="S23" s="5" t="str">
        <f>VLOOKUP(O23,'Data Angt'!$A$5:$H$5810,8,FALSE)</f>
        <v>Mengurus Rumah Tangga</v>
      </c>
      <c r="T23" s="44" t="str">
        <f>VLOOKUP(O23,'Data Angt'!$A$5:$C$5809,3,FALSE)</f>
        <v>PBL</v>
      </c>
    </row>
    <row r="24" spans="1:20" x14ac:dyDescent="0.3">
      <c r="A24" s="37">
        <v>144096</v>
      </c>
      <c r="B24" s="38">
        <v>18</v>
      </c>
      <c r="C24" s="39" t="s">
        <v>95</v>
      </c>
      <c r="D24" s="10" t="str">
        <f>VLOOKUP(C24,'Data Angt'!$A$5:$B$5809,2,FALSE)</f>
        <v>A29</v>
      </c>
      <c r="E24" s="40" t="s">
        <v>17972</v>
      </c>
      <c r="F24" s="41">
        <v>45384</v>
      </c>
      <c r="G24" s="38">
        <v>1</v>
      </c>
      <c r="H24" s="40">
        <v>0</v>
      </c>
      <c r="I24" s="38">
        <v>4</v>
      </c>
      <c r="J24" s="41">
        <v>45384</v>
      </c>
      <c r="K24" s="38" t="s">
        <v>10768</v>
      </c>
      <c r="L24" s="42">
        <v>6000000</v>
      </c>
      <c r="O24" s="39" t="s">
        <v>260</v>
      </c>
      <c r="P24" s="5" t="str">
        <f t="shared" si="0"/>
        <v>A82</v>
      </c>
      <c r="Q24" s="5">
        <f t="shared" si="1"/>
        <v>4</v>
      </c>
      <c r="R24">
        <f>VLOOKUP(O24,'Data Angt'!$A$5:$F$5810,6,FALSE)</f>
        <v>81</v>
      </c>
      <c r="S24" s="5" t="str">
        <f>VLOOKUP(O24,'Data Angt'!$A$5:$H$5810,8,FALSE)</f>
        <v>Mengurus Rumah Tangga</v>
      </c>
      <c r="T24" s="44" t="str">
        <f>VLOOKUP(O24,'Data Angt'!$A$5:$C$5809,3,FALSE)</f>
        <v>PBL</v>
      </c>
    </row>
    <row r="25" spans="1:20" x14ac:dyDescent="0.3">
      <c r="A25" s="37">
        <v>150611</v>
      </c>
      <c r="B25" s="38">
        <v>19</v>
      </c>
      <c r="C25" s="39" t="s">
        <v>95</v>
      </c>
      <c r="D25" s="10" t="str">
        <f>VLOOKUP(C25,'Data Angt'!$A$5:$B$5809,2,FALSE)</f>
        <v>A29</v>
      </c>
      <c r="E25" s="40" t="s">
        <v>17973</v>
      </c>
      <c r="F25" s="41">
        <v>45610</v>
      </c>
      <c r="G25" s="38">
        <v>1</v>
      </c>
      <c r="H25" s="40">
        <v>0</v>
      </c>
      <c r="I25" s="38">
        <v>4</v>
      </c>
      <c r="J25" s="41">
        <v>45610</v>
      </c>
      <c r="K25" s="38" t="s">
        <v>10768</v>
      </c>
      <c r="L25" s="42">
        <v>5000000</v>
      </c>
      <c r="O25" s="39" t="s">
        <v>270</v>
      </c>
      <c r="P25" s="5" t="str">
        <f t="shared" si="0"/>
        <v>A87</v>
      </c>
      <c r="Q25" s="5">
        <f t="shared" si="1"/>
        <v>1</v>
      </c>
      <c r="R25">
        <f>VLOOKUP(O25,'Data Angt'!$A$5:$F$5810,6,FALSE)</f>
        <v>77</v>
      </c>
      <c r="S25" s="5" t="str">
        <f>VLOOKUP(O25,'Data Angt'!$A$5:$H$5810,8,FALSE)</f>
        <v>Pensiunan</v>
      </c>
      <c r="T25" s="44" t="str">
        <f>VLOOKUP(O25,'Data Angt'!$A$5:$C$5809,3,FALSE)</f>
        <v>PBL</v>
      </c>
    </row>
    <row r="26" spans="1:20" x14ac:dyDescent="0.3">
      <c r="A26" s="37">
        <v>150612</v>
      </c>
      <c r="B26" s="38">
        <v>20</v>
      </c>
      <c r="C26" s="39" t="s">
        <v>95</v>
      </c>
      <c r="D26" s="10" t="str">
        <f>VLOOKUP(C26,'Data Angt'!$A$5:$B$5809,2,FALSE)</f>
        <v>A29</v>
      </c>
      <c r="E26" s="40" t="s">
        <v>17974</v>
      </c>
      <c r="F26" s="41">
        <v>45610</v>
      </c>
      <c r="G26" s="38">
        <v>1</v>
      </c>
      <c r="H26" s="40">
        <v>0</v>
      </c>
      <c r="I26" s="38">
        <v>4</v>
      </c>
      <c r="J26" s="41">
        <v>45610</v>
      </c>
      <c r="K26" s="38" t="s">
        <v>10768</v>
      </c>
      <c r="L26" s="42">
        <v>10000000</v>
      </c>
      <c r="O26" s="39" t="s">
        <v>292</v>
      </c>
      <c r="P26" s="5" t="str">
        <f t="shared" si="0"/>
        <v>A97</v>
      </c>
      <c r="Q26" s="5">
        <f t="shared" si="1"/>
        <v>3</v>
      </c>
      <c r="R26">
        <f>VLOOKUP(O26,'Data Angt'!$A$5:$F$5810,6,FALSE)</f>
        <v>53</v>
      </c>
      <c r="S26" s="5" t="str">
        <f>VLOOKUP(O26,'Data Angt'!$A$5:$H$5810,8,FALSE)</f>
        <v>Lain-Lain</v>
      </c>
      <c r="T26" s="44" t="str">
        <f>VLOOKUP(O26,'Data Angt'!$A$5:$C$5809,3,FALSE)</f>
        <v>PBL</v>
      </c>
    </row>
    <row r="27" spans="1:20" x14ac:dyDescent="0.3">
      <c r="A27" s="37">
        <v>132267</v>
      </c>
      <c r="B27" s="38">
        <v>21</v>
      </c>
      <c r="C27" s="39" t="s">
        <v>99</v>
      </c>
      <c r="D27" s="10" t="str">
        <f>VLOOKUP(C27,'Data Angt'!$A$5:$B$5809,2,FALSE)</f>
        <v>A31</v>
      </c>
      <c r="E27" s="40" t="s">
        <v>11964</v>
      </c>
      <c r="F27" s="41">
        <v>44644</v>
      </c>
      <c r="G27" s="38">
        <v>1</v>
      </c>
      <c r="H27" s="40">
        <v>0</v>
      </c>
      <c r="I27" s="38">
        <v>4</v>
      </c>
      <c r="J27" s="41">
        <v>44644</v>
      </c>
      <c r="K27" s="38" t="s">
        <v>10768</v>
      </c>
      <c r="L27" s="42">
        <v>50000000</v>
      </c>
      <c r="O27" s="39" t="s">
        <v>303</v>
      </c>
      <c r="P27" s="5" t="str">
        <f t="shared" si="0"/>
        <v>A104</v>
      </c>
      <c r="Q27" s="5">
        <f t="shared" si="1"/>
        <v>1</v>
      </c>
      <c r="R27">
        <f>VLOOKUP(O27,'Data Angt'!$A$5:$F$5810,6,FALSE)</f>
        <v>33</v>
      </c>
      <c r="S27" s="5" t="str">
        <f>VLOOKUP(O27,'Data Angt'!$A$5:$H$5810,8,FALSE)</f>
        <v>Wiraswasta</v>
      </c>
      <c r="T27" s="44" t="str">
        <f>VLOOKUP(O27,'Data Angt'!$A$5:$C$5809,3,FALSE)</f>
        <v>PBL</v>
      </c>
    </row>
    <row r="28" spans="1:20" x14ac:dyDescent="0.3">
      <c r="A28" s="37">
        <v>142126</v>
      </c>
      <c r="B28" s="38">
        <v>22</v>
      </c>
      <c r="C28" s="39" t="s">
        <v>99</v>
      </c>
      <c r="D28" s="10" t="str">
        <f>VLOOKUP(C28,'Data Angt'!$A$5:$B$5809,2,FALSE)</f>
        <v>A31</v>
      </c>
      <c r="E28" s="40" t="s">
        <v>17975</v>
      </c>
      <c r="F28" s="41">
        <v>45315</v>
      </c>
      <c r="G28" s="38">
        <v>1</v>
      </c>
      <c r="H28" s="40">
        <v>0</v>
      </c>
      <c r="I28" s="38">
        <v>4</v>
      </c>
      <c r="J28" s="41">
        <v>45315</v>
      </c>
      <c r="K28" s="38" t="s">
        <v>10768</v>
      </c>
      <c r="L28" s="42">
        <v>50000000</v>
      </c>
      <c r="O28" s="39" t="s">
        <v>305</v>
      </c>
      <c r="P28" s="5" t="str">
        <f t="shared" si="0"/>
        <v>A105</v>
      </c>
      <c r="Q28" s="5">
        <f t="shared" si="1"/>
        <v>5</v>
      </c>
      <c r="R28">
        <f>VLOOKUP(O28,'Data Angt'!$A$5:$F$5810,6,FALSE)</f>
        <v>30</v>
      </c>
      <c r="S28" s="5" t="str">
        <f>VLOOKUP(O28,'Data Angt'!$A$5:$H$5810,8,FALSE)</f>
        <v>Aparatur/Pejabat Negara</v>
      </c>
      <c r="T28" s="44" t="str">
        <f>VLOOKUP(O28,'Data Angt'!$A$5:$C$5809,3,FALSE)</f>
        <v>PBL</v>
      </c>
    </row>
    <row r="29" spans="1:20" x14ac:dyDescent="0.3">
      <c r="A29" s="37">
        <v>122999</v>
      </c>
      <c r="B29" s="38">
        <v>23</v>
      </c>
      <c r="C29" s="39" t="s">
        <v>99</v>
      </c>
      <c r="D29" s="10" t="str">
        <f>VLOOKUP(C29,'Data Angt'!$A$5:$B$5809,2,FALSE)</f>
        <v>A31</v>
      </c>
      <c r="E29" s="40" t="s">
        <v>11963</v>
      </c>
      <c r="F29" s="41">
        <v>43953</v>
      </c>
      <c r="G29" s="38">
        <v>1</v>
      </c>
      <c r="H29" s="40">
        <v>0</v>
      </c>
      <c r="I29" s="38">
        <v>4</v>
      </c>
      <c r="J29" s="41">
        <v>43953</v>
      </c>
      <c r="K29" s="38" t="s">
        <v>10768</v>
      </c>
      <c r="L29" s="42">
        <v>50000000</v>
      </c>
      <c r="O29" s="39" t="s">
        <v>309</v>
      </c>
      <c r="P29" s="5" t="str">
        <f t="shared" si="0"/>
        <v>A107</v>
      </c>
      <c r="Q29" s="5">
        <f t="shared" si="1"/>
        <v>1</v>
      </c>
      <c r="R29">
        <f>VLOOKUP(O29,'Data Angt'!$A$5:$F$5810,6,FALSE)</f>
        <v>30</v>
      </c>
      <c r="S29" s="5" t="str">
        <f>VLOOKUP(O29,'Data Angt'!$A$5:$H$5810,8,FALSE)</f>
        <v>Wiraswasta</v>
      </c>
      <c r="T29" s="44" t="str">
        <f>VLOOKUP(O29,'Data Angt'!$A$5:$C$5809,3,FALSE)</f>
        <v>PBL</v>
      </c>
    </row>
    <row r="30" spans="1:20" x14ac:dyDescent="0.3">
      <c r="A30" s="37">
        <v>147553</v>
      </c>
      <c r="B30" s="38">
        <v>24</v>
      </c>
      <c r="C30" s="39" t="s">
        <v>99</v>
      </c>
      <c r="D30" s="10" t="str">
        <f>VLOOKUP(C30,'Data Angt'!$A$5:$B$5809,2,FALSE)</f>
        <v>A31</v>
      </c>
      <c r="E30" s="40" t="s">
        <v>17976</v>
      </c>
      <c r="F30" s="41">
        <v>45495</v>
      </c>
      <c r="G30" s="38">
        <v>1</v>
      </c>
      <c r="H30" s="40">
        <v>0</v>
      </c>
      <c r="I30" s="38">
        <v>4</v>
      </c>
      <c r="J30" s="41">
        <v>45495</v>
      </c>
      <c r="K30" s="38" t="s">
        <v>10768</v>
      </c>
      <c r="L30" s="42">
        <v>50000000</v>
      </c>
      <c r="O30" s="39" t="s">
        <v>321</v>
      </c>
      <c r="P30" s="5" t="str">
        <f t="shared" si="0"/>
        <v>A112</v>
      </c>
      <c r="Q30" s="5">
        <f t="shared" si="1"/>
        <v>5</v>
      </c>
      <c r="R30">
        <f>VLOOKUP(O30,'Data Angt'!$A$5:$F$5810,6,FALSE)</f>
        <v>56</v>
      </c>
      <c r="S30" s="5" t="str">
        <f>VLOOKUP(O30,'Data Angt'!$A$5:$H$5810,8,FALSE)</f>
        <v>Karyawan</v>
      </c>
      <c r="T30" s="44" t="str">
        <f>VLOOKUP(O30,'Data Angt'!$A$5:$C$5809,3,FALSE)</f>
        <v>PBL</v>
      </c>
    </row>
    <row r="31" spans="1:20" x14ac:dyDescent="0.3">
      <c r="A31" s="37">
        <v>123000</v>
      </c>
      <c r="B31" s="38">
        <v>25</v>
      </c>
      <c r="C31" s="39" t="s">
        <v>99</v>
      </c>
      <c r="D31" s="10" t="str">
        <f>VLOOKUP(C31,'Data Angt'!$A$5:$B$5809,2,FALSE)</f>
        <v>A31</v>
      </c>
      <c r="E31" s="40" t="s">
        <v>11962</v>
      </c>
      <c r="F31" s="41">
        <v>43953</v>
      </c>
      <c r="G31" s="38">
        <v>1</v>
      </c>
      <c r="H31" s="40">
        <v>0</v>
      </c>
      <c r="I31" s="38">
        <v>4</v>
      </c>
      <c r="J31" s="41">
        <v>43953</v>
      </c>
      <c r="K31" s="38" t="s">
        <v>10768</v>
      </c>
      <c r="L31" s="42">
        <v>25000000</v>
      </c>
      <c r="O31" s="39" t="s">
        <v>327</v>
      </c>
      <c r="P31" s="5" t="str">
        <f t="shared" si="0"/>
        <v>A114</v>
      </c>
      <c r="Q31" s="5">
        <f t="shared" si="1"/>
        <v>2</v>
      </c>
      <c r="R31">
        <f>VLOOKUP(O31,'Data Angt'!$A$5:$F$5810,6,FALSE)</f>
        <v>52</v>
      </c>
      <c r="S31" s="5" t="str">
        <f>VLOOKUP(O31,'Data Angt'!$A$5:$H$5810,8,FALSE)</f>
        <v>Wiraswasta</v>
      </c>
      <c r="T31" s="44" t="str">
        <f>VLOOKUP(O31,'Data Angt'!$A$5:$C$5809,3,FALSE)</f>
        <v>PBL</v>
      </c>
    </row>
    <row r="32" spans="1:20" x14ac:dyDescent="0.3">
      <c r="A32" s="37">
        <v>125957</v>
      </c>
      <c r="B32" s="38">
        <v>26</v>
      </c>
      <c r="C32" s="39" t="s">
        <v>99</v>
      </c>
      <c r="D32" s="10" t="str">
        <f>VLOOKUP(C32,'Data Angt'!$A$5:$B$5809,2,FALSE)</f>
        <v>A31</v>
      </c>
      <c r="E32" s="40" t="s">
        <v>11961</v>
      </c>
      <c r="F32" s="41">
        <v>44162</v>
      </c>
      <c r="G32" s="38">
        <v>1</v>
      </c>
      <c r="H32" s="40">
        <v>0</v>
      </c>
      <c r="I32" s="38">
        <v>4</v>
      </c>
      <c r="J32" s="41">
        <v>44162</v>
      </c>
      <c r="K32" s="38" t="s">
        <v>10768</v>
      </c>
      <c r="L32" s="42">
        <v>50000000</v>
      </c>
      <c r="O32" s="39" t="s">
        <v>331</v>
      </c>
      <c r="P32" s="5" t="str">
        <f t="shared" si="0"/>
        <v>A115</v>
      </c>
      <c r="Q32" s="5">
        <f t="shared" si="1"/>
        <v>1</v>
      </c>
      <c r="R32">
        <f>VLOOKUP(O32,'Data Angt'!$A$5:$F$5810,6,FALSE)</f>
        <v>67</v>
      </c>
      <c r="S32" s="5" t="str">
        <f>VLOOKUP(O32,'Data Angt'!$A$5:$H$5810,8,FALSE)</f>
        <v>Pemuka Agama</v>
      </c>
      <c r="T32" s="44" t="str">
        <f>VLOOKUP(O32,'Data Angt'!$A$5:$C$5809,3,FALSE)</f>
        <v>PBL</v>
      </c>
    </row>
    <row r="33" spans="1:20" x14ac:dyDescent="0.3">
      <c r="A33" s="37">
        <v>130606</v>
      </c>
      <c r="B33" s="38">
        <v>27</v>
      </c>
      <c r="C33" s="39" t="s">
        <v>99</v>
      </c>
      <c r="D33" s="10" t="str">
        <f>VLOOKUP(C33,'Data Angt'!$A$5:$B$5809,2,FALSE)</f>
        <v>A31</v>
      </c>
      <c r="E33" s="40" t="s">
        <v>11960</v>
      </c>
      <c r="F33" s="41">
        <v>44508</v>
      </c>
      <c r="G33" s="38">
        <v>1</v>
      </c>
      <c r="H33" s="40">
        <v>0</v>
      </c>
      <c r="I33" s="38">
        <v>4</v>
      </c>
      <c r="J33" s="41">
        <v>44508</v>
      </c>
      <c r="K33" s="38" t="s">
        <v>10768</v>
      </c>
      <c r="L33" s="42">
        <v>25000000</v>
      </c>
      <c r="O33" s="39" t="s">
        <v>341</v>
      </c>
      <c r="P33" s="5" t="str">
        <f t="shared" si="0"/>
        <v>A118</v>
      </c>
      <c r="Q33" s="5">
        <f t="shared" si="1"/>
        <v>2</v>
      </c>
      <c r="R33">
        <f>VLOOKUP(O33,'Data Angt'!$A$5:$F$5810,6,FALSE)</f>
        <v>79</v>
      </c>
      <c r="S33" s="5" t="str">
        <f>VLOOKUP(O33,'Data Angt'!$A$5:$H$5810,8,FALSE)</f>
        <v>Pensiunan</v>
      </c>
      <c r="T33" s="44" t="str">
        <f>VLOOKUP(O33,'Data Angt'!$A$5:$C$5809,3,FALSE)</f>
        <v>PBL</v>
      </c>
    </row>
    <row r="34" spans="1:20" x14ac:dyDescent="0.3">
      <c r="A34" s="37">
        <v>132252</v>
      </c>
      <c r="B34" s="38">
        <v>28</v>
      </c>
      <c r="C34" s="39" t="s">
        <v>99</v>
      </c>
      <c r="D34" s="10" t="str">
        <f>VLOOKUP(C34,'Data Angt'!$A$5:$B$5809,2,FALSE)</f>
        <v>A31</v>
      </c>
      <c r="E34" s="40" t="s">
        <v>11959</v>
      </c>
      <c r="F34" s="41">
        <v>44643</v>
      </c>
      <c r="G34" s="38">
        <v>1</v>
      </c>
      <c r="H34" s="40">
        <v>0</v>
      </c>
      <c r="I34" s="38">
        <v>4</v>
      </c>
      <c r="J34" s="41">
        <v>44643</v>
      </c>
      <c r="K34" s="38" t="s">
        <v>10768</v>
      </c>
      <c r="L34" s="42">
        <v>50000000</v>
      </c>
      <c r="O34" s="39" t="s">
        <v>344</v>
      </c>
      <c r="P34" s="5" t="str">
        <f t="shared" si="0"/>
        <v>A119</v>
      </c>
      <c r="Q34" s="5">
        <f t="shared" si="1"/>
        <v>1</v>
      </c>
      <c r="R34">
        <f>VLOOKUP(O34,'Data Angt'!$A$5:$F$5810,6,FALSE)</f>
        <v>76</v>
      </c>
      <c r="S34" s="5" t="str">
        <f>VLOOKUP(O34,'Data Angt'!$A$5:$H$5810,8,FALSE)</f>
        <v>Wiraswasta</v>
      </c>
      <c r="T34" s="44" t="str">
        <f>VLOOKUP(O34,'Data Angt'!$A$5:$C$5809,3,FALSE)</f>
        <v>PBL</v>
      </c>
    </row>
    <row r="35" spans="1:20" x14ac:dyDescent="0.3">
      <c r="A35" s="37">
        <v>117848</v>
      </c>
      <c r="B35" s="38">
        <v>29</v>
      </c>
      <c r="C35" s="39" t="s">
        <v>102</v>
      </c>
      <c r="D35" s="10" t="str">
        <f>VLOOKUP(C35,'Data Angt'!$A$5:$B$5809,2,FALSE)</f>
        <v>A32</v>
      </c>
      <c r="E35" s="40" t="s">
        <v>11958</v>
      </c>
      <c r="F35" s="41">
        <v>43770</v>
      </c>
      <c r="G35" s="38">
        <v>1</v>
      </c>
      <c r="H35" s="40">
        <v>0</v>
      </c>
      <c r="I35" s="38">
        <v>4</v>
      </c>
      <c r="J35" s="41">
        <v>43770</v>
      </c>
      <c r="K35" s="38" t="s">
        <v>10768</v>
      </c>
      <c r="L35" s="42">
        <v>20000000</v>
      </c>
      <c r="O35" s="39" t="s">
        <v>348</v>
      </c>
      <c r="P35" s="5" t="str">
        <f t="shared" si="0"/>
        <v>A120</v>
      </c>
      <c r="Q35" s="5">
        <f t="shared" si="1"/>
        <v>1</v>
      </c>
      <c r="R35">
        <f>VLOOKUP(O35,'Data Angt'!$A$5:$F$5810,6,FALSE)</f>
        <v>55</v>
      </c>
      <c r="S35" s="5" t="str">
        <f>VLOOKUP(O35,'Data Angt'!$A$5:$H$5810,8,FALSE)</f>
        <v>Mengurus Rumah Tangga</v>
      </c>
      <c r="T35" s="44" t="str">
        <f>VLOOKUP(O35,'Data Angt'!$A$5:$C$5809,3,FALSE)</f>
        <v>PBL</v>
      </c>
    </row>
    <row r="36" spans="1:20" x14ac:dyDescent="0.3">
      <c r="A36" s="37">
        <v>149240</v>
      </c>
      <c r="B36" s="38">
        <v>30</v>
      </c>
      <c r="C36" s="39" t="s">
        <v>104</v>
      </c>
      <c r="D36" s="10" t="str">
        <f>VLOOKUP(C36,'Data Angt'!$A$5:$B$5809,2,FALSE)</f>
        <v>A33</v>
      </c>
      <c r="E36" s="40" t="s">
        <v>17977</v>
      </c>
      <c r="F36" s="41">
        <v>45554</v>
      </c>
      <c r="G36" s="38">
        <v>1</v>
      </c>
      <c r="H36" s="40">
        <v>0</v>
      </c>
      <c r="I36" s="38">
        <v>4</v>
      </c>
      <c r="J36" s="41">
        <v>45554</v>
      </c>
      <c r="K36" s="38" t="s">
        <v>10768</v>
      </c>
      <c r="L36" s="42">
        <v>5000000</v>
      </c>
      <c r="O36" s="39" t="s">
        <v>358</v>
      </c>
      <c r="P36" s="5" t="str">
        <f t="shared" si="0"/>
        <v>A123</v>
      </c>
      <c r="Q36" s="5">
        <f t="shared" si="1"/>
        <v>6</v>
      </c>
      <c r="R36">
        <f>VLOOKUP(O36,'Data Angt'!$A$5:$F$5810,6,FALSE)</f>
        <v>31</v>
      </c>
      <c r="S36" s="5" t="str">
        <f>VLOOKUP(O36,'Data Angt'!$A$5:$H$5810,8,FALSE)</f>
        <v>Karyawan</v>
      </c>
      <c r="T36" s="44" t="str">
        <f>VLOOKUP(O36,'Data Angt'!$A$5:$C$5809,3,FALSE)</f>
        <v>PBL</v>
      </c>
    </row>
    <row r="37" spans="1:20" x14ac:dyDescent="0.3">
      <c r="A37" s="37">
        <v>149685</v>
      </c>
      <c r="B37" s="38">
        <v>31</v>
      </c>
      <c r="C37" s="39" t="s">
        <v>104</v>
      </c>
      <c r="D37" s="10" t="str">
        <f>VLOOKUP(C37,'Data Angt'!$A$5:$B$5809,2,FALSE)</f>
        <v>A33</v>
      </c>
      <c r="E37" s="40" t="s">
        <v>17978</v>
      </c>
      <c r="F37" s="41">
        <v>45579</v>
      </c>
      <c r="G37" s="38">
        <v>1</v>
      </c>
      <c r="H37" s="40">
        <v>0</v>
      </c>
      <c r="I37" s="38">
        <v>4</v>
      </c>
      <c r="J37" s="41">
        <v>45579</v>
      </c>
      <c r="K37" s="38" t="s">
        <v>10768</v>
      </c>
      <c r="L37" s="42">
        <v>4000000</v>
      </c>
      <c r="O37" s="39" t="s">
        <v>362</v>
      </c>
      <c r="P37" s="5" t="str">
        <f t="shared" si="0"/>
        <v>A124</v>
      </c>
      <c r="Q37" s="5">
        <f t="shared" si="1"/>
        <v>1</v>
      </c>
      <c r="R37">
        <f>VLOOKUP(O37,'Data Angt'!$A$5:$F$5810,6,FALSE)</f>
        <v>25</v>
      </c>
      <c r="S37" s="5" t="str">
        <f>VLOOKUP(O37,'Data Angt'!$A$5:$H$5810,8,FALSE)</f>
        <v>Karyawan</v>
      </c>
      <c r="T37" s="44" t="str">
        <f>VLOOKUP(O37,'Data Angt'!$A$5:$C$5809,3,FALSE)</f>
        <v>PBL</v>
      </c>
    </row>
    <row r="38" spans="1:20" x14ac:dyDescent="0.3">
      <c r="A38" s="37">
        <v>151456</v>
      </c>
      <c r="B38" s="38">
        <v>32</v>
      </c>
      <c r="C38" s="39" t="s">
        <v>104</v>
      </c>
      <c r="D38" s="10" t="str">
        <f>VLOOKUP(C38,'Data Angt'!$A$5:$B$5809,2,FALSE)</f>
        <v>A33</v>
      </c>
      <c r="E38" s="40" t="s">
        <v>17979</v>
      </c>
      <c r="F38" s="41">
        <v>45639</v>
      </c>
      <c r="G38" s="38">
        <v>1</v>
      </c>
      <c r="H38" s="40">
        <v>0</v>
      </c>
      <c r="I38" s="38">
        <v>4</v>
      </c>
      <c r="J38" s="41">
        <v>45639</v>
      </c>
      <c r="K38" s="38" t="s">
        <v>10768</v>
      </c>
      <c r="L38" s="42">
        <v>6500000</v>
      </c>
      <c r="O38" s="39" t="s">
        <v>368</v>
      </c>
      <c r="P38" s="5" t="str">
        <f t="shared" si="0"/>
        <v>A126</v>
      </c>
      <c r="Q38" s="5">
        <f t="shared" si="1"/>
        <v>1</v>
      </c>
      <c r="R38">
        <f>VLOOKUP(O38,'Data Angt'!$A$5:$F$5810,6,FALSE)</f>
        <v>55</v>
      </c>
      <c r="S38" s="5" t="str">
        <f>VLOOKUP(O38,'Data Angt'!$A$5:$H$5810,8,FALSE)</f>
        <v>Wiraswasta</v>
      </c>
      <c r="T38" s="44" t="str">
        <f>VLOOKUP(O38,'Data Angt'!$A$5:$C$5809,3,FALSE)</f>
        <v>MGL</v>
      </c>
    </row>
    <row r="39" spans="1:20" x14ac:dyDescent="0.3">
      <c r="A39" s="37">
        <v>153488</v>
      </c>
      <c r="B39" s="38">
        <v>33</v>
      </c>
      <c r="C39" s="39" t="s">
        <v>104</v>
      </c>
      <c r="D39" s="10" t="str">
        <f>VLOOKUP(C39,'Data Angt'!$A$5:$B$5809,2,FALSE)</f>
        <v>A33</v>
      </c>
      <c r="E39" s="40" t="s">
        <v>17980</v>
      </c>
      <c r="F39" s="41">
        <v>45706</v>
      </c>
      <c r="G39" s="38">
        <v>1</v>
      </c>
      <c r="H39" s="40">
        <v>0</v>
      </c>
      <c r="I39" s="38">
        <v>4</v>
      </c>
      <c r="J39" s="41">
        <v>45706</v>
      </c>
      <c r="K39" s="38" t="s">
        <v>10768</v>
      </c>
      <c r="L39" s="42">
        <v>4500000</v>
      </c>
      <c r="O39" s="39" t="s">
        <v>389</v>
      </c>
      <c r="P39" s="5" t="str">
        <f t="shared" si="0"/>
        <v>A133</v>
      </c>
      <c r="Q39" s="5">
        <f t="shared" si="1"/>
        <v>1</v>
      </c>
      <c r="R39">
        <f>VLOOKUP(O39,'Data Angt'!$A$5:$F$5810,6,FALSE)</f>
        <v>63</v>
      </c>
      <c r="S39" s="5" t="str">
        <f>VLOOKUP(O39,'Data Angt'!$A$5:$H$5810,8,FALSE)</f>
        <v>Pensiunan</v>
      </c>
      <c r="T39" s="44" t="str">
        <f>VLOOKUP(O39,'Data Angt'!$A$5:$C$5809,3,FALSE)</f>
        <v>PBL</v>
      </c>
    </row>
    <row r="40" spans="1:20" x14ac:dyDescent="0.3">
      <c r="A40" s="37">
        <v>155748</v>
      </c>
      <c r="B40" s="38">
        <v>34</v>
      </c>
      <c r="C40" s="39" t="s">
        <v>104</v>
      </c>
      <c r="D40" s="10" t="str">
        <f>VLOOKUP(C40,'Data Angt'!$A$5:$B$5809,2,FALSE)</f>
        <v>A33</v>
      </c>
      <c r="E40" s="40" t="s">
        <v>17981</v>
      </c>
      <c r="F40" s="41">
        <v>45796</v>
      </c>
      <c r="G40" s="38">
        <v>1</v>
      </c>
      <c r="H40" s="40">
        <v>0</v>
      </c>
      <c r="I40" s="38">
        <v>4</v>
      </c>
      <c r="J40" s="41">
        <v>45796</v>
      </c>
      <c r="K40" s="38" t="s">
        <v>10768</v>
      </c>
      <c r="L40" s="42">
        <v>3500000</v>
      </c>
      <c r="O40" s="39" t="s">
        <v>404</v>
      </c>
      <c r="P40" s="5" t="str">
        <f t="shared" si="0"/>
        <v>A139</v>
      </c>
      <c r="Q40" s="5">
        <f t="shared" si="1"/>
        <v>1</v>
      </c>
      <c r="R40">
        <f>VLOOKUP(O40,'Data Angt'!$A$5:$F$5810,6,FALSE)</f>
        <v>64</v>
      </c>
      <c r="S40" s="5" t="str">
        <f>VLOOKUP(O40,'Data Angt'!$A$5:$H$5810,8,FALSE)</f>
        <v>Pensiunan</v>
      </c>
      <c r="T40" s="44" t="str">
        <f>VLOOKUP(O40,'Data Angt'!$A$5:$C$5809,3,FALSE)</f>
        <v>PBL</v>
      </c>
    </row>
    <row r="41" spans="1:20" x14ac:dyDescent="0.3">
      <c r="A41" s="37">
        <v>157229</v>
      </c>
      <c r="B41" s="38">
        <v>35</v>
      </c>
      <c r="C41" s="39" t="s">
        <v>104</v>
      </c>
      <c r="D41" s="10" t="str">
        <f>VLOOKUP(C41,'Data Angt'!$A$5:$B$5809,2,FALSE)</f>
        <v>A33</v>
      </c>
      <c r="E41" s="40" t="s">
        <v>23978</v>
      </c>
      <c r="F41" s="41">
        <v>45859</v>
      </c>
      <c r="G41" s="38">
        <v>1</v>
      </c>
      <c r="H41" s="40">
        <v>0</v>
      </c>
      <c r="I41" s="38">
        <v>4</v>
      </c>
      <c r="J41" s="41">
        <v>45859</v>
      </c>
      <c r="K41" s="38" t="s">
        <v>10768</v>
      </c>
      <c r="L41" s="42">
        <v>4500000</v>
      </c>
      <c r="O41" s="39" t="s">
        <v>413</v>
      </c>
      <c r="P41" s="5" t="str">
        <f t="shared" si="0"/>
        <v>A143</v>
      </c>
      <c r="Q41" s="5">
        <f t="shared" si="1"/>
        <v>1</v>
      </c>
      <c r="R41">
        <f>VLOOKUP(O41,'Data Angt'!$A$5:$F$5810,6,FALSE)</f>
        <v>50</v>
      </c>
      <c r="S41" s="5" t="str">
        <f>VLOOKUP(O41,'Data Angt'!$A$5:$H$5810,8,FALSE)</f>
        <v>Wiraswasta</v>
      </c>
      <c r="T41" s="44" t="str">
        <f>VLOOKUP(O41,'Data Angt'!$A$5:$C$5809,3,FALSE)</f>
        <v>MGL</v>
      </c>
    </row>
    <row r="42" spans="1:20" x14ac:dyDescent="0.3">
      <c r="A42" s="37">
        <v>158532</v>
      </c>
      <c r="B42" s="38">
        <v>36</v>
      </c>
      <c r="C42" s="39" t="s">
        <v>104</v>
      </c>
      <c r="D42" s="10" t="str">
        <f>VLOOKUP(C42,'Data Angt'!$A$5:$B$5809,2,FALSE)</f>
        <v>A33</v>
      </c>
      <c r="E42" s="40" t="s">
        <v>23979</v>
      </c>
      <c r="F42" s="41">
        <v>45912</v>
      </c>
      <c r="G42" s="38">
        <v>1</v>
      </c>
      <c r="H42" s="40">
        <v>0</v>
      </c>
      <c r="I42" s="38">
        <v>4</v>
      </c>
      <c r="J42" s="41">
        <v>45912</v>
      </c>
      <c r="K42" s="38" t="s">
        <v>10768</v>
      </c>
      <c r="L42" s="42">
        <v>5000000</v>
      </c>
      <c r="O42" s="39" t="s">
        <v>417</v>
      </c>
      <c r="P42" s="5" t="str">
        <f t="shared" si="0"/>
        <v>A145</v>
      </c>
      <c r="Q42" s="5">
        <f t="shared" si="1"/>
        <v>1</v>
      </c>
      <c r="R42">
        <f>VLOOKUP(O42,'Data Angt'!$A$5:$F$5810,6,FALSE)</f>
        <v>44</v>
      </c>
      <c r="S42" s="5" t="str">
        <f>VLOOKUP(O42,'Data Angt'!$A$5:$H$5810,8,FALSE)</f>
        <v>Mengurus Rumah Tangga</v>
      </c>
      <c r="T42" s="44" t="str">
        <f>VLOOKUP(O42,'Data Angt'!$A$5:$C$5809,3,FALSE)</f>
        <v>PBL</v>
      </c>
    </row>
    <row r="43" spans="1:20" x14ac:dyDescent="0.3">
      <c r="A43" s="37">
        <v>151701</v>
      </c>
      <c r="B43" s="38">
        <v>37</v>
      </c>
      <c r="C43" s="39" t="s">
        <v>107</v>
      </c>
      <c r="D43" s="10" t="str">
        <f>VLOOKUP(C43,'Data Angt'!$A$5:$B$5809,2,FALSE)</f>
        <v>A34</v>
      </c>
      <c r="E43" s="40" t="s">
        <v>17982</v>
      </c>
      <c r="F43" s="41">
        <v>45653</v>
      </c>
      <c r="G43" s="38">
        <v>1</v>
      </c>
      <c r="H43" s="40">
        <v>0</v>
      </c>
      <c r="I43" s="38">
        <v>4</v>
      </c>
      <c r="J43" s="41">
        <v>45653</v>
      </c>
      <c r="K43" s="38" t="s">
        <v>10768</v>
      </c>
      <c r="L43" s="42">
        <v>10000000</v>
      </c>
      <c r="O43" s="39" t="s">
        <v>464</v>
      </c>
      <c r="P43" s="5" t="str">
        <f t="shared" si="0"/>
        <v>A163</v>
      </c>
      <c r="Q43" s="5">
        <f t="shared" si="1"/>
        <v>2</v>
      </c>
      <c r="R43">
        <f>VLOOKUP(O43,'Data Angt'!$A$5:$F$5810,6,FALSE)</f>
        <v>63</v>
      </c>
      <c r="S43" s="5" t="str">
        <f>VLOOKUP(O43,'Data Angt'!$A$5:$H$5810,8,FALSE)</f>
        <v>Karyawan</v>
      </c>
      <c r="T43" s="44" t="str">
        <f>VLOOKUP(O43,'Data Angt'!$A$5:$C$5809,3,FALSE)</f>
        <v>KRK</v>
      </c>
    </row>
    <row r="44" spans="1:20" x14ac:dyDescent="0.3">
      <c r="A44" s="37">
        <v>78180</v>
      </c>
      <c r="B44" s="38">
        <v>38</v>
      </c>
      <c r="C44" s="39" t="s">
        <v>107</v>
      </c>
      <c r="D44" s="10" t="str">
        <f>VLOOKUP(C44,'Data Angt'!$A$5:$B$5809,2,FALSE)</f>
        <v>A34</v>
      </c>
      <c r="E44" s="40" t="s">
        <v>11957</v>
      </c>
      <c r="F44" s="41">
        <v>42941</v>
      </c>
      <c r="G44" s="38">
        <v>1</v>
      </c>
      <c r="H44" s="40">
        <v>0</v>
      </c>
      <c r="I44" s="38">
        <v>4</v>
      </c>
      <c r="J44" s="41">
        <v>42941</v>
      </c>
      <c r="K44" s="38" t="s">
        <v>10768</v>
      </c>
      <c r="L44" s="42">
        <v>15000000</v>
      </c>
      <c r="O44" s="39" t="s">
        <v>473</v>
      </c>
      <c r="P44" s="5" t="str">
        <f t="shared" si="0"/>
        <v>A167</v>
      </c>
      <c r="Q44" s="5">
        <f t="shared" si="1"/>
        <v>3</v>
      </c>
      <c r="R44">
        <f>VLOOKUP(O44,'Data Angt'!$A$5:$F$5810,6,FALSE)</f>
        <v>44</v>
      </c>
      <c r="S44" s="5" t="str">
        <f>VLOOKUP(O44,'Data Angt'!$A$5:$H$5810,8,FALSE)</f>
        <v>Wiraswasta</v>
      </c>
      <c r="T44" s="44" t="str">
        <f>VLOOKUP(O44,'Data Angt'!$A$5:$C$5809,3,FALSE)</f>
        <v>PBL</v>
      </c>
    </row>
    <row r="45" spans="1:20" x14ac:dyDescent="0.3">
      <c r="A45" s="37">
        <v>138133</v>
      </c>
      <c r="B45" s="38">
        <v>39</v>
      </c>
      <c r="C45" s="39" t="s">
        <v>116</v>
      </c>
      <c r="D45" s="10" t="str">
        <f>VLOOKUP(C45,'Data Angt'!$A$5:$B$5809,2,FALSE)</f>
        <v>A37</v>
      </c>
      <c r="E45" s="40" t="s">
        <v>11956</v>
      </c>
      <c r="F45" s="41">
        <v>45118</v>
      </c>
      <c r="G45" s="38">
        <v>1</v>
      </c>
      <c r="H45" s="40">
        <v>0</v>
      </c>
      <c r="I45" s="38">
        <v>4</v>
      </c>
      <c r="J45" s="41">
        <v>45118</v>
      </c>
      <c r="K45" s="38" t="s">
        <v>10768</v>
      </c>
      <c r="L45" s="42">
        <v>25000000</v>
      </c>
      <c r="O45" s="39" t="s">
        <v>497</v>
      </c>
      <c r="P45" s="5" t="str">
        <f t="shared" si="0"/>
        <v>A175</v>
      </c>
      <c r="Q45" s="5">
        <f t="shared" si="1"/>
        <v>7</v>
      </c>
      <c r="R45">
        <f>VLOOKUP(O45,'Data Angt'!$A$5:$F$5810,6,FALSE)</f>
        <v>74</v>
      </c>
      <c r="S45" s="5" t="str">
        <f>VLOOKUP(O45,'Data Angt'!$A$5:$H$5810,8,FALSE)</f>
        <v>Wiraswasta</v>
      </c>
      <c r="T45" s="44" t="str">
        <f>VLOOKUP(O45,'Data Angt'!$A$5:$C$5809,3,FALSE)</f>
        <v>PBL</v>
      </c>
    </row>
    <row r="46" spans="1:20" x14ac:dyDescent="0.3">
      <c r="A46" s="37">
        <v>151730</v>
      </c>
      <c r="B46" s="38">
        <v>40</v>
      </c>
      <c r="C46" s="39" t="s">
        <v>116</v>
      </c>
      <c r="D46" s="10" t="str">
        <f>VLOOKUP(C46,'Data Angt'!$A$5:$B$5809,2,FALSE)</f>
        <v>A37</v>
      </c>
      <c r="E46" s="40" t="s">
        <v>17983</v>
      </c>
      <c r="F46" s="41">
        <v>45654</v>
      </c>
      <c r="G46" s="38">
        <v>1</v>
      </c>
      <c r="H46" s="40">
        <v>0</v>
      </c>
      <c r="I46" s="38">
        <v>4</v>
      </c>
      <c r="J46" s="41">
        <v>45654</v>
      </c>
      <c r="K46" s="38" t="s">
        <v>10768</v>
      </c>
      <c r="L46" s="42">
        <v>25000000</v>
      </c>
      <c r="O46" s="39" t="s">
        <v>499</v>
      </c>
      <c r="P46" s="5" t="str">
        <f t="shared" si="0"/>
        <v>A176</v>
      </c>
      <c r="Q46" s="5">
        <f t="shared" si="1"/>
        <v>12</v>
      </c>
      <c r="R46">
        <f>VLOOKUP(O46,'Data Angt'!$A$5:$F$5810,6,FALSE)</f>
        <v>84</v>
      </c>
      <c r="S46" s="5" t="str">
        <f>VLOOKUP(O46,'Data Angt'!$A$5:$H$5810,8,FALSE)</f>
        <v>Mengurus Rumah Tangga</v>
      </c>
      <c r="T46" s="44" t="str">
        <f>VLOOKUP(O46,'Data Angt'!$A$5:$C$5809,3,FALSE)</f>
        <v>PBL</v>
      </c>
    </row>
    <row r="47" spans="1:20" x14ac:dyDescent="0.3">
      <c r="A47" s="37">
        <v>151731</v>
      </c>
      <c r="B47" s="38">
        <v>41</v>
      </c>
      <c r="C47" s="39" t="s">
        <v>116</v>
      </c>
      <c r="D47" s="10" t="str">
        <f>VLOOKUP(C47,'Data Angt'!$A$5:$B$5809,2,FALSE)</f>
        <v>A37</v>
      </c>
      <c r="E47" s="40" t="s">
        <v>17984</v>
      </c>
      <c r="F47" s="41">
        <v>45654</v>
      </c>
      <c r="G47" s="38">
        <v>1</v>
      </c>
      <c r="H47" s="40">
        <v>0</v>
      </c>
      <c r="I47" s="38">
        <v>4</v>
      </c>
      <c r="J47" s="41">
        <v>45654</v>
      </c>
      <c r="K47" s="38" t="s">
        <v>10768</v>
      </c>
      <c r="L47" s="42">
        <v>25000000</v>
      </c>
      <c r="O47" s="39" t="s">
        <v>514</v>
      </c>
      <c r="P47" s="5" t="str">
        <f t="shared" si="0"/>
        <v>A184</v>
      </c>
      <c r="Q47" s="5">
        <f t="shared" si="1"/>
        <v>20</v>
      </c>
      <c r="R47">
        <f>VLOOKUP(O47,'Data Angt'!$A$5:$F$5810,6,FALSE)</f>
        <v>64</v>
      </c>
      <c r="S47" s="5" t="str">
        <f>VLOOKUP(O47,'Data Angt'!$A$5:$H$5810,8,FALSE)</f>
        <v>Pensiunan</v>
      </c>
      <c r="T47" s="44" t="str">
        <f>VLOOKUP(O47,'Data Angt'!$A$5:$C$5809,3,FALSE)</f>
        <v>KRK</v>
      </c>
    </row>
    <row r="48" spans="1:20" x14ac:dyDescent="0.3">
      <c r="A48" s="37">
        <v>155728</v>
      </c>
      <c r="B48" s="38">
        <v>42</v>
      </c>
      <c r="C48" s="39" t="s">
        <v>125</v>
      </c>
      <c r="D48" s="10" t="str">
        <f>VLOOKUP(C48,'Data Angt'!$A$5:$B$5809,2,FALSE)</f>
        <v>A40</v>
      </c>
      <c r="E48" s="40" t="s">
        <v>17985</v>
      </c>
      <c r="F48" s="41">
        <v>45794</v>
      </c>
      <c r="G48" s="38">
        <v>1</v>
      </c>
      <c r="H48" s="40">
        <v>0</v>
      </c>
      <c r="I48" s="38">
        <v>4</v>
      </c>
      <c r="J48" s="41">
        <v>45794</v>
      </c>
      <c r="K48" s="38" t="s">
        <v>10768</v>
      </c>
      <c r="L48" s="42">
        <v>50000000</v>
      </c>
      <c r="O48" s="39" t="s">
        <v>533</v>
      </c>
      <c r="P48" s="5" t="str">
        <f t="shared" si="0"/>
        <v>A192</v>
      </c>
      <c r="Q48" s="5">
        <f t="shared" si="1"/>
        <v>5</v>
      </c>
      <c r="R48">
        <f>VLOOKUP(O48,'Data Angt'!$A$5:$F$5810,6,FALSE)</f>
        <v>57</v>
      </c>
      <c r="S48" s="5" t="str">
        <f>VLOOKUP(O48,'Data Angt'!$A$5:$H$5810,8,FALSE)</f>
        <v>Karyawan</v>
      </c>
      <c r="T48" s="44" t="str">
        <f>VLOOKUP(O48,'Data Angt'!$A$5:$C$5809,3,FALSE)</f>
        <v>PBL</v>
      </c>
    </row>
    <row r="49" spans="1:20" x14ac:dyDescent="0.3">
      <c r="A49" s="37">
        <v>155982</v>
      </c>
      <c r="B49" s="38">
        <v>43</v>
      </c>
      <c r="C49" s="39" t="s">
        <v>125</v>
      </c>
      <c r="D49" s="10" t="str">
        <f>VLOOKUP(C49,'Data Angt'!$A$5:$B$5809,2,FALSE)</f>
        <v>A40</v>
      </c>
      <c r="E49" s="40" t="s">
        <v>17986</v>
      </c>
      <c r="F49" s="41">
        <v>45803</v>
      </c>
      <c r="G49" s="38">
        <v>1</v>
      </c>
      <c r="H49" s="40">
        <v>0</v>
      </c>
      <c r="I49" s="38">
        <v>4</v>
      </c>
      <c r="J49" s="41">
        <v>45803</v>
      </c>
      <c r="K49" s="38" t="s">
        <v>10768</v>
      </c>
      <c r="L49" s="42">
        <v>50000000</v>
      </c>
      <c r="O49" s="39" t="s">
        <v>563</v>
      </c>
      <c r="P49" s="5" t="str">
        <f t="shared" si="0"/>
        <v>A203</v>
      </c>
      <c r="Q49" s="5">
        <f t="shared" si="1"/>
        <v>1</v>
      </c>
      <c r="R49">
        <f>VLOOKUP(O49,'Data Angt'!$A$5:$F$5810,6,FALSE)</f>
        <v>66</v>
      </c>
      <c r="S49" s="5" t="str">
        <f>VLOOKUP(O49,'Data Angt'!$A$5:$H$5810,8,FALSE)</f>
        <v>Mengurus Rumah Tangga</v>
      </c>
      <c r="T49" s="44" t="str">
        <f>VLOOKUP(O49,'Data Angt'!$A$5:$C$5809,3,FALSE)</f>
        <v>PBL</v>
      </c>
    </row>
    <row r="50" spans="1:20" x14ac:dyDescent="0.3">
      <c r="A50" s="37">
        <v>77883</v>
      </c>
      <c r="B50" s="38">
        <v>44</v>
      </c>
      <c r="C50" s="39" t="s">
        <v>175</v>
      </c>
      <c r="D50" s="10" t="str">
        <f>VLOOKUP(C50,'Data Angt'!$A$5:$B$5809,2,FALSE)</f>
        <v>A56</v>
      </c>
      <c r="E50" s="40" t="s">
        <v>11955</v>
      </c>
      <c r="F50" s="41">
        <v>40606</v>
      </c>
      <c r="G50" s="38">
        <v>1</v>
      </c>
      <c r="H50" s="40">
        <v>0</v>
      </c>
      <c r="I50" s="38">
        <v>4</v>
      </c>
      <c r="J50" s="41">
        <v>40636</v>
      </c>
      <c r="K50" s="38" t="s">
        <v>10768</v>
      </c>
      <c r="L50" s="42">
        <v>40000000</v>
      </c>
      <c r="O50" s="39" t="s">
        <v>572</v>
      </c>
      <c r="P50" s="5" t="str">
        <f t="shared" si="0"/>
        <v>A206</v>
      </c>
      <c r="Q50" s="5">
        <f t="shared" si="1"/>
        <v>1</v>
      </c>
      <c r="R50">
        <f>VLOOKUP(O50,'Data Angt'!$A$5:$F$5810,6,FALSE)</f>
        <v>71</v>
      </c>
      <c r="S50" s="5" t="str">
        <f>VLOOKUP(O50,'Data Angt'!$A$5:$H$5810,8,FALSE)</f>
        <v>Pensiunan</v>
      </c>
      <c r="T50" s="44" t="str">
        <f>VLOOKUP(O50,'Data Angt'!$A$5:$C$5809,3,FALSE)</f>
        <v>JBR</v>
      </c>
    </row>
    <row r="51" spans="1:20" x14ac:dyDescent="0.3">
      <c r="A51" s="37">
        <v>150551</v>
      </c>
      <c r="B51" s="38">
        <v>45</v>
      </c>
      <c r="C51" s="39" t="s">
        <v>194</v>
      </c>
      <c r="D51" s="10" t="str">
        <f>VLOOKUP(C51,'Data Angt'!$A$5:$B$5809,2,FALSE)</f>
        <v>A62</v>
      </c>
      <c r="E51" s="40" t="s">
        <v>17987</v>
      </c>
      <c r="F51" s="41">
        <v>45608</v>
      </c>
      <c r="G51" s="38">
        <v>1</v>
      </c>
      <c r="H51" s="40">
        <v>0</v>
      </c>
      <c r="I51" s="38">
        <v>4</v>
      </c>
      <c r="J51" s="41">
        <v>45608</v>
      </c>
      <c r="K51" s="38" t="s">
        <v>10768</v>
      </c>
      <c r="L51" s="42">
        <v>14000000</v>
      </c>
      <c r="O51" s="39" t="s">
        <v>578</v>
      </c>
      <c r="P51" s="5" t="str">
        <f t="shared" si="0"/>
        <v>A208</v>
      </c>
      <c r="Q51" s="5">
        <f t="shared" si="1"/>
        <v>1</v>
      </c>
      <c r="R51">
        <f>VLOOKUP(O51,'Data Angt'!$A$5:$F$5810,6,FALSE)</f>
        <v>63</v>
      </c>
      <c r="S51" s="5" t="str">
        <f>VLOOKUP(O51,'Data Angt'!$A$5:$H$5810,8,FALSE)</f>
        <v>Pensiunan</v>
      </c>
      <c r="T51" s="44" t="str">
        <f>VLOOKUP(O51,'Data Angt'!$A$5:$C$5809,3,FALSE)</f>
        <v>JBR</v>
      </c>
    </row>
    <row r="52" spans="1:20" x14ac:dyDescent="0.3">
      <c r="A52" s="37">
        <v>132049</v>
      </c>
      <c r="B52" s="38">
        <v>46</v>
      </c>
      <c r="C52" s="39" t="s">
        <v>215</v>
      </c>
      <c r="D52" s="10" t="str">
        <f>VLOOKUP(C52,'Data Angt'!$A$5:$B$5809,2,FALSE)</f>
        <v>A68</v>
      </c>
      <c r="E52" s="40" t="s">
        <v>11954</v>
      </c>
      <c r="F52" s="41">
        <v>44631</v>
      </c>
      <c r="G52" s="38">
        <v>1</v>
      </c>
      <c r="H52" s="40">
        <v>0</v>
      </c>
      <c r="I52" s="38">
        <v>4</v>
      </c>
      <c r="J52" s="41">
        <v>44631</v>
      </c>
      <c r="K52" s="38" t="s">
        <v>10768</v>
      </c>
      <c r="L52" s="42">
        <v>10000000</v>
      </c>
      <c r="O52" s="39" t="s">
        <v>585</v>
      </c>
      <c r="P52" s="5" t="str">
        <f t="shared" si="0"/>
        <v>A211</v>
      </c>
      <c r="Q52" s="5">
        <f t="shared" si="1"/>
        <v>2</v>
      </c>
      <c r="R52">
        <f>VLOOKUP(O52,'Data Angt'!$A$5:$F$5810,6,FALSE)</f>
        <v>66</v>
      </c>
      <c r="S52" s="5" t="str">
        <f>VLOOKUP(O52,'Data Angt'!$A$5:$H$5810,8,FALSE)</f>
        <v>Pensiunan</v>
      </c>
      <c r="T52" s="44" t="str">
        <f>VLOOKUP(O52,'Data Angt'!$A$5:$C$5809,3,FALSE)</f>
        <v>JBR</v>
      </c>
    </row>
    <row r="53" spans="1:20" x14ac:dyDescent="0.3">
      <c r="A53" s="37">
        <v>132050</v>
      </c>
      <c r="B53" s="38">
        <v>47</v>
      </c>
      <c r="C53" s="39" t="s">
        <v>215</v>
      </c>
      <c r="D53" s="10" t="str">
        <f>VLOOKUP(C53,'Data Angt'!$A$5:$B$5809,2,FALSE)</f>
        <v>A68</v>
      </c>
      <c r="E53" s="40" t="s">
        <v>11953</v>
      </c>
      <c r="F53" s="41">
        <v>44631</v>
      </c>
      <c r="G53" s="38">
        <v>1</v>
      </c>
      <c r="H53" s="40">
        <v>0</v>
      </c>
      <c r="I53" s="38">
        <v>4</v>
      </c>
      <c r="J53" s="41">
        <v>44631</v>
      </c>
      <c r="K53" s="38" t="s">
        <v>10768</v>
      </c>
      <c r="L53" s="42">
        <v>10000000</v>
      </c>
      <c r="O53" s="39" t="s">
        <v>590</v>
      </c>
      <c r="P53" s="5" t="str">
        <f t="shared" si="0"/>
        <v>A213</v>
      </c>
      <c r="Q53" s="5">
        <f t="shared" si="1"/>
        <v>4</v>
      </c>
      <c r="R53">
        <f>VLOOKUP(O53,'Data Angt'!$A$5:$F$5810,6,FALSE)</f>
        <v>76</v>
      </c>
      <c r="S53" s="5" t="str">
        <f>VLOOKUP(O53,'Data Angt'!$A$5:$H$5810,8,FALSE)</f>
        <v>Pensiunan</v>
      </c>
      <c r="T53" s="44" t="str">
        <f>VLOOKUP(O53,'Data Angt'!$A$5:$C$5809,3,FALSE)</f>
        <v>JBR</v>
      </c>
    </row>
    <row r="54" spans="1:20" x14ac:dyDescent="0.3">
      <c r="A54" s="37">
        <v>135816</v>
      </c>
      <c r="B54" s="38">
        <v>48</v>
      </c>
      <c r="C54" s="39" t="s">
        <v>250</v>
      </c>
      <c r="D54" s="10" t="str">
        <f>VLOOKUP(C54,'Data Angt'!$A$5:$B$5809,2,FALSE)</f>
        <v>A79</v>
      </c>
      <c r="E54" s="40" t="s">
        <v>11952</v>
      </c>
      <c r="F54" s="41">
        <v>44924</v>
      </c>
      <c r="G54" s="38">
        <v>1</v>
      </c>
      <c r="H54" s="40">
        <v>0</v>
      </c>
      <c r="I54" s="38">
        <v>4</v>
      </c>
      <c r="J54" s="41">
        <v>44924</v>
      </c>
      <c r="K54" s="38" t="s">
        <v>10768</v>
      </c>
      <c r="L54" s="42">
        <v>25000000</v>
      </c>
      <c r="O54" s="39" t="s">
        <v>596</v>
      </c>
      <c r="P54" s="5" t="str">
        <f t="shared" si="0"/>
        <v>A216</v>
      </c>
      <c r="Q54" s="5">
        <f t="shared" si="1"/>
        <v>1</v>
      </c>
      <c r="R54">
        <f>VLOOKUP(O54,'Data Angt'!$A$5:$F$5810,6,FALSE)</f>
        <v>68</v>
      </c>
      <c r="S54" s="5" t="str">
        <f>VLOOKUP(O54,'Data Angt'!$A$5:$H$5810,8,FALSE)</f>
        <v>Pensiunan</v>
      </c>
      <c r="T54" s="44" t="str">
        <f>VLOOKUP(O54,'Data Angt'!$A$5:$C$5809,3,FALSE)</f>
        <v>PBL</v>
      </c>
    </row>
    <row r="55" spans="1:20" x14ac:dyDescent="0.3">
      <c r="A55" s="37">
        <v>141448</v>
      </c>
      <c r="B55" s="38">
        <v>49</v>
      </c>
      <c r="C55" s="39" t="s">
        <v>250</v>
      </c>
      <c r="D55" s="10" t="str">
        <f>VLOOKUP(C55,'Data Angt'!$A$5:$B$5809,2,FALSE)</f>
        <v>A79</v>
      </c>
      <c r="E55" s="40" t="s">
        <v>17989</v>
      </c>
      <c r="F55" s="41">
        <v>45299</v>
      </c>
      <c r="G55" s="38">
        <v>1</v>
      </c>
      <c r="H55" s="40">
        <v>0</v>
      </c>
      <c r="I55" s="38">
        <v>4</v>
      </c>
      <c r="J55" s="41">
        <v>45299</v>
      </c>
      <c r="K55" s="38" t="s">
        <v>10768</v>
      </c>
      <c r="L55" s="42">
        <v>25000000</v>
      </c>
      <c r="O55" s="39" t="s">
        <v>658</v>
      </c>
      <c r="P55" s="5" t="str">
        <f t="shared" si="0"/>
        <v>A243</v>
      </c>
      <c r="Q55" s="5">
        <f t="shared" si="1"/>
        <v>1</v>
      </c>
      <c r="R55">
        <f>VLOOKUP(O55,'Data Angt'!$A$5:$F$5810,6,FALSE)</f>
        <v>46</v>
      </c>
      <c r="S55" s="5" t="str">
        <f>VLOOKUP(O55,'Data Angt'!$A$5:$H$5810,8,FALSE)</f>
        <v>Karyawan</v>
      </c>
      <c r="T55" s="44" t="str">
        <f>VLOOKUP(O55,'Data Angt'!$A$5:$C$5809,3,FALSE)</f>
        <v>MJK</v>
      </c>
    </row>
    <row r="56" spans="1:20" x14ac:dyDescent="0.3">
      <c r="A56" s="37">
        <v>145749</v>
      </c>
      <c r="B56" s="38">
        <v>50</v>
      </c>
      <c r="C56" s="39" t="s">
        <v>250</v>
      </c>
      <c r="D56" s="10" t="str">
        <f>VLOOKUP(C56,'Data Angt'!$A$5:$B$5809,2,FALSE)</f>
        <v>A79</v>
      </c>
      <c r="E56" s="40" t="s">
        <v>17988</v>
      </c>
      <c r="F56" s="41">
        <v>45443</v>
      </c>
      <c r="G56" s="38">
        <v>1</v>
      </c>
      <c r="H56" s="40">
        <v>0</v>
      </c>
      <c r="I56" s="38">
        <v>4</v>
      </c>
      <c r="J56" s="41">
        <v>45443</v>
      </c>
      <c r="K56" s="38" t="s">
        <v>10768</v>
      </c>
      <c r="L56" s="42">
        <v>25000000</v>
      </c>
      <c r="O56" s="39" t="s">
        <v>711</v>
      </c>
      <c r="P56" s="5" t="str">
        <f t="shared" si="0"/>
        <v>A264</v>
      </c>
      <c r="Q56" s="5">
        <f t="shared" si="1"/>
        <v>5</v>
      </c>
      <c r="R56">
        <f>VLOOKUP(O56,'Data Angt'!$A$5:$F$5810,6,FALSE)</f>
        <v>52</v>
      </c>
      <c r="S56" s="5" t="str">
        <f>VLOOKUP(O56,'Data Angt'!$A$5:$H$5810,8,FALSE)</f>
        <v>Aparatur/Pejabat Negara</v>
      </c>
      <c r="T56" s="44" t="str">
        <f>VLOOKUP(O56,'Data Angt'!$A$5:$C$5809,3,FALSE)</f>
        <v>PBL</v>
      </c>
    </row>
    <row r="57" spans="1:20" x14ac:dyDescent="0.3">
      <c r="A57" s="37">
        <v>128331</v>
      </c>
      <c r="B57" s="38">
        <v>51</v>
      </c>
      <c r="C57" s="39" t="s">
        <v>260</v>
      </c>
      <c r="D57" s="10" t="str">
        <f>VLOOKUP(C57,'Data Angt'!$A$5:$B$5809,2,FALSE)</f>
        <v>A82</v>
      </c>
      <c r="E57" s="40" t="s">
        <v>11950</v>
      </c>
      <c r="F57" s="41">
        <v>44338</v>
      </c>
      <c r="G57" s="38">
        <v>1</v>
      </c>
      <c r="H57" s="40">
        <v>0</v>
      </c>
      <c r="I57" s="38">
        <v>4</v>
      </c>
      <c r="J57" s="41">
        <v>44338</v>
      </c>
      <c r="K57" s="38" t="s">
        <v>10768</v>
      </c>
      <c r="L57" s="42">
        <v>45000000</v>
      </c>
      <c r="O57" s="39" t="s">
        <v>734</v>
      </c>
      <c r="P57" s="5" t="str">
        <f t="shared" si="0"/>
        <v>A272</v>
      </c>
      <c r="Q57" s="5">
        <f t="shared" si="1"/>
        <v>3</v>
      </c>
      <c r="R57">
        <f>VLOOKUP(O57,'Data Angt'!$A$5:$F$5810,6,FALSE)</f>
        <v>74</v>
      </c>
      <c r="S57" s="5" t="str">
        <f>VLOOKUP(O57,'Data Angt'!$A$5:$H$5810,8,FALSE)</f>
        <v>Mengurus Rumah Tangga</v>
      </c>
      <c r="T57" s="44" t="str">
        <f>VLOOKUP(O57,'Data Angt'!$A$5:$C$5809,3,FALSE)</f>
        <v>PBL</v>
      </c>
    </row>
    <row r="58" spans="1:20" x14ac:dyDescent="0.3">
      <c r="A58" s="37">
        <v>133776</v>
      </c>
      <c r="B58" s="38">
        <v>52</v>
      </c>
      <c r="C58" s="39" t="s">
        <v>260</v>
      </c>
      <c r="D58" s="10" t="str">
        <f>VLOOKUP(C58,'Data Angt'!$A$5:$B$5809,2,FALSE)</f>
        <v>A82</v>
      </c>
      <c r="E58" s="40" t="s">
        <v>11951</v>
      </c>
      <c r="F58" s="41">
        <v>44768</v>
      </c>
      <c r="G58" s="38">
        <v>1</v>
      </c>
      <c r="H58" s="40">
        <v>0</v>
      </c>
      <c r="I58" s="38">
        <v>4</v>
      </c>
      <c r="J58" s="41">
        <v>44768</v>
      </c>
      <c r="K58" s="38" t="s">
        <v>10768</v>
      </c>
      <c r="L58" s="42">
        <v>45000000</v>
      </c>
      <c r="O58" s="39" t="s">
        <v>756</v>
      </c>
      <c r="P58" s="5" t="str">
        <f t="shared" si="0"/>
        <v>A280</v>
      </c>
      <c r="Q58" s="5">
        <f t="shared" si="1"/>
        <v>1</v>
      </c>
      <c r="R58">
        <f>VLOOKUP(O58,'Data Angt'!$A$5:$F$5810,6,FALSE)</f>
        <v>58</v>
      </c>
      <c r="S58" s="5" t="str">
        <f>VLOOKUP(O58,'Data Angt'!$A$5:$H$5810,8,FALSE)</f>
        <v>Wiraswasta</v>
      </c>
      <c r="T58" s="44" t="str">
        <f>VLOOKUP(O58,'Data Angt'!$A$5:$C$5809,3,FALSE)</f>
        <v>KRK</v>
      </c>
    </row>
    <row r="59" spans="1:20" x14ac:dyDescent="0.3">
      <c r="A59" s="37">
        <v>144369</v>
      </c>
      <c r="B59" s="38">
        <v>53</v>
      </c>
      <c r="C59" s="39" t="s">
        <v>260</v>
      </c>
      <c r="D59" s="10" t="str">
        <f>VLOOKUP(C59,'Data Angt'!$A$5:$B$5809,2,FALSE)</f>
        <v>A82</v>
      </c>
      <c r="E59" s="40" t="s">
        <v>17990</v>
      </c>
      <c r="F59" s="41">
        <v>45404</v>
      </c>
      <c r="G59" s="38">
        <v>1</v>
      </c>
      <c r="H59" s="40">
        <v>0</v>
      </c>
      <c r="I59" s="38">
        <v>4</v>
      </c>
      <c r="J59" s="41">
        <v>45404</v>
      </c>
      <c r="K59" s="38" t="s">
        <v>10768</v>
      </c>
      <c r="L59" s="42">
        <v>24000000</v>
      </c>
      <c r="O59" s="39" t="s">
        <v>783</v>
      </c>
      <c r="P59" s="5" t="str">
        <f t="shared" si="0"/>
        <v>A290</v>
      </c>
      <c r="Q59" s="5">
        <f t="shared" si="1"/>
        <v>2</v>
      </c>
      <c r="R59">
        <f>VLOOKUP(O59,'Data Angt'!$A$5:$F$5810,6,FALSE)</f>
        <v>28</v>
      </c>
      <c r="S59" s="5" t="str">
        <f>VLOOKUP(O59,'Data Angt'!$A$5:$H$5810,8,FALSE)</f>
        <v>Karyawan</v>
      </c>
      <c r="T59" s="44" t="str">
        <f>VLOOKUP(O59,'Data Angt'!$A$5:$C$5809,3,FALSE)</f>
        <v>PBL</v>
      </c>
    </row>
    <row r="60" spans="1:20" x14ac:dyDescent="0.3">
      <c r="A60" s="37">
        <v>145532</v>
      </c>
      <c r="B60" s="38">
        <v>54</v>
      </c>
      <c r="C60" s="39" t="s">
        <v>260</v>
      </c>
      <c r="D60" s="10" t="str">
        <f>VLOOKUP(C60,'Data Angt'!$A$5:$B$5809,2,FALSE)</f>
        <v>A82</v>
      </c>
      <c r="E60" s="40" t="s">
        <v>17991</v>
      </c>
      <c r="F60" s="41">
        <v>45434</v>
      </c>
      <c r="G60" s="38">
        <v>1</v>
      </c>
      <c r="H60" s="40">
        <v>0</v>
      </c>
      <c r="I60" s="38">
        <v>4</v>
      </c>
      <c r="J60" s="41">
        <v>45434</v>
      </c>
      <c r="K60" s="38" t="s">
        <v>10768</v>
      </c>
      <c r="L60" s="42">
        <v>23000000</v>
      </c>
      <c r="O60" s="39" t="s">
        <v>785</v>
      </c>
      <c r="P60" s="5" t="str">
        <f t="shared" si="0"/>
        <v>A291</v>
      </c>
      <c r="Q60" s="5">
        <f t="shared" si="1"/>
        <v>5</v>
      </c>
      <c r="R60">
        <f>VLOOKUP(O60,'Data Angt'!$A$5:$F$5810,6,FALSE)</f>
        <v>29</v>
      </c>
      <c r="S60" s="5">
        <f>VLOOKUP(O60,'Data Angt'!$A$5:$H$5810,8,FALSE)</f>
        <v>0</v>
      </c>
      <c r="T60" s="44" t="str">
        <f>VLOOKUP(O60,'Data Angt'!$A$5:$C$5809,3,FALSE)</f>
        <v>PBL</v>
      </c>
    </row>
    <row r="61" spans="1:20" x14ac:dyDescent="0.3">
      <c r="A61" s="37">
        <v>124944</v>
      </c>
      <c r="B61" s="38">
        <v>55</v>
      </c>
      <c r="C61" s="39" t="s">
        <v>270</v>
      </c>
      <c r="D61" s="10" t="str">
        <f>VLOOKUP(C61,'Data Angt'!$A$5:$B$5809,2,FALSE)</f>
        <v>A87</v>
      </c>
      <c r="E61" s="40" t="s">
        <v>11949</v>
      </c>
      <c r="F61" s="41">
        <v>44083</v>
      </c>
      <c r="G61" s="38">
        <v>1</v>
      </c>
      <c r="H61" s="40">
        <v>0</v>
      </c>
      <c r="I61" s="38">
        <v>4</v>
      </c>
      <c r="J61" s="41">
        <v>44083</v>
      </c>
      <c r="K61" s="38" t="s">
        <v>10768</v>
      </c>
      <c r="L61" s="42">
        <v>10000000</v>
      </c>
      <c r="O61" s="39" t="s">
        <v>791</v>
      </c>
      <c r="P61" s="5" t="str">
        <f t="shared" si="0"/>
        <v>A294</v>
      </c>
      <c r="Q61" s="5">
        <f t="shared" si="1"/>
        <v>1</v>
      </c>
      <c r="R61">
        <f>VLOOKUP(O61,'Data Angt'!$A$5:$F$5810,6,FALSE)</f>
        <v>57</v>
      </c>
      <c r="S61" s="5" t="str">
        <f>VLOOKUP(O61,'Data Angt'!$A$5:$H$5810,8,FALSE)</f>
        <v>Mengurus Rumah Tangga</v>
      </c>
      <c r="T61" s="44" t="str">
        <f>VLOOKUP(O61,'Data Angt'!$A$5:$C$5809,3,FALSE)</f>
        <v>MGL</v>
      </c>
    </row>
    <row r="62" spans="1:20" x14ac:dyDescent="0.3">
      <c r="A62" s="37">
        <v>126437</v>
      </c>
      <c r="B62" s="38">
        <v>56</v>
      </c>
      <c r="C62" s="39" t="s">
        <v>292</v>
      </c>
      <c r="D62" s="10" t="str">
        <f>VLOOKUP(C62,'Data Angt'!$A$5:$B$5809,2,FALSE)</f>
        <v>A97</v>
      </c>
      <c r="E62" s="40" t="s">
        <v>11948</v>
      </c>
      <c r="F62" s="41">
        <v>44207</v>
      </c>
      <c r="G62" s="38">
        <v>1</v>
      </c>
      <c r="H62" s="40">
        <v>0</v>
      </c>
      <c r="I62" s="38">
        <v>4</v>
      </c>
      <c r="J62" s="41">
        <v>44207</v>
      </c>
      <c r="K62" s="38" t="s">
        <v>10768</v>
      </c>
      <c r="L62" s="42">
        <v>25000000</v>
      </c>
      <c r="O62" s="39" t="s">
        <v>799</v>
      </c>
      <c r="P62" s="5" t="str">
        <f t="shared" si="0"/>
        <v>A298</v>
      </c>
      <c r="Q62" s="5">
        <f t="shared" si="1"/>
        <v>5</v>
      </c>
      <c r="R62">
        <f>VLOOKUP(O62,'Data Angt'!$A$5:$F$5810,6,FALSE)</f>
        <v>51</v>
      </c>
      <c r="S62" s="5" t="str">
        <f>VLOOKUP(O62,'Data Angt'!$A$5:$H$5810,8,FALSE)</f>
        <v>Tenaga Pengajar</v>
      </c>
      <c r="T62" s="44" t="str">
        <f>VLOOKUP(O62,'Data Angt'!$A$5:$C$5809,3,FALSE)</f>
        <v>JBR</v>
      </c>
    </row>
    <row r="63" spans="1:20" x14ac:dyDescent="0.3">
      <c r="A63" s="37">
        <v>156155</v>
      </c>
      <c r="B63" s="38">
        <v>57</v>
      </c>
      <c r="C63" s="39" t="s">
        <v>292</v>
      </c>
      <c r="D63" s="10" t="str">
        <f>VLOOKUP(C63,'Data Angt'!$A$5:$B$5809,2,FALSE)</f>
        <v>A97</v>
      </c>
      <c r="E63" s="40" t="s">
        <v>17992</v>
      </c>
      <c r="F63" s="41">
        <v>45810</v>
      </c>
      <c r="G63" s="38">
        <v>1</v>
      </c>
      <c r="H63" s="40">
        <v>0</v>
      </c>
      <c r="I63" s="38">
        <v>4</v>
      </c>
      <c r="J63" s="41">
        <v>45810</v>
      </c>
      <c r="K63" s="38" t="s">
        <v>10768</v>
      </c>
      <c r="L63" s="42">
        <v>15000000</v>
      </c>
      <c r="O63" s="39" t="s">
        <v>815</v>
      </c>
      <c r="P63" s="5" t="str">
        <f t="shared" si="0"/>
        <v>A305</v>
      </c>
      <c r="Q63" s="5">
        <f t="shared" si="1"/>
        <v>2</v>
      </c>
      <c r="R63">
        <f>VLOOKUP(O63,'Data Angt'!$A$5:$F$5810,6,FALSE)</f>
        <v>60</v>
      </c>
      <c r="S63" s="5" t="str">
        <f>VLOOKUP(O63,'Data Angt'!$A$5:$H$5810,8,FALSE)</f>
        <v>Tenaga Pengajar</v>
      </c>
      <c r="T63" s="44" t="str">
        <f>VLOOKUP(O63,'Data Angt'!$A$5:$C$5809,3,FALSE)</f>
        <v>JBR</v>
      </c>
    </row>
    <row r="64" spans="1:20" x14ac:dyDescent="0.3">
      <c r="A64" s="37">
        <v>157293</v>
      </c>
      <c r="B64" s="38">
        <v>58</v>
      </c>
      <c r="C64" s="39" t="s">
        <v>292</v>
      </c>
      <c r="D64" s="10" t="str">
        <f>VLOOKUP(C64,'Data Angt'!$A$5:$B$5809,2,FALSE)</f>
        <v>A97</v>
      </c>
      <c r="E64" s="40" t="s">
        <v>23980</v>
      </c>
      <c r="F64" s="41">
        <v>45862</v>
      </c>
      <c r="G64" s="38">
        <v>1</v>
      </c>
      <c r="H64" s="40">
        <v>0</v>
      </c>
      <c r="I64" s="38">
        <v>4</v>
      </c>
      <c r="J64" s="41">
        <v>45862</v>
      </c>
      <c r="K64" s="38" t="s">
        <v>10768</v>
      </c>
      <c r="L64" s="42">
        <v>10000000</v>
      </c>
      <c r="O64" s="39" t="s">
        <v>820</v>
      </c>
      <c r="P64" s="5" t="str">
        <f t="shared" si="0"/>
        <v>A307</v>
      </c>
      <c r="Q64" s="5">
        <f t="shared" si="1"/>
        <v>1</v>
      </c>
      <c r="R64">
        <f>VLOOKUP(O64,'Data Angt'!$A$5:$F$5810,6,FALSE)</f>
        <v>37</v>
      </c>
      <c r="S64" s="5" t="str">
        <f>VLOOKUP(O64,'Data Angt'!$A$5:$H$5810,8,FALSE)</f>
        <v>Tenaga Pengajar</v>
      </c>
      <c r="T64" s="44" t="str">
        <f>VLOOKUP(O64,'Data Angt'!$A$5:$C$5809,3,FALSE)</f>
        <v>MJK</v>
      </c>
    </row>
    <row r="65" spans="1:20" x14ac:dyDescent="0.3">
      <c r="A65" s="37">
        <v>126980</v>
      </c>
      <c r="B65" s="38">
        <v>59</v>
      </c>
      <c r="C65" s="39" t="s">
        <v>303</v>
      </c>
      <c r="D65" s="10" t="str">
        <f>VLOOKUP(C65,'Data Angt'!$A$5:$B$5809,2,FALSE)</f>
        <v>A104</v>
      </c>
      <c r="E65" s="40" t="s">
        <v>11947</v>
      </c>
      <c r="F65" s="41">
        <v>44243</v>
      </c>
      <c r="G65" s="38">
        <v>1</v>
      </c>
      <c r="H65" s="40">
        <v>0</v>
      </c>
      <c r="I65" s="38">
        <v>4</v>
      </c>
      <c r="J65" s="41">
        <v>44243</v>
      </c>
      <c r="K65" s="38" t="s">
        <v>10768</v>
      </c>
      <c r="L65" s="42">
        <v>1000000</v>
      </c>
      <c r="O65" s="39" t="s">
        <v>823</v>
      </c>
      <c r="P65" s="5" t="str">
        <f t="shared" si="0"/>
        <v>A308</v>
      </c>
      <c r="Q65" s="5">
        <f t="shared" si="1"/>
        <v>1</v>
      </c>
      <c r="R65">
        <f>VLOOKUP(O65,'Data Angt'!$A$5:$F$5810,6,FALSE)</f>
        <v>33</v>
      </c>
      <c r="S65" s="5" t="str">
        <f>VLOOKUP(O65,'Data Angt'!$A$5:$H$5810,8,FALSE)</f>
        <v>Tenaga Medis</v>
      </c>
      <c r="T65" s="44" t="str">
        <f>VLOOKUP(O65,'Data Angt'!$A$5:$C$5809,3,FALSE)</f>
        <v>MJK</v>
      </c>
    </row>
    <row r="66" spans="1:20" x14ac:dyDescent="0.3">
      <c r="A66" s="37">
        <v>158099</v>
      </c>
      <c r="B66" s="38">
        <v>60</v>
      </c>
      <c r="C66" s="39" t="s">
        <v>305</v>
      </c>
      <c r="D66" s="10" t="str">
        <f>VLOOKUP(C66,'Data Angt'!$A$5:$B$5809,2,FALSE)</f>
        <v>A105</v>
      </c>
      <c r="E66" s="40" t="s">
        <v>23981</v>
      </c>
      <c r="F66" s="41">
        <v>45894</v>
      </c>
      <c r="G66" s="38">
        <v>1</v>
      </c>
      <c r="H66" s="40">
        <v>0</v>
      </c>
      <c r="I66" s="38">
        <v>4</v>
      </c>
      <c r="J66" s="41">
        <v>45894</v>
      </c>
      <c r="K66" s="38" t="s">
        <v>10768</v>
      </c>
      <c r="L66" s="42">
        <v>30000000</v>
      </c>
      <c r="O66" s="39" t="s">
        <v>834</v>
      </c>
      <c r="P66" s="5" t="str">
        <f t="shared" si="0"/>
        <v>A311</v>
      </c>
      <c r="Q66" s="5">
        <f t="shared" si="1"/>
        <v>5</v>
      </c>
      <c r="R66">
        <f>VLOOKUP(O66,'Data Angt'!$A$5:$F$5810,6,FALSE)</f>
        <v>72</v>
      </c>
      <c r="S66" s="5" t="str">
        <f>VLOOKUP(O66,'Data Angt'!$A$5:$H$5810,8,FALSE)</f>
        <v>Pensiunan</v>
      </c>
      <c r="T66" s="44" t="str">
        <f>VLOOKUP(O66,'Data Angt'!$A$5:$C$5809,3,FALSE)</f>
        <v>MJK</v>
      </c>
    </row>
    <row r="67" spans="1:20" x14ac:dyDescent="0.3">
      <c r="A67" s="37">
        <v>136304</v>
      </c>
      <c r="B67" s="38">
        <v>61</v>
      </c>
      <c r="C67" s="39" t="s">
        <v>305</v>
      </c>
      <c r="D67" s="10" t="str">
        <f>VLOOKUP(C67,'Data Angt'!$A$5:$B$5809,2,FALSE)</f>
        <v>A105</v>
      </c>
      <c r="E67" s="40" t="s">
        <v>11946</v>
      </c>
      <c r="F67" s="41">
        <v>44964</v>
      </c>
      <c r="G67" s="38">
        <v>1</v>
      </c>
      <c r="H67" s="40">
        <v>0</v>
      </c>
      <c r="I67" s="38">
        <v>4</v>
      </c>
      <c r="J67" s="41">
        <v>44964</v>
      </c>
      <c r="K67" s="38" t="s">
        <v>10768</v>
      </c>
      <c r="L67" s="42">
        <v>2500000</v>
      </c>
      <c r="O67" s="39" t="s">
        <v>891</v>
      </c>
      <c r="P67" s="5" t="str">
        <f t="shared" si="0"/>
        <v>A339</v>
      </c>
      <c r="Q67" s="5">
        <f t="shared" si="1"/>
        <v>1</v>
      </c>
      <c r="R67">
        <f>VLOOKUP(O67,'Data Angt'!$A$5:$F$5810,6,FALSE)</f>
        <v>26</v>
      </c>
      <c r="S67" s="5">
        <f>VLOOKUP(O67,'Data Angt'!$A$5:$H$5810,8,FALSE)</f>
        <v>0</v>
      </c>
      <c r="T67" s="44" t="str">
        <f>VLOOKUP(O67,'Data Angt'!$A$5:$C$5809,3,FALSE)</f>
        <v>PBL</v>
      </c>
    </row>
    <row r="68" spans="1:20" x14ac:dyDescent="0.3">
      <c r="A68" s="37">
        <v>155274</v>
      </c>
      <c r="B68" s="38">
        <v>62</v>
      </c>
      <c r="C68" s="39" t="s">
        <v>305</v>
      </c>
      <c r="D68" s="10" t="str">
        <f>VLOOKUP(C68,'Data Angt'!$A$5:$B$5809,2,FALSE)</f>
        <v>A105</v>
      </c>
      <c r="E68" s="40" t="s">
        <v>17993</v>
      </c>
      <c r="F68" s="41">
        <v>45775</v>
      </c>
      <c r="G68" s="38">
        <v>1</v>
      </c>
      <c r="H68" s="40">
        <v>0</v>
      </c>
      <c r="I68" s="38">
        <v>4</v>
      </c>
      <c r="J68" s="41">
        <v>45775</v>
      </c>
      <c r="K68" s="38" t="s">
        <v>10768</v>
      </c>
      <c r="L68" s="42">
        <v>35000000</v>
      </c>
      <c r="O68" s="39" t="s">
        <v>12125</v>
      </c>
      <c r="P68" s="5" t="str">
        <f t="shared" si="0"/>
        <v>A347</v>
      </c>
      <c r="Q68" s="5">
        <f t="shared" si="1"/>
        <v>1</v>
      </c>
      <c r="R68">
        <f>VLOOKUP(O68,'Data Angt'!$A$5:$F$5810,6,FALSE)</f>
        <v>28</v>
      </c>
      <c r="S68" s="5" t="str">
        <f>VLOOKUP(O68,'Data Angt'!$A$5:$H$5810,8,FALSE)</f>
        <v>Karyawan</v>
      </c>
      <c r="T68" s="44" t="str">
        <f>VLOOKUP(O68,'Data Angt'!$A$5:$C$5809,3,FALSE)</f>
        <v>JBR</v>
      </c>
    </row>
    <row r="69" spans="1:20" x14ac:dyDescent="0.3">
      <c r="A69" s="37">
        <v>155340</v>
      </c>
      <c r="B69" s="38">
        <v>63</v>
      </c>
      <c r="C69" s="39" t="s">
        <v>305</v>
      </c>
      <c r="D69" s="10" t="str">
        <f>VLOOKUP(C69,'Data Angt'!$A$5:$B$5809,2,FALSE)</f>
        <v>A105</v>
      </c>
      <c r="E69" s="40" t="s">
        <v>17994</v>
      </c>
      <c r="F69" s="41">
        <v>45777</v>
      </c>
      <c r="G69" s="38">
        <v>1</v>
      </c>
      <c r="H69" s="40">
        <v>0</v>
      </c>
      <c r="I69" s="38">
        <v>4</v>
      </c>
      <c r="J69" s="41">
        <v>45777</v>
      </c>
      <c r="K69" s="38" t="s">
        <v>10768</v>
      </c>
      <c r="L69" s="42">
        <v>6000000</v>
      </c>
      <c r="O69" s="39" t="s">
        <v>984</v>
      </c>
      <c r="P69" s="5" t="str">
        <f t="shared" si="0"/>
        <v>A374</v>
      </c>
      <c r="Q69" s="5">
        <f t="shared" si="1"/>
        <v>1</v>
      </c>
      <c r="R69">
        <f>VLOOKUP(O69,'Data Angt'!$A$5:$F$5810,6,FALSE)</f>
        <v>44</v>
      </c>
      <c r="S69" s="5" t="str">
        <f>VLOOKUP(O69,'Data Angt'!$A$5:$H$5810,8,FALSE)</f>
        <v>Aparatur/Pejabat Negara</v>
      </c>
      <c r="T69" s="44" t="str">
        <f>VLOOKUP(O69,'Data Angt'!$A$5:$C$5809,3,FALSE)</f>
        <v>PBL</v>
      </c>
    </row>
    <row r="70" spans="1:20" x14ac:dyDescent="0.3">
      <c r="A70" s="37">
        <v>158098</v>
      </c>
      <c r="B70" s="38">
        <v>64</v>
      </c>
      <c r="C70" s="39" t="s">
        <v>305</v>
      </c>
      <c r="D70" s="10" t="str">
        <f>VLOOKUP(C70,'Data Angt'!$A$5:$B$5809,2,FALSE)</f>
        <v>A105</v>
      </c>
      <c r="E70" s="40" t="s">
        <v>23982</v>
      </c>
      <c r="F70" s="41">
        <v>45894</v>
      </c>
      <c r="G70" s="38">
        <v>1</v>
      </c>
      <c r="H70" s="40">
        <v>0</v>
      </c>
      <c r="I70" s="38">
        <v>4</v>
      </c>
      <c r="J70" s="41">
        <v>45894</v>
      </c>
      <c r="K70" s="38" t="s">
        <v>10768</v>
      </c>
      <c r="L70" s="42">
        <v>37500000</v>
      </c>
      <c r="O70" s="39" t="s">
        <v>998</v>
      </c>
      <c r="P70" s="5" t="str">
        <f t="shared" ref="P70:P133" si="2">VLOOKUP(O70,$C$7:$D$1146,2,FALSE)</f>
        <v>A380</v>
      </c>
      <c r="Q70" s="5">
        <f t="shared" si="1"/>
        <v>2</v>
      </c>
      <c r="R70">
        <f>VLOOKUP(O70,'Data Angt'!$A$5:$F$5810,6,FALSE)</f>
        <v>57</v>
      </c>
      <c r="S70" s="5" t="str">
        <f>VLOOKUP(O70,'Data Angt'!$A$5:$H$5810,8,FALSE)</f>
        <v>Tenaga Pengajar</v>
      </c>
      <c r="T70" s="44" t="str">
        <f>VLOOKUP(O70,'Data Angt'!$A$5:$C$5809,3,FALSE)</f>
        <v>PBL</v>
      </c>
    </row>
    <row r="71" spans="1:20" x14ac:dyDescent="0.3">
      <c r="A71" s="37">
        <v>77900</v>
      </c>
      <c r="B71" s="38">
        <v>65</v>
      </c>
      <c r="C71" s="39" t="s">
        <v>309</v>
      </c>
      <c r="D71" s="10" t="str">
        <f>VLOOKUP(C71,'Data Angt'!$A$5:$B$5809,2,FALSE)</f>
        <v>A107</v>
      </c>
      <c r="E71" s="40" t="s">
        <v>11945</v>
      </c>
      <c r="F71" s="41">
        <v>41338</v>
      </c>
      <c r="G71" s="38">
        <v>1</v>
      </c>
      <c r="H71" s="40">
        <v>0</v>
      </c>
      <c r="I71" s="38">
        <v>4</v>
      </c>
      <c r="J71" s="41">
        <v>41397</v>
      </c>
      <c r="K71" s="38" t="s">
        <v>10768</v>
      </c>
      <c r="L71" s="42">
        <v>1000000</v>
      </c>
      <c r="O71" s="39" t="s">
        <v>1030</v>
      </c>
      <c r="P71" s="5" t="str">
        <f t="shared" si="2"/>
        <v>A393</v>
      </c>
      <c r="Q71" s="5">
        <f t="shared" ref="Q71:Q134" si="3">COUNTIF($C$7:$C$1146,O71)</f>
        <v>3</v>
      </c>
      <c r="R71">
        <f>VLOOKUP(O71,'Data Angt'!$A$5:$F$5810,6,FALSE)</f>
        <v>23</v>
      </c>
      <c r="S71" s="5" t="str">
        <f>VLOOKUP(O71,'Data Angt'!$A$5:$H$5810,8,FALSE)</f>
        <v>Pelajar/Mahasiswa</v>
      </c>
      <c r="T71" s="44" t="str">
        <f>VLOOKUP(O71,'Data Angt'!$A$5:$C$5809,3,FALSE)</f>
        <v>PBL</v>
      </c>
    </row>
    <row r="72" spans="1:20" x14ac:dyDescent="0.3">
      <c r="A72" s="37">
        <v>158325</v>
      </c>
      <c r="B72" s="38">
        <v>66</v>
      </c>
      <c r="C72" s="39" t="s">
        <v>321</v>
      </c>
      <c r="D72" s="10" t="str">
        <f>VLOOKUP(C72,'Data Angt'!$A$5:$B$5809,2,FALSE)</f>
        <v>A112</v>
      </c>
      <c r="E72" s="40" t="s">
        <v>23983</v>
      </c>
      <c r="F72" s="41">
        <v>45903</v>
      </c>
      <c r="G72" s="38">
        <v>1</v>
      </c>
      <c r="H72" s="40">
        <v>0</v>
      </c>
      <c r="I72" s="38">
        <v>4</v>
      </c>
      <c r="J72" s="41">
        <v>45903</v>
      </c>
      <c r="K72" s="38" t="s">
        <v>10768</v>
      </c>
      <c r="L72" s="42">
        <v>20000000</v>
      </c>
      <c r="O72" s="39" t="s">
        <v>1062</v>
      </c>
      <c r="P72" s="5" t="str">
        <f t="shared" si="2"/>
        <v>A408</v>
      </c>
      <c r="Q72" s="5">
        <f t="shared" si="3"/>
        <v>1</v>
      </c>
      <c r="R72">
        <f>VLOOKUP(O72,'Data Angt'!$A$5:$F$5810,6,FALSE)</f>
        <v>22</v>
      </c>
      <c r="S72" s="5" t="str">
        <f>VLOOKUP(O72,'Data Angt'!$A$5:$H$5810,8,FALSE)</f>
        <v>Pelajar/Mahasiswa</v>
      </c>
      <c r="T72" s="44" t="str">
        <f>VLOOKUP(O72,'Data Angt'!$A$5:$C$5809,3,FALSE)</f>
        <v>KRK</v>
      </c>
    </row>
    <row r="73" spans="1:20" x14ac:dyDescent="0.3">
      <c r="A73" s="37">
        <v>158326</v>
      </c>
      <c r="B73" s="38">
        <v>67</v>
      </c>
      <c r="C73" s="39" t="s">
        <v>321</v>
      </c>
      <c r="D73" s="10" t="str">
        <f>VLOOKUP(C73,'Data Angt'!$A$5:$B$5809,2,FALSE)</f>
        <v>A112</v>
      </c>
      <c r="E73" s="40" t="s">
        <v>23984</v>
      </c>
      <c r="F73" s="41">
        <v>45903</v>
      </c>
      <c r="G73" s="38">
        <v>1</v>
      </c>
      <c r="H73" s="40">
        <v>0</v>
      </c>
      <c r="I73" s="38">
        <v>4</v>
      </c>
      <c r="J73" s="41">
        <v>45903</v>
      </c>
      <c r="K73" s="38" t="s">
        <v>10768</v>
      </c>
      <c r="L73" s="42">
        <v>20000000</v>
      </c>
      <c r="O73" s="39" t="s">
        <v>1086</v>
      </c>
      <c r="P73" s="5" t="str">
        <f t="shared" si="2"/>
        <v>A420</v>
      </c>
      <c r="Q73" s="5">
        <f t="shared" si="3"/>
        <v>2</v>
      </c>
      <c r="R73">
        <f>VLOOKUP(O73,'Data Angt'!$A$5:$F$5810,6,FALSE)</f>
        <v>60</v>
      </c>
      <c r="S73" s="5" t="str">
        <f>VLOOKUP(O73,'Data Angt'!$A$5:$H$5810,8,FALSE)</f>
        <v>Wiraswasta</v>
      </c>
      <c r="T73" s="44" t="str">
        <f>VLOOKUP(O73,'Data Angt'!$A$5:$C$5809,3,FALSE)</f>
        <v>JBR</v>
      </c>
    </row>
    <row r="74" spans="1:20" x14ac:dyDescent="0.3">
      <c r="A74" s="37">
        <v>158327</v>
      </c>
      <c r="B74" s="38">
        <v>68</v>
      </c>
      <c r="C74" s="39" t="s">
        <v>321</v>
      </c>
      <c r="D74" s="10" t="str">
        <f>VLOOKUP(C74,'Data Angt'!$A$5:$B$5809,2,FALSE)</f>
        <v>A112</v>
      </c>
      <c r="E74" s="40" t="s">
        <v>23985</v>
      </c>
      <c r="F74" s="41">
        <v>45903</v>
      </c>
      <c r="G74" s="38">
        <v>1</v>
      </c>
      <c r="H74" s="40">
        <v>0</v>
      </c>
      <c r="I74" s="38">
        <v>4</v>
      </c>
      <c r="J74" s="41">
        <v>45903</v>
      </c>
      <c r="K74" s="38" t="s">
        <v>10768</v>
      </c>
      <c r="L74" s="42">
        <v>20000000</v>
      </c>
      <c r="O74" s="39" t="s">
        <v>1102</v>
      </c>
      <c r="P74" s="5" t="str">
        <f t="shared" si="2"/>
        <v>A427</v>
      </c>
      <c r="Q74" s="5">
        <f t="shared" si="3"/>
        <v>17</v>
      </c>
      <c r="R74">
        <f>VLOOKUP(O74,'Data Angt'!$A$5:$F$5810,6,FALSE)</f>
        <v>56</v>
      </c>
      <c r="S74" s="5" t="str">
        <f>VLOOKUP(O74,'Data Angt'!$A$5:$H$5810,8,FALSE)</f>
        <v>Mengurus Rumah Tangga</v>
      </c>
      <c r="T74" s="44" t="str">
        <f>VLOOKUP(O74,'Data Angt'!$A$5:$C$5809,3,FALSE)</f>
        <v>JBR</v>
      </c>
    </row>
    <row r="75" spans="1:20" x14ac:dyDescent="0.3">
      <c r="A75" s="37">
        <v>158328</v>
      </c>
      <c r="B75" s="38">
        <v>69</v>
      </c>
      <c r="C75" s="39" t="s">
        <v>321</v>
      </c>
      <c r="D75" s="10" t="str">
        <f>VLOOKUP(C75,'Data Angt'!$A$5:$B$5809,2,FALSE)</f>
        <v>A112</v>
      </c>
      <c r="E75" s="40" t="s">
        <v>23986</v>
      </c>
      <c r="F75" s="41">
        <v>45903</v>
      </c>
      <c r="G75" s="38">
        <v>1</v>
      </c>
      <c r="H75" s="40">
        <v>0</v>
      </c>
      <c r="I75" s="38">
        <v>4</v>
      </c>
      <c r="J75" s="41">
        <v>45903</v>
      </c>
      <c r="K75" s="38" t="s">
        <v>10768</v>
      </c>
      <c r="L75" s="42">
        <v>20000000</v>
      </c>
      <c r="O75" s="39" t="s">
        <v>1104</v>
      </c>
      <c r="P75" s="5" t="str">
        <f t="shared" si="2"/>
        <v>A428</v>
      </c>
      <c r="Q75" s="5">
        <f t="shared" si="3"/>
        <v>2</v>
      </c>
      <c r="R75">
        <f>VLOOKUP(O75,'Data Angt'!$A$5:$F$5810,6,FALSE)</f>
        <v>56</v>
      </c>
      <c r="S75" s="5" t="str">
        <f>VLOOKUP(O75,'Data Angt'!$A$5:$H$5810,8,FALSE)</f>
        <v>Tenaga Pengajar</v>
      </c>
      <c r="T75" s="44" t="str">
        <f>VLOOKUP(O75,'Data Angt'!$A$5:$C$5809,3,FALSE)</f>
        <v>KRK</v>
      </c>
    </row>
    <row r="76" spans="1:20" x14ac:dyDescent="0.3">
      <c r="A76" s="37">
        <v>158329</v>
      </c>
      <c r="B76" s="38">
        <v>70</v>
      </c>
      <c r="C76" s="39" t="s">
        <v>321</v>
      </c>
      <c r="D76" s="10" t="str">
        <f>VLOOKUP(C76,'Data Angt'!$A$5:$B$5809,2,FALSE)</f>
        <v>A112</v>
      </c>
      <c r="E76" s="40" t="s">
        <v>23987</v>
      </c>
      <c r="F76" s="41">
        <v>45903</v>
      </c>
      <c r="G76" s="38">
        <v>1</v>
      </c>
      <c r="H76" s="40">
        <v>0</v>
      </c>
      <c r="I76" s="38">
        <v>4</v>
      </c>
      <c r="J76" s="41">
        <v>45903</v>
      </c>
      <c r="K76" s="38" t="s">
        <v>10768</v>
      </c>
      <c r="L76" s="42">
        <v>20000000</v>
      </c>
      <c r="O76" s="39" t="s">
        <v>1116</v>
      </c>
      <c r="P76" s="5" t="str">
        <f t="shared" si="2"/>
        <v>A434</v>
      </c>
      <c r="Q76" s="5">
        <f t="shared" si="3"/>
        <v>5</v>
      </c>
      <c r="R76">
        <f>VLOOKUP(O76,'Data Angt'!$A$5:$F$5810,6,FALSE)</f>
        <v>60</v>
      </c>
      <c r="S76" s="5" t="str">
        <f>VLOOKUP(O76,'Data Angt'!$A$5:$H$5810,8,FALSE)</f>
        <v>Tenaga Pengajar</v>
      </c>
      <c r="T76" s="44" t="str">
        <f>VLOOKUP(O76,'Data Angt'!$A$5:$C$5809,3,FALSE)</f>
        <v>PBL</v>
      </c>
    </row>
    <row r="77" spans="1:20" x14ac:dyDescent="0.3">
      <c r="A77" s="37">
        <v>152136</v>
      </c>
      <c r="B77" s="38">
        <v>71</v>
      </c>
      <c r="C77" s="39" t="s">
        <v>327</v>
      </c>
      <c r="D77" s="10" t="str">
        <f>VLOOKUP(C77,'Data Angt'!$A$5:$B$5809,2,FALSE)</f>
        <v>A114</v>
      </c>
      <c r="E77" s="40" t="s">
        <v>17995</v>
      </c>
      <c r="F77" s="41">
        <v>45670</v>
      </c>
      <c r="G77" s="38">
        <v>1</v>
      </c>
      <c r="H77" s="40">
        <v>0</v>
      </c>
      <c r="I77" s="38">
        <v>4</v>
      </c>
      <c r="J77" s="41">
        <v>45670</v>
      </c>
      <c r="K77" s="38" t="s">
        <v>10768</v>
      </c>
      <c r="L77" s="42">
        <v>50000000</v>
      </c>
      <c r="O77" s="39" t="s">
        <v>1123</v>
      </c>
      <c r="P77" s="5" t="str">
        <f t="shared" si="2"/>
        <v>A438</v>
      </c>
      <c r="Q77" s="5">
        <f t="shared" si="3"/>
        <v>1</v>
      </c>
      <c r="R77">
        <f>VLOOKUP(O77,'Data Angt'!$A$5:$F$5810,6,FALSE)</f>
        <v>60</v>
      </c>
      <c r="S77" s="5" t="str">
        <f>VLOOKUP(O77,'Data Angt'!$A$5:$H$5810,8,FALSE)</f>
        <v>Karyawan</v>
      </c>
      <c r="T77" s="44" t="str">
        <f>VLOOKUP(O77,'Data Angt'!$A$5:$C$5809,3,FALSE)</f>
        <v>JBR</v>
      </c>
    </row>
    <row r="78" spans="1:20" x14ac:dyDescent="0.3">
      <c r="A78" s="37">
        <v>156856</v>
      </c>
      <c r="B78" s="38">
        <v>72</v>
      </c>
      <c r="C78" s="39" t="s">
        <v>327</v>
      </c>
      <c r="D78" s="10" t="str">
        <f>VLOOKUP(C78,'Data Angt'!$A$5:$B$5809,2,FALSE)</f>
        <v>A114</v>
      </c>
      <c r="E78" s="40" t="s">
        <v>23988</v>
      </c>
      <c r="F78" s="41">
        <v>45846</v>
      </c>
      <c r="G78" s="38">
        <v>1</v>
      </c>
      <c r="H78" s="40">
        <v>0</v>
      </c>
      <c r="I78" s="38">
        <v>4</v>
      </c>
      <c r="J78" s="41">
        <v>45846</v>
      </c>
      <c r="K78" s="38" t="s">
        <v>10768</v>
      </c>
      <c r="L78" s="42">
        <v>50000000</v>
      </c>
      <c r="O78" s="39" t="s">
        <v>1126</v>
      </c>
      <c r="P78" s="5" t="str">
        <f t="shared" si="2"/>
        <v>A439</v>
      </c>
      <c r="Q78" s="5">
        <f t="shared" si="3"/>
        <v>6</v>
      </c>
      <c r="R78">
        <f>VLOOKUP(O78,'Data Angt'!$A$5:$F$5810,6,FALSE)</f>
        <v>57</v>
      </c>
      <c r="S78" s="5" t="str">
        <f>VLOOKUP(O78,'Data Angt'!$A$5:$H$5810,8,FALSE)</f>
        <v>Wiraswasta</v>
      </c>
      <c r="T78" s="44" t="str">
        <f>VLOOKUP(O78,'Data Angt'!$A$5:$C$5809,3,FALSE)</f>
        <v>KRK</v>
      </c>
    </row>
    <row r="79" spans="1:20" x14ac:dyDescent="0.3">
      <c r="A79" s="37">
        <v>77906</v>
      </c>
      <c r="B79" s="38">
        <v>73</v>
      </c>
      <c r="C79" s="39" t="s">
        <v>331</v>
      </c>
      <c r="D79" s="10" t="str">
        <f>VLOOKUP(C79,'Data Angt'!$A$5:$B$5809,2,FALSE)</f>
        <v>A115</v>
      </c>
      <c r="E79" s="40" t="s">
        <v>11944</v>
      </c>
      <c r="F79" s="41">
        <v>41404</v>
      </c>
      <c r="G79" s="38">
        <v>1</v>
      </c>
      <c r="H79" s="40">
        <v>0</v>
      </c>
      <c r="I79" s="38">
        <v>4</v>
      </c>
      <c r="J79" s="41">
        <v>41552</v>
      </c>
      <c r="K79" s="38" t="s">
        <v>10768</v>
      </c>
      <c r="L79" s="42">
        <v>150000000</v>
      </c>
      <c r="O79" s="39" t="s">
        <v>1157</v>
      </c>
      <c r="P79" s="5" t="str">
        <f t="shared" si="2"/>
        <v>A452</v>
      </c>
      <c r="Q79" s="5">
        <f t="shared" si="3"/>
        <v>1</v>
      </c>
      <c r="R79">
        <f>VLOOKUP(O79,'Data Angt'!$A$5:$F$5810,6,FALSE)</f>
        <v>47</v>
      </c>
      <c r="S79" s="5" t="str">
        <f>VLOOKUP(O79,'Data Angt'!$A$5:$H$5810,8,FALSE)</f>
        <v>Karyawan</v>
      </c>
      <c r="T79" s="44" t="str">
        <f>VLOOKUP(O79,'Data Angt'!$A$5:$C$5809,3,FALSE)</f>
        <v>PBL</v>
      </c>
    </row>
    <row r="80" spans="1:20" x14ac:dyDescent="0.3">
      <c r="A80" s="37">
        <v>123932</v>
      </c>
      <c r="B80" s="38">
        <v>74</v>
      </c>
      <c r="C80" s="39" t="s">
        <v>341</v>
      </c>
      <c r="D80" s="10" t="str">
        <f>VLOOKUP(C80,'Data Angt'!$A$5:$B$5809,2,FALSE)</f>
        <v>A118</v>
      </c>
      <c r="E80" s="40" t="s">
        <v>11943</v>
      </c>
      <c r="F80" s="41">
        <v>44011</v>
      </c>
      <c r="G80" s="38">
        <v>1</v>
      </c>
      <c r="H80" s="40">
        <v>0</v>
      </c>
      <c r="I80" s="38">
        <v>4</v>
      </c>
      <c r="J80" s="41">
        <v>45077</v>
      </c>
      <c r="K80" s="38" t="s">
        <v>10768</v>
      </c>
      <c r="L80" s="42">
        <v>7000000</v>
      </c>
      <c r="O80" s="39" t="s">
        <v>1184</v>
      </c>
      <c r="P80" s="5" t="str">
        <f t="shared" si="2"/>
        <v>A463</v>
      </c>
      <c r="Q80" s="5">
        <f t="shared" si="3"/>
        <v>6</v>
      </c>
      <c r="R80">
        <f>VLOOKUP(O80,'Data Angt'!$A$5:$F$5810,6,FALSE)</f>
        <v>62</v>
      </c>
      <c r="S80" s="5" t="str">
        <f>VLOOKUP(O80,'Data Angt'!$A$5:$H$5810,8,FALSE)</f>
        <v>Mengurus Rumah Tangga</v>
      </c>
      <c r="T80" s="44" t="str">
        <f>VLOOKUP(O80,'Data Angt'!$A$5:$C$5809,3,FALSE)</f>
        <v>KRK</v>
      </c>
    </row>
    <row r="81" spans="1:20" x14ac:dyDescent="0.3">
      <c r="A81" s="37">
        <v>154519</v>
      </c>
      <c r="B81" s="38">
        <v>75</v>
      </c>
      <c r="C81" s="39" t="s">
        <v>341</v>
      </c>
      <c r="D81" s="10" t="str">
        <f>VLOOKUP(C81,'Data Angt'!$A$5:$B$5809,2,FALSE)</f>
        <v>A118</v>
      </c>
      <c r="E81" s="40" t="s">
        <v>17996</v>
      </c>
      <c r="F81" s="41">
        <v>45729</v>
      </c>
      <c r="G81" s="38">
        <v>1</v>
      </c>
      <c r="H81" s="40">
        <v>0</v>
      </c>
      <c r="I81" s="38">
        <v>4</v>
      </c>
      <c r="J81" s="41">
        <v>45729</v>
      </c>
      <c r="K81" s="38" t="s">
        <v>10768</v>
      </c>
      <c r="L81" s="42">
        <v>40000000</v>
      </c>
      <c r="O81" s="39" t="s">
        <v>1239</v>
      </c>
      <c r="P81" s="5" t="str">
        <f t="shared" si="2"/>
        <v>A482</v>
      </c>
      <c r="Q81" s="5">
        <f t="shared" si="3"/>
        <v>1</v>
      </c>
      <c r="R81">
        <f>VLOOKUP(O81,'Data Angt'!$A$5:$F$5810,6,FALSE)</f>
        <v>58</v>
      </c>
      <c r="S81" s="5" t="str">
        <f>VLOOKUP(O81,'Data Angt'!$A$5:$H$5810,8,FALSE)</f>
        <v>Aparatur/Pejabat Negara</v>
      </c>
      <c r="T81" s="44" t="str">
        <f>VLOOKUP(O81,'Data Angt'!$A$5:$C$5809,3,FALSE)</f>
        <v>PBL</v>
      </c>
    </row>
    <row r="82" spans="1:20" x14ac:dyDescent="0.3">
      <c r="A82" s="37">
        <v>156981</v>
      </c>
      <c r="B82" s="38">
        <v>76</v>
      </c>
      <c r="C82" s="39" t="s">
        <v>344</v>
      </c>
      <c r="D82" s="10" t="str">
        <f>VLOOKUP(C82,'Data Angt'!$A$5:$B$5809,2,FALSE)</f>
        <v>A119</v>
      </c>
      <c r="E82" s="40" t="s">
        <v>23989</v>
      </c>
      <c r="F82" s="41">
        <v>45852</v>
      </c>
      <c r="G82" s="38">
        <v>1</v>
      </c>
      <c r="H82" s="40">
        <v>0</v>
      </c>
      <c r="I82" s="38">
        <v>4</v>
      </c>
      <c r="J82" s="41">
        <v>45852</v>
      </c>
      <c r="K82" s="38" t="s">
        <v>10768</v>
      </c>
      <c r="L82" s="42">
        <v>12000000</v>
      </c>
      <c r="O82" s="39" t="s">
        <v>1243</v>
      </c>
      <c r="P82" s="5" t="str">
        <f t="shared" si="2"/>
        <v>A484</v>
      </c>
      <c r="Q82" s="5">
        <f t="shared" si="3"/>
        <v>1</v>
      </c>
      <c r="R82">
        <f>VLOOKUP(O82,'Data Angt'!$A$5:$F$5810,6,FALSE)</f>
        <v>36</v>
      </c>
      <c r="S82" s="5" t="str">
        <f>VLOOKUP(O82,'Data Angt'!$A$5:$H$5810,8,FALSE)</f>
        <v>Karyawan</v>
      </c>
      <c r="T82" s="44" t="str">
        <f>VLOOKUP(O82,'Data Angt'!$A$5:$C$5809,3,FALSE)</f>
        <v>JBR</v>
      </c>
    </row>
    <row r="83" spans="1:20" x14ac:dyDescent="0.3">
      <c r="A83" s="37">
        <v>158736</v>
      </c>
      <c r="B83" s="38">
        <v>77</v>
      </c>
      <c r="C83" s="39" t="s">
        <v>348</v>
      </c>
      <c r="D83" s="10" t="str">
        <f>VLOOKUP(C83,'Data Angt'!$A$5:$B$5809,2,FALSE)</f>
        <v>A120</v>
      </c>
      <c r="E83" s="40" t="s">
        <v>23990</v>
      </c>
      <c r="F83" s="41">
        <v>45922</v>
      </c>
      <c r="G83" s="38">
        <v>3</v>
      </c>
      <c r="H83" s="40">
        <v>0</v>
      </c>
      <c r="I83" s="38">
        <v>4</v>
      </c>
      <c r="J83" s="41">
        <v>45922</v>
      </c>
      <c r="K83" s="38" t="s">
        <v>10768</v>
      </c>
      <c r="L83" s="42">
        <v>30000000</v>
      </c>
      <c r="O83" s="39" t="s">
        <v>1261</v>
      </c>
      <c r="P83" s="5" t="str">
        <f t="shared" si="2"/>
        <v>A491</v>
      </c>
      <c r="Q83" s="5">
        <f t="shared" si="3"/>
        <v>1</v>
      </c>
      <c r="R83">
        <f>VLOOKUP(O83,'Data Angt'!$A$5:$F$5810,6,FALSE)</f>
        <v>47</v>
      </c>
      <c r="S83" s="5" t="str">
        <f>VLOOKUP(O83,'Data Angt'!$A$5:$H$5810,8,FALSE)</f>
        <v>Karyawan</v>
      </c>
      <c r="T83" s="44" t="str">
        <f>VLOOKUP(O83,'Data Angt'!$A$5:$C$5809,3,FALSE)</f>
        <v>MGL</v>
      </c>
    </row>
    <row r="84" spans="1:20" x14ac:dyDescent="0.3">
      <c r="A84" s="37">
        <v>143150</v>
      </c>
      <c r="B84" s="38">
        <v>78</v>
      </c>
      <c r="C84" s="39" t="s">
        <v>358</v>
      </c>
      <c r="D84" s="10" t="str">
        <f>VLOOKUP(C84,'Data Angt'!$A$5:$B$5809,2,FALSE)</f>
        <v>A123</v>
      </c>
      <c r="E84" s="40" t="s">
        <v>17997</v>
      </c>
      <c r="F84" s="41">
        <v>45355</v>
      </c>
      <c r="G84" s="38">
        <v>1</v>
      </c>
      <c r="H84" s="40">
        <v>0</v>
      </c>
      <c r="I84" s="38">
        <v>4</v>
      </c>
      <c r="J84" s="41">
        <v>45355</v>
      </c>
      <c r="K84" s="38" t="s">
        <v>10768</v>
      </c>
      <c r="L84" s="42">
        <v>5000000</v>
      </c>
      <c r="O84" s="39" t="s">
        <v>1293</v>
      </c>
      <c r="P84" s="5" t="str">
        <f t="shared" si="2"/>
        <v>A503</v>
      </c>
      <c r="Q84" s="5">
        <f t="shared" si="3"/>
        <v>1</v>
      </c>
      <c r="R84">
        <f>VLOOKUP(O84,'Data Angt'!$A$5:$F$5810,6,FALSE)</f>
        <v>57</v>
      </c>
      <c r="S84" s="5" t="str">
        <f>VLOOKUP(O84,'Data Angt'!$A$5:$H$5810,8,FALSE)</f>
        <v>Lain-Lain</v>
      </c>
      <c r="T84" s="44" t="str">
        <f>VLOOKUP(O84,'Data Angt'!$A$5:$C$5809,3,FALSE)</f>
        <v>JBR</v>
      </c>
    </row>
    <row r="85" spans="1:20" x14ac:dyDescent="0.3">
      <c r="A85" s="37">
        <v>144031</v>
      </c>
      <c r="B85" s="38">
        <v>79</v>
      </c>
      <c r="C85" s="39" t="s">
        <v>358</v>
      </c>
      <c r="D85" s="10" t="str">
        <f>VLOOKUP(C85,'Data Angt'!$A$5:$B$5809,2,FALSE)</f>
        <v>A123</v>
      </c>
      <c r="E85" s="40" t="s">
        <v>17998</v>
      </c>
      <c r="F85" s="41">
        <v>45380</v>
      </c>
      <c r="G85" s="38">
        <v>1</v>
      </c>
      <c r="H85" s="40">
        <v>0</v>
      </c>
      <c r="I85" s="38">
        <v>4</v>
      </c>
      <c r="J85" s="41">
        <v>45380</v>
      </c>
      <c r="K85" s="38" t="s">
        <v>10768</v>
      </c>
      <c r="L85" s="42">
        <v>7000000</v>
      </c>
      <c r="O85" s="39" t="s">
        <v>1296</v>
      </c>
      <c r="P85" s="5" t="str">
        <f t="shared" si="2"/>
        <v>A504</v>
      </c>
      <c r="Q85" s="5">
        <f t="shared" si="3"/>
        <v>3</v>
      </c>
      <c r="R85">
        <f>VLOOKUP(O85,'Data Angt'!$A$5:$F$5810,6,FALSE)</f>
        <v>70</v>
      </c>
      <c r="S85" s="5" t="str">
        <f>VLOOKUP(O85,'Data Angt'!$A$5:$H$5810,8,FALSE)</f>
        <v>Wiraswasta</v>
      </c>
      <c r="T85" s="44" t="str">
        <f>VLOOKUP(O85,'Data Angt'!$A$5:$C$5809,3,FALSE)</f>
        <v>PBL</v>
      </c>
    </row>
    <row r="86" spans="1:20" x14ac:dyDescent="0.3">
      <c r="A86" s="37">
        <v>144591</v>
      </c>
      <c r="B86" s="38">
        <v>80</v>
      </c>
      <c r="C86" s="39" t="s">
        <v>358</v>
      </c>
      <c r="D86" s="10" t="str">
        <f>VLOOKUP(C86,'Data Angt'!$A$5:$B$5809,2,FALSE)</f>
        <v>A123</v>
      </c>
      <c r="E86" s="40" t="s">
        <v>17999</v>
      </c>
      <c r="F86" s="41">
        <v>45414</v>
      </c>
      <c r="G86" s="38">
        <v>1</v>
      </c>
      <c r="H86" s="40">
        <v>0</v>
      </c>
      <c r="I86" s="38">
        <v>4</v>
      </c>
      <c r="J86" s="41">
        <v>45414</v>
      </c>
      <c r="K86" s="38" t="s">
        <v>10768</v>
      </c>
      <c r="L86" s="42">
        <v>2000000</v>
      </c>
      <c r="O86" s="39" t="s">
        <v>12142</v>
      </c>
      <c r="P86" s="5" t="str">
        <f t="shared" si="2"/>
        <v>A515</v>
      </c>
      <c r="Q86" s="5">
        <f t="shared" si="3"/>
        <v>1</v>
      </c>
      <c r="R86">
        <f>VLOOKUP(O86,'Data Angt'!$A$5:$F$5810,6,FALSE)</f>
        <v>19</v>
      </c>
      <c r="S86" s="5">
        <f>VLOOKUP(O86,'Data Angt'!$A$5:$H$5810,8,FALSE)</f>
        <v>0</v>
      </c>
      <c r="T86" s="44" t="str">
        <f>VLOOKUP(O86,'Data Angt'!$A$5:$C$5809,3,FALSE)</f>
        <v>PBL</v>
      </c>
    </row>
    <row r="87" spans="1:20" x14ac:dyDescent="0.3">
      <c r="A87" s="37">
        <v>152509</v>
      </c>
      <c r="B87" s="38">
        <v>81</v>
      </c>
      <c r="C87" s="39" t="s">
        <v>358</v>
      </c>
      <c r="D87" s="10" t="str">
        <f>VLOOKUP(C87,'Data Angt'!$A$5:$B$5809,2,FALSE)</f>
        <v>A123</v>
      </c>
      <c r="E87" s="40" t="s">
        <v>18000</v>
      </c>
      <c r="F87" s="41">
        <v>45682</v>
      </c>
      <c r="G87" s="38">
        <v>1</v>
      </c>
      <c r="H87" s="40">
        <v>0</v>
      </c>
      <c r="I87" s="38">
        <v>4</v>
      </c>
      <c r="J87" s="41">
        <v>45682</v>
      </c>
      <c r="K87" s="38" t="s">
        <v>10768</v>
      </c>
      <c r="L87" s="42">
        <v>5000000</v>
      </c>
      <c r="O87" s="39" t="s">
        <v>1321</v>
      </c>
      <c r="P87" s="5" t="str">
        <f t="shared" si="2"/>
        <v>A516</v>
      </c>
      <c r="Q87" s="5">
        <f t="shared" si="3"/>
        <v>1</v>
      </c>
      <c r="R87">
        <f>VLOOKUP(O87,'Data Angt'!$A$5:$F$5810,6,FALSE)</f>
        <v>58</v>
      </c>
      <c r="S87" s="5" t="str">
        <f>VLOOKUP(O87,'Data Angt'!$A$5:$H$5810,8,FALSE)</f>
        <v>Pensiunan</v>
      </c>
      <c r="T87" s="44" t="str">
        <f>VLOOKUP(O87,'Data Angt'!$A$5:$C$5809,3,FALSE)</f>
        <v>JBR</v>
      </c>
    </row>
    <row r="88" spans="1:20" x14ac:dyDescent="0.3">
      <c r="A88" s="37">
        <v>152698</v>
      </c>
      <c r="B88" s="38">
        <v>82</v>
      </c>
      <c r="C88" s="39" t="s">
        <v>358</v>
      </c>
      <c r="D88" s="10" t="str">
        <f>VLOOKUP(C88,'Data Angt'!$A$5:$B$5809,2,FALSE)</f>
        <v>A123</v>
      </c>
      <c r="E88" s="40" t="s">
        <v>18001</v>
      </c>
      <c r="F88" s="41">
        <v>45691</v>
      </c>
      <c r="G88" s="38">
        <v>1</v>
      </c>
      <c r="H88" s="40">
        <v>0</v>
      </c>
      <c r="I88" s="38">
        <v>4</v>
      </c>
      <c r="J88" s="41">
        <v>45692</v>
      </c>
      <c r="K88" s="38" t="s">
        <v>10768</v>
      </c>
      <c r="L88" s="42">
        <v>9000000</v>
      </c>
      <c r="O88" s="39" t="s">
        <v>1332</v>
      </c>
      <c r="P88" s="5" t="str">
        <f t="shared" si="2"/>
        <v>A520</v>
      </c>
      <c r="Q88" s="5">
        <f t="shared" si="3"/>
        <v>2</v>
      </c>
      <c r="R88">
        <f>VLOOKUP(O88,'Data Angt'!$A$5:$F$5810,6,FALSE)</f>
        <v>45</v>
      </c>
      <c r="S88" s="5" t="str">
        <f>VLOOKUP(O88,'Data Angt'!$A$5:$H$5810,8,FALSE)</f>
        <v>Wiraswasta</v>
      </c>
      <c r="T88" s="44" t="str">
        <f>VLOOKUP(O88,'Data Angt'!$A$5:$C$5809,3,FALSE)</f>
        <v>PBL</v>
      </c>
    </row>
    <row r="89" spans="1:20" x14ac:dyDescent="0.3">
      <c r="A89" s="37">
        <v>154929</v>
      </c>
      <c r="B89" s="38">
        <v>83</v>
      </c>
      <c r="C89" s="39" t="s">
        <v>358</v>
      </c>
      <c r="D89" s="10" t="str">
        <f>VLOOKUP(C89,'Data Angt'!$A$5:$B$5809,2,FALSE)</f>
        <v>A123</v>
      </c>
      <c r="E89" s="40" t="s">
        <v>18002</v>
      </c>
      <c r="F89" s="41">
        <v>45756</v>
      </c>
      <c r="G89" s="38">
        <v>1</v>
      </c>
      <c r="H89" s="40">
        <v>0</v>
      </c>
      <c r="I89" s="38">
        <v>4</v>
      </c>
      <c r="J89" s="41">
        <v>45756</v>
      </c>
      <c r="K89" s="38" t="s">
        <v>10768</v>
      </c>
      <c r="L89" s="42">
        <v>3500000</v>
      </c>
      <c r="O89" s="39" t="s">
        <v>1343</v>
      </c>
      <c r="P89" s="5" t="str">
        <f t="shared" si="2"/>
        <v>A524</v>
      </c>
      <c r="Q89" s="5">
        <f t="shared" si="3"/>
        <v>1</v>
      </c>
      <c r="R89">
        <f>VLOOKUP(O89,'Data Angt'!$A$5:$F$5810,6,FALSE)</f>
        <v>56</v>
      </c>
      <c r="S89" s="5" t="str">
        <f>VLOOKUP(O89,'Data Angt'!$A$5:$H$5810,8,FALSE)</f>
        <v>Wiraswasta</v>
      </c>
      <c r="T89" s="44" t="str">
        <f>VLOOKUP(O89,'Data Angt'!$A$5:$C$5809,3,FALSE)</f>
        <v>PBL</v>
      </c>
    </row>
    <row r="90" spans="1:20" x14ac:dyDescent="0.3">
      <c r="A90" s="37">
        <v>139049</v>
      </c>
      <c r="B90" s="38">
        <v>84</v>
      </c>
      <c r="C90" s="39" t="s">
        <v>362</v>
      </c>
      <c r="D90" s="10" t="str">
        <f>VLOOKUP(C90,'Data Angt'!$A$5:$B$5809,2,FALSE)</f>
        <v>A124</v>
      </c>
      <c r="E90" s="40" t="s">
        <v>11942</v>
      </c>
      <c r="F90" s="41">
        <v>45168</v>
      </c>
      <c r="G90" s="38">
        <v>1</v>
      </c>
      <c r="H90" s="40">
        <v>0</v>
      </c>
      <c r="I90" s="38">
        <v>4</v>
      </c>
      <c r="J90" s="41">
        <v>45168</v>
      </c>
      <c r="K90" s="38" t="s">
        <v>10768</v>
      </c>
      <c r="L90" s="42">
        <v>10000000</v>
      </c>
      <c r="O90" s="39" t="s">
        <v>1361</v>
      </c>
      <c r="P90" s="5" t="str">
        <f t="shared" si="2"/>
        <v>A533</v>
      </c>
      <c r="Q90" s="5">
        <f t="shared" si="3"/>
        <v>1</v>
      </c>
      <c r="R90">
        <f>VLOOKUP(O90,'Data Angt'!$A$5:$F$5810,6,FALSE)</f>
        <v>41</v>
      </c>
      <c r="S90" s="5" t="str">
        <f>VLOOKUP(O90,'Data Angt'!$A$5:$H$5810,8,FALSE)</f>
        <v>Karyawan</v>
      </c>
      <c r="T90" s="44" t="str">
        <f>VLOOKUP(O90,'Data Angt'!$A$5:$C$5809,3,FALSE)</f>
        <v>JBR</v>
      </c>
    </row>
    <row r="91" spans="1:20" x14ac:dyDescent="0.3">
      <c r="A91" s="37">
        <v>78889</v>
      </c>
      <c r="B91" s="38">
        <v>85</v>
      </c>
      <c r="C91" s="39" t="s">
        <v>368</v>
      </c>
      <c r="D91" s="10" t="str">
        <f>VLOOKUP(C91,'Data Angt'!$A$5:$B$5809,2,FALSE)</f>
        <v>A126</v>
      </c>
      <c r="E91" s="40" t="s">
        <v>11941</v>
      </c>
      <c r="F91" s="41">
        <v>40087</v>
      </c>
      <c r="G91" s="38">
        <v>1</v>
      </c>
      <c r="H91" s="40">
        <v>0</v>
      </c>
      <c r="I91" s="38">
        <v>4</v>
      </c>
      <c r="J91" s="41">
        <v>39823</v>
      </c>
      <c r="K91" s="38" t="s">
        <v>10768</v>
      </c>
      <c r="L91" s="42">
        <v>4000000</v>
      </c>
      <c r="O91" s="39" t="s">
        <v>1365</v>
      </c>
      <c r="P91" s="5" t="str">
        <f t="shared" si="2"/>
        <v>A535</v>
      </c>
      <c r="Q91" s="5">
        <f t="shared" si="3"/>
        <v>2</v>
      </c>
      <c r="R91">
        <f>VLOOKUP(O91,'Data Angt'!$A$5:$F$5810,6,FALSE)</f>
        <v>54</v>
      </c>
      <c r="S91" s="5" t="str">
        <f>VLOOKUP(O91,'Data Angt'!$A$5:$H$5810,8,FALSE)</f>
        <v>Karyawan</v>
      </c>
      <c r="T91" s="44" t="str">
        <f>VLOOKUP(O91,'Data Angt'!$A$5:$C$5809,3,FALSE)</f>
        <v>MGL</v>
      </c>
    </row>
    <row r="92" spans="1:20" x14ac:dyDescent="0.3">
      <c r="A92" s="37">
        <v>145856</v>
      </c>
      <c r="B92" s="38">
        <v>86</v>
      </c>
      <c r="C92" s="39" t="s">
        <v>389</v>
      </c>
      <c r="D92" s="10" t="str">
        <f>VLOOKUP(C92,'Data Angt'!$A$5:$B$5809,2,FALSE)</f>
        <v>A133</v>
      </c>
      <c r="E92" s="40" t="s">
        <v>18003</v>
      </c>
      <c r="F92" s="41">
        <v>45449</v>
      </c>
      <c r="G92" s="38">
        <v>1</v>
      </c>
      <c r="H92" s="40">
        <v>0</v>
      </c>
      <c r="I92" s="38">
        <v>4</v>
      </c>
      <c r="J92" s="41">
        <v>45449</v>
      </c>
      <c r="K92" s="38" t="s">
        <v>10768</v>
      </c>
      <c r="L92" s="42">
        <v>50000000</v>
      </c>
      <c r="O92" s="39" t="s">
        <v>1371</v>
      </c>
      <c r="P92" s="5" t="str">
        <f t="shared" si="2"/>
        <v>A537</v>
      </c>
      <c r="Q92" s="5">
        <f t="shared" si="3"/>
        <v>16</v>
      </c>
      <c r="R92">
        <f>VLOOKUP(O92,'Data Angt'!$A$5:$F$5810,6,FALSE)</f>
        <v>55</v>
      </c>
      <c r="S92" s="5" t="str">
        <f>VLOOKUP(O92,'Data Angt'!$A$5:$H$5810,8,FALSE)</f>
        <v>Pemuka Agama</v>
      </c>
      <c r="T92" s="44" t="str">
        <f>VLOOKUP(O92,'Data Angt'!$A$5:$C$5809,3,FALSE)</f>
        <v>PBL</v>
      </c>
    </row>
    <row r="93" spans="1:20" x14ac:dyDescent="0.3">
      <c r="A93" s="37">
        <v>133433</v>
      </c>
      <c r="B93" s="38">
        <v>87</v>
      </c>
      <c r="C93" s="39" t="s">
        <v>404</v>
      </c>
      <c r="D93" s="10" t="str">
        <f>VLOOKUP(C93,'Data Angt'!$A$5:$B$5809,2,FALSE)</f>
        <v>A139</v>
      </c>
      <c r="E93" s="40" t="s">
        <v>11940</v>
      </c>
      <c r="F93" s="41">
        <v>44742</v>
      </c>
      <c r="G93" s="38">
        <v>1</v>
      </c>
      <c r="H93" s="40">
        <v>0</v>
      </c>
      <c r="I93" s="38">
        <v>4</v>
      </c>
      <c r="J93" s="41">
        <v>44742</v>
      </c>
      <c r="K93" s="38" t="s">
        <v>10768</v>
      </c>
      <c r="L93" s="42">
        <v>20000000</v>
      </c>
      <c r="O93" s="39" t="s">
        <v>1379</v>
      </c>
      <c r="P93" s="5" t="str">
        <f t="shared" si="2"/>
        <v>A540</v>
      </c>
      <c r="Q93" s="5">
        <f t="shared" si="3"/>
        <v>1</v>
      </c>
      <c r="R93">
        <f>VLOOKUP(O93,'Data Angt'!$A$5:$F$5810,6,FALSE)</f>
        <v>43</v>
      </c>
      <c r="S93" s="5" t="str">
        <f>VLOOKUP(O93,'Data Angt'!$A$5:$H$5810,8,FALSE)</f>
        <v>Tenaga Pengajar</v>
      </c>
      <c r="T93" s="44" t="str">
        <f>VLOOKUP(O93,'Data Angt'!$A$5:$C$5809,3,FALSE)</f>
        <v>MJK</v>
      </c>
    </row>
    <row r="94" spans="1:20" x14ac:dyDescent="0.3">
      <c r="A94" s="37">
        <v>78891</v>
      </c>
      <c r="B94" s="38">
        <v>88</v>
      </c>
      <c r="C94" s="39" t="s">
        <v>413</v>
      </c>
      <c r="D94" s="10" t="str">
        <f>VLOOKUP(C94,'Data Angt'!$A$5:$B$5809,2,FALSE)</f>
        <v>A143</v>
      </c>
      <c r="E94" s="40" t="s">
        <v>11939</v>
      </c>
      <c r="F94" s="41">
        <v>40102</v>
      </c>
      <c r="G94" s="38">
        <v>1</v>
      </c>
      <c r="H94" s="40">
        <v>0</v>
      </c>
      <c r="I94" s="38">
        <v>4</v>
      </c>
      <c r="J94" s="41">
        <v>40102</v>
      </c>
      <c r="K94" s="38" t="s">
        <v>10768</v>
      </c>
      <c r="L94" s="42">
        <v>1000000</v>
      </c>
      <c r="O94" s="39" t="s">
        <v>1403</v>
      </c>
      <c r="P94" s="5" t="str">
        <f t="shared" si="2"/>
        <v>A549</v>
      </c>
      <c r="Q94" s="5">
        <f t="shared" si="3"/>
        <v>1</v>
      </c>
      <c r="R94">
        <f>VLOOKUP(O94,'Data Angt'!$A$5:$F$5810,6,FALSE)</f>
        <v>56</v>
      </c>
      <c r="S94" s="5" t="str">
        <f>VLOOKUP(O94,'Data Angt'!$A$5:$H$5810,8,FALSE)</f>
        <v>Petani/Pekebun/Nelayan</v>
      </c>
      <c r="T94" s="44" t="str">
        <f>VLOOKUP(O94,'Data Angt'!$A$5:$C$5809,3,FALSE)</f>
        <v>JBR</v>
      </c>
    </row>
    <row r="95" spans="1:20" x14ac:dyDescent="0.3">
      <c r="A95" s="37">
        <v>158752</v>
      </c>
      <c r="B95" s="38">
        <v>89</v>
      </c>
      <c r="C95" s="39" t="s">
        <v>417</v>
      </c>
      <c r="D95" s="10" t="str">
        <f>VLOOKUP(C95,'Data Angt'!$A$5:$B$5809,2,FALSE)</f>
        <v>A145</v>
      </c>
      <c r="E95" s="40" t="s">
        <v>23991</v>
      </c>
      <c r="F95" s="41">
        <v>45923</v>
      </c>
      <c r="G95" s="38">
        <v>1</v>
      </c>
      <c r="H95" s="40">
        <v>0</v>
      </c>
      <c r="I95" s="38">
        <v>4</v>
      </c>
      <c r="J95" s="41">
        <v>45923</v>
      </c>
      <c r="K95" s="38" t="s">
        <v>10768</v>
      </c>
      <c r="L95" s="42">
        <v>45000000</v>
      </c>
      <c r="O95" s="39" t="s">
        <v>1415</v>
      </c>
      <c r="P95" s="5" t="str">
        <f t="shared" si="2"/>
        <v>A555</v>
      </c>
      <c r="Q95" s="5">
        <f t="shared" si="3"/>
        <v>1</v>
      </c>
      <c r="R95">
        <f>VLOOKUP(O95,'Data Angt'!$A$5:$F$5810,6,FALSE)</f>
        <v>60</v>
      </c>
      <c r="S95" s="5" t="str">
        <f>VLOOKUP(O95,'Data Angt'!$A$5:$H$5810,8,FALSE)</f>
        <v>Karyawan</v>
      </c>
      <c r="T95" s="44" t="str">
        <f>VLOOKUP(O95,'Data Angt'!$A$5:$C$5809,3,FALSE)</f>
        <v>JBR</v>
      </c>
    </row>
    <row r="96" spans="1:20" x14ac:dyDescent="0.3">
      <c r="A96" s="37">
        <v>157231</v>
      </c>
      <c r="B96" s="38">
        <v>90</v>
      </c>
      <c r="C96" s="39" t="s">
        <v>464</v>
      </c>
      <c r="D96" s="10" t="str">
        <f>VLOOKUP(C96,'Data Angt'!$A$5:$B$5809,2,FALSE)</f>
        <v>A163</v>
      </c>
      <c r="E96" s="40" t="s">
        <v>23992</v>
      </c>
      <c r="F96" s="41">
        <v>45860</v>
      </c>
      <c r="G96" s="38">
        <v>1</v>
      </c>
      <c r="H96" s="40">
        <v>0</v>
      </c>
      <c r="I96" s="38">
        <v>4</v>
      </c>
      <c r="J96" s="41">
        <v>45860</v>
      </c>
      <c r="K96" s="38" t="s">
        <v>10768</v>
      </c>
      <c r="L96" s="42">
        <v>16000000</v>
      </c>
      <c r="O96" s="39" t="s">
        <v>1435</v>
      </c>
      <c r="P96" s="5" t="str">
        <f t="shared" si="2"/>
        <v>A564</v>
      </c>
      <c r="Q96" s="5">
        <f t="shared" si="3"/>
        <v>1</v>
      </c>
      <c r="R96">
        <f>VLOOKUP(O96,'Data Angt'!$A$5:$F$5810,6,FALSE)</f>
        <v>69</v>
      </c>
      <c r="S96" s="5" t="str">
        <f>VLOOKUP(O96,'Data Angt'!$A$5:$H$5810,8,FALSE)</f>
        <v>Mengurus Rumah Tangga</v>
      </c>
      <c r="T96" s="44" t="str">
        <f>VLOOKUP(O96,'Data Angt'!$A$5:$C$5809,3,FALSE)</f>
        <v>JBR</v>
      </c>
    </row>
    <row r="97" spans="1:20" x14ac:dyDescent="0.3">
      <c r="A97" s="37">
        <v>146568</v>
      </c>
      <c r="B97" s="38">
        <v>91</v>
      </c>
      <c r="C97" s="39" t="s">
        <v>464</v>
      </c>
      <c r="D97" s="10" t="str">
        <f>VLOOKUP(C97,'Data Angt'!$A$5:$B$5809,2,FALSE)</f>
        <v>A163</v>
      </c>
      <c r="E97" s="40" t="s">
        <v>18004</v>
      </c>
      <c r="F97" s="41">
        <v>45488</v>
      </c>
      <c r="G97" s="38">
        <v>1</v>
      </c>
      <c r="H97" s="40">
        <v>0</v>
      </c>
      <c r="I97" s="38">
        <v>4</v>
      </c>
      <c r="J97" s="41">
        <v>45488</v>
      </c>
      <c r="K97" s="38" t="s">
        <v>10768</v>
      </c>
      <c r="L97" s="42">
        <v>10000000</v>
      </c>
      <c r="O97" s="104" t="s">
        <v>1437</v>
      </c>
      <c r="P97" s="5" t="str">
        <f t="shared" si="2"/>
        <v>A565</v>
      </c>
      <c r="Q97" s="5">
        <f t="shared" si="3"/>
        <v>2</v>
      </c>
      <c r="R97">
        <f>VLOOKUP(O97,'Data Angt'!$A$5:$F$5810,6,FALSE)</f>
        <v>48</v>
      </c>
      <c r="S97" s="5" t="str">
        <f>VLOOKUP(O97,'Data Angt'!$A$5:$H$5810,8,FALSE)</f>
        <v>Wiraswasta</v>
      </c>
      <c r="T97" s="44" t="str">
        <f>VLOOKUP(O97,'Data Angt'!$A$5:$C$5809,3,FALSE)</f>
        <v>MJK</v>
      </c>
    </row>
    <row r="98" spans="1:20" x14ac:dyDescent="0.3">
      <c r="A98" s="37">
        <v>120453</v>
      </c>
      <c r="B98" s="38">
        <v>92</v>
      </c>
      <c r="C98" s="39" t="s">
        <v>473</v>
      </c>
      <c r="D98" s="10" t="str">
        <f>VLOOKUP(C98,'Data Angt'!$A$5:$B$5809,2,FALSE)</f>
        <v>A167</v>
      </c>
      <c r="E98" s="40" t="s">
        <v>11725</v>
      </c>
      <c r="F98" s="41">
        <v>43867</v>
      </c>
      <c r="G98" s="38">
        <v>3</v>
      </c>
      <c r="H98" s="40">
        <v>0</v>
      </c>
      <c r="I98" s="38">
        <v>4</v>
      </c>
      <c r="J98" s="41">
        <v>43867</v>
      </c>
      <c r="K98" s="38" t="s">
        <v>10768</v>
      </c>
      <c r="L98" s="42">
        <v>6000000</v>
      </c>
      <c r="O98" s="39" t="s">
        <v>1457</v>
      </c>
      <c r="P98" s="5" t="str">
        <f t="shared" si="2"/>
        <v>A572</v>
      </c>
      <c r="Q98" s="5">
        <f t="shared" si="3"/>
        <v>2</v>
      </c>
      <c r="R98">
        <f>VLOOKUP(O98,'Data Angt'!$A$5:$F$5810,6,FALSE)</f>
        <v>69</v>
      </c>
      <c r="S98" s="5" t="str">
        <f>VLOOKUP(O98,'Data Angt'!$A$5:$H$5810,8,FALSE)</f>
        <v>Wiraswasta</v>
      </c>
      <c r="T98" s="44" t="str">
        <f>VLOOKUP(O98,'Data Angt'!$A$5:$C$5809,3,FALSE)</f>
        <v>KRK</v>
      </c>
    </row>
    <row r="99" spans="1:20" x14ac:dyDescent="0.3">
      <c r="A99" s="37">
        <v>143797</v>
      </c>
      <c r="B99" s="38">
        <v>93</v>
      </c>
      <c r="C99" s="39" t="s">
        <v>473</v>
      </c>
      <c r="D99" s="10" t="str">
        <f>VLOOKUP(C99,'Data Angt'!$A$5:$B$5809,2,FALSE)</f>
        <v>A167</v>
      </c>
      <c r="E99" s="40" t="s">
        <v>18005</v>
      </c>
      <c r="F99" s="41">
        <v>45374</v>
      </c>
      <c r="G99" s="38">
        <v>1</v>
      </c>
      <c r="H99" s="40">
        <v>0</v>
      </c>
      <c r="I99" s="38">
        <v>4</v>
      </c>
      <c r="J99" s="41">
        <v>45374</v>
      </c>
      <c r="K99" s="38" t="s">
        <v>10768</v>
      </c>
      <c r="L99" s="42">
        <v>21000000</v>
      </c>
      <c r="O99" s="39" t="s">
        <v>1464</v>
      </c>
      <c r="P99" s="5" t="str">
        <f t="shared" si="2"/>
        <v>A574</v>
      </c>
      <c r="Q99" s="5">
        <f t="shared" si="3"/>
        <v>1</v>
      </c>
      <c r="R99">
        <f>VLOOKUP(O99,'Data Angt'!$A$5:$F$5810,6,FALSE)</f>
        <v>53</v>
      </c>
      <c r="S99" s="5" t="str">
        <f>VLOOKUP(O99,'Data Angt'!$A$5:$H$5810,8,FALSE)</f>
        <v>Aparatur/Pejabat Negara</v>
      </c>
      <c r="T99" s="44" t="str">
        <f>VLOOKUP(O99,'Data Angt'!$A$5:$C$5809,3,FALSE)</f>
        <v>PBL</v>
      </c>
    </row>
    <row r="100" spans="1:20" x14ac:dyDescent="0.3">
      <c r="A100" s="37">
        <v>149682</v>
      </c>
      <c r="B100" s="38">
        <v>94</v>
      </c>
      <c r="C100" s="39" t="s">
        <v>473</v>
      </c>
      <c r="D100" s="10" t="str">
        <f>VLOOKUP(C100,'Data Angt'!$A$5:$B$5809,2,FALSE)</f>
        <v>A167</v>
      </c>
      <c r="E100" s="40" t="s">
        <v>18006</v>
      </c>
      <c r="F100" s="41">
        <v>45579</v>
      </c>
      <c r="G100" s="38">
        <v>1</v>
      </c>
      <c r="H100" s="40">
        <v>0</v>
      </c>
      <c r="I100" s="38">
        <v>4</v>
      </c>
      <c r="J100" s="41">
        <v>45579</v>
      </c>
      <c r="K100" s="38" t="s">
        <v>10768</v>
      </c>
      <c r="L100" s="42">
        <v>18000000</v>
      </c>
      <c r="O100" s="39" t="s">
        <v>1465</v>
      </c>
      <c r="P100" s="5" t="str">
        <f t="shared" si="2"/>
        <v>A575</v>
      </c>
      <c r="Q100" s="5">
        <f t="shared" si="3"/>
        <v>4</v>
      </c>
      <c r="R100">
        <f>VLOOKUP(O100,'Data Angt'!$A$5:$F$5810,6,FALSE)</f>
        <v>73</v>
      </c>
      <c r="S100" s="5" t="str">
        <f>VLOOKUP(O100,'Data Angt'!$A$5:$H$5810,8,FALSE)</f>
        <v>Mengurus Rumah Tangga</v>
      </c>
      <c r="T100" s="44" t="str">
        <f>VLOOKUP(O100,'Data Angt'!$A$5:$C$5809,3,FALSE)</f>
        <v>JBR</v>
      </c>
    </row>
    <row r="101" spans="1:20" x14ac:dyDescent="0.3">
      <c r="A101" s="37">
        <v>77967</v>
      </c>
      <c r="B101" s="38">
        <v>95</v>
      </c>
      <c r="C101" s="39" t="s">
        <v>497</v>
      </c>
      <c r="D101" s="10" t="str">
        <f>VLOOKUP(C101,'Data Angt'!$A$5:$B$5809,2,FALSE)</f>
        <v>A175</v>
      </c>
      <c r="E101" s="40" t="s">
        <v>11938</v>
      </c>
      <c r="F101" s="41">
        <v>42224</v>
      </c>
      <c r="G101" s="38">
        <v>1</v>
      </c>
      <c r="H101" s="40">
        <v>0</v>
      </c>
      <c r="I101" s="38">
        <v>4</v>
      </c>
      <c r="J101" s="41">
        <v>42224</v>
      </c>
      <c r="K101" s="38" t="s">
        <v>10768</v>
      </c>
      <c r="L101" s="42">
        <v>5000000</v>
      </c>
      <c r="O101" s="39" t="s">
        <v>1482</v>
      </c>
      <c r="P101" s="5" t="str">
        <f t="shared" si="2"/>
        <v>A583</v>
      </c>
      <c r="Q101" s="5">
        <f t="shared" si="3"/>
        <v>2</v>
      </c>
      <c r="R101">
        <f>VLOOKUP(O101,'Data Angt'!$A$5:$F$5810,6,FALSE)</f>
        <v>54</v>
      </c>
      <c r="S101" s="5" t="str">
        <f>VLOOKUP(O101,'Data Angt'!$A$5:$H$5810,8,FALSE)</f>
        <v>Wiraswasta</v>
      </c>
      <c r="T101" s="44" t="str">
        <f>VLOOKUP(O101,'Data Angt'!$A$5:$C$5809,3,FALSE)</f>
        <v>PBL</v>
      </c>
    </row>
    <row r="102" spans="1:20" x14ac:dyDescent="0.3">
      <c r="A102" s="37">
        <v>77997</v>
      </c>
      <c r="B102" s="38">
        <v>96</v>
      </c>
      <c r="C102" s="39" t="s">
        <v>497</v>
      </c>
      <c r="D102" s="10" t="str">
        <f>VLOOKUP(C102,'Data Angt'!$A$5:$B$5809,2,FALSE)</f>
        <v>A175</v>
      </c>
      <c r="E102" s="40" t="s">
        <v>11937</v>
      </c>
      <c r="F102" s="41">
        <v>42453</v>
      </c>
      <c r="G102" s="38">
        <v>1</v>
      </c>
      <c r="H102" s="40">
        <v>0</v>
      </c>
      <c r="I102" s="38">
        <v>4</v>
      </c>
      <c r="J102" s="41">
        <v>42453</v>
      </c>
      <c r="K102" s="38" t="s">
        <v>10768</v>
      </c>
      <c r="L102" s="42">
        <v>7000000</v>
      </c>
      <c r="O102" s="39" t="s">
        <v>12156</v>
      </c>
      <c r="P102" s="5" t="str">
        <f t="shared" si="2"/>
        <v>A600</v>
      </c>
      <c r="Q102" s="5">
        <f t="shared" si="3"/>
        <v>1</v>
      </c>
      <c r="R102">
        <f>VLOOKUP(O102,'Data Angt'!$A$5:$F$5810,6,FALSE)</f>
        <v>19</v>
      </c>
      <c r="S102" s="5" t="str">
        <f>VLOOKUP(O102,'Data Angt'!$A$5:$H$5810,8,FALSE)</f>
        <v>Pelajar/Mahasiswa</v>
      </c>
      <c r="T102" s="44" t="str">
        <f>VLOOKUP(O102,'Data Angt'!$A$5:$C$5809,3,FALSE)</f>
        <v>PBL</v>
      </c>
    </row>
    <row r="103" spans="1:20" x14ac:dyDescent="0.3">
      <c r="A103" s="37">
        <v>77998</v>
      </c>
      <c r="B103" s="38">
        <v>97</v>
      </c>
      <c r="C103" s="39" t="s">
        <v>497</v>
      </c>
      <c r="D103" s="10" t="str">
        <f>VLOOKUP(C103,'Data Angt'!$A$5:$B$5809,2,FALSE)</f>
        <v>A175</v>
      </c>
      <c r="E103" s="40" t="s">
        <v>11936</v>
      </c>
      <c r="F103" s="41">
        <v>42453</v>
      </c>
      <c r="G103" s="38">
        <v>1</v>
      </c>
      <c r="H103" s="40">
        <v>0</v>
      </c>
      <c r="I103" s="38">
        <v>4</v>
      </c>
      <c r="J103" s="41">
        <v>42453</v>
      </c>
      <c r="K103" s="38" t="s">
        <v>10768</v>
      </c>
      <c r="L103" s="42">
        <v>5000000</v>
      </c>
      <c r="O103" s="39" t="s">
        <v>1536</v>
      </c>
      <c r="P103" s="5" t="str">
        <f t="shared" si="2"/>
        <v>A607</v>
      </c>
      <c r="Q103" s="5">
        <f t="shared" si="3"/>
        <v>1</v>
      </c>
      <c r="R103">
        <f>VLOOKUP(O103,'Data Angt'!$A$5:$F$5810,6,FALSE)</f>
        <v>68</v>
      </c>
      <c r="S103" s="5" t="str">
        <f>VLOOKUP(O103,'Data Angt'!$A$5:$H$5810,8,FALSE)</f>
        <v>Wiraswasta</v>
      </c>
      <c r="T103" s="44" t="str">
        <f>VLOOKUP(O103,'Data Angt'!$A$5:$C$5809,3,FALSE)</f>
        <v>PBL</v>
      </c>
    </row>
    <row r="104" spans="1:20" x14ac:dyDescent="0.3">
      <c r="A104" s="37">
        <v>78041</v>
      </c>
      <c r="B104" s="38">
        <v>98</v>
      </c>
      <c r="C104" s="39" t="s">
        <v>497</v>
      </c>
      <c r="D104" s="10" t="str">
        <f>VLOOKUP(C104,'Data Angt'!$A$5:$B$5809,2,FALSE)</f>
        <v>A175</v>
      </c>
      <c r="E104" s="40" t="s">
        <v>11935</v>
      </c>
      <c r="F104" s="41">
        <v>42608</v>
      </c>
      <c r="G104" s="38">
        <v>1</v>
      </c>
      <c r="H104" s="40">
        <v>0</v>
      </c>
      <c r="I104" s="38">
        <v>4</v>
      </c>
      <c r="J104" s="41">
        <v>42608</v>
      </c>
      <c r="K104" s="38" t="s">
        <v>10768</v>
      </c>
      <c r="L104" s="42">
        <v>12000000</v>
      </c>
      <c r="O104" s="39" t="s">
        <v>1586</v>
      </c>
      <c r="P104" s="5" t="str">
        <f t="shared" si="2"/>
        <v>A628</v>
      </c>
      <c r="Q104" s="5">
        <f t="shared" si="3"/>
        <v>1</v>
      </c>
      <c r="R104">
        <f>VLOOKUP(O104,'Data Angt'!$A$5:$F$5810,6,FALSE)</f>
        <v>61</v>
      </c>
      <c r="S104" s="5" t="str">
        <f>VLOOKUP(O104,'Data Angt'!$A$5:$H$5810,8,FALSE)</f>
        <v>Mengurus Rumah Tangga</v>
      </c>
      <c r="T104" s="44" t="str">
        <f>VLOOKUP(O104,'Data Angt'!$A$5:$C$5809,3,FALSE)</f>
        <v>PBL</v>
      </c>
    </row>
    <row r="105" spans="1:20" x14ac:dyDescent="0.3">
      <c r="A105" s="37">
        <v>78239</v>
      </c>
      <c r="B105" s="38">
        <v>99</v>
      </c>
      <c r="C105" s="39" t="s">
        <v>497</v>
      </c>
      <c r="D105" s="10" t="str">
        <f>VLOOKUP(C105,'Data Angt'!$A$5:$B$5809,2,FALSE)</f>
        <v>A175</v>
      </c>
      <c r="E105" s="40" t="s">
        <v>11934</v>
      </c>
      <c r="F105" s="41">
        <v>43017</v>
      </c>
      <c r="G105" s="38">
        <v>1</v>
      </c>
      <c r="H105" s="40">
        <v>0</v>
      </c>
      <c r="I105" s="38">
        <v>4</v>
      </c>
      <c r="J105" s="41">
        <v>42988</v>
      </c>
      <c r="K105" s="38" t="s">
        <v>10768</v>
      </c>
      <c r="L105" s="42">
        <v>10000000</v>
      </c>
      <c r="O105" s="39" t="s">
        <v>1592</v>
      </c>
      <c r="P105" s="5" t="str">
        <f t="shared" si="2"/>
        <v>A631</v>
      </c>
      <c r="Q105" s="5">
        <f t="shared" si="3"/>
        <v>2</v>
      </c>
      <c r="R105">
        <f>VLOOKUP(O105,'Data Angt'!$A$5:$F$5810,6,FALSE)</f>
        <v>63</v>
      </c>
      <c r="S105" s="5" t="str">
        <f>VLOOKUP(O105,'Data Angt'!$A$5:$H$5810,8,FALSE)</f>
        <v>Mengurus Rumah Tangga</v>
      </c>
      <c r="T105" s="44" t="str">
        <f>VLOOKUP(O105,'Data Angt'!$A$5:$C$5809,3,FALSE)</f>
        <v>JBR</v>
      </c>
    </row>
    <row r="106" spans="1:20" x14ac:dyDescent="0.3">
      <c r="A106" s="37">
        <v>93851</v>
      </c>
      <c r="B106" s="38">
        <v>100</v>
      </c>
      <c r="C106" s="39" t="s">
        <v>497</v>
      </c>
      <c r="D106" s="10" t="str">
        <f>VLOOKUP(C106,'Data Angt'!$A$5:$B$5809,2,FALSE)</f>
        <v>A175</v>
      </c>
      <c r="E106" s="40" t="s">
        <v>11933</v>
      </c>
      <c r="F106" s="41">
        <v>43505</v>
      </c>
      <c r="G106" s="38">
        <v>1</v>
      </c>
      <c r="H106" s="40">
        <v>0</v>
      </c>
      <c r="I106" s="38">
        <v>4</v>
      </c>
      <c r="J106" s="41">
        <v>43505</v>
      </c>
      <c r="K106" s="38" t="s">
        <v>10768</v>
      </c>
      <c r="L106" s="42">
        <v>5000000</v>
      </c>
      <c r="O106" s="39" t="s">
        <v>1596</v>
      </c>
      <c r="P106" s="5" t="str">
        <f t="shared" si="2"/>
        <v>A633</v>
      </c>
      <c r="Q106" s="5">
        <f t="shared" si="3"/>
        <v>3</v>
      </c>
      <c r="R106">
        <f>VLOOKUP(O106,'Data Angt'!$A$5:$F$5810,6,FALSE)</f>
        <v>60</v>
      </c>
      <c r="S106" s="5" t="str">
        <f>VLOOKUP(O106,'Data Angt'!$A$5:$H$5810,8,FALSE)</f>
        <v>Tenaga Pengajar</v>
      </c>
      <c r="T106" s="44" t="str">
        <f>VLOOKUP(O106,'Data Angt'!$A$5:$C$5809,3,FALSE)</f>
        <v>JBR</v>
      </c>
    </row>
    <row r="107" spans="1:20" x14ac:dyDescent="0.3">
      <c r="A107" s="37">
        <v>113979</v>
      </c>
      <c r="B107" s="38">
        <v>101</v>
      </c>
      <c r="C107" s="39" t="s">
        <v>497</v>
      </c>
      <c r="D107" s="10" t="str">
        <f>VLOOKUP(C107,'Data Angt'!$A$5:$B$5809,2,FALSE)</f>
        <v>A175</v>
      </c>
      <c r="E107" s="40" t="s">
        <v>11932</v>
      </c>
      <c r="F107" s="41">
        <v>43656</v>
      </c>
      <c r="G107" s="38">
        <v>1</v>
      </c>
      <c r="H107" s="40">
        <v>0</v>
      </c>
      <c r="I107" s="38">
        <v>4</v>
      </c>
      <c r="J107" s="41">
        <v>43656</v>
      </c>
      <c r="K107" s="38" t="s">
        <v>10768</v>
      </c>
      <c r="L107" s="42">
        <v>2000000</v>
      </c>
      <c r="O107" s="39" t="s">
        <v>1625</v>
      </c>
      <c r="P107" s="5" t="str">
        <f t="shared" si="2"/>
        <v>A647</v>
      </c>
      <c r="Q107" s="5">
        <f t="shared" si="3"/>
        <v>1</v>
      </c>
      <c r="R107">
        <f>VLOOKUP(O107,'Data Angt'!$A$5:$F$5810,6,FALSE)</f>
        <v>56</v>
      </c>
      <c r="S107" s="5" t="str">
        <f>VLOOKUP(O107,'Data Angt'!$A$5:$H$5810,8,FALSE)</f>
        <v>Wiraswasta</v>
      </c>
      <c r="T107" s="44" t="str">
        <f>VLOOKUP(O107,'Data Angt'!$A$5:$C$5809,3,FALSE)</f>
        <v>PBL</v>
      </c>
    </row>
    <row r="108" spans="1:20" x14ac:dyDescent="0.3">
      <c r="A108" s="37">
        <v>77880</v>
      </c>
      <c r="B108" s="38">
        <v>102</v>
      </c>
      <c r="C108" s="39" t="s">
        <v>499</v>
      </c>
      <c r="D108" s="10" t="str">
        <f>VLOOKUP(C108,'Data Angt'!$A$5:$B$5809,2,FALSE)</f>
        <v>A176</v>
      </c>
      <c r="E108" s="40" t="s">
        <v>11925</v>
      </c>
      <c r="F108" s="41">
        <v>40274</v>
      </c>
      <c r="G108" s="38">
        <v>1</v>
      </c>
      <c r="H108" s="40">
        <v>0</v>
      </c>
      <c r="I108" s="38">
        <v>4</v>
      </c>
      <c r="J108" s="41">
        <v>40333</v>
      </c>
      <c r="K108" s="38" t="s">
        <v>10768</v>
      </c>
      <c r="L108" s="42">
        <v>4000000</v>
      </c>
      <c r="O108" s="39" t="s">
        <v>1662</v>
      </c>
      <c r="P108" s="5" t="str">
        <f t="shared" si="2"/>
        <v>A660</v>
      </c>
      <c r="Q108" s="5">
        <f t="shared" si="3"/>
        <v>1</v>
      </c>
      <c r="R108">
        <f>VLOOKUP(O108,'Data Angt'!$A$5:$F$5810,6,FALSE)</f>
        <v>67</v>
      </c>
      <c r="S108" s="5">
        <f>VLOOKUP(O108,'Data Angt'!$A$5:$H$5810,8,FALSE)</f>
        <v>0</v>
      </c>
      <c r="T108" s="44" t="str">
        <f>VLOOKUP(O108,'Data Angt'!$A$5:$C$5809,3,FALSE)</f>
        <v>KRK</v>
      </c>
    </row>
    <row r="109" spans="1:20" x14ac:dyDescent="0.3">
      <c r="A109" s="37">
        <v>77882</v>
      </c>
      <c r="B109" s="38">
        <v>103</v>
      </c>
      <c r="C109" s="39" t="s">
        <v>499</v>
      </c>
      <c r="D109" s="10" t="str">
        <f>VLOOKUP(C109,'Data Angt'!$A$5:$B$5809,2,FALSE)</f>
        <v>A176</v>
      </c>
      <c r="E109" s="40" t="s">
        <v>11924</v>
      </c>
      <c r="F109" s="41">
        <v>40560</v>
      </c>
      <c r="G109" s="38">
        <v>1</v>
      </c>
      <c r="H109" s="40">
        <v>0</v>
      </c>
      <c r="I109" s="38">
        <v>4</v>
      </c>
      <c r="J109" s="41">
        <v>40560</v>
      </c>
      <c r="K109" s="38" t="s">
        <v>10768</v>
      </c>
      <c r="L109" s="42">
        <v>2000000</v>
      </c>
      <c r="O109" s="39" t="s">
        <v>1686</v>
      </c>
      <c r="P109" s="5" t="str">
        <f t="shared" si="2"/>
        <v>A671</v>
      </c>
      <c r="Q109" s="5">
        <f t="shared" si="3"/>
        <v>1</v>
      </c>
      <c r="R109">
        <f>VLOOKUP(O109,'Data Angt'!$A$5:$F$5810,6,FALSE)</f>
        <v>69</v>
      </c>
      <c r="S109" s="5" t="str">
        <f>VLOOKUP(O109,'Data Angt'!$A$5:$H$5810,8,FALSE)</f>
        <v>Karyawan</v>
      </c>
      <c r="T109" s="44" t="str">
        <f>VLOOKUP(O109,'Data Angt'!$A$5:$C$5809,3,FALSE)</f>
        <v>MGL</v>
      </c>
    </row>
    <row r="110" spans="1:20" x14ac:dyDescent="0.3">
      <c r="A110" s="37">
        <v>77886</v>
      </c>
      <c r="B110" s="38">
        <v>104</v>
      </c>
      <c r="C110" s="39" t="s">
        <v>499</v>
      </c>
      <c r="D110" s="10" t="str">
        <f>VLOOKUP(C110,'Data Angt'!$A$5:$B$5809,2,FALSE)</f>
        <v>A176</v>
      </c>
      <c r="E110" s="40" t="s">
        <v>11923</v>
      </c>
      <c r="F110" s="41">
        <v>40869</v>
      </c>
      <c r="G110" s="38">
        <v>1</v>
      </c>
      <c r="H110" s="40">
        <v>0</v>
      </c>
      <c r="I110" s="38">
        <v>4</v>
      </c>
      <c r="J110" s="41">
        <v>40869</v>
      </c>
      <c r="K110" s="38" t="s">
        <v>10768</v>
      </c>
      <c r="L110" s="42">
        <v>3000000</v>
      </c>
      <c r="O110" s="39" t="s">
        <v>1715</v>
      </c>
      <c r="P110" s="5" t="str">
        <f t="shared" si="2"/>
        <v>A688</v>
      </c>
      <c r="Q110" s="5">
        <f t="shared" si="3"/>
        <v>1</v>
      </c>
      <c r="R110">
        <f>VLOOKUP(O110,'Data Angt'!$A$5:$F$5810,6,FALSE)</f>
        <v>65</v>
      </c>
      <c r="S110" s="5" t="str">
        <f>VLOOKUP(O110,'Data Angt'!$A$5:$H$5810,8,FALSE)</f>
        <v>Mengurus Rumah Tangga</v>
      </c>
      <c r="T110" s="44" t="str">
        <f>VLOOKUP(O110,'Data Angt'!$A$5:$C$5809,3,FALSE)</f>
        <v>JBR</v>
      </c>
    </row>
    <row r="111" spans="1:20" x14ac:dyDescent="0.3">
      <c r="A111" s="37">
        <v>77903</v>
      </c>
      <c r="B111" s="38">
        <v>105</v>
      </c>
      <c r="C111" s="39" t="s">
        <v>499</v>
      </c>
      <c r="D111" s="10" t="str">
        <f>VLOOKUP(C111,'Data Angt'!$A$5:$B$5809,2,FALSE)</f>
        <v>A176</v>
      </c>
      <c r="E111" s="40" t="s">
        <v>11922</v>
      </c>
      <c r="F111" s="41">
        <v>41358</v>
      </c>
      <c r="G111" s="38">
        <v>1</v>
      </c>
      <c r="H111" s="40">
        <v>0</v>
      </c>
      <c r="I111" s="38">
        <v>4</v>
      </c>
      <c r="J111" s="41">
        <v>41358</v>
      </c>
      <c r="K111" s="38" t="s">
        <v>10768</v>
      </c>
      <c r="L111" s="42">
        <v>7000000</v>
      </c>
      <c r="O111" s="39" t="s">
        <v>1717</v>
      </c>
      <c r="P111" s="5" t="str">
        <f t="shared" si="2"/>
        <v>A689</v>
      </c>
      <c r="Q111" s="5">
        <f t="shared" si="3"/>
        <v>1</v>
      </c>
      <c r="R111">
        <f>VLOOKUP(O111,'Data Angt'!$A$5:$F$5810,6,FALSE)</f>
        <v>68</v>
      </c>
      <c r="S111" s="5" t="str">
        <f>VLOOKUP(O111,'Data Angt'!$A$5:$H$5810,8,FALSE)</f>
        <v>Pensiunan</v>
      </c>
      <c r="T111" s="44" t="str">
        <f>VLOOKUP(O111,'Data Angt'!$A$5:$C$5809,3,FALSE)</f>
        <v>JBR</v>
      </c>
    </row>
    <row r="112" spans="1:20" x14ac:dyDescent="0.3">
      <c r="A112" s="37">
        <v>77863</v>
      </c>
      <c r="B112" s="38">
        <v>106</v>
      </c>
      <c r="C112" s="39" t="s">
        <v>499</v>
      </c>
      <c r="D112" s="10" t="str">
        <f>VLOOKUP(C112,'Data Angt'!$A$5:$B$5809,2,FALSE)</f>
        <v>A176</v>
      </c>
      <c r="E112" s="40" t="s">
        <v>11921</v>
      </c>
      <c r="F112" s="41">
        <v>38044</v>
      </c>
      <c r="G112" s="38">
        <v>1</v>
      </c>
      <c r="H112" s="40">
        <v>0</v>
      </c>
      <c r="I112" s="38">
        <v>4</v>
      </c>
      <c r="J112" s="41">
        <v>38044</v>
      </c>
      <c r="K112" s="38" t="s">
        <v>10768</v>
      </c>
      <c r="L112" s="42">
        <v>1000000</v>
      </c>
      <c r="O112" s="39" t="s">
        <v>1786</v>
      </c>
      <c r="P112" s="5" t="str">
        <f t="shared" si="2"/>
        <v>A720</v>
      </c>
      <c r="Q112" s="5">
        <f t="shared" si="3"/>
        <v>1</v>
      </c>
      <c r="R112">
        <f>VLOOKUP(O112,'Data Angt'!$A$5:$F$5810,6,FALSE)</f>
        <v>67</v>
      </c>
      <c r="S112" s="5" t="str">
        <f>VLOOKUP(O112,'Data Angt'!$A$5:$H$5810,8,FALSE)</f>
        <v>Pensiunan</v>
      </c>
      <c r="T112" s="44" t="str">
        <f>VLOOKUP(O112,'Data Angt'!$A$5:$C$5809,3,FALSE)</f>
        <v>BWI</v>
      </c>
    </row>
    <row r="113" spans="1:20" x14ac:dyDescent="0.3">
      <c r="A113" s="37">
        <v>77864</v>
      </c>
      <c r="B113" s="38">
        <v>107</v>
      </c>
      <c r="C113" s="39" t="s">
        <v>499</v>
      </c>
      <c r="D113" s="10" t="str">
        <f>VLOOKUP(C113,'Data Angt'!$A$5:$B$5809,2,FALSE)</f>
        <v>A176</v>
      </c>
      <c r="E113" s="40" t="s">
        <v>11920</v>
      </c>
      <c r="F113" s="41">
        <v>38092</v>
      </c>
      <c r="G113" s="38">
        <v>1</v>
      </c>
      <c r="H113" s="40">
        <v>0</v>
      </c>
      <c r="I113" s="38">
        <v>4</v>
      </c>
      <c r="J113" s="41">
        <v>38092</v>
      </c>
      <c r="K113" s="38" t="s">
        <v>10768</v>
      </c>
      <c r="L113" s="42">
        <v>2000000</v>
      </c>
      <c r="O113" s="39" t="s">
        <v>1806</v>
      </c>
      <c r="P113" s="5" t="str">
        <f t="shared" si="2"/>
        <v>A728</v>
      </c>
      <c r="Q113" s="5">
        <f t="shared" si="3"/>
        <v>5</v>
      </c>
      <c r="R113">
        <f>VLOOKUP(O113,'Data Angt'!$A$5:$F$5810,6,FALSE)</f>
        <v>60</v>
      </c>
      <c r="S113" s="5" t="str">
        <f>VLOOKUP(O113,'Data Angt'!$A$5:$H$5810,8,FALSE)</f>
        <v>Tenaga Pengajar</v>
      </c>
      <c r="T113" s="44" t="str">
        <f>VLOOKUP(O113,'Data Angt'!$A$5:$C$5809,3,FALSE)</f>
        <v>BWI</v>
      </c>
    </row>
    <row r="114" spans="1:20" x14ac:dyDescent="0.3">
      <c r="A114" s="37">
        <v>77865</v>
      </c>
      <c r="B114" s="38">
        <v>108</v>
      </c>
      <c r="C114" s="39" t="s">
        <v>499</v>
      </c>
      <c r="D114" s="10" t="str">
        <f>VLOOKUP(C114,'Data Angt'!$A$5:$B$5809,2,FALSE)</f>
        <v>A176</v>
      </c>
      <c r="E114" s="40" t="s">
        <v>11931</v>
      </c>
      <c r="F114" s="41">
        <v>38181</v>
      </c>
      <c r="G114" s="38">
        <v>1</v>
      </c>
      <c r="H114" s="40">
        <v>0</v>
      </c>
      <c r="I114" s="38">
        <v>4</v>
      </c>
      <c r="J114" s="41">
        <v>38181</v>
      </c>
      <c r="K114" s="38" t="s">
        <v>10768</v>
      </c>
      <c r="L114" s="42">
        <v>4000000</v>
      </c>
      <c r="O114" s="39" t="s">
        <v>1808</v>
      </c>
      <c r="P114" s="5" t="str">
        <f t="shared" si="2"/>
        <v>A729</v>
      </c>
      <c r="Q114" s="5">
        <f t="shared" si="3"/>
        <v>5</v>
      </c>
      <c r="R114">
        <f>VLOOKUP(O114,'Data Angt'!$A$5:$F$5810,6,FALSE)</f>
        <v>62</v>
      </c>
      <c r="S114" s="5" t="str">
        <f>VLOOKUP(O114,'Data Angt'!$A$5:$H$5810,8,FALSE)</f>
        <v>Pensiunan</v>
      </c>
      <c r="T114" s="44" t="str">
        <f>VLOOKUP(O114,'Data Angt'!$A$5:$C$5809,3,FALSE)</f>
        <v>BWI</v>
      </c>
    </row>
    <row r="115" spans="1:20" x14ac:dyDescent="0.3">
      <c r="A115" s="37">
        <v>77866</v>
      </c>
      <c r="B115" s="38">
        <v>109</v>
      </c>
      <c r="C115" s="39" t="s">
        <v>499</v>
      </c>
      <c r="D115" s="10" t="str">
        <f>VLOOKUP(C115,'Data Angt'!$A$5:$B$5809,2,FALSE)</f>
        <v>A176</v>
      </c>
      <c r="E115" s="40" t="s">
        <v>11930</v>
      </c>
      <c r="F115" s="41">
        <v>38714</v>
      </c>
      <c r="G115" s="38">
        <v>1</v>
      </c>
      <c r="H115" s="40">
        <v>0</v>
      </c>
      <c r="I115" s="38">
        <v>4</v>
      </c>
      <c r="J115" s="41">
        <v>38714</v>
      </c>
      <c r="K115" s="38" t="s">
        <v>10768</v>
      </c>
      <c r="L115" s="42">
        <v>2000000</v>
      </c>
      <c r="O115" s="39" t="s">
        <v>1818</v>
      </c>
      <c r="P115" s="5" t="str">
        <f t="shared" si="2"/>
        <v>A733</v>
      </c>
      <c r="Q115" s="5">
        <f t="shared" si="3"/>
        <v>1</v>
      </c>
      <c r="R115">
        <f>VLOOKUP(O115,'Data Angt'!$A$5:$F$5810,6,FALSE)</f>
        <v>57</v>
      </c>
      <c r="S115" s="5" t="str">
        <f>VLOOKUP(O115,'Data Angt'!$A$5:$H$5810,8,FALSE)</f>
        <v>Karyawan</v>
      </c>
      <c r="T115" s="44" t="str">
        <f>VLOOKUP(O115,'Data Angt'!$A$5:$C$5809,3,FALSE)</f>
        <v>BWI</v>
      </c>
    </row>
    <row r="116" spans="1:20" x14ac:dyDescent="0.3">
      <c r="A116" s="37">
        <v>77868</v>
      </c>
      <c r="B116" s="38">
        <v>110</v>
      </c>
      <c r="C116" s="39" t="s">
        <v>499</v>
      </c>
      <c r="D116" s="10" t="str">
        <f>VLOOKUP(C116,'Data Angt'!$A$5:$B$5809,2,FALSE)</f>
        <v>A176</v>
      </c>
      <c r="E116" s="40" t="s">
        <v>11929</v>
      </c>
      <c r="F116" s="41">
        <v>38755</v>
      </c>
      <c r="G116" s="38">
        <v>1</v>
      </c>
      <c r="H116" s="40">
        <v>0</v>
      </c>
      <c r="I116" s="38">
        <v>4</v>
      </c>
      <c r="J116" s="41">
        <v>38900</v>
      </c>
      <c r="K116" s="38" t="s">
        <v>10768</v>
      </c>
      <c r="L116" s="42">
        <v>1000000</v>
      </c>
      <c r="O116" s="39" t="s">
        <v>1823</v>
      </c>
      <c r="P116" s="5" t="str">
        <f t="shared" si="2"/>
        <v>A735</v>
      </c>
      <c r="Q116" s="5">
        <f t="shared" si="3"/>
        <v>1</v>
      </c>
      <c r="R116">
        <f>VLOOKUP(O116,'Data Angt'!$A$5:$F$5810,6,FALSE)</f>
        <v>70</v>
      </c>
      <c r="S116" s="5" t="str">
        <f>VLOOKUP(O116,'Data Angt'!$A$5:$H$5810,8,FALSE)</f>
        <v>Pensiunan</v>
      </c>
      <c r="T116" s="44" t="str">
        <f>VLOOKUP(O116,'Data Angt'!$A$5:$C$5809,3,FALSE)</f>
        <v>BWI</v>
      </c>
    </row>
    <row r="117" spans="1:20" x14ac:dyDescent="0.3">
      <c r="A117" s="37">
        <v>77873</v>
      </c>
      <c r="B117" s="38">
        <v>111</v>
      </c>
      <c r="C117" s="39" t="s">
        <v>499</v>
      </c>
      <c r="D117" s="10" t="str">
        <f>VLOOKUP(C117,'Data Angt'!$A$5:$B$5809,2,FALSE)</f>
        <v>A176</v>
      </c>
      <c r="E117" s="40" t="s">
        <v>11928</v>
      </c>
      <c r="F117" s="41">
        <v>38938</v>
      </c>
      <c r="G117" s="38">
        <v>1</v>
      </c>
      <c r="H117" s="40">
        <v>0</v>
      </c>
      <c r="I117" s="38">
        <v>4</v>
      </c>
      <c r="J117" s="41">
        <v>38968</v>
      </c>
      <c r="K117" s="38" t="s">
        <v>10768</v>
      </c>
      <c r="L117" s="42">
        <v>2000000</v>
      </c>
      <c r="O117" s="39" t="s">
        <v>1849</v>
      </c>
      <c r="P117" s="5" t="str">
        <f t="shared" si="2"/>
        <v>A746</v>
      </c>
      <c r="Q117" s="5">
        <f t="shared" si="3"/>
        <v>2</v>
      </c>
      <c r="R117">
        <f>VLOOKUP(O117,'Data Angt'!$A$5:$F$5810,6,FALSE)</f>
        <v>56</v>
      </c>
      <c r="S117" s="5" t="str">
        <f>VLOOKUP(O117,'Data Angt'!$A$5:$H$5810,8,FALSE)</f>
        <v>Mengurus Rumah Tangga</v>
      </c>
      <c r="T117" s="44" t="str">
        <f>VLOOKUP(O117,'Data Angt'!$A$5:$C$5809,3,FALSE)</f>
        <v>BWI</v>
      </c>
    </row>
    <row r="118" spans="1:20" x14ac:dyDescent="0.3">
      <c r="A118" s="37">
        <v>77875</v>
      </c>
      <c r="B118" s="38">
        <v>112</v>
      </c>
      <c r="C118" s="39" t="s">
        <v>499</v>
      </c>
      <c r="D118" s="10" t="str">
        <f>VLOOKUP(C118,'Data Angt'!$A$5:$B$5809,2,FALSE)</f>
        <v>A176</v>
      </c>
      <c r="E118" s="40" t="s">
        <v>11927</v>
      </c>
      <c r="F118" s="41">
        <v>39269</v>
      </c>
      <c r="G118" s="38">
        <v>1</v>
      </c>
      <c r="H118" s="40">
        <v>0</v>
      </c>
      <c r="I118" s="38">
        <v>4</v>
      </c>
      <c r="J118" s="41">
        <v>39240</v>
      </c>
      <c r="K118" s="38" t="s">
        <v>10768</v>
      </c>
      <c r="L118" s="42">
        <v>2000000</v>
      </c>
      <c r="O118" s="39" t="s">
        <v>1855</v>
      </c>
      <c r="P118" s="5" t="str">
        <f t="shared" si="2"/>
        <v>A748</v>
      </c>
      <c r="Q118" s="5">
        <f t="shared" si="3"/>
        <v>1</v>
      </c>
      <c r="R118">
        <f>VLOOKUP(O118,'Data Angt'!$A$5:$F$5810,6,FALSE)</f>
        <v>76</v>
      </c>
      <c r="S118" s="5" t="str">
        <f>VLOOKUP(O118,'Data Angt'!$A$5:$H$5810,8,FALSE)</f>
        <v>Mengurus Rumah Tangga</v>
      </c>
      <c r="T118" s="44" t="str">
        <f>VLOOKUP(O118,'Data Angt'!$A$5:$C$5809,3,FALSE)</f>
        <v>BWI</v>
      </c>
    </row>
    <row r="119" spans="1:20" x14ac:dyDescent="0.3">
      <c r="A119" s="37">
        <v>77878</v>
      </c>
      <c r="B119" s="38">
        <v>113</v>
      </c>
      <c r="C119" s="39" t="s">
        <v>499</v>
      </c>
      <c r="D119" s="10" t="str">
        <f>VLOOKUP(C119,'Data Angt'!$A$5:$B$5809,2,FALSE)</f>
        <v>A176</v>
      </c>
      <c r="E119" s="40" t="s">
        <v>11926</v>
      </c>
      <c r="F119" s="41">
        <v>39729</v>
      </c>
      <c r="G119" s="38">
        <v>1</v>
      </c>
      <c r="H119" s="40">
        <v>0</v>
      </c>
      <c r="I119" s="38">
        <v>4</v>
      </c>
      <c r="J119" s="41">
        <v>39670</v>
      </c>
      <c r="K119" s="38" t="s">
        <v>10768</v>
      </c>
      <c r="L119" s="42">
        <v>1000000</v>
      </c>
      <c r="O119" s="39" t="s">
        <v>1898</v>
      </c>
      <c r="P119" s="5" t="str">
        <f t="shared" si="2"/>
        <v>A767</v>
      </c>
      <c r="Q119" s="5">
        <f t="shared" si="3"/>
        <v>1</v>
      </c>
      <c r="R119">
        <f>VLOOKUP(O119,'Data Angt'!$A$5:$F$5810,6,FALSE)</f>
        <v>50</v>
      </c>
      <c r="S119" s="5" t="str">
        <f>VLOOKUP(O119,'Data Angt'!$A$5:$H$5810,8,FALSE)</f>
        <v>Mengurus Rumah Tangga</v>
      </c>
      <c r="T119" s="44" t="str">
        <f>VLOOKUP(O119,'Data Angt'!$A$5:$C$5809,3,FALSE)</f>
        <v>MJK</v>
      </c>
    </row>
    <row r="120" spans="1:20" x14ac:dyDescent="0.3">
      <c r="A120" s="37">
        <v>155100</v>
      </c>
      <c r="B120" s="38">
        <v>114</v>
      </c>
      <c r="C120" s="39" t="s">
        <v>514</v>
      </c>
      <c r="D120" s="10" t="str">
        <f>VLOOKUP(C120,'Data Angt'!$A$5:$B$5809,2,FALSE)</f>
        <v>A184</v>
      </c>
      <c r="E120" s="40" t="s">
        <v>18012</v>
      </c>
      <c r="F120" s="41">
        <v>45764</v>
      </c>
      <c r="G120" s="38">
        <v>1</v>
      </c>
      <c r="H120" s="40">
        <v>0</v>
      </c>
      <c r="I120" s="38">
        <v>4</v>
      </c>
      <c r="J120" s="41">
        <v>45764</v>
      </c>
      <c r="K120" s="38" t="s">
        <v>10768</v>
      </c>
      <c r="L120" s="42">
        <v>22000000</v>
      </c>
      <c r="O120" s="39" t="s">
        <v>1919</v>
      </c>
      <c r="P120" s="5" t="str">
        <f t="shared" si="2"/>
        <v>A776</v>
      </c>
      <c r="Q120" s="5">
        <f t="shared" si="3"/>
        <v>1</v>
      </c>
      <c r="R120">
        <f>VLOOKUP(O120,'Data Angt'!$A$5:$F$5810,6,FALSE)</f>
        <v>48</v>
      </c>
      <c r="S120" s="5" t="str">
        <f>VLOOKUP(O120,'Data Angt'!$A$5:$H$5810,8,FALSE)</f>
        <v>Mengurus Rumah Tangga</v>
      </c>
      <c r="T120" s="44" t="str">
        <f>VLOOKUP(O120,'Data Angt'!$A$5:$C$5809,3,FALSE)</f>
        <v>JBR</v>
      </c>
    </row>
    <row r="121" spans="1:20" x14ac:dyDescent="0.3">
      <c r="A121" s="37">
        <v>157739</v>
      </c>
      <c r="B121" s="38">
        <v>115</v>
      </c>
      <c r="C121" s="39" t="s">
        <v>514</v>
      </c>
      <c r="D121" s="10" t="str">
        <f>VLOOKUP(C121,'Data Angt'!$A$5:$B$5809,2,FALSE)</f>
        <v>A184</v>
      </c>
      <c r="E121" s="40" t="s">
        <v>23993</v>
      </c>
      <c r="F121" s="41">
        <v>45881</v>
      </c>
      <c r="G121" s="38">
        <v>1</v>
      </c>
      <c r="H121" s="40">
        <v>0</v>
      </c>
      <c r="I121" s="38">
        <v>4</v>
      </c>
      <c r="J121" s="41">
        <v>45881</v>
      </c>
      <c r="K121" s="38" t="s">
        <v>10768</v>
      </c>
      <c r="L121" s="42">
        <v>20000000</v>
      </c>
      <c r="O121" s="39" t="s">
        <v>12174</v>
      </c>
      <c r="P121" s="5" t="str">
        <f t="shared" si="2"/>
        <v>A803</v>
      </c>
      <c r="Q121" s="5">
        <f t="shared" si="3"/>
        <v>3</v>
      </c>
      <c r="R121">
        <f>VLOOKUP(O121,'Data Angt'!$A$5:$F$5810,6,FALSE)</f>
        <v>18</v>
      </c>
      <c r="S121" s="5" t="str">
        <f>VLOOKUP(O121,'Data Angt'!$A$5:$H$5810,8,FALSE)</f>
        <v>Pelajar/Mahasiswa</v>
      </c>
      <c r="T121" s="44" t="str">
        <f>VLOOKUP(O121,'Data Angt'!$A$5:$C$5809,3,FALSE)</f>
        <v>MGL</v>
      </c>
    </row>
    <row r="122" spans="1:20" x14ac:dyDescent="0.3">
      <c r="A122" s="37">
        <v>86858</v>
      </c>
      <c r="B122" s="38">
        <v>116</v>
      </c>
      <c r="C122" s="39" t="s">
        <v>514</v>
      </c>
      <c r="D122" s="10" t="str">
        <f>VLOOKUP(C122,'Data Angt'!$A$5:$B$5809,2,FALSE)</f>
        <v>A184</v>
      </c>
      <c r="E122" s="40" t="s">
        <v>11909</v>
      </c>
      <c r="F122" s="41">
        <v>43262</v>
      </c>
      <c r="G122" s="38">
        <v>1</v>
      </c>
      <c r="H122" s="40">
        <v>0</v>
      </c>
      <c r="I122" s="38">
        <v>4</v>
      </c>
      <c r="J122" s="41">
        <v>43262</v>
      </c>
      <c r="K122" s="38" t="s">
        <v>10768</v>
      </c>
      <c r="L122" s="42">
        <v>25000000</v>
      </c>
      <c r="O122" s="39" t="s">
        <v>1985</v>
      </c>
      <c r="P122" s="5" t="str">
        <f t="shared" si="2"/>
        <v>A811</v>
      </c>
      <c r="Q122" s="5">
        <f t="shared" si="3"/>
        <v>11</v>
      </c>
      <c r="R122">
        <f>VLOOKUP(O122,'Data Angt'!$A$5:$F$5810,6,FALSE)</f>
        <v>43</v>
      </c>
      <c r="S122" s="5" t="str">
        <f>VLOOKUP(O122,'Data Angt'!$A$5:$H$5810,8,FALSE)</f>
        <v>Tenaga Pengajar</v>
      </c>
      <c r="T122" s="44" t="str">
        <f>VLOOKUP(O122,'Data Angt'!$A$5:$C$5809,3,FALSE)</f>
        <v>JBR</v>
      </c>
    </row>
    <row r="123" spans="1:20" x14ac:dyDescent="0.3">
      <c r="A123" s="37">
        <v>157953</v>
      </c>
      <c r="B123" s="38">
        <v>117</v>
      </c>
      <c r="C123" s="39" t="s">
        <v>514</v>
      </c>
      <c r="D123" s="10" t="str">
        <f>VLOOKUP(C123,'Data Angt'!$A$5:$B$5809,2,FALSE)</f>
        <v>A184</v>
      </c>
      <c r="E123" s="40" t="s">
        <v>23994</v>
      </c>
      <c r="F123" s="41">
        <v>45887</v>
      </c>
      <c r="G123" s="38">
        <v>1</v>
      </c>
      <c r="H123" s="40">
        <v>0</v>
      </c>
      <c r="I123" s="38">
        <v>4</v>
      </c>
      <c r="J123" s="41">
        <v>45887</v>
      </c>
      <c r="K123" s="38" t="s">
        <v>10768</v>
      </c>
      <c r="L123" s="42">
        <v>40000000</v>
      </c>
      <c r="O123" s="39" t="s">
        <v>1990</v>
      </c>
      <c r="P123" s="5" t="str">
        <f t="shared" si="2"/>
        <v>A813</v>
      </c>
      <c r="Q123" s="5">
        <f t="shared" si="3"/>
        <v>2</v>
      </c>
      <c r="R123">
        <f>VLOOKUP(O123,'Data Angt'!$A$5:$F$5810,6,FALSE)</f>
        <v>60</v>
      </c>
      <c r="S123" s="5" t="str">
        <f>VLOOKUP(O123,'Data Angt'!$A$5:$H$5810,8,FALSE)</f>
        <v>Pemuka Agama</v>
      </c>
      <c r="T123" s="44" t="str">
        <f>VLOOKUP(O123,'Data Angt'!$A$5:$C$5809,3,FALSE)</f>
        <v>PBL</v>
      </c>
    </row>
    <row r="124" spans="1:20" x14ac:dyDescent="0.3">
      <c r="A124" s="37">
        <v>126655</v>
      </c>
      <c r="B124" s="38">
        <v>118</v>
      </c>
      <c r="C124" s="39" t="s">
        <v>514</v>
      </c>
      <c r="D124" s="10" t="str">
        <f>VLOOKUP(C124,'Data Angt'!$A$5:$B$5809,2,FALSE)</f>
        <v>A184</v>
      </c>
      <c r="E124" s="40" t="s">
        <v>11919</v>
      </c>
      <c r="F124" s="41">
        <v>44219</v>
      </c>
      <c r="G124" s="38">
        <v>1</v>
      </c>
      <c r="H124" s="40">
        <v>0</v>
      </c>
      <c r="I124" s="38">
        <v>4</v>
      </c>
      <c r="J124" s="41">
        <v>44219</v>
      </c>
      <c r="K124" s="38" t="s">
        <v>10768</v>
      </c>
      <c r="L124" s="42">
        <v>20000000</v>
      </c>
      <c r="O124" s="39" t="s">
        <v>2000</v>
      </c>
      <c r="P124" s="5" t="str">
        <f t="shared" si="2"/>
        <v>A817</v>
      </c>
      <c r="Q124" s="5">
        <f t="shared" si="3"/>
        <v>1</v>
      </c>
      <c r="R124">
        <f>VLOOKUP(O124,'Data Angt'!$A$5:$F$5810,6,FALSE)</f>
        <v>69</v>
      </c>
      <c r="S124" s="5" t="str">
        <f>VLOOKUP(O124,'Data Angt'!$A$5:$H$5810,8,FALSE)</f>
        <v>Mengurus Rumah Tangga</v>
      </c>
      <c r="T124" s="44" t="str">
        <f>VLOOKUP(O124,'Data Angt'!$A$5:$C$5809,3,FALSE)</f>
        <v>PBL</v>
      </c>
    </row>
    <row r="125" spans="1:20" x14ac:dyDescent="0.3">
      <c r="A125" s="37">
        <v>158177</v>
      </c>
      <c r="B125" s="38">
        <v>119</v>
      </c>
      <c r="C125" s="39" t="s">
        <v>514</v>
      </c>
      <c r="D125" s="10" t="str">
        <f>VLOOKUP(C125,'Data Angt'!$A$5:$B$5809,2,FALSE)</f>
        <v>A184</v>
      </c>
      <c r="E125" s="40" t="s">
        <v>23995</v>
      </c>
      <c r="F125" s="41">
        <v>45897</v>
      </c>
      <c r="G125" s="38">
        <v>1</v>
      </c>
      <c r="H125" s="40">
        <v>0</v>
      </c>
      <c r="I125" s="38">
        <v>4</v>
      </c>
      <c r="J125" s="41">
        <v>45897</v>
      </c>
      <c r="K125" s="38" t="s">
        <v>10768</v>
      </c>
      <c r="L125" s="42">
        <v>10000000</v>
      </c>
      <c r="O125" s="39" t="s">
        <v>2007</v>
      </c>
      <c r="P125" s="5" t="str">
        <f t="shared" si="2"/>
        <v>A820</v>
      </c>
      <c r="Q125" s="5">
        <f t="shared" si="3"/>
        <v>1</v>
      </c>
      <c r="R125">
        <f>VLOOKUP(O125,'Data Angt'!$A$5:$F$5810,6,FALSE)</f>
        <v>30</v>
      </c>
      <c r="S125" s="5" t="str">
        <f>VLOOKUP(O125,'Data Angt'!$A$5:$H$5810,8,FALSE)</f>
        <v>Lain-Lain</v>
      </c>
      <c r="T125" s="44" t="str">
        <f>VLOOKUP(O125,'Data Angt'!$A$5:$C$5809,3,FALSE)</f>
        <v>PBL</v>
      </c>
    </row>
    <row r="126" spans="1:20" x14ac:dyDescent="0.3">
      <c r="A126" s="37">
        <v>133760</v>
      </c>
      <c r="B126" s="38">
        <v>120</v>
      </c>
      <c r="C126" s="39" t="s">
        <v>514</v>
      </c>
      <c r="D126" s="10" t="str">
        <f>VLOOKUP(C126,'Data Angt'!$A$5:$B$5809,2,FALSE)</f>
        <v>A184</v>
      </c>
      <c r="E126" s="40" t="s">
        <v>11917</v>
      </c>
      <c r="F126" s="41">
        <v>44767</v>
      </c>
      <c r="G126" s="38">
        <v>1</v>
      </c>
      <c r="H126" s="40">
        <v>0</v>
      </c>
      <c r="I126" s="38">
        <v>4</v>
      </c>
      <c r="J126" s="41">
        <v>44767</v>
      </c>
      <c r="K126" s="38" t="s">
        <v>10768</v>
      </c>
      <c r="L126" s="42">
        <v>10000000</v>
      </c>
      <c r="O126" s="39" t="s">
        <v>12180</v>
      </c>
      <c r="P126" s="5" t="str">
        <f t="shared" si="2"/>
        <v>A824</v>
      </c>
      <c r="Q126" s="5">
        <f t="shared" si="3"/>
        <v>1</v>
      </c>
      <c r="R126">
        <f>VLOOKUP(O126,'Data Angt'!$A$5:$F$5810,6,FALSE)</f>
        <v>19</v>
      </c>
      <c r="S126" s="5" t="str">
        <f>VLOOKUP(O126,'Data Angt'!$A$5:$H$5810,8,FALSE)</f>
        <v>Pelajar/Mahasiswa</v>
      </c>
      <c r="T126" s="44" t="str">
        <f>VLOOKUP(O126,'Data Angt'!$A$5:$C$5809,3,FALSE)</f>
        <v>PBL</v>
      </c>
    </row>
    <row r="127" spans="1:20" x14ac:dyDescent="0.3">
      <c r="A127" s="37">
        <v>88724</v>
      </c>
      <c r="B127" s="38">
        <v>121</v>
      </c>
      <c r="C127" s="39" t="s">
        <v>514</v>
      </c>
      <c r="D127" s="10" t="str">
        <f>VLOOKUP(C127,'Data Angt'!$A$5:$B$5809,2,FALSE)</f>
        <v>A184</v>
      </c>
      <c r="E127" s="40" t="s">
        <v>11912</v>
      </c>
      <c r="F127" s="41">
        <v>43323</v>
      </c>
      <c r="G127" s="38">
        <v>1</v>
      </c>
      <c r="H127" s="40">
        <v>0</v>
      </c>
      <c r="I127" s="38">
        <v>4</v>
      </c>
      <c r="J127" s="41">
        <v>43323</v>
      </c>
      <c r="K127" s="38" t="s">
        <v>10768</v>
      </c>
      <c r="L127" s="42">
        <v>20000000</v>
      </c>
      <c r="O127" s="39" t="s">
        <v>2021</v>
      </c>
      <c r="P127" s="5" t="str">
        <f t="shared" si="2"/>
        <v>A829</v>
      </c>
      <c r="Q127" s="5">
        <f t="shared" si="3"/>
        <v>1</v>
      </c>
      <c r="R127">
        <f>VLOOKUP(O127,'Data Angt'!$A$5:$F$5810,6,FALSE)</f>
        <v>70</v>
      </c>
      <c r="S127" s="5" t="str">
        <f>VLOOKUP(O127,'Data Angt'!$A$5:$H$5810,8,FALSE)</f>
        <v>Pensiunan</v>
      </c>
      <c r="T127" s="44" t="str">
        <f>VLOOKUP(O127,'Data Angt'!$A$5:$C$5809,3,FALSE)</f>
        <v>BWI</v>
      </c>
    </row>
    <row r="128" spans="1:20" x14ac:dyDescent="0.3">
      <c r="A128" s="37">
        <v>128392</v>
      </c>
      <c r="B128" s="38">
        <v>122</v>
      </c>
      <c r="C128" s="39" t="s">
        <v>514</v>
      </c>
      <c r="D128" s="10" t="str">
        <f>VLOOKUP(C128,'Data Angt'!$A$5:$B$5809,2,FALSE)</f>
        <v>A184</v>
      </c>
      <c r="E128" s="40" t="s">
        <v>11918</v>
      </c>
      <c r="F128" s="41">
        <v>44345</v>
      </c>
      <c r="G128" s="38">
        <v>1</v>
      </c>
      <c r="H128" s="40">
        <v>0</v>
      </c>
      <c r="I128" s="38">
        <v>4</v>
      </c>
      <c r="J128" s="41">
        <v>44345</v>
      </c>
      <c r="K128" s="38" t="s">
        <v>10768</v>
      </c>
      <c r="L128" s="42">
        <v>20000000</v>
      </c>
      <c r="O128" s="39" t="s">
        <v>2025</v>
      </c>
      <c r="P128" s="5" t="str">
        <f t="shared" si="2"/>
        <v>A831</v>
      </c>
      <c r="Q128" s="5">
        <f t="shared" si="3"/>
        <v>2</v>
      </c>
      <c r="R128">
        <f>VLOOKUP(O128,'Data Angt'!$A$5:$F$5810,6,FALSE)</f>
        <v>51</v>
      </c>
      <c r="S128" s="5" t="str">
        <f>VLOOKUP(O128,'Data Angt'!$A$5:$H$5810,8,FALSE)</f>
        <v>Tenaga Medis</v>
      </c>
      <c r="T128" s="44" t="str">
        <f>VLOOKUP(O128,'Data Angt'!$A$5:$C$5809,3,FALSE)</f>
        <v>JBR</v>
      </c>
    </row>
    <row r="129" spans="1:20" x14ac:dyDescent="0.3">
      <c r="A129" s="37">
        <v>92459</v>
      </c>
      <c r="B129" s="38">
        <v>123</v>
      </c>
      <c r="C129" s="39" t="s">
        <v>514</v>
      </c>
      <c r="D129" s="10" t="str">
        <f>VLOOKUP(C129,'Data Angt'!$A$5:$B$5809,2,FALSE)</f>
        <v>A184</v>
      </c>
      <c r="E129" s="40" t="s">
        <v>11916</v>
      </c>
      <c r="F129" s="41">
        <v>43447</v>
      </c>
      <c r="G129" s="38">
        <v>1</v>
      </c>
      <c r="H129" s="40">
        <v>0</v>
      </c>
      <c r="I129" s="38">
        <v>4</v>
      </c>
      <c r="J129" s="41">
        <v>43447</v>
      </c>
      <c r="K129" s="38" t="s">
        <v>10768</v>
      </c>
      <c r="L129" s="42">
        <v>20000000</v>
      </c>
      <c r="O129" s="39" t="s">
        <v>2028</v>
      </c>
      <c r="P129" s="5" t="str">
        <f t="shared" si="2"/>
        <v>A832</v>
      </c>
      <c r="Q129" s="5">
        <f t="shared" si="3"/>
        <v>1</v>
      </c>
      <c r="R129">
        <f>VLOOKUP(O129,'Data Angt'!$A$5:$F$5810,6,FALSE)</f>
        <v>40</v>
      </c>
      <c r="S129" s="5" t="str">
        <f>VLOOKUP(O129,'Data Angt'!$A$5:$H$5810,8,FALSE)</f>
        <v>Aparatur/Pejabat Negara</v>
      </c>
      <c r="T129" s="44" t="str">
        <f>VLOOKUP(O129,'Data Angt'!$A$5:$C$5809,3,FALSE)</f>
        <v>PBL</v>
      </c>
    </row>
    <row r="130" spans="1:20" x14ac:dyDescent="0.3">
      <c r="A130" s="37">
        <v>128521</v>
      </c>
      <c r="B130" s="38">
        <v>124</v>
      </c>
      <c r="C130" s="39" t="s">
        <v>514</v>
      </c>
      <c r="D130" s="10" t="str">
        <f>VLOOKUP(C130,'Data Angt'!$A$5:$B$5809,2,FALSE)</f>
        <v>A184</v>
      </c>
      <c r="E130" s="40" t="s">
        <v>11915</v>
      </c>
      <c r="F130" s="41">
        <v>44355</v>
      </c>
      <c r="G130" s="38">
        <v>1</v>
      </c>
      <c r="H130" s="40">
        <v>0</v>
      </c>
      <c r="I130" s="38">
        <v>4</v>
      </c>
      <c r="J130" s="41">
        <v>44355</v>
      </c>
      <c r="K130" s="38" t="s">
        <v>10768</v>
      </c>
      <c r="L130" s="42">
        <v>16000000</v>
      </c>
      <c r="O130" s="39" t="s">
        <v>2031</v>
      </c>
      <c r="P130" s="5" t="str">
        <f t="shared" si="2"/>
        <v>A833</v>
      </c>
      <c r="Q130" s="5">
        <f t="shared" si="3"/>
        <v>3</v>
      </c>
      <c r="R130">
        <f>VLOOKUP(O130,'Data Angt'!$A$5:$F$5810,6,FALSE)</f>
        <v>63</v>
      </c>
      <c r="S130" s="5" t="str">
        <f>VLOOKUP(O130,'Data Angt'!$A$5:$H$5810,8,FALSE)</f>
        <v>Karyawan</v>
      </c>
      <c r="T130" s="44" t="str">
        <f>VLOOKUP(O130,'Data Angt'!$A$5:$C$5809,3,FALSE)</f>
        <v>JBR</v>
      </c>
    </row>
    <row r="131" spans="1:20" x14ac:dyDescent="0.3">
      <c r="A131" s="37">
        <v>78493</v>
      </c>
      <c r="B131" s="38">
        <v>125</v>
      </c>
      <c r="C131" s="39" t="s">
        <v>514</v>
      </c>
      <c r="D131" s="10" t="str">
        <f>VLOOKUP(C131,'Data Angt'!$A$5:$B$5809,2,FALSE)</f>
        <v>A184</v>
      </c>
      <c r="E131" s="40" t="s">
        <v>11914</v>
      </c>
      <c r="F131" s="41">
        <v>42576</v>
      </c>
      <c r="G131" s="38">
        <v>1</v>
      </c>
      <c r="H131" s="40">
        <v>0</v>
      </c>
      <c r="I131" s="38">
        <v>4</v>
      </c>
      <c r="J131" s="41">
        <v>42576</v>
      </c>
      <c r="K131" s="38" t="s">
        <v>10768</v>
      </c>
      <c r="L131" s="42">
        <v>20000000</v>
      </c>
      <c r="O131" s="39" t="s">
        <v>2034</v>
      </c>
      <c r="P131" s="5" t="str">
        <f t="shared" si="2"/>
        <v>A835</v>
      </c>
      <c r="Q131" s="5">
        <f t="shared" si="3"/>
        <v>4</v>
      </c>
      <c r="R131">
        <f>VLOOKUP(O131,'Data Angt'!$A$5:$F$5810,6,FALSE)</f>
        <v>46</v>
      </c>
      <c r="S131" s="5" t="str">
        <f>VLOOKUP(O131,'Data Angt'!$A$5:$H$5810,8,FALSE)</f>
        <v>Tenaga Pengajar</v>
      </c>
      <c r="T131" s="44" t="str">
        <f>VLOOKUP(O131,'Data Angt'!$A$5:$C$5809,3,FALSE)</f>
        <v>JBR</v>
      </c>
    </row>
    <row r="132" spans="1:20" x14ac:dyDescent="0.3">
      <c r="A132" s="37">
        <v>129745</v>
      </c>
      <c r="B132" s="38">
        <v>126</v>
      </c>
      <c r="C132" s="39" t="s">
        <v>514</v>
      </c>
      <c r="D132" s="10" t="str">
        <f>VLOOKUP(C132,'Data Angt'!$A$5:$B$5809,2,FALSE)</f>
        <v>A184</v>
      </c>
      <c r="E132" s="40" t="s">
        <v>11913</v>
      </c>
      <c r="F132" s="41">
        <v>44439</v>
      </c>
      <c r="G132" s="38">
        <v>1</v>
      </c>
      <c r="H132" s="40">
        <v>0</v>
      </c>
      <c r="I132" s="38">
        <v>4</v>
      </c>
      <c r="J132" s="41">
        <v>44439</v>
      </c>
      <c r="K132" s="38" t="s">
        <v>10768</v>
      </c>
      <c r="L132" s="42">
        <v>10000000</v>
      </c>
      <c r="O132" s="39" t="s">
        <v>12184</v>
      </c>
      <c r="P132" s="5" t="str">
        <f t="shared" si="2"/>
        <v>A848</v>
      </c>
      <c r="Q132" s="5">
        <f t="shared" si="3"/>
        <v>6</v>
      </c>
      <c r="R132">
        <f>VLOOKUP(O132,'Data Angt'!$A$5:$F$5810,6,FALSE)</f>
        <v>25</v>
      </c>
      <c r="S132" s="5" t="str">
        <f>VLOOKUP(O132,'Data Angt'!$A$5:$H$5810,8,FALSE)</f>
        <v>Wiraswasta</v>
      </c>
      <c r="T132" s="44" t="str">
        <f>VLOOKUP(O132,'Data Angt'!$A$5:$C$5809,3,FALSE)</f>
        <v>JBR</v>
      </c>
    </row>
    <row r="133" spans="1:20" x14ac:dyDescent="0.3">
      <c r="A133" s="37">
        <v>113187</v>
      </c>
      <c r="B133" s="38">
        <v>127</v>
      </c>
      <c r="C133" s="39" t="s">
        <v>514</v>
      </c>
      <c r="D133" s="10" t="str">
        <f>VLOOKUP(C133,'Data Angt'!$A$5:$B$5809,2,FALSE)</f>
        <v>A184</v>
      </c>
      <c r="E133" s="40" t="s">
        <v>11911</v>
      </c>
      <c r="F133" s="41">
        <v>43638</v>
      </c>
      <c r="G133" s="38">
        <v>1</v>
      </c>
      <c r="H133" s="40">
        <v>0</v>
      </c>
      <c r="I133" s="38">
        <v>4</v>
      </c>
      <c r="J133" s="41">
        <v>43638</v>
      </c>
      <c r="K133" s="38" t="s">
        <v>10768</v>
      </c>
      <c r="L133" s="42">
        <v>20000000</v>
      </c>
      <c r="O133" s="39" t="s">
        <v>2077</v>
      </c>
      <c r="P133" s="5" t="str">
        <f t="shared" si="2"/>
        <v>A853</v>
      </c>
      <c r="Q133" s="5">
        <f t="shared" si="3"/>
        <v>1</v>
      </c>
      <c r="R133">
        <f>VLOOKUP(O133,'Data Angt'!$A$5:$F$5810,6,FALSE)</f>
        <v>57</v>
      </c>
      <c r="S133" s="5" t="str">
        <f>VLOOKUP(O133,'Data Angt'!$A$5:$H$5810,8,FALSE)</f>
        <v>Karyawan</v>
      </c>
      <c r="T133" s="44" t="str">
        <f>VLOOKUP(O133,'Data Angt'!$A$5:$C$5809,3,FALSE)</f>
        <v>KRK</v>
      </c>
    </row>
    <row r="134" spans="1:20" x14ac:dyDescent="0.3">
      <c r="A134" s="37">
        <v>148313</v>
      </c>
      <c r="B134" s="38">
        <v>128</v>
      </c>
      <c r="C134" s="39" t="s">
        <v>514</v>
      </c>
      <c r="D134" s="10" t="str">
        <f>VLOOKUP(C134,'Data Angt'!$A$5:$B$5809,2,FALSE)</f>
        <v>A184</v>
      </c>
      <c r="E134" s="40" t="s">
        <v>18007</v>
      </c>
      <c r="F134" s="41">
        <v>45525</v>
      </c>
      <c r="G134" s="38">
        <v>1</v>
      </c>
      <c r="H134" s="40">
        <v>0</v>
      </c>
      <c r="I134" s="38">
        <v>4</v>
      </c>
      <c r="J134" s="41">
        <v>45525</v>
      </c>
      <c r="K134" s="38" t="s">
        <v>10768</v>
      </c>
      <c r="L134" s="42">
        <v>12000000</v>
      </c>
      <c r="O134" s="39" t="s">
        <v>2166</v>
      </c>
      <c r="P134" s="5" t="str">
        <f t="shared" ref="P134:P197" si="4">VLOOKUP(O134,$C$7:$D$1146,2,FALSE)</f>
        <v>A898</v>
      </c>
      <c r="Q134" s="5">
        <f t="shared" si="3"/>
        <v>1</v>
      </c>
      <c r="R134">
        <f>VLOOKUP(O134,'Data Angt'!$A$5:$F$5810,6,FALSE)</f>
        <v>44</v>
      </c>
      <c r="S134" s="5" t="str">
        <f>VLOOKUP(O134,'Data Angt'!$A$5:$H$5810,8,FALSE)</f>
        <v>Karyawan</v>
      </c>
      <c r="T134" s="44" t="str">
        <f>VLOOKUP(O134,'Data Angt'!$A$5:$C$5809,3,FALSE)</f>
        <v>JBR</v>
      </c>
    </row>
    <row r="135" spans="1:20" x14ac:dyDescent="0.3">
      <c r="A135" s="37">
        <v>152232</v>
      </c>
      <c r="B135" s="38">
        <v>129</v>
      </c>
      <c r="C135" s="39" t="s">
        <v>514</v>
      </c>
      <c r="D135" s="10" t="str">
        <f>VLOOKUP(C135,'Data Angt'!$A$5:$B$5809,2,FALSE)</f>
        <v>A184</v>
      </c>
      <c r="E135" s="40" t="s">
        <v>18008</v>
      </c>
      <c r="F135" s="41">
        <v>45673</v>
      </c>
      <c r="G135" s="38">
        <v>1</v>
      </c>
      <c r="H135" s="40">
        <v>0</v>
      </c>
      <c r="I135" s="38">
        <v>4</v>
      </c>
      <c r="J135" s="41">
        <v>45673</v>
      </c>
      <c r="K135" s="38" t="s">
        <v>10768</v>
      </c>
      <c r="L135" s="42">
        <v>10000000</v>
      </c>
      <c r="O135" s="39" t="s">
        <v>2172</v>
      </c>
      <c r="P135" s="5" t="str">
        <f t="shared" si="4"/>
        <v>A901</v>
      </c>
      <c r="Q135" s="5">
        <f t="shared" ref="Q135:Q198" si="5">COUNTIF($C$7:$C$1146,O135)</f>
        <v>2</v>
      </c>
      <c r="R135">
        <f>VLOOKUP(O135,'Data Angt'!$A$5:$F$5810,6,FALSE)</f>
        <v>31</v>
      </c>
      <c r="S135" s="5" t="str">
        <f>VLOOKUP(O135,'Data Angt'!$A$5:$H$5810,8,FALSE)</f>
        <v>Karyawan</v>
      </c>
      <c r="T135" s="44" t="str">
        <f>VLOOKUP(O135,'Data Angt'!$A$5:$C$5809,3,FALSE)</f>
        <v>PBL</v>
      </c>
    </row>
    <row r="136" spans="1:20" x14ac:dyDescent="0.3">
      <c r="A136" s="37">
        <v>154904</v>
      </c>
      <c r="B136" s="38">
        <v>130</v>
      </c>
      <c r="C136" s="39" t="s">
        <v>514</v>
      </c>
      <c r="D136" s="10" t="str">
        <f>VLOOKUP(C136,'Data Angt'!$A$5:$B$5809,2,FALSE)</f>
        <v>A184</v>
      </c>
      <c r="E136" s="40" t="s">
        <v>18009</v>
      </c>
      <c r="F136" s="41">
        <v>45755</v>
      </c>
      <c r="G136" s="38">
        <v>1</v>
      </c>
      <c r="H136" s="40">
        <v>0</v>
      </c>
      <c r="I136" s="38">
        <v>4</v>
      </c>
      <c r="J136" s="41">
        <v>45755</v>
      </c>
      <c r="K136" s="38" t="s">
        <v>10768</v>
      </c>
      <c r="L136" s="42">
        <v>18000000</v>
      </c>
      <c r="O136" s="39" t="s">
        <v>2198</v>
      </c>
      <c r="P136" s="5" t="str">
        <f t="shared" si="4"/>
        <v>A914</v>
      </c>
      <c r="Q136" s="5">
        <f t="shared" si="5"/>
        <v>3</v>
      </c>
      <c r="R136">
        <f>VLOOKUP(O136,'Data Angt'!$A$5:$F$5810,6,FALSE)</f>
        <v>64</v>
      </c>
      <c r="S136" s="5" t="str">
        <f>VLOOKUP(O136,'Data Angt'!$A$5:$H$5810,8,FALSE)</f>
        <v>Wiraswasta</v>
      </c>
      <c r="T136" s="44" t="str">
        <f>VLOOKUP(O136,'Data Angt'!$A$5:$C$5809,3,FALSE)</f>
        <v>JBR</v>
      </c>
    </row>
    <row r="137" spans="1:20" x14ac:dyDescent="0.3">
      <c r="A137" s="37">
        <v>131333</v>
      </c>
      <c r="B137" s="38">
        <v>131</v>
      </c>
      <c r="C137" s="39" t="s">
        <v>514</v>
      </c>
      <c r="D137" s="10" t="str">
        <f>VLOOKUP(C137,'Data Angt'!$A$5:$B$5809,2,FALSE)</f>
        <v>A184</v>
      </c>
      <c r="E137" s="40" t="s">
        <v>11910</v>
      </c>
      <c r="F137" s="41">
        <v>44573</v>
      </c>
      <c r="G137" s="38">
        <v>1</v>
      </c>
      <c r="H137" s="40">
        <v>0</v>
      </c>
      <c r="I137" s="38">
        <v>4</v>
      </c>
      <c r="J137" s="41">
        <v>44573</v>
      </c>
      <c r="K137" s="38" t="s">
        <v>10768</v>
      </c>
      <c r="L137" s="42">
        <v>50000000</v>
      </c>
      <c r="O137" s="39" t="s">
        <v>2222</v>
      </c>
      <c r="P137" s="5" t="str">
        <f t="shared" si="4"/>
        <v>A926</v>
      </c>
      <c r="Q137" s="5">
        <f t="shared" si="5"/>
        <v>2</v>
      </c>
      <c r="R137">
        <f>VLOOKUP(O137,'Data Angt'!$A$5:$F$5810,6,FALSE)</f>
        <v>59</v>
      </c>
      <c r="S137" s="5" t="str">
        <f>VLOOKUP(O137,'Data Angt'!$A$5:$H$5810,8,FALSE)</f>
        <v>Tenaga Pengajar</v>
      </c>
      <c r="T137" s="44" t="str">
        <f>VLOOKUP(O137,'Data Angt'!$A$5:$C$5809,3,FALSE)</f>
        <v>KRK</v>
      </c>
    </row>
    <row r="138" spans="1:20" x14ac:dyDescent="0.3">
      <c r="A138" s="37">
        <v>154905</v>
      </c>
      <c r="B138" s="38">
        <v>132</v>
      </c>
      <c r="C138" s="39" t="s">
        <v>514</v>
      </c>
      <c r="D138" s="10" t="str">
        <f>VLOOKUP(C138,'Data Angt'!$A$5:$B$5809,2,FALSE)</f>
        <v>A184</v>
      </c>
      <c r="E138" s="40" t="s">
        <v>18010</v>
      </c>
      <c r="F138" s="41">
        <v>45755</v>
      </c>
      <c r="G138" s="38">
        <v>1</v>
      </c>
      <c r="H138" s="40">
        <v>0</v>
      </c>
      <c r="I138" s="38">
        <v>4</v>
      </c>
      <c r="J138" s="41">
        <v>45755</v>
      </c>
      <c r="K138" s="38" t="s">
        <v>10768</v>
      </c>
      <c r="L138" s="42">
        <v>20000000</v>
      </c>
      <c r="O138" s="39" t="s">
        <v>2238</v>
      </c>
      <c r="P138" s="5" t="str">
        <f t="shared" si="4"/>
        <v>A932</v>
      </c>
      <c r="Q138" s="5">
        <f t="shared" si="5"/>
        <v>1</v>
      </c>
      <c r="R138">
        <f>VLOOKUP(O138,'Data Angt'!$A$5:$F$5810,6,FALSE)</f>
        <v>42</v>
      </c>
      <c r="S138" s="5" t="str">
        <f>VLOOKUP(O138,'Data Angt'!$A$5:$H$5810,8,FALSE)</f>
        <v>Wiraswasta</v>
      </c>
      <c r="T138" s="44" t="str">
        <f>VLOOKUP(O138,'Data Angt'!$A$5:$C$5809,3,FALSE)</f>
        <v>PBL</v>
      </c>
    </row>
    <row r="139" spans="1:20" x14ac:dyDescent="0.3">
      <c r="A139" s="37">
        <v>155069</v>
      </c>
      <c r="B139" s="38">
        <v>133</v>
      </c>
      <c r="C139" s="39" t="s">
        <v>514</v>
      </c>
      <c r="D139" s="10" t="str">
        <f>VLOOKUP(C139,'Data Angt'!$A$5:$B$5809,2,FALSE)</f>
        <v>A184</v>
      </c>
      <c r="E139" s="40" t="s">
        <v>18011</v>
      </c>
      <c r="F139" s="41">
        <v>45763</v>
      </c>
      <c r="G139" s="38">
        <v>1</v>
      </c>
      <c r="H139" s="40">
        <v>0</v>
      </c>
      <c r="I139" s="38">
        <v>4</v>
      </c>
      <c r="J139" s="41">
        <v>45763</v>
      </c>
      <c r="K139" s="38" t="s">
        <v>10768</v>
      </c>
      <c r="L139" s="42">
        <v>18000000</v>
      </c>
      <c r="O139" s="39" t="s">
        <v>2242</v>
      </c>
      <c r="P139" s="5" t="str">
        <f t="shared" si="4"/>
        <v>A934</v>
      </c>
      <c r="Q139" s="5">
        <f t="shared" si="5"/>
        <v>5</v>
      </c>
      <c r="R139">
        <f>VLOOKUP(O139,'Data Angt'!$A$5:$F$5810,6,FALSE)</f>
        <v>68</v>
      </c>
      <c r="S139" s="5" t="str">
        <f>VLOOKUP(O139,'Data Angt'!$A$5:$H$5810,8,FALSE)</f>
        <v>Pensiunan</v>
      </c>
      <c r="T139" s="44" t="str">
        <f>VLOOKUP(O139,'Data Angt'!$A$5:$C$5809,3,FALSE)</f>
        <v>PBL</v>
      </c>
    </row>
    <row r="140" spans="1:20" x14ac:dyDescent="0.3">
      <c r="A140" s="37">
        <v>135698</v>
      </c>
      <c r="B140" s="38">
        <v>134</v>
      </c>
      <c r="C140" s="39" t="s">
        <v>533</v>
      </c>
      <c r="D140" s="10" t="str">
        <f>VLOOKUP(C140,'Data Angt'!$A$5:$B$5809,2,FALSE)</f>
        <v>A192</v>
      </c>
      <c r="E140" s="40" t="s">
        <v>11907</v>
      </c>
      <c r="F140" s="41">
        <v>44911</v>
      </c>
      <c r="G140" s="38">
        <v>1</v>
      </c>
      <c r="H140" s="40">
        <v>0</v>
      </c>
      <c r="I140" s="38">
        <v>4</v>
      </c>
      <c r="J140" s="41">
        <v>44911</v>
      </c>
      <c r="K140" s="38" t="s">
        <v>10768</v>
      </c>
      <c r="L140" s="42">
        <v>10000000</v>
      </c>
      <c r="O140" s="39" t="s">
        <v>2258</v>
      </c>
      <c r="P140" s="5" t="str">
        <f t="shared" si="4"/>
        <v>A940</v>
      </c>
      <c r="Q140" s="5">
        <f t="shared" si="5"/>
        <v>1</v>
      </c>
      <c r="R140">
        <f>VLOOKUP(O140,'Data Angt'!$A$5:$F$5810,6,FALSE)</f>
        <v>47</v>
      </c>
      <c r="S140" s="5" t="str">
        <f>VLOOKUP(O140,'Data Angt'!$A$5:$H$5810,8,FALSE)</f>
        <v>Tenaga Pengajar</v>
      </c>
      <c r="T140" s="44" t="str">
        <f>VLOOKUP(O140,'Data Angt'!$A$5:$C$5809,3,FALSE)</f>
        <v>MJK</v>
      </c>
    </row>
    <row r="141" spans="1:20" x14ac:dyDescent="0.3">
      <c r="A141" s="37">
        <v>135699</v>
      </c>
      <c r="B141" s="38">
        <v>135</v>
      </c>
      <c r="C141" s="39" t="s">
        <v>533</v>
      </c>
      <c r="D141" s="10" t="str">
        <f>VLOOKUP(C141,'Data Angt'!$A$5:$B$5809,2,FALSE)</f>
        <v>A192</v>
      </c>
      <c r="E141" s="40" t="s">
        <v>11906</v>
      </c>
      <c r="F141" s="41">
        <v>44911</v>
      </c>
      <c r="G141" s="38">
        <v>1</v>
      </c>
      <c r="H141" s="40">
        <v>0</v>
      </c>
      <c r="I141" s="38">
        <v>4</v>
      </c>
      <c r="J141" s="41">
        <v>44911</v>
      </c>
      <c r="K141" s="38" t="s">
        <v>10768</v>
      </c>
      <c r="L141" s="42">
        <v>10000000</v>
      </c>
      <c r="O141" s="39" t="s">
        <v>2310</v>
      </c>
      <c r="P141" s="5" t="str">
        <f t="shared" si="4"/>
        <v>A961</v>
      </c>
      <c r="Q141" s="5">
        <f t="shared" si="5"/>
        <v>7</v>
      </c>
      <c r="R141">
        <f>VLOOKUP(O141,'Data Angt'!$A$5:$F$5810,6,FALSE)</f>
        <v>63</v>
      </c>
      <c r="S141" s="5" t="str">
        <f>VLOOKUP(O141,'Data Angt'!$A$5:$H$5810,8,FALSE)</f>
        <v>Mengurus Rumah Tangga</v>
      </c>
      <c r="T141" s="44" t="str">
        <f>VLOOKUP(O141,'Data Angt'!$A$5:$C$5809,3,FALSE)</f>
        <v>JBR</v>
      </c>
    </row>
    <row r="142" spans="1:20" x14ac:dyDescent="0.3">
      <c r="A142" s="37">
        <v>142307</v>
      </c>
      <c r="B142" s="38">
        <v>136</v>
      </c>
      <c r="C142" s="39" t="s">
        <v>533</v>
      </c>
      <c r="D142" s="10" t="str">
        <f>VLOOKUP(C142,'Data Angt'!$A$5:$B$5809,2,FALSE)</f>
        <v>A192</v>
      </c>
      <c r="E142" s="40" t="s">
        <v>18013</v>
      </c>
      <c r="F142" s="41">
        <v>45324</v>
      </c>
      <c r="G142" s="38">
        <v>1</v>
      </c>
      <c r="H142" s="40">
        <v>0</v>
      </c>
      <c r="I142" s="38">
        <v>4</v>
      </c>
      <c r="J142" s="41">
        <v>45324</v>
      </c>
      <c r="K142" s="38" t="s">
        <v>10768</v>
      </c>
      <c r="L142" s="42">
        <v>50000000</v>
      </c>
      <c r="O142" s="39" t="s">
        <v>2353</v>
      </c>
      <c r="P142" s="5" t="str">
        <f t="shared" si="4"/>
        <v>A978</v>
      </c>
      <c r="Q142" s="5">
        <f t="shared" si="5"/>
        <v>2</v>
      </c>
      <c r="R142">
        <f>VLOOKUP(O142,'Data Angt'!$A$5:$F$5810,6,FALSE)</f>
        <v>50</v>
      </c>
      <c r="S142" s="5" t="str">
        <f>VLOOKUP(O142,'Data Angt'!$A$5:$H$5810,8,FALSE)</f>
        <v>Mengurus Rumah Tangga</v>
      </c>
      <c r="T142" s="44" t="str">
        <f>VLOOKUP(O142,'Data Angt'!$A$5:$C$5809,3,FALSE)</f>
        <v>PBL</v>
      </c>
    </row>
    <row r="143" spans="1:20" x14ac:dyDescent="0.3">
      <c r="A143" s="37">
        <v>142308</v>
      </c>
      <c r="B143" s="38">
        <v>137</v>
      </c>
      <c r="C143" s="39" t="s">
        <v>533</v>
      </c>
      <c r="D143" s="10" t="str">
        <f>VLOOKUP(C143,'Data Angt'!$A$5:$B$5809,2,FALSE)</f>
        <v>A192</v>
      </c>
      <c r="E143" s="40" t="s">
        <v>18014</v>
      </c>
      <c r="F143" s="41">
        <v>45324</v>
      </c>
      <c r="G143" s="38">
        <v>1</v>
      </c>
      <c r="H143" s="40">
        <v>0</v>
      </c>
      <c r="I143" s="38">
        <v>4</v>
      </c>
      <c r="J143" s="41">
        <v>45324</v>
      </c>
      <c r="K143" s="38" t="s">
        <v>10768</v>
      </c>
      <c r="L143" s="42">
        <v>50000000</v>
      </c>
      <c r="O143" s="39" t="s">
        <v>12207</v>
      </c>
      <c r="P143" s="5" t="str">
        <f t="shared" si="4"/>
        <v>A987</v>
      </c>
      <c r="Q143" s="5">
        <f t="shared" si="5"/>
        <v>1</v>
      </c>
      <c r="R143">
        <f>VLOOKUP(O143,'Data Angt'!$A$5:$F$5810,6,FALSE)</f>
        <v>17</v>
      </c>
      <c r="S143" s="5" t="str">
        <f>VLOOKUP(O143,'Data Angt'!$A$5:$H$5810,8,FALSE)</f>
        <v>Pelajar/Mahasiswa</v>
      </c>
      <c r="T143" s="44" t="str">
        <f>VLOOKUP(O143,'Data Angt'!$A$5:$C$5809,3,FALSE)</f>
        <v>PBL</v>
      </c>
    </row>
    <row r="144" spans="1:20" x14ac:dyDescent="0.3">
      <c r="A144" s="37">
        <v>132294</v>
      </c>
      <c r="B144" s="38">
        <v>138</v>
      </c>
      <c r="C144" s="39" t="s">
        <v>533</v>
      </c>
      <c r="D144" s="10" t="str">
        <f>VLOOKUP(C144,'Data Angt'!$A$5:$B$5809,2,FALSE)</f>
        <v>A192</v>
      </c>
      <c r="E144" s="40" t="s">
        <v>11908</v>
      </c>
      <c r="F144" s="41">
        <v>44646</v>
      </c>
      <c r="G144" s="38">
        <v>1</v>
      </c>
      <c r="H144" s="40">
        <v>0</v>
      </c>
      <c r="I144" s="38">
        <v>4</v>
      </c>
      <c r="J144" s="41">
        <v>44646</v>
      </c>
      <c r="K144" s="38" t="s">
        <v>10768</v>
      </c>
      <c r="L144" s="42">
        <v>25000000</v>
      </c>
      <c r="O144" s="39" t="s">
        <v>2389</v>
      </c>
      <c r="P144" s="5" t="str">
        <f t="shared" si="4"/>
        <v>A994</v>
      </c>
      <c r="Q144" s="5">
        <f t="shared" si="5"/>
        <v>2</v>
      </c>
      <c r="R144">
        <f>VLOOKUP(O144,'Data Angt'!$A$5:$F$5810,6,FALSE)</f>
        <v>61</v>
      </c>
      <c r="S144" s="5" t="str">
        <f>VLOOKUP(O144,'Data Angt'!$A$5:$H$5810,8,FALSE)</f>
        <v>Aparatur/Pejabat Negara</v>
      </c>
      <c r="T144" s="44" t="str">
        <f>VLOOKUP(O144,'Data Angt'!$A$5:$C$5809,3,FALSE)</f>
        <v>JBR</v>
      </c>
    </row>
    <row r="145" spans="1:20" x14ac:dyDescent="0.3">
      <c r="A145" s="37">
        <v>121873</v>
      </c>
      <c r="B145" s="38">
        <v>139</v>
      </c>
      <c r="C145" s="39" t="s">
        <v>563</v>
      </c>
      <c r="D145" s="10" t="str">
        <f>VLOOKUP(C145,'Data Angt'!$A$5:$B$5809,2,FALSE)</f>
        <v>A203</v>
      </c>
      <c r="E145" s="40" t="s">
        <v>11905</v>
      </c>
      <c r="F145" s="41">
        <v>43903</v>
      </c>
      <c r="G145" s="38">
        <v>1</v>
      </c>
      <c r="H145" s="40">
        <v>0</v>
      </c>
      <c r="I145" s="38">
        <v>4</v>
      </c>
      <c r="J145" s="41">
        <v>43903</v>
      </c>
      <c r="K145" s="38" t="s">
        <v>10768</v>
      </c>
      <c r="L145" s="42">
        <v>20000000</v>
      </c>
      <c r="O145" s="39" t="s">
        <v>2393</v>
      </c>
      <c r="P145" s="5" t="str">
        <f t="shared" si="4"/>
        <v>A996</v>
      </c>
      <c r="Q145" s="5">
        <f t="shared" si="5"/>
        <v>1</v>
      </c>
      <c r="R145">
        <f>VLOOKUP(O145,'Data Angt'!$A$5:$F$5810,6,FALSE)</f>
        <v>19</v>
      </c>
      <c r="S145" s="5" t="str">
        <f>VLOOKUP(O145,'Data Angt'!$A$5:$H$5810,8,FALSE)</f>
        <v>Pelajar/Mahasiswa</v>
      </c>
      <c r="T145" s="44" t="str">
        <f>VLOOKUP(O145,'Data Angt'!$A$5:$C$5809,3,FALSE)</f>
        <v>KRK</v>
      </c>
    </row>
    <row r="146" spans="1:20" x14ac:dyDescent="0.3">
      <c r="A146" s="37">
        <v>154124</v>
      </c>
      <c r="B146" s="38">
        <v>140</v>
      </c>
      <c r="C146" s="39" t="s">
        <v>572</v>
      </c>
      <c r="D146" s="10" t="str">
        <f>VLOOKUP(C146,'Data Angt'!$A$5:$B$5809,2,FALSE)</f>
        <v>A206</v>
      </c>
      <c r="E146" s="40" t="s">
        <v>18015</v>
      </c>
      <c r="F146" s="41">
        <v>45717</v>
      </c>
      <c r="G146" s="38">
        <v>1</v>
      </c>
      <c r="H146" s="40">
        <v>0</v>
      </c>
      <c r="I146" s="38">
        <v>4</v>
      </c>
      <c r="J146" s="41">
        <v>45717</v>
      </c>
      <c r="K146" s="38" t="s">
        <v>10768</v>
      </c>
      <c r="L146" s="42">
        <v>20000000</v>
      </c>
      <c r="O146" s="39" t="s">
        <v>2456</v>
      </c>
      <c r="P146" s="5" t="str">
        <f t="shared" si="4"/>
        <v>A1023</v>
      </c>
      <c r="Q146" s="5">
        <f t="shared" si="5"/>
        <v>2</v>
      </c>
      <c r="R146">
        <f>VLOOKUP(O146,'Data Angt'!$A$5:$F$5810,6,FALSE)</f>
        <v>56</v>
      </c>
      <c r="S146" s="5" t="str">
        <f>VLOOKUP(O146,'Data Angt'!$A$5:$H$5810,8,FALSE)</f>
        <v>Karyawan</v>
      </c>
      <c r="T146" s="44" t="str">
        <f>VLOOKUP(O146,'Data Angt'!$A$5:$C$5809,3,FALSE)</f>
        <v>JBR</v>
      </c>
    </row>
    <row r="147" spans="1:20" x14ac:dyDescent="0.3">
      <c r="A147" s="37">
        <v>125630</v>
      </c>
      <c r="B147" s="38">
        <v>141</v>
      </c>
      <c r="C147" s="39" t="s">
        <v>578</v>
      </c>
      <c r="D147" s="10" t="str">
        <f>VLOOKUP(C147,'Data Angt'!$A$5:$B$5809,2,FALSE)</f>
        <v>A208</v>
      </c>
      <c r="E147" s="40" t="s">
        <v>11904</v>
      </c>
      <c r="F147" s="41">
        <v>44140</v>
      </c>
      <c r="G147" s="38">
        <v>1</v>
      </c>
      <c r="H147" s="40">
        <v>0</v>
      </c>
      <c r="I147" s="38">
        <v>4</v>
      </c>
      <c r="J147" s="41">
        <v>44140</v>
      </c>
      <c r="K147" s="38" t="s">
        <v>10768</v>
      </c>
      <c r="L147" s="42">
        <v>50000000</v>
      </c>
      <c r="O147" s="39" t="s">
        <v>2482</v>
      </c>
      <c r="P147" s="5" t="str">
        <f t="shared" si="4"/>
        <v>A1033</v>
      </c>
      <c r="Q147" s="5">
        <f t="shared" si="5"/>
        <v>4</v>
      </c>
      <c r="R147">
        <f>VLOOKUP(O147,'Data Angt'!$A$5:$F$5810,6,FALSE)</f>
        <v>70</v>
      </c>
      <c r="S147" s="5" t="str">
        <f>VLOOKUP(O147,'Data Angt'!$A$5:$H$5810,8,FALSE)</f>
        <v>Mengurus Rumah Tangga</v>
      </c>
      <c r="T147" s="44" t="str">
        <f>VLOOKUP(O147,'Data Angt'!$A$5:$C$5809,3,FALSE)</f>
        <v>JBR</v>
      </c>
    </row>
    <row r="148" spans="1:20" x14ac:dyDescent="0.3">
      <c r="A148" s="37">
        <v>78585</v>
      </c>
      <c r="B148" s="38">
        <v>142</v>
      </c>
      <c r="C148" s="39" t="s">
        <v>585</v>
      </c>
      <c r="D148" s="10" t="str">
        <f>VLOOKUP(C148,'Data Angt'!$A$5:$B$5809,2,FALSE)</f>
        <v>A211</v>
      </c>
      <c r="E148" s="40" t="s">
        <v>11903</v>
      </c>
      <c r="F148" s="41">
        <v>40611</v>
      </c>
      <c r="G148" s="38">
        <v>1</v>
      </c>
      <c r="H148" s="40">
        <v>0</v>
      </c>
      <c r="I148" s="38">
        <v>4</v>
      </c>
      <c r="J148" s="41">
        <v>40789</v>
      </c>
      <c r="K148" s="38" t="s">
        <v>10768</v>
      </c>
      <c r="L148" s="42">
        <v>3500000</v>
      </c>
      <c r="O148" s="39" t="s">
        <v>2522</v>
      </c>
      <c r="P148" s="5" t="str">
        <f t="shared" si="4"/>
        <v>A1050</v>
      </c>
      <c r="Q148" s="5">
        <f t="shared" si="5"/>
        <v>1</v>
      </c>
      <c r="R148">
        <f>VLOOKUP(O148,'Data Angt'!$A$5:$F$5810,6,FALSE)</f>
        <v>50</v>
      </c>
      <c r="S148" s="5" t="str">
        <f>VLOOKUP(O148,'Data Angt'!$A$5:$H$5810,8,FALSE)</f>
        <v>Karyawan</v>
      </c>
      <c r="T148" s="44" t="str">
        <f>VLOOKUP(O148,'Data Angt'!$A$5:$C$5809,3,FALSE)</f>
        <v>PBL</v>
      </c>
    </row>
    <row r="149" spans="1:20" x14ac:dyDescent="0.3">
      <c r="A149" s="37">
        <v>78621</v>
      </c>
      <c r="B149" s="38">
        <v>143</v>
      </c>
      <c r="C149" s="39" t="s">
        <v>585</v>
      </c>
      <c r="D149" s="10" t="str">
        <f>VLOOKUP(C149,'Data Angt'!$A$5:$B$5809,2,FALSE)</f>
        <v>A211</v>
      </c>
      <c r="E149" s="40" t="s">
        <v>11902</v>
      </c>
      <c r="F149" s="41">
        <v>42299</v>
      </c>
      <c r="G149" s="38">
        <v>1</v>
      </c>
      <c r="H149" s="40">
        <v>0</v>
      </c>
      <c r="I149" s="38">
        <v>4</v>
      </c>
      <c r="J149" s="41">
        <v>42299</v>
      </c>
      <c r="K149" s="38" t="s">
        <v>10768</v>
      </c>
      <c r="L149" s="42">
        <v>2500000</v>
      </c>
      <c r="O149" s="39" t="s">
        <v>2527</v>
      </c>
      <c r="P149" s="5" t="str">
        <f t="shared" si="4"/>
        <v>A1052</v>
      </c>
      <c r="Q149" s="5">
        <f t="shared" si="5"/>
        <v>1</v>
      </c>
      <c r="R149">
        <f>VLOOKUP(O149,'Data Angt'!$A$5:$F$5810,6,FALSE)</f>
        <v>88</v>
      </c>
      <c r="S149" s="5" t="str">
        <f>VLOOKUP(O149,'Data Angt'!$A$5:$H$5810,8,FALSE)</f>
        <v>Pensiunan</v>
      </c>
      <c r="T149" s="44" t="str">
        <f>VLOOKUP(O149,'Data Angt'!$A$5:$C$5809,3,FALSE)</f>
        <v>MGL</v>
      </c>
    </row>
    <row r="150" spans="1:20" x14ac:dyDescent="0.3">
      <c r="A150" s="37">
        <v>131261</v>
      </c>
      <c r="B150" s="38">
        <v>144</v>
      </c>
      <c r="C150" s="39" t="s">
        <v>590</v>
      </c>
      <c r="D150" s="10" t="str">
        <f>VLOOKUP(C150,'Data Angt'!$A$5:$B$5809,2,FALSE)</f>
        <v>A213</v>
      </c>
      <c r="E150" s="40" t="s">
        <v>11901</v>
      </c>
      <c r="F150" s="41">
        <v>44568</v>
      </c>
      <c r="G150" s="38">
        <v>1</v>
      </c>
      <c r="H150" s="40">
        <v>0</v>
      </c>
      <c r="I150" s="38">
        <v>4</v>
      </c>
      <c r="J150" s="41">
        <v>44568</v>
      </c>
      <c r="K150" s="38" t="s">
        <v>10768</v>
      </c>
      <c r="L150" s="42">
        <v>50000000</v>
      </c>
      <c r="O150" s="39" t="s">
        <v>2529</v>
      </c>
      <c r="P150" s="5" t="str">
        <f t="shared" si="4"/>
        <v>A1053</v>
      </c>
      <c r="Q150" s="5">
        <f t="shared" si="5"/>
        <v>8</v>
      </c>
      <c r="R150">
        <f>VLOOKUP(O150,'Data Angt'!$A$5:$F$5810,6,FALSE)</f>
        <v>67</v>
      </c>
      <c r="S150" s="5" t="str">
        <f>VLOOKUP(O150,'Data Angt'!$A$5:$H$5810,8,FALSE)</f>
        <v>Karyawan</v>
      </c>
      <c r="T150" s="44" t="str">
        <f>VLOOKUP(O150,'Data Angt'!$A$5:$C$5809,3,FALSE)</f>
        <v>MGL</v>
      </c>
    </row>
    <row r="151" spans="1:20" x14ac:dyDescent="0.3">
      <c r="A151" s="37">
        <v>131262</v>
      </c>
      <c r="B151" s="38">
        <v>145</v>
      </c>
      <c r="C151" s="39" t="s">
        <v>590</v>
      </c>
      <c r="D151" s="10" t="str">
        <f>VLOOKUP(C151,'Data Angt'!$A$5:$B$5809,2,FALSE)</f>
        <v>A213</v>
      </c>
      <c r="E151" s="40" t="s">
        <v>11900</v>
      </c>
      <c r="F151" s="41">
        <v>44568</v>
      </c>
      <c r="G151" s="38">
        <v>1</v>
      </c>
      <c r="H151" s="40">
        <v>0</v>
      </c>
      <c r="I151" s="38">
        <v>4</v>
      </c>
      <c r="J151" s="41">
        <v>44568</v>
      </c>
      <c r="K151" s="38" t="s">
        <v>10768</v>
      </c>
      <c r="L151" s="42">
        <v>50000000</v>
      </c>
      <c r="O151" s="39" t="s">
        <v>2549</v>
      </c>
      <c r="P151" s="5" t="str">
        <f t="shared" si="4"/>
        <v>A1063</v>
      </c>
      <c r="Q151" s="5">
        <f t="shared" si="5"/>
        <v>10</v>
      </c>
      <c r="R151">
        <f>VLOOKUP(O151,'Data Angt'!$A$5:$F$5810,6,FALSE)</f>
        <v>63</v>
      </c>
      <c r="S151" s="5" t="str">
        <f>VLOOKUP(O151,'Data Angt'!$A$5:$H$5810,8,FALSE)</f>
        <v>Mengurus Rumah Tangga</v>
      </c>
      <c r="T151" s="44" t="str">
        <f>VLOOKUP(O151,'Data Angt'!$A$5:$C$5809,3,FALSE)</f>
        <v>JBR</v>
      </c>
    </row>
    <row r="152" spans="1:20" x14ac:dyDescent="0.3">
      <c r="A152" s="37">
        <v>131263</v>
      </c>
      <c r="B152" s="38">
        <v>146</v>
      </c>
      <c r="C152" s="39" t="s">
        <v>590</v>
      </c>
      <c r="D152" s="10" t="str">
        <f>VLOOKUP(C152,'Data Angt'!$A$5:$B$5809,2,FALSE)</f>
        <v>A213</v>
      </c>
      <c r="E152" s="40" t="s">
        <v>11899</v>
      </c>
      <c r="F152" s="41">
        <v>44568</v>
      </c>
      <c r="G152" s="38">
        <v>1</v>
      </c>
      <c r="H152" s="40">
        <v>0</v>
      </c>
      <c r="I152" s="38">
        <v>4</v>
      </c>
      <c r="J152" s="41">
        <v>44568</v>
      </c>
      <c r="K152" s="38" t="s">
        <v>10768</v>
      </c>
      <c r="L152" s="42">
        <v>50000000</v>
      </c>
      <c r="O152" s="39" t="s">
        <v>2574</v>
      </c>
      <c r="P152" s="5" t="str">
        <f t="shared" si="4"/>
        <v>A1071</v>
      </c>
      <c r="Q152" s="5">
        <f t="shared" si="5"/>
        <v>1</v>
      </c>
      <c r="R152">
        <f>VLOOKUP(O152,'Data Angt'!$A$5:$F$5810,6,FALSE)</f>
        <v>39</v>
      </c>
      <c r="S152" s="5" t="str">
        <f>VLOOKUP(O152,'Data Angt'!$A$5:$H$5810,8,FALSE)</f>
        <v>Tenaga Pengajar</v>
      </c>
      <c r="T152" s="44" t="str">
        <f>VLOOKUP(O152,'Data Angt'!$A$5:$C$5809,3,FALSE)</f>
        <v>PBL</v>
      </c>
    </row>
    <row r="153" spans="1:20" x14ac:dyDescent="0.3">
      <c r="A153" s="37">
        <v>131264</v>
      </c>
      <c r="B153" s="38">
        <v>147</v>
      </c>
      <c r="C153" s="39" t="s">
        <v>590</v>
      </c>
      <c r="D153" s="10" t="str">
        <f>VLOOKUP(C153,'Data Angt'!$A$5:$B$5809,2,FALSE)</f>
        <v>A213</v>
      </c>
      <c r="E153" s="40" t="s">
        <v>11898</v>
      </c>
      <c r="F153" s="41">
        <v>44568</v>
      </c>
      <c r="G153" s="38">
        <v>1</v>
      </c>
      <c r="H153" s="40">
        <v>0</v>
      </c>
      <c r="I153" s="38">
        <v>4</v>
      </c>
      <c r="J153" s="41">
        <v>44568</v>
      </c>
      <c r="K153" s="38" t="s">
        <v>10768</v>
      </c>
      <c r="L153" s="42">
        <v>25000000</v>
      </c>
      <c r="O153" s="39" t="s">
        <v>2576</v>
      </c>
      <c r="P153" s="5" t="str">
        <f t="shared" si="4"/>
        <v>A1072</v>
      </c>
      <c r="Q153" s="5">
        <f t="shared" si="5"/>
        <v>4</v>
      </c>
      <c r="R153">
        <f>VLOOKUP(O153,'Data Angt'!$A$5:$F$5810,6,FALSE)</f>
        <v>44</v>
      </c>
      <c r="S153" s="5" t="str">
        <f>VLOOKUP(O153,'Data Angt'!$A$5:$H$5810,8,FALSE)</f>
        <v>Tenaga Medis</v>
      </c>
      <c r="T153" s="44" t="str">
        <f>VLOOKUP(O153,'Data Angt'!$A$5:$C$5809,3,FALSE)</f>
        <v>MJK</v>
      </c>
    </row>
    <row r="154" spans="1:20" x14ac:dyDescent="0.3">
      <c r="A154" s="37">
        <v>155637</v>
      </c>
      <c r="B154" s="38">
        <v>148</v>
      </c>
      <c r="C154" s="39" t="s">
        <v>596</v>
      </c>
      <c r="D154" s="10" t="str">
        <f>VLOOKUP(C154,'Data Angt'!$A$5:$B$5809,2,FALSE)</f>
        <v>A216</v>
      </c>
      <c r="E154" s="40" t="s">
        <v>18016</v>
      </c>
      <c r="F154" s="41">
        <v>45791</v>
      </c>
      <c r="G154" s="38">
        <v>1</v>
      </c>
      <c r="H154" s="40">
        <v>0</v>
      </c>
      <c r="I154" s="38">
        <v>4</v>
      </c>
      <c r="J154" s="41">
        <v>45791</v>
      </c>
      <c r="K154" s="38" t="s">
        <v>10768</v>
      </c>
      <c r="L154" s="42">
        <v>5000000</v>
      </c>
      <c r="O154" s="39" t="s">
        <v>2593</v>
      </c>
      <c r="P154" s="5" t="str">
        <f t="shared" si="4"/>
        <v>A1083</v>
      </c>
      <c r="Q154" s="5">
        <f t="shared" si="5"/>
        <v>1</v>
      </c>
      <c r="R154">
        <f>VLOOKUP(O154,'Data Angt'!$A$5:$F$5810,6,FALSE)</f>
        <v>52</v>
      </c>
      <c r="S154" s="5" t="str">
        <f>VLOOKUP(O154,'Data Angt'!$A$5:$H$5810,8,FALSE)</f>
        <v>Mengurus Rumah Tangga</v>
      </c>
      <c r="T154" s="44" t="str">
        <f>VLOOKUP(O154,'Data Angt'!$A$5:$C$5809,3,FALSE)</f>
        <v>PBL</v>
      </c>
    </row>
    <row r="155" spans="1:20" x14ac:dyDescent="0.3">
      <c r="A155" s="37">
        <v>158317</v>
      </c>
      <c r="B155" s="38">
        <v>149</v>
      </c>
      <c r="C155" s="39" t="s">
        <v>658</v>
      </c>
      <c r="D155" s="10" t="str">
        <f>VLOOKUP(C155,'Data Angt'!$A$5:$B$5809,2,FALSE)</f>
        <v>A243</v>
      </c>
      <c r="E155" s="40" t="s">
        <v>23996</v>
      </c>
      <c r="F155" s="41">
        <v>45903</v>
      </c>
      <c r="G155" s="38">
        <v>1</v>
      </c>
      <c r="H155" s="40">
        <v>0</v>
      </c>
      <c r="I155" s="38">
        <v>4</v>
      </c>
      <c r="J155" s="41">
        <v>45903</v>
      </c>
      <c r="K155" s="38" t="s">
        <v>10768</v>
      </c>
      <c r="L155" s="42">
        <v>15000000</v>
      </c>
      <c r="O155" s="39" t="s">
        <v>2607</v>
      </c>
      <c r="P155" s="5" t="str">
        <f t="shared" si="4"/>
        <v>A1091</v>
      </c>
      <c r="Q155" s="5">
        <f t="shared" si="5"/>
        <v>3</v>
      </c>
      <c r="R155">
        <f>VLOOKUP(O155,'Data Angt'!$A$5:$F$5810,6,FALSE)</f>
        <v>47</v>
      </c>
      <c r="S155" s="5" t="str">
        <f>VLOOKUP(O155,'Data Angt'!$A$5:$H$5810,8,FALSE)</f>
        <v>Mengurus Rumah Tangga</v>
      </c>
      <c r="T155" s="44" t="str">
        <f>VLOOKUP(O155,'Data Angt'!$A$5:$C$5809,3,FALSE)</f>
        <v>PBL</v>
      </c>
    </row>
    <row r="156" spans="1:20" x14ac:dyDescent="0.3">
      <c r="A156" s="37">
        <v>77904</v>
      </c>
      <c r="B156" s="38">
        <v>150</v>
      </c>
      <c r="C156" s="39" t="s">
        <v>711</v>
      </c>
      <c r="D156" s="10" t="str">
        <f>VLOOKUP(C156,'Data Angt'!$A$5:$B$5809,2,FALSE)</f>
        <v>A264</v>
      </c>
      <c r="E156" s="40" t="s">
        <v>11897</v>
      </c>
      <c r="F156" s="41">
        <v>41393</v>
      </c>
      <c r="G156" s="38">
        <v>1</v>
      </c>
      <c r="H156" s="40">
        <v>0</v>
      </c>
      <c r="I156" s="38">
        <v>4</v>
      </c>
      <c r="J156" s="41">
        <v>41393</v>
      </c>
      <c r="K156" s="38" t="s">
        <v>10768</v>
      </c>
      <c r="L156" s="42">
        <v>30000000</v>
      </c>
      <c r="O156" s="39" t="s">
        <v>12226</v>
      </c>
      <c r="P156" s="5" t="str">
        <f t="shared" si="4"/>
        <v>A1125</v>
      </c>
      <c r="Q156" s="5">
        <f t="shared" si="5"/>
        <v>6</v>
      </c>
      <c r="R156">
        <f>VLOOKUP(O156,'Data Angt'!$A$5:$F$5810,6,FALSE)</f>
        <v>28</v>
      </c>
      <c r="S156" s="5" t="str">
        <f>VLOOKUP(O156,'Data Angt'!$A$5:$H$5810,8,FALSE)</f>
        <v>Pelajar/Mahasiswa</v>
      </c>
      <c r="T156" s="44" t="str">
        <f>VLOOKUP(O156,'Data Angt'!$A$5:$C$5809,3,FALSE)</f>
        <v>JBR</v>
      </c>
    </row>
    <row r="157" spans="1:20" x14ac:dyDescent="0.3">
      <c r="A157" s="37">
        <v>77914</v>
      </c>
      <c r="B157" s="38">
        <v>151</v>
      </c>
      <c r="C157" s="39" t="s">
        <v>711</v>
      </c>
      <c r="D157" s="10" t="str">
        <f>VLOOKUP(C157,'Data Angt'!$A$5:$B$5809,2,FALSE)</f>
        <v>A264</v>
      </c>
      <c r="E157" s="40" t="s">
        <v>11896</v>
      </c>
      <c r="F157" s="41">
        <v>41647</v>
      </c>
      <c r="G157" s="38">
        <v>1</v>
      </c>
      <c r="H157" s="40">
        <v>0</v>
      </c>
      <c r="I157" s="38">
        <v>4</v>
      </c>
      <c r="J157" s="41">
        <v>41852</v>
      </c>
      <c r="K157" s="38" t="s">
        <v>10768</v>
      </c>
      <c r="L157" s="42">
        <v>20000000</v>
      </c>
      <c r="O157" s="39" t="s">
        <v>2731</v>
      </c>
      <c r="P157" s="5" t="str">
        <f t="shared" si="4"/>
        <v>A1145</v>
      </c>
      <c r="Q157" s="5">
        <f t="shared" si="5"/>
        <v>2</v>
      </c>
      <c r="R157">
        <f>VLOOKUP(O157,'Data Angt'!$A$5:$F$5810,6,FALSE)</f>
        <v>44</v>
      </c>
      <c r="S157" s="5" t="str">
        <f>VLOOKUP(O157,'Data Angt'!$A$5:$H$5810,8,FALSE)</f>
        <v>Karyawan</v>
      </c>
      <c r="T157" s="44" t="str">
        <f>VLOOKUP(O157,'Data Angt'!$A$5:$C$5809,3,FALSE)</f>
        <v>JBR</v>
      </c>
    </row>
    <row r="158" spans="1:20" x14ac:dyDescent="0.3">
      <c r="A158" s="37">
        <v>77991</v>
      </c>
      <c r="B158" s="38">
        <v>152</v>
      </c>
      <c r="C158" s="39" t="s">
        <v>711</v>
      </c>
      <c r="D158" s="10" t="str">
        <f>VLOOKUP(C158,'Data Angt'!$A$5:$B$5809,2,FALSE)</f>
        <v>A264</v>
      </c>
      <c r="E158" s="40" t="s">
        <v>11895</v>
      </c>
      <c r="F158" s="41">
        <v>42415</v>
      </c>
      <c r="G158" s="38">
        <v>1</v>
      </c>
      <c r="H158" s="40">
        <v>0</v>
      </c>
      <c r="I158" s="38">
        <v>4</v>
      </c>
      <c r="J158" s="41">
        <v>42415</v>
      </c>
      <c r="K158" s="38" t="s">
        <v>10768</v>
      </c>
      <c r="L158" s="42">
        <v>40000000</v>
      </c>
      <c r="O158" s="39" t="s">
        <v>2761</v>
      </c>
      <c r="P158" s="5" t="str">
        <f t="shared" si="4"/>
        <v>A1158</v>
      </c>
      <c r="Q158" s="5">
        <f t="shared" si="5"/>
        <v>1</v>
      </c>
      <c r="R158">
        <f>VLOOKUP(O158,'Data Angt'!$A$5:$F$5810,6,FALSE)</f>
        <v>48</v>
      </c>
      <c r="S158" s="5" t="str">
        <f>VLOOKUP(O158,'Data Angt'!$A$5:$H$5810,8,FALSE)</f>
        <v>Mengurus Rumah Tangga</v>
      </c>
      <c r="T158" s="44" t="str">
        <f>VLOOKUP(O158,'Data Angt'!$A$5:$C$5809,3,FALSE)</f>
        <v>PBL</v>
      </c>
    </row>
    <row r="159" spans="1:20" x14ac:dyDescent="0.3">
      <c r="A159" s="37">
        <v>78346</v>
      </c>
      <c r="B159" s="38">
        <v>153</v>
      </c>
      <c r="C159" s="39" t="s">
        <v>711</v>
      </c>
      <c r="D159" s="10" t="str">
        <f>VLOOKUP(C159,'Data Angt'!$A$5:$B$5809,2,FALSE)</f>
        <v>A264</v>
      </c>
      <c r="E159" s="40" t="s">
        <v>11894</v>
      </c>
      <c r="F159" s="41">
        <v>43118</v>
      </c>
      <c r="G159" s="38">
        <v>1</v>
      </c>
      <c r="H159" s="40">
        <v>0</v>
      </c>
      <c r="I159" s="38">
        <v>4</v>
      </c>
      <c r="J159" s="41">
        <v>43118</v>
      </c>
      <c r="K159" s="38" t="s">
        <v>10768</v>
      </c>
      <c r="L159" s="42">
        <v>10000000</v>
      </c>
      <c r="O159" s="39" t="s">
        <v>2772</v>
      </c>
      <c r="P159" s="5" t="str">
        <f t="shared" si="4"/>
        <v>A1165</v>
      </c>
      <c r="Q159" s="5">
        <f t="shared" si="5"/>
        <v>3</v>
      </c>
      <c r="R159">
        <f>VLOOKUP(O159,'Data Angt'!$A$5:$F$5810,6,FALSE)</f>
        <v>35</v>
      </c>
      <c r="S159" s="5" t="str">
        <f>VLOOKUP(O159,'Data Angt'!$A$5:$H$5810,8,FALSE)</f>
        <v>Karyawan</v>
      </c>
      <c r="T159" s="44" t="str">
        <f>VLOOKUP(O159,'Data Angt'!$A$5:$C$5809,3,FALSE)</f>
        <v>PBL</v>
      </c>
    </row>
    <row r="160" spans="1:20" x14ac:dyDescent="0.3">
      <c r="A160" s="37">
        <v>153513</v>
      </c>
      <c r="B160" s="38">
        <v>154</v>
      </c>
      <c r="C160" s="39" t="s">
        <v>711</v>
      </c>
      <c r="D160" s="10" t="str">
        <f>VLOOKUP(C160,'Data Angt'!$A$5:$B$5809,2,FALSE)</f>
        <v>A264</v>
      </c>
      <c r="E160" s="40" t="s">
        <v>18017</v>
      </c>
      <c r="F160" s="41">
        <v>45707</v>
      </c>
      <c r="G160" s="38">
        <v>1</v>
      </c>
      <c r="H160" s="40">
        <v>0</v>
      </c>
      <c r="I160" s="38">
        <v>4</v>
      </c>
      <c r="J160" s="41">
        <v>45707</v>
      </c>
      <c r="K160" s="38" t="s">
        <v>10768</v>
      </c>
      <c r="L160" s="42">
        <v>50000000</v>
      </c>
      <c r="O160" s="39" t="s">
        <v>2779</v>
      </c>
      <c r="P160" s="5" t="str">
        <f t="shared" si="4"/>
        <v>A1168</v>
      </c>
      <c r="Q160" s="5">
        <f t="shared" si="5"/>
        <v>1</v>
      </c>
      <c r="R160">
        <f>VLOOKUP(O160,'Data Angt'!$A$5:$F$5810,6,FALSE)</f>
        <v>49</v>
      </c>
      <c r="S160" s="5" t="str">
        <f>VLOOKUP(O160,'Data Angt'!$A$5:$H$5810,8,FALSE)</f>
        <v>Karyawan</v>
      </c>
      <c r="T160" s="44" t="str">
        <f>VLOOKUP(O160,'Data Angt'!$A$5:$C$5809,3,FALSE)</f>
        <v>PBL</v>
      </c>
    </row>
    <row r="161" spans="1:20" x14ac:dyDescent="0.3">
      <c r="A161" s="37">
        <v>150090</v>
      </c>
      <c r="B161" s="38">
        <v>155</v>
      </c>
      <c r="C161" s="39" t="s">
        <v>734</v>
      </c>
      <c r="D161" s="10" t="str">
        <f>VLOOKUP(C161,'Data Angt'!$A$5:$B$5809,2,FALSE)</f>
        <v>A272</v>
      </c>
      <c r="E161" s="40" t="s">
        <v>18018</v>
      </c>
      <c r="F161" s="41">
        <v>45600</v>
      </c>
      <c r="G161" s="38">
        <v>1</v>
      </c>
      <c r="H161" s="40">
        <v>0</v>
      </c>
      <c r="I161" s="38">
        <v>4</v>
      </c>
      <c r="J161" s="41">
        <v>45600</v>
      </c>
      <c r="K161" s="38" t="s">
        <v>10768</v>
      </c>
      <c r="L161" s="42">
        <v>50000000</v>
      </c>
      <c r="O161" s="39" t="s">
        <v>2786</v>
      </c>
      <c r="P161" s="5" t="str">
        <f t="shared" si="4"/>
        <v>A1171</v>
      </c>
      <c r="Q161" s="5">
        <f t="shared" si="5"/>
        <v>1</v>
      </c>
      <c r="R161">
        <f>VLOOKUP(O161,'Data Angt'!$A$5:$F$5810,6,FALSE)</f>
        <v>38</v>
      </c>
      <c r="S161" s="5" t="str">
        <f>VLOOKUP(O161,'Data Angt'!$A$5:$H$5810,8,FALSE)</f>
        <v>Tenaga Pengajar</v>
      </c>
      <c r="T161" s="44" t="str">
        <f>VLOOKUP(O161,'Data Angt'!$A$5:$C$5809,3,FALSE)</f>
        <v>KRK</v>
      </c>
    </row>
    <row r="162" spans="1:20" x14ac:dyDescent="0.3">
      <c r="A162" s="37">
        <v>150091</v>
      </c>
      <c r="B162" s="38">
        <v>156</v>
      </c>
      <c r="C162" s="39" t="s">
        <v>734</v>
      </c>
      <c r="D162" s="10" t="str">
        <f>VLOOKUP(C162,'Data Angt'!$A$5:$B$5809,2,FALSE)</f>
        <v>A272</v>
      </c>
      <c r="E162" s="40" t="s">
        <v>18019</v>
      </c>
      <c r="F162" s="41">
        <v>45600</v>
      </c>
      <c r="G162" s="38">
        <v>1</v>
      </c>
      <c r="H162" s="40">
        <v>0</v>
      </c>
      <c r="I162" s="38">
        <v>4</v>
      </c>
      <c r="J162" s="41">
        <v>45600</v>
      </c>
      <c r="K162" s="38" t="s">
        <v>10768</v>
      </c>
      <c r="L162" s="42">
        <v>50000000</v>
      </c>
      <c r="O162" s="39" t="s">
        <v>2800</v>
      </c>
      <c r="P162" s="5" t="str">
        <f t="shared" si="4"/>
        <v>A1177</v>
      </c>
      <c r="Q162" s="5">
        <f t="shared" si="5"/>
        <v>1</v>
      </c>
      <c r="R162">
        <f>VLOOKUP(O162,'Data Angt'!$A$5:$F$5810,6,FALSE)</f>
        <v>46</v>
      </c>
      <c r="S162" s="5" t="str">
        <f>VLOOKUP(O162,'Data Angt'!$A$5:$H$5810,8,FALSE)</f>
        <v>Wiraswasta</v>
      </c>
      <c r="T162" s="44" t="str">
        <f>VLOOKUP(O162,'Data Angt'!$A$5:$C$5809,3,FALSE)</f>
        <v>PBL</v>
      </c>
    </row>
    <row r="163" spans="1:20" x14ac:dyDescent="0.3">
      <c r="A163" s="37">
        <v>150092</v>
      </c>
      <c r="B163" s="38">
        <v>157</v>
      </c>
      <c r="C163" s="39" t="s">
        <v>734</v>
      </c>
      <c r="D163" s="10" t="str">
        <f>VLOOKUP(C163,'Data Angt'!$A$5:$B$5809,2,FALSE)</f>
        <v>A272</v>
      </c>
      <c r="E163" s="40" t="s">
        <v>18020</v>
      </c>
      <c r="F163" s="41">
        <v>45600</v>
      </c>
      <c r="G163" s="38">
        <v>1</v>
      </c>
      <c r="H163" s="40">
        <v>0</v>
      </c>
      <c r="I163" s="38">
        <v>4</v>
      </c>
      <c r="J163" s="41">
        <v>45600</v>
      </c>
      <c r="K163" s="38" t="s">
        <v>10768</v>
      </c>
      <c r="L163" s="42">
        <v>50000000</v>
      </c>
      <c r="O163" s="39" t="s">
        <v>2834</v>
      </c>
      <c r="P163" s="5" t="str">
        <f t="shared" si="4"/>
        <v>A1196</v>
      </c>
      <c r="Q163" s="5">
        <f t="shared" si="5"/>
        <v>13</v>
      </c>
      <c r="R163">
        <f>VLOOKUP(O163,'Data Angt'!$A$5:$F$5810,6,FALSE)</f>
        <v>36</v>
      </c>
      <c r="S163" s="5" t="str">
        <f>VLOOKUP(O163,'Data Angt'!$A$5:$H$5810,8,FALSE)</f>
        <v>Aparatur/Pejabat Negara</v>
      </c>
      <c r="T163" s="44" t="str">
        <f>VLOOKUP(O163,'Data Angt'!$A$5:$C$5809,3,FALSE)</f>
        <v>PBL</v>
      </c>
    </row>
    <row r="164" spans="1:20" x14ac:dyDescent="0.3">
      <c r="A164" s="37">
        <v>86656</v>
      </c>
      <c r="B164" s="38">
        <v>158</v>
      </c>
      <c r="C164" s="39" t="s">
        <v>756</v>
      </c>
      <c r="D164" s="10" t="str">
        <f>VLOOKUP(C164,'Data Angt'!$A$5:$B$5809,2,FALSE)</f>
        <v>A280</v>
      </c>
      <c r="E164" s="40" t="s">
        <v>11893</v>
      </c>
      <c r="F164" s="41">
        <v>43256</v>
      </c>
      <c r="G164" s="38">
        <v>1</v>
      </c>
      <c r="H164" s="40">
        <v>0</v>
      </c>
      <c r="I164" s="38">
        <v>4</v>
      </c>
      <c r="J164" s="41">
        <v>43256</v>
      </c>
      <c r="K164" s="38" t="s">
        <v>10768</v>
      </c>
      <c r="L164" s="42">
        <v>5500000</v>
      </c>
      <c r="O164" s="39" t="s">
        <v>2840</v>
      </c>
      <c r="P164" s="5" t="str">
        <f t="shared" si="4"/>
        <v>A1199</v>
      </c>
      <c r="Q164" s="5">
        <f t="shared" si="5"/>
        <v>35</v>
      </c>
      <c r="R164">
        <f>VLOOKUP(O164,'Data Angt'!$A$5:$F$5810,6,FALSE)</f>
        <v>57</v>
      </c>
      <c r="S164" s="5" t="str">
        <f>VLOOKUP(O164,'Data Angt'!$A$5:$H$5810,8,FALSE)</f>
        <v>Tenaga Pengajar</v>
      </c>
      <c r="T164" s="44" t="str">
        <f>VLOOKUP(O164,'Data Angt'!$A$5:$C$5809,3,FALSE)</f>
        <v>PBL</v>
      </c>
    </row>
    <row r="165" spans="1:20" x14ac:dyDescent="0.3">
      <c r="A165" s="37">
        <v>151881</v>
      </c>
      <c r="B165" s="38">
        <v>159</v>
      </c>
      <c r="C165" s="39" t="s">
        <v>783</v>
      </c>
      <c r="D165" s="10" t="str">
        <f>VLOOKUP(C165,'Data Angt'!$A$5:$B$5809,2,FALSE)</f>
        <v>A290</v>
      </c>
      <c r="E165" s="40" t="s">
        <v>18021</v>
      </c>
      <c r="F165" s="41">
        <v>45664</v>
      </c>
      <c r="G165" s="38">
        <v>1</v>
      </c>
      <c r="H165" s="40">
        <v>0</v>
      </c>
      <c r="I165" s="38">
        <v>4</v>
      </c>
      <c r="J165" s="41">
        <v>45664</v>
      </c>
      <c r="K165" s="38" t="s">
        <v>10768</v>
      </c>
      <c r="L165" s="42">
        <v>50000000</v>
      </c>
      <c r="O165" s="151" t="s">
        <v>2864</v>
      </c>
      <c r="P165" s="5" t="str">
        <f t="shared" si="4"/>
        <v>A1208</v>
      </c>
      <c r="Q165" s="5">
        <f t="shared" si="5"/>
        <v>1</v>
      </c>
      <c r="R165">
        <f>VLOOKUP(O165,'Data Angt'!$A$5:$F$5810,6,FALSE)</f>
        <v>71</v>
      </c>
      <c r="S165" s="5" t="str">
        <f>VLOOKUP(O165,'Data Angt'!$A$5:$H$5810,8,FALSE)</f>
        <v>Pensiunan</v>
      </c>
      <c r="T165" s="44" t="str">
        <f>VLOOKUP(O165,'Data Angt'!$A$5:$C$5809,3,FALSE)</f>
        <v>BWI</v>
      </c>
    </row>
    <row r="166" spans="1:20" x14ac:dyDescent="0.3">
      <c r="A166" s="37">
        <v>154946</v>
      </c>
      <c r="B166" s="38">
        <v>160</v>
      </c>
      <c r="C166" s="39" t="s">
        <v>783</v>
      </c>
      <c r="D166" s="10" t="str">
        <f>VLOOKUP(C166,'Data Angt'!$A$5:$B$5809,2,FALSE)</f>
        <v>A290</v>
      </c>
      <c r="E166" s="40" t="s">
        <v>18022</v>
      </c>
      <c r="F166" s="41">
        <v>45757</v>
      </c>
      <c r="G166" s="38">
        <v>1</v>
      </c>
      <c r="H166" s="40">
        <v>0</v>
      </c>
      <c r="I166" s="38">
        <v>4</v>
      </c>
      <c r="J166" s="41">
        <v>45757</v>
      </c>
      <c r="K166" s="38" t="s">
        <v>10768</v>
      </c>
      <c r="L166" s="42">
        <v>15000000</v>
      </c>
      <c r="O166" s="151" t="s">
        <v>2878</v>
      </c>
      <c r="P166" s="5" t="str">
        <f t="shared" si="4"/>
        <v>A1212</v>
      </c>
      <c r="Q166" s="5">
        <f t="shared" si="5"/>
        <v>1</v>
      </c>
      <c r="R166">
        <f>VLOOKUP(O166,'Data Angt'!$A$5:$F$5810,6,FALSE)</f>
        <v>49</v>
      </c>
      <c r="S166" s="5" t="str">
        <f>VLOOKUP(O166,'Data Angt'!$A$5:$H$5810,8,FALSE)</f>
        <v>Tenaga Pengajar</v>
      </c>
      <c r="T166" s="44" t="str">
        <f>VLOOKUP(O166,'Data Angt'!$A$5:$C$5809,3,FALSE)</f>
        <v>PBL</v>
      </c>
    </row>
    <row r="167" spans="1:20" x14ac:dyDescent="0.3">
      <c r="A167" s="37">
        <v>120188</v>
      </c>
      <c r="B167" s="38">
        <v>161</v>
      </c>
      <c r="C167" s="39" t="s">
        <v>785</v>
      </c>
      <c r="D167" s="10" t="str">
        <f>VLOOKUP(C167,'Data Angt'!$A$5:$B$5809,2,FALSE)</f>
        <v>A291</v>
      </c>
      <c r="E167" s="40" t="s">
        <v>11892</v>
      </c>
      <c r="F167" s="41">
        <v>43858</v>
      </c>
      <c r="G167" s="38">
        <v>1</v>
      </c>
      <c r="H167" s="40">
        <v>0</v>
      </c>
      <c r="I167" s="38">
        <v>4</v>
      </c>
      <c r="J167" s="41">
        <v>43858</v>
      </c>
      <c r="K167" s="38" t="s">
        <v>10768</v>
      </c>
      <c r="L167" s="42">
        <v>50000000</v>
      </c>
      <c r="O167" s="151" t="s">
        <v>2881</v>
      </c>
      <c r="P167" s="5" t="str">
        <f t="shared" si="4"/>
        <v>A1213</v>
      </c>
      <c r="Q167" s="5">
        <f t="shared" si="5"/>
        <v>2</v>
      </c>
      <c r="R167">
        <f>VLOOKUP(O167,'Data Angt'!$A$5:$F$5810,6,FALSE)</f>
        <v>70</v>
      </c>
      <c r="S167" s="5" t="str">
        <f>VLOOKUP(O167,'Data Angt'!$A$5:$H$5810,8,FALSE)</f>
        <v>Pensiunan</v>
      </c>
      <c r="T167" s="44" t="str">
        <f>VLOOKUP(O167,'Data Angt'!$A$5:$C$5809,3,FALSE)</f>
        <v>KRK</v>
      </c>
    </row>
    <row r="168" spans="1:20" x14ac:dyDescent="0.3">
      <c r="A168" s="37">
        <v>123207</v>
      </c>
      <c r="B168" s="38">
        <v>162</v>
      </c>
      <c r="C168" s="39" t="s">
        <v>785</v>
      </c>
      <c r="D168" s="10" t="str">
        <f>VLOOKUP(C168,'Data Angt'!$A$5:$B$5809,2,FALSE)</f>
        <v>A291</v>
      </c>
      <c r="E168" s="40" t="s">
        <v>11891</v>
      </c>
      <c r="F168" s="41">
        <v>43963</v>
      </c>
      <c r="G168" s="38">
        <v>1</v>
      </c>
      <c r="H168" s="40">
        <v>0</v>
      </c>
      <c r="I168" s="38">
        <v>4</v>
      </c>
      <c r="J168" s="41">
        <v>43963</v>
      </c>
      <c r="K168" s="38" t="s">
        <v>10768</v>
      </c>
      <c r="L168" s="42">
        <v>25000000</v>
      </c>
      <c r="O168" s="151" t="s">
        <v>2907</v>
      </c>
      <c r="P168" s="5" t="str">
        <f t="shared" si="4"/>
        <v>A1226</v>
      </c>
      <c r="Q168" s="5">
        <f t="shared" si="5"/>
        <v>1</v>
      </c>
      <c r="R168">
        <f>VLOOKUP(O168,'Data Angt'!$A$5:$F$5810,6,FALSE)</f>
        <v>52</v>
      </c>
      <c r="S168" s="5" t="str">
        <f>VLOOKUP(O168,'Data Angt'!$A$5:$H$5810,8,FALSE)</f>
        <v>Mengurus Rumah Tangga</v>
      </c>
      <c r="T168" s="44" t="str">
        <f>VLOOKUP(O168,'Data Angt'!$A$5:$C$5809,3,FALSE)</f>
        <v>JBR</v>
      </c>
    </row>
    <row r="169" spans="1:20" x14ac:dyDescent="0.3">
      <c r="A169" s="37">
        <v>125956</v>
      </c>
      <c r="B169" s="38">
        <v>163</v>
      </c>
      <c r="C169" s="39" t="s">
        <v>785</v>
      </c>
      <c r="D169" s="10" t="str">
        <f>VLOOKUP(C169,'Data Angt'!$A$5:$B$5809,2,FALSE)</f>
        <v>A291</v>
      </c>
      <c r="E169" s="40" t="s">
        <v>11890</v>
      </c>
      <c r="F169" s="41">
        <v>44162</v>
      </c>
      <c r="G169" s="38">
        <v>1</v>
      </c>
      <c r="H169" s="40">
        <v>0</v>
      </c>
      <c r="I169" s="38">
        <v>4</v>
      </c>
      <c r="J169" s="41">
        <v>44162</v>
      </c>
      <c r="K169" s="38" t="s">
        <v>10768</v>
      </c>
      <c r="L169" s="42">
        <v>25000000</v>
      </c>
      <c r="O169" s="151" t="s">
        <v>2948</v>
      </c>
      <c r="P169" s="5" t="str">
        <f t="shared" si="4"/>
        <v>A1246</v>
      </c>
      <c r="Q169" s="5">
        <f t="shared" si="5"/>
        <v>15</v>
      </c>
      <c r="R169">
        <f>VLOOKUP(O169,'Data Angt'!$A$5:$F$5810,6,FALSE)</f>
        <v>44</v>
      </c>
      <c r="S169" s="5" t="str">
        <f>VLOOKUP(O169,'Data Angt'!$A$5:$H$5810,8,FALSE)</f>
        <v>Wiraswasta</v>
      </c>
      <c r="T169" s="44" t="str">
        <f>VLOOKUP(O169,'Data Angt'!$A$5:$C$5809,3,FALSE)</f>
        <v>PBL</v>
      </c>
    </row>
    <row r="170" spans="1:20" x14ac:dyDescent="0.3">
      <c r="A170" s="37">
        <v>129191</v>
      </c>
      <c r="B170" s="38">
        <v>164</v>
      </c>
      <c r="C170" s="39" t="s">
        <v>785</v>
      </c>
      <c r="D170" s="10" t="str">
        <f>VLOOKUP(C170,'Data Angt'!$A$5:$B$5809,2,FALSE)</f>
        <v>A291</v>
      </c>
      <c r="E170" s="40" t="s">
        <v>11889</v>
      </c>
      <c r="F170" s="41">
        <v>44410</v>
      </c>
      <c r="G170" s="38">
        <v>1</v>
      </c>
      <c r="H170" s="40">
        <v>0</v>
      </c>
      <c r="I170" s="38">
        <v>4</v>
      </c>
      <c r="J170" s="41">
        <v>44410</v>
      </c>
      <c r="K170" s="38" t="s">
        <v>10768</v>
      </c>
      <c r="L170" s="42">
        <v>50000000</v>
      </c>
      <c r="O170" s="151" t="s">
        <v>2974</v>
      </c>
      <c r="P170" s="5" t="str">
        <f t="shared" si="4"/>
        <v>A1256</v>
      </c>
      <c r="Q170" s="5">
        <f t="shared" si="5"/>
        <v>5</v>
      </c>
      <c r="R170">
        <f>VLOOKUP(O170,'Data Angt'!$A$5:$F$5810,6,FALSE)</f>
        <v>65</v>
      </c>
      <c r="S170" s="5" t="str">
        <f>VLOOKUP(O170,'Data Angt'!$A$5:$H$5810,8,FALSE)</f>
        <v>Mengurus Rumah Tangga</v>
      </c>
      <c r="T170" s="44" t="str">
        <f>VLOOKUP(O170,'Data Angt'!$A$5:$C$5809,3,FALSE)</f>
        <v>PBL</v>
      </c>
    </row>
    <row r="171" spans="1:20" x14ac:dyDescent="0.3">
      <c r="A171" s="37">
        <v>137940</v>
      </c>
      <c r="B171" s="38">
        <v>165</v>
      </c>
      <c r="C171" s="39" t="s">
        <v>785</v>
      </c>
      <c r="D171" s="10" t="str">
        <f>VLOOKUP(C171,'Data Angt'!$A$5:$B$5809,2,FALSE)</f>
        <v>A291</v>
      </c>
      <c r="E171" s="40" t="s">
        <v>11888</v>
      </c>
      <c r="F171" s="41">
        <v>45104</v>
      </c>
      <c r="G171" s="38">
        <v>1</v>
      </c>
      <c r="H171" s="40">
        <v>0</v>
      </c>
      <c r="I171" s="38">
        <v>4</v>
      </c>
      <c r="J171" s="41">
        <v>45104</v>
      </c>
      <c r="K171" s="38" t="s">
        <v>10768</v>
      </c>
      <c r="L171" s="42">
        <v>50000000</v>
      </c>
      <c r="O171" s="151" t="s">
        <v>3009</v>
      </c>
      <c r="P171" s="5" t="str">
        <f t="shared" si="4"/>
        <v>A1272</v>
      </c>
      <c r="Q171" s="5">
        <f t="shared" si="5"/>
        <v>3</v>
      </c>
      <c r="R171">
        <f>VLOOKUP(O171,'Data Angt'!$A$5:$F$5810,6,FALSE)</f>
        <v>56</v>
      </c>
      <c r="S171" s="5" t="str">
        <f>VLOOKUP(O171,'Data Angt'!$A$5:$H$5810,8,FALSE)</f>
        <v>Belum/Tidak Bekerja</v>
      </c>
      <c r="T171" s="44" t="str">
        <f>VLOOKUP(O171,'Data Angt'!$A$5:$C$5809,3,FALSE)</f>
        <v>MGL</v>
      </c>
    </row>
    <row r="172" spans="1:20" x14ac:dyDescent="0.3">
      <c r="A172" s="37">
        <v>139023</v>
      </c>
      <c r="B172" s="38">
        <v>166</v>
      </c>
      <c r="C172" s="39" t="s">
        <v>791</v>
      </c>
      <c r="D172" s="10" t="str">
        <f>VLOOKUP(C172,'Data Angt'!$A$5:$B$5809,2,FALSE)</f>
        <v>A294</v>
      </c>
      <c r="E172" s="40" t="s">
        <v>11887</v>
      </c>
      <c r="F172" s="41">
        <v>45166</v>
      </c>
      <c r="G172" s="38">
        <v>1</v>
      </c>
      <c r="H172" s="40">
        <v>0</v>
      </c>
      <c r="I172" s="38">
        <v>4</v>
      </c>
      <c r="J172" s="41">
        <v>45166</v>
      </c>
      <c r="K172" s="38" t="s">
        <v>10768</v>
      </c>
      <c r="L172" s="42">
        <v>10000000</v>
      </c>
      <c r="O172" s="151" t="s">
        <v>3024</v>
      </c>
      <c r="P172" s="5" t="str">
        <f t="shared" si="4"/>
        <v>A1279</v>
      </c>
      <c r="Q172" s="5">
        <f t="shared" si="5"/>
        <v>1</v>
      </c>
      <c r="R172">
        <f>VLOOKUP(O172,'Data Angt'!$A$5:$F$5810,6,FALSE)</f>
        <v>44</v>
      </c>
      <c r="S172" s="5" t="str">
        <f>VLOOKUP(O172,'Data Angt'!$A$5:$H$5810,8,FALSE)</f>
        <v>Wiraswasta</v>
      </c>
      <c r="T172" s="44" t="str">
        <f>VLOOKUP(O172,'Data Angt'!$A$5:$C$5809,3,FALSE)</f>
        <v>KRK</v>
      </c>
    </row>
    <row r="173" spans="1:20" x14ac:dyDescent="0.3">
      <c r="A173" s="37">
        <v>134168</v>
      </c>
      <c r="B173" s="38">
        <v>167</v>
      </c>
      <c r="C173" s="39" t="s">
        <v>799</v>
      </c>
      <c r="D173" s="10" t="str">
        <f>VLOOKUP(C173,'Data Angt'!$A$5:$B$5809,2,FALSE)</f>
        <v>A298</v>
      </c>
      <c r="E173" s="40" t="s">
        <v>11886</v>
      </c>
      <c r="F173" s="41">
        <v>44789</v>
      </c>
      <c r="G173" s="38">
        <v>1</v>
      </c>
      <c r="H173" s="40">
        <v>0</v>
      </c>
      <c r="I173" s="38">
        <v>4</v>
      </c>
      <c r="J173" s="41">
        <v>44789</v>
      </c>
      <c r="K173" s="38" t="s">
        <v>10768</v>
      </c>
      <c r="L173" s="42">
        <v>65000000</v>
      </c>
      <c r="O173" s="151" t="s">
        <v>3051</v>
      </c>
      <c r="P173" s="5" t="str">
        <f t="shared" si="4"/>
        <v>A1291</v>
      </c>
      <c r="Q173" s="5">
        <f t="shared" si="5"/>
        <v>1</v>
      </c>
      <c r="R173">
        <f>VLOOKUP(O173,'Data Angt'!$A$5:$F$5810,6,FALSE)</f>
        <v>40</v>
      </c>
      <c r="S173" s="5" t="str">
        <f>VLOOKUP(O173,'Data Angt'!$A$5:$H$5810,8,FALSE)</f>
        <v>Karyawan</v>
      </c>
      <c r="T173" s="44" t="str">
        <f>VLOOKUP(O173,'Data Angt'!$A$5:$C$5809,3,FALSE)</f>
        <v>BWI</v>
      </c>
    </row>
    <row r="174" spans="1:20" x14ac:dyDescent="0.3">
      <c r="A174" s="37">
        <v>138365</v>
      </c>
      <c r="B174" s="38">
        <v>168</v>
      </c>
      <c r="C174" s="39" t="s">
        <v>799</v>
      </c>
      <c r="D174" s="10" t="str">
        <f>VLOOKUP(C174,'Data Angt'!$A$5:$B$5809,2,FALSE)</f>
        <v>A298</v>
      </c>
      <c r="E174" s="40" t="s">
        <v>11885</v>
      </c>
      <c r="F174" s="41">
        <v>45135</v>
      </c>
      <c r="G174" s="38">
        <v>1</v>
      </c>
      <c r="H174" s="40">
        <v>0</v>
      </c>
      <c r="I174" s="38">
        <v>4</v>
      </c>
      <c r="J174" s="41">
        <v>45135</v>
      </c>
      <c r="K174" s="38" t="s">
        <v>10768</v>
      </c>
      <c r="L174" s="42">
        <v>35000000</v>
      </c>
      <c r="O174" s="151" t="s">
        <v>3082</v>
      </c>
      <c r="P174" s="5" t="str">
        <f t="shared" si="4"/>
        <v>A1305</v>
      </c>
      <c r="Q174" s="5">
        <f t="shared" si="5"/>
        <v>4</v>
      </c>
      <c r="R174">
        <f>VLOOKUP(O174,'Data Angt'!$A$5:$F$5810,6,FALSE)</f>
        <v>52</v>
      </c>
      <c r="S174" s="5" t="str">
        <f>VLOOKUP(O174,'Data Angt'!$A$5:$H$5810,8,FALSE)</f>
        <v>Wiraswasta</v>
      </c>
      <c r="T174" s="44" t="str">
        <f>VLOOKUP(O174,'Data Angt'!$A$5:$C$5809,3,FALSE)</f>
        <v>PBL</v>
      </c>
    </row>
    <row r="175" spans="1:20" x14ac:dyDescent="0.3">
      <c r="A175" s="37">
        <v>143484</v>
      </c>
      <c r="B175" s="38">
        <v>169</v>
      </c>
      <c r="C175" s="39" t="s">
        <v>799</v>
      </c>
      <c r="D175" s="10" t="str">
        <f>VLOOKUP(C175,'Data Angt'!$A$5:$B$5809,2,FALSE)</f>
        <v>A298</v>
      </c>
      <c r="E175" s="40" t="s">
        <v>18023</v>
      </c>
      <c r="F175" s="41">
        <v>45366</v>
      </c>
      <c r="G175" s="38">
        <v>1</v>
      </c>
      <c r="H175" s="40">
        <v>0</v>
      </c>
      <c r="I175" s="38">
        <v>4</v>
      </c>
      <c r="J175" s="41">
        <v>45366</v>
      </c>
      <c r="K175" s="38" t="s">
        <v>10768</v>
      </c>
      <c r="L175" s="42">
        <v>50000000</v>
      </c>
      <c r="O175" s="151" t="s">
        <v>3140</v>
      </c>
      <c r="P175" s="5" t="str">
        <f t="shared" si="4"/>
        <v>A1330</v>
      </c>
      <c r="Q175" s="5">
        <f t="shared" si="5"/>
        <v>1</v>
      </c>
      <c r="R175">
        <f>VLOOKUP(O175,'Data Angt'!$A$5:$F$5810,6,FALSE)</f>
        <v>49</v>
      </c>
      <c r="S175" s="5">
        <f>VLOOKUP(O175,'Data Angt'!$A$5:$H$5810,8,FALSE)</f>
        <v>0</v>
      </c>
      <c r="T175" s="44" t="str">
        <f>VLOOKUP(O175,'Data Angt'!$A$5:$C$5809,3,FALSE)</f>
        <v>KRK</v>
      </c>
    </row>
    <row r="176" spans="1:20" x14ac:dyDescent="0.3">
      <c r="A176" s="37">
        <v>155079</v>
      </c>
      <c r="B176" s="38">
        <v>170</v>
      </c>
      <c r="C176" s="39" t="s">
        <v>799</v>
      </c>
      <c r="D176" s="10" t="str">
        <f>VLOOKUP(C176,'Data Angt'!$A$5:$B$5809,2,FALSE)</f>
        <v>A298</v>
      </c>
      <c r="E176" s="40" t="s">
        <v>18024</v>
      </c>
      <c r="F176" s="41">
        <v>45763</v>
      </c>
      <c r="G176" s="38">
        <v>1</v>
      </c>
      <c r="H176" s="40">
        <v>0</v>
      </c>
      <c r="I176" s="38">
        <v>4</v>
      </c>
      <c r="J176" s="41">
        <v>45763</v>
      </c>
      <c r="K176" s="38" t="s">
        <v>10768</v>
      </c>
      <c r="L176" s="42">
        <v>30000000</v>
      </c>
      <c r="O176" s="151" t="s">
        <v>3258</v>
      </c>
      <c r="P176" s="5" t="str">
        <f t="shared" si="4"/>
        <v>A1382</v>
      </c>
      <c r="Q176" s="5">
        <f t="shared" si="5"/>
        <v>1</v>
      </c>
      <c r="R176">
        <f>VLOOKUP(O176,'Data Angt'!$A$5:$F$5810,6,FALSE)</f>
        <v>64</v>
      </c>
      <c r="S176" s="5" t="str">
        <f>VLOOKUP(O176,'Data Angt'!$A$5:$H$5810,8,FALSE)</f>
        <v>Karyawan</v>
      </c>
      <c r="T176" s="44" t="str">
        <f>VLOOKUP(O176,'Data Angt'!$A$5:$C$5809,3,FALSE)</f>
        <v>KRK</v>
      </c>
    </row>
    <row r="177" spans="1:20" x14ac:dyDescent="0.3">
      <c r="A177" s="37">
        <v>157019</v>
      </c>
      <c r="B177" s="38">
        <v>171</v>
      </c>
      <c r="C177" s="39" t="s">
        <v>799</v>
      </c>
      <c r="D177" s="10" t="str">
        <f>VLOOKUP(C177,'Data Angt'!$A$5:$B$5809,2,FALSE)</f>
        <v>A298</v>
      </c>
      <c r="E177" s="40" t="s">
        <v>23997</v>
      </c>
      <c r="F177" s="41">
        <v>45853</v>
      </c>
      <c r="G177" s="38">
        <v>1</v>
      </c>
      <c r="H177" s="40">
        <v>0</v>
      </c>
      <c r="I177" s="38">
        <v>4</v>
      </c>
      <c r="J177" s="41">
        <v>45853</v>
      </c>
      <c r="K177" s="38" t="s">
        <v>10768</v>
      </c>
      <c r="L177" s="42">
        <v>20000000</v>
      </c>
      <c r="O177" s="151" t="s">
        <v>3314</v>
      </c>
      <c r="P177" s="5" t="str">
        <f t="shared" si="4"/>
        <v>A1409</v>
      </c>
      <c r="Q177" s="5">
        <f t="shared" si="5"/>
        <v>2</v>
      </c>
      <c r="R177">
        <f>VLOOKUP(O177,'Data Angt'!$A$5:$F$5810,6,FALSE)</f>
        <v>51</v>
      </c>
      <c r="S177" s="5" t="str">
        <f>VLOOKUP(O177,'Data Angt'!$A$5:$H$5810,8,FALSE)</f>
        <v>Pemuka Agama</v>
      </c>
      <c r="T177" s="44" t="str">
        <f>VLOOKUP(O177,'Data Angt'!$A$5:$C$5809,3,FALSE)</f>
        <v>PBL</v>
      </c>
    </row>
    <row r="178" spans="1:20" x14ac:dyDescent="0.3">
      <c r="A178" s="37">
        <v>78581</v>
      </c>
      <c r="B178" s="38">
        <v>172</v>
      </c>
      <c r="C178" s="39" t="s">
        <v>815</v>
      </c>
      <c r="D178" s="10" t="str">
        <f>VLOOKUP(C178,'Data Angt'!$A$5:$B$5809,2,FALSE)</f>
        <v>A305</v>
      </c>
      <c r="E178" s="40" t="s">
        <v>11884</v>
      </c>
      <c r="F178" s="41">
        <v>39381</v>
      </c>
      <c r="G178" s="38">
        <v>1</v>
      </c>
      <c r="H178" s="40">
        <v>0</v>
      </c>
      <c r="I178" s="38">
        <v>4</v>
      </c>
      <c r="J178" s="41">
        <v>39381</v>
      </c>
      <c r="K178" s="38" t="s">
        <v>10768</v>
      </c>
      <c r="L178" s="42">
        <v>5000000</v>
      </c>
      <c r="O178" s="151" t="s">
        <v>3363</v>
      </c>
      <c r="P178" s="5" t="str">
        <f t="shared" si="4"/>
        <v>A1429</v>
      </c>
      <c r="Q178" s="5">
        <f t="shared" si="5"/>
        <v>3</v>
      </c>
      <c r="R178">
        <f>VLOOKUP(O178,'Data Angt'!$A$5:$F$5810,6,FALSE)</f>
        <v>38</v>
      </c>
      <c r="S178" s="5" t="str">
        <f>VLOOKUP(O178,'Data Angt'!$A$5:$H$5810,8,FALSE)</f>
        <v>Tenaga Pengajar</v>
      </c>
      <c r="T178" s="44" t="str">
        <f>VLOOKUP(O178,'Data Angt'!$A$5:$C$5809,3,FALSE)</f>
        <v>MJK</v>
      </c>
    </row>
    <row r="179" spans="1:20" x14ac:dyDescent="0.3">
      <c r="A179" s="37">
        <v>152665</v>
      </c>
      <c r="B179" s="38">
        <v>173</v>
      </c>
      <c r="C179" s="39" t="s">
        <v>815</v>
      </c>
      <c r="D179" s="10" t="str">
        <f>VLOOKUP(C179,'Data Angt'!$A$5:$B$5809,2,FALSE)</f>
        <v>A305</v>
      </c>
      <c r="E179" s="40" t="s">
        <v>18025</v>
      </c>
      <c r="F179" s="41">
        <v>45691</v>
      </c>
      <c r="G179" s="38">
        <v>6</v>
      </c>
      <c r="H179" s="40">
        <v>0</v>
      </c>
      <c r="I179" s="38">
        <v>4</v>
      </c>
      <c r="J179" s="41">
        <v>45691</v>
      </c>
      <c r="K179" s="38" t="s">
        <v>10768</v>
      </c>
      <c r="L179" s="42">
        <v>32000000</v>
      </c>
      <c r="O179" s="151" t="s">
        <v>3391</v>
      </c>
      <c r="P179" s="5" t="str">
        <f t="shared" si="4"/>
        <v>A1441</v>
      </c>
      <c r="Q179" s="5">
        <f t="shared" si="5"/>
        <v>4</v>
      </c>
      <c r="R179">
        <f>VLOOKUP(O179,'Data Angt'!$A$5:$F$5810,6,FALSE)</f>
        <v>41</v>
      </c>
      <c r="S179" s="5" t="str">
        <f>VLOOKUP(O179,'Data Angt'!$A$5:$H$5810,8,FALSE)</f>
        <v>Karyawan</v>
      </c>
      <c r="T179" s="44" t="str">
        <f>VLOOKUP(O179,'Data Angt'!$A$5:$C$5809,3,FALSE)</f>
        <v>PBL</v>
      </c>
    </row>
    <row r="180" spans="1:20" x14ac:dyDescent="0.3">
      <c r="A180" s="37">
        <v>133668</v>
      </c>
      <c r="B180" s="38">
        <v>174</v>
      </c>
      <c r="C180" s="39" t="s">
        <v>820</v>
      </c>
      <c r="D180" s="10" t="str">
        <f>VLOOKUP(C180,'Data Angt'!$A$5:$B$5809,2,FALSE)</f>
        <v>A307</v>
      </c>
      <c r="E180" s="40" t="s">
        <v>11883</v>
      </c>
      <c r="F180" s="41">
        <v>42211</v>
      </c>
      <c r="G180" s="38">
        <v>1</v>
      </c>
      <c r="H180" s="40">
        <v>0</v>
      </c>
      <c r="I180" s="38">
        <v>4</v>
      </c>
      <c r="J180" s="41">
        <v>44738</v>
      </c>
      <c r="K180" s="38" t="s">
        <v>10768</v>
      </c>
      <c r="L180" s="42">
        <v>15000000</v>
      </c>
      <c r="O180" s="151" t="s">
        <v>3498</v>
      </c>
      <c r="P180" s="5" t="str">
        <f t="shared" si="4"/>
        <v>A1493</v>
      </c>
      <c r="Q180" s="5">
        <f t="shared" si="5"/>
        <v>1</v>
      </c>
      <c r="R180">
        <f>VLOOKUP(O180,'Data Angt'!$A$5:$F$5810,6,FALSE)</f>
        <v>36</v>
      </c>
      <c r="S180" s="5" t="str">
        <f>VLOOKUP(O180,'Data Angt'!$A$5:$H$5810,8,FALSE)</f>
        <v>Tenaga Pengajar</v>
      </c>
      <c r="T180" s="44" t="str">
        <f>VLOOKUP(O180,'Data Angt'!$A$5:$C$5809,3,FALSE)</f>
        <v>MJK</v>
      </c>
    </row>
    <row r="181" spans="1:20" x14ac:dyDescent="0.3">
      <c r="A181" s="37">
        <v>133664</v>
      </c>
      <c r="B181" s="38">
        <v>175</v>
      </c>
      <c r="C181" s="39" t="s">
        <v>823</v>
      </c>
      <c r="D181" s="10" t="str">
        <f>VLOOKUP(C181,'Data Angt'!$A$5:$B$5809,2,FALSE)</f>
        <v>A308</v>
      </c>
      <c r="E181" s="40" t="s">
        <v>11882</v>
      </c>
      <c r="F181" s="41">
        <v>42211</v>
      </c>
      <c r="G181" s="38">
        <v>1</v>
      </c>
      <c r="H181" s="40">
        <v>0</v>
      </c>
      <c r="I181" s="38">
        <v>4</v>
      </c>
      <c r="J181" s="41">
        <v>44738</v>
      </c>
      <c r="K181" s="38" t="s">
        <v>10768</v>
      </c>
      <c r="L181" s="42">
        <v>15000000</v>
      </c>
      <c r="O181" s="151" t="s">
        <v>3504</v>
      </c>
      <c r="P181" s="5" t="str">
        <f t="shared" si="4"/>
        <v>A1496</v>
      </c>
      <c r="Q181" s="5">
        <f t="shared" si="5"/>
        <v>4</v>
      </c>
      <c r="R181">
        <f>VLOOKUP(O181,'Data Angt'!$A$5:$F$5810,6,FALSE)</f>
        <v>43</v>
      </c>
      <c r="S181" s="5" t="str">
        <f>VLOOKUP(O181,'Data Angt'!$A$5:$H$5810,8,FALSE)</f>
        <v>Aparatur/Pejabat Negara</v>
      </c>
      <c r="T181" s="44" t="str">
        <f>VLOOKUP(O181,'Data Angt'!$A$5:$C$5809,3,FALSE)</f>
        <v>PBL</v>
      </c>
    </row>
    <row r="182" spans="1:20" x14ac:dyDescent="0.3">
      <c r="A182" s="37">
        <v>78854</v>
      </c>
      <c r="B182" s="38">
        <v>176</v>
      </c>
      <c r="C182" s="39" t="s">
        <v>834</v>
      </c>
      <c r="D182" s="10" t="str">
        <f>VLOOKUP(C182,'Data Angt'!$A$5:$B$5809,2,FALSE)</f>
        <v>A311</v>
      </c>
      <c r="E182" s="40" t="s">
        <v>11879</v>
      </c>
      <c r="F182" s="41">
        <v>42578</v>
      </c>
      <c r="G182" s="38">
        <v>1</v>
      </c>
      <c r="H182" s="40">
        <v>0</v>
      </c>
      <c r="I182" s="38">
        <v>4</v>
      </c>
      <c r="J182" s="41">
        <v>42578</v>
      </c>
      <c r="K182" s="38" t="s">
        <v>10768</v>
      </c>
      <c r="L182" s="42">
        <v>1000000</v>
      </c>
      <c r="O182" s="151" t="s">
        <v>3520</v>
      </c>
      <c r="P182" s="5" t="str">
        <f t="shared" si="4"/>
        <v>A1503</v>
      </c>
      <c r="Q182" s="5">
        <f t="shared" si="5"/>
        <v>2</v>
      </c>
      <c r="R182">
        <f>VLOOKUP(O182,'Data Angt'!$A$5:$F$5810,6,FALSE)</f>
        <v>43</v>
      </c>
      <c r="S182" s="5" t="str">
        <f>VLOOKUP(O182,'Data Angt'!$A$5:$H$5810,8,FALSE)</f>
        <v>Wiraswasta</v>
      </c>
      <c r="T182" s="44" t="str">
        <f>VLOOKUP(O182,'Data Angt'!$A$5:$C$5809,3,FALSE)</f>
        <v>JBR</v>
      </c>
    </row>
    <row r="183" spans="1:20" x14ac:dyDescent="0.3">
      <c r="A183" s="37">
        <v>81321</v>
      </c>
      <c r="B183" s="38">
        <v>177</v>
      </c>
      <c r="C183" s="39" t="s">
        <v>834</v>
      </c>
      <c r="D183" s="10" t="str">
        <f>VLOOKUP(C183,'Data Angt'!$A$5:$B$5809,2,FALSE)</f>
        <v>A311</v>
      </c>
      <c r="E183" s="40" t="s">
        <v>11878</v>
      </c>
      <c r="F183" s="41">
        <v>43172</v>
      </c>
      <c r="G183" s="38">
        <v>1</v>
      </c>
      <c r="H183" s="40">
        <v>0</v>
      </c>
      <c r="I183" s="38">
        <v>4</v>
      </c>
      <c r="J183" s="41">
        <v>44633</v>
      </c>
      <c r="K183" s="38" t="s">
        <v>10768</v>
      </c>
      <c r="L183" s="42">
        <v>5000000</v>
      </c>
      <c r="O183" s="151" t="s">
        <v>3534</v>
      </c>
      <c r="P183" s="5" t="str">
        <f t="shared" si="4"/>
        <v>A1509</v>
      </c>
      <c r="Q183" s="5">
        <f t="shared" si="5"/>
        <v>1</v>
      </c>
      <c r="R183">
        <f>VLOOKUP(O183,'Data Angt'!$A$5:$F$5810,6,FALSE)</f>
        <v>69</v>
      </c>
      <c r="S183" s="5" t="str">
        <f>VLOOKUP(O183,'Data Angt'!$A$5:$H$5810,8,FALSE)</f>
        <v>Tenaga Medis</v>
      </c>
      <c r="T183" s="44" t="str">
        <f>VLOOKUP(O183,'Data Angt'!$A$5:$C$5809,3,FALSE)</f>
        <v>PBL</v>
      </c>
    </row>
    <row r="184" spans="1:20" x14ac:dyDescent="0.3">
      <c r="A184" s="37">
        <v>133645</v>
      </c>
      <c r="B184" s="38">
        <v>178</v>
      </c>
      <c r="C184" s="39" t="s">
        <v>834</v>
      </c>
      <c r="D184" s="10" t="str">
        <f>VLOOKUP(C184,'Data Angt'!$A$5:$B$5809,2,FALSE)</f>
        <v>A311</v>
      </c>
      <c r="E184" s="40" t="s">
        <v>11877</v>
      </c>
      <c r="F184" s="41">
        <v>44730</v>
      </c>
      <c r="G184" s="38">
        <v>3</v>
      </c>
      <c r="H184" s="40">
        <v>0</v>
      </c>
      <c r="I184" s="38">
        <v>4</v>
      </c>
      <c r="J184" s="41">
        <v>44730</v>
      </c>
      <c r="K184" s="38" t="s">
        <v>10768</v>
      </c>
      <c r="L184" s="42">
        <v>40000000</v>
      </c>
      <c r="O184" s="151" t="s">
        <v>12262</v>
      </c>
      <c r="P184" s="5" t="str">
        <f t="shared" si="4"/>
        <v>A1511</v>
      </c>
      <c r="Q184" s="5">
        <f t="shared" si="5"/>
        <v>2</v>
      </c>
      <c r="R184">
        <f>VLOOKUP(O184,'Data Angt'!$A$5:$F$5810,6,FALSE)</f>
        <v>18</v>
      </c>
      <c r="S184" s="5" t="str">
        <f>VLOOKUP(O184,'Data Angt'!$A$5:$H$5810,8,FALSE)</f>
        <v>Pelajar/Mahasiswa</v>
      </c>
      <c r="T184" s="44" t="str">
        <f>VLOOKUP(O184,'Data Angt'!$A$5:$C$5809,3,FALSE)</f>
        <v>PBL</v>
      </c>
    </row>
    <row r="185" spans="1:20" x14ac:dyDescent="0.3">
      <c r="A185" s="37">
        <v>78848</v>
      </c>
      <c r="B185" s="38">
        <v>179</v>
      </c>
      <c r="C185" s="39" t="s">
        <v>834</v>
      </c>
      <c r="D185" s="10" t="str">
        <f>VLOOKUP(C185,'Data Angt'!$A$5:$B$5809,2,FALSE)</f>
        <v>A311</v>
      </c>
      <c r="E185" s="40" t="s">
        <v>11881</v>
      </c>
      <c r="F185" s="41">
        <v>42507</v>
      </c>
      <c r="G185" s="38">
        <v>1</v>
      </c>
      <c r="H185" s="40">
        <v>0</v>
      </c>
      <c r="I185" s="38">
        <v>4</v>
      </c>
      <c r="J185" s="41">
        <v>44698</v>
      </c>
      <c r="K185" s="38" t="s">
        <v>10768</v>
      </c>
      <c r="L185" s="42">
        <v>3000000</v>
      </c>
      <c r="O185" s="151" t="s">
        <v>3549</v>
      </c>
      <c r="P185" s="5" t="str">
        <f t="shared" si="4"/>
        <v>A1516</v>
      </c>
      <c r="Q185" s="5">
        <f t="shared" si="5"/>
        <v>2</v>
      </c>
      <c r="R185">
        <f>VLOOKUP(O185,'Data Angt'!$A$5:$F$5810,6,FALSE)</f>
        <v>59</v>
      </c>
      <c r="S185" s="5" t="str">
        <f>VLOOKUP(O185,'Data Angt'!$A$5:$H$5810,8,FALSE)</f>
        <v>Pemuka Agama</v>
      </c>
      <c r="T185" s="44" t="str">
        <f>VLOOKUP(O185,'Data Angt'!$A$5:$C$5809,3,FALSE)</f>
        <v>PBL</v>
      </c>
    </row>
    <row r="186" spans="1:20" x14ac:dyDescent="0.3">
      <c r="A186" s="37">
        <v>78852</v>
      </c>
      <c r="B186" s="38">
        <v>180</v>
      </c>
      <c r="C186" s="39" t="s">
        <v>834</v>
      </c>
      <c r="D186" s="10" t="str">
        <f>VLOOKUP(C186,'Data Angt'!$A$5:$B$5809,2,FALSE)</f>
        <v>A311</v>
      </c>
      <c r="E186" s="40" t="s">
        <v>11880</v>
      </c>
      <c r="F186" s="41">
        <v>42577</v>
      </c>
      <c r="G186" s="38">
        <v>1</v>
      </c>
      <c r="H186" s="40">
        <v>0</v>
      </c>
      <c r="I186" s="38">
        <v>4</v>
      </c>
      <c r="J186" s="41">
        <v>42577</v>
      </c>
      <c r="K186" s="38" t="s">
        <v>10768</v>
      </c>
      <c r="L186" s="42">
        <v>1500000</v>
      </c>
      <c r="O186" s="151" t="s">
        <v>3554</v>
      </c>
      <c r="P186" s="5" t="str">
        <f t="shared" si="4"/>
        <v>A1518</v>
      </c>
      <c r="Q186" s="5">
        <f t="shared" si="5"/>
        <v>1</v>
      </c>
      <c r="R186">
        <f>VLOOKUP(O186,'Data Angt'!$A$5:$F$5810,6,FALSE)</f>
        <v>66</v>
      </c>
      <c r="S186" s="5" t="str">
        <f>VLOOKUP(O186,'Data Angt'!$A$5:$H$5810,8,FALSE)</f>
        <v>Pensiunan</v>
      </c>
      <c r="T186" s="44" t="str">
        <f>VLOOKUP(O186,'Data Angt'!$A$5:$C$5809,3,FALSE)</f>
        <v>MJK</v>
      </c>
    </row>
    <row r="187" spans="1:20" x14ac:dyDescent="0.3">
      <c r="A187" s="37">
        <v>78036</v>
      </c>
      <c r="B187" s="38">
        <v>181</v>
      </c>
      <c r="C187" s="39" t="s">
        <v>891</v>
      </c>
      <c r="D187" s="10" t="str">
        <f>VLOOKUP(C187,'Data Angt'!$A$5:$B$5809,2,FALSE)</f>
        <v>A339</v>
      </c>
      <c r="E187" s="40" t="s">
        <v>11876</v>
      </c>
      <c r="F187" s="41">
        <v>42597</v>
      </c>
      <c r="G187" s="38">
        <v>1</v>
      </c>
      <c r="H187" s="40">
        <v>0</v>
      </c>
      <c r="I187" s="38">
        <v>4</v>
      </c>
      <c r="J187" s="41">
        <v>42597</v>
      </c>
      <c r="K187" s="38" t="s">
        <v>10768</v>
      </c>
      <c r="L187" s="42">
        <v>25000000</v>
      </c>
      <c r="O187" s="151" t="s">
        <v>3566</v>
      </c>
      <c r="P187" s="5" t="str">
        <f t="shared" si="4"/>
        <v>A1522</v>
      </c>
      <c r="Q187" s="5">
        <f t="shared" si="5"/>
        <v>1</v>
      </c>
      <c r="R187">
        <f>VLOOKUP(O187,'Data Angt'!$A$5:$F$5810,6,FALSE)</f>
        <v>45</v>
      </c>
      <c r="S187" s="5" t="str">
        <f>VLOOKUP(O187,'Data Angt'!$A$5:$H$5810,8,FALSE)</f>
        <v>Karyawan</v>
      </c>
      <c r="T187" s="44" t="str">
        <f>VLOOKUP(O187,'Data Angt'!$A$5:$C$5809,3,FALSE)</f>
        <v>JBR</v>
      </c>
    </row>
    <row r="188" spans="1:20" x14ac:dyDescent="0.3">
      <c r="A188" s="37">
        <v>145367</v>
      </c>
      <c r="B188" s="38">
        <v>182</v>
      </c>
      <c r="C188" s="39" t="s">
        <v>12125</v>
      </c>
      <c r="D188" s="10" t="str">
        <f>VLOOKUP(C188,'Data Angt'!$A$5:$B$5809,2,FALSE)</f>
        <v>A347</v>
      </c>
      <c r="E188" s="40" t="s">
        <v>11875</v>
      </c>
      <c r="F188" s="41">
        <v>45201</v>
      </c>
      <c r="G188" s="38">
        <v>1</v>
      </c>
      <c r="H188" s="40">
        <v>0</v>
      </c>
      <c r="I188" s="38">
        <v>4</v>
      </c>
      <c r="J188" s="41">
        <v>45429</v>
      </c>
      <c r="K188" s="38" t="s">
        <v>10768</v>
      </c>
      <c r="L188" s="42">
        <v>10000000</v>
      </c>
      <c r="O188" s="151" t="s">
        <v>3645</v>
      </c>
      <c r="P188" s="5" t="str">
        <f t="shared" si="4"/>
        <v>A1564</v>
      </c>
      <c r="Q188" s="5">
        <f t="shared" si="5"/>
        <v>1</v>
      </c>
      <c r="R188">
        <f>VLOOKUP(O188,'Data Angt'!$A$5:$F$5810,6,FALSE)</f>
        <v>39</v>
      </c>
      <c r="S188" s="5" t="str">
        <f>VLOOKUP(O188,'Data Angt'!$A$5:$H$5810,8,FALSE)</f>
        <v>Tenaga Pengajar</v>
      </c>
      <c r="T188" s="44" t="str">
        <f>VLOOKUP(O188,'Data Angt'!$A$5:$C$5809,3,FALSE)</f>
        <v>JBR</v>
      </c>
    </row>
    <row r="189" spans="1:20" x14ac:dyDescent="0.3">
      <c r="A189" s="37">
        <v>113758</v>
      </c>
      <c r="B189" s="38">
        <v>183</v>
      </c>
      <c r="C189" s="39" t="s">
        <v>984</v>
      </c>
      <c r="D189" s="10" t="str">
        <f>VLOOKUP(C189,'Data Angt'!$A$5:$B$5809,2,FALSE)</f>
        <v>A374</v>
      </c>
      <c r="E189" s="40" t="s">
        <v>11874</v>
      </c>
      <c r="F189" s="41">
        <v>43651</v>
      </c>
      <c r="G189" s="38">
        <v>1</v>
      </c>
      <c r="H189" s="40">
        <v>0</v>
      </c>
      <c r="I189" s="38">
        <v>4</v>
      </c>
      <c r="J189" s="41">
        <v>43651</v>
      </c>
      <c r="K189" s="38" t="s">
        <v>10768</v>
      </c>
      <c r="L189" s="42">
        <v>10000000</v>
      </c>
      <c r="O189" s="151" t="s">
        <v>3728</v>
      </c>
      <c r="P189" s="5" t="str">
        <f t="shared" si="4"/>
        <v>A1605</v>
      </c>
      <c r="Q189" s="5">
        <f t="shared" si="5"/>
        <v>15</v>
      </c>
      <c r="R189">
        <f>VLOOKUP(O189,'Data Angt'!$A$5:$F$5810,6,FALSE)</f>
        <v>59</v>
      </c>
      <c r="S189" s="5" t="str">
        <f>VLOOKUP(O189,'Data Angt'!$A$5:$H$5810,8,FALSE)</f>
        <v>Pemuka Agama</v>
      </c>
      <c r="T189" s="44" t="str">
        <f>VLOOKUP(O189,'Data Angt'!$A$5:$C$5809,3,FALSE)</f>
        <v>PBL</v>
      </c>
    </row>
    <row r="190" spans="1:20" x14ac:dyDescent="0.3">
      <c r="A190" s="37">
        <v>143010</v>
      </c>
      <c r="B190" s="38">
        <v>184</v>
      </c>
      <c r="C190" s="39" t="s">
        <v>998</v>
      </c>
      <c r="D190" s="10" t="str">
        <f>VLOOKUP(C190,'Data Angt'!$A$5:$B$5809,2,FALSE)</f>
        <v>A380</v>
      </c>
      <c r="E190" s="40" t="s">
        <v>18026</v>
      </c>
      <c r="F190" s="41">
        <v>45351</v>
      </c>
      <c r="G190" s="38">
        <v>1</v>
      </c>
      <c r="H190" s="40">
        <v>0</v>
      </c>
      <c r="I190" s="38">
        <v>4</v>
      </c>
      <c r="J190" s="41">
        <v>45351</v>
      </c>
      <c r="K190" s="38" t="s">
        <v>10768</v>
      </c>
      <c r="L190" s="42">
        <v>50000000</v>
      </c>
      <c r="O190" s="151" t="s">
        <v>3761</v>
      </c>
      <c r="P190" s="5" t="str">
        <f t="shared" si="4"/>
        <v>A1618</v>
      </c>
      <c r="Q190" s="5">
        <f t="shared" si="5"/>
        <v>1</v>
      </c>
      <c r="R190">
        <f>VLOOKUP(O190,'Data Angt'!$A$5:$F$5810,6,FALSE)</f>
        <v>43</v>
      </c>
      <c r="S190" s="5" t="str">
        <f>VLOOKUP(O190,'Data Angt'!$A$5:$H$5810,8,FALSE)</f>
        <v>Mengurus Rumah Tangga</v>
      </c>
      <c r="T190" s="44" t="str">
        <f>VLOOKUP(O190,'Data Angt'!$A$5:$C$5809,3,FALSE)</f>
        <v>PBL</v>
      </c>
    </row>
    <row r="191" spans="1:20" x14ac:dyDescent="0.3">
      <c r="A191" s="37">
        <v>143011</v>
      </c>
      <c r="B191" s="38">
        <v>185</v>
      </c>
      <c r="C191" s="39" t="s">
        <v>998</v>
      </c>
      <c r="D191" s="10" t="str">
        <f>VLOOKUP(C191,'Data Angt'!$A$5:$B$5809,2,FALSE)</f>
        <v>A380</v>
      </c>
      <c r="E191" s="40" t="s">
        <v>18027</v>
      </c>
      <c r="F191" s="41">
        <v>45351</v>
      </c>
      <c r="G191" s="38">
        <v>1</v>
      </c>
      <c r="H191" s="40">
        <v>0</v>
      </c>
      <c r="I191" s="38">
        <v>4</v>
      </c>
      <c r="J191" s="41">
        <v>45351</v>
      </c>
      <c r="K191" s="38" t="s">
        <v>10768</v>
      </c>
      <c r="L191" s="42">
        <v>50000000</v>
      </c>
      <c r="O191" s="151" t="s">
        <v>12274</v>
      </c>
      <c r="P191" s="5" t="str">
        <f t="shared" si="4"/>
        <v>A1619</v>
      </c>
      <c r="Q191" s="5">
        <f t="shared" si="5"/>
        <v>1</v>
      </c>
      <c r="R191">
        <f>VLOOKUP(O191,'Data Angt'!$A$5:$F$5810,6,FALSE)</f>
        <v>26</v>
      </c>
      <c r="S191" s="5" t="str">
        <f>VLOOKUP(O191,'Data Angt'!$A$5:$H$5810,8,FALSE)</f>
        <v>Karyawan</v>
      </c>
      <c r="T191" s="44" t="str">
        <f>VLOOKUP(O191,'Data Angt'!$A$5:$C$5809,3,FALSE)</f>
        <v>PBL</v>
      </c>
    </row>
    <row r="192" spans="1:20" x14ac:dyDescent="0.3">
      <c r="A192" s="37">
        <v>109503</v>
      </c>
      <c r="B192" s="38">
        <v>186</v>
      </c>
      <c r="C192" s="39" t="s">
        <v>1030</v>
      </c>
      <c r="D192" s="10" t="str">
        <f>VLOOKUP(C192,'Data Angt'!$A$5:$B$5809,2,FALSE)</f>
        <v>A393</v>
      </c>
      <c r="E192" s="40" t="s">
        <v>11873</v>
      </c>
      <c r="F192" s="41">
        <v>43523</v>
      </c>
      <c r="G192" s="38">
        <v>1</v>
      </c>
      <c r="H192" s="40">
        <v>0</v>
      </c>
      <c r="I192" s="38">
        <v>4</v>
      </c>
      <c r="J192" s="41">
        <v>43523</v>
      </c>
      <c r="K192" s="38" t="s">
        <v>10768</v>
      </c>
      <c r="L192" s="42">
        <v>10000000</v>
      </c>
      <c r="O192" s="151" t="s">
        <v>3771</v>
      </c>
      <c r="P192" s="5" t="str">
        <f t="shared" si="4"/>
        <v>A1623</v>
      </c>
      <c r="Q192" s="5">
        <f t="shared" si="5"/>
        <v>8</v>
      </c>
      <c r="R192">
        <f>VLOOKUP(O192,'Data Angt'!$A$5:$F$5810,6,FALSE)</f>
        <v>38</v>
      </c>
      <c r="S192" s="5" t="str">
        <f>VLOOKUP(O192,'Data Angt'!$A$5:$H$5810,8,FALSE)</f>
        <v>Tenaga Pengajar</v>
      </c>
      <c r="T192" s="44" t="str">
        <f>VLOOKUP(O192,'Data Angt'!$A$5:$C$5809,3,FALSE)</f>
        <v>KRK</v>
      </c>
    </row>
    <row r="193" spans="1:20" x14ac:dyDescent="0.3">
      <c r="A193" s="37">
        <v>153516</v>
      </c>
      <c r="B193" s="38">
        <v>187</v>
      </c>
      <c r="C193" s="39" t="s">
        <v>1030</v>
      </c>
      <c r="D193" s="10" t="str">
        <f>VLOOKUP(C193,'Data Angt'!$A$5:$B$5809,2,FALSE)</f>
        <v>A393</v>
      </c>
      <c r="E193" s="40" t="s">
        <v>18028</v>
      </c>
      <c r="F193" s="41">
        <v>45707</v>
      </c>
      <c r="G193" s="38">
        <v>1</v>
      </c>
      <c r="H193" s="40">
        <v>0</v>
      </c>
      <c r="I193" s="38">
        <v>4</v>
      </c>
      <c r="J193" s="41">
        <v>45707</v>
      </c>
      <c r="K193" s="38" t="s">
        <v>10768</v>
      </c>
      <c r="L193" s="42">
        <v>15000000</v>
      </c>
      <c r="O193" s="151" t="s">
        <v>3779</v>
      </c>
      <c r="P193" s="5" t="str">
        <f t="shared" si="4"/>
        <v>A1627</v>
      </c>
      <c r="Q193" s="5">
        <f t="shared" si="5"/>
        <v>1</v>
      </c>
      <c r="R193">
        <f>VLOOKUP(O193,'Data Angt'!$A$5:$F$5810,6,FALSE)</f>
        <v>38</v>
      </c>
      <c r="S193" s="5" t="str">
        <f>VLOOKUP(O193,'Data Angt'!$A$5:$H$5810,8,FALSE)</f>
        <v>Karyawan</v>
      </c>
      <c r="T193" s="44" t="str">
        <f>VLOOKUP(O193,'Data Angt'!$A$5:$C$5809,3,FALSE)</f>
        <v>JBR</v>
      </c>
    </row>
    <row r="194" spans="1:20" x14ac:dyDescent="0.3">
      <c r="A194" s="37">
        <v>88765</v>
      </c>
      <c r="B194" s="38">
        <v>188</v>
      </c>
      <c r="C194" s="39" t="s">
        <v>1030</v>
      </c>
      <c r="D194" s="10" t="str">
        <f>VLOOKUP(C194,'Data Angt'!$A$5:$B$5809,2,FALSE)</f>
        <v>A393</v>
      </c>
      <c r="E194" s="40" t="s">
        <v>11872</v>
      </c>
      <c r="F194" s="41">
        <v>43325</v>
      </c>
      <c r="G194" s="38">
        <v>1</v>
      </c>
      <c r="H194" s="40">
        <v>0</v>
      </c>
      <c r="I194" s="38">
        <v>4</v>
      </c>
      <c r="J194" s="41">
        <v>43325</v>
      </c>
      <c r="K194" s="38" t="s">
        <v>10768</v>
      </c>
      <c r="L194" s="42">
        <v>30000000</v>
      </c>
      <c r="O194" s="151" t="s">
        <v>3787</v>
      </c>
      <c r="P194" s="5" t="str">
        <f t="shared" si="4"/>
        <v>A1631</v>
      </c>
      <c r="Q194" s="5">
        <f t="shared" si="5"/>
        <v>1</v>
      </c>
      <c r="R194">
        <f>VLOOKUP(O194,'Data Angt'!$A$5:$F$5810,6,FALSE)</f>
        <v>48</v>
      </c>
      <c r="S194" s="5" t="str">
        <f>VLOOKUP(O194,'Data Angt'!$A$5:$H$5810,8,FALSE)</f>
        <v>Pemuka Agama</v>
      </c>
      <c r="T194" s="44" t="str">
        <f>VLOOKUP(O194,'Data Angt'!$A$5:$C$5809,3,FALSE)</f>
        <v>PBL</v>
      </c>
    </row>
    <row r="195" spans="1:20" x14ac:dyDescent="0.3">
      <c r="A195" s="37">
        <v>128687</v>
      </c>
      <c r="B195" s="38">
        <v>189</v>
      </c>
      <c r="C195" s="39" t="s">
        <v>1062</v>
      </c>
      <c r="D195" s="10" t="str">
        <f>VLOOKUP(C195,'Data Angt'!$A$5:$B$5809,2,FALSE)</f>
        <v>A408</v>
      </c>
      <c r="E195" s="40" t="s">
        <v>11871</v>
      </c>
      <c r="F195" s="41">
        <v>44370</v>
      </c>
      <c r="G195" s="38">
        <v>1</v>
      </c>
      <c r="H195" s="40">
        <v>0</v>
      </c>
      <c r="I195" s="38">
        <v>4</v>
      </c>
      <c r="J195" s="41">
        <v>44370</v>
      </c>
      <c r="K195" s="38" t="s">
        <v>10768</v>
      </c>
      <c r="L195" s="42">
        <v>10000000</v>
      </c>
      <c r="O195" s="151" t="s">
        <v>3838</v>
      </c>
      <c r="P195" s="5" t="str">
        <f t="shared" si="4"/>
        <v>A1658</v>
      </c>
      <c r="Q195" s="5">
        <f t="shared" si="5"/>
        <v>1</v>
      </c>
      <c r="R195">
        <f>VLOOKUP(O195,'Data Angt'!$A$5:$F$5810,6,FALSE)</f>
        <v>47</v>
      </c>
      <c r="S195" s="5" t="str">
        <f>VLOOKUP(O195,'Data Angt'!$A$5:$H$5810,8,FALSE)</f>
        <v>Aparatur/Pejabat Negara</v>
      </c>
      <c r="T195" s="44" t="str">
        <f>VLOOKUP(O195,'Data Angt'!$A$5:$C$5809,3,FALSE)</f>
        <v>PBL</v>
      </c>
    </row>
    <row r="196" spans="1:20" x14ac:dyDescent="0.3">
      <c r="A196" s="37">
        <v>126529</v>
      </c>
      <c r="B196" s="38">
        <v>190</v>
      </c>
      <c r="C196" s="39" t="s">
        <v>1086</v>
      </c>
      <c r="D196" s="10" t="str">
        <f>VLOOKUP(C196,'Data Angt'!$A$5:$B$5809,2,FALSE)</f>
        <v>A420</v>
      </c>
      <c r="E196" s="40" t="s">
        <v>11870</v>
      </c>
      <c r="F196" s="41">
        <v>44210</v>
      </c>
      <c r="G196" s="38">
        <v>1</v>
      </c>
      <c r="H196" s="40">
        <v>0</v>
      </c>
      <c r="I196" s="38">
        <v>4</v>
      </c>
      <c r="J196" s="41">
        <v>44210</v>
      </c>
      <c r="K196" s="38" t="s">
        <v>10768</v>
      </c>
      <c r="L196" s="42">
        <v>30000000</v>
      </c>
      <c r="O196" s="151" t="s">
        <v>3924</v>
      </c>
      <c r="P196" s="5" t="str">
        <f t="shared" si="4"/>
        <v>A1697</v>
      </c>
      <c r="Q196" s="5">
        <f t="shared" si="5"/>
        <v>3</v>
      </c>
      <c r="R196">
        <f>VLOOKUP(O196,'Data Angt'!$A$5:$F$5810,6,FALSE)</f>
        <v>54</v>
      </c>
      <c r="S196" s="5" t="str">
        <f>VLOOKUP(O196,'Data Angt'!$A$5:$H$5810,8,FALSE)</f>
        <v>Wiraswasta</v>
      </c>
      <c r="T196" s="44" t="str">
        <f>VLOOKUP(O196,'Data Angt'!$A$5:$C$5809,3,FALSE)</f>
        <v>PBL</v>
      </c>
    </row>
    <row r="197" spans="1:20" x14ac:dyDescent="0.3">
      <c r="A197" s="37">
        <v>126530</v>
      </c>
      <c r="B197" s="38">
        <v>191</v>
      </c>
      <c r="C197" s="39" t="s">
        <v>1086</v>
      </c>
      <c r="D197" s="10" t="str">
        <f>VLOOKUP(C197,'Data Angt'!$A$5:$B$5809,2,FALSE)</f>
        <v>A420</v>
      </c>
      <c r="E197" s="40" t="s">
        <v>11869</v>
      </c>
      <c r="F197" s="41">
        <v>44210</v>
      </c>
      <c r="G197" s="38">
        <v>1</v>
      </c>
      <c r="H197" s="40">
        <v>0</v>
      </c>
      <c r="I197" s="38">
        <v>4</v>
      </c>
      <c r="J197" s="41">
        <v>44210</v>
      </c>
      <c r="K197" s="38" t="s">
        <v>10768</v>
      </c>
      <c r="L197" s="42">
        <v>20000000</v>
      </c>
      <c r="O197" s="151" t="s">
        <v>3932</v>
      </c>
      <c r="P197" s="5" t="str">
        <f t="shared" si="4"/>
        <v>A1700</v>
      </c>
      <c r="Q197" s="5">
        <f t="shared" si="5"/>
        <v>1</v>
      </c>
      <c r="R197">
        <f>VLOOKUP(O197,'Data Angt'!$A$5:$F$5810,6,FALSE)</f>
        <v>35</v>
      </c>
      <c r="S197" s="5" t="str">
        <f>VLOOKUP(O197,'Data Angt'!$A$5:$H$5810,8,FALSE)</f>
        <v>Mengurus Rumah Tangga</v>
      </c>
      <c r="T197" s="44" t="str">
        <f>VLOOKUP(O197,'Data Angt'!$A$5:$C$5809,3,FALSE)</f>
        <v>PBL</v>
      </c>
    </row>
    <row r="198" spans="1:20" x14ac:dyDescent="0.3">
      <c r="A198" s="37">
        <v>119509</v>
      </c>
      <c r="B198" s="38">
        <v>192</v>
      </c>
      <c r="C198" s="39" t="s">
        <v>1102</v>
      </c>
      <c r="D198" s="10" t="str">
        <f>VLOOKUP(C198,'Data Angt'!$A$5:$B$5809,2,FALSE)</f>
        <v>A427</v>
      </c>
      <c r="E198" s="40" t="s">
        <v>11868</v>
      </c>
      <c r="F198" s="41">
        <v>43839</v>
      </c>
      <c r="G198" s="38">
        <v>1</v>
      </c>
      <c r="H198" s="40">
        <v>0</v>
      </c>
      <c r="I198" s="38">
        <v>4</v>
      </c>
      <c r="J198" s="41">
        <v>43839</v>
      </c>
      <c r="K198" s="38" t="s">
        <v>10768</v>
      </c>
      <c r="L198" s="42">
        <v>1000000</v>
      </c>
      <c r="O198" s="151" t="s">
        <v>4027</v>
      </c>
      <c r="P198" s="5" t="str">
        <f t="shared" ref="P198:P261" si="6">VLOOKUP(O198,$C$7:$D$1146,2,FALSE)</f>
        <v>A1744</v>
      </c>
      <c r="Q198" s="5">
        <f t="shared" si="5"/>
        <v>3</v>
      </c>
      <c r="R198">
        <f>VLOOKUP(O198,'Data Angt'!$A$5:$F$5810,6,FALSE)</f>
        <v>65</v>
      </c>
      <c r="S198" s="5" t="str">
        <f>VLOOKUP(O198,'Data Angt'!$A$5:$H$5810,8,FALSE)</f>
        <v>Mengurus Rumah Tangga</v>
      </c>
      <c r="T198" s="44" t="str">
        <f>VLOOKUP(O198,'Data Angt'!$A$5:$C$5809,3,FALSE)</f>
        <v>PBL</v>
      </c>
    </row>
    <row r="199" spans="1:20" x14ac:dyDescent="0.3">
      <c r="A199" s="37">
        <v>120401</v>
      </c>
      <c r="B199" s="38">
        <v>193</v>
      </c>
      <c r="C199" s="39" t="s">
        <v>1102</v>
      </c>
      <c r="D199" s="10" t="str">
        <f>VLOOKUP(C199,'Data Angt'!$A$5:$B$5809,2,FALSE)</f>
        <v>A427</v>
      </c>
      <c r="E199" s="40" t="s">
        <v>11867</v>
      </c>
      <c r="F199" s="41">
        <v>43865</v>
      </c>
      <c r="G199" s="38">
        <v>1</v>
      </c>
      <c r="H199" s="40">
        <v>0</v>
      </c>
      <c r="I199" s="38">
        <v>4</v>
      </c>
      <c r="J199" s="41">
        <v>43865</v>
      </c>
      <c r="K199" s="38" t="s">
        <v>10768</v>
      </c>
      <c r="L199" s="42">
        <v>2000000</v>
      </c>
      <c r="O199" s="151" t="s">
        <v>4029</v>
      </c>
      <c r="P199" s="5" t="str">
        <f t="shared" si="6"/>
        <v>A1745</v>
      </c>
      <c r="Q199" s="5">
        <f t="shared" ref="Q199:Q262" si="7">COUNTIF($C$7:$C$1146,O199)</f>
        <v>3</v>
      </c>
      <c r="R199">
        <f>VLOOKUP(O199,'Data Angt'!$A$5:$F$5810,6,FALSE)</f>
        <v>42</v>
      </c>
      <c r="S199" s="5" t="str">
        <f>VLOOKUP(O199,'Data Angt'!$A$5:$H$5810,8,FALSE)</f>
        <v>Mengurus Rumah Tangga</v>
      </c>
      <c r="T199" s="44" t="str">
        <f>VLOOKUP(O199,'Data Angt'!$A$5:$C$5809,3,FALSE)</f>
        <v>PBL</v>
      </c>
    </row>
    <row r="200" spans="1:20" x14ac:dyDescent="0.3">
      <c r="A200" s="37">
        <v>121774</v>
      </c>
      <c r="B200" s="38">
        <v>194</v>
      </c>
      <c r="C200" s="39" t="s">
        <v>1102</v>
      </c>
      <c r="D200" s="10" t="str">
        <f>VLOOKUP(C200,'Data Angt'!$A$5:$B$5809,2,FALSE)</f>
        <v>A427</v>
      </c>
      <c r="E200" s="40" t="s">
        <v>11866</v>
      </c>
      <c r="F200" s="41">
        <v>43901</v>
      </c>
      <c r="G200" s="38">
        <v>1</v>
      </c>
      <c r="H200" s="40">
        <v>0</v>
      </c>
      <c r="I200" s="38">
        <v>4</v>
      </c>
      <c r="J200" s="41">
        <v>43901</v>
      </c>
      <c r="K200" s="38" t="s">
        <v>10768</v>
      </c>
      <c r="L200" s="42">
        <v>2000000</v>
      </c>
      <c r="O200" s="151" t="s">
        <v>4031</v>
      </c>
      <c r="P200" s="5" t="str">
        <f t="shared" si="6"/>
        <v>A1746</v>
      </c>
      <c r="Q200" s="5">
        <f t="shared" si="7"/>
        <v>1</v>
      </c>
      <c r="R200">
        <f>VLOOKUP(O200,'Data Angt'!$A$5:$F$5810,6,FALSE)</f>
        <v>45</v>
      </c>
      <c r="S200" s="5" t="str">
        <f>VLOOKUP(O200,'Data Angt'!$A$5:$H$5810,8,FALSE)</f>
        <v>Lain-Lain</v>
      </c>
      <c r="T200" s="44" t="str">
        <f>VLOOKUP(O200,'Data Angt'!$A$5:$C$5809,3,FALSE)</f>
        <v>PBL</v>
      </c>
    </row>
    <row r="201" spans="1:20" x14ac:dyDescent="0.3">
      <c r="A201" s="37">
        <v>78583</v>
      </c>
      <c r="B201" s="38">
        <v>195</v>
      </c>
      <c r="C201" s="39" t="s">
        <v>1102</v>
      </c>
      <c r="D201" s="10" t="str">
        <f>VLOOKUP(C201,'Data Angt'!$A$5:$B$5809,2,FALSE)</f>
        <v>A427</v>
      </c>
      <c r="E201" s="40" t="s">
        <v>11865</v>
      </c>
      <c r="F201" s="41">
        <v>40329</v>
      </c>
      <c r="G201" s="38">
        <v>1</v>
      </c>
      <c r="H201" s="40">
        <v>0</v>
      </c>
      <c r="I201" s="38">
        <v>4</v>
      </c>
      <c r="J201" s="41">
        <v>40329</v>
      </c>
      <c r="K201" s="38" t="s">
        <v>10768</v>
      </c>
      <c r="L201" s="42">
        <v>1000000</v>
      </c>
      <c r="O201" s="151" t="s">
        <v>4040</v>
      </c>
      <c r="P201" s="5" t="str">
        <f t="shared" si="6"/>
        <v>A1750</v>
      </c>
      <c r="Q201" s="5">
        <f t="shared" si="7"/>
        <v>1</v>
      </c>
      <c r="R201">
        <f>VLOOKUP(O201,'Data Angt'!$A$5:$F$5810,6,FALSE)</f>
        <v>35</v>
      </c>
      <c r="S201" s="5" t="str">
        <f>VLOOKUP(O201,'Data Angt'!$A$5:$H$5810,8,FALSE)</f>
        <v>Karyawan</v>
      </c>
      <c r="T201" s="44" t="str">
        <f>VLOOKUP(O201,'Data Angt'!$A$5:$C$5809,3,FALSE)</f>
        <v>JBR</v>
      </c>
    </row>
    <row r="202" spans="1:20" x14ac:dyDescent="0.3">
      <c r="A202" s="37">
        <v>78593</v>
      </c>
      <c r="B202" s="38">
        <v>196</v>
      </c>
      <c r="C202" s="39" t="s">
        <v>1102</v>
      </c>
      <c r="D202" s="10" t="str">
        <f>VLOOKUP(C202,'Data Angt'!$A$5:$B$5809,2,FALSE)</f>
        <v>A427</v>
      </c>
      <c r="E202" s="40" t="s">
        <v>11863</v>
      </c>
      <c r="F202" s="41">
        <v>41572</v>
      </c>
      <c r="G202" s="38">
        <v>1</v>
      </c>
      <c r="H202" s="40">
        <v>0</v>
      </c>
      <c r="I202" s="38">
        <v>4</v>
      </c>
      <c r="J202" s="41">
        <v>41572</v>
      </c>
      <c r="K202" s="38" t="s">
        <v>10768</v>
      </c>
      <c r="L202" s="42">
        <v>1000000</v>
      </c>
      <c r="O202" s="151" t="s">
        <v>4045</v>
      </c>
      <c r="P202" s="5" t="str">
        <f t="shared" si="6"/>
        <v>A1752</v>
      </c>
      <c r="Q202" s="5">
        <f t="shared" si="7"/>
        <v>1</v>
      </c>
      <c r="R202">
        <f>VLOOKUP(O202,'Data Angt'!$A$5:$F$5810,6,FALSE)</f>
        <v>34</v>
      </c>
      <c r="S202" s="5" t="str">
        <f>VLOOKUP(O202,'Data Angt'!$A$5:$H$5810,8,FALSE)</f>
        <v>Karyawan</v>
      </c>
      <c r="T202" s="44" t="str">
        <f>VLOOKUP(O202,'Data Angt'!$A$5:$C$5809,3,FALSE)</f>
        <v>PBL</v>
      </c>
    </row>
    <row r="203" spans="1:20" x14ac:dyDescent="0.3">
      <c r="A203" s="37">
        <v>122847</v>
      </c>
      <c r="B203" s="38">
        <v>197</v>
      </c>
      <c r="C203" s="39" t="s">
        <v>1102</v>
      </c>
      <c r="D203" s="10" t="str">
        <f>VLOOKUP(C203,'Data Angt'!$A$5:$B$5809,2,FALSE)</f>
        <v>A427</v>
      </c>
      <c r="E203" s="40" t="s">
        <v>11864</v>
      </c>
      <c r="F203" s="41">
        <v>43941</v>
      </c>
      <c r="G203" s="38">
        <v>1</v>
      </c>
      <c r="H203" s="40">
        <v>0</v>
      </c>
      <c r="I203" s="38">
        <v>4</v>
      </c>
      <c r="J203" s="41">
        <v>43941</v>
      </c>
      <c r="K203" s="38" t="s">
        <v>10768</v>
      </c>
      <c r="L203" s="42">
        <v>8000000</v>
      </c>
      <c r="O203" s="151" t="s">
        <v>4056</v>
      </c>
      <c r="P203" s="5" t="str">
        <f t="shared" si="6"/>
        <v>A1759</v>
      </c>
      <c r="Q203" s="5">
        <f t="shared" si="7"/>
        <v>1</v>
      </c>
      <c r="R203">
        <f>VLOOKUP(O203,'Data Angt'!$A$5:$F$5810,6,FALSE)</f>
        <v>42</v>
      </c>
      <c r="S203" s="5" t="str">
        <f>VLOOKUP(O203,'Data Angt'!$A$5:$H$5810,8,FALSE)</f>
        <v>Karyawan</v>
      </c>
      <c r="T203" s="44" t="str">
        <f>VLOOKUP(O203,'Data Angt'!$A$5:$C$5809,3,FALSE)</f>
        <v>PBL</v>
      </c>
    </row>
    <row r="204" spans="1:20" x14ac:dyDescent="0.3">
      <c r="A204" s="37">
        <v>123901</v>
      </c>
      <c r="B204" s="38">
        <v>198</v>
      </c>
      <c r="C204" s="39" t="s">
        <v>1102</v>
      </c>
      <c r="D204" s="10" t="str">
        <f>VLOOKUP(C204,'Data Angt'!$A$5:$B$5809,2,FALSE)</f>
        <v>A427</v>
      </c>
      <c r="E204" s="40" t="s">
        <v>11862</v>
      </c>
      <c r="F204" s="41">
        <v>44008</v>
      </c>
      <c r="G204" s="38">
        <v>1</v>
      </c>
      <c r="H204" s="40">
        <v>0</v>
      </c>
      <c r="I204" s="38">
        <v>4</v>
      </c>
      <c r="J204" s="41">
        <v>44008</v>
      </c>
      <c r="K204" s="38" t="s">
        <v>10768</v>
      </c>
      <c r="L204" s="42">
        <v>2000000</v>
      </c>
      <c r="O204" s="151" t="s">
        <v>4088</v>
      </c>
      <c r="P204" s="5" t="str">
        <f t="shared" si="6"/>
        <v>A1776</v>
      </c>
      <c r="Q204" s="5">
        <f t="shared" si="7"/>
        <v>2</v>
      </c>
      <c r="R204">
        <f>VLOOKUP(O204,'Data Angt'!$A$5:$F$5810,6,FALSE)</f>
        <v>36</v>
      </c>
      <c r="S204" s="5" t="str">
        <f>VLOOKUP(O204,'Data Angt'!$A$5:$H$5810,8,FALSE)</f>
        <v>Wiraswasta</v>
      </c>
      <c r="T204" s="44" t="str">
        <f>VLOOKUP(O204,'Data Angt'!$A$5:$C$5809,3,FALSE)</f>
        <v>MGL</v>
      </c>
    </row>
    <row r="205" spans="1:20" x14ac:dyDescent="0.3">
      <c r="A205" s="37">
        <v>78618</v>
      </c>
      <c r="B205" s="38">
        <v>199</v>
      </c>
      <c r="C205" s="39" t="s">
        <v>1102</v>
      </c>
      <c r="D205" s="10" t="str">
        <f>VLOOKUP(C205,'Data Angt'!$A$5:$B$5809,2,FALSE)</f>
        <v>A427</v>
      </c>
      <c r="E205" s="40" t="s">
        <v>11860</v>
      </c>
      <c r="F205" s="41">
        <v>42250</v>
      </c>
      <c r="G205" s="38">
        <v>1</v>
      </c>
      <c r="H205" s="40">
        <v>0</v>
      </c>
      <c r="I205" s="38">
        <v>4</v>
      </c>
      <c r="J205" s="41">
        <v>42072</v>
      </c>
      <c r="K205" s="38" t="s">
        <v>10768</v>
      </c>
      <c r="L205" s="42">
        <v>2000000</v>
      </c>
      <c r="O205" s="151" t="s">
        <v>4091</v>
      </c>
      <c r="P205" s="5" t="str">
        <f t="shared" si="6"/>
        <v>A1777</v>
      </c>
      <c r="Q205" s="5">
        <f t="shared" si="7"/>
        <v>2</v>
      </c>
      <c r="R205">
        <f>VLOOKUP(O205,'Data Angt'!$A$5:$F$5810,6,FALSE)</f>
        <v>54</v>
      </c>
      <c r="S205" s="5" t="str">
        <f>VLOOKUP(O205,'Data Angt'!$A$5:$H$5810,8,FALSE)</f>
        <v>Wiraswasta</v>
      </c>
      <c r="T205" s="44" t="str">
        <f>VLOOKUP(O205,'Data Angt'!$A$5:$C$5809,3,FALSE)</f>
        <v>MGL</v>
      </c>
    </row>
    <row r="206" spans="1:20" x14ac:dyDescent="0.3">
      <c r="A206" s="37">
        <v>125889</v>
      </c>
      <c r="B206" s="38">
        <v>200</v>
      </c>
      <c r="C206" s="39" t="s">
        <v>1102</v>
      </c>
      <c r="D206" s="10" t="str">
        <f>VLOOKUP(C206,'Data Angt'!$A$5:$B$5809,2,FALSE)</f>
        <v>A427</v>
      </c>
      <c r="E206" s="40" t="s">
        <v>11861</v>
      </c>
      <c r="F206" s="41">
        <v>44155</v>
      </c>
      <c r="G206" s="38">
        <v>1</v>
      </c>
      <c r="H206" s="40">
        <v>0</v>
      </c>
      <c r="I206" s="38">
        <v>4</v>
      </c>
      <c r="J206" s="41">
        <v>44155</v>
      </c>
      <c r="K206" s="38" t="s">
        <v>10768</v>
      </c>
      <c r="L206" s="42">
        <v>3500000</v>
      </c>
      <c r="O206" s="151" t="s">
        <v>4127</v>
      </c>
      <c r="P206" s="5" t="str">
        <f t="shared" si="6"/>
        <v>A1791</v>
      </c>
      <c r="Q206" s="5">
        <f t="shared" si="7"/>
        <v>1</v>
      </c>
      <c r="R206">
        <f>VLOOKUP(O206,'Data Angt'!$A$5:$F$5810,6,FALSE)</f>
        <v>49</v>
      </c>
      <c r="S206" s="5" t="str">
        <f>VLOOKUP(O206,'Data Angt'!$A$5:$H$5810,8,FALSE)</f>
        <v>Wiraswasta</v>
      </c>
      <c r="T206" s="44" t="str">
        <f>VLOOKUP(O206,'Data Angt'!$A$5:$C$5809,3,FALSE)</f>
        <v>MJK</v>
      </c>
    </row>
    <row r="207" spans="1:20" x14ac:dyDescent="0.3">
      <c r="A207" s="37">
        <v>156050</v>
      </c>
      <c r="B207" s="38">
        <v>201</v>
      </c>
      <c r="C207" s="39" t="s">
        <v>1102</v>
      </c>
      <c r="D207" s="10" t="str">
        <f>VLOOKUP(C207,'Data Angt'!$A$5:$B$5809,2,FALSE)</f>
        <v>A427</v>
      </c>
      <c r="E207" s="40" t="s">
        <v>18029</v>
      </c>
      <c r="F207" s="41">
        <v>45805</v>
      </c>
      <c r="G207" s="38">
        <v>1</v>
      </c>
      <c r="H207" s="40">
        <v>0</v>
      </c>
      <c r="I207" s="38">
        <v>4</v>
      </c>
      <c r="J207" s="41">
        <v>45805</v>
      </c>
      <c r="K207" s="38" t="s">
        <v>10768</v>
      </c>
      <c r="L207" s="42">
        <v>3000000</v>
      </c>
      <c r="O207" s="151" t="s">
        <v>4134</v>
      </c>
      <c r="P207" s="5" t="str">
        <f t="shared" si="6"/>
        <v>A1794</v>
      </c>
      <c r="Q207" s="5">
        <f t="shared" si="7"/>
        <v>1</v>
      </c>
      <c r="R207">
        <f>VLOOKUP(O207,'Data Angt'!$A$5:$F$5810,6,FALSE)</f>
        <v>45</v>
      </c>
      <c r="S207" s="5" t="str">
        <f>VLOOKUP(O207,'Data Angt'!$A$5:$H$5810,8,FALSE)</f>
        <v>Lain-Lain</v>
      </c>
      <c r="T207" s="44" t="str">
        <f>VLOOKUP(O207,'Data Angt'!$A$5:$C$5809,3,FALSE)</f>
        <v>PBL</v>
      </c>
    </row>
    <row r="208" spans="1:20" x14ac:dyDescent="0.3">
      <c r="A208" s="37">
        <v>126860</v>
      </c>
      <c r="B208" s="38">
        <v>202</v>
      </c>
      <c r="C208" s="39" t="s">
        <v>1102</v>
      </c>
      <c r="D208" s="10" t="str">
        <f>VLOOKUP(C208,'Data Angt'!$A$5:$B$5809,2,FALSE)</f>
        <v>A427</v>
      </c>
      <c r="E208" s="40" t="s">
        <v>11859</v>
      </c>
      <c r="F208" s="41">
        <v>44235</v>
      </c>
      <c r="G208" s="38">
        <v>1</v>
      </c>
      <c r="H208" s="40">
        <v>0</v>
      </c>
      <c r="I208" s="38">
        <v>4</v>
      </c>
      <c r="J208" s="41">
        <v>44235</v>
      </c>
      <c r="K208" s="38" t="s">
        <v>10768</v>
      </c>
      <c r="L208" s="42">
        <v>2000000</v>
      </c>
      <c r="O208" s="151" t="s">
        <v>4155</v>
      </c>
      <c r="P208" s="5" t="str">
        <f t="shared" si="6"/>
        <v>A1803</v>
      </c>
      <c r="Q208" s="5">
        <f t="shared" si="7"/>
        <v>5</v>
      </c>
      <c r="R208">
        <f>VLOOKUP(O208,'Data Angt'!$A$5:$F$5810,6,FALSE)</f>
        <v>68</v>
      </c>
      <c r="S208" s="5" t="str">
        <f>VLOOKUP(O208,'Data Angt'!$A$5:$H$5810,8,FALSE)</f>
        <v>Wiraswasta</v>
      </c>
      <c r="T208" s="44" t="str">
        <f>VLOOKUP(O208,'Data Angt'!$A$5:$C$5809,3,FALSE)</f>
        <v>PBL</v>
      </c>
    </row>
    <row r="209" spans="1:20" x14ac:dyDescent="0.3">
      <c r="A209" s="37">
        <v>127888</v>
      </c>
      <c r="B209" s="38">
        <v>203</v>
      </c>
      <c r="C209" s="39" t="s">
        <v>1102</v>
      </c>
      <c r="D209" s="10" t="str">
        <f>VLOOKUP(C209,'Data Angt'!$A$5:$B$5809,2,FALSE)</f>
        <v>A427</v>
      </c>
      <c r="E209" s="40" t="s">
        <v>11858</v>
      </c>
      <c r="F209" s="41">
        <v>44302</v>
      </c>
      <c r="G209" s="38">
        <v>1</v>
      </c>
      <c r="H209" s="40">
        <v>0</v>
      </c>
      <c r="I209" s="38">
        <v>4</v>
      </c>
      <c r="J209" s="41">
        <v>44302</v>
      </c>
      <c r="K209" s="38" t="s">
        <v>10768</v>
      </c>
      <c r="L209" s="42">
        <v>5000000</v>
      </c>
      <c r="O209" s="151" t="s">
        <v>4201</v>
      </c>
      <c r="P209" s="5" t="str">
        <f t="shared" si="6"/>
        <v>A1821</v>
      </c>
      <c r="Q209" s="5">
        <f t="shared" si="7"/>
        <v>1</v>
      </c>
      <c r="R209">
        <f>VLOOKUP(O209,'Data Angt'!$A$5:$F$5810,6,FALSE)</f>
        <v>53</v>
      </c>
      <c r="S209" s="5" t="str">
        <f>VLOOKUP(O209,'Data Angt'!$A$5:$H$5810,8,FALSE)</f>
        <v>Wiraswasta</v>
      </c>
      <c r="T209" s="44" t="str">
        <f>VLOOKUP(O209,'Data Angt'!$A$5:$C$5809,3,FALSE)</f>
        <v>PBL</v>
      </c>
    </row>
    <row r="210" spans="1:20" x14ac:dyDescent="0.3">
      <c r="A210" s="37">
        <v>127889</v>
      </c>
      <c r="B210" s="38">
        <v>204</v>
      </c>
      <c r="C210" s="39" t="s">
        <v>1102</v>
      </c>
      <c r="D210" s="10" t="str">
        <f>VLOOKUP(C210,'Data Angt'!$A$5:$B$5809,2,FALSE)</f>
        <v>A427</v>
      </c>
      <c r="E210" s="40" t="s">
        <v>11857</v>
      </c>
      <c r="F210" s="41">
        <v>44302</v>
      </c>
      <c r="G210" s="38">
        <v>1</v>
      </c>
      <c r="H210" s="40">
        <v>0</v>
      </c>
      <c r="I210" s="38">
        <v>4</v>
      </c>
      <c r="J210" s="41">
        <v>44302</v>
      </c>
      <c r="K210" s="38" t="s">
        <v>10768</v>
      </c>
      <c r="L210" s="42">
        <v>5000000</v>
      </c>
      <c r="O210" s="151" t="s">
        <v>4217</v>
      </c>
      <c r="P210" s="5" t="str">
        <f t="shared" si="6"/>
        <v>A1828</v>
      </c>
      <c r="Q210" s="5">
        <f t="shared" si="7"/>
        <v>1</v>
      </c>
      <c r="R210">
        <f>VLOOKUP(O210,'Data Angt'!$A$5:$F$5810,6,FALSE)</f>
        <v>76</v>
      </c>
      <c r="S210" s="5" t="str">
        <f>VLOOKUP(O210,'Data Angt'!$A$5:$H$5810,8,FALSE)</f>
        <v>Pensiunan</v>
      </c>
      <c r="T210" s="44" t="str">
        <f>VLOOKUP(O210,'Data Angt'!$A$5:$C$5809,3,FALSE)</f>
        <v>MGL</v>
      </c>
    </row>
    <row r="211" spans="1:20" x14ac:dyDescent="0.3">
      <c r="A211" s="37">
        <v>129359</v>
      </c>
      <c r="B211" s="38">
        <v>205</v>
      </c>
      <c r="C211" s="39" t="s">
        <v>1102</v>
      </c>
      <c r="D211" s="10" t="str">
        <f>VLOOKUP(C211,'Data Angt'!$A$5:$B$5809,2,FALSE)</f>
        <v>A427</v>
      </c>
      <c r="E211" s="40" t="s">
        <v>11856</v>
      </c>
      <c r="F211" s="41">
        <v>44417</v>
      </c>
      <c r="G211" s="38">
        <v>1</v>
      </c>
      <c r="H211" s="40">
        <v>0</v>
      </c>
      <c r="I211" s="38">
        <v>4</v>
      </c>
      <c r="J211" s="41">
        <v>44417</v>
      </c>
      <c r="K211" s="38" t="s">
        <v>10768</v>
      </c>
      <c r="L211" s="42">
        <v>1000000</v>
      </c>
      <c r="O211" s="151" t="s">
        <v>4231</v>
      </c>
      <c r="P211" s="5" t="str">
        <f t="shared" si="6"/>
        <v>A1834</v>
      </c>
      <c r="Q211" s="5">
        <f t="shared" si="7"/>
        <v>3</v>
      </c>
      <c r="R211">
        <f>VLOOKUP(O211,'Data Angt'!$A$5:$F$5810,6,FALSE)</f>
        <v>31</v>
      </c>
      <c r="S211" s="5" t="str">
        <f>VLOOKUP(O211,'Data Angt'!$A$5:$H$5810,8,FALSE)</f>
        <v>Tenaga Pengajar</v>
      </c>
      <c r="T211" s="44" t="str">
        <f>VLOOKUP(O211,'Data Angt'!$A$5:$C$5809,3,FALSE)</f>
        <v>PBL</v>
      </c>
    </row>
    <row r="212" spans="1:20" x14ac:dyDescent="0.3">
      <c r="A212" s="37">
        <v>115082</v>
      </c>
      <c r="B212" s="38">
        <v>206</v>
      </c>
      <c r="C212" s="39" t="s">
        <v>1102</v>
      </c>
      <c r="D212" s="10" t="str">
        <f>VLOOKUP(C212,'Data Angt'!$A$5:$B$5809,2,FALSE)</f>
        <v>A427</v>
      </c>
      <c r="E212" s="40" t="s">
        <v>11855</v>
      </c>
      <c r="F212" s="41">
        <v>43685</v>
      </c>
      <c r="G212" s="38">
        <v>1</v>
      </c>
      <c r="H212" s="40">
        <v>0</v>
      </c>
      <c r="I212" s="38">
        <v>4</v>
      </c>
      <c r="J212" s="41">
        <v>43685</v>
      </c>
      <c r="K212" s="38" t="s">
        <v>10768</v>
      </c>
      <c r="L212" s="42">
        <v>1000000</v>
      </c>
      <c r="O212" s="151" t="s">
        <v>4301</v>
      </c>
      <c r="P212" s="5" t="str">
        <f t="shared" si="6"/>
        <v>A1864</v>
      </c>
      <c r="Q212" s="5">
        <f t="shared" si="7"/>
        <v>2</v>
      </c>
      <c r="R212">
        <f>VLOOKUP(O212,'Data Angt'!$A$5:$F$5810,6,FALSE)</f>
        <v>55</v>
      </c>
      <c r="S212" s="5" t="str">
        <f>VLOOKUP(O212,'Data Angt'!$A$5:$H$5810,8,FALSE)</f>
        <v>Tenaga Ahli</v>
      </c>
      <c r="T212" s="44" t="str">
        <f>VLOOKUP(O212,'Data Angt'!$A$5:$C$5809,3,FALSE)</f>
        <v>PBL</v>
      </c>
    </row>
    <row r="213" spans="1:20" x14ac:dyDescent="0.3">
      <c r="A213" s="37">
        <v>130905</v>
      </c>
      <c r="B213" s="38">
        <v>207</v>
      </c>
      <c r="C213" s="39" t="s">
        <v>1102</v>
      </c>
      <c r="D213" s="10" t="str">
        <f>VLOOKUP(C213,'Data Angt'!$A$5:$B$5809,2,FALSE)</f>
        <v>A427</v>
      </c>
      <c r="E213" s="40" t="s">
        <v>11854</v>
      </c>
      <c r="F213" s="41">
        <v>44539</v>
      </c>
      <c r="G213" s="38">
        <v>1</v>
      </c>
      <c r="H213" s="40">
        <v>0</v>
      </c>
      <c r="I213" s="38">
        <v>4</v>
      </c>
      <c r="J213" s="41">
        <v>44539</v>
      </c>
      <c r="K213" s="38" t="s">
        <v>10768</v>
      </c>
      <c r="L213" s="42">
        <v>1000000</v>
      </c>
      <c r="O213" s="151" t="s">
        <v>4384</v>
      </c>
      <c r="P213" s="5" t="str">
        <f t="shared" si="6"/>
        <v>A1904</v>
      </c>
      <c r="Q213" s="5">
        <f t="shared" si="7"/>
        <v>1</v>
      </c>
      <c r="R213">
        <f>VLOOKUP(O213,'Data Angt'!$A$5:$F$5810,6,FALSE)</f>
        <v>75</v>
      </c>
      <c r="S213" s="5" t="str">
        <f>VLOOKUP(O213,'Data Angt'!$A$5:$H$5810,8,FALSE)</f>
        <v>Karyawan</v>
      </c>
      <c r="T213" s="44" t="str">
        <f>VLOOKUP(O213,'Data Angt'!$A$5:$C$5809,3,FALSE)</f>
        <v>JBR</v>
      </c>
    </row>
    <row r="214" spans="1:20" x14ac:dyDescent="0.3">
      <c r="A214" s="37">
        <v>133777</v>
      </c>
      <c r="B214" s="38">
        <v>208</v>
      </c>
      <c r="C214" s="39" t="s">
        <v>1102</v>
      </c>
      <c r="D214" s="10" t="str">
        <f>VLOOKUP(C214,'Data Angt'!$A$5:$B$5809,2,FALSE)</f>
        <v>A427</v>
      </c>
      <c r="E214" s="40" t="s">
        <v>11853</v>
      </c>
      <c r="F214" s="41">
        <v>44768</v>
      </c>
      <c r="G214" s="38">
        <v>1</v>
      </c>
      <c r="H214" s="40">
        <v>0</v>
      </c>
      <c r="I214" s="38">
        <v>4</v>
      </c>
      <c r="J214" s="41">
        <v>44768</v>
      </c>
      <c r="K214" s="38" t="s">
        <v>10768</v>
      </c>
      <c r="L214" s="42">
        <v>2000000</v>
      </c>
      <c r="O214" s="151" t="s">
        <v>4403</v>
      </c>
      <c r="P214" s="5" t="str">
        <f t="shared" si="6"/>
        <v>A1914</v>
      </c>
      <c r="Q214" s="5">
        <f t="shared" si="7"/>
        <v>7</v>
      </c>
      <c r="R214">
        <f>VLOOKUP(O214,'Data Angt'!$A$5:$F$5810,6,FALSE)</f>
        <v>43</v>
      </c>
      <c r="S214" s="5" t="str">
        <f>VLOOKUP(O214,'Data Angt'!$A$5:$H$5810,8,FALSE)</f>
        <v>Mengurus Rumah Tangga</v>
      </c>
      <c r="T214" s="44" t="str">
        <f>VLOOKUP(O214,'Data Angt'!$A$5:$C$5809,3,FALSE)</f>
        <v>PBL</v>
      </c>
    </row>
    <row r="215" spans="1:20" x14ac:dyDescent="0.3">
      <c r="A215" s="37">
        <v>142690</v>
      </c>
      <c r="B215" s="38">
        <v>209</v>
      </c>
      <c r="C215" s="39" t="s">
        <v>1104</v>
      </c>
      <c r="D215" s="10" t="str">
        <f>VLOOKUP(C215,'Data Angt'!$A$5:$B$5809,2,FALSE)</f>
        <v>A428</v>
      </c>
      <c r="E215" s="40" t="s">
        <v>18030</v>
      </c>
      <c r="F215" s="41">
        <v>45342</v>
      </c>
      <c r="G215" s="38">
        <v>1</v>
      </c>
      <c r="H215" s="40">
        <v>0</v>
      </c>
      <c r="I215" s="38">
        <v>4</v>
      </c>
      <c r="J215" s="41">
        <v>45342</v>
      </c>
      <c r="K215" s="38" t="s">
        <v>10768</v>
      </c>
      <c r="L215" s="42">
        <v>17000000</v>
      </c>
      <c r="O215" s="151" t="s">
        <v>4424</v>
      </c>
      <c r="P215" s="5" t="str">
        <f t="shared" si="6"/>
        <v>A1924</v>
      </c>
      <c r="Q215" s="5">
        <f t="shared" si="7"/>
        <v>1</v>
      </c>
      <c r="R215">
        <f>VLOOKUP(O215,'Data Angt'!$A$5:$F$5810,6,FALSE)</f>
        <v>47</v>
      </c>
      <c r="S215" s="5" t="str">
        <f>VLOOKUP(O215,'Data Angt'!$A$5:$H$5810,8,FALSE)</f>
        <v>Mengurus Rumah Tangga</v>
      </c>
      <c r="T215" s="44" t="str">
        <f>VLOOKUP(O215,'Data Angt'!$A$5:$C$5809,3,FALSE)</f>
        <v>KRK</v>
      </c>
    </row>
    <row r="216" spans="1:20" x14ac:dyDescent="0.3">
      <c r="A216" s="37">
        <v>142694</v>
      </c>
      <c r="B216" s="38">
        <v>210</v>
      </c>
      <c r="C216" s="39" t="s">
        <v>1104</v>
      </c>
      <c r="D216" s="10" t="str">
        <f>VLOOKUP(C216,'Data Angt'!$A$5:$B$5809,2,FALSE)</f>
        <v>A428</v>
      </c>
      <c r="E216" s="40" t="s">
        <v>18031</v>
      </c>
      <c r="F216" s="41">
        <v>45342</v>
      </c>
      <c r="G216" s="38">
        <v>1</v>
      </c>
      <c r="H216" s="40">
        <v>0</v>
      </c>
      <c r="I216" s="38">
        <v>4</v>
      </c>
      <c r="J216" s="41">
        <v>45342</v>
      </c>
      <c r="K216" s="38" t="s">
        <v>10768</v>
      </c>
      <c r="L216" s="42">
        <v>10000000</v>
      </c>
      <c r="O216" s="151" t="s">
        <v>4429</v>
      </c>
      <c r="P216" s="5" t="str">
        <f t="shared" si="6"/>
        <v>A1927</v>
      </c>
      <c r="Q216" s="5">
        <f t="shared" si="7"/>
        <v>4</v>
      </c>
      <c r="R216">
        <f>VLOOKUP(O216,'Data Angt'!$A$5:$F$5810,6,FALSE)</f>
        <v>68</v>
      </c>
      <c r="S216" s="5" t="str">
        <f>VLOOKUP(O216,'Data Angt'!$A$5:$H$5810,8,FALSE)</f>
        <v>Mengurus Rumah Tangga</v>
      </c>
      <c r="T216" s="44" t="str">
        <f>VLOOKUP(O216,'Data Angt'!$A$5:$C$5809,3,FALSE)</f>
        <v>BWI</v>
      </c>
    </row>
    <row r="217" spans="1:20" x14ac:dyDescent="0.3">
      <c r="A217" s="37">
        <v>122979</v>
      </c>
      <c r="B217" s="38">
        <v>211</v>
      </c>
      <c r="C217" s="39" t="s">
        <v>1116</v>
      </c>
      <c r="D217" s="10" t="str">
        <f>VLOOKUP(C217,'Data Angt'!$A$5:$B$5809,2,FALSE)</f>
        <v>A434</v>
      </c>
      <c r="E217" s="40" t="s">
        <v>11852</v>
      </c>
      <c r="F217" s="41">
        <v>43951</v>
      </c>
      <c r="G217" s="38">
        <v>1</v>
      </c>
      <c r="H217" s="40">
        <v>0</v>
      </c>
      <c r="I217" s="38">
        <v>4</v>
      </c>
      <c r="J217" s="41">
        <v>43951</v>
      </c>
      <c r="K217" s="38" t="s">
        <v>10768</v>
      </c>
      <c r="L217" s="42">
        <v>20000000</v>
      </c>
      <c r="O217" s="151" t="s">
        <v>4431</v>
      </c>
      <c r="P217" s="5" t="str">
        <f t="shared" si="6"/>
        <v>A1928</v>
      </c>
      <c r="Q217" s="5">
        <f t="shared" si="7"/>
        <v>1</v>
      </c>
      <c r="R217">
        <f>VLOOKUP(O217,'Data Angt'!$A$5:$F$5810,6,FALSE)</f>
        <v>68</v>
      </c>
      <c r="S217" s="5" t="str">
        <f>VLOOKUP(O217,'Data Angt'!$A$5:$H$5810,8,FALSE)</f>
        <v>Pensiunan</v>
      </c>
      <c r="T217" s="44" t="str">
        <f>VLOOKUP(O217,'Data Angt'!$A$5:$C$5809,3,FALSE)</f>
        <v>BWI</v>
      </c>
    </row>
    <row r="218" spans="1:20" x14ac:dyDescent="0.3">
      <c r="A218" s="37">
        <v>140742</v>
      </c>
      <c r="B218" s="38">
        <v>212</v>
      </c>
      <c r="C218" s="39" t="s">
        <v>1116</v>
      </c>
      <c r="D218" s="10" t="str">
        <f>VLOOKUP(C218,'Data Angt'!$A$5:$B$5809,2,FALSE)</f>
        <v>A434</v>
      </c>
      <c r="E218" s="40" t="s">
        <v>11851</v>
      </c>
      <c r="F218" s="41">
        <v>45264</v>
      </c>
      <c r="G218" s="38">
        <v>1</v>
      </c>
      <c r="H218" s="40">
        <v>0</v>
      </c>
      <c r="I218" s="38">
        <v>4</v>
      </c>
      <c r="J218" s="41">
        <v>45264</v>
      </c>
      <c r="K218" s="38" t="s">
        <v>10768</v>
      </c>
      <c r="L218" s="42">
        <v>10000000</v>
      </c>
      <c r="O218" s="151" t="s">
        <v>4463</v>
      </c>
      <c r="P218" s="5" t="str">
        <f t="shared" si="6"/>
        <v>A1943</v>
      </c>
      <c r="Q218" s="5">
        <f t="shared" si="7"/>
        <v>3</v>
      </c>
      <c r="R218">
        <f>VLOOKUP(O218,'Data Angt'!$A$5:$F$5810,6,FALSE)</f>
        <v>53</v>
      </c>
      <c r="S218" s="5" t="str">
        <f>VLOOKUP(O218,'Data Angt'!$A$5:$H$5810,8,FALSE)</f>
        <v>Wiraswasta</v>
      </c>
      <c r="T218" s="44" t="str">
        <f>VLOOKUP(O218,'Data Angt'!$A$5:$C$5809,3,FALSE)</f>
        <v>KRK</v>
      </c>
    </row>
    <row r="219" spans="1:20" x14ac:dyDescent="0.3">
      <c r="A219" s="37">
        <v>147599</v>
      </c>
      <c r="B219" s="38">
        <v>213</v>
      </c>
      <c r="C219" s="39" t="s">
        <v>1116</v>
      </c>
      <c r="D219" s="10" t="str">
        <f>VLOOKUP(C219,'Data Angt'!$A$5:$B$5809,2,FALSE)</f>
        <v>A434</v>
      </c>
      <c r="E219" s="40" t="s">
        <v>18032</v>
      </c>
      <c r="F219" s="41">
        <v>45496</v>
      </c>
      <c r="G219" s="38">
        <v>1</v>
      </c>
      <c r="H219" s="40">
        <v>0</v>
      </c>
      <c r="I219" s="38">
        <v>4</v>
      </c>
      <c r="J219" s="41">
        <v>45496</v>
      </c>
      <c r="K219" s="38" t="s">
        <v>10768</v>
      </c>
      <c r="L219" s="42">
        <v>10000000</v>
      </c>
      <c r="O219" s="151" t="s">
        <v>4483</v>
      </c>
      <c r="P219" s="5" t="str">
        <f t="shared" si="6"/>
        <v>A1951</v>
      </c>
      <c r="Q219" s="5">
        <f t="shared" si="7"/>
        <v>1</v>
      </c>
      <c r="R219">
        <f>VLOOKUP(O219,'Data Angt'!$A$5:$F$5810,6,FALSE)</f>
        <v>34</v>
      </c>
      <c r="S219" s="5" t="str">
        <f>VLOOKUP(O219,'Data Angt'!$A$5:$H$5810,8,FALSE)</f>
        <v>Lain-Lain</v>
      </c>
      <c r="T219" s="44" t="str">
        <f>VLOOKUP(O219,'Data Angt'!$A$5:$C$5809,3,FALSE)</f>
        <v>PBL</v>
      </c>
    </row>
    <row r="220" spans="1:20" x14ac:dyDescent="0.3">
      <c r="A220" s="37">
        <v>150223</v>
      </c>
      <c r="B220" s="38">
        <v>214</v>
      </c>
      <c r="C220" s="39" t="s">
        <v>1116</v>
      </c>
      <c r="D220" s="10" t="str">
        <f>VLOOKUP(C220,'Data Angt'!$A$5:$B$5809,2,FALSE)</f>
        <v>A434</v>
      </c>
      <c r="E220" s="40" t="s">
        <v>18033</v>
      </c>
      <c r="F220" s="41">
        <v>45601</v>
      </c>
      <c r="G220" s="38">
        <v>1</v>
      </c>
      <c r="H220" s="40">
        <v>0</v>
      </c>
      <c r="I220" s="38">
        <v>4</v>
      </c>
      <c r="J220" s="41">
        <v>45601</v>
      </c>
      <c r="K220" s="38" t="s">
        <v>10768</v>
      </c>
      <c r="L220" s="42">
        <v>30000000</v>
      </c>
      <c r="O220" s="151" t="s">
        <v>4500</v>
      </c>
      <c r="P220" s="5" t="str">
        <f t="shared" si="6"/>
        <v>A1961</v>
      </c>
      <c r="Q220" s="5">
        <f t="shared" si="7"/>
        <v>1</v>
      </c>
      <c r="R220">
        <f>VLOOKUP(O220,'Data Angt'!$A$5:$F$5810,6,FALSE)</f>
        <v>66</v>
      </c>
      <c r="S220" s="5" t="str">
        <f>VLOOKUP(O220,'Data Angt'!$A$5:$H$5810,8,FALSE)</f>
        <v>Mengurus Rumah Tangga</v>
      </c>
      <c r="T220" s="44" t="str">
        <f>VLOOKUP(O220,'Data Angt'!$A$5:$C$5809,3,FALSE)</f>
        <v>JBR</v>
      </c>
    </row>
    <row r="221" spans="1:20" x14ac:dyDescent="0.3">
      <c r="A221" s="37">
        <v>152392</v>
      </c>
      <c r="B221" s="38">
        <v>215</v>
      </c>
      <c r="C221" s="39" t="s">
        <v>1116</v>
      </c>
      <c r="D221" s="10" t="str">
        <f>VLOOKUP(C221,'Data Angt'!$A$5:$B$5809,2,FALSE)</f>
        <v>A434</v>
      </c>
      <c r="E221" s="40" t="s">
        <v>18034</v>
      </c>
      <c r="F221" s="41">
        <v>45679</v>
      </c>
      <c r="G221" s="38">
        <v>1</v>
      </c>
      <c r="H221" s="40">
        <v>0</v>
      </c>
      <c r="I221" s="38">
        <v>4</v>
      </c>
      <c r="J221" s="41">
        <v>45679</v>
      </c>
      <c r="K221" s="38" t="s">
        <v>10768</v>
      </c>
      <c r="L221" s="42">
        <v>5000000</v>
      </c>
      <c r="O221" s="151" t="s">
        <v>4531</v>
      </c>
      <c r="P221" s="5" t="str">
        <f t="shared" si="6"/>
        <v>A1973</v>
      </c>
      <c r="Q221" s="5">
        <f t="shared" si="7"/>
        <v>2</v>
      </c>
      <c r="R221">
        <f>VLOOKUP(O221,'Data Angt'!$A$5:$F$5810,6,FALSE)</f>
        <v>73</v>
      </c>
      <c r="S221" s="5" t="str">
        <f>VLOOKUP(O221,'Data Angt'!$A$5:$H$5810,8,FALSE)</f>
        <v>Pensiunan</v>
      </c>
      <c r="T221" s="44" t="str">
        <f>VLOOKUP(O221,'Data Angt'!$A$5:$C$5809,3,FALSE)</f>
        <v>BWI</v>
      </c>
    </row>
    <row r="222" spans="1:20" x14ac:dyDescent="0.3">
      <c r="A222" s="37">
        <v>155339</v>
      </c>
      <c r="B222" s="38">
        <v>216</v>
      </c>
      <c r="C222" s="39" t="s">
        <v>1123</v>
      </c>
      <c r="D222" s="10" t="str">
        <f>VLOOKUP(C222,'Data Angt'!$A$5:$B$5809,2,FALSE)</f>
        <v>A438</v>
      </c>
      <c r="E222" s="40" t="s">
        <v>18035</v>
      </c>
      <c r="F222" s="41">
        <v>45777</v>
      </c>
      <c r="G222" s="38">
        <v>1</v>
      </c>
      <c r="H222" s="40">
        <v>0</v>
      </c>
      <c r="I222" s="38">
        <v>4</v>
      </c>
      <c r="J222" s="41">
        <v>45777</v>
      </c>
      <c r="K222" s="38" t="s">
        <v>10768</v>
      </c>
      <c r="L222" s="42">
        <v>50000000</v>
      </c>
      <c r="O222" s="151" t="s">
        <v>4533</v>
      </c>
      <c r="P222" s="5" t="str">
        <f t="shared" si="6"/>
        <v>A1974</v>
      </c>
      <c r="Q222" s="5">
        <f t="shared" si="7"/>
        <v>2</v>
      </c>
      <c r="R222">
        <f>VLOOKUP(O222,'Data Angt'!$A$5:$F$5810,6,FALSE)</f>
        <v>51</v>
      </c>
      <c r="S222" s="5" t="str">
        <f>VLOOKUP(O222,'Data Angt'!$A$5:$H$5810,8,FALSE)</f>
        <v>Mengurus Rumah Tangga</v>
      </c>
      <c r="T222" s="44" t="str">
        <f>VLOOKUP(O222,'Data Angt'!$A$5:$C$5809,3,FALSE)</f>
        <v>PBL</v>
      </c>
    </row>
    <row r="223" spans="1:20" x14ac:dyDescent="0.3">
      <c r="A223" s="37">
        <v>135656</v>
      </c>
      <c r="B223" s="38">
        <v>217</v>
      </c>
      <c r="C223" s="39" t="s">
        <v>1126</v>
      </c>
      <c r="D223" s="10" t="str">
        <f>VLOOKUP(C223,'Data Angt'!$A$5:$B$5809,2,FALSE)</f>
        <v>A439</v>
      </c>
      <c r="E223" s="40" t="s">
        <v>11850</v>
      </c>
      <c r="F223" s="41">
        <v>44907</v>
      </c>
      <c r="G223" s="38">
        <v>1</v>
      </c>
      <c r="H223" s="40">
        <v>0</v>
      </c>
      <c r="I223" s="38">
        <v>4</v>
      </c>
      <c r="J223" s="41">
        <v>44907</v>
      </c>
      <c r="K223" s="38" t="s">
        <v>10768</v>
      </c>
      <c r="L223" s="42">
        <v>5000000</v>
      </c>
      <c r="O223" s="151" t="s">
        <v>4562</v>
      </c>
      <c r="P223" s="5" t="str">
        <f t="shared" si="6"/>
        <v>A1987</v>
      </c>
      <c r="Q223" s="5">
        <f t="shared" si="7"/>
        <v>1</v>
      </c>
      <c r="R223">
        <f>VLOOKUP(O223,'Data Angt'!$A$5:$F$5810,6,FALSE)</f>
        <v>54</v>
      </c>
      <c r="S223" s="5" t="str">
        <f>VLOOKUP(O223,'Data Angt'!$A$5:$H$5810,8,FALSE)</f>
        <v>Karyawan</v>
      </c>
      <c r="T223" s="44" t="str">
        <f>VLOOKUP(O223,'Data Angt'!$A$5:$C$5809,3,FALSE)</f>
        <v>MJK</v>
      </c>
    </row>
    <row r="224" spans="1:20" x14ac:dyDescent="0.3">
      <c r="A224" s="37">
        <v>136332</v>
      </c>
      <c r="B224" s="38">
        <v>218</v>
      </c>
      <c r="C224" s="39" t="s">
        <v>1126</v>
      </c>
      <c r="D224" s="10" t="str">
        <f>VLOOKUP(C224,'Data Angt'!$A$5:$B$5809,2,FALSE)</f>
        <v>A439</v>
      </c>
      <c r="E224" s="40" t="s">
        <v>11849</v>
      </c>
      <c r="F224" s="41">
        <v>44965</v>
      </c>
      <c r="G224" s="38">
        <v>1</v>
      </c>
      <c r="H224" s="40">
        <v>0</v>
      </c>
      <c r="I224" s="38">
        <v>4</v>
      </c>
      <c r="J224" s="41">
        <v>44965</v>
      </c>
      <c r="K224" s="38" t="s">
        <v>10768</v>
      </c>
      <c r="L224" s="42">
        <v>5000000</v>
      </c>
      <c r="O224" s="151" t="s">
        <v>4611</v>
      </c>
      <c r="P224" s="5" t="str">
        <f t="shared" si="6"/>
        <v>A2014</v>
      </c>
      <c r="Q224" s="5">
        <f t="shared" si="7"/>
        <v>2</v>
      </c>
      <c r="R224">
        <f>VLOOKUP(O224,'Data Angt'!$A$5:$F$5810,6,FALSE)</f>
        <v>57</v>
      </c>
      <c r="S224" s="5" t="str">
        <f>VLOOKUP(O224,'Data Angt'!$A$5:$H$5810,8,FALSE)</f>
        <v>Wiraswasta</v>
      </c>
      <c r="T224" s="44" t="str">
        <f>VLOOKUP(O224,'Data Angt'!$A$5:$C$5809,3,FALSE)</f>
        <v>PBL</v>
      </c>
    </row>
    <row r="225" spans="1:20" x14ac:dyDescent="0.3">
      <c r="A225" s="37">
        <v>138309</v>
      </c>
      <c r="B225" s="38">
        <v>219</v>
      </c>
      <c r="C225" s="39" t="s">
        <v>1126</v>
      </c>
      <c r="D225" s="10" t="str">
        <f>VLOOKUP(C225,'Data Angt'!$A$5:$B$5809,2,FALSE)</f>
        <v>A439</v>
      </c>
      <c r="E225" s="40" t="s">
        <v>11848</v>
      </c>
      <c r="F225" s="41">
        <v>45132</v>
      </c>
      <c r="G225" s="38">
        <v>1</v>
      </c>
      <c r="H225" s="40">
        <v>0</v>
      </c>
      <c r="I225" s="38">
        <v>4</v>
      </c>
      <c r="J225" s="41">
        <v>45132</v>
      </c>
      <c r="K225" s="38" t="s">
        <v>10768</v>
      </c>
      <c r="L225" s="42">
        <v>10000000</v>
      </c>
      <c r="O225" s="151" t="s">
        <v>4622</v>
      </c>
      <c r="P225" s="5" t="str">
        <f t="shared" si="6"/>
        <v>A2018</v>
      </c>
      <c r="Q225" s="5">
        <f t="shared" si="7"/>
        <v>2</v>
      </c>
      <c r="R225">
        <f>VLOOKUP(O225,'Data Angt'!$A$5:$F$5810,6,FALSE)</f>
        <v>53</v>
      </c>
      <c r="S225" s="5" t="str">
        <f>VLOOKUP(O225,'Data Angt'!$A$5:$H$5810,8,FALSE)</f>
        <v>Wiraswasta</v>
      </c>
      <c r="T225" s="44" t="str">
        <f>VLOOKUP(O225,'Data Angt'!$A$5:$C$5809,3,FALSE)</f>
        <v>PBL</v>
      </c>
    </row>
    <row r="226" spans="1:20" x14ac:dyDescent="0.3">
      <c r="A226" s="37">
        <v>138629</v>
      </c>
      <c r="B226" s="38">
        <v>220</v>
      </c>
      <c r="C226" s="39" t="s">
        <v>1126</v>
      </c>
      <c r="D226" s="10" t="str">
        <f>VLOOKUP(C226,'Data Angt'!$A$5:$B$5809,2,FALSE)</f>
        <v>A439</v>
      </c>
      <c r="E226" s="40" t="s">
        <v>11847</v>
      </c>
      <c r="F226" s="41">
        <v>45147</v>
      </c>
      <c r="G226" s="38">
        <v>1</v>
      </c>
      <c r="H226" s="40">
        <v>0</v>
      </c>
      <c r="I226" s="38">
        <v>4</v>
      </c>
      <c r="J226" s="41">
        <v>45147</v>
      </c>
      <c r="K226" s="38" t="s">
        <v>10768</v>
      </c>
      <c r="L226" s="42">
        <v>10000000</v>
      </c>
      <c r="O226" s="151" t="s">
        <v>4689</v>
      </c>
      <c r="P226" s="5" t="str">
        <f t="shared" si="6"/>
        <v>A2049</v>
      </c>
      <c r="Q226" s="5">
        <f t="shared" si="7"/>
        <v>1</v>
      </c>
      <c r="R226">
        <f>VLOOKUP(O226,'Data Angt'!$A$5:$F$5810,6,FALSE)</f>
        <v>45</v>
      </c>
      <c r="S226" s="5" t="str">
        <f>VLOOKUP(O226,'Data Angt'!$A$5:$H$5810,8,FALSE)</f>
        <v>Wiraswasta</v>
      </c>
      <c r="T226" s="44" t="str">
        <f>VLOOKUP(O226,'Data Angt'!$A$5:$C$5809,3,FALSE)</f>
        <v>PBL</v>
      </c>
    </row>
    <row r="227" spans="1:20" x14ac:dyDescent="0.3">
      <c r="A227" s="37">
        <v>141300</v>
      </c>
      <c r="B227" s="38">
        <v>221</v>
      </c>
      <c r="C227" s="39" t="s">
        <v>1126</v>
      </c>
      <c r="D227" s="10" t="str">
        <f>VLOOKUP(C227,'Data Angt'!$A$5:$B$5809,2,FALSE)</f>
        <v>A439</v>
      </c>
      <c r="E227" s="40" t="s">
        <v>11846</v>
      </c>
      <c r="F227" s="41">
        <v>45289</v>
      </c>
      <c r="G227" s="38">
        <v>1</v>
      </c>
      <c r="H227" s="40">
        <v>0</v>
      </c>
      <c r="I227" s="38">
        <v>4</v>
      </c>
      <c r="J227" s="41">
        <v>45289</v>
      </c>
      <c r="K227" s="38" t="s">
        <v>10768</v>
      </c>
      <c r="L227" s="42">
        <v>5000000</v>
      </c>
      <c r="O227" s="151" t="s">
        <v>4713</v>
      </c>
      <c r="P227" s="5" t="str">
        <f t="shared" si="6"/>
        <v>A2059</v>
      </c>
      <c r="Q227" s="5">
        <f t="shared" si="7"/>
        <v>3</v>
      </c>
      <c r="R227">
        <f>VLOOKUP(O227,'Data Angt'!$A$5:$F$5810,6,FALSE)</f>
        <v>64</v>
      </c>
      <c r="S227" s="5" t="str">
        <f>VLOOKUP(O227,'Data Angt'!$A$5:$H$5810,8,FALSE)</f>
        <v>Wiraswasta</v>
      </c>
      <c r="T227" s="44" t="str">
        <f>VLOOKUP(O227,'Data Angt'!$A$5:$C$5809,3,FALSE)</f>
        <v>MGL</v>
      </c>
    </row>
    <row r="228" spans="1:20" x14ac:dyDescent="0.3">
      <c r="A228" s="37">
        <v>151756</v>
      </c>
      <c r="B228" s="38">
        <v>222</v>
      </c>
      <c r="C228" s="39" t="s">
        <v>1126</v>
      </c>
      <c r="D228" s="10" t="str">
        <f>VLOOKUP(C228,'Data Angt'!$A$5:$B$5809,2,FALSE)</f>
        <v>A439</v>
      </c>
      <c r="E228" s="40" t="s">
        <v>18036</v>
      </c>
      <c r="F228" s="41">
        <v>45656</v>
      </c>
      <c r="G228" s="38">
        <v>1</v>
      </c>
      <c r="H228" s="40">
        <v>0</v>
      </c>
      <c r="I228" s="38">
        <v>4</v>
      </c>
      <c r="J228" s="41">
        <v>45656</v>
      </c>
      <c r="K228" s="38" t="s">
        <v>10768</v>
      </c>
      <c r="L228" s="42">
        <v>5000000</v>
      </c>
      <c r="O228" s="151" t="s">
        <v>4778</v>
      </c>
      <c r="P228" s="5" t="str">
        <f t="shared" si="6"/>
        <v>A2089</v>
      </c>
      <c r="Q228" s="5">
        <f t="shared" si="7"/>
        <v>6</v>
      </c>
      <c r="R228">
        <f>VLOOKUP(O228,'Data Angt'!$A$5:$F$5810,6,FALSE)</f>
        <v>33</v>
      </c>
      <c r="S228" s="5" t="str">
        <f>VLOOKUP(O228,'Data Angt'!$A$5:$H$5810,8,FALSE)</f>
        <v>Karyawan</v>
      </c>
      <c r="T228" s="44" t="str">
        <f>VLOOKUP(O228,'Data Angt'!$A$5:$C$5809,3,FALSE)</f>
        <v>PBL</v>
      </c>
    </row>
    <row r="229" spans="1:20" x14ac:dyDescent="0.3">
      <c r="A229" s="37">
        <v>157675</v>
      </c>
      <c r="B229" s="38">
        <v>223</v>
      </c>
      <c r="C229" s="39" t="s">
        <v>1157</v>
      </c>
      <c r="D229" s="10" t="str">
        <f>VLOOKUP(C229,'Data Angt'!$A$5:$B$5809,2,FALSE)</f>
        <v>A452</v>
      </c>
      <c r="E229" s="40" t="s">
        <v>23998</v>
      </c>
      <c r="F229" s="41">
        <v>45878</v>
      </c>
      <c r="G229" s="38">
        <v>1</v>
      </c>
      <c r="H229" s="40">
        <v>0</v>
      </c>
      <c r="I229" s="38">
        <v>4</v>
      </c>
      <c r="J229" s="41">
        <v>45878</v>
      </c>
      <c r="K229" s="38" t="s">
        <v>10768</v>
      </c>
      <c r="L229" s="42">
        <v>5000000</v>
      </c>
      <c r="O229" s="151" t="s">
        <v>4789</v>
      </c>
      <c r="P229" s="5" t="str">
        <f t="shared" si="6"/>
        <v>A2095</v>
      </c>
      <c r="Q229" s="5">
        <f t="shared" si="7"/>
        <v>1</v>
      </c>
      <c r="R229">
        <f>VLOOKUP(O229,'Data Angt'!$A$5:$F$5810,6,FALSE)</f>
        <v>69</v>
      </c>
      <c r="S229" s="5" t="str">
        <f>VLOOKUP(O229,'Data Angt'!$A$5:$H$5810,8,FALSE)</f>
        <v>Pensiunan</v>
      </c>
      <c r="T229" s="44" t="str">
        <f>VLOOKUP(O229,'Data Angt'!$A$5:$C$5809,3,FALSE)</f>
        <v>JBR</v>
      </c>
    </row>
    <row r="230" spans="1:20" x14ac:dyDescent="0.3">
      <c r="A230" s="37">
        <v>125039</v>
      </c>
      <c r="B230" s="38">
        <v>224</v>
      </c>
      <c r="C230" s="39" t="s">
        <v>1184</v>
      </c>
      <c r="D230" s="10" t="str">
        <f>VLOOKUP(C230,'Data Angt'!$A$5:$B$5809,2,FALSE)</f>
        <v>A463</v>
      </c>
      <c r="E230" s="40" t="s">
        <v>11840</v>
      </c>
      <c r="F230" s="41">
        <v>44089</v>
      </c>
      <c r="G230" s="38">
        <v>1</v>
      </c>
      <c r="H230" s="40">
        <v>0</v>
      </c>
      <c r="I230" s="38">
        <v>4</v>
      </c>
      <c r="J230" s="41">
        <v>44089</v>
      </c>
      <c r="K230" s="38" t="s">
        <v>10768</v>
      </c>
      <c r="L230" s="42">
        <v>100000000</v>
      </c>
      <c r="O230" s="151" t="s">
        <v>4797</v>
      </c>
      <c r="P230" s="5" t="str">
        <f t="shared" si="6"/>
        <v>A2099</v>
      </c>
      <c r="Q230" s="5">
        <f t="shared" si="7"/>
        <v>1</v>
      </c>
      <c r="R230">
        <f>VLOOKUP(O230,'Data Angt'!$A$5:$F$5810,6,FALSE)</f>
        <v>75</v>
      </c>
      <c r="S230" s="5" t="str">
        <f>VLOOKUP(O230,'Data Angt'!$A$5:$H$5810,8,FALSE)</f>
        <v>Pensiunan</v>
      </c>
      <c r="T230" s="44" t="str">
        <f>VLOOKUP(O230,'Data Angt'!$A$5:$C$5809,3,FALSE)</f>
        <v>MJK</v>
      </c>
    </row>
    <row r="231" spans="1:20" x14ac:dyDescent="0.3">
      <c r="A231" s="37">
        <v>125112</v>
      </c>
      <c r="B231" s="38">
        <v>225</v>
      </c>
      <c r="C231" s="39" t="s">
        <v>1184</v>
      </c>
      <c r="D231" s="10" t="str">
        <f>VLOOKUP(C231,'Data Angt'!$A$5:$B$5809,2,FALSE)</f>
        <v>A463</v>
      </c>
      <c r="E231" s="40" t="s">
        <v>11845</v>
      </c>
      <c r="F231" s="41">
        <v>44095</v>
      </c>
      <c r="G231" s="38">
        <v>1</v>
      </c>
      <c r="H231" s="40">
        <v>0</v>
      </c>
      <c r="I231" s="38">
        <v>4</v>
      </c>
      <c r="J231" s="41">
        <v>44095</v>
      </c>
      <c r="K231" s="38" t="s">
        <v>10768</v>
      </c>
      <c r="L231" s="42">
        <v>100000000</v>
      </c>
      <c r="O231" s="151" t="s">
        <v>4805</v>
      </c>
      <c r="P231" s="5" t="str">
        <f t="shared" si="6"/>
        <v>A2102</v>
      </c>
      <c r="Q231" s="5">
        <f t="shared" si="7"/>
        <v>1</v>
      </c>
      <c r="R231">
        <f>VLOOKUP(O231,'Data Angt'!$A$5:$F$5810,6,FALSE)</f>
        <v>30</v>
      </c>
      <c r="S231" s="5" t="str">
        <f>VLOOKUP(O231,'Data Angt'!$A$5:$H$5810,8,FALSE)</f>
        <v>Karyawan</v>
      </c>
      <c r="T231" s="44" t="str">
        <f>VLOOKUP(O231,'Data Angt'!$A$5:$C$5809,3,FALSE)</f>
        <v>JBR</v>
      </c>
    </row>
    <row r="232" spans="1:20" x14ac:dyDescent="0.3">
      <c r="A232" s="37">
        <v>78573</v>
      </c>
      <c r="B232" s="38">
        <v>226</v>
      </c>
      <c r="C232" s="39" t="s">
        <v>1184</v>
      </c>
      <c r="D232" s="10" t="str">
        <f>VLOOKUP(C232,'Data Angt'!$A$5:$B$5809,2,FALSE)</f>
        <v>A463</v>
      </c>
      <c r="E232" s="40" t="s">
        <v>11844</v>
      </c>
      <c r="F232" s="41">
        <v>40575</v>
      </c>
      <c r="G232" s="38">
        <v>1</v>
      </c>
      <c r="H232" s="40">
        <v>0</v>
      </c>
      <c r="I232" s="38">
        <v>4</v>
      </c>
      <c r="J232" s="41">
        <v>40545</v>
      </c>
      <c r="K232" s="38" t="s">
        <v>10768</v>
      </c>
      <c r="L232" s="42">
        <v>230000000</v>
      </c>
      <c r="O232" s="151" t="s">
        <v>4824</v>
      </c>
      <c r="P232" s="5" t="str">
        <f t="shared" si="6"/>
        <v>A2111</v>
      </c>
      <c r="Q232" s="5">
        <f t="shared" si="7"/>
        <v>1</v>
      </c>
      <c r="R232">
        <f>VLOOKUP(O232,'Data Angt'!$A$5:$F$5810,6,FALSE)</f>
        <v>31</v>
      </c>
      <c r="S232" s="5" t="str">
        <f>VLOOKUP(O232,'Data Angt'!$A$5:$H$5810,8,FALSE)</f>
        <v>Lain-Lain</v>
      </c>
      <c r="T232" s="44" t="str">
        <f>VLOOKUP(O232,'Data Angt'!$A$5:$C$5809,3,FALSE)</f>
        <v>PBL</v>
      </c>
    </row>
    <row r="233" spans="1:20" x14ac:dyDescent="0.3">
      <c r="A233" s="37">
        <v>78575</v>
      </c>
      <c r="B233" s="38">
        <v>227</v>
      </c>
      <c r="C233" s="39" t="s">
        <v>1184</v>
      </c>
      <c r="D233" s="10" t="str">
        <f>VLOOKUP(C233,'Data Angt'!$A$5:$B$5809,2,FALSE)</f>
        <v>A463</v>
      </c>
      <c r="E233" s="40" t="s">
        <v>11843</v>
      </c>
      <c r="F233" s="41">
        <v>40490</v>
      </c>
      <c r="G233" s="38">
        <v>1</v>
      </c>
      <c r="H233" s="40">
        <v>0</v>
      </c>
      <c r="I233" s="38">
        <v>4</v>
      </c>
      <c r="J233" s="41">
        <v>44750</v>
      </c>
      <c r="K233" s="38" t="s">
        <v>10768</v>
      </c>
      <c r="L233" s="42">
        <v>415000000</v>
      </c>
      <c r="O233" s="151" t="s">
        <v>4827</v>
      </c>
      <c r="P233" s="5" t="str">
        <f t="shared" si="6"/>
        <v>A2112</v>
      </c>
      <c r="Q233" s="5">
        <f t="shared" si="7"/>
        <v>1</v>
      </c>
      <c r="R233">
        <f>VLOOKUP(O233,'Data Angt'!$A$5:$F$5810,6,FALSE)</f>
        <v>46</v>
      </c>
      <c r="S233" s="5" t="str">
        <f>VLOOKUP(O233,'Data Angt'!$A$5:$H$5810,8,FALSE)</f>
        <v>Mengurus Rumah Tangga</v>
      </c>
      <c r="T233" s="44" t="str">
        <f>VLOOKUP(O233,'Data Angt'!$A$5:$C$5809,3,FALSE)</f>
        <v>PBL</v>
      </c>
    </row>
    <row r="234" spans="1:20" x14ac:dyDescent="0.3">
      <c r="A234" s="37">
        <v>78576</v>
      </c>
      <c r="B234" s="38">
        <v>228</v>
      </c>
      <c r="C234" s="39" t="s">
        <v>1184</v>
      </c>
      <c r="D234" s="10" t="str">
        <f>VLOOKUP(C234,'Data Angt'!$A$5:$B$5809,2,FALSE)</f>
        <v>A463</v>
      </c>
      <c r="E234" s="40" t="s">
        <v>11842</v>
      </c>
      <c r="F234" s="41">
        <v>40649</v>
      </c>
      <c r="G234" s="38">
        <v>1</v>
      </c>
      <c r="H234" s="40">
        <v>0</v>
      </c>
      <c r="I234" s="38">
        <v>4</v>
      </c>
      <c r="J234" s="41">
        <v>40649</v>
      </c>
      <c r="K234" s="38" t="s">
        <v>10768</v>
      </c>
      <c r="L234" s="42">
        <v>260000000</v>
      </c>
      <c r="O234" s="151" t="s">
        <v>4847</v>
      </c>
      <c r="P234" s="5" t="str">
        <f t="shared" si="6"/>
        <v>A2121</v>
      </c>
      <c r="Q234" s="5">
        <f t="shared" si="7"/>
        <v>1</v>
      </c>
      <c r="R234">
        <f>VLOOKUP(O234,'Data Angt'!$A$5:$F$5810,6,FALSE)</f>
        <v>40</v>
      </c>
      <c r="S234" s="5" t="str">
        <f>VLOOKUP(O234,'Data Angt'!$A$5:$H$5810,8,FALSE)</f>
        <v>Aparatur/Pejabat Negara</v>
      </c>
      <c r="T234" s="44" t="str">
        <f>VLOOKUP(O234,'Data Angt'!$A$5:$C$5809,3,FALSE)</f>
        <v>PBL</v>
      </c>
    </row>
    <row r="235" spans="1:20" x14ac:dyDescent="0.3">
      <c r="A235" s="37">
        <v>78578</v>
      </c>
      <c r="B235" s="38">
        <v>229</v>
      </c>
      <c r="C235" s="39" t="s">
        <v>1184</v>
      </c>
      <c r="D235" s="10" t="str">
        <f>VLOOKUP(C235,'Data Angt'!$A$5:$B$5809,2,FALSE)</f>
        <v>A463</v>
      </c>
      <c r="E235" s="40" t="s">
        <v>11841</v>
      </c>
      <c r="F235" s="41">
        <v>41109</v>
      </c>
      <c r="G235" s="38">
        <v>1</v>
      </c>
      <c r="H235" s="40">
        <v>0</v>
      </c>
      <c r="I235" s="38">
        <v>4</v>
      </c>
      <c r="J235" s="41">
        <v>41109</v>
      </c>
      <c r="K235" s="38" t="s">
        <v>10768</v>
      </c>
      <c r="L235" s="42">
        <v>170000000</v>
      </c>
      <c r="O235" s="151" t="s">
        <v>4859</v>
      </c>
      <c r="P235" s="5" t="str">
        <f t="shared" si="6"/>
        <v>A2127</v>
      </c>
      <c r="Q235" s="5">
        <f t="shared" si="7"/>
        <v>2</v>
      </c>
      <c r="R235">
        <f>VLOOKUP(O235,'Data Angt'!$A$5:$F$5810,6,FALSE)</f>
        <v>46</v>
      </c>
      <c r="S235" s="5" t="str">
        <f>VLOOKUP(O235,'Data Angt'!$A$5:$H$5810,8,FALSE)</f>
        <v>Mengurus Rumah Tangga</v>
      </c>
      <c r="T235" s="44" t="str">
        <f>VLOOKUP(O235,'Data Angt'!$A$5:$C$5809,3,FALSE)</f>
        <v>MGL</v>
      </c>
    </row>
    <row r="236" spans="1:20" x14ac:dyDescent="0.3">
      <c r="A236" s="37">
        <v>140631</v>
      </c>
      <c r="B236" s="38">
        <v>230</v>
      </c>
      <c r="C236" s="39" t="s">
        <v>1239</v>
      </c>
      <c r="D236" s="10" t="str">
        <f>VLOOKUP(C236,'Data Angt'!$A$5:$B$5809,2,FALSE)</f>
        <v>A482</v>
      </c>
      <c r="E236" s="40" t="s">
        <v>11839</v>
      </c>
      <c r="F236" s="41">
        <v>45255</v>
      </c>
      <c r="G236" s="38">
        <v>1</v>
      </c>
      <c r="H236" s="40">
        <v>0</v>
      </c>
      <c r="I236" s="38">
        <v>4</v>
      </c>
      <c r="J236" s="41">
        <v>45255</v>
      </c>
      <c r="K236" s="38" t="s">
        <v>10768</v>
      </c>
      <c r="L236" s="42">
        <v>2000000</v>
      </c>
      <c r="O236" s="151" t="s">
        <v>4874</v>
      </c>
      <c r="P236" s="5" t="str">
        <f t="shared" si="6"/>
        <v>A2134</v>
      </c>
      <c r="Q236" s="5">
        <f t="shared" si="7"/>
        <v>2</v>
      </c>
      <c r="R236">
        <f>VLOOKUP(O236,'Data Angt'!$A$5:$F$5810,6,FALSE)</f>
        <v>41</v>
      </c>
      <c r="S236" s="5" t="str">
        <f>VLOOKUP(O236,'Data Angt'!$A$5:$H$5810,8,FALSE)</f>
        <v>Mengurus Rumah Tangga</v>
      </c>
      <c r="T236" s="44" t="str">
        <f>VLOOKUP(O236,'Data Angt'!$A$5:$C$5809,3,FALSE)</f>
        <v>BWI</v>
      </c>
    </row>
    <row r="237" spans="1:20" x14ac:dyDescent="0.3">
      <c r="A237" s="37">
        <v>158568</v>
      </c>
      <c r="B237" s="38">
        <v>231</v>
      </c>
      <c r="C237" s="39" t="s">
        <v>1243</v>
      </c>
      <c r="D237" s="10" t="str">
        <f>VLOOKUP(C237,'Data Angt'!$A$5:$B$5809,2,FALSE)</f>
        <v>A484</v>
      </c>
      <c r="E237" s="40" t="s">
        <v>23999</v>
      </c>
      <c r="F237" s="41">
        <v>45913</v>
      </c>
      <c r="G237" s="38">
        <v>1</v>
      </c>
      <c r="H237" s="40">
        <v>0</v>
      </c>
      <c r="I237" s="38">
        <v>4</v>
      </c>
      <c r="J237" s="41">
        <v>45913</v>
      </c>
      <c r="K237" s="38" t="s">
        <v>10768</v>
      </c>
      <c r="L237" s="42">
        <v>3000000</v>
      </c>
      <c r="O237" s="151" t="s">
        <v>4892</v>
      </c>
      <c r="P237" s="5" t="str">
        <f t="shared" si="6"/>
        <v>A2141</v>
      </c>
      <c r="Q237" s="5">
        <f t="shared" si="7"/>
        <v>2</v>
      </c>
      <c r="R237">
        <f>VLOOKUP(O237,'Data Angt'!$A$5:$F$5810,6,FALSE)</f>
        <v>71</v>
      </c>
      <c r="S237" s="5" t="str">
        <f>VLOOKUP(O237,'Data Angt'!$A$5:$H$5810,8,FALSE)</f>
        <v>Wiraswasta</v>
      </c>
      <c r="T237" s="44" t="str">
        <f>VLOOKUP(O237,'Data Angt'!$A$5:$C$5809,3,FALSE)</f>
        <v>BWI</v>
      </c>
    </row>
    <row r="238" spans="1:20" x14ac:dyDescent="0.3">
      <c r="A238" s="37">
        <v>119890</v>
      </c>
      <c r="B238" s="38">
        <v>232</v>
      </c>
      <c r="C238" s="39" t="s">
        <v>1261</v>
      </c>
      <c r="D238" s="10" t="str">
        <f>VLOOKUP(C238,'Data Angt'!$A$5:$B$5809,2,FALSE)</f>
        <v>A491</v>
      </c>
      <c r="E238" s="40" t="s">
        <v>11838</v>
      </c>
      <c r="F238" s="41">
        <v>43850</v>
      </c>
      <c r="G238" s="38">
        <v>1</v>
      </c>
      <c r="H238" s="40">
        <v>0</v>
      </c>
      <c r="I238" s="38">
        <v>4</v>
      </c>
      <c r="J238" s="41">
        <v>43850</v>
      </c>
      <c r="K238" s="38" t="s">
        <v>10768</v>
      </c>
      <c r="L238" s="42">
        <v>10000000</v>
      </c>
      <c r="O238" s="151" t="s">
        <v>12347</v>
      </c>
      <c r="P238" s="5" t="str">
        <f t="shared" si="6"/>
        <v>A2174</v>
      </c>
      <c r="Q238" s="5">
        <f t="shared" si="7"/>
        <v>1</v>
      </c>
      <c r="R238">
        <f>VLOOKUP(O238,'Data Angt'!$A$5:$F$5810,6,FALSE)</f>
        <v>25</v>
      </c>
      <c r="S238" s="5" t="str">
        <f>VLOOKUP(O238,'Data Angt'!$A$5:$H$5810,8,FALSE)</f>
        <v>Pelajar/Mahasiswa</v>
      </c>
      <c r="T238" s="44" t="str">
        <f>VLOOKUP(O238,'Data Angt'!$A$5:$C$5809,3,FALSE)</f>
        <v>PBL</v>
      </c>
    </row>
    <row r="239" spans="1:20" x14ac:dyDescent="0.3">
      <c r="A239" s="37">
        <v>146375</v>
      </c>
      <c r="B239" s="38">
        <v>233</v>
      </c>
      <c r="C239" s="39" t="s">
        <v>1293</v>
      </c>
      <c r="D239" s="10" t="str">
        <f>VLOOKUP(C239,'Data Angt'!$A$5:$B$5809,2,FALSE)</f>
        <v>A503</v>
      </c>
      <c r="E239" s="40" t="s">
        <v>18037</v>
      </c>
      <c r="F239" s="41">
        <v>45478</v>
      </c>
      <c r="G239" s="38">
        <v>1</v>
      </c>
      <c r="H239" s="40">
        <v>0</v>
      </c>
      <c r="I239" s="38">
        <v>4</v>
      </c>
      <c r="J239" s="41">
        <v>45478</v>
      </c>
      <c r="K239" s="38" t="s">
        <v>10768</v>
      </c>
      <c r="L239" s="42">
        <v>8000000</v>
      </c>
      <c r="O239" s="151" t="s">
        <v>12348</v>
      </c>
      <c r="P239" s="5" t="str">
        <f t="shared" si="6"/>
        <v>A2175</v>
      </c>
      <c r="Q239" s="5">
        <f t="shared" si="7"/>
        <v>1</v>
      </c>
      <c r="R239">
        <f>VLOOKUP(O239,'Data Angt'!$A$5:$F$5810,6,FALSE)</f>
        <v>31</v>
      </c>
      <c r="S239" s="5" t="str">
        <f>VLOOKUP(O239,'Data Angt'!$A$5:$H$5810,8,FALSE)</f>
        <v>Wiraswasta</v>
      </c>
      <c r="T239" s="44" t="str">
        <f>VLOOKUP(O239,'Data Angt'!$A$5:$C$5809,3,FALSE)</f>
        <v>PBL</v>
      </c>
    </row>
    <row r="240" spans="1:20" x14ac:dyDescent="0.3">
      <c r="A240" s="37">
        <v>135973</v>
      </c>
      <c r="B240" s="38">
        <v>234</v>
      </c>
      <c r="C240" s="39" t="s">
        <v>1296</v>
      </c>
      <c r="D240" s="10" t="str">
        <f>VLOOKUP(C240,'Data Angt'!$A$5:$B$5809,2,FALSE)</f>
        <v>A504</v>
      </c>
      <c r="E240" s="40" t="s">
        <v>11837</v>
      </c>
      <c r="F240" s="41">
        <v>44942</v>
      </c>
      <c r="G240" s="38">
        <v>1</v>
      </c>
      <c r="H240" s="40">
        <v>0</v>
      </c>
      <c r="I240" s="38">
        <v>4</v>
      </c>
      <c r="J240" s="41">
        <v>44942</v>
      </c>
      <c r="K240" s="38" t="s">
        <v>10768</v>
      </c>
      <c r="L240" s="42">
        <v>5000000</v>
      </c>
      <c r="O240" s="151" t="s">
        <v>5023</v>
      </c>
      <c r="P240" s="5" t="str">
        <f t="shared" si="6"/>
        <v>A2202</v>
      </c>
      <c r="Q240" s="5">
        <f t="shared" si="7"/>
        <v>1</v>
      </c>
      <c r="R240">
        <f>VLOOKUP(O240,'Data Angt'!$A$5:$F$5810,6,FALSE)</f>
        <v>56</v>
      </c>
      <c r="S240" s="5" t="str">
        <f>VLOOKUP(O240,'Data Angt'!$A$5:$H$5810,8,FALSE)</f>
        <v>Wiraswasta</v>
      </c>
      <c r="T240" s="44" t="str">
        <f>VLOOKUP(O240,'Data Angt'!$A$5:$C$5809,3,FALSE)</f>
        <v>PBL</v>
      </c>
    </row>
    <row r="241" spans="1:20" x14ac:dyDescent="0.3">
      <c r="A241" s="37">
        <v>157843</v>
      </c>
      <c r="B241" s="38">
        <v>235</v>
      </c>
      <c r="C241" s="39" t="s">
        <v>1296</v>
      </c>
      <c r="D241" s="10" t="str">
        <f>VLOOKUP(C241,'Data Angt'!$A$5:$B$5809,2,FALSE)</f>
        <v>A504</v>
      </c>
      <c r="E241" s="40" t="s">
        <v>24000</v>
      </c>
      <c r="F241" s="41">
        <v>45884</v>
      </c>
      <c r="G241" s="38">
        <v>1</v>
      </c>
      <c r="H241" s="40">
        <v>0</v>
      </c>
      <c r="I241" s="38">
        <v>4</v>
      </c>
      <c r="J241" s="41">
        <v>45884</v>
      </c>
      <c r="K241" s="38" t="s">
        <v>10768</v>
      </c>
      <c r="L241" s="42">
        <v>30000000</v>
      </c>
      <c r="O241" s="151" t="s">
        <v>5086</v>
      </c>
      <c r="P241" s="5" t="str">
        <f t="shared" si="6"/>
        <v>A2232</v>
      </c>
      <c r="Q241" s="5">
        <f t="shared" si="7"/>
        <v>4</v>
      </c>
      <c r="R241">
        <f>VLOOKUP(O241,'Data Angt'!$A$5:$F$5810,6,FALSE)</f>
        <v>49</v>
      </c>
      <c r="S241" s="5" t="str">
        <f>VLOOKUP(O241,'Data Angt'!$A$5:$H$5810,8,FALSE)</f>
        <v>Wiraswasta</v>
      </c>
      <c r="T241" s="44" t="str">
        <f>VLOOKUP(O241,'Data Angt'!$A$5:$C$5809,3,FALSE)</f>
        <v>KRK</v>
      </c>
    </row>
    <row r="242" spans="1:20" x14ac:dyDescent="0.3">
      <c r="A242" s="37">
        <v>78350</v>
      </c>
      <c r="B242" s="38">
        <v>236</v>
      </c>
      <c r="C242" s="39" t="s">
        <v>1296</v>
      </c>
      <c r="D242" s="10" t="str">
        <f>VLOOKUP(C242,'Data Angt'!$A$5:$B$5809,2,FALSE)</f>
        <v>A504</v>
      </c>
      <c r="E242" s="40" t="s">
        <v>11836</v>
      </c>
      <c r="F242" s="41">
        <v>43127</v>
      </c>
      <c r="G242" s="38">
        <v>1</v>
      </c>
      <c r="H242" s="40">
        <v>0</v>
      </c>
      <c r="I242" s="38">
        <v>4</v>
      </c>
      <c r="J242" s="41">
        <v>43127</v>
      </c>
      <c r="K242" s="38" t="s">
        <v>10768</v>
      </c>
      <c r="L242" s="42">
        <v>30000000</v>
      </c>
      <c r="O242" s="151" t="s">
        <v>5096</v>
      </c>
      <c r="P242" s="5" t="str">
        <f t="shared" si="6"/>
        <v>A2237</v>
      </c>
      <c r="Q242" s="5">
        <f t="shared" si="7"/>
        <v>1</v>
      </c>
      <c r="R242">
        <f>VLOOKUP(O242,'Data Angt'!$A$5:$F$5810,6,FALSE)</f>
        <v>54</v>
      </c>
      <c r="S242" s="5" t="str">
        <f>VLOOKUP(O242,'Data Angt'!$A$5:$H$5810,8,FALSE)</f>
        <v>Tenaga Pengajar</v>
      </c>
      <c r="T242" s="44" t="str">
        <f>VLOOKUP(O242,'Data Angt'!$A$5:$C$5809,3,FALSE)</f>
        <v>JBR</v>
      </c>
    </row>
    <row r="243" spans="1:20" x14ac:dyDescent="0.3">
      <c r="A243" s="37">
        <v>131059</v>
      </c>
      <c r="B243" s="38">
        <v>237</v>
      </c>
      <c r="C243" s="39" t="s">
        <v>12142</v>
      </c>
      <c r="D243" s="10" t="str">
        <f>VLOOKUP(C243,'Data Angt'!$A$5:$B$5809,2,FALSE)</f>
        <v>A515</v>
      </c>
      <c r="E243" s="40" t="s">
        <v>11835</v>
      </c>
      <c r="F243" s="41">
        <v>44550</v>
      </c>
      <c r="G243" s="38">
        <v>1</v>
      </c>
      <c r="H243" s="40">
        <v>0</v>
      </c>
      <c r="I243" s="38">
        <v>4</v>
      </c>
      <c r="J243" s="41">
        <v>44550</v>
      </c>
      <c r="K243" s="38" t="s">
        <v>10768</v>
      </c>
      <c r="L243" s="42">
        <v>10000000</v>
      </c>
      <c r="O243" s="151" t="s">
        <v>5105</v>
      </c>
      <c r="P243" s="5" t="str">
        <f t="shared" si="6"/>
        <v>A2243</v>
      </c>
      <c r="Q243" s="5">
        <f t="shared" si="7"/>
        <v>5</v>
      </c>
      <c r="R243">
        <f>VLOOKUP(O243,'Data Angt'!$A$5:$F$5810,6,FALSE)</f>
        <v>46</v>
      </c>
      <c r="S243" s="5" t="str">
        <f>VLOOKUP(O243,'Data Angt'!$A$5:$H$5810,8,FALSE)</f>
        <v>Karyawan</v>
      </c>
      <c r="T243" s="44" t="str">
        <f>VLOOKUP(O243,'Data Angt'!$A$5:$C$5809,3,FALSE)</f>
        <v>KRK</v>
      </c>
    </row>
    <row r="244" spans="1:20" x14ac:dyDescent="0.3">
      <c r="A244" s="37">
        <v>115863</v>
      </c>
      <c r="B244" s="38">
        <v>238</v>
      </c>
      <c r="C244" s="39" t="s">
        <v>1321</v>
      </c>
      <c r="D244" s="10" t="str">
        <f>VLOOKUP(C244,'Data Angt'!$A$5:$B$5809,2,FALSE)</f>
        <v>A516</v>
      </c>
      <c r="E244" s="40" t="s">
        <v>11834</v>
      </c>
      <c r="F244" s="41">
        <v>43706</v>
      </c>
      <c r="G244" s="38">
        <v>1</v>
      </c>
      <c r="H244" s="40">
        <v>0</v>
      </c>
      <c r="I244" s="38">
        <v>4</v>
      </c>
      <c r="J244" s="41">
        <v>43706</v>
      </c>
      <c r="K244" s="38" t="s">
        <v>10768</v>
      </c>
      <c r="L244" s="42">
        <v>10000000</v>
      </c>
      <c r="O244" s="151" t="s">
        <v>5140</v>
      </c>
      <c r="P244" s="5" t="str">
        <f t="shared" si="6"/>
        <v>A2260</v>
      </c>
      <c r="Q244" s="5">
        <f t="shared" si="7"/>
        <v>1</v>
      </c>
      <c r="R244">
        <f>VLOOKUP(O244,'Data Angt'!$A$5:$F$5810,6,FALSE)</f>
        <v>38</v>
      </c>
      <c r="S244" s="5" t="str">
        <f>VLOOKUP(O244,'Data Angt'!$A$5:$H$5810,8,FALSE)</f>
        <v>Lain-Lain</v>
      </c>
      <c r="T244" s="44" t="str">
        <f>VLOOKUP(O244,'Data Angt'!$A$5:$C$5809,3,FALSE)</f>
        <v>PBL</v>
      </c>
    </row>
    <row r="245" spans="1:20" x14ac:dyDescent="0.3">
      <c r="A245" s="37">
        <v>156481</v>
      </c>
      <c r="B245" s="38">
        <v>239</v>
      </c>
      <c r="C245" s="39" t="s">
        <v>1332</v>
      </c>
      <c r="D245" s="10" t="str">
        <f>VLOOKUP(C245,'Data Angt'!$A$5:$B$5809,2,FALSE)</f>
        <v>A520</v>
      </c>
      <c r="E245" s="40" t="s">
        <v>18038</v>
      </c>
      <c r="F245" s="41">
        <v>45827</v>
      </c>
      <c r="G245" s="38">
        <v>1</v>
      </c>
      <c r="H245" s="40">
        <v>0</v>
      </c>
      <c r="I245" s="38">
        <v>4</v>
      </c>
      <c r="J245" s="41">
        <v>45827</v>
      </c>
      <c r="K245" s="38" t="s">
        <v>10768</v>
      </c>
      <c r="L245" s="42">
        <v>2000000</v>
      </c>
      <c r="O245" s="151" t="s">
        <v>5143</v>
      </c>
      <c r="P245" s="5" t="str">
        <f t="shared" si="6"/>
        <v>A2262</v>
      </c>
      <c r="Q245" s="5">
        <f t="shared" si="7"/>
        <v>36</v>
      </c>
      <c r="R245">
        <f>VLOOKUP(O245,'Data Angt'!$A$5:$F$5810,6,FALSE)</f>
        <v>48</v>
      </c>
      <c r="S245" s="5" t="str">
        <f>VLOOKUP(O245,'Data Angt'!$A$5:$H$5810,8,FALSE)</f>
        <v>Petani/Pekebun/Nelayan</v>
      </c>
      <c r="T245" s="44" t="str">
        <f>VLOOKUP(O245,'Data Angt'!$A$5:$C$5809,3,FALSE)</f>
        <v>JBR</v>
      </c>
    </row>
    <row r="246" spans="1:20" x14ac:dyDescent="0.3">
      <c r="A246" s="37">
        <v>157469</v>
      </c>
      <c r="B246" s="38">
        <v>240</v>
      </c>
      <c r="C246" s="39" t="s">
        <v>1332</v>
      </c>
      <c r="D246" s="10" t="str">
        <f>VLOOKUP(C246,'Data Angt'!$A$5:$B$5809,2,FALSE)</f>
        <v>A520</v>
      </c>
      <c r="E246" s="40" t="s">
        <v>24001</v>
      </c>
      <c r="F246" s="41">
        <v>45868</v>
      </c>
      <c r="G246" s="38">
        <v>1</v>
      </c>
      <c r="H246" s="40">
        <v>0</v>
      </c>
      <c r="I246" s="38">
        <v>4</v>
      </c>
      <c r="J246" s="41">
        <v>45868</v>
      </c>
      <c r="K246" s="38" t="s">
        <v>10768</v>
      </c>
      <c r="L246" s="42">
        <v>8000000</v>
      </c>
      <c r="O246" s="151" t="s">
        <v>5184</v>
      </c>
      <c r="P246" s="5" t="str">
        <f t="shared" si="6"/>
        <v>A2280</v>
      </c>
      <c r="Q246" s="5">
        <f t="shared" si="7"/>
        <v>2</v>
      </c>
      <c r="R246">
        <f>VLOOKUP(O246,'Data Angt'!$A$5:$F$5810,6,FALSE)</f>
        <v>40</v>
      </c>
      <c r="S246" s="5" t="str">
        <f>VLOOKUP(O246,'Data Angt'!$A$5:$H$5810,8,FALSE)</f>
        <v>Mengurus Rumah Tangga</v>
      </c>
      <c r="T246" s="44" t="str">
        <f>VLOOKUP(O246,'Data Angt'!$A$5:$C$5809,3,FALSE)</f>
        <v>PBL</v>
      </c>
    </row>
    <row r="247" spans="1:20" x14ac:dyDescent="0.3">
      <c r="A247" s="37">
        <v>148870</v>
      </c>
      <c r="B247" s="38">
        <v>241</v>
      </c>
      <c r="C247" s="39" t="s">
        <v>1343</v>
      </c>
      <c r="D247" s="10" t="str">
        <f>VLOOKUP(C247,'Data Angt'!$A$5:$B$5809,2,FALSE)</f>
        <v>A524</v>
      </c>
      <c r="E247" s="40" t="s">
        <v>18039</v>
      </c>
      <c r="F247" s="41">
        <v>45539</v>
      </c>
      <c r="G247" s="38">
        <v>1</v>
      </c>
      <c r="H247" s="40">
        <v>0</v>
      </c>
      <c r="I247" s="38">
        <v>4</v>
      </c>
      <c r="J247" s="41">
        <v>45539</v>
      </c>
      <c r="K247" s="38" t="s">
        <v>10768</v>
      </c>
      <c r="L247" s="42">
        <v>27000000</v>
      </c>
      <c r="O247" s="151" t="s">
        <v>5332</v>
      </c>
      <c r="P247" s="5" t="str">
        <f t="shared" si="6"/>
        <v>A2348</v>
      </c>
      <c r="Q247" s="5">
        <f t="shared" si="7"/>
        <v>1</v>
      </c>
      <c r="R247">
        <f>VLOOKUP(O247,'Data Angt'!$A$5:$F$5810,6,FALSE)</f>
        <v>66</v>
      </c>
      <c r="S247" s="5" t="str">
        <f>VLOOKUP(O247,'Data Angt'!$A$5:$H$5810,8,FALSE)</f>
        <v>Mengurus Rumah Tangga</v>
      </c>
      <c r="T247" s="44" t="str">
        <f>VLOOKUP(O247,'Data Angt'!$A$5:$C$5809,3,FALSE)</f>
        <v>MGL</v>
      </c>
    </row>
    <row r="248" spans="1:20" x14ac:dyDescent="0.3">
      <c r="A248" s="37">
        <v>150245</v>
      </c>
      <c r="B248" s="38">
        <v>242</v>
      </c>
      <c r="C248" s="39" t="s">
        <v>1361</v>
      </c>
      <c r="D248" s="10" t="str">
        <f>VLOOKUP(C248,'Data Angt'!$A$5:$B$5809,2,FALSE)</f>
        <v>A533</v>
      </c>
      <c r="E248" s="40" t="s">
        <v>18040</v>
      </c>
      <c r="F248" s="41">
        <v>45601</v>
      </c>
      <c r="G248" s="38">
        <v>1</v>
      </c>
      <c r="H248" s="40">
        <v>0</v>
      </c>
      <c r="I248" s="38">
        <v>4</v>
      </c>
      <c r="J248" s="41">
        <v>45601</v>
      </c>
      <c r="K248" s="38" t="s">
        <v>10768</v>
      </c>
      <c r="L248" s="42">
        <v>2000000</v>
      </c>
      <c r="O248" s="151" t="s">
        <v>5366</v>
      </c>
      <c r="P248" s="5" t="str">
        <f t="shared" si="6"/>
        <v>A2366</v>
      </c>
      <c r="Q248" s="5">
        <f t="shared" si="7"/>
        <v>6</v>
      </c>
      <c r="R248">
        <f>VLOOKUP(O248,'Data Angt'!$A$5:$F$5810,6,FALSE)</f>
        <v>34</v>
      </c>
      <c r="S248" s="5" t="str">
        <f>VLOOKUP(O248,'Data Angt'!$A$5:$H$5810,8,FALSE)</f>
        <v>Karyawan</v>
      </c>
      <c r="T248" s="44" t="str">
        <f>VLOOKUP(O248,'Data Angt'!$A$5:$C$5809,3,FALSE)</f>
        <v>PBL</v>
      </c>
    </row>
    <row r="249" spans="1:20" x14ac:dyDescent="0.3">
      <c r="A249" s="37">
        <v>78888</v>
      </c>
      <c r="B249" s="38">
        <v>243</v>
      </c>
      <c r="C249" s="39" t="s">
        <v>1365</v>
      </c>
      <c r="D249" s="10" t="str">
        <f>VLOOKUP(C249,'Data Angt'!$A$5:$B$5809,2,FALSE)</f>
        <v>A535</v>
      </c>
      <c r="E249" s="40" t="s">
        <v>11833</v>
      </c>
      <c r="F249" s="41">
        <v>39974</v>
      </c>
      <c r="G249" s="38">
        <v>1</v>
      </c>
      <c r="H249" s="40">
        <v>0</v>
      </c>
      <c r="I249" s="38">
        <v>4</v>
      </c>
      <c r="J249" s="41">
        <v>40092</v>
      </c>
      <c r="K249" s="38" t="s">
        <v>10768</v>
      </c>
      <c r="L249" s="42">
        <v>1000000</v>
      </c>
      <c r="O249" s="151" t="s">
        <v>12377</v>
      </c>
      <c r="P249" s="5" t="str">
        <f t="shared" si="6"/>
        <v>A2373</v>
      </c>
      <c r="Q249" s="5">
        <f t="shared" si="7"/>
        <v>2</v>
      </c>
      <c r="R249">
        <f>VLOOKUP(O249,'Data Angt'!$A$5:$F$5810,6,FALSE)</f>
        <v>23</v>
      </c>
      <c r="S249" s="5" t="str">
        <f>VLOOKUP(O249,'Data Angt'!$A$5:$H$5810,8,FALSE)</f>
        <v>Pelajar/Mahasiswa</v>
      </c>
      <c r="T249" s="44" t="str">
        <f>VLOOKUP(O249,'Data Angt'!$A$5:$C$5809,3,FALSE)</f>
        <v>PBL</v>
      </c>
    </row>
    <row r="250" spans="1:20" x14ac:dyDescent="0.3">
      <c r="A250" s="37">
        <v>78894</v>
      </c>
      <c r="B250" s="38">
        <v>244</v>
      </c>
      <c r="C250" s="39" t="s">
        <v>1365</v>
      </c>
      <c r="D250" s="10" t="str">
        <f>VLOOKUP(C250,'Data Angt'!$A$5:$B$5809,2,FALSE)</f>
        <v>A535</v>
      </c>
      <c r="E250" s="40" t="s">
        <v>11832</v>
      </c>
      <c r="F250" s="41">
        <v>40798</v>
      </c>
      <c r="G250" s="38">
        <v>1</v>
      </c>
      <c r="H250" s="40">
        <v>0</v>
      </c>
      <c r="I250" s="38">
        <v>4</v>
      </c>
      <c r="J250" s="41">
        <v>40886</v>
      </c>
      <c r="K250" s="38" t="s">
        <v>10768</v>
      </c>
      <c r="L250" s="42">
        <v>1000000</v>
      </c>
      <c r="O250" s="151" t="s">
        <v>5385</v>
      </c>
      <c r="P250" s="5" t="str">
        <f t="shared" si="6"/>
        <v>A2376</v>
      </c>
      <c r="Q250" s="5">
        <f t="shared" si="7"/>
        <v>2</v>
      </c>
      <c r="R250">
        <f>VLOOKUP(O250,'Data Angt'!$A$5:$F$5810,6,FALSE)</f>
        <v>55</v>
      </c>
      <c r="S250" s="5" t="str">
        <f>VLOOKUP(O250,'Data Angt'!$A$5:$H$5810,8,FALSE)</f>
        <v>Pemuka Agama</v>
      </c>
      <c r="T250" s="44" t="str">
        <f>VLOOKUP(O250,'Data Angt'!$A$5:$C$5809,3,FALSE)</f>
        <v>PBL</v>
      </c>
    </row>
    <row r="251" spans="1:20" x14ac:dyDescent="0.3">
      <c r="A251" s="37">
        <v>133790</v>
      </c>
      <c r="B251" s="38">
        <v>245</v>
      </c>
      <c r="C251" s="39" t="s">
        <v>1371</v>
      </c>
      <c r="D251" s="10" t="str">
        <f>VLOOKUP(C251,'Data Angt'!$A$5:$B$5809,2,FALSE)</f>
        <v>A537</v>
      </c>
      <c r="E251" s="40" t="s">
        <v>11824</v>
      </c>
      <c r="F251" s="41">
        <v>44768</v>
      </c>
      <c r="G251" s="38">
        <v>1</v>
      </c>
      <c r="H251" s="40">
        <v>0</v>
      </c>
      <c r="I251" s="38">
        <v>4</v>
      </c>
      <c r="J251" s="41">
        <v>45348</v>
      </c>
      <c r="K251" s="38" t="s">
        <v>10768</v>
      </c>
      <c r="L251" s="42">
        <v>22500000</v>
      </c>
      <c r="O251" s="151" t="s">
        <v>5393</v>
      </c>
      <c r="P251" s="5" t="str">
        <f t="shared" si="6"/>
        <v>A2379</v>
      </c>
      <c r="Q251" s="5">
        <f t="shared" si="7"/>
        <v>4</v>
      </c>
      <c r="R251">
        <f>VLOOKUP(O251,'Data Angt'!$A$5:$F$5810,6,FALSE)</f>
        <v>53</v>
      </c>
      <c r="S251" s="5" t="str">
        <f>VLOOKUP(O251,'Data Angt'!$A$5:$H$5810,8,FALSE)</f>
        <v>Karyawan</v>
      </c>
      <c r="T251" s="44" t="str">
        <f>VLOOKUP(O251,'Data Angt'!$A$5:$C$5809,3,FALSE)</f>
        <v>MJK</v>
      </c>
    </row>
    <row r="252" spans="1:20" x14ac:dyDescent="0.3">
      <c r="A252" s="37">
        <v>142911</v>
      </c>
      <c r="B252" s="38">
        <v>246</v>
      </c>
      <c r="C252" s="39" t="s">
        <v>1371</v>
      </c>
      <c r="D252" s="10" t="str">
        <f>VLOOKUP(C252,'Data Angt'!$A$5:$B$5809,2,FALSE)</f>
        <v>A537</v>
      </c>
      <c r="E252" s="40" t="s">
        <v>18046</v>
      </c>
      <c r="F252" s="41">
        <v>45348</v>
      </c>
      <c r="G252" s="38">
        <v>1</v>
      </c>
      <c r="H252" s="40">
        <v>0</v>
      </c>
      <c r="I252" s="38">
        <v>4</v>
      </c>
      <c r="J252" s="41">
        <v>45348</v>
      </c>
      <c r="K252" s="38" t="s">
        <v>10768</v>
      </c>
      <c r="L252" s="42">
        <v>1500000</v>
      </c>
      <c r="O252" s="151" t="s">
        <v>5396</v>
      </c>
      <c r="P252" s="5" t="str">
        <f t="shared" si="6"/>
        <v>A2380</v>
      </c>
      <c r="Q252" s="5">
        <f t="shared" si="7"/>
        <v>5</v>
      </c>
      <c r="R252">
        <f>VLOOKUP(O252,'Data Angt'!$A$5:$F$5810,6,FALSE)</f>
        <v>36</v>
      </c>
      <c r="S252" s="5" t="str">
        <f>VLOOKUP(O252,'Data Angt'!$A$5:$H$5810,8,FALSE)</f>
        <v>Karyawan</v>
      </c>
      <c r="T252" s="44" t="str">
        <f>VLOOKUP(O252,'Data Angt'!$A$5:$C$5809,3,FALSE)</f>
        <v>PBL</v>
      </c>
    </row>
    <row r="253" spans="1:20" x14ac:dyDescent="0.3">
      <c r="A253" s="37">
        <v>128231</v>
      </c>
      <c r="B253" s="38">
        <v>247</v>
      </c>
      <c r="C253" s="39" t="s">
        <v>1371</v>
      </c>
      <c r="D253" s="10" t="str">
        <f>VLOOKUP(C253,'Data Angt'!$A$5:$B$5809,2,FALSE)</f>
        <v>A537</v>
      </c>
      <c r="E253" s="40" t="s">
        <v>11831</v>
      </c>
      <c r="F253" s="41">
        <v>44326</v>
      </c>
      <c r="G253" s="38">
        <v>1</v>
      </c>
      <c r="H253" s="40">
        <v>0</v>
      </c>
      <c r="I253" s="38">
        <v>4</v>
      </c>
      <c r="J253" s="41">
        <v>44326</v>
      </c>
      <c r="K253" s="38" t="s">
        <v>10768</v>
      </c>
      <c r="L253" s="42">
        <v>22000000</v>
      </c>
      <c r="O253" s="151" t="s">
        <v>5420</v>
      </c>
      <c r="P253" s="5" t="str">
        <f t="shared" si="6"/>
        <v>A2392</v>
      </c>
      <c r="Q253" s="5">
        <f t="shared" si="7"/>
        <v>2</v>
      </c>
      <c r="R253">
        <f>VLOOKUP(O253,'Data Angt'!$A$5:$F$5810,6,FALSE)</f>
        <v>32</v>
      </c>
      <c r="S253" s="5" t="str">
        <f>VLOOKUP(O253,'Data Angt'!$A$5:$H$5810,8,FALSE)</f>
        <v>Wiraswasta</v>
      </c>
      <c r="T253" s="44" t="str">
        <f>VLOOKUP(O253,'Data Angt'!$A$5:$C$5809,3,FALSE)</f>
        <v>JBR</v>
      </c>
    </row>
    <row r="254" spans="1:20" x14ac:dyDescent="0.3">
      <c r="A254" s="37">
        <v>133793</v>
      </c>
      <c r="B254" s="38">
        <v>248</v>
      </c>
      <c r="C254" s="39" t="s">
        <v>1371</v>
      </c>
      <c r="D254" s="10" t="str">
        <f>VLOOKUP(C254,'Data Angt'!$A$5:$B$5809,2,FALSE)</f>
        <v>A537</v>
      </c>
      <c r="E254" s="40" t="s">
        <v>11830</v>
      </c>
      <c r="F254" s="41">
        <v>44768</v>
      </c>
      <c r="G254" s="38">
        <v>1</v>
      </c>
      <c r="H254" s="40">
        <v>0</v>
      </c>
      <c r="I254" s="38">
        <v>4</v>
      </c>
      <c r="J254" s="41">
        <v>45348</v>
      </c>
      <c r="K254" s="38" t="s">
        <v>10768</v>
      </c>
      <c r="L254" s="42">
        <v>16500000</v>
      </c>
      <c r="O254" s="151" t="s">
        <v>5455</v>
      </c>
      <c r="P254" s="5" t="str">
        <f t="shared" si="6"/>
        <v>A2408</v>
      </c>
      <c r="Q254" s="5">
        <f t="shared" si="7"/>
        <v>3</v>
      </c>
      <c r="R254">
        <f>VLOOKUP(O254,'Data Angt'!$A$5:$F$5810,6,FALSE)</f>
        <v>77</v>
      </c>
      <c r="S254" s="5" t="str">
        <f>VLOOKUP(O254,'Data Angt'!$A$5:$H$5810,8,FALSE)</f>
        <v>Mengurus Rumah Tangga</v>
      </c>
      <c r="T254" s="44" t="str">
        <f>VLOOKUP(O254,'Data Angt'!$A$5:$C$5809,3,FALSE)</f>
        <v>MGL</v>
      </c>
    </row>
    <row r="255" spans="1:20" x14ac:dyDescent="0.3">
      <c r="A255" s="37">
        <v>142913</v>
      </c>
      <c r="B255" s="38">
        <v>249</v>
      </c>
      <c r="C255" s="39" t="s">
        <v>1371</v>
      </c>
      <c r="D255" s="10" t="str">
        <f>VLOOKUP(C255,'Data Angt'!$A$5:$B$5809,2,FALSE)</f>
        <v>A537</v>
      </c>
      <c r="E255" s="40" t="s">
        <v>18047</v>
      </c>
      <c r="F255" s="41">
        <v>45348</v>
      </c>
      <c r="G255" s="38">
        <v>1</v>
      </c>
      <c r="H255" s="40">
        <v>0</v>
      </c>
      <c r="I255" s="38">
        <v>4</v>
      </c>
      <c r="J255" s="41">
        <v>45348</v>
      </c>
      <c r="K255" s="38" t="s">
        <v>10768</v>
      </c>
      <c r="L255" s="42">
        <v>3500000</v>
      </c>
      <c r="O255" s="151" t="s">
        <v>5499</v>
      </c>
      <c r="P255" s="5" t="str">
        <f t="shared" si="6"/>
        <v>A2427</v>
      </c>
      <c r="Q255" s="5">
        <f t="shared" si="7"/>
        <v>1</v>
      </c>
      <c r="R255">
        <f>VLOOKUP(O255,'Data Angt'!$A$5:$F$5810,6,FALSE)</f>
        <v>81</v>
      </c>
      <c r="S255" s="5" t="str">
        <f>VLOOKUP(O255,'Data Angt'!$A$5:$H$5810,8,FALSE)</f>
        <v>Mengurus Rumah Tangga</v>
      </c>
      <c r="T255" s="44" t="str">
        <f>VLOOKUP(O255,'Data Angt'!$A$5:$C$5809,3,FALSE)</f>
        <v>BWI</v>
      </c>
    </row>
    <row r="256" spans="1:20" x14ac:dyDescent="0.3">
      <c r="A256" s="37">
        <v>133794</v>
      </c>
      <c r="B256" s="38">
        <v>250</v>
      </c>
      <c r="C256" s="39" t="s">
        <v>1371</v>
      </c>
      <c r="D256" s="10" t="str">
        <f>VLOOKUP(C256,'Data Angt'!$A$5:$B$5809,2,FALSE)</f>
        <v>A537</v>
      </c>
      <c r="E256" s="40" t="s">
        <v>11829</v>
      </c>
      <c r="F256" s="41">
        <v>44768</v>
      </c>
      <c r="G256" s="38">
        <v>1</v>
      </c>
      <c r="H256" s="40">
        <v>0</v>
      </c>
      <c r="I256" s="38">
        <v>4</v>
      </c>
      <c r="J256" s="41">
        <v>45348</v>
      </c>
      <c r="K256" s="38" t="s">
        <v>10768</v>
      </c>
      <c r="L256" s="42">
        <v>9500000</v>
      </c>
      <c r="O256" s="151" t="s">
        <v>5554</v>
      </c>
      <c r="P256" s="5" t="str">
        <f t="shared" si="6"/>
        <v>A2451</v>
      </c>
      <c r="Q256" s="5">
        <f t="shared" si="7"/>
        <v>10</v>
      </c>
      <c r="R256">
        <f>VLOOKUP(O256,'Data Angt'!$A$5:$F$5810,6,FALSE)</f>
        <v>35</v>
      </c>
      <c r="S256" s="5" t="str">
        <f>VLOOKUP(O256,'Data Angt'!$A$5:$H$5810,8,FALSE)</f>
        <v>Wiraswasta</v>
      </c>
      <c r="T256" s="44" t="str">
        <f>VLOOKUP(O256,'Data Angt'!$A$5:$C$5809,3,FALSE)</f>
        <v>PBL</v>
      </c>
    </row>
    <row r="257" spans="1:20" x14ac:dyDescent="0.3">
      <c r="A257" s="37">
        <v>133795</v>
      </c>
      <c r="B257" s="38">
        <v>251</v>
      </c>
      <c r="C257" s="39" t="s">
        <v>1371</v>
      </c>
      <c r="D257" s="10" t="str">
        <f>VLOOKUP(C257,'Data Angt'!$A$5:$B$5809,2,FALSE)</f>
        <v>A537</v>
      </c>
      <c r="E257" s="40" t="s">
        <v>11828</v>
      </c>
      <c r="F257" s="41">
        <v>44768</v>
      </c>
      <c r="G257" s="38">
        <v>1</v>
      </c>
      <c r="H257" s="40">
        <v>0</v>
      </c>
      <c r="I257" s="38">
        <v>4</v>
      </c>
      <c r="J257" s="41">
        <v>45348</v>
      </c>
      <c r="K257" s="38" t="s">
        <v>10768</v>
      </c>
      <c r="L257" s="42">
        <v>15000000</v>
      </c>
      <c r="O257" s="151" t="s">
        <v>5581</v>
      </c>
      <c r="P257" s="5" t="str">
        <f t="shared" si="6"/>
        <v>A2465</v>
      </c>
      <c r="Q257" s="5">
        <f t="shared" si="7"/>
        <v>1</v>
      </c>
      <c r="R257">
        <f>VLOOKUP(O257,'Data Angt'!$A$5:$F$5810,6,FALSE)</f>
        <v>72</v>
      </c>
      <c r="S257" s="5" t="str">
        <f>VLOOKUP(O257,'Data Angt'!$A$5:$H$5810,8,FALSE)</f>
        <v>Wiraswasta</v>
      </c>
      <c r="T257" s="44" t="str">
        <f>VLOOKUP(O257,'Data Angt'!$A$5:$C$5809,3,FALSE)</f>
        <v>PBL</v>
      </c>
    </row>
    <row r="258" spans="1:20" x14ac:dyDescent="0.3">
      <c r="A258" s="37">
        <v>155853</v>
      </c>
      <c r="B258" s="38">
        <v>252</v>
      </c>
      <c r="C258" s="39" t="s">
        <v>1371</v>
      </c>
      <c r="D258" s="10" t="str">
        <f>VLOOKUP(C258,'Data Angt'!$A$5:$B$5809,2,FALSE)</f>
        <v>A537</v>
      </c>
      <c r="E258" s="40" t="s">
        <v>18041</v>
      </c>
      <c r="F258" s="41">
        <v>45799</v>
      </c>
      <c r="G258" s="38">
        <v>1</v>
      </c>
      <c r="H258" s="40">
        <v>0</v>
      </c>
      <c r="I258" s="38">
        <v>4</v>
      </c>
      <c r="J258" s="41">
        <v>45799</v>
      </c>
      <c r="K258" s="38" t="s">
        <v>10768</v>
      </c>
      <c r="L258" s="42">
        <v>5000000</v>
      </c>
      <c r="O258" s="151" t="s">
        <v>5621</v>
      </c>
      <c r="P258" s="5" t="str">
        <f t="shared" si="6"/>
        <v>A2483</v>
      </c>
      <c r="Q258" s="5">
        <f t="shared" si="7"/>
        <v>3</v>
      </c>
      <c r="R258">
        <f>VLOOKUP(O258,'Data Angt'!$A$5:$F$5810,6,FALSE)</f>
        <v>71</v>
      </c>
      <c r="S258" s="5" t="str">
        <f>VLOOKUP(O258,'Data Angt'!$A$5:$H$5810,8,FALSE)</f>
        <v>Mengurus Rumah Tangga</v>
      </c>
      <c r="T258" s="44" t="str">
        <f>VLOOKUP(O258,'Data Angt'!$A$5:$C$5809,3,FALSE)</f>
        <v>PBL</v>
      </c>
    </row>
    <row r="259" spans="1:20" x14ac:dyDescent="0.3">
      <c r="A259" s="37">
        <v>158816</v>
      </c>
      <c r="B259" s="38">
        <v>253</v>
      </c>
      <c r="C259" s="39" t="s">
        <v>1371</v>
      </c>
      <c r="D259" s="10" t="str">
        <f>VLOOKUP(C259,'Data Angt'!$A$5:$B$5809,2,FALSE)</f>
        <v>A537</v>
      </c>
      <c r="E259" s="40" t="s">
        <v>24002</v>
      </c>
      <c r="F259" s="41">
        <v>45926</v>
      </c>
      <c r="G259" s="38">
        <v>1</v>
      </c>
      <c r="H259" s="40">
        <v>0</v>
      </c>
      <c r="I259" s="38">
        <v>4</v>
      </c>
      <c r="J259" s="41">
        <v>45926</v>
      </c>
      <c r="K259" s="38" t="s">
        <v>10768</v>
      </c>
      <c r="L259" s="42">
        <v>6000000</v>
      </c>
      <c r="O259" s="151" t="s">
        <v>5654</v>
      </c>
      <c r="P259" s="5" t="str">
        <f t="shared" si="6"/>
        <v>A2495</v>
      </c>
      <c r="Q259" s="5">
        <f t="shared" si="7"/>
        <v>1</v>
      </c>
      <c r="R259">
        <f>VLOOKUP(O259,'Data Angt'!$A$5:$F$5810,6,FALSE)</f>
        <v>71</v>
      </c>
      <c r="S259" s="5" t="str">
        <f>VLOOKUP(O259,'Data Angt'!$A$5:$H$5810,8,FALSE)</f>
        <v>Wiraswasta</v>
      </c>
      <c r="T259" s="44" t="str">
        <f>VLOOKUP(O259,'Data Angt'!$A$5:$C$5809,3,FALSE)</f>
        <v>MGL</v>
      </c>
    </row>
    <row r="260" spans="1:20" x14ac:dyDescent="0.3">
      <c r="A260" s="37">
        <v>142904</v>
      </c>
      <c r="B260" s="38">
        <v>254</v>
      </c>
      <c r="C260" s="39" t="s">
        <v>1371</v>
      </c>
      <c r="D260" s="10" t="str">
        <f>VLOOKUP(C260,'Data Angt'!$A$5:$B$5809,2,FALSE)</f>
        <v>A537</v>
      </c>
      <c r="E260" s="40" t="s">
        <v>18042</v>
      </c>
      <c r="F260" s="41">
        <v>45348</v>
      </c>
      <c r="G260" s="38">
        <v>1</v>
      </c>
      <c r="H260" s="40">
        <v>0</v>
      </c>
      <c r="I260" s="38">
        <v>4</v>
      </c>
      <c r="J260" s="41">
        <v>45348</v>
      </c>
      <c r="K260" s="38" t="s">
        <v>10768</v>
      </c>
      <c r="L260" s="42">
        <v>7000000</v>
      </c>
      <c r="O260" s="151" t="s">
        <v>5661</v>
      </c>
      <c r="P260" s="5" t="str">
        <f t="shared" si="6"/>
        <v>A2498</v>
      </c>
      <c r="Q260" s="5">
        <f t="shared" si="7"/>
        <v>5</v>
      </c>
      <c r="R260">
        <f>VLOOKUP(O260,'Data Angt'!$A$5:$F$5810,6,FALSE)</f>
        <v>58</v>
      </c>
      <c r="S260" s="5" t="str">
        <f>VLOOKUP(O260,'Data Angt'!$A$5:$H$5810,8,FALSE)</f>
        <v>Mengurus Rumah Tangga</v>
      </c>
      <c r="T260" s="44" t="str">
        <f>VLOOKUP(O260,'Data Angt'!$A$5:$C$5809,3,FALSE)</f>
        <v>JBR</v>
      </c>
    </row>
    <row r="261" spans="1:20" x14ac:dyDescent="0.3">
      <c r="A261" s="37">
        <v>133783</v>
      </c>
      <c r="B261" s="38">
        <v>255</v>
      </c>
      <c r="C261" s="39" t="s">
        <v>1371</v>
      </c>
      <c r="D261" s="10" t="str">
        <f>VLOOKUP(C261,'Data Angt'!$A$5:$B$5809,2,FALSE)</f>
        <v>A537</v>
      </c>
      <c r="E261" s="40" t="s">
        <v>11827</v>
      </c>
      <c r="F261" s="41">
        <v>44768</v>
      </c>
      <c r="G261" s="38">
        <v>1</v>
      </c>
      <c r="H261" s="40">
        <v>0</v>
      </c>
      <c r="I261" s="38">
        <v>4</v>
      </c>
      <c r="J261" s="41">
        <v>45348</v>
      </c>
      <c r="K261" s="38" t="s">
        <v>10768</v>
      </c>
      <c r="L261" s="42">
        <v>16500000</v>
      </c>
      <c r="O261" s="151" t="s">
        <v>12394</v>
      </c>
      <c r="P261" s="5" t="str">
        <f t="shared" si="6"/>
        <v>A2501</v>
      </c>
      <c r="Q261" s="5">
        <f t="shared" si="7"/>
        <v>7</v>
      </c>
      <c r="R261">
        <f>VLOOKUP(O261,'Data Angt'!$A$5:$F$5810,6,FALSE)</f>
        <v>23</v>
      </c>
      <c r="S261" s="5">
        <f>VLOOKUP(O261,'Data Angt'!$A$5:$H$5810,8,FALSE)</f>
        <v>0</v>
      </c>
      <c r="T261" s="44" t="str">
        <f>VLOOKUP(O261,'Data Angt'!$A$5:$C$5809,3,FALSE)</f>
        <v>PBL</v>
      </c>
    </row>
    <row r="262" spans="1:20" x14ac:dyDescent="0.3">
      <c r="A262" s="37">
        <v>142905</v>
      </c>
      <c r="B262" s="38">
        <v>256</v>
      </c>
      <c r="C262" s="39" t="s">
        <v>1371</v>
      </c>
      <c r="D262" s="10" t="str">
        <f>VLOOKUP(C262,'Data Angt'!$A$5:$B$5809,2,FALSE)</f>
        <v>A537</v>
      </c>
      <c r="E262" s="40" t="s">
        <v>18043</v>
      </c>
      <c r="F262" s="41">
        <v>45348</v>
      </c>
      <c r="G262" s="38">
        <v>1</v>
      </c>
      <c r="H262" s="40">
        <v>0</v>
      </c>
      <c r="I262" s="38">
        <v>4</v>
      </c>
      <c r="J262" s="41">
        <v>45348</v>
      </c>
      <c r="K262" s="38" t="s">
        <v>10768</v>
      </c>
      <c r="L262" s="42">
        <v>4000000</v>
      </c>
      <c r="O262" s="151" t="s">
        <v>12395</v>
      </c>
      <c r="P262" s="5" t="str">
        <f t="shared" ref="P262:P325" si="8">VLOOKUP(O262,$C$7:$D$1146,2,FALSE)</f>
        <v>A2502</v>
      </c>
      <c r="Q262" s="5">
        <f t="shared" si="7"/>
        <v>7</v>
      </c>
      <c r="R262">
        <f>VLOOKUP(O262,'Data Angt'!$A$5:$F$5810,6,FALSE)</f>
        <v>25</v>
      </c>
      <c r="S262" s="5">
        <f>VLOOKUP(O262,'Data Angt'!$A$5:$H$5810,8,FALSE)</f>
        <v>0</v>
      </c>
      <c r="T262" s="44" t="str">
        <f>VLOOKUP(O262,'Data Angt'!$A$5:$C$5809,3,FALSE)</f>
        <v>PBL</v>
      </c>
    </row>
    <row r="263" spans="1:20" x14ac:dyDescent="0.3">
      <c r="A263" s="37">
        <v>142907</v>
      </c>
      <c r="B263" s="38">
        <v>257</v>
      </c>
      <c r="C263" s="39" t="s">
        <v>1371</v>
      </c>
      <c r="D263" s="10" t="str">
        <f>VLOOKUP(C263,'Data Angt'!$A$5:$B$5809,2,FALSE)</f>
        <v>A537</v>
      </c>
      <c r="E263" s="40" t="s">
        <v>18044</v>
      </c>
      <c r="F263" s="41">
        <v>45348</v>
      </c>
      <c r="G263" s="38">
        <v>1</v>
      </c>
      <c r="H263" s="40">
        <v>0</v>
      </c>
      <c r="I263" s="38">
        <v>4</v>
      </c>
      <c r="J263" s="41">
        <v>45348</v>
      </c>
      <c r="K263" s="38" t="s">
        <v>10768</v>
      </c>
      <c r="L263" s="42">
        <v>8000000</v>
      </c>
      <c r="O263" s="151" t="s">
        <v>5676</v>
      </c>
      <c r="P263" s="5" t="str">
        <f t="shared" si="8"/>
        <v>A2506</v>
      </c>
      <c r="Q263" s="5">
        <f t="shared" ref="Q263:Q326" si="9">COUNTIF($C$7:$C$1146,O263)</f>
        <v>5</v>
      </c>
      <c r="R263">
        <f>VLOOKUP(O263,'Data Angt'!$A$5:$F$5810,6,FALSE)</f>
        <v>71</v>
      </c>
      <c r="S263" s="5" t="str">
        <f>VLOOKUP(O263,'Data Angt'!$A$5:$H$5810,8,FALSE)</f>
        <v>Wiraswasta</v>
      </c>
      <c r="T263" s="44" t="str">
        <f>VLOOKUP(O263,'Data Angt'!$A$5:$C$5809,3,FALSE)</f>
        <v>PBL</v>
      </c>
    </row>
    <row r="264" spans="1:20" x14ac:dyDescent="0.3">
      <c r="A264" s="37">
        <v>133787</v>
      </c>
      <c r="B264" s="38">
        <v>258</v>
      </c>
      <c r="C264" s="39" t="s">
        <v>1371</v>
      </c>
      <c r="D264" s="10" t="str">
        <f>VLOOKUP(C264,'Data Angt'!$A$5:$B$5809,2,FALSE)</f>
        <v>A537</v>
      </c>
      <c r="E264" s="40" t="s">
        <v>11826</v>
      </c>
      <c r="F264" s="41">
        <v>44768</v>
      </c>
      <c r="G264" s="38">
        <v>1</v>
      </c>
      <c r="H264" s="40">
        <v>0</v>
      </c>
      <c r="I264" s="38">
        <v>4</v>
      </c>
      <c r="J264" s="41">
        <v>45230</v>
      </c>
      <c r="K264" s="38" t="s">
        <v>10768</v>
      </c>
      <c r="L264" s="42">
        <v>29000000</v>
      </c>
      <c r="O264" s="151" t="s">
        <v>5700</v>
      </c>
      <c r="P264" s="5" t="str">
        <f t="shared" si="8"/>
        <v>A2515</v>
      </c>
      <c r="Q264" s="5">
        <f t="shared" si="9"/>
        <v>2</v>
      </c>
      <c r="R264">
        <f>VLOOKUP(O264,'Data Angt'!$A$5:$F$5810,6,FALSE)</f>
        <v>54</v>
      </c>
      <c r="S264" s="5" t="str">
        <f>VLOOKUP(O264,'Data Angt'!$A$5:$H$5810,8,FALSE)</f>
        <v>Tenaga Medis</v>
      </c>
      <c r="T264" s="44" t="str">
        <f>VLOOKUP(O264,'Data Angt'!$A$5:$C$5809,3,FALSE)</f>
        <v>JBR</v>
      </c>
    </row>
    <row r="265" spans="1:20" x14ac:dyDescent="0.3">
      <c r="A265" s="37">
        <v>133789</v>
      </c>
      <c r="B265" s="38">
        <v>259</v>
      </c>
      <c r="C265" s="39" t="s">
        <v>1371</v>
      </c>
      <c r="D265" s="10" t="str">
        <f>VLOOKUP(C265,'Data Angt'!$A$5:$B$5809,2,FALSE)</f>
        <v>A537</v>
      </c>
      <c r="E265" s="40" t="s">
        <v>11825</v>
      </c>
      <c r="F265" s="41">
        <v>44768</v>
      </c>
      <c r="G265" s="38">
        <v>1</v>
      </c>
      <c r="H265" s="40">
        <v>0</v>
      </c>
      <c r="I265" s="38">
        <v>4</v>
      </c>
      <c r="J265" s="41">
        <v>45348</v>
      </c>
      <c r="K265" s="38" t="s">
        <v>10768</v>
      </c>
      <c r="L265" s="42">
        <v>21500000</v>
      </c>
      <c r="O265" s="151" t="s">
        <v>5746</v>
      </c>
      <c r="P265" s="5" t="str">
        <f t="shared" si="8"/>
        <v>A2534</v>
      </c>
      <c r="Q265" s="5">
        <f t="shared" si="9"/>
        <v>1</v>
      </c>
      <c r="R265">
        <f>VLOOKUP(O265,'Data Angt'!$A$5:$F$5810,6,FALSE)</f>
        <v>67</v>
      </c>
      <c r="S265" s="5" t="str">
        <f>VLOOKUP(O265,'Data Angt'!$A$5:$H$5810,8,FALSE)</f>
        <v>Aparatur/Pejabat Negara</v>
      </c>
      <c r="T265" s="44" t="str">
        <f>VLOOKUP(O265,'Data Angt'!$A$5:$C$5809,3,FALSE)</f>
        <v>PBL</v>
      </c>
    </row>
    <row r="266" spans="1:20" x14ac:dyDescent="0.3">
      <c r="A266" s="37">
        <v>142909</v>
      </c>
      <c r="B266" s="38">
        <v>260</v>
      </c>
      <c r="C266" s="39" t="s">
        <v>1371</v>
      </c>
      <c r="D266" s="10" t="str">
        <f>VLOOKUP(C266,'Data Angt'!$A$5:$B$5809,2,FALSE)</f>
        <v>A537</v>
      </c>
      <c r="E266" s="40" t="s">
        <v>18045</v>
      </c>
      <c r="F266" s="41">
        <v>45348</v>
      </c>
      <c r="G266" s="38">
        <v>1</v>
      </c>
      <c r="H266" s="40">
        <v>0</v>
      </c>
      <c r="I266" s="38">
        <v>4</v>
      </c>
      <c r="J266" s="41">
        <v>45348</v>
      </c>
      <c r="K266" s="38" t="s">
        <v>10768</v>
      </c>
      <c r="L266" s="42">
        <v>5000000</v>
      </c>
      <c r="O266" s="151" t="s">
        <v>5761</v>
      </c>
      <c r="P266" s="5" t="str">
        <f t="shared" si="8"/>
        <v>A2541</v>
      </c>
      <c r="Q266" s="5">
        <f t="shared" si="9"/>
        <v>1</v>
      </c>
      <c r="R266">
        <f>VLOOKUP(O266,'Data Angt'!$A$5:$F$5810,6,FALSE)</f>
        <v>31</v>
      </c>
      <c r="S266" s="5" t="str">
        <f>VLOOKUP(O266,'Data Angt'!$A$5:$H$5810,8,FALSE)</f>
        <v>Karyawan</v>
      </c>
      <c r="T266" s="44" t="str">
        <f>VLOOKUP(O266,'Data Angt'!$A$5:$C$5809,3,FALSE)</f>
        <v>PBL</v>
      </c>
    </row>
    <row r="267" spans="1:20" x14ac:dyDescent="0.3">
      <c r="A267" s="37">
        <v>149663</v>
      </c>
      <c r="B267" s="38">
        <v>261</v>
      </c>
      <c r="C267" s="39" t="s">
        <v>1379</v>
      </c>
      <c r="D267" s="10" t="str">
        <f>VLOOKUP(C267,'Data Angt'!$A$5:$B$5809,2,FALSE)</f>
        <v>A540</v>
      </c>
      <c r="E267" s="40" t="s">
        <v>18048</v>
      </c>
      <c r="F267" s="41">
        <v>45576</v>
      </c>
      <c r="G267" s="38">
        <v>1</v>
      </c>
      <c r="H267" s="40">
        <v>0</v>
      </c>
      <c r="I267" s="38">
        <v>4</v>
      </c>
      <c r="J267" s="41">
        <v>45576</v>
      </c>
      <c r="K267" s="38" t="s">
        <v>10768</v>
      </c>
      <c r="L267" s="42">
        <v>10000000</v>
      </c>
      <c r="O267" s="151" t="s">
        <v>5792</v>
      </c>
      <c r="P267" s="5" t="str">
        <f t="shared" si="8"/>
        <v>A2554</v>
      </c>
      <c r="Q267" s="5">
        <f t="shared" si="9"/>
        <v>4</v>
      </c>
      <c r="R267">
        <f>VLOOKUP(O267,'Data Angt'!$A$5:$F$5810,6,FALSE)</f>
        <v>73</v>
      </c>
      <c r="S267" s="5" t="str">
        <f>VLOOKUP(O267,'Data Angt'!$A$5:$H$5810,8,FALSE)</f>
        <v>Wiraswasta</v>
      </c>
      <c r="T267" s="44" t="str">
        <f>VLOOKUP(O267,'Data Angt'!$A$5:$C$5809,3,FALSE)</f>
        <v>PBL</v>
      </c>
    </row>
    <row r="268" spans="1:20" x14ac:dyDescent="0.3">
      <c r="A268" s="37">
        <v>78588</v>
      </c>
      <c r="B268" s="38">
        <v>262</v>
      </c>
      <c r="C268" s="39" t="s">
        <v>1403</v>
      </c>
      <c r="D268" s="10" t="str">
        <f>VLOOKUP(C268,'Data Angt'!$A$5:$B$5809,2,FALSE)</f>
        <v>A549</v>
      </c>
      <c r="E268" s="40" t="s">
        <v>11823</v>
      </c>
      <c r="F268" s="41">
        <v>41008</v>
      </c>
      <c r="G268" s="38">
        <v>1</v>
      </c>
      <c r="H268" s="40">
        <v>0</v>
      </c>
      <c r="I268" s="38">
        <v>4</v>
      </c>
      <c r="J268" s="41">
        <v>41156</v>
      </c>
      <c r="K268" s="38" t="s">
        <v>10768</v>
      </c>
      <c r="L268" s="42">
        <v>2000000</v>
      </c>
      <c r="O268" s="151" t="s">
        <v>5799</v>
      </c>
      <c r="P268" s="5" t="str">
        <f t="shared" si="8"/>
        <v>A2557</v>
      </c>
      <c r="Q268" s="5">
        <f t="shared" si="9"/>
        <v>2</v>
      </c>
      <c r="R268">
        <f>VLOOKUP(O268,'Data Angt'!$A$5:$F$5810,6,FALSE)</f>
        <v>37</v>
      </c>
      <c r="S268" s="5" t="str">
        <f>VLOOKUP(O268,'Data Angt'!$A$5:$H$5810,8,FALSE)</f>
        <v>Aparatur/Pejabat Negara</v>
      </c>
      <c r="T268" s="44" t="str">
        <f>VLOOKUP(O268,'Data Angt'!$A$5:$C$5809,3,FALSE)</f>
        <v>PBL</v>
      </c>
    </row>
    <row r="269" spans="1:20" x14ac:dyDescent="0.3">
      <c r="A269" s="37">
        <v>126719</v>
      </c>
      <c r="B269" s="38">
        <v>263</v>
      </c>
      <c r="C269" s="39" t="s">
        <v>1415</v>
      </c>
      <c r="D269" s="10" t="str">
        <f>VLOOKUP(C269,'Data Angt'!$A$5:$B$5809,2,FALSE)</f>
        <v>A555</v>
      </c>
      <c r="E269" s="40" t="s">
        <v>11822</v>
      </c>
      <c r="F269" s="41">
        <v>44226</v>
      </c>
      <c r="G269" s="38">
        <v>1</v>
      </c>
      <c r="H269" s="40">
        <v>0</v>
      </c>
      <c r="I269" s="38">
        <v>4</v>
      </c>
      <c r="J269" s="41">
        <v>44226</v>
      </c>
      <c r="K269" s="38" t="s">
        <v>10768</v>
      </c>
      <c r="L269" s="42">
        <v>20000000</v>
      </c>
      <c r="O269" s="151" t="s">
        <v>5801</v>
      </c>
      <c r="P269" s="5" t="str">
        <f t="shared" si="8"/>
        <v>A2558</v>
      </c>
      <c r="Q269" s="5">
        <f t="shared" si="9"/>
        <v>1</v>
      </c>
      <c r="R269">
        <f>VLOOKUP(O269,'Data Angt'!$A$5:$F$5810,6,FALSE)</f>
        <v>48</v>
      </c>
      <c r="S269" s="5" t="str">
        <f>VLOOKUP(O269,'Data Angt'!$A$5:$H$5810,8,FALSE)</f>
        <v>Lain-Lain</v>
      </c>
      <c r="T269" s="44" t="str">
        <f>VLOOKUP(O269,'Data Angt'!$A$5:$C$5809,3,FALSE)</f>
        <v>PBL</v>
      </c>
    </row>
    <row r="270" spans="1:20" x14ac:dyDescent="0.3">
      <c r="A270" s="37">
        <v>78662</v>
      </c>
      <c r="B270" s="38">
        <v>264</v>
      </c>
      <c r="C270" s="39" t="s">
        <v>1435</v>
      </c>
      <c r="D270" s="10" t="str">
        <f>VLOOKUP(C270,'Data Angt'!$A$5:$B$5809,2,FALSE)</f>
        <v>A564</v>
      </c>
      <c r="E270" s="40" t="s">
        <v>11821</v>
      </c>
      <c r="F270" s="41">
        <v>42796</v>
      </c>
      <c r="G270" s="38">
        <v>1</v>
      </c>
      <c r="H270" s="40">
        <v>0</v>
      </c>
      <c r="I270" s="38">
        <v>4</v>
      </c>
      <c r="J270" s="41">
        <v>42769</v>
      </c>
      <c r="K270" s="38" t="s">
        <v>10768</v>
      </c>
      <c r="L270" s="42">
        <v>4000000</v>
      </c>
      <c r="O270" s="151" t="s">
        <v>5802</v>
      </c>
      <c r="P270" s="5" t="str">
        <f t="shared" si="8"/>
        <v>A2559</v>
      </c>
      <c r="Q270" s="5">
        <f t="shared" si="9"/>
        <v>1</v>
      </c>
      <c r="R270">
        <f>VLOOKUP(O270,'Data Angt'!$A$5:$F$5810,6,FALSE)</f>
        <v>36</v>
      </c>
      <c r="S270" s="5" t="str">
        <f>VLOOKUP(O270,'Data Angt'!$A$5:$H$5810,8,FALSE)</f>
        <v>Wiraswasta</v>
      </c>
      <c r="T270" s="44" t="str">
        <f>VLOOKUP(O270,'Data Angt'!$A$5:$C$5809,3,FALSE)</f>
        <v>PBL</v>
      </c>
    </row>
    <row r="271" spans="1:20" x14ac:dyDescent="0.3">
      <c r="A271" s="37">
        <v>151246</v>
      </c>
      <c r="B271" s="38">
        <v>265</v>
      </c>
      <c r="C271" s="39" t="s">
        <v>1437</v>
      </c>
      <c r="D271" s="10" t="str">
        <f>VLOOKUP(C271,'Data Angt'!$A$5:$B$5809,2,FALSE)</f>
        <v>A565</v>
      </c>
      <c r="E271" s="40" t="s">
        <v>18049</v>
      </c>
      <c r="F271" s="41">
        <v>45629</v>
      </c>
      <c r="G271" s="38">
        <v>1</v>
      </c>
      <c r="H271" s="40">
        <v>0</v>
      </c>
      <c r="I271" s="38">
        <v>4</v>
      </c>
      <c r="J271" s="41">
        <v>45629</v>
      </c>
      <c r="K271" s="38" t="s">
        <v>10768</v>
      </c>
      <c r="L271" s="42">
        <v>50000000</v>
      </c>
      <c r="O271" s="151" t="s">
        <v>5838</v>
      </c>
      <c r="P271" s="5" t="str">
        <f t="shared" si="8"/>
        <v>A2575</v>
      </c>
      <c r="Q271" s="5">
        <f t="shared" si="9"/>
        <v>1</v>
      </c>
      <c r="R271">
        <f>VLOOKUP(O271,'Data Angt'!$A$5:$F$5810,6,FALSE)</f>
        <v>51</v>
      </c>
      <c r="S271" s="5" t="str">
        <f>VLOOKUP(O271,'Data Angt'!$A$5:$H$5810,8,FALSE)</f>
        <v>Tenaga Medis</v>
      </c>
      <c r="T271" s="44" t="str">
        <f>VLOOKUP(O271,'Data Angt'!$A$5:$C$5809,3,FALSE)</f>
        <v>JBR</v>
      </c>
    </row>
    <row r="272" spans="1:20" x14ac:dyDescent="0.3">
      <c r="A272" s="37">
        <v>151247</v>
      </c>
      <c r="B272" s="38">
        <v>266</v>
      </c>
      <c r="C272" s="39" t="s">
        <v>1437</v>
      </c>
      <c r="D272" s="10" t="str">
        <f>VLOOKUP(C272,'Data Angt'!$A$5:$B$5809,2,FALSE)</f>
        <v>A565</v>
      </c>
      <c r="E272" s="40" t="s">
        <v>18050</v>
      </c>
      <c r="F272" s="41">
        <v>45629</v>
      </c>
      <c r="G272" s="38">
        <v>1</v>
      </c>
      <c r="H272" s="40">
        <v>0</v>
      </c>
      <c r="I272" s="38">
        <v>4</v>
      </c>
      <c r="J272" s="41">
        <v>45629</v>
      </c>
      <c r="K272" s="38" t="s">
        <v>10768</v>
      </c>
      <c r="L272" s="42">
        <v>20000000</v>
      </c>
      <c r="O272" s="151" t="s">
        <v>5868</v>
      </c>
      <c r="P272" s="5" t="str">
        <f t="shared" si="8"/>
        <v>A2590</v>
      </c>
      <c r="Q272" s="5">
        <f t="shared" si="9"/>
        <v>1</v>
      </c>
      <c r="R272">
        <f>VLOOKUP(O272,'Data Angt'!$A$5:$F$5810,6,FALSE)</f>
        <v>31</v>
      </c>
      <c r="S272" s="5" t="str">
        <f>VLOOKUP(O272,'Data Angt'!$A$5:$H$5810,8,FALSE)</f>
        <v>Karyawan</v>
      </c>
      <c r="T272" s="44" t="str">
        <f>VLOOKUP(O272,'Data Angt'!$A$5:$C$5809,3,FALSE)</f>
        <v>JBR</v>
      </c>
    </row>
    <row r="273" spans="1:20" x14ac:dyDescent="0.3">
      <c r="A273" s="37">
        <v>125883</v>
      </c>
      <c r="B273" s="38">
        <v>267</v>
      </c>
      <c r="C273" s="39" t="s">
        <v>1457</v>
      </c>
      <c r="D273" s="10" t="str">
        <f>VLOOKUP(C273,'Data Angt'!$A$5:$B$5809,2,FALSE)</f>
        <v>A572</v>
      </c>
      <c r="E273" s="40" t="s">
        <v>11820</v>
      </c>
      <c r="F273" s="41">
        <v>44154</v>
      </c>
      <c r="G273" s="38">
        <v>1</v>
      </c>
      <c r="H273" s="40">
        <v>0</v>
      </c>
      <c r="I273" s="38">
        <v>4</v>
      </c>
      <c r="J273" s="41">
        <v>44154</v>
      </c>
      <c r="K273" s="38" t="s">
        <v>10768</v>
      </c>
      <c r="L273" s="42">
        <v>6000000</v>
      </c>
      <c r="O273" s="151" t="s">
        <v>5875</v>
      </c>
      <c r="P273" s="5" t="str">
        <f t="shared" si="8"/>
        <v>A2592</v>
      </c>
      <c r="Q273" s="5">
        <f t="shared" si="9"/>
        <v>1</v>
      </c>
      <c r="R273">
        <f>VLOOKUP(O273,'Data Angt'!$A$5:$F$5810,6,FALSE)</f>
        <v>60</v>
      </c>
      <c r="S273" s="5" t="str">
        <f>VLOOKUP(O273,'Data Angt'!$A$5:$H$5810,8,FALSE)</f>
        <v>Mengurus Rumah Tangga</v>
      </c>
      <c r="T273" s="44" t="str">
        <f>VLOOKUP(O273,'Data Angt'!$A$5:$C$5809,3,FALSE)</f>
        <v>PBL</v>
      </c>
    </row>
    <row r="274" spans="1:20" x14ac:dyDescent="0.3">
      <c r="A274" s="37">
        <v>134593</v>
      </c>
      <c r="B274" s="38">
        <v>268</v>
      </c>
      <c r="C274" s="39" t="s">
        <v>1457</v>
      </c>
      <c r="D274" s="10" t="str">
        <f>VLOOKUP(C274,'Data Angt'!$A$5:$B$5809,2,FALSE)</f>
        <v>A572</v>
      </c>
      <c r="E274" s="40" t="s">
        <v>11819</v>
      </c>
      <c r="F274" s="41">
        <v>44820</v>
      </c>
      <c r="G274" s="38">
        <v>1</v>
      </c>
      <c r="H274" s="40">
        <v>0</v>
      </c>
      <c r="I274" s="38">
        <v>4</v>
      </c>
      <c r="J274" s="41">
        <v>44820</v>
      </c>
      <c r="K274" s="38" t="s">
        <v>10768</v>
      </c>
      <c r="L274" s="42">
        <v>25000000</v>
      </c>
      <c r="O274" s="151" t="s">
        <v>5903</v>
      </c>
      <c r="P274" s="5" t="str">
        <f t="shared" si="8"/>
        <v>A2607</v>
      </c>
      <c r="Q274" s="5">
        <f t="shared" si="9"/>
        <v>6</v>
      </c>
      <c r="R274">
        <f>VLOOKUP(O274,'Data Angt'!$A$5:$F$5810,6,FALSE)</f>
        <v>64</v>
      </c>
      <c r="S274" s="5" t="str">
        <f>VLOOKUP(O274,'Data Angt'!$A$5:$H$5810,8,FALSE)</f>
        <v>Aparatur/Pejabat Negara</v>
      </c>
      <c r="T274" s="44" t="str">
        <f>VLOOKUP(O274,'Data Angt'!$A$5:$C$5809,3,FALSE)</f>
        <v>PBL</v>
      </c>
    </row>
    <row r="275" spans="1:20" x14ac:dyDescent="0.3">
      <c r="A275" s="37">
        <v>77902</v>
      </c>
      <c r="B275" s="38">
        <v>269</v>
      </c>
      <c r="C275" s="39" t="s">
        <v>1464</v>
      </c>
      <c r="D275" s="10" t="str">
        <f>VLOOKUP(C275,'Data Angt'!$A$5:$B$5809,2,FALSE)</f>
        <v>A574</v>
      </c>
      <c r="E275" s="40" t="s">
        <v>11818</v>
      </c>
      <c r="F275" s="41">
        <v>41355</v>
      </c>
      <c r="G275" s="38">
        <v>1</v>
      </c>
      <c r="H275" s="40">
        <v>0</v>
      </c>
      <c r="I275" s="38">
        <v>4</v>
      </c>
      <c r="J275" s="41">
        <v>41355</v>
      </c>
      <c r="K275" s="38" t="s">
        <v>10768</v>
      </c>
      <c r="L275" s="42">
        <v>25000000</v>
      </c>
      <c r="O275" s="151" t="s">
        <v>5946</v>
      </c>
      <c r="P275" s="5" t="str">
        <f t="shared" si="8"/>
        <v>A2624</v>
      </c>
      <c r="Q275" s="5">
        <f t="shared" si="9"/>
        <v>1</v>
      </c>
      <c r="R275">
        <f>VLOOKUP(O275,'Data Angt'!$A$5:$F$5810,6,FALSE)</f>
        <v>28</v>
      </c>
      <c r="S275" s="5" t="str">
        <f>VLOOKUP(O275,'Data Angt'!$A$5:$H$5810,8,FALSE)</f>
        <v>Karyawan</v>
      </c>
      <c r="T275" s="44" t="str">
        <f>VLOOKUP(O275,'Data Angt'!$A$5:$C$5809,3,FALSE)</f>
        <v>PBL</v>
      </c>
    </row>
    <row r="276" spans="1:20" x14ac:dyDescent="0.3">
      <c r="A276" s="37">
        <v>139262</v>
      </c>
      <c r="B276" s="38">
        <v>270</v>
      </c>
      <c r="C276" s="39" t="s">
        <v>1465</v>
      </c>
      <c r="D276" s="10" t="str">
        <f>VLOOKUP(C276,'Data Angt'!$A$5:$B$5809,2,FALSE)</f>
        <v>A575</v>
      </c>
      <c r="E276" s="40" t="s">
        <v>11816</v>
      </c>
      <c r="F276" s="41">
        <v>45182</v>
      </c>
      <c r="G276" s="38">
        <v>1</v>
      </c>
      <c r="H276" s="40">
        <v>0</v>
      </c>
      <c r="I276" s="38">
        <v>4</v>
      </c>
      <c r="J276" s="41">
        <v>45182</v>
      </c>
      <c r="K276" s="38" t="s">
        <v>10768</v>
      </c>
      <c r="L276" s="42">
        <v>70000000</v>
      </c>
      <c r="O276" s="151" t="s">
        <v>12409</v>
      </c>
      <c r="P276" s="5" t="str">
        <f t="shared" si="8"/>
        <v>A2644</v>
      </c>
      <c r="Q276" s="5">
        <f t="shared" si="9"/>
        <v>1</v>
      </c>
      <c r="R276">
        <f>VLOOKUP(O276,'Data Angt'!$A$5:$F$5810,6,FALSE)</f>
        <v>56</v>
      </c>
      <c r="S276" s="5" t="str">
        <f>VLOOKUP(O276,'Data Angt'!$A$5:$H$5810,8,FALSE)</f>
        <v>Karyawan</v>
      </c>
      <c r="T276" s="44" t="str">
        <f>VLOOKUP(O276,'Data Angt'!$A$5:$C$5809,3,FALSE)</f>
        <v>KRK</v>
      </c>
    </row>
    <row r="277" spans="1:20" x14ac:dyDescent="0.3">
      <c r="A277" s="37">
        <v>139865</v>
      </c>
      <c r="B277" s="38">
        <v>271</v>
      </c>
      <c r="C277" s="39" t="s">
        <v>1465</v>
      </c>
      <c r="D277" s="10" t="str">
        <f>VLOOKUP(C277,'Data Angt'!$A$5:$B$5809,2,FALSE)</f>
        <v>A575</v>
      </c>
      <c r="E277" s="40" t="s">
        <v>11817</v>
      </c>
      <c r="F277" s="41">
        <v>45212</v>
      </c>
      <c r="G277" s="38">
        <v>1</v>
      </c>
      <c r="H277" s="40">
        <v>0</v>
      </c>
      <c r="I277" s="38">
        <v>4</v>
      </c>
      <c r="J277" s="41">
        <v>45212</v>
      </c>
      <c r="K277" s="38" t="s">
        <v>10768</v>
      </c>
      <c r="L277" s="42">
        <v>6000000</v>
      </c>
      <c r="O277" s="151" t="s">
        <v>6091</v>
      </c>
      <c r="P277" s="5" t="str">
        <f t="shared" si="8"/>
        <v>A2696</v>
      </c>
      <c r="Q277" s="5">
        <f t="shared" si="9"/>
        <v>7</v>
      </c>
      <c r="R277">
        <f>VLOOKUP(O277,'Data Angt'!$A$5:$F$5810,6,FALSE)</f>
        <v>46</v>
      </c>
      <c r="S277" s="5" t="str">
        <f>VLOOKUP(O277,'Data Angt'!$A$5:$H$5810,8,FALSE)</f>
        <v>Karyawan</v>
      </c>
      <c r="T277" s="44" t="str">
        <f>VLOOKUP(O277,'Data Angt'!$A$5:$C$5809,3,FALSE)</f>
        <v>JBR</v>
      </c>
    </row>
    <row r="278" spans="1:20" x14ac:dyDescent="0.3">
      <c r="A278" s="37">
        <v>143408</v>
      </c>
      <c r="B278" s="38">
        <v>272</v>
      </c>
      <c r="C278" s="39" t="s">
        <v>1465</v>
      </c>
      <c r="D278" s="10" t="str">
        <f>VLOOKUP(C278,'Data Angt'!$A$5:$B$5809,2,FALSE)</f>
        <v>A575</v>
      </c>
      <c r="E278" s="40" t="s">
        <v>18051</v>
      </c>
      <c r="F278" s="41">
        <v>45364</v>
      </c>
      <c r="G278" s="38">
        <v>1</v>
      </c>
      <c r="H278" s="40">
        <v>0</v>
      </c>
      <c r="I278" s="38">
        <v>4</v>
      </c>
      <c r="J278" s="41">
        <v>45364</v>
      </c>
      <c r="K278" s="38" t="s">
        <v>10768</v>
      </c>
      <c r="L278" s="42">
        <v>22000000</v>
      </c>
      <c r="O278" s="151" t="s">
        <v>6105</v>
      </c>
      <c r="P278" s="5" t="str">
        <f t="shared" si="8"/>
        <v>A2703</v>
      </c>
      <c r="Q278" s="5">
        <f t="shared" si="9"/>
        <v>1</v>
      </c>
      <c r="R278">
        <f>VLOOKUP(O278,'Data Angt'!$A$5:$F$5810,6,FALSE)</f>
        <v>46</v>
      </c>
      <c r="S278" s="5" t="str">
        <f>VLOOKUP(O278,'Data Angt'!$A$5:$H$5810,8,FALSE)</f>
        <v>Wiraswasta</v>
      </c>
      <c r="T278" s="44" t="str">
        <f>VLOOKUP(O278,'Data Angt'!$A$5:$C$5809,3,FALSE)</f>
        <v>MJK</v>
      </c>
    </row>
    <row r="279" spans="1:20" x14ac:dyDescent="0.3">
      <c r="A279" s="37">
        <v>144992</v>
      </c>
      <c r="B279" s="38">
        <v>273</v>
      </c>
      <c r="C279" s="39" t="s">
        <v>1465</v>
      </c>
      <c r="D279" s="10" t="str">
        <f>VLOOKUP(C279,'Data Angt'!$A$5:$B$5809,2,FALSE)</f>
        <v>A575</v>
      </c>
      <c r="E279" s="40" t="s">
        <v>18052</v>
      </c>
      <c r="F279" s="41">
        <v>45426</v>
      </c>
      <c r="G279" s="38">
        <v>1</v>
      </c>
      <c r="H279" s="40">
        <v>0</v>
      </c>
      <c r="I279" s="38">
        <v>4</v>
      </c>
      <c r="J279" s="41">
        <v>45426</v>
      </c>
      <c r="K279" s="38" t="s">
        <v>10768</v>
      </c>
      <c r="L279" s="42">
        <v>8000000</v>
      </c>
      <c r="O279" s="151" t="s">
        <v>6122</v>
      </c>
      <c r="P279" s="5" t="str">
        <f t="shared" si="8"/>
        <v>A2712</v>
      </c>
      <c r="Q279" s="5">
        <f t="shared" si="9"/>
        <v>2</v>
      </c>
      <c r="R279">
        <f>VLOOKUP(O279,'Data Angt'!$A$5:$F$5810,6,FALSE)</f>
        <v>25</v>
      </c>
      <c r="S279" s="5" t="str">
        <f>VLOOKUP(O279,'Data Angt'!$A$5:$H$5810,8,FALSE)</f>
        <v>Aparatur/Pejabat Negara</v>
      </c>
      <c r="T279" s="44" t="str">
        <f>VLOOKUP(O279,'Data Angt'!$A$5:$C$5809,3,FALSE)</f>
        <v>PBL</v>
      </c>
    </row>
    <row r="280" spans="1:20" x14ac:dyDescent="0.3">
      <c r="A280" s="37">
        <v>77876</v>
      </c>
      <c r="B280" s="38">
        <v>274</v>
      </c>
      <c r="C280" s="39" t="s">
        <v>1482</v>
      </c>
      <c r="D280" s="10" t="str">
        <f>VLOOKUP(C280,'Data Angt'!$A$5:$B$5809,2,FALSE)</f>
        <v>A583</v>
      </c>
      <c r="E280" s="40" t="s">
        <v>11815</v>
      </c>
      <c r="F280" s="41">
        <v>39421</v>
      </c>
      <c r="G280" s="38">
        <v>1</v>
      </c>
      <c r="H280" s="40">
        <v>0</v>
      </c>
      <c r="I280" s="38">
        <v>4</v>
      </c>
      <c r="J280" s="41">
        <v>39214</v>
      </c>
      <c r="K280" s="38" t="s">
        <v>10768</v>
      </c>
      <c r="L280" s="42">
        <v>30000000</v>
      </c>
      <c r="O280" s="151" t="s">
        <v>6154</v>
      </c>
      <c r="P280" s="5" t="str">
        <f t="shared" si="8"/>
        <v>A2725</v>
      </c>
      <c r="Q280" s="5">
        <f t="shared" si="9"/>
        <v>2</v>
      </c>
      <c r="R280">
        <f>VLOOKUP(O280,'Data Angt'!$A$5:$F$5810,6,FALSE)</f>
        <v>43</v>
      </c>
      <c r="S280" s="5" t="str">
        <f>VLOOKUP(O280,'Data Angt'!$A$5:$H$5810,8,FALSE)</f>
        <v>Belum/Tidak Bekerja</v>
      </c>
      <c r="T280" s="44" t="str">
        <f>VLOOKUP(O280,'Data Angt'!$A$5:$C$5809,3,FALSE)</f>
        <v>MGL</v>
      </c>
    </row>
    <row r="281" spans="1:20" x14ac:dyDescent="0.3">
      <c r="A281" s="37">
        <v>77877</v>
      </c>
      <c r="B281" s="38">
        <v>275</v>
      </c>
      <c r="C281" s="39" t="s">
        <v>1482</v>
      </c>
      <c r="D281" s="10" t="str">
        <f>VLOOKUP(C281,'Data Angt'!$A$5:$B$5809,2,FALSE)</f>
        <v>A583</v>
      </c>
      <c r="E281" s="40" t="s">
        <v>11814</v>
      </c>
      <c r="F281" s="41">
        <v>39456</v>
      </c>
      <c r="G281" s="38">
        <v>1</v>
      </c>
      <c r="H281" s="40">
        <v>0</v>
      </c>
      <c r="I281" s="38">
        <v>4</v>
      </c>
      <c r="J281" s="41">
        <v>39692</v>
      </c>
      <c r="K281" s="38" t="s">
        <v>10768</v>
      </c>
      <c r="L281" s="42">
        <v>10000000</v>
      </c>
      <c r="O281" s="151" t="s">
        <v>6167</v>
      </c>
      <c r="P281" s="5" t="str">
        <f t="shared" si="8"/>
        <v>A2732</v>
      </c>
      <c r="Q281" s="5">
        <f t="shared" si="9"/>
        <v>2</v>
      </c>
      <c r="R281">
        <f>VLOOKUP(O281,'Data Angt'!$A$5:$F$5810,6,FALSE)</f>
        <v>54</v>
      </c>
      <c r="S281" s="5" t="str">
        <f>VLOOKUP(O281,'Data Angt'!$A$5:$H$5810,8,FALSE)</f>
        <v>Karyawan</v>
      </c>
      <c r="T281" s="44" t="str">
        <f>VLOOKUP(O281,'Data Angt'!$A$5:$C$5809,3,FALSE)</f>
        <v>PBL</v>
      </c>
    </row>
    <row r="282" spans="1:20" x14ac:dyDescent="0.3">
      <c r="A282" s="37">
        <v>157592</v>
      </c>
      <c r="B282" s="38">
        <v>276</v>
      </c>
      <c r="C282" s="39" t="s">
        <v>12156</v>
      </c>
      <c r="D282" s="10" t="str">
        <f>VLOOKUP(C282,'Data Angt'!$A$5:$B$5809,2,FALSE)</f>
        <v>A600</v>
      </c>
      <c r="E282" s="40" t="s">
        <v>24003</v>
      </c>
      <c r="F282" s="41">
        <v>45875</v>
      </c>
      <c r="G282" s="38">
        <v>1</v>
      </c>
      <c r="H282" s="40">
        <v>0</v>
      </c>
      <c r="I282" s="38">
        <v>4</v>
      </c>
      <c r="J282" s="41">
        <v>45875</v>
      </c>
      <c r="K282" s="38" t="s">
        <v>10768</v>
      </c>
      <c r="L282" s="42">
        <v>1000000</v>
      </c>
      <c r="O282" s="151" t="s">
        <v>6173</v>
      </c>
      <c r="P282" s="5" t="str">
        <f t="shared" si="8"/>
        <v>A2736</v>
      </c>
      <c r="Q282" s="5">
        <f t="shared" si="9"/>
        <v>1</v>
      </c>
      <c r="R282">
        <f>VLOOKUP(O282,'Data Angt'!$A$5:$F$5810,6,FALSE)</f>
        <v>39</v>
      </c>
      <c r="S282" s="5" t="str">
        <f>VLOOKUP(O282,'Data Angt'!$A$5:$H$5810,8,FALSE)</f>
        <v>Lain-Lain</v>
      </c>
      <c r="T282" s="44" t="str">
        <f>VLOOKUP(O282,'Data Angt'!$A$5:$C$5809,3,FALSE)</f>
        <v>JBR</v>
      </c>
    </row>
    <row r="283" spans="1:20" x14ac:dyDescent="0.3">
      <c r="A283" s="37">
        <v>145748</v>
      </c>
      <c r="B283" s="38">
        <v>277</v>
      </c>
      <c r="C283" s="39" t="s">
        <v>1536</v>
      </c>
      <c r="D283" s="10" t="str">
        <f>VLOOKUP(C283,'Data Angt'!$A$5:$B$5809,2,FALSE)</f>
        <v>A607</v>
      </c>
      <c r="E283" s="40" t="s">
        <v>18053</v>
      </c>
      <c r="F283" s="41">
        <v>45443</v>
      </c>
      <c r="G283" s="38">
        <v>1</v>
      </c>
      <c r="H283" s="40">
        <v>0</v>
      </c>
      <c r="I283" s="38">
        <v>4</v>
      </c>
      <c r="J283" s="41">
        <v>45443</v>
      </c>
      <c r="K283" s="38" t="s">
        <v>10768</v>
      </c>
      <c r="L283" s="42">
        <v>40000000</v>
      </c>
      <c r="O283" s="151" t="s">
        <v>6194</v>
      </c>
      <c r="P283" s="5" t="str">
        <f t="shared" si="8"/>
        <v>A2744</v>
      </c>
      <c r="Q283" s="5">
        <f t="shared" si="9"/>
        <v>3</v>
      </c>
      <c r="R283">
        <f>VLOOKUP(O283,'Data Angt'!$A$5:$F$5810,6,FALSE)</f>
        <v>45</v>
      </c>
      <c r="S283" s="5" t="str">
        <f>VLOOKUP(O283,'Data Angt'!$A$5:$H$5810,8,FALSE)</f>
        <v>Karyawan</v>
      </c>
      <c r="T283" s="44" t="str">
        <f>VLOOKUP(O283,'Data Angt'!$A$5:$C$5809,3,FALSE)</f>
        <v>PBL</v>
      </c>
    </row>
    <row r="284" spans="1:20" x14ac:dyDescent="0.3">
      <c r="A284" s="37">
        <v>158823</v>
      </c>
      <c r="B284" s="38">
        <v>278</v>
      </c>
      <c r="C284" s="39" t="s">
        <v>1586</v>
      </c>
      <c r="D284" s="10" t="str">
        <f>VLOOKUP(C284,'Data Angt'!$A$5:$B$5809,2,FALSE)</f>
        <v>A628</v>
      </c>
      <c r="E284" s="40" t="s">
        <v>24004</v>
      </c>
      <c r="F284" s="41">
        <v>45929</v>
      </c>
      <c r="G284" s="38">
        <v>1</v>
      </c>
      <c r="H284" s="40">
        <v>0</v>
      </c>
      <c r="I284" s="38">
        <v>4</v>
      </c>
      <c r="J284" s="41">
        <v>45929</v>
      </c>
      <c r="K284" s="38" t="s">
        <v>10768</v>
      </c>
      <c r="L284" s="42">
        <v>23000000</v>
      </c>
      <c r="O284" s="151" t="s">
        <v>6197</v>
      </c>
      <c r="P284" s="5" t="str">
        <f t="shared" si="8"/>
        <v>A2745</v>
      </c>
      <c r="Q284" s="5">
        <f t="shared" si="9"/>
        <v>5</v>
      </c>
      <c r="R284">
        <f>VLOOKUP(O284,'Data Angt'!$A$5:$F$5810,6,FALSE)</f>
        <v>41</v>
      </c>
      <c r="S284" s="5" t="str">
        <f>VLOOKUP(O284,'Data Angt'!$A$5:$H$5810,8,FALSE)</f>
        <v>Tenaga Pengajar</v>
      </c>
      <c r="T284" s="44" t="str">
        <f>VLOOKUP(O284,'Data Angt'!$A$5:$C$5809,3,FALSE)</f>
        <v>PBL</v>
      </c>
    </row>
    <row r="285" spans="1:20" x14ac:dyDescent="0.3">
      <c r="A285" s="37">
        <v>149664</v>
      </c>
      <c r="B285" s="38">
        <v>279</v>
      </c>
      <c r="C285" s="39" t="s">
        <v>1592</v>
      </c>
      <c r="D285" s="10" t="str">
        <f>VLOOKUP(C285,'Data Angt'!$A$5:$B$5809,2,FALSE)</f>
        <v>A631</v>
      </c>
      <c r="E285" s="40" t="s">
        <v>18054</v>
      </c>
      <c r="F285" s="41">
        <v>45576</v>
      </c>
      <c r="G285" s="38">
        <v>1</v>
      </c>
      <c r="H285" s="40">
        <v>0</v>
      </c>
      <c r="I285" s="38">
        <v>4</v>
      </c>
      <c r="J285" s="41">
        <v>45576</v>
      </c>
      <c r="K285" s="38" t="s">
        <v>10768</v>
      </c>
      <c r="L285" s="42">
        <v>50000000</v>
      </c>
      <c r="O285" s="151" t="s">
        <v>6238</v>
      </c>
      <c r="P285" s="5" t="str">
        <f t="shared" si="8"/>
        <v>A2764</v>
      </c>
      <c r="Q285" s="5">
        <f t="shared" si="9"/>
        <v>1</v>
      </c>
      <c r="R285">
        <f>VLOOKUP(O285,'Data Angt'!$A$5:$F$5810,6,FALSE)</f>
        <v>48</v>
      </c>
      <c r="S285" s="5" t="str">
        <f>VLOOKUP(O285,'Data Angt'!$A$5:$H$5810,8,FALSE)</f>
        <v>Tenaga Pengajar</v>
      </c>
      <c r="T285" s="44" t="str">
        <f>VLOOKUP(O285,'Data Angt'!$A$5:$C$5809,3,FALSE)</f>
        <v>PBL</v>
      </c>
    </row>
    <row r="286" spans="1:20" x14ac:dyDescent="0.3">
      <c r="A286" s="37">
        <v>158232</v>
      </c>
      <c r="B286" s="38">
        <v>280</v>
      </c>
      <c r="C286" s="39" t="s">
        <v>1592</v>
      </c>
      <c r="D286" s="10" t="str">
        <f>VLOOKUP(C286,'Data Angt'!$A$5:$B$5809,2,FALSE)</f>
        <v>A631</v>
      </c>
      <c r="E286" s="40" t="s">
        <v>24005</v>
      </c>
      <c r="F286" s="41">
        <v>45899</v>
      </c>
      <c r="G286" s="38">
        <v>1</v>
      </c>
      <c r="H286" s="40">
        <v>0</v>
      </c>
      <c r="I286" s="38">
        <v>4</v>
      </c>
      <c r="J286" s="41">
        <v>45899</v>
      </c>
      <c r="K286" s="38" t="s">
        <v>10768</v>
      </c>
      <c r="L286" s="42">
        <v>50000000</v>
      </c>
      <c r="O286" s="151" t="s">
        <v>6247</v>
      </c>
      <c r="P286" s="5" t="str">
        <f t="shared" si="8"/>
        <v>A2767</v>
      </c>
      <c r="Q286" s="5">
        <f t="shared" si="9"/>
        <v>2</v>
      </c>
      <c r="R286">
        <f>VLOOKUP(O286,'Data Angt'!$A$5:$F$5810,6,FALSE)</f>
        <v>61</v>
      </c>
      <c r="S286" s="5" t="str">
        <f>VLOOKUP(O286,'Data Angt'!$A$5:$H$5810,8,FALSE)</f>
        <v>Tenaga Pengajar</v>
      </c>
      <c r="T286" s="44" t="str">
        <f>VLOOKUP(O286,'Data Angt'!$A$5:$C$5809,3,FALSE)</f>
        <v>PBL</v>
      </c>
    </row>
    <row r="287" spans="1:20" x14ac:dyDescent="0.3">
      <c r="A287" s="37">
        <v>92960</v>
      </c>
      <c r="B287" s="38">
        <v>281</v>
      </c>
      <c r="C287" s="39" t="s">
        <v>1596</v>
      </c>
      <c r="D287" s="10" t="str">
        <f>VLOOKUP(C287,'Data Angt'!$A$5:$B$5809,2,FALSE)</f>
        <v>A633</v>
      </c>
      <c r="E287" s="40" t="s">
        <v>11813</v>
      </c>
      <c r="F287" s="41">
        <v>43480</v>
      </c>
      <c r="G287" s="38">
        <v>1</v>
      </c>
      <c r="H287" s="40">
        <v>0</v>
      </c>
      <c r="I287" s="38">
        <v>4</v>
      </c>
      <c r="J287" s="41">
        <v>43480</v>
      </c>
      <c r="K287" s="38" t="s">
        <v>10768</v>
      </c>
      <c r="L287" s="42">
        <v>30000000</v>
      </c>
      <c r="O287" s="151" t="s">
        <v>6250</v>
      </c>
      <c r="P287" s="5" t="str">
        <f t="shared" si="8"/>
        <v>A2769</v>
      </c>
      <c r="Q287" s="5">
        <f t="shared" si="9"/>
        <v>3</v>
      </c>
      <c r="R287">
        <f>VLOOKUP(O287,'Data Angt'!$A$5:$F$5810,6,FALSE)</f>
        <v>59</v>
      </c>
      <c r="S287" s="5" t="str">
        <f>VLOOKUP(O287,'Data Angt'!$A$5:$H$5810,8,FALSE)</f>
        <v>Mengurus Rumah Tangga</v>
      </c>
      <c r="T287" s="44" t="str">
        <f>VLOOKUP(O287,'Data Angt'!$A$5:$C$5809,3,FALSE)</f>
        <v>PBL</v>
      </c>
    </row>
    <row r="288" spans="1:20" x14ac:dyDescent="0.3">
      <c r="A288" s="37">
        <v>115651</v>
      </c>
      <c r="B288" s="38">
        <v>282</v>
      </c>
      <c r="C288" s="39" t="s">
        <v>1596</v>
      </c>
      <c r="D288" s="10" t="str">
        <f>VLOOKUP(C288,'Data Angt'!$A$5:$B$5809,2,FALSE)</f>
        <v>A633</v>
      </c>
      <c r="E288" s="40" t="s">
        <v>11812</v>
      </c>
      <c r="F288" s="41">
        <v>43699</v>
      </c>
      <c r="G288" s="38">
        <v>1</v>
      </c>
      <c r="H288" s="40">
        <v>0</v>
      </c>
      <c r="I288" s="38">
        <v>4</v>
      </c>
      <c r="J288" s="41">
        <v>43699</v>
      </c>
      <c r="K288" s="38" t="s">
        <v>10768</v>
      </c>
      <c r="L288" s="42">
        <v>25000000</v>
      </c>
      <c r="O288" s="151" t="s">
        <v>6260</v>
      </c>
      <c r="P288" s="5" t="str">
        <f t="shared" si="8"/>
        <v>A2774</v>
      </c>
      <c r="Q288" s="5">
        <f t="shared" si="9"/>
        <v>8</v>
      </c>
      <c r="R288">
        <f>VLOOKUP(O288,'Data Angt'!$A$5:$F$5810,6,FALSE)</f>
        <v>55</v>
      </c>
      <c r="S288" s="5" t="str">
        <f>VLOOKUP(O288,'Data Angt'!$A$5:$H$5810,8,FALSE)</f>
        <v>Tenaga Pengajar</v>
      </c>
      <c r="T288" s="44" t="str">
        <f>VLOOKUP(O288,'Data Angt'!$A$5:$C$5809,3,FALSE)</f>
        <v>PBL</v>
      </c>
    </row>
    <row r="289" spans="1:20" x14ac:dyDescent="0.3">
      <c r="A289" s="37">
        <v>118398</v>
      </c>
      <c r="B289" s="38">
        <v>283</v>
      </c>
      <c r="C289" s="39" t="s">
        <v>1596</v>
      </c>
      <c r="D289" s="10" t="str">
        <f>VLOOKUP(C289,'Data Angt'!$A$5:$B$5809,2,FALSE)</f>
        <v>A633</v>
      </c>
      <c r="E289" s="40" t="s">
        <v>11811</v>
      </c>
      <c r="F289" s="41">
        <v>43785</v>
      </c>
      <c r="G289" s="38">
        <v>1</v>
      </c>
      <c r="H289" s="40">
        <v>0</v>
      </c>
      <c r="I289" s="38">
        <v>4</v>
      </c>
      <c r="J289" s="41">
        <v>43785</v>
      </c>
      <c r="K289" s="38" t="s">
        <v>10768</v>
      </c>
      <c r="L289" s="42">
        <v>20000000</v>
      </c>
      <c r="O289" s="151" t="s">
        <v>6269</v>
      </c>
      <c r="P289" s="5" t="str">
        <f t="shared" si="8"/>
        <v>A2777</v>
      </c>
      <c r="Q289" s="5">
        <f t="shared" si="9"/>
        <v>1</v>
      </c>
      <c r="R289">
        <f>VLOOKUP(O289,'Data Angt'!$A$5:$F$5810,6,FALSE)</f>
        <v>33</v>
      </c>
      <c r="S289" s="5" t="str">
        <f>VLOOKUP(O289,'Data Angt'!$A$5:$H$5810,8,FALSE)</f>
        <v>Karyawan</v>
      </c>
      <c r="T289" s="44" t="str">
        <f>VLOOKUP(O289,'Data Angt'!$A$5:$C$5809,3,FALSE)</f>
        <v>PBL</v>
      </c>
    </row>
    <row r="290" spans="1:20" x14ac:dyDescent="0.3">
      <c r="A290" s="37">
        <v>157331</v>
      </c>
      <c r="B290" s="38">
        <v>284</v>
      </c>
      <c r="C290" s="39" t="s">
        <v>1625</v>
      </c>
      <c r="D290" s="10" t="str">
        <f>VLOOKUP(C290,'Data Angt'!$A$5:$B$5809,2,FALSE)</f>
        <v>A647</v>
      </c>
      <c r="E290" s="40" t="s">
        <v>24006</v>
      </c>
      <c r="F290" s="41">
        <v>45863</v>
      </c>
      <c r="G290" s="38">
        <v>1</v>
      </c>
      <c r="H290" s="40">
        <v>0</v>
      </c>
      <c r="I290" s="38">
        <v>4</v>
      </c>
      <c r="J290" s="41">
        <v>45863</v>
      </c>
      <c r="K290" s="38" t="s">
        <v>10768</v>
      </c>
      <c r="L290" s="42">
        <v>15000000</v>
      </c>
      <c r="O290" s="151" t="s">
        <v>6318</v>
      </c>
      <c r="P290" s="5" t="str">
        <f t="shared" si="8"/>
        <v>A2800</v>
      </c>
      <c r="Q290" s="5">
        <f t="shared" si="9"/>
        <v>1</v>
      </c>
      <c r="R290">
        <f>VLOOKUP(O290,'Data Angt'!$A$5:$F$5810,6,FALSE)</f>
        <v>45</v>
      </c>
      <c r="S290" s="5" t="str">
        <f>VLOOKUP(O290,'Data Angt'!$A$5:$H$5810,8,FALSE)</f>
        <v>Tenaga Pengajar</v>
      </c>
      <c r="T290" s="44" t="str">
        <f>VLOOKUP(O290,'Data Angt'!$A$5:$C$5809,3,FALSE)</f>
        <v>KRK</v>
      </c>
    </row>
    <row r="291" spans="1:20" x14ac:dyDescent="0.3">
      <c r="A291" s="37">
        <v>78570</v>
      </c>
      <c r="B291" s="38">
        <v>285</v>
      </c>
      <c r="C291" s="39" t="s">
        <v>1662</v>
      </c>
      <c r="D291" s="10" t="str">
        <f>VLOOKUP(C291,'Data Angt'!$A$5:$B$5809,2,FALSE)</f>
        <v>A660</v>
      </c>
      <c r="E291" s="40" t="s">
        <v>11810</v>
      </c>
      <c r="F291" s="41">
        <v>41769</v>
      </c>
      <c r="G291" s="38">
        <v>1</v>
      </c>
      <c r="H291" s="40">
        <v>0</v>
      </c>
      <c r="I291" s="38">
        <v>4</v>
      </c>
      <c r="J291" s="41">
        <v>41917</v>
      </c>
      <c r="K291" s="38" t="s">
        <v>10768</v>
      </c>
      <c r="L291" s="42">
        <v>80000000</v>
      </c>
      <c r="O291" s="151" t="s">
        <v>6349</v>
      </c>
      <c r="P291" s="5" t="str">
        <f t="shared" si="8"/>
        <v>A2814</v>
      </c>
      <c r="Q291" s="5">
        <f t="shared" si="9"/>
        <v>1</v>
      </c>
      <c r="R291">
        <f>VLOOKUP(O291,'Data Angt'!$A$5:$F$5810,6,FALSE)</f>
        <v>63</v>
      </c>
      <c r="S291" s="5" t="str">
        <f>VLOOKUP(O291,'Data Angt'!$A$5:$H$5810,8,FALSE)</f>
        <v>Mengurus Rumah Tangga</v>
      </c>
      <c r="T291" s="44" t="str">
        <f>VLOOKUP(O291,'Data Angt'!$A$5:$C$5809,3,FALSE)</f>
        <v>PBL</v>
      </c>
    </row>
    <row r="292" spans="1:20" x14ac:dyDescent="0.3">
      <c r="A292" s="37">
        <v>78890</v>
      </c>
      <c r="B292" s="38">
        <v>286</v>
      </c>
      <c r="C292" s="39" t="s">
        <v>1686</v>
      </c>
      <c r="D292" s="10" t="str">
        <f>VLOOKUP(C292,'Data Angt'!$A$5:$B$5809,2,FALSE)</f>
        <v>A671</v>
      </c>
      <c r="E292" s="40" t="s">
        <v>11809</v>
      </c>
      <c r="F292" s="41">
        <v>40091</v>
      </c>
      <c r="G292" s="38">
        <v>1</v>
      </c>
      <c r="H292" s="40">
        <v>0</v>
      </c>
      <c r="I292" s="38">
        <v>4</v>
      </c>
      <c r="J292" s="41">
        <v>39943</v>
      </c>
      <c r="K292" s="38" t="s">
        <v>10768</v>
      </c>
      <c r="L292" s="42">
        <v>1000000</v>
      </c>
      <c r="O292" s="151" t="s">
        <v>6387</v>
      </c>
      <c r="P292" s="5" t="str">
        <f t="shared" si="8"/>
        <v>A2832</v>
      </c>
      <c r="Q292" s="5">
        <f t="shared" si="9"/>
        <v>4</v>
      </c>
      <c r="R292">
        <f>VLOOKUP(O292,'Data Angt'!$A$5:$F$5810,6,FALSE)</f>
        <v>33</v>
      </c>
      <c r="S292" s="5" t="str">
        <f>VLOOKUP(O292,'Data Angt'!$A$5:$H$5810,8,FALSE)</f>
        <v>Karyawan</v>
      </c>
      <c r="T292" s="44" t="str">
        <f>VLOOKUP(O292,'Data Angt'!$A$5:$C$5809,3,FALSE)</f>
        <v>BWI</v>
      </c>
    </row>
    <row r="293" spans="1:20" x14ac:dyDescent="0.3">
      <c r="A293" s="37">
        <v>153690</v>
      </c>
      <c r="B293" s="38">
        <v>287</v>
      </c>
      <c r="C293" s="39" t="s">
        <v>1715</v>
      </c>
      <c r="D293" s="10" t="str">
        <f>VLOOKUP(C293,'Data Angt'!$A$5:$B$5809,2,FALSE)</f>
        <v>A688</v>
      </c>
      <c r="E293" s="40" t="s">
        <v>18055</v>
      </c>
      <c r="F293" s="41">
        <v>45709</v>
      </c>
      <c r="G293" s="38">
        <v>1</v>
      </c>
      <c r="H293" s="40">
        <v>0</v>
      </c>
      <c r="I293" s="38">
        <v>4</v>
      </c>
      <c r="J293" s="41">
        <v>45709</v>
      </c>
      <c r="K293" s="38" t="s">
        <v>10768</v>
      </c>
      <c r="L293" s="42">
        <v>25000000</v>
      </c>
      <c r="O293" s="151" t="s">
        <v>6436</v>
      </c>
      <c r="P293" s="5" t="str">
        <f t="shared" si="8"/>
        <v>A2855</v>
      </c>
      <c r="Q293" s="5">
        <f t="shared" si="9"/>
        <v>1</v>
      </c>
      <c r="R293">
        <f>VLOOKUP(O293,'Data Angt'!$A$5:$F$5810,6,FALSE)</f>
        <v>68</v>
      </c>
      <c r="S293" s="5" t="str">
        <f>VLOOKUP(O293,'Data Angt'!$A$5:$H$5810,8,FALSE)</f>
        <v>Wiraswasta</v>
      </c>
      <c r="T293" s="44" t="str">
        <f>VLOOKUP(O293,'Data Angt'!$A$5:$C$5809,3,FALSE)</f>
        <v>PBL</v>
      </c>
    </row>
    <row r="294" spans="1:20" x14ac:dyDescent="0.3">
      <c r="A294" s="37">
        <v>153691</v>
      </c>
      <c r="B294" s="38">
        <v>288</v>
      </c>
      <c r="C294" s="39" t="s">
        <v>1717</v>
      </c>
      <c r="D294" s="10" t="str">
        <f>VLOOKUP(C294,'Data Angt'!$A$5:$B$5809,2,FALSE)</f>
        <v>A689</v>
      </c>
      <c r="E294" s="40" t="s">
        <v>18056</v>
      </c>
      <c r="F294" s="41">
        <v>45709</v>
      </c>
      <c r="G294" s="38">
        <v>1</v>
      </c>
      <c r="H294" s="40">
        <v>0</v>
      </c>
      <c r="I294" s="38">
        <v>4</v>
      </c>
      <c r="J294" s="41">
        <v>45709</v>
      </c>
      <c r="K294" s="38" t="s">
        <v>10768</v>
      </c>
      <c r="L294" s="42">
        <v>25000000</v>
      </c>
      <c r="O294" s="151" t="s">
        <v>6441</v>
      </c>
      <c r="P294" s="5" t="str">
        <f t="shared" si="8"/>
        <v>A2857</v>
      </c>
      <c r="Q294" s="5">
        <f t="shared" si="9"/>
        <v>2</v>
      </c>
      <c r="R294">
        <f>VLOOKUP(O294,'Data Angt'!$A$5:$F$5810,6,FALSE)</f>
        <v>72</v>
      </c>
      <c r="S294" s="5" t="str">
        <f>VLOOKUP(O294,'Data Angt'!$A$5:$H$5810,8,FALSE)</f>
        <v>Belum/Tidak Bekerja</v>
      </c>
      <c r="T294" s="44" t="str">
        <f>VLOOKUP(O294,'Data Angt'!$A$5:$C$5809,3,FALSE)</f>
        <v>PBL</v>
      </c>
    </row>
    <row r="295" spans="1:20" x14ac:dyDescent="0.3">
      <c r="A295" s="37">
        <v>78777</v>
      </c>
      <c r="B295" s="38">
        <v>289</v>
      </c>
      <c r="C295" s="39" t="s">
        <v>1786</v>
      </c>
      <c r="D295" s="10" t="str">
        <f>VLOOKUP(C295,'Data Angt'!$A$5:$B$5809,2,FALSE)</f>
        <v>A720</v>
      </c>
      <c r="E295" s="40" t="s">
        <v>11808</v>
      </c>
      <c r="F295" s="41">
        <v>42068</v>
      </c>
      <c r="G295" s="38">
        <v>1</v>
      </c>
      <c r="H295" s="40">
        <v>0</v>
      </c>
      <c r="I295" s="38">
        <v>4</v>
      </c>
      <c r="J295" s="41">
        <v>42127</v>
      </c>
      <c r="K295" s="38" t="s">
        <v>10768</v>
      </c>
      <c r="L295" s="42">
        <v>15000000</v>
      </c>
      <c r="O295" s="151" t="s">
        <v>6510</v>
      </c>
      <c r="P295" s="5" t="str">
        <f t="shared" si="8"/>
        <v>A2890</v>
      </c>
      <c r="Q295" s="5">
        <f t="shared" si="9"/>
        <v>1</v>
      </c>
      <c r="R295">
        <f>VLOOKUP(O295,'Data Angt'!$A$5:$F$5810,6,FALSE)</f>
        <v>49</v>
      </c>
      <c r="S295" s="5" t="str">
        <f>VLOOKUP(O295,'Data Angt'!$A$5:$H$5810,8,FALSE)</f>
        <v>Aparatur/Pejabat Negara</v>
      </c>
      <c r="T295" s="44" t="str">
        <f>VLOOKUP(O295,'Data Angt'!$A$5:$C$5809,3,FALSE)</f>
        <v>PBL</v>
      </c>
    </row>
    <row r="296" spans="1:20" x14ac:dyDescent="0.3">
      <c r="A296" s="37">
        <v>92752</v>
      </c>
      <c r="B296" s="38">
        <v>290</v>
      </c>
      <c r="C296" s="39" t="s">
        <v>1806</v>
      </c>
      <c r="D296" s="10" t="str">
        <f>VLOOKUP(C296,'Data Angt'!$A$5:$B$5809,2,FALSE)</f>
        <v>A728</v>
      </c>
      <c r="E296" s="40" t="s">
        <v>11807</v>
      </c>
      <c r="F296" s="41">
        <v>43472</v>
      </c>
      <c r="G296" s="38">
        <v>1</v>
      </c>
      <c r="H296" s="40">
        <v>0</v>
      </c>
      <c r="I296" s="38">
        <v>4</v>
      </c>
      <c r="J296" s="41">
        <v>43472</v>
      </c>
      <c r="K296" s="38" t="s">
        <v>10768</v>
      </c>
      <c r="L296" s="42">
        <v>50000000</v>
      </c>
      <c r="O296" s="151" t="s">
        <v>6516</v>
      </c>
      <c r="P296" s="5" t="str">
        <f t="shared" si="8"/>
        <v>A2894</v>
      </c>
      <c r="Q296" s="5">
        <f t="shared" si="9"/>
        <v>5</v>
      </c>
      <c r="R296">
        <f>VLOOKUP(O296,'Data Angt'!$A$5:$F$5810,6,FALSE)</f>
        <v>43</v>
      </c>
      <c r="S296" s="5" t="str">
        <f>VLOOKUP(O296,'Data Angt'!$A$5:$H$5810,8,FALSE)</f>
        <v>Mengurus Rumah Tangga</v>
      </c>
      <c r="T296" s="44" t="str">
        <f>VLOOKUP(O296,'Data Angt'!$A$5:$C$5809,3,FALSE)</f>
        <v>PBL</v>
      </c>
    </row>
    <row r="297" spans="1:20" x14ac:dyDescent="0.3">
      <c r="A297" s="37">
        <v>92779</v>
      </c>
      <c r="B297" s="38">
        <v>291</v>
      </c>
      <c r="C297" s="39" t="s">
        <v>1806</v>
      </c>
      <c r="D297" s="10" t="str">
        <f>VLOOKUP(C297,'Data Angt'!$A$5:$B$5809,2,FALSE)</f>
        <v>A728</v>
      </c>
      <c r="E297" s="40" t="s">
        <v>11806</v>
      </c>
      <c r="F297" s="41">
        <v>43473</v>
      </c>
      <c r="G297" s="38">
        <v>1</v>
      </c>
      <c r="H297" s="40">
        <v>0</v>
      </c>
      <c r="I297" s="38">
        <v>4</v>
      </c>
      <c r="J297" s="41">
        <v>43473</v>
      </c>
      <c r="K297" s="38" t="s">
        <v>10768</v>
      </c>
      <c r="L297" s="42">
        <v>50000000</v>
      </c>
      <c r="O297" s="151" t="s">
        <v>6530</v>
      </c>
      <c r="P297" s="5" t="str">
        <f t="shared" si="8"/>
        <v>A2900</v>
      </c>
      <c r="Q297" s="5">
        <f t="shared" si="9"/>
        <v>2</v>
      </c>
      <c r="R297">
        <f>VLOOKUP(O297,'Data Angt'!$A$5:$F$5810,6,FALSE)</f>
        <v>55</v>
      </c>
      <c r="S297" s="5" t="str">
        <f>VLOOKUP(O297,'Data Angt'!$A$5:$H$5810,8,FALSE)</f>
        <v>Mengurus Rumah Tangga</v>
      </c>
      <c r="T297" s="44" t="str">
        <f>VLOOKUP(O297,'Data Angt'!$A$5:$C$5809,3,FALSE)</f>
        <v>PBL</v>
      </c>
    </row>
    <row r="298" spans="1:20" x14ac:dyDescent="0.3">
      <c r="A298" s="37">
        <v>139678</v>
      </c>
      <c r="B298" s="38">
        <v>292</v>
      </c>
      <c r="C298" s="39" t="s">
        <v>1806</v>
      </c>
      <c r="D298" s="10" t="str">
        <f>VLOOKUP(C298,'Data Angt'!$A$5:$B$5809,2,FALSE)</f>
        <v>A728</v>
      </c>
      <c r="E298" s="40" t="s">
        <v>11805</v>
      </c>
      <c r="F298" s="41">
        <v>45203</v>
      </c>
      <c r="G298" s="38">
        <v>1</v>
      </c>
      <c r="H298" s="40">
        <v>0</v>
      </c>
      <c r="I298" s="38">
        <v>4</v>
      </c>
      <c r="J298" s="41">
        <v>45203</v>
      </c>
      <c r="K298" s="38" t="s">
        <v>10768</v>
      </c>
      <c r="L298" s="42">
        <v>50000000</v>
      </c>
      <c r="O298" s="151" t="s">
        <v>6550</v>
      </c>
      <c r="P298" s="5" t="str">
        <f t="shared" si="8"/>
        <v>A2908</v>
      </c>
      <c r="Q298" s="5">
        <f t="shared" si="9"/>
        <v>3</v>
      </c>
      <c r="R298">
        <f>VLOOKUP(O298,'Data Angt'!$A$5:$F$5810,6,FALSE)</f>
        <v>43</v>
      </c>
      <c r="S298" s="5" t="str">
        <f>VLOOKUP(O298,'Data Angt'!$A$5:$H$5810,8,FALSE)</f>
        <v>Wiraswasta</v>
      </c>
      <c r="T298" s="44" t="str">
        <f>VLOOKUP(O298,'Data Angt'!$A$5:$C$5809,3,FALSE)</f>
        <v>PBL</v>
      </c>
    </row>
    <row r="299" spans="1:20" x14ac:dyDescent="0.3">
      <c r="A299" s="37">
        <v>139679</v>
      </c>
      <c r="B299" s="38">
        <v>293</v>
      </c>
      <c r="C299" s="39" t="s">
        <v>1806</v>
      </c>
      <c r="D299" s="10" t="str">
        <f>VLOOKUP(C299,'Data Angt'!$A$5:$B$5809,2,FALSE)</f>
        <v>A728</v>
      </c>
      <c r="E299" s="40" t="s">
        <v>11804</v>
      </c>
      <c r="F299" s="41">
        <v>45203</v>
      </c>
      <c r="G299" s="38">
        <v>1</v>
      </c>
      <c r="H299" s="40">
        <v>0</v>
      </c>
      <c r="I299" s="38">
        <v>4</v>
      </c>
      <c r="J299" s="41">
        <v>45203</v>
      </c>
      <c r="K299" s="38" t="s">
        <v>10768</v>
      </c>
      <c r="L299" s="42">
        <v>50000000</v>
      </c>
      <c r="O299" s="151" t="s">
        <v>6561</v>
      </c>
      <c r="P299" s="5" t="str">
        <f t="shared" si="8"/>
        <v>A2914</v>
      </c>
      <c r="Q299" s="5">
        <f t="shared" si="9"/>
        <v>1</v>
      </c>
      <c r="R299">
        <f>VLOOKUP(O299,'Data Angt'!$A$5:$F$5810,6,FALSE)</f>
        <v>27</v>
      </c>
      <c r="S299" s="5" t="str">
        <f>VLOOKUP(O299,'Data Angt'!$A$5:$H$5810,8,FALSE)</f>
        <v>Karyawan</v>
      </c>
      <c r="T299" s="44" t="str">
        <f>VLOOKUP(O299,'Data Angt'!$A$5:$C$5809,3,FALSE)</f>
        <v>PBL</v>
      </c>
    </row>
    <row r="300" spans="1:20" x14ac:dyDescent="0.3">
      <c r="A300" s="37">
        <v>139680</v>
      </c>
      <c r="B300" s="38">
        <v>294</v>
      </c>
      <c r="C300" s="39" t="s">
        <v>1806</v>
      </c>
      <c r="D300" s="10" t="str">
        <f>VLOOKUP(C300,'Data Angt'!$A$5:$B$5809,2,FALSE)</f>
        <v>A728</v>
      </c>
      <c r="E300" s="40" t="s">
        <v>11803</v>
      </c>
      <c r="F300" s="41">
        <v>45203</v>
      </c>
      <c r="G300" s="38">
        <v>1</v>
      </c>
      <c r="H300" s="40">
        <v>0</v>
      </c>
      <c r="I300" s="38">
        <v>4</v>
      </c>
      <c r="J300" s="41">
        <v>45203</v>
      </c>
      <c r="K300" s="38" t="s">
        <v>10768</v>
      </c>
      <c r="L300" s="42">
        <v>50000000</v>
      </c>
      <c r="O300" s="151" t="s">
        <v>6566</v>
      </c>
      <c r="P300" s="5" t="str">
        <f t="shared" si="8"/>
        <v>A2916</v>
      </c>
      <c r="Q300" s="5">
        <f t="shared" si="9"/>
        <v>1</v>
      </c>
      <c r="R300">
        <f>VLOOKUP(O300,'Data Angt'!$A$5:$F$5810,6,FALSE)</f>
        <v>52</v>
      </c>
      <c r="S300" s="5" t="str">
        <f>VLOOKUP(O300,'Data Angt'!$A$5:$H$5810,8,FALSE)</f>
        <v>Tenaga Pengajar</v>
      </c>
      <c r="T300" s="44" t="str">
        <f>VLOOKUP(O300,'Data Angt'!$A$5:$C$5809,3,FALSE)</f>
        <v>PBL</v>
      </c>
    </row>
    <row r="301" spans="1:20" x14ac:dyDescent="0.3">
      <c r="A301" s="37">
        <v>92864</v>
      </c>
      <c r="B301" s="38">
        <v>295</v>
      </c>
      <c r="C301" s="39" t="s">
        <v>1808</v>
      </c>
      <c r="D301" s="10" t="str">
        <f>VLOOKUP(C301,'Data Angt'!$A$5:$B$5809,2,FALSE)</f>
        <v>A729</v>
      </c>
      <c r="E301" s="40" t="s">
        <v>11802</v>
      </c>
      <c r="F301" s="41">
        <v>43475</v>
      </c>
      <c r="G301" s="38">
        <v>1</v>
      </c>
      <c r="H301" s="40">
        <v>0</v>
      </c>
      <c r="I301" s="38">
        <v>4</v>
      </c>
      <c r="J301" s="41">
        <v>43475</v>
      </c>
      <c r="K301" s="38" t="s">
        <v>10768</v>
      </c>
      <c r="L301" s="42">
        <v>50000000</v>
      </c>
      <c r="O301" s="151" t="s">
        <v>6570</v>
      </c>
      <c r="P301" s="5" t="str">
        <f t="shared" si="8"/>
        <v>A2918</v>
      </c>
      <c r="Q301" s="5">
        <f t="shared" si="9"/>
        <v>4</v>
      </c>
      <c r="R301">
        <f>VLOOKUP(O301,'Data Angt'!$A$5:$F$5810,6,FALSE)</f>
        <v>66</v>
      </c>
      <c r="S301" s="5" t="str">
        <f>VLOOKUP(O301,'Data Angt'!$A$5:$H$5810,8,FALSE)</f>
        <v>Wiraswasta</v>
      </c>
      <c r="T301" s="44" t="str">
        <f>VLOOKUP(O301,'Data Angt'!$A$5:$C$5809,3,FALSE)</f>
        <v>PBL</v>
      </c>
    </row>
    <row r="302" spans="1:20" x14ac:dyDescent="0.3">
      <c r="A302" s="37">
        <v>136322</v>
      </c>
      <c r="B302" s="38">
        <v>296</v>
      </c>
      <c r="C302" s="39" t="s">
        <v>1808</v>
      </c>
      <c r="D302" s="10" t="str">
        <f>VLOOKUP(C302,'Data Angt'!$A$5:$B$5809,2,FALSE)</f>
        <v>A729</v>
      </c>
      <c r="E302" s="40" t="s">
        <v>11801</v>
      </c>
      <c r="F302" s="41">
        <v>44965</v>
      </c>
      <c r="G302" s="38">
        <v>1</v>
      </c>
      <c r="H302" s="40">
        <v>0</v>
      </c>
      <c r="I302" s="38">
        <v>4</v>
      </c>
      <c r="J302" s="41">
        <v>44965</v>
      </c>
      <c r="K302" s="38" t="s">
        <v>10768</v>
      </c>
      <c r="L302" s="42">
        <v>35000000</v>
      </c>
      <c r="O302" s="151" t="s">
        <v>6580</v>
      </c>
      <c r="P302" s="5" t="str">
        <f t="shared" si="8"/>
        <v>A2923</v>
      </c>
      <c r="Q302" s="5">
        <f t="shared" si="9"/>
        <v>2</v>
      </c>
      <c r="R302">
        <f>VLOOKUP(O302,'Data Angt'!$A$5:$F$5810,6,FALSE)</f>
        <v>53</v>
      </c>
      <c r="S302" s="5" t="str">
        <f>VLOOKUP(O302,'Data Angt'!$A$5:$H$5810,8,FALSE)</f>
        <v>Tenaga Pengajar</v>
      </c>
      <c r="T302" s="44" t="str">
        <f>VLOOKUP(O302,'Data Angt'!$A$5:$C$5809,3,FALSE)</f>
        <v>MGL</v>
      </c>
    </row>
    <row r="303" spans="1:20" x14ac:dyDescent="0.3">
      <c r="A303" s="37">
        <v>136323</v>
      </c>
      <c r="B303" s="38">
        <v>297</v>
      </c>
      <c r="C303" s="39" t="s">
        <v>1808</v>
      </c>
      <c r="D303" s="10" t="str">
        <f>VLOOKUP(C303,'Data Angt'!$A$5:$B$5809,2,FALSE)</f>
        <v>A729</v>
      </c>
      <c r="E303" s="40" t="s">
        <v>11800</v>
      </c>
      <c r="F303" s="41">
        <v>44965</v>
      </c>
      <c r="G303" s="38">
        <v>1</v>
      </c>
      <c r="H303" s="40">
        <v>0</v>
      </c>
      <c r="I303" s="38">
        <v>4</v>
      </c>
      <c r="J303" s="41">
        <v>44965</v>
      </c>
      <c r="K303" s="38" t="s">
        <v>10768</v>
      </c>
      <c r="L303" s="42">
        <v>40000000</v>
      </c>
      <c r="O303" s="151" t="s">
        <v>6600</v>
      </c>
      <c r="P303" s="5" t="str">
        <f t="shared" si="8"/>
        <v>A2931</v>
      </c>
      <c r="Q303" s="5">
        <f t="shared" si="9"/>
        <v>1</v>
      </c>
      <c r="R303">
        <f>VLOOKUP(O303,'Data Angt'!$A$5:$F$5810,6,FALSE)</f>
        <v>59</v>
      </c>
      <c r="S303" s="5" t="str">
        <f>VLOOKUP(O303,'Data Angt'!$A$5:$H$5810,8,FALSE)</f>
        <v>Tenaga Pengajar</v>
      </c>
      <c r="T303" s="44" t="str">
        <f>VLOOKUP(O303,'Data Angt'!$A$5:$C$5809,3,FALSE)</f>
        <v>JBR</v>
      </c>
    </row>
    <row r="304" spans="1:20" x14ac:dyDescent="0.3">
      <c r="A304" s="37">
        <v>139742</v>
      </c>
      <c r="B304" s="38">
        <v>298</v>
      </c>
      <c r="C304" s="39" t="s">
        <v>1808</v>
      </c>
      <c r="D304" s="10" t="str">
        <f>VLOOKUP(C304,'Data Angt'!$A$5:$B$5809,2,FALSE)</f>
        <v>A729</v>
      </c>
      <c r="E304" s="40" t="s">
        <v>11799</v>
      </c>
      <c r="F304" s="41">
        <v>45205</v>
      </c>
      <c r="G304" s="38">
        <v>1</v>
      </c>
      <c r="H304" s="40">
        <v>0</v>
      </c>
      <c r="I304" s="38">
        <v>4</v>
      </c>
      <c r="J304" s="41">
        <v>45205</v>
      </c>
      <c r="K304" s="38" t="s">
        <v>10768</v>
      </c>
      <c r="L304" s="42">
        <v>35000000</v>
      </c>
      <c r="O304" s="151" t="s">
        <v>6640</v>
      </c>
      <c r="P304" s="5" t="str">
        <f t="shared" si="8"/>
        <v>A2950</v>
      </c>
      <c r="Q304" s="5">
        <f t="shared" si="9"/>
        <v>10</v>
      </c>
      <c r="R304">
        <f>VLOOKUP(O304,'Data Angt'!$A$5:$F$5810,6,FALSE)</f>
        <v>59</v>
      </c>
      <c r="S304" s="5" t="str">
        <f>VLOOKUP(O304,'Data Angt'!$A$5:$H$5810,8,FALSE)</f>
        <v>Pemuka Agama</v>
      </c>
      <c r="T304" s="44" t="str">
        <f>VLOOKUP(O304,'Data Angt'!$A$5:$C$5809,3,FALSE)</f>
        <v>PBL</v>
      </c>
    </row>
    <row r="305" spans="1:20" x14ac:dyDescent="0.3">
      <c r="A305" s="37">
        <v>146703</v>
      </c>
      <c r="B305" s="38">
        <v>299</v>
      </c>
      <c r="C305" s="39" t="s">
        <v>1808</v>
      </c>
      <c r="D305" s="10" t="str">
        <f>VLOOKUP(C305,'Data Angt'!$A$5:$B$5809,2,FALSE)</f>
        <v>A729</v>
      </c>
      <c r="E305" s="40" t="s">
        <v>18057</v>
      </c>
      <c r="F305" s="41">
        <v>45491</v>
      </c>
      <c r="G305" s="38">
        <v>1</v>
      </c>
      <c r="H305" s="40">
        <v>0</v>
      </c>
      <c r="I305" s="38">
        <v>4</v>
      </c>
      <c r="J305" s="41">
        <v>45491</v>
      </c>
      <c r="K305" s="38" t="s">
        <v>10768</v>
      </c>
      <c r="L305" s="42">
        <v>50000000</v>
      </c>
      <c r="O305" s="151" t="s">
        <v>6682</v>
      </c>
      <c r="P305" s="5" t="str">
        <f t="shared" si="8"/>
        <v>A2971</v>
      </c>
      <c r="Q305" s="5">
        <f t="shared" si="9"/>
        <v>1</v>
      </c>
      <c r="R305">
        <f>VLOOKUP(O305,'Data Angt'!$A$5:$F$5810,6,FALSE)</f>
        <v>61</v>
      </c>
      <c r="S305" s="5" t="str">
        <f>VLOOKUP(O305,'Data Angt'!$A$5:$H$5810,8,FALSE)</f>
        <v>Mengurus Rumah Tangga</v>
      </c>
      <c r="T305" s="44" t="str">
        <f>VLOOKUP(O305,'Data Angt'!$A$5:$C$5809,3,FALSE)</f>
        <v>PBL</v>
      </c>
    </row>
    <row r="306" spans="1:20" x14ac:dyDescent="0.3">
      <c r="A306" s="37">
        <v>157023</v>
      </c>
      <c r="B306" s="38">
        <v>300</v>
      </c>
      <c r="C306" s="39" t="s">
        <v>1818</v>
      </c>
      <c r="D306" s="10" t="str">
        <f>VLOOKUP(C306,'Data Angt'!$A$5:$B$5809,2,FALSE)</f>
        <v>A733</v>
      </c>
      <c r="E306" s="40" t="s">
        <v>24007</v>
      </c>
      <c r="F306" s="41">
        <v>45853</v>
      </c>
      <c r="G306" s="38">
        <v>1</v>
      </c>
      <c r="H306" s="40">
        <v>0</v>
      </c>
      <c r="I306" s="38">
        <v>4</v>
      </c>
      <c r="J306" s="41">
        <v>45853</v>
      </c>
      <c r="K306" s="38" t="s">
        <v>10768</v>
      </c>
      <c r="L306" s="42">
        <v>15000000</v>
      </c>
      <c r="O306" s="151" t="s">
        <v>6692</v>
      </c>
      <c r="P306" s="5" t="str">
        <f t="shared" si="8"/>
        <v>A2976</v>
      </c>
      <c r="Q306" s="5">
        <f t="shared" si="9"/>
        <v>1</v>
      </c>
      <c r="R306">
        <f>VLOOKUP(O306,'Data Angt'!$A$5:$F$5810,6,FALSE)</f>
        <v>73</v>
      </c>
      <c r="S306" s="5" t="str">
        <f>VLOOKUP(O306,'Data Angt'!$A$5:$H$5810,8,FALSE)</f>
        <v>Mengurus Rumah Tangga</v>
      </c>
      <c r="T306" s="44" t="str">
        <f>VLOOKUP(O306,'Data Angt'!$A$5:$C$5809,3,FALSE)</f>
        <v>JBR</v>
      </c>
    </row>
    <row r="307" spans="1:20" x14ac:dyDescent="0.3">
      <c r="A307" s="37">
        <v>158452</v>
      </c>
      <c r="B307" s="38">
        <v>301</v>
      </c>
      <c r="C307" s="39" t="s">
        <v>1823</v>
      </c>
      <c r="D307" s="10" t="str">
        <f>VLOOKUP(C307,'Data Angt'!$A$5:$B$5809,2,FALSE)</f>
        <v>A735</v>
      </c>
      <c r="E307" s="40" t="s">
        <v>24008</v>
      </c>
      <c r="F307" s="41">
        <v>45909</v>
      </c>
      <c r="G307" s="38">
        <v>1</v>
      </c>
      <c r="H307" s="40">
        <v>0</v>
      </c>
      <c r="I307" s="38">
        <v>4</v>
      </c>
      <c r="J307" s="41">
        <v>45909</v>
      </c>
      <c r="K307" s="38" t="s">
        <v>10768</v>
      </c>
      <c r="L307" s="42">
        <v>10000000</v>
      </c>
      <c r="O307" s="151" t="s">
        <v>6745</v>
      </c>
      <c r="P307" s="5" t="str">
        <f t="shared" si="8"/>
        <v>A3000</v>
      </c>
      <c r="Q307" s="5">
        <f t="shared" si="9"/>
        <v>1</v>
      </c>
      <c r="R307">
        <f>VLOOKUP(O307,'Data Angt'!$A$5:$F$5810,6,FALSE)</f>
        <v>43</v>
      </c>
      <c r="S307" s="5" t="str">
        <f>VLOOKUP(O307,'Data Angt'!$A$5:$H$5810,8,FALSE)</f>
        <v>Karyawan</v>
      </c>
      <c r="T307" s="44" t="str">
        <f>VLOOKUP(O307,'Data Angt'!$A$5:$C$5809,3,FALSE)</f>
        <v>KRK</v>
      </c>
    </row>
    <row r="308" spans="1:20" x14ac:dyDescent="0.3">
      <c r="A308" s="37">
        <v>78776</v>
      </c>
      <c r="B308" s="38">
        <v>302</v>
      </c>
      <c r="C308" s="39" t="s">
        <v>1849</v>
      </c>
      <c r="D308" s="10" t="str">
        <f>VLOOKUP(C308,'Data Angt'!$A$5:$B$5809,2,FALSE)</f>
        <v>A746</v>
      </c>
      <c r="E308" s="40" t="s">
        <v>11798</v>
      </c>
      <c r="F308" s="41">
        <v>42053</v>
      </c>
      <c r="G308" s="38">
        <v>1</v>
      </c>
      <c r="H308" s="40">
        <v>0</v>
      </c>
      <c r="I308" s="38">
        <v>4</v>
      </c>
      <c r="J308" s="41">
        <v>42053</v>
      </c>
      <c r="K308" s="38" t="s">
        <v>10768</v>
      </c>
      <c r="L308" s="42">
        <v>3000000</v>
      </c>
      <c r="O308" s="151" t="s">
        <v>6785</v>
      </c>
      <c r="P308" s="5" t="str">
        <f t="shared" si="8"/>
        <v>A3019</v>
      </c>
      <c r="Q308" s="5">
        <f t="shared" si="9"/>
        <v>3</v>
      </c>
      <c r="R308">
        <f>VLOOKUP(O308,'Data Angt'!$A$5:$F$5810,6,FALSE)</f>
        <v>72</v>
      </c>
      <c r="S308" s="5" t="str">
        <f>VLOOKUP(O308,'Data Angt'!$A$5:$H$5810,8,FALSE)</f>
        <v>Wiraswasta</v>
      </c>
      <c r="T308" s="44" t="str">
        <f>VLOOKUP(O308,'Data Angt'!$A$5:$C$5809,3,FALSE)</f>
        <v>KRK</v>
      </c>
    </row>
    <row r="309" spans="1:20" x14ac:dyDescent="0.3">
      <c r="A309" s="37">
        <v>149983</v>
      </c>
      <c r="B309" s="38">
        <v>303</v>
      </c>
      <c r="C309" s="39" t="s">
        <v>1849</v>
      </c>
      <c r="D309" s="10" t="str">
        <f>VLOOKUP(C309,'Data Angt'!$A$5:$B$5809,2,FALSE)</f>
        <v>A746</v>
      </c>
      <c r="E309" s="40" t="s">
        <v>18058</v>
      </c>
      <c r="F309" s="41">
        <v>45596</v>
      </c>
      <c r="G309" s="38">
        <v>1</v>
      </c>
      <c r="H309" s="40">
        <v>0</v>
      </c>
      <c r="I309" s="38">
        <v>4</v>
      </c>
      <c r="J309" s="41">
        <v>45596</v>
      </c>
      <c r="K309" s="38" t="s">
        <v>10768</v>
      </c>
      <c r="L309" s="42">
        <v>3500000</v>
      </c>
      <c r="O309" s="151" t="s">
        <v>6850</v>
      </c>
      <c r="P309" s="5" t="str">
        <f t="shared" si="8"/>
        <v>A3054</v>
      </c>
      <c r="Q309" s="5">
        <f t="shared" si="9"/>
        <v>1</v>
      </c>
      <c r="R309">
        <f>VLOOKUP(O309,'Data Angt'!$A$5:$F$5810,6,FALSE)</f>
        <v>41</v>
      </c>
      <c r="S309" s="5" t="str">
        <f>VLOOKUP(O309,'Data Angt'!$A$5:$H$5810,8,FALSE)</f>
        <v>Karyawan</v>
      </c>
      <c r="T309" s="44" t="str">
        <f>VLOOKUP(O309,'Data Angt'!$A$5:$C$5809,3,FALSE)</f>
        <v>PBL</v>
      </c>
    </row>
    <row r="310" spans="1:20" x14ac:dyDescent="0.3">
      <c r="A310" s="37">
        <v>144359</v>
      </c>
      <c r="B310" s="38">
        <v>304</v>
      </c>
      <c r="C310" s="39" t="s">
        <v>1855</v>
      </c>
      <c r="D310" s="10" t="str">
        <f>VLOOKUP(C310,'Data Angt'!$A$5:$B$5809,2,FALSE)</f>
        <v>A748</v>
      </c>
      <c r="E310" s="40" t="s">
        <v>18059</v>
      </c>
      <c r="F310" s="41">
        <v>45402</v>
      </c>
      <c r="G310" s="38">
        <v>1</v>
      </c>
      <c r="H310" s="40">
        <v>0</v>
      </c>
      <c r="I310" s="38">
        <v>4</v>
      </c>
      <c r="J310" s="41">
        <v>45402</v>
      </c>
      <c r="K310" s="38" t="s">
        <v>10768</v>
      </c>
      <c r="L310" s="42">
        <v>30000000</v>
      </c>
      <c r="O310" s="151" t="s">
        <v>6865</v>
      </c>
      <c r="P310" s="5" t="str">
        <f t="shared" si="8"/>
        <v>A3062</v>
      </c>
      <c r="Q310" s="5">
        <f t="shared" si="9"/>
        <v>1</v>
      </c>
      <c r="R310">
        <f>VLOOKUP(O310,'Data Angt'!$A$5:$F$5810,6,FALSE)</f>
        <v>62</v>
      </c>
      <c r="S310" s="5" t="str">
        <f>VLOOKUP(O310,'Data Angt'!$A$5:$H$5810,8,FALSE)</f>
        <v>Wiraswasta</v>
      </c>
      <c r="T310" s="44" t="str">
        <f>VLOOKUP(O310,'Data Angt'!$A$5:$C$5809,3,FALSE)</f>
        <v>PBL</v>
      </c>
    </row>
    <row r="311" spans="1:20" x14ac:dyDescent="0.3">
      <c r="A311" s="37">
        <v>158868</v>
      </c>
      <c r="B311" s="38">
        <v>305</v>
      </c>
      <c r="C311" s="39" t="s">
        <v>1898</v>
      </c>
      <c r="D311" s="10" t="str">
        <f>VLOOKUP(C311,'Data Angt'!$A$5:$B$5809,2,FALSE)</f>
        <v>A767</v>
      </c>
      <c r="E311" s="40" t="s">
        <v>24009</v>
      </c>
      <c r="F311" s="41">
        <v>45930</v>
      </c>
      <c r="G311" s="38">
        <v>1</v>
      </c>
      <c r="H311" s="40">
        <v>0</v>
      </c>
      <c r="I311" s="38">
        <v>4</v>
      </c>
      <c r="J311" s="41">
        <v>45930</v>
      </c>
      <c r="K311" s="38" t="s">
        <v>10768</v>
      </c>
      <c r="L311" s="42">
        <v>10000000</v>
      </c>
      <c r="O311" s="151" t="s">
        <v>6902</v>
      </c>
      <c r="P311" s="5" t="str">
        <f t="shared" si="8"/>
        <v>A3081</v>
      </c>
      <c r="Q311" s="5">
        <f t="shared" si="9"/>
        <v>2</v>
      </c>
      <c r="R311">
        <f>VLOOKUP(O311,'Data Angt'!$A$5:$F$5810,6,FALSE)</f>
        <v>31</v>
      </c>
      <c r="S311" s="5" t="str">
        <f>VLOOKUP(O311,'Data Angt'!$A$5:$H$5810,8,FALSE)</f>
        <v>Karyawan</v>
      </c>
      <c r="T311" s="44" t="str">
        <f>VLOOKUP(O311,'Data Angt'!$A$5:$C$5809,3,FALSE)</f>
        <v>PBL</v>
      </c>
    </row>
    <row r="312" spans="1:20" x14ac:dyDescent="0.3">
      <c r="A312" s="37">
        <v>153335</v>
      </c>
      <c r="B312" s="38">
        <v>306</v>
      </c>
      <c r="C312" s="39" t="s">
        <v>1919</v>
      </c>
      <c r="D312" s="10" t="str">
        <f>VLOOKUP(C312,'Data Angt'!$A$5:$B$5809,2,FALSE)</f>
        <v>A776</v>
      </c>
      <c r="E312" s="40" t="s">
        <v>18060</v>
      </c>
      <c r="F312" s="41">
        <v>45702</v>
      </c>
      <c r="G312" s="38">
        <v>1</v>
      </c>
      <c r="H312" s="40">
        <v>0</v>
      </c>
      <c r="I312" s="38">
        <v>4</v>
      </c>
      <c r="J312" s="41">
        <v>45702</v>
      </c>
      <c r="K312" s="38" t="s">
        <v>10768</v>
      </c>
      <c r="L312" s="42">
        <v>5000000</v>
      </c>
      <c r="O312" s="151" t="s">
        <v>12462</v>
      </c>
      <c r="P312" s="5" t="str">
        <f t="shared" si="8"/>
        <v>A3086</v>
      </c>
      <c r="Q312" s="5">
        <f t="shared" si="9"/>
        <v>2</v>
      </c>
      <c r="R312">
        <f>VLOOKUP(O312,'Data Angt'!$A$5:$F$5810,6,FALSE)</f>
        <v>23</v>
      </c>
      <c r="S312" s="5" t="str">
        <f>VLOOKUP(O312,'Data Angt'!$A$5:$H$5810,8,FALSE)</f>
        <v>Pelajar/Mahasiswa</v>
      </c>
      <c r="T312" s="44" t="str">
        <f>VLOOKUP(O312,'Data Angt'!$A$5:$C$5809,3,FALSE)</f>
        <v>PBL</v>
      </c>
    </row>
    <row r="313" spans="1:20" x14ac:dyDescent="0.3">
      <c r="A313" s="37">
        <v>156608</v>
      </c>
      <c r="B313" s="38">
        <v>307</v>
      </c>
      <c r="C313" s="39" t="s">
        <v>12174</v>
      </c>
      <c r="D313" s="10" t="str">
        <f>VLOOKUP(C313,'Data Angt'!$A$5:$B$5809,2,FALSE)</f>
        <v>A803</v>
      </c>
      <c r="E313" s="40" t="s">
        <v>18061</v>
      </c>
      <c r="F313" s="41">
        <v>45834</v>
      </c>
      <c r="G313" s="38">
        <v>1</v>
      </c>
      <c r="H313" s="40">
        <v>0</v>
      </c>
      <c r="I313" s="38">
        <v>4</v>
      </c>
      <c r="J313" s="41">
        <v>45834</v>
      </c>
      <c r="K313" s="38" t="s">
        <v>10768</v>
      </c>
      <c r="L313" s="42">
        <v>20000000</v>
      </c>
      <c r="O313" s="151" t="s">
        <v>6923</v>
      </c>
      <c r="P313" s="5" t="str">
        <f t="shared" si="8"/>
        <v>A3093</v>
      </c>
      <c r="Q313" s="5">
        <f t="shared" si="9"/>
        <v>2</v>
      </c>
      <c r="R313">
        <f>VLOOKUP(O313,'Data Angt'!$A$5:$F$5810,6,FALSE)</f>
        <v>57</v>
      </c>
      <c r="S313" s="5" t="str">
        <f>VLOOKUP(O313,'Data Angt'!$A$5:$H$5810,8,FALSE)</f>
        <v>Wiraswasta</v>
      </c>
      <c r="T313" s="44" t="str">
        <f>VLOOKUP(O313,'Data Angt'!$A$5:$C$5809,3,FALSE)</f>
        <v>BWI</v>
      </c>
    </row>
    <row r="314" spans="1:20" x14ac:dyDescent="0.3">
      <c r="A314" s="37">
        <v>156609</v>
      </c>
      <c r="B314" s="38">
        <v>308</v>
      </c>
      <c r="C314" s="39" t="s">
        <v>12174</v>
      </c>
      <c r="D314" s="10" t="str">
        <f>VLOOKUP(C314,'Data Angt'!$A$5:$B$5809,2,FALSE)</f>
        <v>A803</v>
      </c>
      <c r="E314" s="40" t="s">
        <v>18062</v>
      </c>
      <c r="F314" s="41">
        <v>45834</v>
      </c>
      <c r="G314" s="38">
        <v>1</v>
      </c>
      <c r="H314" s="40">
        <v>0</v>
      </c>
      <c r="I314" s="38">
        <v>4</v>
      </c>
      <c r="J314" s="41">
        <v>45834</v>
      </c>
      <c r="K314" s="38" t="s">
        <v>10768</v>
      </c>
      <c r="L314" s="42">
        <v>20000000</v>
      </c>
      <c r="O314" s="151" t="s">
        <v>12465</v>
      </c>
      <c r="P314" s="5" t="str">
        <f t="shared" si="8"/>
        <v>A3095</v>
      </c>
      <c r="Q314" s="5">
        <f t="shared" si="9"/>
        <v>1</v>
      </c>
      <c r="R314">
        <f>VLOOKUP(O314,'Data Angt'!$A$5:$F$5810,6,FALSE)</f>
        <v>20</v>
      </c>
      <c r="S314" s="5" t="str">
        <f>VLOOKUP(O314,'Data Angt'!$A$5:$H$5810,8,FALSE)</f>
        <v>Belum/Tidak Bekerja</v>
      </c>
      <c r="T314" s="44" t="str">
        <f>VLOOKUP(O314,'Data Angt'!$A$5:$C$5809,3,FALSE)</f>
        <v>KRK</v>
      </c>
    </row>
    <row r="315" spans="1:20" x14ac:dyDescent="0.3">
      <c r="A315" s="37">
        <v>158196</v>
      </c>
      <c r="B315" s="38">
        <v>309</v>
      </c>
      <c r="C315" s="39" t="s">
        <v>12174</v>
      </c>
      <c r="D315" s="10" t="str">
        <f>VLOOKUP(C315,'Data Angt'!$A$5:$B$5809,2,FALSE)</f>
        <v>A803</v>
      </c>
      <c r="E315" s="40" t="s">
        <v>24010</v>
      </c>
      <c r="F315" s="41">
        <v>45897</v>
      </c>
      <c r="G315" s="38">
        <v>1</v>
      </c>
      <c r="H315" s="40">
        <v>0</v>
      </c>
      <c r="I315" s="38">
        <v>4</v>
      </c>
      <c r="J315" s="41">
        <v>45897</v>
      </c>
      <c r="K315" s="38" t="s">
        <v>10768</v>
      </c>
      <c r="L315" s="42">
        <v>29000000</v>
      </c>
      <c r="O315" s="151" t="s">
        <v>6940</v>
      </c>
      <c r="P315" s="5" t="str">
        <f t="shared" si="8"/>
        <v>A3103</v>
      </c>
      <c r="Q315" s="5">
        <f t="shared" si="9"/>
        <v>1</v>
      </c>
      <c r="R315">
        <f>VLOOKUP(O315,'Data Angt'!$A$5:$F$5810,6,FALSE)</f>
        <v>71</v>
      </c>
      <c r="S315" s="5" t="str">
        <f>VLOOKUP(O315,'Data Angt'!$A$5:$H$5810,8,FALSE)</f>
        <v>Aparatur/Pejabat Negara</v>
      </c>
      <c r="T315" s="44" t="str">
        <f>VLOOKUP(O315,'Data Angt'!$A$5:$C$5809,3,FALSE)</f>
        <v>BWI</v>
      </c>
    </row>
    <row r="316" spans="1:20" x14ac:dyDescent="0.3">
      <c r="A316" s="37">
        <v>120427</v>
      </c>
      <c r="B316" s="38">
        <v>310</v>
      </c>
      <c r="C316" s="39" t="s">
        <v>1985</v>
      </c>
      <c r="D316" s="10" t="str">
        <f>VLOOKUP(C316,'Data Angt'!$A$5:$B$5809,2,FALSE)</f>
        <v>A811</v>
      </c>
      <c r="E316" s="40" t="s">
        <v>11796</v>
      </c>
      <c r="F316" s="41">
        <v>43866</v>
      </c>
      <c r="G316" s="38">
        <v>1</v>
      </c>
      <c r="H316" s="40">
        <v>0</v>
      </c>
      <c r="I316" s="38">
        <v>4</v>
      </c>
      <c r="J316" s="41">
        <v>43866</v>
      </c>
      <c r="K316" s="38" t="s">
        <v>10768</v>
      </c>
      <c r="L316" s="42">
        <v>20000000</v>
      </c>
      <c r="O316" s="151" t="s">
        <v>6942</v>
      </c>
      <c r="P316" s="5" t="str">
        <f t="shared" si="8"/>
        <v>A3104</v>
      </c>
      <c r="Q316" s="5">
        <f t="shared" si="9"/>
        <v>1</v>
      </c>
      <c r="R316">
        <f>VLOOKUP(O316,'Data Angt'!$A$5:$F$5810,6,FALSE)</f>
        <v>30</v>
      </c>
      <c r="S316" s="5" t="str">
        <f>VLOOKUP(O316,'Data Angt'!$A$5:$H$5810,8,FALSE)</f>
        <v>Lain-Lain</v>
      </c>
      <c r="T316" s="44" t="str">
        <f>VLOOKUP(O316,'Data Angt'!$A$5:$C$5809,3,FALSE)</f>
        <v>PBL</v>
      </c>
    </row>
    <row r="317" spans="1:20" x14ac:dyDescent="0.3">
      <c r="A317" s="37">
        <v>149778</v>
      </c>
      <c r="B317" s="38">
        <v>311</v>
      </c>
      <c r="C317" s="39" t="s">
        <v>1985</v>
      </c>
      <c r="D317" s="10" t="str">
        <f>VLOOKUP(C317,'Data Angt'!$A$5:$B$5809,2,FALSE)</f>
        <v>A811</v>
      </c>
      <c r="E317" s="40" t="s">
        <v>18067</v>
      </c>
      <c r="F317" s="41">
        <v>45587</v>
      </c>
      <c r="G317" s="38">
        <v>1</v>
      </c>
      <c r="H317" s="40">
        <v>0</v>
      </c>
      <c r="I317" s="38">
        <v>4</v>
      </c>
      <c r="J317" s="41">
        <v>45587</v>
      </c>
      <c r="K317" s="38" t="s">
        <v>10768</v>
      </c>
      <c r="L317" s="42">
        <v>50000000</v>
      </c>
      <c r="O317" s="151" t="s">
        <v>6965</v>
      </c>
      <c r="P317" s="5" t="str">
        <f t="shared" si="8"/>
        <v>A3116</v>
      </c>
      <c r="Q317" s="5">
        <f t="shared" si="9"/>
        <v>2</v>
      </c>
      <c r="R317">
        <f>VLOOKUP(O317,'Data Angt'!$A$5:$F$5810,6,FALSE)</f>
        <v>60</v>
      </c>
      <c r="S317" s="5" t="str">
        <f>VLOOKUP(O317,'Data Angt'!$A$5:$H$5810,8,FALSE)</f>
        <v>Tenaga Pengajar</v>
      </c>
      <c r="T317" s="44" t="str">
        <f>VLOOKUP(O317,'Data Angt'!$A$5:$C$5809,3,FALSE)</f>
        <v>JBR</v>
      </c>
    </row>
    <row r="318" spans="1:20" x14ac:dyDescent="0.3">
      <c r="A318" s="37">
        <v>149779</v>
      </c>
      <c r="B318" s="38">
        <v>312</v>
      </c>
      <c r="C318" s="39" t="s">
        <v>1985</v>
      </c>
      <c r="D318" s="10" t="str">
        <f>VLOOKUP(C318,'Data Angt'!$A$5:$B$5809,2,FALSE)</f>
        <v>A811</v>
      </c>
      <c r="E318" s="40" t="s">
        <v>18068</v>
      </c>
      <c r="F318" s="41">
        <v>45587</v>
      </c>
      <c r="G318" s="38">
        <v>1</v>
      </c>
      <c r="H318" s="40">
        <v>0</v>
      </c>
      <c r="I318" s="38">
        <v>4</v>
      </c>
      <c r="J318" s="41">
        <v>45587</v>
      </c>
      <c r="K318" s="38" t="s">
        <v>10768</v>
      </c>
      <c r="L318" s="42">
        <v>50000000</v>
      </c>
      <c r="O318" s="151" t="s">
        <v>6995</v>
      </c>
      <c r="P318" s="5" t="str">
        <f t="shared" si="8"/>
        <v>A3130</v>
      </c>
      <c r="Q318" s="5">
        <f t="shared" si="9"/>
        <v>1</v>
      </c>
      <c r="R318">
        <f>VLOOKUP(O318,'Data Angt'!$A$5:$F$5810,6,FALSE)</f>
        <v>46</v>
      </c>
      <c r="S318" s="5" t="str">
        <f>VLOOKUP(O318,'Data Angt'!$A$5:$H$5810,8,FALSE)</f>
        <v>Wiraswasta</v>
      </c>
      <c r="T318" s="44" t="str">
        <f>VLOOKUP(O318,'Data Angt'!$A$5:$C$5809,3,FALSE)</f>
        <v>PBL</v>
      </c>
    </row>
    <row r="319" spans="1:20" x14ac:dyDescent="0.3">
      <c r="A319" s="37">
        <v>150306</v>
      </c>
      <c r="B319" s="38">
        <v>313</v>
      </c>
      <c r="C319" s="39" t="s">
        <v>1985</v>
      </c>
      <c r="D319" s="10" t="str">
        <f>VLOOKUP(C319,'Data Angt'!$A$5:$B$5809,2,FALSE)</f>
        <v>A811</v>
      </c>
      <c r="E319" s="40" t="s">
        <v>18069</v>
      </c>
      <c r="F319" s="41">
        <v>45602</v>
      </c>
      <c r="G319" s="38">
        <v>1</v>
      </c>
      <c r="H319" s="40">
        <v>0</v>
      </c>
      <c r="I319" s="38">
        <v>4</v>
      </c>
      <c r="J319" s="41">
        <v>45602</v>
      </c>
      <c r="K319" s="38" t="s">
        <v>10768</v>
      </c>
      <c r="L319" s="42">
        <v>10000000</v>
      </c>
      <c r="O319" s="151" t="s">
        <v>7032</v>
      </c>
      <c r="P319" s="5" t="str">
        <f t="shared" si="8"/>
        <v>A3146</v>
      </c>
      <c r="Q319" s="5">
        <f t="shared" si="9"/>
        <v>1</v>
      </c>
      <c r="R319">
        <f>VLOOKUP(O319,'Data Angt'!$A$5:$F$5810,6,FALSE)</f>
        <v>66</v>
      </c>
      <c r="S319" s="5" t="str">
        <f>VLOOKUP(O319,'Data Angt'!$A$5:$H$5810,8,FALSE)</f>
        <v>Belum/Tidak Bekerja</v>
      </c>
      <c r="T319" s="44" t="str">
        <f>VLOOKUP(O319,'Data Angt'!$A$5:$C$5809,3,FALSE)</f>
        <v>PBL</v>
      </c>
    </row>
    <row r="320" spans="1:20" x14ac:dyDescent="0.3">
      <c r="A320" s="37">
        <v>134767</v>
      </c>
      <c r="B320" s="38">
        <v>314</v>
      </c>
      <c r="C320" s="39" t="s">
        <v>1985</v>
      </c>
      <c r="D320" s="10" t="str">
        <f>VLOOKUP(C320,'Data Angt'!$A$5:$B$5809,2,FALSE)</f>
        <v>A811</v>
      </c>
      <c r="E320" s="40" t="s">
        <v>11797</v>
      </c>
      <c r="F320" s="41">
        <v>44839</v>
      </c>
      <c r="G320" s="38">
        <v>1</v>
      </c>
      <c r="H320" s="40">
        <v>0</v>
      </c>
      <c r="I320" s="38">
        <v>4</v>
      </c>
      <c r="J320" s="41">
        <v>44839</v>
      </c>
      <c r="K320" s="38" t="s">
        <v>10768</v>
      </c>
      <c r="L320" s="42">
        <v>20000000</v>
      </c>
      <c r="O320" s="151" t="s">
        <v>7108</v>
      </c>
      <c r="P320" s="5" t="str">
        <f t="shared" si="8"/>
        <v>A3181</v>
      </c>
      <c r="Q320" s="5">
        <f t="shared" si="9"/>
        <v>2</v>
      </c>
      <c r="R320">
        <f>VLOOKUP(O320,'Data Angt'!$A$5:$F$5810,6,FALSE)</f>
        <v>70</v>
      </c>
      <c r="S320" s="5" t="str">
        <f>VLOOKUP(O320,'Data Angt'!$A$5:$H$5810,8,FALSE)</f>
        <v>Pensiunan</v>
      </c>
      <c r="T320" s="44" t="str">
        <f>VLOOKUP(O320,'Data Angt'!$A$5:$C$5809,3,FALSE)</f>
        <v>JBR</v>
      </c>
    </row>
    <row r="321" spans="1:20" x14ac:dyDescent="0.3">
      <c r="A321" s="37">
        <v>152449</v>
      </c>
      <c r="B321" s="38">
        <v>315</v>
      </c>
      <c r="C321" s="39" t="s">
        <v>1985</v>
      </c>
      <c r="D321" s="10" t="str">
        <f>VLOOKUP(C321,'Data Angt'!$A$5:$B$5809,2,FALSE)</f>
        <v>A811</v>
      </c>
      <c r="E321" s="40" t="s">
        <v>18070</v>
      </c>
      <c r="F321" s="41">
        <v>45680</v>
      </c>
      <c r="G321" s="38">
        <v>1</v>
      </c>
      <c r="H321" s="40">
        <v>0</v>
      </c>
      <c r="I321" s="38">
        <v>4</v>
      </c>
      <c r="J321" s="41">
        <v>45680</v>
      </c>
      <c r="K321" s="38" t="s">
        <v>10768</v>
      </c>
      <c r="L321" s="42">
        <v>40000000</v>
      </c>
      <c r="O321" s="151" t="s">
        <v>7187</v>
      </c>
      <c r="P321" s="5" t="str">
        <f t="shared" si="8"/>
        <v>A3214</v>
      </c>
      <c r="Q321" s="5">
        <f t="shared" si="9"/>
        <v>2</v>
      </c>
      <c r="R321">
        <f>VLOOKUP(O321,'Data Angt'!$A$5:$F$5810,6,FALSE)</f>
        <v>55</v>
      </c>
      <c r="S321" s="5" t="str">
        <f>VLOOKUP(O321,'Data Angt'!$A$5:$H$5810,8,FALSE)</f>
        <v>Karyawan</v>
      </c>
      <c r="T321" s="44" t="str">
        <f>VLOOKUP(O321,'Data Angt'!$A$5:$C$5809,3,FALSE)</f>
        <v>MJK</v>
      </c>
    </row>
    <row r="322" spans="1:20" x14ac:dyDescent="0.3">
      <c r="A322" s="37">
        <v>154507</v>
      </c>
      <c r="B322" s="38">
        <v>316</v>
      </c>
      <c r="C322" s="39" t="s">
        <v>1985</v>
      </c>
      <c r="D322" s="10" t="str">
        <f>VLOOKUP(C322,'Data Angt'!$A$5:$B$5809,2,FALSE)</f>
        <v>A811</v>
      </c>
      <c r="E322" s="40" t="s">
        <v>18063</v>
      </c>
      <c r="F322" s="41">
        <v>45728</v>
      </c>
      <c r="G322" s="38">
        <v>1</v>
      </c>
      <c r="H322" s="40">
        <v>0</v>
      </c>
      <c r="I322" s="38">
        <v>4</v>
      </c>
      <c r="J322" s="41">
        <v>45728</v>
      </c>
      <c r="K322" s="38" t="s">
        <v>10768</v>
      </c>
      <c r="L322" s="42">
        <v>10000000</v>
      </c>
      <c r="O322" s="151" t="s">
        <v>7228</v>
      </c>
      <c r="P322" s="5" t="str">
        <f t="shared" si="8"/>
        <v>A3231</v>
      </c>
      <c r="Q322" s="5">
        <f t="shared" si="9"/>
        <v>1</v>
      </c>
      <c r="R322">
        <f>VLOOKUP(O322,'Data Angt'!$A$5:$F$5810,6,FALSE)</f>
        <v>37</v>
      </c>
      <c r="S322" s="5" t="str">
        <f>VLOOKUP(O322,'Data Angt'!$A$5:$H$5810,8,FALSE)</f>
        <v>Mengurus Rumah Tangga</v>
      </c>
      <c r="T322" s="44" t="str">
        <f>VLOOKUP(O322,'Data Angt'!$A$5:$C$5809,3,FALSE)</f>
        <v>PBL</v>
      </c>
    </row>
    <row r="323" spans="1:20" x14ac:dyDescent="0.3">
      <c r="A323" s="37">
        <v>157183</v>
      </c>
      <c r="B323" s="38">
        <v>317</v>
      </c>
      <c r="C323" s="39" t="s">
        <v>1985</v>
      </c>
      <c r="D323" s="10" t="str">
        <f>VLOOKUP(C323,'Data Angt'!$A$5:$B$5809,2,FALSE)</f>
        <v>A811</v>
      </c>
      <c r="E323" s="40" t="s">
        <v>24011</v>
      </c>
      <c r="F323" s="41">
        <v>45857</v>
      </c>
      <c r="G323" s="38">
        <v>1</v>
      </c>
      <c r="H323" s="40">
        <v>0</v>
      </c>
      <c r="I323" s="38">
        <v>4</v>
      </c>
      <c r="J323" s="41">
        <v>45857</v>
      </c>
      <c r="K323" s="38" t="s">
        <v>10768</v>
      </c>
      <c r="L323" s="42">
        <v>12000000</v>
      </c>
      <c r="O323" s="151" t="s">
        <v>7270</v>
      </c>
      <c r="P323" s="5" t="str">
        <f t="shared" si="8"/>
        <v>A3251</v>
      </c>
      <c r="Q323" s="5">
        <f t="shared" si="9"/>
        <v>1</v>
      </c>
      <c r="R323">
        <f>VLOOKUP(O323,'Data Angt'!$A$5:$F$5810,6,FALSE)</f>
        <v>41</v>
      </c>
      <c r="S323" s="5" t="str">
        <f>VLOOKUP(O323,'Data Angt'!$A$5:$H$5810,8,FALSE)</f>
        <v>Tenaga Ahli</v>
      </c>
      <c r="T323" s="44" t="str">
        <f>VLOOKUP(O323,'Data Angt'!$A$5:$C$5809,3,FALSE)</f>
        <v>JBR</v>
      </c>
    </row>
    <row r="324" spans="1:20" x14ac:dyDescent="0.3">
      <c r="A324" s="37">
        <v>144148</v>
      </c>
      <c r="B324" s="38">
        <v>318</v>
      </c>
      <c r="C324" s="39" t="s">
        <v>1985</v>
      </c>
      <c r="D324" s="10" t="str">
        <f>VLOOKUP(C324,'Data Angt'!$A$5:$B$5809,2,FALSE)</f>
        <v>A811</v>
      </c>
      <c r="E324" s="40" t="s">
        <v>18064</v>
      </c>
      <c r="F324" s="41">
        <v>45386</v>
      </c>
      <c r="G324" s="38">
        <v>1</v>
      </c>
      <c r="H324" s="40">
        <v>0</v>
      </c>
      <c r="I324" s="38">
        <v>4</v>
      </c>
      <c r="J324" s="41">
        <v>45386</v>
      </c>
      <c r="K324" s="38" t="s">
        <v>10768</v>
      </c>
      <c r="L324" s="42">
        <v>50000000</v>
      </c>
      <c r="O324" s="151" t="s">
        <v>7333</v>
      </c>
      <c r="P324" s="5" t="str">
        <f t="shared" si="8"/>
        <v>A3280</v>
      </c>
      <c r="Q324" s="5">
        <f t="shared" si="9"/>
        <v>2</v>
      </c>
      <c r="R324">
        <f>VLOOKUP(O324,'Data Angt'!$A$5:$F$5810,6,FALSE)</f>
        <v>67</v>
      </c>
      <c r="S324" s="5" t="str">
        <f>VLOOKUP(O324,'Data Angt'!$A$5:$H$5810,8,FALSE)</f>
        <v>Pensiunan</v>
      </c>
      <c r="T324" s="44" t="str">
        <f>VLOOKUP(O324,'Data Angt'!$A$5:$C$5809,3,FALSE)</f>
        <v>JBR</v>
      </c>
    </row>
    <row r="325" spans="1:20" x14ac:dyDescent="0.3">
      <c r="A325" s="37">
        <v>144149</v>
      </c>
      <c r="B325" s="38">
        <v>319</v>
      </c>
      <c r="C325" s="39" t="s">
        <v>1985</v>
      </c>
      <c r="D325" s="10" t="str">
        <f>VLOOKUP(C325,'Data Angt'!$A$5:$B$5809,2,FALSE)</f>
        <v>A811</v>
      </c>
      <c r="E325" s="40" t="s">
        <v>18065</v>
      </c>
      <c r="F325" s="41">
        <v>45386</v>
      </c>
      <c r="G325" s="38">
        <v>1</v>
      </c>
      <c r="H325" s="40">
        <v>0</v>
      </c>
      <c r="I325" s="38">
        <v>4</v>
      </c>
      <c r="J325" s="41">
        <v>45386</v>
      </c>
      <c r="K325" s="38" t="s">
        <v>10768</v>
      </c>
      <c r="L325" s="42">
        <v>50000000</v>
      </c>
      <c r="O325" s="151" t="s">
        <v>7420</v>
      </c>
      <c r="P325" s="5" t="str">
        <f t="shared" si="8"/>
        <v>A3319</v>
      </c>
      <c r="Q325" s="5">
        <f t="shared" si="9"/>
        <v>1</v>
      </c>
      <c r="R325">
        <f>VLOOKUP(O325,'Data Angt'!$A$5:$F$5810,6,FALSE)</f>
        <v>54</v>
      </c>
      <c r="S325" s="5" t="str">
        <f>VLOOKUP(O325,'Data Angt'!$A$5:$H$5810,8,FALSE)</f>
        <v>Mengurus Rumah Tangga</v>
      </c>
      <c r="T325" s="44" t="str">
        <f>VLOOKUP(O325,'Data Angt'!$A$5:$C$5809,3,FALSE)</f>
        <v>JBR</v>
      </c>
    </row>
    <row r="326" spans="1:20" x14ac:dyDescent="0.3">
      <c r="A326" s="37">
        <v>149362</v>
      </c>
      <c r="B326" s="38">
        <v>320</v>
      </c>
      <c r="C326" s="39" t="s">
        <v>1985</v>
      </c>
      <c r="D326" s="10" t="str">
        <f>VLOOKUP(C326,'Data Angt'!$A$5:$B$5809,2,FALSE)</f>
        <v>A811</v>
      </c>
      <c r="E326" s="40" t="s">
        <v>18066</v>
      </c>
      <c r="F326" s="41">
        <v>45561</v>
      </c>
      <c r="G326" s="38">
        <v>1</v>
      </c>
      <c r="H326" s="40">
        <v>0</v>
      </c>
      <c r="I326" s="38">
        <v>4</v>
      </c>
      <c r="J326" s="41">
        <v>45561</v>
      </c>
      <c r="K326" s="38" t="s">
        <v>10768</v>
      </c>
      <c r="L326" s="42">
        <v>40000000</v>
      </c>
      <c r="O326" s="151" t="s">
        <v>7468</v>
      </c>
      <c r="P326" s="5" t="str">
        <f t="shared" ref="P326:P389" si="10">VLOOKUP(O326,$C$7:$D$1146,2,FALSE)</f>
        <v>A3342</v>
      </c>
      <c r="Q326" s="5">
        <f t="shared" si="9"/>
        <v>4</v>
      </c>
      <c r="R326">
        <f>VLOOKUP(O326,'Data Angt'!$A$5:$F$5810,6,FALSE)</f>
        <v>55</v>
      </c>
      <c r="S326" s="5" t="str">
        <f>VLOOKUP(O326,'Data Angt'!$A$5:$H$5810,8,FALSE)</f>
        <v>Mengurus Rumah Tangga</v>
      </c>
      <c r="T326" s="44" t="str">
        <f>VLOOKUP(O326,'Data Angt'!$A$5:$C$5809,3,FALSE)</f>
        <v>JBR</v>
      </c>
    </row>
    <row r="327" spans="1:20" x14ac:dyDescent="0.3">
      <c r="A327" s="37">
        <v>77891</v>
      </c>
      <c r="B327" s="38">
        <v>321</v>
      </c>
      <c r="C327" s="39" t="s">
        <v>1990</v>
      </c>
      <c r="D327" s="10" t="str">
        <f>VLOOKUP(C327,'Data Angt'!$A$5:$B$5809,2,FALSE)</f>
        <v>A813</v>
      </c>
      <c r="E327" s="40" t="s">
        <v>11795</v>
      </c>
      <c r="F327" s="41">
        <v>41150</v>
      </c>
      <c r="G327" s="38">
        <v>1</v>
      </c>
      <c r="H327" s="40">
        <v>0</v>
      </c>
      <c r="I327" s="38">
        <v>4</v>
      </c>
      <c r="J327" s="41">
        <v>41150</v>
      </c>
      <c r="K327" s="38" t="s">
        <v>10768</v>
      </c>
      <c r="L327" s="42">
        <v>100000000</v>
      </c>
      <c r="O327" s="151" t="s">
        <v>7491</v>
      </c>
      <c r="P327" s="5" t="str">
        <f t="shared" si="10"/>
        <v>A3353</v>
      </c>
      <c r="Q327" s="5">
        <f t="shared" ref="Q327:Q390" si="11">COUNTIF($C$7:$C$1146,O327)</f>
        <v>2</v>
      </c>
      <c r="R327">
        <f>VLOOKUP(O327,'Data Angt'!$A$5:$F$5810,6,FALSE)</f>
        <v>41</v>
      </c>
      <c r="S327" s="5" t="str">
        <f>VLOOKUP(O327,'Data Angt'!$A$5:$H$5810,8,FALSE)</f>
        <v>Mengurus Rumah Tangga</v>
      </c>
      <c r="T327" s="44" t="str">
        <f>VLOOKUP(O327,'Data Angt'!$A$5:$C$5809,3,FALSE)</f>
        <v>PBL</v>
      </c>
    </row>
    <row r="328" spans="1:20" x14ac:dyDescent="0.3">
      <c r="A328" s="37">
        <v>78003</v>
      </c>
      <c r="B328" s="38">
        <v>322</v>
      </c>
      <c r="C328" s="39" t="s">
        <v>1990</v>
      </c>
      <c r="D328" s="10" t="str">
        <f>VLOOKUP(C328,'Data Angt'!$A$5:$B$5809,2,FALSE)</f>
        <v>A813</v>
      </c>
      <c r="E328" s="40" t="s">
        <v>11794</v>
      </c>
      <c r="F328" s="41">
        <v>42481</v>
      </c>
      <c r="G328" s="38">
        <v>1</v>
      </c>
      <c r="H328" s="40">
        <v>0</v>
      </c>
      <c r="I328" s="38">
        <v>4</v>
      </c>
      <c r="J328" s="41">
        <v>42481</v>
      </c>
      <c r="K328" s="38" t="s">
        <v>10768</v>
      </c>
      <c r="L328" s="42">
        <v>100000000</v>
      </c>
      <c r="O328" s="151" t="s">
        <v>7525</v>
      </c>
      <c r="P328" s="5" t="str">
        <f t="shared" si="10"/>
        <v>A3369</v>
      </c>
      <c r="Q328" s="5">
        <f t="shared" si="11"/>
        <v>1</v>
      </c>
      <c r="R328">
        <f>VLOOKUP(O328,'Data Angt'!$A$5:$F$5810,6,FALSE)</f>
        <v>38</v>
      </c>
      <c r="S328" s="5" t="str">
        <f>VLOOKUP(O328,'Data Angt'!$A$5:$H$5810,8,FALSE)</f>
        <v>Karyawan</v>
      </c>
      <c r="T328" s="44" t="str">
        <f>VLOOKUP(O328,'Data Angt'!$A$5:$C$5809,3,FALSE)</f>
        <v>PBL</v>
      </c>
    </row>
    <row r="329" spans="1:20" x14ac:dyDescent="0.3">
      <c r="A329" s="37">
        <v>158043</v>
      </c>
      <c r="B329" s="38">
        <v>323</v>
      </c>
      <c r="C329" s="39" t="s">
        <v>2000</v>
      </c>
      <c r="D329" s="10" t="str">
        <f>VLOOKUP(C329,'Data Angt'!$A$5:$B$5809,2,FALSE)</f>
        <v>A817</v>
      </c>
      <c r="E329" s="40" t="s">
        <v>24012</v>
      </c>
      <c r="F329" s="41">
        <v>45891</v>
      </c>
      <c r="G329" s="38">
        <v>1</v>
      </c>
      <c r="H329" s="40">
        <v>0</v>
      </c>
      <c r="I329" s="38">
        <v>4</v>
      </c>
      <c r="J329" s="41">
        <v>45891</v>
      </c>
      <c r="K329" s="38" t="s">
        <v>10768</v>
      </c>
      <c r="L329" s="42">
        <v>18000000</v>
      </c>
      <c r="O329" s="151" t="s">
        <v>7572</v>
      </c>
      <c r="P329" s="5" t="str">
        <f t="shared" si="10"/>
        <v>A3392</v>
      </c>
      <c r="Q329" s="5">
        <f t="shared" si="11"/>
        <v>3</v>
      </c>
      <c r="R329">
        <f>VLOOKUP(O329,'Data Angt'!$A$5:$F$5810,6,FALSE)</f>
        <v>44</v>
      </c>
      <c r="S329" s="5" t="str">
        <f>VLOOKUP(O329,'Data Angt'!$A$5:$H$5810,8,FALSE)</f>
        <v>Mengurus Rumah Tangga</v>
      </c>
      <c r="T329" s="44" t="str">
        <f>VLOOKUP(O329,'Data Angt'!$A$5:$C$5809,3,FALSE)</f>
        <v>PBL</v>
      </c>
    </row>
    <row r="330" spans="1:20" x14ac:dyDescent="0.3">
      <c r="A330" s="37">
        <v>136620</v>
      </c>
      <c r="B330" s="38">
        <v>324</v>
      </c>
      <c r="C330" s="39" t="s">
        <v>2007</v>
      </c>
      <c r="D330" s="10" t="str">
        <f>VLOOKUP(C330,'Data Angt'!$A$5:$B$5809,2,FALSE)</f>
        <v>A820</v>
      </c>
      <c r="E330" s="40" t="s">
        <v>11793</v>
      </c>
      <c r="F330" s="41">
        <v>44984</v>
      </c>
      <c r="G330" s="38">
        <v>1</v>
      </c>
      <c r="H330" s="40">
        <v>0</v>
      </c>
      <c r="I330" s="38">
        <v>4</v>
      </c>
      <c r="J330" s="41">
        <v>44984</v>
      </c>
      <c r="K330" s="38" t="s">
        <v>10768</v>
      </c>
      <c r="L330" s="42">
        <v>20000000</v>
      </c>
      <c r="O330" s="151" t="s">
        <v>7613</v>
      </c>
      <c r="P330" s="5" t="str">
        <f t="shared" si="10"/>
        <v>A3410</v>
      </c>
      <c r="Q330" s="5">
        <f t="shared" si="11"/>
        <v>1</v>
      </c>
      <c r="R330">
        <f>VLOOKUP(O330,'Data Angt'!$A$5:$F$5810,6,FALSE)</f>
        <v>45</v>
      </c>
      <c r="S330" s="5" t="str">
        <f>VLOOKUP(O330,'Data Angt'!$A$5:$H$5810,8,FALSE)</f>
        <v>Wiraswasta</v>
      </c>
      <c r="T330" s="44" t="str">
        <f>VLOOKUP(O330,'Data Angt'!$A$5:$C$5809,3,FALSE)</f>
        <v>BWI</v>
      </c>
    </row>
    <row r="331" spans="1:20" x14ac:dyDescent="0.3">
      <c r="A331" s="37">
        <v>156996</v>
      </c>
      <c r="B331" s="38">
        <v>325</v>
      </c>
      <c r="C331" s="39" t="s">
        <v>12180</v>
      </c>
      <c r="D331" s="10" t="str">
        <f>VLOOKUP(C331,'Data Angt'!$A$5:$B$5809,2,FALSE)</f>
        <v>A824</v>
      </c>
      <c r="E331" s="40" t="s">
        <v>24013</v>
      </c>
      <c r="F331" s="41">
        <v>45852</v>
      </c>
      <c r="G331" s="38">
        <v>1</v>
      </c>
      <c r="H331" s="40">
        <v>0</v>
      </c>
      <c r="I331" s="38">
        <v>4</v>
      </c>
      <c r="J331" s="41">
        <v>45852</v>
      </c>
      <c r="K331" s="38" t="s">
        <v>10768</v>
      </c>
      <c r="L331" s="42">
        <v>8000000</v>
      </c>
      <c r="O331" s="151" t="s">
        <v>7645</v>
      </c>
      <c r="P331" s="5" t="str">
        <f t="shared" si="10"/>
        <v>A3424</v>
      </c>
      <c r="Q331" s="5">
        <f t="shared" si="11"/>
        <v>7</v>
      </c>
      <c r="R331">
        <f>VLOOKUP(O331,'Data Angt'!$A$5:$F$5810,6,FALSE)</f>
        <v>56</v>
      </c>
      <c r="S331" s="5" t="str">
        <f>VLOOKUP(O331,'Data Angt'!$A$5:$H$5810,8,FALSE)</f>
        <v>Mengurus Rumah Tangga</v>
      </c>
      <c r="T331" s="44" t="str">
        <f>VLOOKUP(O331,'Data Angt'!$A$5:$C$5809,3,FALSE)</f>
        <v>PBL</v>
      </c>
    </row>
    <row r="332" spans="1:20" x14ac:dyDescent="0.3">
      <c r="A332" s="37">
        <v>158536</v>
      </c>
      <c r="B332" s="38">
        <v>326</v>
      </c>
      <c r="C332" s="39" t="s">
        <v>2021</v>
      </c>
      <c r="D332" s="10" t="str">
        <f>VLOOKUP(C332,'Data Angt'!$A$5:$B$5809,2,FALSE)</f>
        <v>A829</v>
      </c>
      <c r="E332" s="40" t="s">
        <v>24014</v>
      </c>
      <c r="F332" s="41">
        <v>45912</v>
      </c>
      <c r="G332" s="38">
        <v>1</v>
      </c>
      <c r="H332" s="40">
        <v>0</v>
      </c>
      <c r="I332" s="38">
        <v>4</v>
      </c>
      <c r="J332" s="41">
        <v>45912</v>
      </c>
      <c r="K332" s="38" t="s">
        <v>10768</v>
      </c>
      <c r="L332" s="42">
        <v>30000000</v>
      </c>
      <c r="O332" s="151" t="s">
        <v>7646</v>
      </c>
      <c r="P332" s="5" t="str">
        <f t="shared" si="10"/>
        <v>A3425</v>
      </c>
      <c r="Q332" s="5">
        <f t="shared" si="11"/>
        <v>3</v>
      </c>
      <c r="R332">
        <f>VLOOKUP(O332,'Data Angt'!$A$5:$F$5810,6,FALSE)</f>
        <v>63</v>
      </c>
      <c r="S332" s="5" t="str">
        <f>VLOOKUP(O332,'Data Angt'!$A$5:$H$5810,8,FALSE)</f>
        <v>Aparatur/Pejabat Negara</v>
      </c>
      <c r="T332" s="44" t="str">
        <f>VLOOKUP(O332,'Data Angt'!$A$5:$C$5809,3,FALSE)</f>
        <v>PBL</v>
      </c>
    </row>
    <row r="333" spans="1:20" x14ac:dyDescent="0.3">
      <c r="A333" s="37">
        <v>78610</v>
      </c>
      <c r="B333" s="38">
        <v>327</v>
      </c>
      <c r="C333" s="39" t="s">
        <v>2025</v>
      </c>
      <c r="D333" s="10" t="str">
        <f>VLOOKUP(C333,'Data Angt'!$A$5:$B$5809,2,FALSE)</f>
        <v>A831</v>
      </c>
      <c r="E333" s="40" t="s">
        <v>11792</v>
      </c>
      <c r="F333" s="41">
        <v>41979</v>
      </c>
      <c r="G333" s="38">
        <v>1</v>
      </c>
      <c r="H333" s="40">
        <v>0</v>
      </c>
      <c r="I333" s="38">
        <v>4</v>
      </c>
      <c r="J333" s="41">
        <v>41802</v>
      </c>
      <c r="K333" s="38" t="s">
        <v>10768</v>
      </c>
      <c r="L333" s="42">
        <v>10000000</v>
      </c>
      <c r="O333" s="151" t="s">
        <v>7677</v>
      </c>
      <c r="P333" s="5" t="str">
        <f t="shared" si="10"/>
        <v>A3442</v>
      </c>
      <c r="Q333" s="5">
        <f t="shared" si="11"/>
        <v>6</v>
      </c>
      <c r="R333">
        <f>VLOOKUP(O333,'Data Angt'!$A$5:$F$5810,6,FALSE)</f>
        <v>58</v>
      </c>
      <c r="S333" s="5" t="str">
        <f>VLOOKUP(O333,'Data Angt'!$A$5:$H$5810,8,FALSE)</f>
        <v>Karyawan</v>
      </c>
      <c r="T333" s="44" t="str">
        <f>VLOOKUP(O333,'Data Angt'!$A$5:$C$5809,3,FALSE)</f>
        <v>PBL</v>
      </c>
    </row>
    <row r="334" spans="1:20" x14ac:dyDescent="0.3">
      <c r="A334" s="37">
        <v>145814</v>
      </c>
      <c r="B334" s="38">
        <v>328</v>
      </c>
      <c r="C334" s="39" t="s">
        <v>2025</v>
      </c>
      <c r="D334" s="10" t="str">
        <f>VLOOKUP(C334,'Data Angt'!$A$5:$B$5809,2,FALSE)</f>
        <v>A831</v>
      </c>
      <c r="E334" s="40" t="s">
        <v>18071</v>
      </c>
      <c r="F334" s="41">
        <v>45447</v>
      </c>
      <c r="G334" s="38">
        <v>1</v>
      </c>
      <c r="H334" s="40">
        <v>0</v>
      </c>
      <c r="I334" s="38">
        <v>4</v>
      </c>
      <c r="J334" s="41">
        <v>45447</v>
      </c>
      <c r="K334" s="38" t="s">
        <v>10768</v>
      </c>
      <c r="L334" s="42">
        <v>8000000</v>
      </c>
      <c r="O334" s="151" t="s">
        <v>7678</v>
      </c>
      <c r="P334" s="5" t="str">
        <f t="shared" si="10"/>
        <v>A3443</v>
      </c>
      <c r="Q334" s="5">
        <f t="shared" si="11"/>
        <v>6</v>
      </c>
      <c r="R334">
        <f>VLOOKUP(O334,'Data Angt'!$A$5:$F$5810,6,FALSE)</f>
        <v>24</v>
      </c>
      <c r="S334" s="5" t="str">
        <f>VLOOKUP(O334,'Data Angt'!$A$5:$H$5810,8,FALSE)</f>
        <v>Karyawan</v>
      </c>
      <c r="T334" s="44" t="str">
        <f>VLOOKUP(O334,'Data Angt'!$A$5:$C$5809,3,FALSE)</f>
        <v>PBL</v>
      </c>
    </row>
    <row r="335" spans="1:20" x14ac:dyDescent="0.3">
      <c r="A335" s="37">
        <v>119250</v>
      </c>
      <c r="B335" s="38">
        <v>329</v>
      </c>
      <c r="C335" s="39" t="s">
        <v>2028</v>
      </c>
      <c r="D335" s="10" t="str">
        <f>VLOOKUP(C335,'Data Angt'!$A$5:$B$5809,2,FALSE)</f>
        <v>A832</v>
      </c>
      <c r="E335" s="40" t="s">
        <v>11791</v>
      </c>
      <c r="F335" s="41">
        <v>43818</v>
      </c>
      <c r="G335" s="38">
        <v>1</v>
      </c>
      <c r="H335" s="40">
        <v>0</v>
      </c>
      <c r="I335" s="38">
        <v>4</v>
      </c>
      <c r="J335" s="41">
        <v>43818</v>
      </c>
      <c r="K335" s="38" t="s">
        <v>10768</v>
      </c>
      <c r="L335" s="42">
        <v>5000000</v>
      </c>
      <c r="O335" s="151" t="s">
        <v>7695</v>
      </c>
      <c r="P335" s="5" t="str">
        <f t="shared" si="10"/>
        <v>A3451</v>
      </c>
      <c r="Q335" s="5">
        <f t="shared" si="11"/>
        <v>5</v>
      </c>
      <c r="R335">
        <f>VLOOKUP(O335,'Data Angt'!$A$5:$F$5810,6,FALSE)</f>
        <v>38</v>
      </c>
      <c r="S335" s="5">
        <f>VLOOKUP(O335,'Data Angt'!$A$5:$H$5810,8,FALSE)</f>
        <v>0</v>
      </c>
      <c r="T335" s="44" t="str">
        <f>VLOOKUP(O335,'Data Angt'!$A$5:$C$5809,3,FALSE)</f>
        <v>PBL</v>
      </c>
    </row>
    <row r="336" spans="1:20" x14ac:dyDescent="0.3">
      <c r="A336" s="37">
        <v>132182</v>
      </c>
      <c r="B336" s="38">
        <v>330</v>
      </c>
      <c r="C336" s="39" t="s">
        <v>2031</v>
      </c>
      <c r="D336" s="10" t="str">
        <f>VLOOKUP(C336,'Data Angt'!$A$5:$B$5809,2,FALSE)</f>
        <v>A833</v>
      </c>
      <c r="E336" s="40" t="s">
        <v>11790</v>
      </c>
      <c r="F336" s="41">
        <v>44638</v>
      </c>
      <c r="G336" s="38">
        <v>6</v>
      </c>
      <c r="H336" s="40">
        <v>0</v>
      </c>
      <c r="I336" s="38">
        <v>4</v>
      </c>
      <c r="J336" s="41">
        <v>44638</v>
      </c>
      <c r="K336" s="38" t="s">
        <v>10768</v>
      </c>
      <c r="L336" s="42">
        <v>10000000</v>
      </c>
      <c r="O336" s="151" t="s">
        <v>7707</v>
      </c>
      <c r="P336" s="5" t="str">
        <f t="shared" si="10"/>
        <v>A3458</v>
      </c>
      <c r="Q336" s="5">
        <f t="shared" si="11"/>
        <v>3</v>
      </c>
      <c r="R336">
        <f>VLOOKUP(O336,'Data Angt'!$A$5:$F$5810,6,FALSE)</f>
        <v>57</v>
      </c>
      <c r="S336" s="5" t="str">
        <f>VLOOKUP(O336,'Data Angt'!$A$5:$H$5810,8,FALSE)</f>
        <v>Pemuka Agama</v>
      </c>
      <c r="T336" s="44" t="str">
        <f>VLOOKUP(O336,'Data Angt'!$A$5:$C$5809,3,FALSE)</f>
        <v>PBL</v>
      </c>
    </row>
    <row r="337" spans="1:20" x14ac:dyDescent="0.3">
      <c r="A337" s="37">
        <v>134612</v>
      </c>
      <c r="B337" s="38">
        <v>331</v>
      </c>
      <c r="C337" s="39" t="s">
        <v>2031</v>
      </c>
      <c r="D337" s="10" t="str">
        <f>VLOOKUP(C337,'Data Angt'!$A$5:$B$5809,2,FALSE)</f>
        <v>A833</v>
      </c>
      <c r="E337" s="40" t="s">
        <v>11789</v>
      </c>
      <c r="F337" s="41">
        <v>44821</v>
      </c>
      <c r="G337" s="38">
        <v>1</v>
      </c>
      <c r="H337" s="40">
        <v>0</v>
      </c>
      <c r="I337" s="38">
        <v>4</v>
      </c>
      <c r="J337" s="41">
        <v>44821</v>
      </c>
      <c r="K337" s="38" t="s">
        <v>10768</v>
      </c>
      <c r="L337" s="42">
        <v>20000000</v>
      </c>
      <c r="O337" s="151" t="s">
        <v>7714</v>
      </c>
      <c r="P337" s="5" t="str">
        <f t="shared" si="10"/>
        <v>A3462</v>
      </c>
      <c r="Q337" s="5">
        <f t="shared" si="11"/>
        <v>1</v>
      </c>
      <c r="R337">
        <f>VLOOKUP(O337,'Data Angt'!$A$5:$F$5810,6,FALSE)</f>
        <v>43</v>
      </c>
      <c r="S337" s="5" t="str">
        <f>VLOOKUP(O337,'Data Angt'!$A$5:$H$5810,8,FALSE)</f>
        <v>Mengurus Rumah Tangga</v>
      </c>
      <c r="T337" s="44" t="str">
        <f>VLOOKUP(O337,'Data Angt'!$A$5:$C$5809,3,FALSE)</f>
        <v>PBL</v>
      </c>
    </row>
    <row r="338" spans="1:20" x14ac:dyDescent="0.3">
      <c r="A338" s="37">
        <v>146702</v>
      </c>
      <c r="B338" s="38">
        <v>332</v>
      </c>
      <c r="C338" s="39" t="s">
        <v>2031</v>
      </c>
      <c r="D338" s="10" t="str">
        <f>VLOOKUP(C338,'Data Angt'!$A$5:$B$5809,2,FALSE)</f>
        <v>A833</v>
      </c>
      <c r="E338" s="40" t="s">
        <v>18072</v>
      </c>
      <c r="F338" s="41">
        <v>45491</v>
      </c>
      <c r="G338" s="38">
        <v>6</v>
      </c>
      <c r="H338" s="40">
        <v>0</v>
      </c>
      <c r="I338" s="38">
        <v>4</v>
      </c>
      <c r="J338" s="41">
        <v>45491</v>
      </c>
      <c r="K338" s="38" t="s">
        <v>10768</v>
      </c>
      <c r="L338" s="42">
        <v>22000000</v>
      </c>
      <c r="O338" s="151" t="s">
        <v>7727</v>
      </c>
      <c r="P338" s="5" t="str">
        <f t="shared" si="10"/>
        <v>A3468</v>
      </c>
      <c r="Q338" s="5">
        <f t="shared" si="11"/>
        <v>2</v>
      </c>
      <c r="R338">
        <f>VLOOKUP(O338,'Data Angt'!$A$5:$F$5810,6,FALSE)</f>
        <v>52</v>
      </c>
      <c r="S338" s="5" t="str">
        <f>VLOOKUP(O338,'Data Angt'!$A$5:$H$5810,8,FALSE)</f>
        <v>Mengurus Rumah Tangga</v>
      </c>
      <c r="T338" s="44" t="str">
        <f>VLOOKUP(O338,'Data Angt'!$A$5:$C$5809,3,FALSE)</f>
        <v>PBL</v>
      </c>
    </row>
    <row r="339" spans="1:20" x14ac:dyDescent="0.3">
      <c r="A339" s="37">
        <v>133240</v>
      </c>
      <c r="B339" s="38">
        <v>333</v>
      </c>
      <c r="C339" s="39" t="s">
        <v>2034</v>
      </c>
      <c r="D339" s="10" t="str">
        <f>VLOOKUP(C339,'Data Angt'!$A$5:$B$5809,2,FALSE)</f>
        <v>A835</v>
      </c>
      <c r="E339" s="40" t="s">
        <v>11786</v>
      </c>
      <c r="F339" s="41">
        <v>44720</v>
      </c>
      <c r="G339" s="38">
        <v>1</v>
      </c>
      <c r="H339" s="40">
        <v>0</v>
      </c>
      <c r="I339" s="38">
        <v>4</v>
      </c>
      <c r="J339" s="41">
        <v>44720</v>
      </c>
      <c r="K339" s="38" t="s">
        <v>10768</v>
      </c>
      <c r="L339" s="42">
        <v>15000000</v>
      </c>
      <c r="O339" s="151" t="s">
        <v>7754</v>
      </c>
      <c r="P339" s="5" t="str">
        <f t="shared" si="10"/>
        <v>A3480</v>
      </c>
      <c r="Q339" s="5">
        <f t="shared" si="11"/>
        <v>2</v>
      </c>
      <c r="R339">
        <f>VLOOKUP(O339,'Data Angt'!$A$5:$F$5810,6,FALSE)</f>
        <v>60</v>
      </c>
      <c r="S339" s="5" t="str">
        <f>VLOOKUP(O339,'Data Angt'!$A$5:$H$5810,8,FALSE)</f>
        <v>Tenaga Pengajar</v>
      </c>
      <c r="T339" s="44" t="str">
        <f>VLOOKUP(O339,'Data Angt'!$A$5:$C$5809,3,FALSE)</f>
        <v>JBR</v>
      </c>
    </row>
    <row r="340" spans="1:20" x14ac:dyDescent="0.3">
      <c r="A340" s="37">
        <v>139759</v>
      </c>
      <c r="B340" s="38">
        <v>334</v>
      </c>
      <c r="C340" s="39" t="s">
        <v>2034</v>
      </c>
      <c r="D340" s="10" t="str">
        <f>VLOOKUP(C340,'Data Angt'!$A$5:$B$5809,2,FALSE)</f>
        <v>A835</v>
      </c>
      <c r="E340" s="40" t="s">
        <v>11785</v>
      </c>
      <c r="F340" s="41">
        <v>45206</v>
      </c>
      <c r="G340" s="38">
        <v>1</v>
      </c>
      <c r="H340" s="40">
        <v>0</v>
      </c>
      <c r="I340" s="38">
        <v>4</v>
      </c>
      <c r="J340" s="41">
        <v>45206</v>
      </c>
      <c r="K340" s="38" t="s">
        <v>10768</v>
      </c>
      <c r="L340" s="42">
        <v>50000000</v>
      </c>
      <c r="O340" s="151" t="s">
        <v>7851</v>
      </c>
      <c r="P340" s="5" t="str">
        <f t="shared" si="10"/>
        <v>A3529</v>
      </c>
      <c r="Q340" s="5">
        <f t="shared" si="11"/>
        <v>1</v>
      </c>
      <c r="R340">
        <f>VLOOKUP(O340,'Data Angt'!$A$5:$F$5810,6,FALSE)</f>
        <v>46</v>
      </c>
      <c r="S340" s="5" t="str">
        <f>VLOOKUP(O340,'Data Angt'!$A$5:$H$5810,8,FALSE)</f>
        <v>Wiraswasta</v>
      </c>
      <c r="T340" s="44" t="str">
        <f>VLOOKUP(O340,'Data Angt'!$A$5:$C$5809,3,FALSE)</f>
        <v>PBL</v>
      </c>
    </row>
    <row r="341" spans="1:20" x14ac:dyDescent="0.3">
      <c r="A341" s="37">
        <v>125142</v>
      </c>
      <c r="B341" s="38">
        <v>335</v>
      </c>
      <c r="C341" s="39" t="s">
        <v>2034</v>
      </c>
      <c r="D341" s="10" t="str">
        <f>VLOOKUP(C341,'Data Angt'!$A$5:$B$5809,2,FALSE)</f>
        <v>A835</v>
      </c>
      <c r="E341" s="40" t="s">
        <v>11788</v>
      </c>
      <c r="F341" s="41">
        <v>44098</v>
      </c>
      <c r="G341" s="38">
        <v>1</v>
      </c>
      <c r="H341" s="40">
        <v>0</v>
      </c>
      <c r="I341" s="38">
        <v>4</v>
      </c>
      <c r="J341" s="41">
        <v>44098</v>
      </c>
      <c r="K341" s="38" t="s">
        <v>10768</v>
      </c>
      <c r="L341" s="42">
        <v>10000000</v>
      </c>
      <c r="O341" s="151" t="s">
        <v>7861</v>
      </c>
      <c r="P341" s="5" t="str">
        <f t="shared" si="10"/>
        <v>A3534</v>
      </c>
      <c r="Q341" s="5">
        <f t="shared" si="11"/>
        <v>1</v>
      </c>
      <c r="R341">
        <f>VLOOKUP(O341,'Data Angt'!$A$5:$F$5810,6,FALSE)</f>
        <v>54</v>
      </c>
      <c r="S341" s="5" t="str">
        <f>VLOOKUP(O341,'Data Angt'!$A$5:$H$5810,8,FALSE)</f>
        <v>Wiraswasta</v>
      </c>
      <c r="T341" s="44" t="str">
        <f>VLOOKUP(O341,'Data Angt'!$A$5:$C$5809,3,FALSE)</f>
        <v>PBL</v>
      </c>
    </row>
    <row r="342" spans="1:20" x14ac:dyDescent="0.3">
      <c r="A342" s="37">
        <v>126953</v>
      </c>
      <c r="B342" s="38">
        <v>336</v>
      </c>
      <c r="C342" s="39" t="s">
        <v>2034</v>
      </c>
      <c r="D342" s="10" t="str">
        <f>VLOOKUP(C342,'Data Angt'!$A$5:$B$5809,2,FALSE)</f>
        <v>A835</v>
      </c>
      <c r="E342" s="40" t="s">
        <v>11787</v>
      </c>
      <c r="F342" s="41">
        <v>44242</v>
      </c>
      <c r="G342" s="38">
        <v>1</v>
      </c>
      <c r="H342" s="40">
        <v>0</v>
      </c>
      <c r="I342" s="38">
        <v>4</v>
      </c>
      <c r="J342" s="41">
        <v>44242</v>
      </c>
      <c r="K342" s="38" t="s">
        <v>10768</v>
      </c>
      <c r="L342" s="42">
        <v>25000000</v>
      </c>
      <c r="O342" s="151" t="s">
        <v>7985</v>
      </c>
      <c r="P342" s="5" t="str">
        <f t="shared" si="10"/>
        <v>A3600</v>
      </c>
      <c r="Q342" s="5">
        <f t="shared" si="11"/>
        <v>1</v>
      </c>
      <c r="R342">
        <f>VLOOKUP(O342,'Data Angt'!$A$5:$F$5810,6,FALSE)</f>
        <v>26</v>
      </c>
      <c r="S342" s="5" t="str">
        <f>VLOOKUP(O342,'Data Angt'!$A$5:$H$5810,8,FALSE)</f>
        <v>Karyawan</v>
      </c>
      <c r="T342" s="44" t="str">
        <f>VLOOKUP(O342,'Data Angt'!$A$5:$C$5809,3,FALSE)</f>
        <v>JBR</v>
      </c>
    </row>
    <row r="343" spans="1:20" x14ac:dyDescent="0.3">
      <c r="A343" s="37">
        <v>130407</v>
      </c>
      <c r="B343" s="38">
        <v>337</v>
      </c>
      <c r="C343" s="39" t="s">
        <v>12184</v>
      </c>
      <c r="D343" s="10" t="str">
        <f>VLOOKUP(C343,'Data Angt'!$A$5:$B$5809,2,FALSE)</f>
        <v>A848</v>
      </c>
      <c r="E343" s="40" t="s">
        <v>11780</v>
      </c>
      <c r="F343" s="41">
        <v>44494</v>
      </c>
      <c r="G343" s="38">
        <v>1</v>
      </c>
      <c r="H343" s="40">
        <v>0</v>
      </c>
      <c r="I343" s="38">
        <v>4</v>
      </c>
      <c r="J343" s="41">
        <v>44494</v>
      </c>
      <c r="K343" s="38" t="s">
        <v>10768</v>
      </c>
      <c r="L343" s="42">
        <v>1000000</v>
      </c>
      <c r="O343" s="151" t="s">
        <v>8004</v>
      </c>
      <c r="P343" s="5" t="str">
        <f t="shared" si="10"/>
        <v>A3609</v>
      </c>
      <c r="Q343" s="5">
        <f t="shared" si="11"/>
        <v>2</v>
      </c>
      <c r="R343">
        <f>VLOOKUP(O343,'Data Angt'!$A$5:$F$5810,6,FALSE)</f>
        <v>49</v>
      </c>
      <c r="S343" s="5" t="str">
        <f>VLOOKUP(O343,'Data Angt'!$A$5:$H$5810,8,FALSE)</f>
        <v>Mengurus Rumah Tangga</v>
      </c>
      <c r="T343" s="44" t="str">
        <f>VLOOKUP(O343,'Data Angt'!$A$5:$C$5809,3,FALSE)</f>
        <v>PBL</v>
      </c>
    </row>
    <row r="344" spans="1:20" x14ac:dyDescent="0.3">
      <c r="A344" s="37">
        <v>149401</v>
      </c>
      <c r="B344" s="38">
        <v>338</v>
      </c>
      <c r="C344" s="39" t="s">
        <v>12184</v>
      </c>
      <c r="D344" s="10" t="str">
        <f>VLOOKUP(C344,'Data Angt'!$A$5:$B$5809,2,FALSE)</f>
        <v>A848</v>
      </c>
      <c r="E344" s="40" t="s">
        <v>18073</v>
      </c>
      <c r="F344" s="41">
        <v>45565</v>
      </c>
      <c r="G344" s="38">
        <v>1</v>
      </c>
      <c r="H344" s="40">
        <v>0</v>
      </c>
      <c r="I344" s="38">
        <v>4</v>
      </c>
      <c r="J344" s="41">
        <v>45565</v>
      </c>
      <c r="K344" s="38" t="s">
        <v>10768</v>
      </c>
      <c r="L344" s="42">
        <v>1000000</v>
      </c>
      <c r="O344" s="151" t="s">
        <v>8061</v>
      </c>
      <c r="P344" s="5" t="str">
        <f t="shared" si="10"/>
        <v>A3641</v>
      </c>
      <c r="Q344" s="5">
        <f t="shared" si="11"/>
        <v>3</v>
      </c>
      <c r="R344">
        <f>VLOOKUP(O344,'Data Angt'!$A$5:$F$5810,6,FALSE)</f>
        <v>37</v>
      </c>
      <c r="S344" s="5" t="str">
        <f>VLOOKUP(O344,'Data Angt'!$A$5:$H$5810,8,FALSE)</f>
        <v>Karyawan</v>
      </c>
      <c r="T344" s="44" t="str">
        <f>VLOOKUP(O344,'Data Angt'!$A$5:$C$5809,3,FALSE)</f>
        <v>PBL</v>
      </c>
    </row>
    <row r="345" spans="1:20" x14ac:dyDescent="0.3">
      <c r="A345" s="37">
        <v>78655</v>
      </c>
      <c r="B345" s="38">
        <v>339</v>
      </c>
      <c r="C345" s="39" t="s">
        <v>12184</v>
      </c>
      <c r="D345" s="10" t="str">
        <f>VLOOKUP(C345,'Data Angt'!$A$5:$B$5809,2,FALSE)</f>
        <v>A848</v>
      </c>
      <c r="E345" s="40" t="s">
        <v>11784</v>
      </c>
      <c r="F345" s="41">
        <v>42780</v>
      </c>
      <c r="G345" s="38">
        <v>1</v>
      </c>
      <c r="H345" s="40">
        <v>0</v>
      </c>
      <c r="I345" s="38">
        <v>4</v>
      </c>
      <c r="J345" s="41">
        <v>42780</v>
      </c>
      <c r="K345" s="38" t="s">
        <v>10768</v>
      </c>
      <c r="L345" s="42">
        <v>1000000</v>
      </c>
      <c r="O345" s="151" t="s">
        <v>8067</v>
      </c>
      <c r="P345" s="5" t="str">
        <f t="shared" si="10"/>
        <v>A3645</v>
      </c>
      <c r="Q345" s="5">
        <f t="shared" si="11"/>
        <v>2</v>
      </c>
      <c r="R345">
        <f>VLOOKUP(O345,'Data Angt'!$A$5:$F$5810,6,FALSE)</f>
        <v>57</v>
      </c>
      <c r="S345" s="5" t="str">
        <f>VLOOKUP(O345,'Data Angt'!$A$5:$H$5810,8,FALSE)</f>
        <v>Mengurus Rumah Tangga</v>
      </c>
      <c r="T345" s="44" t="str">
        <f>VLOOKUP(O345,'Data Angt'!$A$5:$C$5809,3,FALSE)</f>
        <v>PBL</v>
      </c>
    </row>
    <row r="346" spans="1:20" x14ac:dyDescent="0.3">
      <c r="A346" s="37">
        <v>78705</v>
      </c>
      <c r="B346" s="38">
        <v>340</v>
      </c>
      <c r="C346" s="39" t="s">
        <v>12184</v>
      </c>
      <c r="D346" s="10" t="str">
        <f>VLOOKUP(C346,'Data Angt'!$A$5:$B$5809,2,FALSE)</f>
        <v>A848</v>
      </c>
      <c r="E346" s="40" t="s">
        <v>11783</v>
      </c>
      <c r="F346" s="41">
        <v>43047</v>
      </c>
      <c r="G346" s="38">
        <v>1</v>
      </c>
      <c r="H346" s="40">
        <v>0</v>
      </c>
      <c r="I346" s="38">
        <v>4</v>
      </c>
      <c r="J346" s="41">
        <v>42958</v>
      </c>
      <c r="K346" s="38" t="s">
        <v>10768</v>
      </c>
      <c r="L346" s="42">
        <v>1500000</v>
      </c>
      <c r="O346" s="151" t="s">
        <v>8086</v>
      </c>
      <c r="P346" s="5" t="str">
        <f t="shared" si="10"/>
        <v>A3658</v>
      </c>
      <c r="Q346" s="5">
        <f t="shared" si="11"/>
        <v>4</v>
      </c>
      <c r="R346">
        <f>VLOOKUP(O346,'Data Angt'!$A$5:$F$5810,6,FALSE)</f>
        <v>86</v>
      </c>
      <c r="S346" s="5" t="str">
        <f>VLOOKUP(O346,'Data Angt'!$A$5:$H$5810,8,FALSE)</f>
        <v>Mengurus Rumah Tangga</v>
      </c>
      <c r="T346" s="44" t="str">
        <f>VLOOKUP(O346,'Data Angt'!$A$5:$C$5809,3,FALSE)</f>
        <v>JBR</v>
      </c>
    </row>
    <row r="347" spans="1:20" x14ac:dyDescent="0.3">
      <c r="A347" s="37">
        <v>111657</v>
      </c>
      <c r="B347" s="38">
        <v>341</v>
      </c>
      <c r="C347" s="39" t="s">
        <v>12184</v>
      </c>
      <c r="D347" s="10" t="str">
        <f>VLOOKUP(C347,'Data Angt'!$A$5:$B$5809,2,FALSE)</f>
        <v>A848</v>
      </c>
      <c r="E347" s="40" t="s">
        <v>11782</v>
      </c>
      <c r="F347" s="41">
        <v>43580</v>
      </c>
      <c r="G347" s="38">
        <v>1</v>
      </c>
      <c r="H347" s="40">
        <v>0</v>
      </c>
      <c r="I347" s="38">
        <v>4</v>
      </c>
      <c r="J347" s="41">
        <v>43580</v>
      </c>
      <c r="K347" s="38" t="s">
        <v>10768</v>
      </c>
      <c r="L347" s="42">
        <v>1000000</v>
      </c>
      <c r="O347" s="151" t="s">
        <v>8132</v>
      </c>
      <c r="P347" s="5" t="str">
        <f t="shared" si="10"/>
        <v>A3681</v>
      </c>
      <c r="Q347" s="5">
        <f t="shared" si="11"/>
        <v>1</v>
      </c>
      <c r="R347">
        <f>VLOOKUP(O347,'Data Angt'!$A$5:$F$5810,6,FALSE)</f>
        <v>35</v>
      </c>
      <c r="S347" s="5" t="str">
        <f>VLOOKUP(O347,'Data Angt'!$A$5:$H$5810,8,FALSE)</f>
        <v>Karyawan</v>
      </c>
      <c r="T347" s="44" t="str">
        <f>VLOOKUP(O347,'Data Angt'!$A$5:$C$5809,3,FALSE)</f>
        <v>JBR</v>
      </c>
    </row>
    <row r="348" spans="1:20" x14ac:dyDescent="0.3">
      <c r="A348" s="37">
        <v>127893</v>
      </c>
      <c r="B348" s="38">
        <v>342</v>
      </c>
      <c r="C348" s="39" t="s">
        <v>12184</v>
      </c>
      <c r="D348" s="10" t="str">
        <f>VLOOKUP(C348,'Data Angt'!$A$5:$B$5809,2,FALSE)</f>
        <v>A848</v>
      </c>
      <c r="E348" s="40" t="s">
        <v>11781</v>
      </c>
      <c r="F348" s="41">
        <v>44302</v>
      </c>
      <c r="G348" s="38">
        <v>1</v>
      </c>
      <c r="H348" s="40">
        <v>0</v>
      </c>
      <c r="I348" s="38">
        <v>4</v>
      </c>
      <c r="J348" s="41">
        <v>44302</v>
      </c>
      <c r="K348" s="38" t="s">
        <v>10768</v>
      </c>
      <c r="L348" s="42">
        <v>1000000</v>
      </c>
      <c r="O348" s="151" t="s">
        <v>8147</v>
      </c>
      <c r="P348" s="5" t="str">
        <f t="shared" si="10"/>
        <v>A3689</v>
      </c>
      <c r="Q348" s="5">
        <f t="shared" si="11"/>
        <v>1</v>
      </c>
      <c r="R348">
        <f>VLOOKUP(O348,'Data Angt'!$A$5:$F$5810,6,FALSE)</f>
        <v>26</v>
      </c>
      <c r="S348" s="5" t="str">
        <f>VLOOKUP(O348,'Data Angt'!$A$5:$H$5810,8,FALSE)</f>
        <v>Mengurus Rumah Tangga</v>
      </c>
      <c r="T348" s="44" t="str">
        <f>VLOOKUP(O348,'Data Angt'!$A$5:$C$5809,3,FALSE)</f>
        <v>PBL</v>
      </c>
    </row>
    <row r="349" spans="1:20" x14ac:dyDescent="0.3">
      <c r="A349" s="37">
        <v>139129</v>
      </c>
      <c r="B349" s="38">
        <v>343</v>
      </c>
      <c r="C349" s="39" t="s">
        <v>2077</v>
      </c>
      <c r="D349" s="10" t="str">
        <f>VLOOKUP(C349,'Data Angt'!$A$5:$B$5809,2,FALSE)</f>
        <v>A853</v>
      </c>
      <c r="E349" s="40" t="s">
        <v>11779</v>
      </c>
      <c r="F349" s="41">
        <v>45174</v>
      </c>
      <c r="G349" s="38">
        <v>1</v>
      </c>
      <c r="H349" s="40">
        <v>0</v>
      </c>
      <c r="I349" s="38">
        <v>4</v>
      </c>
      <c r="J349" s="41">
        <v>45174</v>
      </c>
      <c r="K349" s="38" t="s">
        <v>10768</v>
      </c>
      <c r="L349" s="42">
        <v>15000000</v>
      </c>
      <c r="O349" s="151" t="s">
        <v>8168</v>
      </c>
      <c r="P349" s="5" t="str">
        <f t="shared" si="10"/>
        <v>A3698</v>
      </c>
      <c r="Q349" s="5">
        <f t="shared" si="11"/>
        <v>1</v>
      </c>
      <c r="R349">
        <f>VLOOKUP(O349,'Data Angt'!$A$5:$F$5810,6,FALSE)</f>
        <v>30</v>
      </c>
      <c r="S349" s="5" t="str">
        <f>VLOOKUP(O349,'Data Angt'!$A$5:$H$5810,8,FALSE)</f>
        <v>Tenaga Pengajar</v>
      </c>
      <c r="T349" s="44" t="str">
        <f>VLOOKUP(O349,'Data Angt'!$A$5:$C$5809,3,FALSE)</f>
        <v>PBL</v>
      </c>
    </row>
    <row r="350" spans="1:20" x14ac:dyDescent="0.3">
      <c r="A350" s="37">
        <v>130809</v>
      </c>
      <c r="B350" s="38">
        <v>344</v>
      </c>
      <c r="C350" s="39" t="s">
        <v>2166</v>
      </c>
      <c r="D350" s="10" t="str">
        <f>VLOOKUP(C350,'Data Angt'!$A$5:$B$5809,2,FALSE)</f>
        <v>A898</v>
      </c>
      <c r="E350" s="40" t="s">
        <v>11778</v>
      </c>
      <c r="F350" s="41">
        <v>44526</v>
      </c>
      <c r="G350" s="38">
        <v>1</v>
      </c>
      <c r="H350" s="40">
        <v>0</v>
      </c>
      <c r="I350" s="38">
        <v>4</v>
      </c>
      <c r="J350" s="41">
        <v>44526</v>
      </c>
      <c r="K350" s="38" t="s">
        <v>10768</v>
      </c>
      <c r="L350" s="42">
        <v>5000000</v>
      </c>
      <c r="O350" s="151" t="s">
        <v>8223</v>
      </c>
      <c r="P350" s="5" t="str">
        <f t="shared" si="10"/>
        <v>A3725</v>
      </c>
      <c r="Q350" s="5">
        <f t="shared" si="11"/>
        <v>1</v>
      </c>
      <c r="R350">
        <f>VLOOKUP(O350,'Data Angt'!$A$5:$F$5810,6,FALSE)</f>
        <v>46</v>
      </c>
      <c r="S350" s="5" t="str">
        <f>VLOOKUP(O350,'Data Angt'!$A$5:$H$5810,8,FALSE)</f>
        <v>Karyawan</v>
      </c>
      <c r="T350" s="44" t="str">
        <f>VLOOKUP(O350,'Data Angt'!$A$5:$C$5809,3,FALSE)</f>
        <v>PBL</v>
      </c>
    </row>
    <row r="351" spans="1:20" x14ac:dyDescent="0.3">
      <c r="A351" s="37">
        <v>152495</v>
      </c>
      <c r="B351" s="38">
        <v>345</v>
      </c>
      <c r="C351" s="39" t="s">
        <v>2172</v>
      </c>
      <c r="D351" s="10" t="str">
        <f>VLOOKUP(C351,'Data Angt'!$A$5:$B$5809,2,FALSE)</f>
        <v>A901</v>
      </c>
      <c r="E351" s="40" t="s">
        <v>18074</v>
      </c>
      <c r="F351" s="41">
        <v>45681</v>
      </c>
      <c r="G351" s="38">
        <v>1</v>
      </c>
      <c r="H351" s="40">
        <v>0</v>
      </c>
      <c r="I351" s="38">
        <v>4</v>
      </c>
      <c r="J351" s="41">
        <v>45681</v>
      </c>
      <c r="K351" s="38" t="s">
        <v>10768</v>
      </c>
      <c r="L351" s="42">
        <v>2000000</v>
      </c>
      <c r="O351" s="151" t="s">
        <v>8278</v>
      </c>
      <c r="P351" s="5" t="str">
        <f t="shared" si="10"/>
        <v>A3751</v>
      </c>
      <c r="Q351" s="5">
        <f t="shared" si="11"/>
        <v>3</v>
      </c>
      <c r="R351">
        <f>VLOOKUP(O351,'Data Angt'!$A$5:$F$5810,6,FALSE)</f>
        <v>54</v>
      </c>
      <c r="S351" s="5" t="str">
        <f>VLOOKUP(O351,'Data Angt'!$A$5:$H$5810,8,FALSE)</f>
        <v>Karyawan</v>
      </c>
      <c r="T351" s="44" t="str">
        <f>VLOOKUP(O351,'Data Angt'!$A$5:$C$5809,3,FALSE)</f>
        <v>KRK</v>
      </c>
    </row>
    <row r="352" spans="1:20" x14ac:dyDescent="0.3">
      <c r="A352" s="37">
        <v>157354</v>
      </c>
      <c r="B352" s="38">
        <v>346</v>
      </c>
      <c r="C352" s="39" t="s">
        <v>2172</v>
      </c>
      <c r="D352" s="10" t="str">
        <f>VLOOKUP(C352,'Data Angt'!$A$5:$B$5809,2,FALSE)</f>
        <v>A901</v>
      </c>
      <c r="E352" s="40" t="s">
        <v>24015</v>
      </c>
      <c r="F352" s="41">
        <v>45863</v>
      </c>
      <c r="G352" s="38">
        <v>1</v>
      </c>
      <c r="H352" s="40">
        <v>0</v>
      </c>
      <c r="I352" s="38">
        <v>4</v>
      </c>
      <c r="J352" s="41">
        <v>45863</v>
      </c>
      <c r="K352" s="38" t="s">
        <v>10768</v>
      </c>
      <c r="L352" s="42">
        <v>1000000</v>
      </c>
      <c r="O352" s="151" t="s">
        <v>8329</v>
      </c>
      <c r="P352" s="5" t="str">
        <f t="shared" si="10"/>
        <v>A3776</v>
      </c>
      <c r="Q352" s="5">
        <f t="shared" si="11"/>
        <v>1</v>
      </c>
      <c r="R352">
        <f>VLOOKUP(O352,'Data Angt'!$A$5:$F$5810,6,FALSE)</f>
        <v>74</v>
      </c>
      <c r="S352" s="5" t="str">
        <f>VLOOKUP(O352,'Data Angt'!$A$5:$H$5810,8,FALSE)</f>
        <v>Pensiunan</v>
      </c>
      <c r="T352" s="44" t="str">
        <f>VLOOKUP(O352,'Data Angt'!$A$5:$C$5809,3,FALSE)</f>
        <v>MJK</v>
      </c>
    </row>
    <row r="353" spans="1:20" x14ac:dyDescent="0.3">
      <c r="A353" s="37">
        <v>123492</v>
      </c>
      <c r="B353" s="38">
        <v>347</v>
      </c>
      <c r="C353" s="39" t="s">
        <v>2198</v>
      </c>
      <c r="D353" s="10" t="str">
        <f>VLOOKUP(C353,'Data Angt'!$A$5:$B$5809,2,FALSE)</f>
        <v>A914</v>
      </c>
      <c r="E353" s="40" t="s">
        <v>11777</v>
      </c>
      <c r="F353" s="41">
        <v>43984</v>
      </c>
      <c r="G353" s="38">
        <v>1</v>
      </c>
      <c r="H353" s="40">
        <v>0</v>
      </c>
      <c r="I353" s="38">
        <v>4</v>
      </c>
      <c r="J353" s="41">
        <v>43984</v>
      </c>
      <c r="K353" s="38" t="s">
        <v>10768</v>
      </c>
      <c r="L353" s="42">
        <v>3000000</v>
      </c>
      <c r="O353" s="151" t="s">
        <v>8333</v>
      </c>
      <c r="P353" s="5" t="str">
        <f t="shared" si="10"/>
        <v>A3778</v>
      </c>
      <c r="Q353" s="5">
        <f t="shared" si="11"/>
        <v>14</v>
      </c>
      <c r="R353">
        <f>VLOOKUP(O353,'Data Angt'!$A$5:$F$5810,6,FALSE)</f>
        <v>32</v>
      </c>
      <c r="S353" s="5" t="str">
        <f>VLOOKUP(O353,'Data Angt'!$A$5:$H$5810,8,FALSE)</f>
        <v>Karyawan</v>
      </c>
      <c r="T353" s="44" t="str">
        <f>VLOOKUP(O353,'Data Angt'!$A$5:$C$5809,3,FALSE)</f>
        <v>PBL</v>
      </c>
    </row>
    <row r="354" spans="1:20" x14ac:dyDescent="0.3">
      <c r="A354" s="37">
        <v>124344</v>
      </c>
      <c r="B354" s="38">
        <v>348</v>
      </c>
      <c r="C354" s="39" t="s">
        <v>2198</v>
      </c>
      <c r="D354" s="10" t="str">
        <f>VLOOKUP(C354,'Data Angt'!$A$5:$B$5809,2,FALSE)</f>
        <v>A914</v>
      </c>
      <c r="E354" s="40" t="s">
        <v>11776</v>
      </c>
      <c r="F354" s="41">
        <v>44037</v>
      </c>
      <c r="G354" s="38">
        <v>1</v>
      </c>
      <c r="H354" s="40">
        <v>0</v>
      </c>
      <c r="I354" s="38">
        <v>4</v>
      </c>
      <c r="J354" s="41">
        <v>44037</v>
      </c>
      <c r="K354" s="38" t="s">
        <v>10768</v>
      </c>
      <c r="L354" s="42">
        <v>6000000</v>
      </c>
      <c r="O354" s="151" t="s">
        <v>8354</v>
      </c>
      <c r="P354" s="5" t="str">
        <f t="shared" si="10"/>
        <v>A3787</v>
      </c>
      <c r="Q354" s="5">
        <f t="shared" si="11"/>
        <v>1</v>
      </c>
      <c r="R354">
        <f>VLOOKUP(O354,'Data Angt'!$A$5:$F$5810,6,FALSE)</f>
        <v>39</v>
      </c>
      <c r="S354" s="5" t="str">
        <f>VLOOKUP(O354,'Data Angt'!$A$5:$H$5810,8,FALSE)</f>
        <v>Karyawan</v>
      </c>
      <c r="T354" s="44" t="str">
        <f>VLOOKUP(O354,'Data Angt'!$A$5:$C$5809,3,FALSE)</f>
        <v>PBL</v>
      </c>
    </row>
    <row r="355" spans="1:20" x14ac:dyDescent="0.3">
      <c r="A355" s="37">
        <v>139551</v>
      </c>
      <c r="B355" s="38">
        <v>349</v>
      </c>
      <c r="C355" s="39" t="s">
        <v>2198</v>
      </c>
      <c r="D355" s="10" t="str">
        <f>VLOOKUP(C355,'Data Angt'!$A$5:$B$5809,2,FALSE)</f>
        <v>A914</v>
      </c>
      <c r="E355" s="40" t="s">
        <v>11775</v>
      </c>
      <c r="F355" s="41">
        <v>45195</v>
      </c>
      <c r="G355" s="38">
        <v>1</v>
      </c>
      <c r="H355" s="40">
        <v>0</v>
      </c>
      <c r="I355" s="38">
        <v>4</v>
      </c>
      <c r="J355" s="41">
        <v>45195</v>
      </c>
      <c r="K355" s="38" t="s">
        <v>10768</v>
      </c>
      <c r="L355" s="42">
        <v>5000000</v>
      </c>
      <c r="O355" s="151" t="s">
        <v>8364</v>
      </c>
      <c r="P355" s="5" t="str">
        <f t="shared" si="10"/>
        <v>A3790</v>
      </c>
      <c r="Q355" s="5">
        <f t="shared" si="11"/>
        <v>1</v>
      </c>
      <c r="R355">
        <f>VLOOKUP(O355,'Data Angt'!$A$5:$F$5810,6,FALSE)</f>
        <v>46</v>
      </c>
      <c r="S355" s="5" t="str">
        <f>VLOOKUP(O355,'Data Angt'!$A$5:$H$5810,8,FALSE)</f>
        <v>Mengurus Rumah Tangga</v>
      </c>
      <c r="T355" s="44" t="str">
        <f>VLOOKUP(O355,'Data Angt'!$A$5:$C$5809,3,FALSE)</f>
        <v>JBR</v>
      </c>
    </row>
    <row r="356" spans="1:20" x14ac:dyDescent="0.3">
      <c r="A356" s="37">
        <v>140773</v>
      </c>
      <c r="B356" s="38">
        <v>350</v>
      </c>
      <c r="C356" s="39" t="s">
        <v>2222</v>
      </c>
      <c r="D356" s="10" t="str">
        <f>VLOOKUP(C356,'Data Angt'!$A$5:$B$5809,2,FALSE)</f>
        <v>A926</v>
      </c>
      <c r="E356" s="40" t="s">
        <v>11774</v>
      </c>
      <c r="F356" s="41">
        <v>45265</v>
      </c>
      <c r="G356" s="38">
        <v>1</v>
      </c>
      <c r="H356" s="40">
        <v>0</v>
      </c>
      <c r="I356" s="38">
        <v>4</v>
      </c>
      <c r="J356" s="41">
        <v>45265</v>
      </c>
      <c r="K356" s="38" t="s">
        <v>10768</v>
      </c>
      <c r="L356" s="42">
        <v>5000000</v>
      </c>
      <c r="O356" s="151" t="s">
        <v>8376</v>
      </c>
      <c r="P356" s="5" t="str">
        <f t="shared" si="10"/>
        <v>A3796</v>
      </c>
      <c r="Q356" s="5">
        <f t="shared" si="11"/>
        <v>3</v>
      </c>
      <c r="R356">
        <f>VLOOKUP(O356,'Data Angt'!$A$5:$F$5810,6,FALSE)</f>
        <v>51</v>
      </c>
      <c r="S356" s="5" t="str">
        <f>VLOOKUP(O356,'Data Angt'!$A$5:$H$5810,8,FALSE)</f>
        <v>Mengurus Rumah Tangga</v>
      </c>
      <c r="T356" s="44" t="str">
        <f>VLOOKUP(O356,'Data Angt'!$A$5:$C$5809,3,FALSE)</f>
        <v>PBL</v>
      </c>
    </row>
    <row r="357" spans="1:20" x14ac:dyDescent="0.3">
      <c r="A357" s="37">
        <v>152212</v>
      </c>
      <c r="B357" s="38">
        <v>351</v>
      </c>
      <c r="C357" s="39" t="s">
        <v>2222</v>
      </c>
      <c r="D357" s="10" t="str">
        <f>VLOOKUP(C357,'Data Angt'!$A$5:$B$5809,2,FALSE)</f>
        <v>A926</v>
      </c>
      <c r="E357" s="40" t="s">
        <v>18075</v>
      </c>
      <c r="F357" s="41">
        <v>45672</v>
      </c>
      <c r="G357" s="38">
        <v>1</v>
      </c>
      <c r="H357" s="40">
        <v>0</v>
      </c>
      <c r="I357" s="38">
        <v>4</v>
      </c>
      <c r="J357" s="41">
        <v>45672</v>
      </c>
      <c r="K357" s="38" t="s">
        <v>10768</v>
      </c>
      <c r="L357" s="42">
        <v>40000000</v>
      </c>
      <c r="O357" s="151" t="s">
        <v>8395</v>
      </c>
      <c r="P357" s="5" t="str">
        <f t="shared" si="10"/>
        <v>A3806</v>
      </c>
      <c r="Q357" s="5">
        <f t="shared" si="11"/>
        <v>1</v>
      </c>
      <c r="R357">
        <f>VLOOKUP(O357,'Data Angt'!$A$5:$F$5810,6,FALSE)</f>
        <v>47</v>
      </c>
      <c r="S357" s="5" t="str">
        <f>VLOOKUP(O357,'Data Angt'!$A$5:$H$5810,8,FALSE)</f>
        <v>Aparatur/Pejabat Negara</v>
      </c>
      <c r="T357" s="44" t="str">
        <f>VLOOKUP(O357,'Data Angt'!$A$5:$C$5809,3,FALSE)</f>
        <v>PBL</v>
      </c>
    </row>
    <row r="358" spans="1:20" x14ac:dyDescent="0.3">
      <c r="A358" s="37">
        <v>128054</v>
      </c>
      <c r="B358" s="38">
        <v>352</v>
      </c>
      <c r="C358" s="39" t="s">
        <v>2238</v>
      </c>
      <c r="D358" s="10" t="str">
        <f>VLOOKUP(C358,'Data Angt'!$A$5:$B$5809,2,FALSE)</f>
        <v>A932</v>
      </c>
      <c r="E358" s="40" t="s">
        <v>11773</v>
      </c>
      <c r="F358" s="41">
        <v>44312</v>
      </c>
      <c r="G358" s="38">
        <v>1</v>
      </c>
      <c r="H358" s="40">
        <v>0</v>
      </c>
      <c r="I358" s="38">
        <v>4</v>
      </c>
      <c r="J358" s="41">
        <v>44312</v>
      </c>
      <c r="K358" s="38" t="s">
        <v>10768</v>
      </c>
      <c r="L358" s="42">
        <v>4000000</v>
      </c>
      <c r="O358" s="151" t="s">
        <v>8441</v>
      </c>
      <c r="P358" s="5" t="str">
        <f t="shared" si="10"/>
        <v>A3827</v>
      </c>
      <c r="Q358" s="5">
        <f t="shared" si="11"/>
        <v>1</v>
      </c>
      <c r="R358">
        <f>VLOOKUP(O358,'Data Angt'!$A$5:$F$5810,6,FALSE)</f>
        <v>26</v>
      </c>
      <c r="S358" s="5" t="str">
        <f>VLOOKUP(O358,'Data Angt'!$A$5:$H$5810,8,FALSE)</f>
        <v>Karyawan</v>
      </c>
      <c r="T358" s="44" t="str">
        <f>VLOOKUP(O358,'Data Angt'!$A$5:$C$5809,3,FALSE)</f>
        <v>JBR</v>
      </c>
    </row>
    <row r="359" spans="1:20" x14ac:dyDescent="0.3">
      <c r="A359" s="37">
        <v>131916</v>
      </c>
      <c r="B359" s="38">
        <v>353</v>
      </c>
      <c r="C359" s="39" t="s">
        <v>2242</v>
      </c>
      <c r="D359" s="10" t="str">
        <f>VLOOKUP(C359,'Data Angt'!$A$5:$B$5809,2,FALSE)</f>
        <v>A934</v>
      </c>
      <c r="E359" s="40" t="s">
        <v>11771</v>
      </c>
      <c r="F359" s="41">
        <v>44621</v>
      </c>
      <c r="G359" s="38">
        <v>1</v>
      </c>
      <c r="H359" s="40">
        <v>0</v>
      </c>
      <c r="I359" s="38">
        <v>4</v>
      </c>
      <c r="J359" s="41">
        <v>44621</v>
      </c>
      <c r="K359" s="38" t="s">
        <v>10768</v>
      </c>
      <c r="L359" s="42">
        <v>30000000</v>
      </c>
      <c r="O359" s="151" t="s">
        <v>8504</v>
      </c>
      <c r="P359" s="5" t="str">
        <f t="shared" si="10"/>
        <v>A3856</v>
      </c>
      <c r="Q359" s="5">
        <f t="shared" si="11"/>
        <v>1</v>
      </c>
      <c r="R359">
        <f>VLOOKUP(O359,'Data Angt'!$A$5:$F$5810,6,FALSE)</f>
        <v>42</v>
      </c>
      <c r="S359" s="5" t="str">
        <f>VLOOKUP(O359,'Data Angt'!$A$5:$H$5810,8,FALSE)</f>
        <v>Mengurus Rumah Tangga</v>
      </c>
      <c r="T359" s="44" t="str">
        <f>VLOOKUP(O359,'Data Angt'!$A$5:$C$5809,3,FALSE)</f>
        <v>KRK</v>
      </c>
    </row>
    <row r="360" spans="1:20" x14ac:dyDescent="0.3">
      <c r="A360" s="37">
        <v>131917</v>
      </c>
      <c r="B360" s="38">
        <v>354</v>
      </c>
      <c r="C360" s="39" t="s">
        <v>2242</v>
      </c>
      <c r="D360" s="10" t="str">
        <f>VLOOKUP(C360,'Data Angt'!$A$5:$B$5809,2,FALSE)</f>
        <v>A934</v>
      </c>
      <c r="E360" s="40" t="s">
        <v>11770</v>
      </c>
      <c r="F360" s="41">
        <v>44621</v>
      </c>
      <c r="G360" s="38">
        <v>1</v>
      </c>
      <c r="H360" s="40">
        <v>0</v>
      </c>
      <c r="I360" s="38">
        <v>4</v>
      </c>
      <c r="J360" s="41">
        <v>44621</v>
      </c>
      <c r="K360" s="38" t="s">
        <v>10768</v>
      </c>
      <c r="L360" s="42">
        <v>28500000</v>
      </c>
      <c r="O360" s="151" t="s">
        <v>8537</v>
      </c>
      <c r="P360" s="5" t="str">
        <f t="shared" si="10"/>
        <v>A3873</v>
      </c>
      <c r="Q360" s="5">
        <f t="shared" si="11"/>
        <v>1</v>
      </c>
      <c r="R360">
        <f>VLOOKUP(O360,'Data Angt'!$A$5:$F$5810,6,FALSE)</f>
        <v>47</v>
      </c>
      <c r="S360" s="5" t="str">
        <f>VLOOKUP(O360,'Data Angt'!$A$5:$H$5810,8,FALSE)</f>
        <v>Wiraswasta</v>
      </c>
      <c r="T360" s="44" t="str">
        <f>VLOOKUP(O360,'Data Angt'!$A$5:$C$5809,3,FALSE)</f>
        <v>MJK</v>
      </c>
    </row>
    <row r="361" spans="1:20" x14ac:dyDescent="0.3">
      <c r="A361" s="37">
        <v>137977</v>
      </c>
      <c r="B361" s="38">
        <v>355</v>
      </c>
      <c r="C361" s="39" t="s">
        <v>2242</v>
      </c>
      <c r="D361" s="10" t="str">
        <f>VLOOKUP(C361,'Data Angt'!$A$5:$B$5809,2,FALSE)</f>
        <v>A934</v>
      </c>
      <c r="E361" s="40" t="s">
        <v>11769</v>
      </c>
      <c r="F361" s="41">
        <v>45111</v>
      </c>
      <c r="G361" s="38">
        <v>1</v>
      </c>
      <c r="H361" s="40">
        <v>0</v>
      </c>
      <c r="I361" s="38">
        <v>4</v>
      </c>
      <c r="J361" s="41">
        <v>45111</v>
      </c>
      <c r="K361" s="38" t="s">
        <v>10768</v>
      </c>
      <c r="L361" s="42">
        <v>10000000</v>
      </c>
      <c r="O361" s="151" t="s">
        <v>8552</v>
      </c>
      <c r="P361" s="5" t="str">
        <f t="shared" si="10"/>
        <v>A3879</v>
      </c>
      <c r="Q361" s="5">
        <f t="shared" si="11"/>
        <v>1</v>
      </c>
      <c r="R361">
        <f>VLOOKUP(O361,'Data Angt'!$A$5:$F$5810,6,FALSE)</f>
        <v>36</v>
      </c>
      <c r="S361" s="5" t="str">
        <f>VLOOKUP(O361,'Data Angt'!$A$5:$H$5810,8,FALSE)</f>
        <v>Lain-Lain</v>
      </c>
      <c r="T361" s="44" t="str">
        <f>VLOOKUP(O361,'Data Angt'!$A$5:$C$5809,3,FALSE)</f>
        <v>MGL</v>
      </c>
    </row>
    <row r="362" spans="1:20" x14ac:dyDescent="0.3">
      <c r="A362" s="37">
        <v>140283</v>
      </c>
      <c r="B362" s="38">
        <v>356</v>
      </c>
      <c r="C362" s="39" t="s">
        <v>2242</v>
      </c>
      <c r="D362" s="10" t="str">
        <f>VLOOKUP(C362,'Data Angt'!$A$5:$B$5809,2,FALSE)</f>
        <v>A934</v>
      </c>
      <c r="E362" s="40" t="s">
        <v>11768</v>
      </c>
      <c r="F362" s="41">
        <v>45238</v>
      </c>
      <c r="G362" s="38">
        <v>1</v>
      </c>
      <c r="H362" s="40">
        <v>0</v>
      </c>
      <c r="I362" s="38">
        <v>4</v>
      </c>
      <c r="J362" s="41">
        <v>45238</v>
      </c>
      <c r="K362" s="38" t="s">
        <v>10768</v>
      </c>
      <c r="L362" s="42">
        <v>10000000</v>
      </c>
      <c r="O362" s="151" t="s">
        <v>8564</v>
      </c>
      <c r="P362" s="5" t="str">
        <f t="shared" si="10"/>
        <v>A3885</v>
      </c>
      <c r="Q362" s="5">
        <f t="shared" si="11"/>
        <v>1</v>
      </c>
      <c r="R362">
        <f>VLOOKUP(O362,'Data Angt'!$A$5:$F$5810,6,FALSE)</f>
        <v>43</v>
      </c>
      <c r="S362" s="5" t="str">
        <f>VLOOKUP(O362,'Data Angt'!$A$5:$H$5810,8,FALSE)</f>
        <v>Wiraswasta</v>
      </c>
      <c r="T362" s="44" t="str">
        <f>VLOOKUP(O362,'Data Angt'!$A$5:$C$5809,3,FALSE)</f>
        <v>PBL</v>
      </c>
    </row>
    <row r="363" spans="1:20" x14ac:dyDescent="0.3">
      <c r="A363" s="37">
        <v>92791</v>
      </c>
      <c r="B363" s="38">
        <v>357</v>
      </c>
      <c r="C363" s="39" t="s">
        <v>2242</v>
      </c>
      <c r="D363" s="10" t="str">
        <f>VLOOKUP(C363,'Data Angt'!$A$5:$B$5809,2,FALSE)</f>
        <v>A934</v>
      </c>
      <c r="E363" s="40" t="s">
        <v>11772</v>
      </c>
      <c r="F363" s="41">
        <v>43473</v>
      </c>
      <c r="G363" s="38">
        <v>1</v>
      </c>
      <c r="H363" s="40">
        <v>0</v>
      </c>
      <c r="I363" s="38">
        <v>4</v>
      </c>
      <c r="J363" s="41">
        <v>43838</v>
      </c>
      <c r="K363" s="38" t="s">
        <v>10768</v>
      </c>
      <c r="L363" s="42">
        <v>30000000</v>
      </c>
      <c r="O363" s="151" t="s">
        <v>8576</v>
      </c>
      <c r="P363" s="5" t="str">
        <f t="shared" si="10"/>
        <v>A3889</v>
      </c>
      <c r="Q363" s="5">
        <f t="shared" si="11"/>
        <v>4</v>
      </c>
      <c r="R363">
        <f>VLOOKUP(O363,'Data Angt'!$A$5:$F$5810,6,FALSE)</f>
        <v>46</v>
      </c>
      <c r="S363" s="5" t="str">
        <f>VLOOKUP(O363,'Data Angt'!$A$5:$H$5810,8,FALSE)</f>
        <v>Pemuka Agama</v>
      </c>
      <c r="T363" s="44" t="str">
        <f>VLOOKUP(O363,'Data Angt'!$A$5:$C$5809,3,FALSE)</f>
        <v>MGL</v>
      </c>
    </row>
    <row r="364" spans="1:20" x14ac:dyDescent="0.3">
      <c r="A364" s="37">
        <v>149755</v>
      </c>
      <c r="B364" s="38">
        <v>358</v>
      </c>
      <c r="C364" s="39" t="s">
        <v>2258</v>
      </c>
      <c r="D364" s="10" t="str">
        <f>VLOOKUP(C364,'Data Angt'!$A$5:$B$5809,2,FALSE)</f>
        <v>A940</v>
      </c>
      <c r="E364" s="40" t="s">
        <v>18076</v>
      </c>
      <c r="F364" s="41">
        <v>45587</v>
      </c>
      <c r="G364" s="38">
        <v>1</v>
      </c>
      <c r="H364" s="40">
        <v>0</v>
      </c>
      <c r="I364" s="38">
        <v>4</v>
      </c>
      <c r="J364" s="41">
        <v>45587</v>
      </c>
      <c r="K364" s="38" t="s">
        <v>10768</v>
      </c>
      <c r="L364" s="42">
        <v>1000000</v>
      </c>
      <c r="O364" s="151" t="s">
        <v>8578</v>
      </c>
      <c r="P364" s="5" t="str">
        <f t="shared" si="10"/>
        <v>A3890</v>
      </c>
      <c r="Q364" s="5">
        <f t="shared" si="11"/>
        <v>1</v>
      </c>
      <c r="R364">
        <f>VLOOKUP(O364,'Data Angt'!$A$5:$F$5810,6,FALSE)</f>
        <v>32</v>
      </c>
      <c r="S364" s="5" t="str">
        <f>VLOOKUP(O364,'Data Angt'!$A$5:$H$5810,8,FALSE)</f>
        <v>Karyawan</v>
      </c>
      <c r="T364" s="44" t="str">
        <f>VLOOKUP(O364,'Data Angt'!$A$5:$C$5809,3,FALSE)</f>
        <v>PBL</v>
      </c>
    </row>
    <row r="365" spans="1:20" x14ac:dyDescent="0.3">
      <c r="A365" s="37">
        <v>126345</v>
      </c>
      <c r="B365" s="38">
        <v>359</v>
      </c>
      <c r="C365" s="39" t="s">
        <v>2310</v>
      </c>
      <c r="D365" s="10" t="str">
        <f>VLOOKUP(C365,'Data Angt'!$A$5:$B$5809,2,FALSE)</f>
        <v>A961</v>
      </c>
      <c r="E365" s="40" t="s">
        <v>11761</v>
      </c>
      <c r="F365" s="41">
        <v>44202</v>
      </c>
      <c r="G365" s="38">
        <v>1</v>
      </c>
      <c r="H365" s="40">
        <v>0</v>
      </c>
      <c r="I365" s="38">
        <v>4</v>
      </c>
      <c r="J365" s="41">
        <v>44202</v>
      </c>
      <c r="K365" s="38" t="s">
        <v>10768</v>
      </c>
      <c r="L365" s="42">
        <v>30000000</v>
      </c>
      <c r="O365" s="151" t="s">
        <v>8606</v>
      </c>
      <c r="P365" s="5" t="str">
        <f t="shared" si="10"/>
        <v>A3903</v>
      </c>
      <c r="Q365" s="5">
        <f t="shared" si="11"/>
        <v>1</v>
      </c>
      <c r="R365">
        <f>VLOOKUP(O365,'Data Angt'!$A$5:$F$5810,6,FALSE)</f>
        <v>41</v>
      </c>
      <c r="S365" s="5" t="str">
        <f>VLOOKUP(O365,'Data Angt'!$A$5:$H$5810,8,FALSE)</f>
        <v>Karyawan</v>
      </c>
      <c r="T365" s="44" t="str">
        <f>VLOOKUP(O365,'Data Angt'!$A$5:$C$5809,3,FALSE)</f>
        <v>PBL</v>
      </c>
    </row>
    <row r="366" spans="1:20" x14ac:dyDescent="0.3">
      <c r="A366" s="37">
        <v>125317</v>
      </c>
      <c r="B366" s="38">
        <v>360</v>
      </c>
      <c r="C366" s="39" t="s">
        <v>2310</v>
      </c>
      <c r="D366" s="10" t="str">
        <f>VLOOKUP(C366,'Data Angt'!$A$5:$B$5809,2,FALSE)</f>
        <v>A961</v>
      </c>
      <c r="E366" s="40" t="s">
        <v>11767</v>
      </c>
      <c r="F366" s="41">
        <v>44110</v>
      </c>
      <c r="G366" s="38">
        <v>1</v>
      </c>
      <c r="H366" s="40">
        <v>0</v>
      </c>
      <c r="I366" s="38">
        <v>4</v>
      </c>
      <c r="J366" s="41">
        <v>44110</v>
      </c>
      <c r="K366" s="38" t="s">
        <v>10768</v>
      </c>
      <c r="L366" s="42">
        <v>30000000</v>
      </c>
      <c r="O366" s="151" t="s">
        <v>8612</v>
      </c>
      <c r="P366" s="5" t="str">
        <f t="shared" si="10"/>
        <v>A3905</v>
      </c>
      <c r="Q366" s="5">
        <f t="shared" si="11"/>
        <v>3</v>
      </c>
      <c r="R366">
        <f>VLOOKUP(O366,'Data Angt'!$A$5:$F$5810,6,FALSE)</f>
        <v>64</v>
      </c>
      <c r="S366" s="5" t="str">
        <f>VLOOKUP(O366,'Data Angt'!$A$5:$H$5810,8,FALSE)</f>
        <v>Belum/Tidak Bekerja</v>
      </c>
      <c r="T366" s="44" t="str">
        <f>VLOOKUP(O366,'Data Angt'!$A$5:$C$5809,3,FALSE)</f>
        <v>JBR</v>
      </c>
    </row>
    <row r="367" spans="1:20" x14ac:dyDescent="0.3">
      <c r="A367" s="37">
        <v>125318</v>
      </c>
      <c r="B367" s="38">
        <v>361</v>
      </c>
      <c r="C367" s="39" t="s">
        <v>2310</v>
      </c>
      <c r="D367" s="10" t="str">
        <f>VLOOKUP(C367,'Data Angt'!$A$5:$B$5809,2,FALSE)</f>
        <v>A961</v>
      </c>
      <c r="E367" s="40" t="s">
        <v>11766</v>
      </c>
      <c r="F367" s="41">
        <v>44110</v>
      </c>
      <c r="G367" s="38">
        <v>1</v>
      </c>
      <c r="H367" s="40">
        <v>0</v>
      </c>
      <c r="I367" s="38">
        <v>4</v>
      </c>
      <c r="J367" s="41">
        <v>44110</v>
      </c>
      <c r="K367" s="38" t="s">
        <v>10768</v>
      </c>
      <c r="L367" s="42">
        <v>30000000</v>
      </c>
      <c r="O367" s="151" t="s">
        <v>8684</v>
      </c>
      <c r="P367" s="5" t="str">
        <f t="shared" si="10"/>
        <v>A3940</v>
      </c>
      <c r="Q367" s="5">
        <f t="shared" si="11"/>
        <v>2</v>
      </c>
      <c r="R367">
        <f>VLOOKUP(O367,'Data Angt'!$A$5:$F$5810,6,FALSE)</f>
        <v>34</v>
      </c>
      <c r="S367" s="5" t="str">
        <f>VLOOKUP(O367,'Data Angt'!$A$5:$H$5810,8,FALSE)</f>
        <v>Karyawan</v>
      </c>
      <c r="T367" s="44" t="str">
        <f>VLOOKUP(O367,'Data Angt'!$A$5:$C$5809,3,FALSE)</f>
        <v>KRK</v>
      </c>
    </row>
    <row r="368" spans="1:20" x14ac:dyDescent="0.3">
      <c r="A368" s="37">
        <v>126339</v>
      </c>
      <c r="B368" s="38">
        <v>362</v>
      </c>
      <c r="C368" s="39" t="s">
        <v>2310</v>
      </c>
      <c r="D368" s="10" t="str">
        <f>VLOOKUP(C368,'Data Angt'!$A$5:$B$5809,2,FALSE)</f>
        <v>A961</v>
      </c>
      <c r="E368" s="40" t="s">
        <v>11765</v>
      </c>
      <c r="F368" s="41">
        <v>44202</v>
      </c>
      <c r="G368" s="38">
        <v>1</v>
      </c>
      <c r="H368" s="40">
        <v>0</v>
      </c>
      <c r="I368" s="38">
        <v>4</v>
      </c>
      <c r="J368" s="41">
        <v>44202</v>
      </c>
      <c r="K368" s="38" t="s">
        <v>10768</v>
      </c>
      <c r="L368" s="42">
        <v>30000000</v>
      </c>
      <c r="O368" s="151" t="s">
        <v>8708</v>
      </c>
      <c r="P368" s="5" t="str">
        <f t="shared" si="10"/>
        <v>A3952</v>
      </c>
      <c r="Q368" s="5">
        <f t="shared" si="11"/>
        <v>1</v>
      </c>
      <c r="R368">
        <f>VLOOKUP(O368,'Data Angt'!$A$5:$F$5810,6,FALSE)</f>
        <v>48</v>
      </c>
      <c r="S368" s="5" t="str">
        <f>VLOOKUP(O368,'Data Angt'!$A$5:$H$5810,8,FALSE)</f>
        <v>Lain-Lain</v>
      </c>
      <c r="T368" s="44" t="str">
        <f>VLOOKUP(O368,'Data Angt'!$A$5:$C$5809,3,FALSE)</f>
        <v>PBL</v>
      </c>
    </row>
    <row r="369" spans="1:20" x14ac:dyDescent="0.3">
      <c r="A369" s="37">
        <v>126340</v>
      </c>
      <c r="B369" s="38">
        <v>363</v>
      </c>
      <c r="C369" s="39" t="s">
        <v>2310</v>
      </c>
      <c r="D369" s="10" t="str">
        <f>VLOOKUP(C369,'Data Angt'!$A$5:$B$5809,2,FALSE)</f>
        <v>A961</v>
      </c>
      <c r="E369" s="40" t="s">
        <v>11764</v>
      </c>
      <c r="F369" s="41">
        <v>44202</v>
      </c>
      <c r="G369" s="38">
        <v>1</v>
      </c>
      <c r="H369" s="40">
        <v>0</v>
      </c>
      <c r="I369" s="38">
        <v>4</v>
      </c>
      <c r="J369" s="41">
        <v>44202</v>
      </c>
      <c r="K369" s="38" t="s">
        <v>10768</v>
      </c>
      <c r="L369" s="42">
        <v>30000000</v>
      </c>
      <c r="O369" s="151" t="s">
        <v>8716</v>
      </c>
      <c r="P369" s="5" t="str">
        <f t="shared" si="10"/>
        <v>A3955</v>
      </c>
      <c r="Q369" s="5">
        <f t="shared" si="11"/>
        <v>1</v>
      </c>
      <c r="R369">
        <f>VLOOKUP(O369,'Data Angt'!$A$5:$F$5810,6,FALSE)</f>
        <v>26</v>
      </c>
      <c r="S369" s="5" t="str">
        <f>VLOOKUP(O369,'Data Angt'!$A$5:$H$5810,8,FALSE)</f>
        <v>Karyawan</v>
      </c>
      <c r="T369" s="44" t="str">
        <f>VLOOKUP(O369,'Data Angt'!$A$5:$C$5809,3,FALSE)</f>
        <v>PBL</v>
      </c>
    </row>
    <row r="370" spans="1:20" x14ac:dyDescent="0.3">
      <c r="A370" s="37">
        <v>126341</v>
      </c>
      <c r="B370" s="38">
        <v>364</v>
      </c>
      <c r="C370" s="39" t="s">
        <v>2310</v>
      </c>
      <c r="D370" s="10" t="str">
        <f>VLOOKUP(C370,'Data Angt'!$A$5:$B$5809,2,FALSE)</f>
        <v>A961</v>
      </c>
      <c r="E370" s="40" t="s">
        <v>11763</v>
      </c>
      <c r="F370" s="41">
        <v>44202</v>
      </c>
      <c r="G370" s="38">
        <v>1</v>
      </c>
      <c r="H370" s="40">
        <v>0</v>
      </c>
      <c r="I370" s="38">
        <v>4</v>
      </c>
      <c r="J370" s="41">
        <v>44202</v>
      </c>
      <c r="K370" s="38" t="s">
        <v>10768</v>
      </c>
      <c r="L370" s="42">
        <v>30000000</v>
      </c>
      <c r="O370" s="151" t="s">
        <v>8725</v>
      </c>
      <c r="P370" s="5" t="str">
        <f t="shared" si="10"/>
        <v>A3959</v>
      </c>
      <c r="Q370" s="5">
        <f t="shared" si="11"/>
        <v>1</v>
      </c>
      <c r="R370">
        <f>VLOOKUP(O370,'Data Angt'!$A$5:$F$5810,6,FALSE)</f>
        <v>29</v>
      </c>
      <c r="S370" s="5" t="str">
        <f>VLOOKUP(O370,'Data Angt'!$A$5:$H$5810,8,FALSE)</f>
        <v>Karyawan</v>
      </c>
      <c r="T370" s="44" t="str">
        <f>VLOOKUP(O370,'Data Angt'!$A$5:$C$5809,3,FALSE)</f>
        <v>JBR</v>
      </c>
    </row>
    <row r="371" spans="1:20" x14ac:dyDescent="0.3">
      <c r="A371" s="37">
        <v>126342</v>
      </c>
      <c r="B371" s="38">
        <v>365</v>
      </c>
      <c r="C371" s="39" t="s">
        <v>2310</v>
      </c>
      <c r="D371" s="10" t="str">
        <f>VLOOKUP(C371,'Data Angt'!$A$5:$B$5809,2,FALSE)</f>
        <v>A961</v>
      </c>
      <c r="E371" s="40" t="s">
        <v>11762</v>
      </c>
      <c r="F371" s="41">
        <v>44202</v>
      </c>
      <c r="G371" s="38">
        <v>1</v>
      </c>
      <c r="H371" s="40">
        <v>0</v>
      </c>
      <c r="I371" s="38">
        <v>4</v>
      </c>
      <c r="J371" s="41">
        <v>44202</v>
      </c>
      <c r="K371" s="38" t="s">
        <v>10768</v>
      </c>
      <c r="L371" s="42">
        <v>30000000</v>
      </c>
      <c r="O371" s="151" t="s">
        <v>8780</v>
      </c>
      <c r="P371" s="5" t="str">
        <f t="shared" si="10"/>
        <v>A3986</v>
      </c>
      <c r="Q371" s="5">
        <f t="shared" si="11"/>
        <v>4</v>
      </c>
      <c r="R371">
        <f>VLOOKUP(O371,'Data Angt'!$A$5:$F$5810,6,FALSE)</f>
        <v>32</v>
      </c>
      <c r="S371" s="5" t="str">
        <f>VLOOKUP(O371,'Data Angt'!$A$5:$H$5810,8,FALSE)</f>
        <v>Karyawan</v>
      </c>
      <c r="T371" s="44" t="str">
        <f>VLOOKUP(O371,'Data Angt'!$A$5:$C$5809,3,FALSE)</f>
        <v>JBR</v>
      </c>
    </row>
    <row r="372" spans="1:20" x14ac:dyDescent="0.3">
      <c r="A372" s="37">
        <v>137771</v>
      </c>
      <c r="B372" s="38">
        <v>366</v>
      </c>
      <c r="C372" s="39" t="s">
        <v>2353</v>
      </c>
      <c r="D372" s="10" t="str">
        <f>VLOOKUP(C372,'Data Angt'!$A$5:$B$5809,2,FALSE)</f>
        <v>A978</v>
      </c>
      <c r="E372" s="40" t="s">
        <v>11760</v>
      </c>
      <c r="F372" s="41">
        <v>45089</v>
      </c>
      <c r="G372" s="38">
        <v>1</v>
      </c>
      <c r="H372" s="40">
        <v>0</v>
      </c>
      <c r="I372" s="38">
        <v>4</v>
      </c>
      <c r="J372" s="41">
        <v>45089</v>
      </c>
      <c r="K372" s="38" t="s">
        <v>10768</v>
      </c>
      <c r="L372" s="42">
        <v>1000000</v>
      </c>
      <c r="O372" s="151" t="s">
        <v>8830</v>
      </c>
      <c r="P372" s="5" t="str">
        <f t="shared" si="10"/>
        <v>A4008</v>
      </c>
      <c r="Q372" s="5">
        <f t="shared" si="11"/>
        <v>2</v>
      </c>
      <c r="R372">
        <f>VLOOKUP(O372,'Data Angt'!$A$5:$F$5810,6,FALSE)</f>
        <v>33</v>
      </c>
      <c r="S372" s="5" t="str">
        <f>VLOOKUP(O372,'Data Angt'!$A$5:$H$5810,8,FALSE)</f>
        <v>Karyawan</v>
      </c>
      <c r="T372" s="44" t="str">
        <f>VLOOKUP(O372,'Data Angt'!$A$5:$C$5809,3,FALSE)</f>
        <v>JBR</v>
      </c>
    </row>
    <row r="373" spans="1:20" x14ac:dyDescent="0.3">
      <c r="A373" s="37">
        <v>148310</v>
      </c>
      <c r="B373" s="38">
        <v>367</v>
      </c>
      <c r="C373" s="39" t="s">
        <v>2353</v>
      </c>
      <c r="D373" s="10" t="str">
        <f>VLOOKUP(C373,'Data Angt'!$A$5:$B$5809,2,FALSE)</f>
        <v>A978</v>
      </c>
      <c r="E373" s="40" t="s">
        <v>18077</v>
      </c>
      <c r="F373" s="41">
        <v>45524</v>
      </c>
      <c r="G373" s="38">
        <v>1</v>
      </c>
      <c r="H373" s="40">
        <v>0</v>
      </c>
      <c r="I373" s="38">
        <v>4</v>
      </c>
      <c r="J373" s="41">
        <v>45524</v>
      </c>
      <c r="K373" s="38" t="s">
        <v>10768</v>
      </c>
      <c r="L373" s="42">
        <v>3000000</v>
      </c>
      <c r="O373" s="151" t="s">
        <v>8839</v>
      </c>
      <c r="P373" s="5" t="str">
        <f t="shared" si="10"/>
        <v>A4012</v>
      </c>
      <c r="Q373" s="5">
        <f t="shared" si="11"/>
        <v>1</v>
      </c>
      <c r="R373">
        <f>VLOOKUP(O373,'Data Angt'!$A$5:$F$5810,6,FALSE)</f>
        <v>24</v>
      </c>
      <c r="S373" s="5" t="str">
        <f>VLOOKUP(O373,'Data Angt'!$A$5:$H$5810,8,FALSE)</f>
        <v>Karyawan</v>
      </c>
      <c r="T373" s="44" t="str">
        <f>VLOOKUP(O373,'Data Angt'!$A$5:$C$5809,3,FALSE)</f>
        <v>PBL</v>
      </c>
    </row>
    <row r="374" spans="1:20" x14ac:dyDescent="0.3">
      <c r="A374" s="37">
        <v>147973</v>
      </c>
      <c r="B374" s="38">
        <v>368</v>
      </c>
      <c r="C374" s="39" t="s">
        <v>12207</v>
      </c>
      <c r="D374" s="10" t="str">
        <f>VLOOKUP(C374,'Data Angt'!$A$5:$B$5809,2,FALSE)</f>
        <v>A987</v>
      </c>
      <c r="E374" s="40" t="s">
        <v>18078</v>
      </c>
      <c r="F374" s="41">
        <v>45511</v>
      </c>
      <c r="G374" s="38">
        <v>1</v>
      </c>
      <c r="H374" s="40">
        <v>0</v>
      </c>
      <c r="I374" s="38">
        <v>4</v>
      </c>
      <c r="J374" s="41">
        <v>45511</v>
      </c>
      <c r="K374" s="38" t="s">
        <v>10768</v>
      </c>
      <c r="L374" s="42">
        <v>2000000</v>
      </c>
      <c r="O374" s="151" t="s">
        <v>8841</v>
      </c>
      <c r="P374" s="5" t="str">
        <f t="shared" si="10"/>
        <v>A4013</v>
      </c>
      <c r="Q374" s="5">
        <f t="shared" si="11"/>
        <v>2</v>
      </c>
      <c r="R374">
        <f>VLOOKUP(O374,'Data Angt'!$A$5:$F$5810,6,FALSE)</f>
        <v>33</v>
      </c>
      <c r="S374" s="5" t="str">
        <f>VLOOKUP(O374,'Data Angt'!$A$5:$H$5810,8,FALSE)</f>
        <v>Wiraswasta</v>
      </c>
      <c r="T374" s="44" t="str">
        <f>VLOOKUP(O374,'Data Angt'!$A$5:$C$5809,3,FALSE)</f>
        <v>MGL</v>
      </c>
    </row>
    <row r="375" spans="1:20" x14ac:dyDescent="0.3">
      <c r="A375" s="37">
        <v>158803</v>
      </c>
      <c r="B375" s="38">
        <v>369</v>
      </c>
      <c r="C375" s="39" t="s">
        <v>2389</v>
      </c>
      <c r="D375" s="10" t="str">
        <f>VLOOKUP(C375,'Data Angt'!$A$5:$B$5809,2,FALSE)</f>
        <v>A994</v>
      </c>
      <c r="E375" s="40" t="s">
        <v>24016</v>
      </c>
      <c r="F375" s="41">
        <v>45926</v>
      </c>
      <c r="G375" s="38">
        <v>1</v>
      </c>
      <c r="H375" s="40">
        <v>0</v>
      </c>
      <c r="I375" s="38">
        <v>4</v>
      </c>
      <c r="J375" s="41">
        <v>45926</v>
      </c>
      <c r="K375" s="38" t="s">
        <v>10768</v>
      </c>
      <c r="L375" s="42">
        <v>50000000</v>
      </c>
      <c r="O375" s="151" t="s">
        <v>12578</v>
      </c>
      <c r="P375" s="5" t="str">
        <f t="shared" si="10"/>
        <v>A4053</v>
      </c>
      <c r="Q375" s="5">
        <f t="shared" si="11"/>
        <v>1</v>
      </c>
      <c r="R375">
        <f>VLOOKUP(O375,'Data Angt'!$A$5:$F$5810,6,FALSE)</f>
        <v>50</v>
      </c>
      <c r="S375" s="5" t="str">
        <f>VLOOKUP(O375,'Data Angt'!$A$5:$H$5810,8,FALSE)</f>
        <v>Mengurus Rumah Tangga</v>
      </c>
      <c r="T375" s="44" t="str">
        <f>VLOOKUP(O375,'Data Angt'!$A$5:$C$5809,3,FALSE)</f>
        <v>BWI</v>
      </c>
    </row>
    <row r="376" spans="1:20" x14ac:dyDescent="0.3">
      <c r="A376" s="37">
        <v>158804</v>
      </c>
      <c r="B376" s="38">
        <v>370</v>
      </c>
      <c r="C376" s="39" t="s">
        <v>2389</v>
      </c>
      <c r="D376" s="10" t="str">
        <f>VLOOKUP(C376,'Data Angt'!$A$5:$B$5809,2,FALSE)</f>
        <v>A994</v>
      </c>
      <c r="E376" s="40" t="s">
        <v>24017</v>
      </c>
      <c r="F376" s="41">
        <v>45926</v>
      </c>
      <c r="G376" s="38">
        <v>1</v>
      </c>
      <c r="H376" s="40">
        <v>0</v>
      </c>
      <c r="I376" s="38">
        <v>4</v>
      </c>
      <c r="J376" s="41">
        <v>45926</v>
      </c>
      <c r="K376" s="38" t="s">
        <v>10768</v>
      </c>
      <c r="L376" s="42">
        <v>50000000</v>
      </c>
      <c r="O376" s="151" t="s">
        <v>8921</v>
      </c>
      <c r="P376" s="5" t="str">
        <f t="shared" si="10"/>
        <v>A4055</v>
      </c>
      <c r="Q376" s="5">
        <f t="shared" si="11"/>
        <v>1</v>
      </c>
      <c r="R376">
        <f>VLOOKUP(O376,'Data Angt'!$A$5:$F$5810,6,FALSE)</f>
        <v>62</v>
      </c>
      <c r="S376" s="5" t="str">
        <f>VLOOKUP(O376,'Data Angt'!$A$5:$H$5810,8,FALSE)</f>
        <v>Pensiunan</v>
      </c>
      <c r="T376" s="44" t="str">
        <f>VLOOKUP(O376,'Data Angt'!$A$5:$C$5809,3,FALSE)</f>
        <v>JBR</v>
      </c>
    </row>
    <row r="377" spans="1:20" x14ac:dyDescent="0.3">
      <c r="A377" s="37">
        <v>152438</v>
      </c>
      <c r="B377" s="38">
        <v>371</v>
      </c>
      <c r="C377" s="39" t="s">
        <v>2393</v>
      </c>
      <c r="D377" s="10" t="str">
        <f>VLOOKUP(C377,'Data Angt'!$A$5:$B$5809,2,FALSE)</f>
        <v>A996</v>
      </c>
      <c r="E377" s="40" t="s">
        <v>18079</v>
      </c>
      <c r="F377" s="41">
        <v>45680</v>
      </c>
      <c r="G377" s="38">
        <v>1</v>
      </c>
      <c r="H377" s="40">
        <v>0</v>
      </c>
      <c r="I377" s="38">
        <v>4</v>
      </c>
      <c r="J377" s="41">
        <v>45680</v>
      </c>
      <c r="K377" s="38" t="s">
        <v>10768</v>
      </c>
      <c r="L377" s="42">
        <v>150000000</v>
      </c>
      <c r="O377" s="151" t="s">
        <v>8947</v>
      </c>
      <c r="P377" s="5" t="str">
        <f t="shared" si="10"/>
        <v>A4068</v>
      </c>
      <c r="Q377" s="5">
        <f t="shared" si="11"/>
        <v>4</v>
      </c>
      <c r="R377">
        <f>VLOOKUP(O377,'Data Angt'!$A$5:$F$5810,6,FALSE)</f>
        <v>65</v>
      </c>
      <c r="S377" s="5" t="str">
        <f>VLOOKUP(O377,'Data Angt'!$A$5:$H$5810,8,FALSE)</f>
        <v>Wiraswasta</v>
      </c>
      <c r="T377" s="44" t="str">
        <f>VLOOKUP(O377,'Data Angt'!$A$5:$C$5809,3,FALSE)</f>
        <v>KRK</v>
      </c>
    </row>
    <row r="378" spans="1:20" x14ac:dyDescent="0.3">
      <c r="A378" s="37">
        <v>157600</v>
      </c>
      <c r="B378" s="38">
        <v>372</v>
      </c>
      <c r="C378" s="39" t="s">
        <v>2456</v>
      </c>
      <c r="D378" s="10" t="str">
        <f>VLOOKUP(C378,'Data Angt'!$A$5:$B$5809,2,FALSE)</f>
        <v>A1023</v>
      </c>
      <c r="E378" s="40" t="s">
        <v>24018</v>
      </c>
      <c r="F378" s="41">
        <v>45875</v>
      </c>
      <c r="G378" s="38">
        <v>1</v>
      </c>
      <c r="H378" s="40">
        <v>0</v>
      </c>
      <c r="I378" s="38">
        <v>4</v>
      </c>
      <c r="J378" s="41">
        <v>45875</v>
      </c>
      <c r="K378" s="38" t="s">
        <v>10768</v>
      </c>
      <c r="L378" s="42">
        <v>37000000</v>
      </c>
      <c r="O378" s="151" t="s">
        <v>8972</v>
      </c>
      <c r="P378" s="5" t="str">
        <f t="shared" si="10"/>
        <v>A4081</v>
      </c>
      <c r="Q378" s="5">
        <f t="shared" si="11"/>
        <v>1</v>
      </c>
      <c r="R378">
        <f>VLOOKUP(O378,'Data Angt'!$A$5:$F$5810,6,FALSE)</f>
        <v>25</v>
      </c>
      <c r="S378" s="5" t="str">
        <f>VLOOKUP(O378,'Data Angt'!$A$5:$H$5810,8,FALSE)</f>
        <v>Aparatur/Pejabat Negara</v>
      </c>
      <c r="T378" s="44" t="str">
        <f>VLOOKUP(O378,'Data Angt'!$A$5:$C$5809,3,FALSE)</f>
        <v>PBL</v>
      </c>
    </row>
    <row r="379" spans="1:20" x14ac:dyDescent="0.3">
      <c r="A379" s="37">
        <v>136082</v>
      </c>
      <c r="B379" s="38">
        <v>373</v>
      </c>
      <c r="C379" s="39" t="s">
        <v>2456</v>
      </c>
      <c r="D379" s="10" t="str">
        <f>VLOOKUP(C379,'Data Angt'!$A$5:$B$5809,2,FALSE)</f>
        <v>A1023</v>
      </c>
      <c r="E379" s="40" t="s">
        <v>11759</v>
      </c>
      <c r="F379" s="41">
        <v>44950</v>
      </c>
      <c r="G379" s="38">
        <v>1</v>
      </c>
      <c r="H379" s="40">
        <v>0</v>
      </c>
      <c r="I379" s="38">
        <v>4</v>
      </c>
      <c r="J379" s="41">
        <v>44950</v>
      </c>
      <c r="K379" s="38" t="s">
        <v>10768</v>
      </c>
      <c r="L379" s="42">
        <v>10000000</v>
      </c>
      <c r="O379" s="151" t="s">
        <v>9003</v>
      </c>
      <c r="P379" s="5" t="str">
        <f t="shared" si="10"/>
        <v>A4095</v>
      </c>
      <c r="Q379" s="5">
        <f t="shared" si="11"/>
        <v>1</v>
      </c>
      <c r="R379">
        <f>VLOOKUP(O379,'Data Angt'!$A$5:$F$5810,6,FALSE)</f>
        <v>29</v>
      </c>
      <c r="S379" s="5" t="str">
        <f>VLOOKUP(O379,'Data Angt'!$A$5:$H$5810,8,FALSE)</f>
        <v>Aparatur/Pejabat Negara</v>
      </c>
      <c r="T379" s="44" t="str">
        <f>VLOOKUP(O379,'Data Angt'!$A$5:$C$5809,3,FALSE)</f>
        <v>PBL</v>
      </c>
    </row>
    <row r="380" spans="1:20" x14ac:dyDescent="0.3">
      <c r="A380" s="37">
        <v>78582</v>
      </c>
      <c r="B380" s="38">
        <v>374</v>
      </c>
      <c r="C380" s="39" t="s">
        <v>2482</v>
      </c>
      <c r="D380" s="10" t="str">
        <f>VLOOKUP(C380,'Data Angt'!$A$5:$B$5809,2,FALSE)</f>
        <v>A1033</v>
      </c>
      <c r="E380" s="40" t="s">
        <v>11758</v>
      </c>
      <c r="F380" s="41">
        <v>40287</v>
      </c>
      <c r="G380" s="38">
        <v>1</v>
      </c>
      <c r="H380" s="40">
        <v>0</v>
      </c>
      <c r="I380" s="38">
        <v>4</v>
      </c>
      <c r="J380" s="41">
        <v>40287</v>
      </c>
      <c r="K380" s="38" t="s">
        <v>10768</v>
      </c>
      <c r="L380" s="42">
        <v>5000000</v>
      </c>
      <c r="O380" s="151" t="s">
        <v>12589</v>
      </c>
      <c r="P380" s="5" t="str">
        <f t="shared" si="10"/>
        <v>A4108</v>
      </c>
      <c r="Q380" s="5">
        <f t="shared" si="11"/>
        <v>1</v>
      </c>
      <c r="R380">
        <f>VLOOKUP(O380,'Data Angt'!$A$5:$F$5810,6,FALSE)</f>
        <v>35</v>
      </c>
      <c r="S380" s="5" t="str">
        <f>VLOOKUP(O380,'Data Angt'!$A$5:$H$5810,8,FALSE)</f>
        <v>Mengurus Rumah Tangga</v>
      </c>
      <c r="T380" s="44" t="str">
        <f>VLOOKUP(O380,'Data Angt'!$A$5:$C$5809,3,FALSE)</f>
        <v>BWI</v>
      </c>
    </row>
    <row r="381" spans="1:20" x14ac:dyDescent="0.3">
      <c r="A381" s="37">
        <v>78600</v>
      </c>
      <c r="B381" s="38">
        <v>375</v>
      </c>
      <c r="C381" s="39" t="s">
        <v>2482</v>
      </c>
      <c r="D381" s="10" t="str">
        <f>VLOOKUP(C381,'Data Angt'!$A$5:$B$5809,2,FALSE)</f>
        <v>A1033</v>
      </c>
      <c r="E381" s="40" t="s">
        <v>11757</v>
      </c>
      <c r="F381" s="41">
        <v>41766</v>
      </c>
      <c r="G381" s="38">
        <v>1</v>
      </c>
      <c r="H381" s="40">
        <v>0</v>
      </c>
      <c r="I381" s="38">
        <v>4</v>
      </c>
      <c r="J381" s="41">
        <v>41825</v>
      </c>
      <c r="K381" s="38" t="s">
        <v>10768</v>
      </c>
      <c r="L381" s="42">
        <v>5000000</v>
      </c>
      <c r="O381" s="151" t="s">
        <v>9043</v>
      </c>
      <c r="P381" s="5" t="str">
        <f t="shared" si="10"/>
        <v>A4112</v>
      </c>
      <c r="Q381" s="5">
        <f t="shared" si="11"/>
        <v>2</v>
      </c>
      <c r="R381">
        <f>VLOOKUP(O381,'Data Angt'!$A$5:$F$5810,6,FALSE)</f>
        <v>54</v>
      </c>
      <c r="S381" s="5" t="str">
        <f>VLOOKUP(O381,'Data Angt'!$A$5:$H$5810,8,FALSE)</f>
        <v>Wiraswasta</v>
      </c>
      <c r="T381" s="44" t="str">
        <f>VLOOKUP(O381,'Data Angt'!$A$5:$C$5809,3,FALSE)</f>
        <v>BWI</v>
      </c>
    </row>
    <row r="382" spans="1:20" x14ac:dyDescent="0.3">
      <c r="A382" s="37">
        <v>78607</v>
      </c>
      <c r="B382" s="38">
        <v>376</v>
      </c>
      <c r="C382" s="39" t="s">
        <v>2482</v>
      </c>
      <c r="D382" s="10" t="str">
        <f>VLOOKUP(C382,'Data Angt'!$A$5:$B$5809,2,FALSE)</f>
        <v>A1033</v>
      </c>
      <c r="E382" s="40" t="s">
        <v>11756</v>
      </c>
      <c r="F382" s="41">
        <v>41928</v>
      </c>
      <c r="G382" s="38">
        <v>1</v>
      </c>
      <c r="H382" s="40">
        <v>0</v>
      </c>
      <c r="I382" s="38">
        <v>4</v>
      </c>
      <c r="J382" s="41">
        <v>41928</v>
      </c>
      <c r="K382" s="38" t="s">
        <v>10768</v>
      </c>
      <c r="L382" s="42">
        <v>5000000</v>
      </c>
      <c r="O382" s="151" t="s">
        <v>9094</v>
      </c>
      <c r="P382" s="5" t="str">
        <f t="shared" si="10"/>
        <v>A4138</v>
      </c>
      <c r="Q382" s="5">
        <f t="shared" si="11"/>
        <v>4</v>
      </c>
      <c r="R382">
        <f>VLOOKUP(O382,'Data Angt'!$A$5:$F$5810,6,FALSE)</f>
        <v>37</v>
      </c>
      <c r="S382" s="5" t="str">
        <f>VLOOKUP(O382,'Data Angt'!$A$5:$H$5810,8,FALSE)</f>
        <v>Karyawan</v>
      </c>
      <c r="T382" s="44" t="str">
        <f>VLOOKUP(O382,'Data Angt'!$A$5:$C$5809,3,FALSE)</f>
        <v>PBL</v>
      </c>
    </row>
    <row r="383" spans="1:20" x14ac:dyDescent="0.3">
      <c r="A383" s="37">
        <v>78613</v>
      </c>
      <c r="B383" s="38">
        <v>377</v>
      </c>
      <c r="C383" s="39" t="s">
        <v>2482</v>
      </c>
      <c r="D383" s="10" t="str">
        <f>VLOOKUP(C383,'Data Angt'!$A$5:$B$5809,2,FALSE)</f>
        <v>A1033</v>
      </c>
      <c r="E383" s="40" t="s">
        <v>11755</v>
      </c>
      <c r="F383" s="41">
        <v>42108</v>
      </c>
      <c r="G383" s="38">
        <v>1</v>
      </c>
      <c r="H383" s="40">
        <v>0</v>
      </c>
      <c r="I383" s="38">
        <v>4</v>
      </c>
      <c r="J383" s="41">
        <v>42108</v>
      </c>
      <c r="K383" s="38" t="s">
        <v>10768</v>
      </c>
      <c r="L383" s="42">
        <v>5000000</v>
      </c>
      <c r="O383" s="151" t="s">
        <v>9137</v>
      </c>
      <c r="P383" s="5" t="str">
        <f t="shared" si="10"/>
        <v>A4156</v>
      </c>
      <c r="Q383" s="5">
        <f t="shared" si="11"/>
        <v>4</v>
      </c>
      <c r="R383">
        <f>VLOOKUP(O383,'Data Angt'!$A$5:$F$5810,6,FALSE)</f>
        <v>65</v>
      </c>
      <c r="S383" s="5" t="str">
        <f>VLOOKUP(O383,'Data Angt'!$A$5:$H$5810,8,FALSE)</f>
        <v>Wiraswasta</v>
      </c>
      <c r="T383" s="44" t="str">
        <f>VLOOKUP(O383,'Data Angt'!$A$5:$C$5809,3,FALSE)</f>
        <v>PBL</v>
      </c>
    </row>
    <row r="384" spans="1:20" x14ac:dyDescent="0.3">
      <c r="A384" s="37">
        <v>132899</v>
      </c>
      <c r="B384" s="38">
        <v>378</v>
      </c>
      <c r="C384" s="39" t="s">
        <v>2522</v>
      </c>
      <c r="D384" s="10" t="str">
        <f>VLOOKUP(C384,'Data Angt'!$A$5:$B$5809,2,FALSE)</f>
        <v>A1050</v>
      </c>
      <c r="E384" s="40" t="s">
        <v>11754</v>
      </c>
      <c r="F384" s="41">
        <v>44698</v>
      </c>
      <c r="G384" s="38">
        <v>1</v>
      </c>
      <c r="H384" s="40">
        <v>0</v>
      </c>
      <c r="I384" s="38">
        <v>4</v>
      </c>
      <c r="J384" s="41">
        <v>44698</v>
      </c>
      <c r="K384" s="38" t="s">
        <v>10768</v>
      </c>
      <c r="L384" s="42">
        <v>30000000</v>
      </c>
      <c r="O384" s="151" t="s">
        <v>9150</v>
      </c>
      <c r="P384" s="5" t="str">
        <f t="shared" si="10"/>
        <v>A4162</v>
      </c>
      <c r="Q384" s="5">
        <f t="shared" si="11"/>
        <v>1</v>
      </c>
      <c r="R384">
        <f>VLOOKUP(O384,'Data Angt'!$A$5:$F$5810,6,FALSE)</f>
        <v>55</v>
      </c>
      <c r="S384" s="5" t="str">
        <f>VLOOKUP(O384,'Data Angt'!$A$5:$H$5810,8,FALSE)</f>
        <v>Karyawan</v>
      </c>
      <c r="T384" s="44" t="str">
        <f>VLOOKUP(O384,'Data Angt'!$A$5:$C$5809,3,FALSE)</f>
        <v>PBL</v>
      </c>
    </row>
    <row r="385" spans="1:20" x14ac:dyDescent="0.3">
      <c r="A385" s="37">
        <v>78892</v>
      </c>
      <c r="B385" s="38">
        <v>379</v>
      </c>
      <c r="C385" s="39" t="s">
        <v>2527</v>
      </c>
      <c r="D385" s="10" t="str">
        <f>VLOOKUP(C385,'Data Angt'!$A$5:$B$5809,2,FALSE)</f>
        <v>A1052</v>
      </c>
      <c r="E385" s="40" t="s">
        <v>11753</v>
      </c>
      <c r="F385" s="41">
        <v>40462</v>
      </c>
      <c r="G385" s="38">
        <v>1</v>
      </c>
      <c r="H385" s="40">
        <v>0</v>
      </c>
      <c r="I385" s="38">
        <v>4</v>
      </c>
      <c r="J385" s="41">
        <v>40492</v>
      </c>
      <c r="K385" s="38" t="s">
        <v>10768</v>
      </c>
      <c r="L385" s="42">
        <v>1000000</v>
      </c>
      <c r="O385" s="151" t="s">
        <v>9159</v>
      </c>
      <c r="P385" s="5" t="str">
        <f t="shared" si="10"/>
        <v>A4167</v>
      </c>
      <c r="Q385" s="5">
        <f t="shared" si="11"/>
        <v>1</v>
      </c>
      <c r="R385">
        <f>VLOOKUP(O385,'Data Angt'!$A$5:$F$5810,6,FALSE)</f>
        <v>41</v>
      </c>
      <c r="S385" s="5">
        <f>VLOOKUP(O385,'Data Angt'!$A$5:$H$5810,8,FALSE)</f>
        <v>0</v>
      </c>
      <c r="T385" s="44" t="str">
        <f>VLOOKUP(O385,'Data Angt'!$A$5:$C$5809,3,FALSE)</f>
        <v>PBL</v>
      </c>
    </row>
    <row r="386" spans="1:20" x14ac:dyDescent="0.3">
      <c r="A386" s="37">
        <v>132623</v>
      </c>
      <c r="B386" s="38">
        <v>380</v>
      </c>
      <c r="C386" s="39" t="s">
        <v>2529</v>
      </c>
      <c r="D386" s="10" t="str">
        <f>VLOOKUP(C386,'Data Angt'!$A$5:$B$5809,2,FALSE)</f>
        <v>A1053</v>
      </c>
      <c r="E386" s="40" t="s">
        <v>11750</v>
      </c>
      <c r="F386" s="41">
        <v>44664</v>
      </c>
      <c r="G386" s="38">
        <v>1</v>
      </c>
      <c r="H386" s="40">
        <v>0</v>
      </c>
      <c r="I386" s="38">
        <v>4</v>
      </c>
      <c r="J386" s="41">
        <v>44664</v>
      </c>
      <c r="K386" s="38" t="s">
        <v>10768</v>
      </c>
      <c r="L386" s="42">
        <v>10000000</v>
      </c>
      <c r="O386" s="151" t="s">
        <v>9169</v>
      </c>
      <c r="P386" s="5" t="str">
        <f t="shared" si="10"/>
        <v>A4172</v>
      </c>
      <c r="Q386" s="5">
        <f t="shared" si="11"/>
        <v>1</v>
      </c>
      <c r="R386">
        <f>VLOOKUP(O386,'Data Angt'!$A$5:$F$5810,6,FALSE)</f>
        <v>44</v>
      </c>
      <c r="S386" s="5" t="str">
        <f>VLOOKUP(O386,'Data Angt'!$A$5:$H$5810,8,FALSE)</f>
        <v>Wiraswasta</v>
      </c>
      <c r="T386" s="44" t="str">
        <f>VLOOKUP(O386,'Data Angt'!$A$5:$C$5809,3,FALSE)</f>
        <v>JBR</v>
      </c>
    </row>
    <row r="387" spans="1:20" x14ac:dyDescent="0.3">
      <c r="A387" s="37">
        <v>133576</v>
      </c>
      <c r="B387" s="38">
        <v>381</v>
      </c>
      <c r="C387" s="39" t="s">
        <v>2529</v>
      </c>
      <c r="D387" s="10" t="str">
        <f>VLOOKUP(C387,'Data Angt'!$A$5:$B$5809,2,FALSE)</f>
        <v>A1053</v>
      </c>
      <c r="E387" s="40" t="s">
        <v>11752</v>
      </c>
      <c r="F387" s="41">
        <v>44754</v>
      </c>
      <c r="G387" s="38">
        <v>1</v>
      </c>
      <c r="H387" s="40">
        <v>0</v>
      </c>
      <c r="I387" s="38">
        <v>4</v>
      </c>
      <c r="J387" s="41">
        <v>44754</v>
      </c>
      <c r="K387" s="38" t="s">
        <v>10768</v>
      </c>
      <c r="L387" s="42">
        <v>5000000</v>
      </c>
      <c r="O387" s="151" t="s">
        <v>9397</v>
      </c>
      <c r="P387" s="5" t="str">
        <f t="shared" si="10"/>
        <v>A4275</v>
      </c>
      <c r="Q387" s="5">
        <f t="shared" si="11"/>
        <v>1</v>
      </c>
      <c r="R387">
        <f>VLOOKUP(O387,'Data Angt'!$A$5:$F$5810,6,FALSE)</f>
        <v>50</v>
      </c>
      <c r="S387" s="5">
        <f>VLOOKUP(O387,'Data Angt'!$A$5:$H$5810,8,FALSE)</f>
        <v>0</v>
      </c>
      <c r="T387" s="44" t="str">
        <f>VLOOKUP(O387,'Data Angt'!$A$5:$C$5809,3,FALSE)</f>
        <v>PBL</v>
      </c>
    </row>
    <row r="388" spans="1:20" x14ac:dyDescent="0.3">
      <c r="A388" s="37">
        <v>144264</v>
      </c>
      <c r="B388" s="38">
        <v>382</v>
      </c>
      <c r="C388" s="39" t="s">
        <v>2529</v>
      </c>
      <c r="D388" s="10" t="str">
        <f>VLOOKUP(C388,'Data Angt'!$A$5:$B$5809,2,FALSE)</f>
        <v>A1053</v>
      </c>
      <c r="E388" s="40" t="s">
        <v>18080</v>
      </c>
      <c r="F388" s="41">
        <v>45399</v>
      </c>
      <c r="G388" s="38">
        <v>1</v>
      </c>
      <c r="H388" s="40">
        <v>0</v>
      </c>
      <c r="I388" s="38">
        <v>4</v>
      </c>
      <c r="J388" s="41">
        <v>45399</v>
      </c>
      <c r="K388" s="38" t="s">
        <v>10768</v>
      </c>
      <c r="L388" s="42">
        <v>7000000</v>
      </c>
      <c r="O388" s="151" t="s">
        <v>9455</v>
      </c>
      <c r="P388" s="5" t="str">
        <f t="shared" si="10"/>
        <v>A4301</v>
      </c>
      <c r="Q388" s="5">
        <f t="shared" si="11"/>
        <v>1</v>
      </c>
      <c r="R388">
        <f>VLOOKUP(O388,'Data Angt'!$A$5:$F$5810,6,FALSE)</f>
        <v>39</v>
      </c>
      <c r="S388" s="5">
        <f>VLOOKUP(O388,'Data Angt'!$A$5:$H$5810,8,FALSE)</f>
        <v>0</v>
      </c>
      <c r="T388" s="44" t="str">
        <f>VLOOKUP(O388,'Data Angt'!$A$5:$C$5809,3,FALSE)</f>
        <v>PBL</v>
      </c>
    </row>
    <row r="389" spans="1:20" x14ac:dyDescent="0.3">
      <c r="A389" s="37">
        <v>148286</v>
      </c>
      <c r="B389" s="38">
        <v>383</v>
      </c>
      <c r="C389" s="39" t="s">
        <v>2529</v>
      </c>
      <c r="D389" s="10" t="str">
        <f>VLOOKUP(C389,'Data Angt'!$A$5:$B$5809,2,FALSE)</f>
        <v>A1053</v>
      </c>
      <c r="E389" s="40" t="s">
        <v>18081</v>
      </c>
      <c r="F389" s="41">
        <v>45523</v>
      </c>
      <c r="G389" s="38">
        <v>1</v>
      </c>
      <c r="H389" s="40">
        <v>0</v>
      </c>
      <c r="I389" s="38">
        <v>4</v>
      </c>
      <c r="J389" s="41">
        <v>45523</v>
      </c>
      <c r="K389" s="38" t="s">
        <v>10768</v>
      </c>
      <c r="L389" s="42">
        <v>5000000</v>
      </c>
      <c r="O389" s="151" t="s">
        <v>9462</v>
      </c>
      <c r="P389" s="5" t="str">
        <f t="shared" si="10"/>
        <v>A4304</v>
      </c>
      <c r="Q389" s="5">
        <f t="shared" si="11"/>
        <v>1</v>
      </c>
      <c r="R389">
        <f>VLOOKUP(O389,'Data Angt'!$A$5:$F$5810,6,FALSE)</f>
        <v>70</v>
      </c>
      <c r="S389" s="5" t="str">
        <f>VLOOKUP(O389,'Data Angt'!$A$5:$H$5810,8,FALSE)</f>
        <v>Wiraswasta</v>
      </c>
      <c r="T389" s="44" t="str">
        <f>VLOOKUP(O389,'Data Angt'!$A$5:$C$5809,3,FALSE)</f>
        <v>PBL</v>
      </c>
    </row>
    <row r="390" spans="1:20" x14ac:dyDescent="0.3">
      <c r="A390" s="37">
        <v>151976</v>
      </c>
      <c r="B390" s="38">
        <v>384</v>
      </c>
      <c r="C390" s="39" t="s">
        <v>2529</v>
      </c>
      <c r="D390" s="10" t="str">
        <f>VLOOKUP(C390,'Data Angt'!$A$5:$B$5809,2,FALSE)</f>
        <v>A1053</v>
      </c>
      <c r="E390" s="40" t="s">
        <v>18082</v>
      </c>
      <c r="F390" s="41">
        <v>45666</v>
      </c>
      <c r="G390" s="38">
        <v>1</v>
      </c>
      <c r="H390" s="40">
        <v>0</v>
      </c>
      <c r="I390" s="38">
        <v>4</v>
      </c>
      <c r="J390" s="41">
        <v>45666</v>
      </c>
      <c r="K390" s="38" t="s">
        <v>10768</v>
      </c>
      <c r="L390" s="42">
        <v>12000000</v>
      </c>
      <c r="O390" s="151" t="s">
        <v>9476</v>
      </c>
      <c r="P390" s="5" t="str">
        <f t="shared" ref="P390:P453" si="12">VLOOKUP(O390,$C$7:$D$1146,2,FALSE)</f>
        <v>A4311</v>
      </c>
      <c r="Q390" s="5">
        <f t="shared" si="11"/>
        <v>3</v>
      </c>
      <c r="R390">
        <f>VLOOKUP(O390,'Data Angt'!$A$5:$F$5810,6,FALSE)</f>
        <v>51</v>
      </c>
      <c r="S390" s="5" t="str">
        <f>VLOOKUP(O390,'Data Angt'!$A$5:$H$5810,8,FALSE)</f>
        <v>Pemuka Agama</v>
      </c>
      <c r="T390" s="44" t="str">
        <f>VLOOKUP(O390,'Data Angt'!$A$5:$C$5809,3,FALSE)</f>
        <v>PBL</v>
      </c>
    </row>
    <row r="391" spans="1:20" x14ac:dyDescent="0.3">
      <c r="A391" s="37">
        <v>155649</v>
      </c>
      <c r="B391" s="38">
        <v>385</v>
      </c>
      <c r="C391" s="39" t="s">
        <v>2529</v>
      </c>
      <c r="D391" s="10" t="str">
        <f>VLOOKUP(C391,'Data Angt'!$A$5:$B$5809,2,FALSE)</f>
        <v>A1053</v>
      </c>
      <c r="E391" s="40" t="s">
        <v>18083</v>
      </c>
      <c r="F391" s="41">
        <v>45791</v>
      </c>
      <c r="G391" s="38">
        <v>1</v>
      </c>
      <c r="H391" s="40">
        <v>0</v>
      </c>
      <c r="I391" s="38">
        <v>4</v>
      </c>
      <c r="J391" s="41">
        <v>45791</v>
      </c>
      <c r="K391" s="38" t="s">
        <v>10768</v>
      </c>
      <c r="L391" s="42">
        <v>5000000</v>
      </c>
      <c r="O391" s="151" t="s">
        <v>9557</v>
      </c>
      <c r="P391" s="5" t="str">
        <f t="shared" si="12"/>
        <v>A4343</v>
      </c>
      <c r="Q391" s="5">
        <f t="shared" ref="Q391:Q454" si="13">COUNTIF($C$7:$C$1146,O391)</f>
        <v>1</v>
      </c>
      <c r="R391">
        <f>VLOOKUP(O391,'Data Angt'!$A$5:$F$5810,6,FALSE)</f>
        <v>27</v>
      </c>
      <c r="S391" s="5" t="str">
        <f>VLOOKUP(O391,'Data Angt'!$A$5:$H$5810,8,FALSE)</f>
        <v>Karyawan</v>
      </c>
      <c r="T391" s="44" t="str">
        <f>VLOOKUP(O391,'Data Angt'!$A$5:$C$5809,3,FALSE)</f>
        <v>BWI</v>
      </c>
    </row>
    <row r="392" spans="1:20" x14ac:dyDescent="0.3">
      <c r="A392" s="37">
        <v>156042</v>
      </c>
      <c r="B392" s="38">
        <v>386</v>
      </c>
      <c r="C392" s="39" t="s">
        <v>2529</v>
      </c>
      <c r="D392" s="10" t="str">
        <f>VLOOKUP(C392,'Data Angt'!$A$5:$B$5809,2,FALSE)</f>
        <v>A1053</v>
      </c>
      <c r="E392" s="40" t="s">
        <v>18084</v>
      </c>
      <c r="F392" s="41">
        <v>45805</v>
      </c>
      <c r="G392" s="38">
        <v>1</v>
      </c>
      <c r="H392" s="40">
        <v>0</v>
      </c>
      <c r="I392" s="38">
        <v>4</v>
      </c>
      <c r="J392" s="41">
        <v>45805</v>
      </c>
      <c r="K392" s="38" t="s">
        <v>10768</v>
      </c>
      <c r="L392" s="42">
        <v>5000000</v>
      </c>
      <c r="O392" s="151" t="s">
        <v>9570</v>
      </c>
      <c r="P392" s="5" t="str">
        <f t="shared" si="12"/>
        <v>A4349</v>
      </c>
      <c r="Q392" s="5">
        <f t="shared" si="13"/>
        <v>1</v>
      </c>
      <c r="R392">
        <f>VLOOKUP(O392,'Data Angt'!$A$5:$F$5810,6,FALSE)</f>
        <v>42</v>
      </c>
      <c r="S392" s="5" t="str">
        <f>VLOOKUP(O392,'Data Angt'!$A$5:$H$5810,8,FALSE)</f>
        <v>Karyawan</v>
      </c>
      <c r="T392" s="44" t="str">
        <f>VLOOKUP(O392,'Data Angt'!$A$5:$C$5809,3,FALSE)</f>
        <v>PBL</v>
      </c>
    </row>
    <row r="393" spans="1:20" x14ac:dyDescent="0.3">
      <c r="A393" s="37">
        <v>78901</v>
      </c>
      <c r="B393" s="38">
        <v>387</v>
      </c>
      <c r="C393" s="39" t="s">
        <v>2529</v>
      </c>
      <c r="D393" s="10" t="str">
        <f>VLOOKUP(C393,'Data Angt'!$A$5:$B$5809,2,FALSE)</f>
        <v>A1053</v>
      </c>
      <c r="E393" s="40" t="s">
        <v>11751</v>
      </c>
      <c r="F393" s="41">
        <v>41676</v>
      </c>
      <c r="G393" s="38">
        <v>1</v>
      </c>
      <c r="H393" s="40">
        <v>0</v>
      </c>
      <c r="I393" s="38">
        <v>4</v>
      </c>
      <c r="J393" s="41">
        <v>41792</v>
      </c>
      <c r="K393" s="38" t="s">
        <v>10768</v>
      </c>
      <c r="L393" s="42">
        <v>5000000</v>
      </c>
      <c r="O393" s="151" t="s">
        <v>12631</v>
      </c>
      <c r="P393" s="5" t="str">
        <f t="shared" si="12"/>
        <v>A4368</v>
      </c>
      <c r="Q393" s="5">
        <f t="shared" si="13"/>
        <v>1</v>
      </c>
      <c r="R393">
        <f>VLOOKUP(O393,'Data Angt'!$A$5:$F$5810,6,FALSE)</f>
        <v>21</v>
      </c>
      <c r="S393" s="5" t="str">
        <f>VLOOKUP(O393,'Data Angt'!$A$5:$H$5810,8,FALSE)</f>
        <v>Pelajar/Mahasiswa</v>
      </c>
      <c r="T393" s="44" t="str">
        <f>VLOOKUP(O393,'Data Angt'!$A$5:$C$5809,3,FALSE)</f>
        <v>MJK</v>
      </c>
    </row>
    <row r="394" spans="1:20" x14ac:dyDescent="0.3">
      <c r="A394" s="37">
        <v>131568</v>
      </c>
      <c r="B394" s="38">
        <v>388</v>
      </c>
      <c r="C394" s="39" t="s">
        <v>2549</v>
      </c>
      <c r="D394" s="10" t="str">
        <f>VLOOKUP(C394,'Data Angt'!$A$5:$B$5809,2,FALSE)</f>
        <v>A1063</v>
      </c>
      <c r="E394" s="40" t="s">
        <v>11748</v>
      </c>
      <c r="F394" s="41">
        <v>44589</v>
      </c>
      <c r="G394" s="38">
        <v>1</v>
      </c>
      <c r="H394" s="40">
        <v>0</v>
      </c>
      <c r="I394" s="38">
        <v>4</v>
      </c>
      <c r="J394" s="41">
        <v>44589</v>
      </c>
      <c r="K394" s="38" t="s">
        <v>10768</v>
      </c>
      <c r="L394" s="42">
        <v>10000000</v>
      </c>
      <c r="O394" s="151" t="s">
        <v>12651</v>
      </c>
      <c r="P394" s="5" t="str">
        <f t="shared" si="12"/>
        <v>A4379</v>
      </c>
      <c r="Q394" s="5">
        <f t="shared" si="13"/>
        <v>1</v>
      </c>
      <c r="R394">
        <f>VLOOKUP(O394,'Data Angt'!$A$5:$F$5810,6,FALSE)</f>
        <v>32</v>
      </c>
      <c r="S394" s="5" t="str">
        <f>VLOOKUP(O394,'Data Angt'!$A$5:$H$5810,8,FALSE)</f>
        <v>Mengurus Rumah Tangga</v>
      </c>
      <c r="T394" s="44" t="str">
        <f>VLOOKUP(O394,'Data Angt'!$A$5:$C$5809,3,FALSE)</f>
        <v>MJK</v>
      </c>
    </row>
    <row r="395" spans="1:20" x14ac:dyDescent="0.3">
      <c r="A395" s="37">
        <v>133606</v>
      </c>
      <c r="B395" s="38">
        <v>389</v>
      </c>
      <c r="C395" s="39" t="s">
        <v>2549</v>
      </c>
      <c r="D395" s="10" t="str">
        <f>VLOOKUP(C395,'Data Angt'!$A$5:$B$5809,2,FALSE)</f>
        <v>A1063</v>
      </c>
      <c r="E395" s="40" t="s">
        <v>11747</v>
      </c>
      <c r="F395" s="41">
        <v>44756</v>
      </c>
      <c r="G395" s="38">
        <v>1</v>
      </c>
      <c r="H395" s="40">
        <v>0</v>
      </c>
      <c r="I395" s="38">
        <v>4</v>
      </c>
      <c r="J395" s="41">
        <v>44756</v>
      </c>
      <c r="K395" s="38" t="s">
        <v>10768</v>
      </c>
      <c r="L395" s="42">
        <v>40000000</v>
      </c>
      <c r="O395" s="151" t="s">
        <v>12670</v>
      </c>
      <c r="P395" s="5" t="str">
        <f t="shared" si="12"/>
        <v>A4387</v>
      </c>
      <c r="Q395" s="5">
        <f t="shared" si="13"/>
        <v>1</v>
      </c>
      <c r="R395">
        <f>VLOOKUP(O395,'Data Angt'!$A$5:$F$5810,6,FALSE)</f>
        <v>44</v>
      </c>
      <c r="S395" s="5" t="str">
        <f>VLOOKUP(O395,'Data Angt'!$A$5:$H$5810,8,FALSE)</f>
        <v>Pemuka Agama</v>
      </c>
      <c r="T395" s="44" t="str">
        <f>VLOOKUP(O395,'Data Angt'!$A$5:$C$5809,3,FALSE)</f>
        <v>PBL</v>
      </c>
    </row>
    <row r="396" spans="1:20" x14ac:dyDescent="0.3">
      <c r="A396" s="37">
        <v>133717</v>
      </c>
      <c r="B396" s="38">
        <v>390</v>
      </c>
      <c r="C396" s="39" t="s">
        <v>2549</v>
      </c>
      <c r="D396" s="10" t="str">
        <f>VLOOKUP(C396,'Data Angt'!$A$5:$B$5809,2,FALSE)</f>
        <v>A1063</v>
      </c>
      <c r="E396" s="40" t="s">
        <v>11746</v>
      </c>
      <c r="F396" s="41">
        <v>44763</v>
      </c>
      <c r="G396" s="38">
        <v>1</v>
      </c>
      <c r="H396" s="40">
        <v>0</v>
      </c>
      <c r="I396" s="38">
        <v>4</v>
      </c>
      <c r="J396" s="41">
        <v>44763</v>
      </c>
      <c r="K396" s="38" t="s">
        <v>10768</v>
      </c>
      <c r="L396" s="42">
        <v>50000000</v>
      </c>
      <c r="O396" s="151" t="s">
        <v>12698</v>
      </c>
      <c r="P396" s="5" t="str">
        <f t="shared" si="12"/>
        <v>A4400</v>
      </c>
      <c r="Q396" s="5">
        <f t="shared" si="13"/>
        <v>1</v>
      </c>
      <c r="R396">
        <f>VLOOKUP(O396,'Data Angt'!$A$5:$F$5810,6,FALSE)</f>
        <v>23</v>
      </c>
      <c r="S396" s="5" t="str">
        <f>VLOOKUP(O396,'Data Angt'!$A$5:$H$5810,8,FALSE)</f>
        <v>Pelajar/Mahasiswa</v>
      </c>
      <c r="T396" s="44" t="str">
        <f>VLOOKUP(O396,'Data Angt'!$A$5:$C$5809,3,FALSE)</f>
        <v>PBL</v>
      </c>
    </row>
    <row r="397" spans="1:20" x14ac:dyDescent="0.3">
      <c r="A397" s="37">
        <v>133718</v>
      </c>
      <c r="B397" s="38">
        <v>391</v>
      </c>
      <c r="C397" s="39" t="s">
        <v>2549</v>
      </c>
      <c r="D397" s="10" t="str">
        <f>VLOOKUP(C397,'Data Angt'!$A$5:$B$5809,2,FALSE)</f>
        <v>A1063</v>
      </c>
      <c r="E397" s="40" t="s">
        <v>11745</v>
      </c>
      <c r="F397" s="41">
        <v>44763</v>
      </c>
      <c r="G397" s="38">
        <v>1</v>
      </c>
      <c r="H397" s="40">
        <v>0</v>
      </c>
      <c r="I397" s="38">
        <v>4</v>
      </c>
      <c r="J397" s="41">
        <v>44763</v>
      </c>
      <c r="K397" s="38" t="s">
        <v>10768</v>
      </c>
      <c r="L397" s="42">
        <v>46000000</v>
      </c>
      <c r="O397" s="151" t="s">
        <v>12749</v>
      </c>
      <c r="P397" s="5" t="str">
        <f t="shared" si="12"/>
        <v>A4420</v>
      </c>
      <c r="Q397" s="5">
        <f t="shared" si="13"/>
        <v>1</v>
      </c>
      <c r="R397">
        <f>VLOOKUP(O397,'Data Angt'!$A$5:$F$5810,6,FALSE)</f>
        <v>32</v>
      </c>
      <c r="S397" s="5" t="str">
        <f>VLOOKUP(O397,'Data Angt'!$A$5:$H$5810,8,FALSE)</f>
        <v>Wiraswasta</v>
      </c>
      <c r="T397" s="44" t="str">
        <f>VLOOKUP(O397,'Data Angt'!$A$5:$C$5809,3,FALSE)</f>
        <v>PBL</v>
      </c>
    </row>
    <row r="398" spans="1:20" x14ac:dyDescent="0.3">
      <c r="A398" s="37">
        <v>136631</v>
      </c>
      <c r="B398" s="38">
        <v>392</v>
      </c>
      <c r="C398" s="39" t="s">
        <v>2549</v>
      </c>
      <c r="D398" s="10" t="str">
        <f>VLOOKUP(C398,'Data Angt'!$A$5:$B$5809,2,FALSE)</f>
        <v>A1063</v>
      </c>
      <c r="E398" s="40" t="s">
        <v>11744</v>
      </c>
      <c r="F398" s="41">
        <v>44985</v>
      </c>
      <c r="G398" s="38">
        <v>1</v>
      </c>
      <c r="H398" s="40">
        <v>0</v>
      </c>
      <c r="I398" s="38">
        <v>4</v>
      </c>
      <c r="J398" s="41">
        <v>44985</v>
      </c>
      <c r="K398" s="38" t="s">
        <v>10768</v>
      </c>
      <c r="L398" s="42">
        <v>10000000</v>
      </c>
      <c r="O398" s="151" t="s">
        <v>12764</v>
      </c>
      <c r="P398" s="5" t="str">
        <f t="shared" si="12"/>
        <v>A4427</v>
      </c>
      <c r="Q398" s="5">
        <f t="shared" si="13"/>
        <v>1</v>
      </c>
      <c r="R398">
        <f>VLOOKUP(O398,'Data Angt'!$A$5:$F$5810,6,FALSE)</f>
        <v>63</v>
      </c>
      <c r="S398" s="5" t="str">
        <f>VLOOKUP(O398,'Data Angt'!$A$5:$H$5810,8,FALSE)</f>
        <v>Pensiunan</v>
      </c>
      <c r="T398" s="44" t="str">
        <f>VLOOKUP(O398,'Data Angt'!$A$5:$C$5809,3,FALSE)</f>
        <v>JBR</v>
      </c>
    </row>
    <row r="399" spans="1:20" x14ac:dyDescent="0.3">
      <c r="A399" s="37">
        <v>122683</v>
      </c>
      <c r="B399" s="38">
        <v>393</v>
      </c>
      <c r="C399" s="39" t="s">
        <v>2549</v>
      </c>
      <c r="D399" s="10" t="str">
        <f>VLOOKUP(C399,'Data Angt'!$A$5:$B$5809,2,FALSE)</f>
        <v>A1063</v>
      </c>
      <c r="E399" s="40" t="s">
        <v>11743</v>
      </c>
      <c r="F399" s="41">
        <v>43934</v>
      </c>
      <c r="G399" s="38">
        <v>1</v>
      </c>
      <c r="H399" s="40">
        <v>0</v>
      </c>
      <c r="I399" s="38">
        <v>4</v>
      </c>
      <c r="J399" s="41">
        <v>43934</v>
      </c>
      <c r="K399" s="38" t="s">
        <v>10768</v>
      </c>
      <c r="L399" s="42">
        <v>1500000</v>
      </c>
      <c r="O399" s="151" t="s">
        <v>12902</v>
      </c>
      <c r="P399" s="5" t="str">
        <f t="shared" si="12"/>
        <v>A4489</v>
      </c>
      <c r="Q399" s="5">
        <f t="shared" si="13"/>
        <v>1</v>
      </c>
      <c r="R399">
        <f>VLOOKUP(O399,'Data Angt'!$A$5:$F$5810,6,FALSE)</f>
        <v>29</v>
      </c>
      <c r="S399" s="5" t="str">
        <f>VLOOKUP(O399,'Data Angt'!$A$5:$H$5810,8,FALSE)</f>
        <v>Karyawan</v>
      </c>
      <c r="T399" s="44" t="str">
        <f>VLOOKUP(O399,'Data Angt'!$A$5:$C$5809,3,FALSE)</f>
        <v>KRK</v>
      </c>
    </row>
    <row r="400" spans="1:20" x14ac:dyDescent="0.3">
      <c r="A400" s="37">
        <v>140344</v>
      </c>
      <c r="B400" s="38">
        <v>394</v>
      </c>
      <c r="C400" s="39" t="s">
        <v>2549</v>
      </c>
      <c r="D400" s="10" t="str">
        <f>VLOOKUP(C400,'Data Angt'!$A$5:$B$5809,2,FALSE)</f>
        <v>A1063</v>
      </c>
      <c r="E400" s="40" t="s">
        <v>11742</v>
      </c>
      <c r="F400" s="41">
        <v>45240</v>
      </c>
      <c r="G400" s="38">
        <v>1</v>
      </c>
      <c r="H400" s="40">
        <v>0</v>
      </c>
      <c r="I400" s="38">
        <v>4</v>
      </c>
      <c r="J400" s="41">
        <v>45240</v>
      </c>
      <c r="K400" s="38" t="s">
        <v>10768</v>
      </c>
      <c r="L400" s="42">
        <v>15000000</v>
      </c>
      <c r="O400" s="151" t="s">
        <v>12909</v>
      </c>
      <c r="P400" s="5" t="str">
        <f t="shared" si="12"/>
        <v>A4493</v>
      </c>
      <c r="Q400" s="5">
        <f t="shared" si="13"/>
        <v>1</v>
      </c>
      <c r="R400">
        <f>VLOOKUP(O400,'Data Angt'!$A$5:$F$5810,6,FALSE)</f>
        <v>55</v>
      </c>
      <c r="S400" s="5" t="str">
        <f>VLOOKUP(O400,'Data Angt'!$A$5:$H$5810,8,FALSE)</f>
        <v>Petani/Pekebun/Nelayan</v>
      </c>
      <c r="T400" s="44" t="str">
        <f>VLOOKUP(O400,'Data Angt'!$A$5:$C$5809,3,FALSE)</f>
        <v>JBR</v>
      </c>
    </row>
    <row r="401" spans="1:20" x14ac:dyDescent="0.3">
      <c r="A401" s="37">
        <v>141277</v>
      </c>
      <c r="B401" s="38">
        <v>395</v>
      </c>
      <c r="C401" s="39" t="s">
        <v>2549</v>
      </c>
      <c r="D401" s="10" t="str">
        <f>VLOOKUP(C401,'Data Angt'!$A$5:$B$5809,2,FALSE)</f>
        <v>A1063</v>
      </c>
      <c r="E401" s="40" t="s">
        <v>11741</v>
      </c>
      <c r="F401" s="41">
        <v>45288</v>
      </c>
      <c r="G401" s="38">
        <v>1</v>
      </c>
      <c r="H401" s="40">
        <v>0</v>
      </c>
      <c r="I401" s="38">
        <v>4</v>
      </c>
      <c r="J401" s="41">
        <v>45288</v>
      </c>
      <c r="K401" s="38" t="s">
        <v>10768</v>
      </c>
      <c r="L401" s="42">
        <v>5000000</v>
      </c>
      <c r="O401" s="151" t="s">
        <v>12925</v>
      </c>
      <c r="P401" s="5" t="str">
        <f t="shared" si="12"/>
        <v>A4501</v>
      </c>
      <c r="Q401" s="5">
        <f t="shared" si="13"/>
        <v>1</v>
      </c>
      <c r="R401">
        <f>VLOOKUP(O401,'Data Angt'!$A$5:$F$5810,6,FALSE)</f>
        <v>24</v>
      </c>
      <c r="S401" s="5" t="str">
        <f>VLOOKUP(O401,'Data Angt'!$A$5:$H$5810,8,FALSE)</f>
        <v>Karyawan</v>
      </c>
      <c r="T401" s="44" t="str">
        <f>VLOOKUP(O401,'Data Angt'!$A$5:$C$5809,3,FALSE)</f>
        <v>PBL</v>
      </c>
    </row>
    <row r="402" spans="1:20" x14ac:dyDescent="0.3">
      <c r="A402" s="37">
        <v>125868</v>
      </c>
      <c r="B402" s="38">
        <v>396</v>
      </c>
      <c r="C402" s="39" t="s">
        <v>2549</v>
      </c>
      <c r="D402" s="10" t="str">
        <f>VLOOKUP(C402,'Data Angt'!$A$5:$B$5809,2,FALSE)</f>
        <v>A1063</v>
      </c>
      <c r="E402" s="40" t="s">
        <v>11740</v>
      </c>
      <c r="F402" s="41">
        <v>44153</v>
      </c>
      <c r="G402" s="38">
        <v>1</v>
      </c>
      <c r="H402" s="40">
        <v>0</v>
      </c>
      <c r="I402" s="38">
        <v>4</v>
      </c>
      <c r="J402" s="41">
        <v>44153</v>
      </c>
      <c r="K402" s="38" t="s">
        <v>10768</v>
      </c>
      <c r="L402" s="42">
        <v>50000000</v>
      </c>
      <c r="O402" s="151" t="s">
        <v>12946</v>
      </c>
      <c r="P402" s="5" t="str">
        <f t="shared" si="12"/>
        <v>A4509</v>
      </c>
      <c r="Q402" s="5">
        <f t="shared" si="13"/>
        <v>1</v>
      </c>
      <c r="R402">
        <f>VLOOKUP(O402,'Data Angt'!$A$5:$F$5810,6,FALSE)</f>
        <v>35</v>
      </c>
      <c r="S402" s="5" t="str">
        <f>VLOOKUP(O402,'Data Angt'!$A$5:$H$5810,8,FALSE)</f>
        <v>Wiraswasta</v>
      </c>
      <c r="T402" s="44" t="str">
        <f>VLOOKUP(O402,'Data Angt'!$A$5:$C$5809,3,FALSE)</f>
        <v>MJK</v>
      </c>
    </row>
    <row r="403" spans="1:20" x14ac:dyDescent="0.3">
      <c r="A403" s="37">
        <v>126563</v>
      </c>
      <c r="B403" s="38">
        <v>397</v>
      </c>
      <c r="C403" s="39" t="s">
        <v>2549</v>
      </c>
      <c r="D403" s="10" t="str">
        <f>VLOOKUP(C403,'Data Angt'!$A$5:$B$5809,2,FALSE)</f>
        <v>A1063</v>
      </c>
      <c r="E403" s="40" t="s">
        <v>11749</v>
      </c>
      <c r="F403" s="41">
        <v>44214</v>
      </c>
      <c r="G403" s="38">
        <v>1</v>
      </c>
      <c r="H403" s="40">
        <v>0</v>
      </c>
      <c r="I403" s="38">
        <v>4</v>
      </c>
      <c r="J403" s="41">
        <v>44214</v>
      </c>
      <c r="K403" s="38" t="s">
        <v>10768</v>
      </c>
      <c r="L403" s="42">
        <v>8000000</v>
      </c>
      <c r="O403" s="151" t="s">
        <v>12974</v>
      </c>
      <c r="P403" s="5" t="str">
        <f t="shared" si="12"/>
        <v>A4523</v>
      </c>
      <c r="Q403" s="5">
        <f t="shared" si="13"/>
        <v>1</v>
      </c>
      <c r="R403">
        <f>VLOOKUP(O403,'Data Angt'!$A$5:$F$5810,6,FALSE)</f>
        <v>60</v>
      </c>
      <c r="S403" s="5" t="str">
        <f>VLOOKUP(O403,'Data Angt'!$A$5:$H$5810,8,FALSE)</f>
        <v>Wiraswasta</v>
      </c>
      <c r="T403" s="44" t="str">
        <f>VLOOKUP(O403,'Data Angt'!$A$5:$C$5809,3,FALSE)</f>
        <v>PBL</v>
      </c>
    </row>
    <row r="404" spans="1:20" x14ac:dyDescent="0.3">
      <c r="A404" s="37">
        <v>156607</v>
      </c>
      <c r="B404" s="38">
        <v>398</v>
      </c>
      <c r="C404" s="39" t="s">
        <v>2574</v>
      </c>
      <c r="D404" s="10" t="str">
        <f>VLOOKUP(C404,'Data Angt'!$A$5:$B$5809,2,FALSE)</f>
        <v>A1071</v>
      </c>
      <c r="E404" s="40" t="s">
        <v>18085</v>
      </c>
      <c r="F404" s="41">
        <v>45834</v>
      </c>
      <c r="G404" s="38">
        <v>1</v>
      </c>
      <c r="H404" s="40">
        <v>0</v>
      </c>
      <c r="I404" s="38">
        <v>4</v>
      </c>
      <c r="J404" s="41">
        <v>45834</v>
      </c>
      <c r="K404" s="38" t="s">
        <v>10768</v>
      </c>
      <c r="L404" s="42">
        <v>10000000</v>
      </c>
      <c r="O404" s="151" t="s">
        <v>12982</v>
      </c>
      <c r="P404" s="5" t="str">
        <f t="shared" si="12"/>
        <v>A4527</v>
      </c>
      <c r="Q404" s="5">
        <f t="shared" si="13"/>
        <v>1</v>
      </c>
      <c r="R404">
        <f>VLOOKUP(O404,'Data Angt'!$A$5:$F$5810,6,FALSE)</f>
        <v>54</v>
      </c>
      <c r="S404" s="5" t="str">
        <f>VLOOKUP(O404,'Data Angt'!$A$5:$H$5810,8,FALSE)</f>
        <v>Wiraswasta</v>
      </c>
      <c r="T404" s="44" t="str">
        <f>VLOOKUP(O404,'Data Angt'!$A$5:$C$5809,3,FALSE)</f>
        <v>MJK</v>
      </c>
    </row>
    <row r="405" spans="1:20" x14ac:dyDescent="0.3">
      <c r="A405" s="37">
        <v>129280</v>
      </c>
      <c r="B405" s="38">
        <v>399</v>
      </c>
      <c r="C405" s="39" t="s">
        <v>2576</v>
      </c>
      <c r="D405" s="10" t="str">
        <f>VLOOKUP(C405,'Data Angt'!$A$5:$B$5809,2,FALSE)</f>
        <v>A1072</v>
      </c>
      <c r="E405" s="40" t="s">
        <v>11738</v>
      </c>
      <c r="F405" s="41">
        <v>44413</v>
      </c>
      <c r="G405" s="38">
        <v>1</v>
      </c>
      <c r="H405" s="40">
        <v>0</v>
      </c>
      <c r="I405" s="38">
        <v>4</v>
      </c>
      <c r="J405" s="41">
        <v>44686</v>
      </c>
      <c r="K405" s="38" t="s">
        <v>10768</v>
      </c>
      <c r="L405" s="42">
        <v>5000000</v>
      </c>
      <c r="O405" s="151" t="s">
        <v>13034</v>
      </c>
      <c r="P405" s="5" t="str">
        <f t="shared" si="12"/>
        <v>A4549</v>
      </c>
      <c r="Q405" s="5">
        <f t="shared" si="13"/>
        <v>1</v>
      </c>
      <c r="R405">
        <f>VLOOKUP(O405,'Data Angt'!$A$5:$F$5810,6,FALSE)</f>
        <v>63</v>
      </c>
      <c r="S405" s="5" t="str">
        <f>VLOOKUP(O405,'Data Angt'!$A$5:$H$5810,8,FALSE)</f>
        <v>Wiraswasta</v>
      </c>
      <c r="T405" s="44" t="str">
        <f>VLOOKUP(O405,'Data Angt'!$A$5:$C$5809,3,FALSE)</f>
        <v>PBL</v>
      </c>
    </row>
    <row r="406" spans="1:20" x14ac:dyDescent="0.3">
      <c r="A406" s="37">
        <v>120431</v>
      </c>
      <c r="B406" s="38">
        <v>400</v>
      </c>
      <c r="C406" s="39" t="s">
        <v>2576</v>
      </c>
      <c r="D406" s="10" t="str">
        <f>VLOOKUP(C406,'Data Angt'!$A$5:$B$5809,2,FALSE)</f>
        <v>A1072</v>
      </c>
      <c r="E406" s="40" t="s">
        <v>11737</v>
      </c>
      <c r="F406" s="41">
        <v>43866</v>
      </c>
      <c r="G406" s="38">
        <v>1</v>
      </c>
      <c r="H406" s="40">
        <v>0</v>
      </c>
      <c r="I406" s="38">
        <v>4</v>
      </c>
      <c r="J406" s="41">
        <v>44717</v>
      </c>
      <c r="K406" s="38" t="s">
        <v>10768</v>
      </c>
      <c r="L406" s="42">
        <v>5000000</v>
      </c>
      <c r="O406" s="151" t="s">
        <v>13077</v>
      </c>
      <c r="P406" s="5" t="str">
        <f t="shared" si="12"/>
        <v>A4573</v>
      </c>
      <c r="Q406" s="5">
        <f t="shared" si="13"/>
        <v>1</v>
      </c>
      <c r="R406">
        <f>VLOOKUP(O406,'Data Angt'!$A$5:$F$5810,6,FALSE)</f>
        <v>59</v>
      </c>
      <c r="S406" s="5" t="str">
        <f>VLOOKUP(O406,'Data Angt'!$A$5:$H$5810,8,FALSE)</f>
        <v>Karyawan</v>
      </c>
      <c r="T406" s="44" t="str">
        <f>VLOOKUP(O406,'Data Angt'!$A$5:$C$5809,3,FALSE)</f>
        <v>PBL</v>
      </c>
    </row>
    <row r="407" spans="1:20" x14ac:dyDescent="0.3">
      <c r="A407" s="37">
        <v>120434</v>
      </c>
      <c r="B407" s="38">
        <v>401</v>
      </c>
      <c r="C407" s="39" t="s">
        <v>2576</v>
      </c>
      <c r="D407" s="10" t="str">
        <f>VLOOKUP(C407,'Data Angt'!$A$5:$B$5809,2,FALSE)</f>
        <v>A1072</v>
      </c>
      <c r="E407" s="40" t="s">
        <v>11736</v>
      </c>
      <c r="F407" s="41">
        <v>43866</v>
      </c>
      <c r="G407" s="38">
        <v>1</v>
      </c>
      <c r="H407" s="40">
        <v>0</v>
      </c>
      <c r="I407" s="38">
        <v>4</v>
      </c>
      <c r="J407" s="41">
        <v>44686</v>
      </c>
      <c r="K407" s="38" t="s">
        <v>10768</v>
      </c>
      <c r="L407" s="42">
        <v>5000000</v>
      </c>
      <c r="O407" s="151" t="s">
        <v>13084</v>
      </c>
      <c r="P407" s="5" t="str">
        <f t="shared" si="12"/>
        <v>A4577</v>
      </c>
      <c r="Q407" s="5">
        <f t="shared" si="13"/>
        <v>1</v>
      </c>
      <c r="R407">
        <f>VLOOKUP(O407,'Data Angt'!$A$5:$F$5810,6,FALSE)</f>
        <v>20</v>
      </c>
      <c r="S407" s="5" t="str">
        <f>VLOOKUP(O407,'Data Angt'!$A$5:$H$5810,8,FALSE)</f>
        <v>Karyawan</v>
      </c>
      <c r="T407" s="44" t="str">
        <f>VLOOKUP(O407,'Data Angt'!$A$5:$C$5809,3,FALSE)</f>
        <v>PBL</v>
      </c>
    </row>
    <row r="408" spans="1:20" x14ac:dyDescent="0.3">
      <c r="A408" s="37">
        <v>128398</v>
      </c>
      <c r="B408" s="38">
        <v>402</v>
      </c>
      <c r="C408" s="39" t="s">
        <v>2576</v>
      </c>
      <c r="D408" s="10" t="str">
        <f>VLOOKUP(C408,'Data Angt'!$A$5:$B$5809,2,FALSE)</f>
        <v>A1072</v>
      </c>
      <c r="E408" s="40" t="s">
        <v>11739</v>
      </c>
      <c r="F408" s="41">
        <v>44345</v>
      </c>
      <c r="G408" s="38">
        <v>1</v>
      </c>
      <c r="H408" s="40">
        <v>0</v>
      </c>
      <c r="I408" s="38">
        <v>4</v>
      </c>
      <c r="J408" s="41">
        <v>44710</v>
      </c>
      <c r="K408" s="38" t="s">
        <v>10768</v>
      </c>
      <c r="L408" s="42">
        <v>12000000</v>
      </c>
      <c r="O408" s="151" t="s">
        <v>13111</v>
      </c>
      <c r="P408" s="5" t="str">
        <f t="shared" si="12"/>
        <v>A4589</v>
      </c>
      <c r="Q408" s="5">
        <f t="shared" si="13"/>
        <v>1</v>
      </c>
      <c r="R408">
        <f>VLOOKUP(O408,'Data Angt'!$A$5:$F$5810,6,FALSE)</f>
        <v>32</v>
      </c>
      <c r="S408" s="5" t="str">
        <f>VLOOKUP(O408,'Data Angt'!$A$5:$H$5810,8,FALSE)</f>
        <v>Mengurus Rumah Tangga</v>
      </c>
      <c r="T408" s="44" t="str">
        <f>VLOOKUP(O408,'Data Angt'!$A$5:$C$5809,3,FALSE)</f>
        <v>PBL</v>
      </c>
    </row>
    <row r="409" spans="1:20" x14ac:dyDescent="0.3">
      <c r="A409" s="37">
        <v>142524</v>
      </c>
      <c r="B409" s="38">
        <v>403</v>
      </c>
      <c r="C409" s="39" t="s">
        <v>2593</v>
      </c>
      <c r="D409" s="10" t="str">
        <f>VLOOKUP(C409,'Data Angt'!$A$5:$B$5809,2,FALSE)</f>
        <v>A1083</v>
      </c>
      <c r="E409" s="40" t="s">
        <v>18086</v>
      </c>
      <c r="F409" s="41">
        <v>45335</v>
      </c>
      <c r="G409" s="38">
        <v>1</v>
      </c>
      <c r="H409" s="40">
        <v>0</v>
      </c>
      <c r="I409" s="38">
        <v>4</v>
      </c>
      <c r="J409" s="41">
        <v>45335</v>
      </c>
      <c r="K409" s="38" t="s">
        <v>10768</v>
      </c>
      <c r="L409" s="42">
        <v>1000000</v>
      </c>
      <c r="O409" s="151" t="s">
        <v>13144</v>
      </c>
      <c r="P409" s="5" t="str">
        <f t="shared" si="12"/>
        <v>A4603</v>
      </c>
      <c r="Q409" s="5">
        <f t="shared" si="13"/>
        <v>6</v>
      </c>
      <c r="R409">
        <f>VLOOKUP(O409,'Data Angt'!$A$5:$F$5810,6,FALSE)</f>
        <v>45</v>
      </c>
      <c r="S409" s="5" t="str">
        <f>VLOOKUP(O409,'Data Angt'!$A$5:$H$5810,8,FALSE)</f>
        <v>Wiraswasta</v>
      </c>
      <c r="T409" s="44" t="str">
        <f>VLOOKUP(O409,'Data Angt'!$A$5:$C$5809,3,FALSE)</f>
        <v>BWI</v>
      </c>
    </row>
    <row r="410" spans="1:20" x14ac:dyDescent="0.3">
      <c r="A410" s="37">
        <v>126520</v>
      </c>
      <c r="B410" s="38">
        <v>404</v>
      </c>
      <c r="C410" s="39" t="s">
        <v>2607</v>
      </c>
      <c r="D410" s="10" t="str">
        <f>VLOOKUP(C410,'Data Angt'!$A$5:$B$5809,2,FALSE)</f>
        <v>A1091</v>
      </c>
      <c r="E410" s="40" t="s">
        <v>11734</v>
      </c>
      <c r="F410" s="41">
        <v>44210</v>
      </c>
      <c r="G410" s="38">
        <v>1</v>
      </c>
      <c r="H410" s="40">
        <v>0</v>
      </c>
      <c r="I410" s="38">
        <v>4</v>
      </c>
      <c r="J410" s="41">
        <v>44210</v>
      </c>
      <c r="K410" s="38" t="s">
        <v>10768</v>
      </c>
      <c r="L410" s="42">
        <v>40000000</v>
      </c>
      <c r="O410" s="151" t="s">
        <v>13169</v>
      </c>
      <c r="P410" s="5" t="str">
        <f t="shared" si="12"/>
        <v>A4613</v>
      </c>
      <c r="Q410" s="5">
        <f t="shared" si="13"/>
        <v>1</v>
      </c>
      <c r="R410">
        <f>VLOOKUP(O410,'Data Angt'!$A$5:$F$5810,6,FALSE)</f>
        <v>42</v>
      </c>
      <c r="S410" s="5" t="str">
        <f>VLOOKUP(O410,'Data Angt'!$A$5:$H$5810,8,FALSE)</f>
        <v>Wiraswasta</v>
      </c>
      <c r="T410" s="44" t="str">
        <f>VLOOKUP(O410,'Data Angt'!$A$5:$C$5809,3,FALSE)</f>
        <v>BWI</v>
      </c>
    </row>
    <row r="411" spans="1:20" x14ac:dyDescent="0.3">
      <c r="A411" s="37">
        <v>151431</v>
      </c>
      <c r="B411" s="38">
        <v>405</v>
      </c>
      <c r="C411" s="39" t="s">
        <v>2607</v>
      </c>
      <c r="D411" s="10" t="str">
        <f>VLOOKUP(C411,'Data Angt'!$A$5:$B$5809,2,FALSE)</f>
        <v>A1091</v>
      </c>
      <c r="E411" s="40" t="s">
        <v>18087</v>
      </c>
      <c r="F411" s="41">
        <v>45637</v>
      </c>
      <c r="G411" s="38">
        <v>1</v>
      </c>
      <c r="H411" s="40">
        <v>0</v>
      </c>
      <c r="I411" s="38">
        <v>4</v>
      </c>
      <c r="J411" s="41">
        <v>45637</v>
      </c>
      <c r="K411" s="38" t="s">
        <v>10768</v>
      </c>
      <c r="L411" s="42">
        <v>100000000</v>
      </c>
      <c r="O411" s="151" t="s">
        <v>13560</v>
      </c>
      <c r="P411" s="5" t="str">
        <f t="shared" si="12"/>
        <v>A4846</v>
      </c>
      <c r="Q411" s="5">
        <f t="shared" si="13"/>
        <v>1</v>
      </c>
      <c r="R411">
        <f>VLOOKUP(O411,'Data Angt'!$A$5:$F$5810,6,FALSE)</f>
        <v>51</v>
      </c>
      <c r="S411" s="5" t="str">
        <f>VLOOKUP(O411,'Data Angt'!$A$5:$H$5810,8,FALSE)</f>
        <v>Wiraswasta</v>
      </c>
      <c r="T411" s="44" t="str">
        <f>VLOOKUP(O411,'Data Angt'!$A$5:$C$5809,3,FALSE)</f>
        <v>BWI</v>
      </c>
    </row>
    <row r="412" spans="1:20" x14ac:dyDescent="0.3">
      <c r="A412" s="37">
        <v>77923</v>
      </c>
      <c r="B412" s="38">
        <v>406</v>
      </c>
      <c r="C412" s="39" t="s">
        <v>2607</v>
      </c>
      <c r="D412" s="10" t="str">
        <f>VLOOKUP(C412,'Data Angt'!$A$5:$B$5809,2,FALSE)</f>
        <v>A1091</v>
      </c>
      <c r="E412" s="40" t="s">
        <v>11735</v>
      </c>
      <c r="F412" s="41">
        <v>41706</v>
      </c>
      <c r="G412" s="38">
        <v>1</v>
      </c>
      <c r="H412" s="40">
        <v>0</v>
      </c>
      <c r="I412" s="38">
        <v>4</v>
      </c>
      <c r="J412" s="41">
        <v>41854</v>
      </c>
      <c r="K412" s="38" t="s">
        <v>10768</v>
      </c>
      <c r="L412" s="42">
        <v>20000000</v>
      </c>
      <c r="O412" s="151" t="s">
        <v>13598</v>
      </c>
      <c r="P412" s="5" t="str">
        <f t="shared" si="12"/>
        <v>A4862</v>
      </c>
      <c r="Q412" s="5">
        <f t="shared" si="13"/>
        <v>1</v>
      </c>
      <c r="R412">
        <f>VLOOKUP(O412,'Data Angt'!$A$5:$F$5810,6,FALSE)</f>
        <v>22</v>
      </c>
      <c r="S412" s="5" t="str">
        <f>VLOOKUP(O412,'Data Angt'!$A$5:$H$5810,8,FALSE)</f>
        <v>Karyawan</v>
      </c>
      <c r="T412" s="44" t="str">
        <f>VLOOKUP(O412,'Data Angt'!$A$5:$C$5809,3,FALSE)</f>
        <v>PBL</v>
      </c>
    </row>
    <row r="413" spans="1:20" x14ac:dyDescent="0.3">
      <c r="A413" s="37">
        <v>78586</v>
      </c>
      <c r="B413" s="38">
        <v>407</v>
      </c>
      <c r="C413" s="39" t="s">
        <v>12226</v>
      </c>
      <c r="D413" s="10" t="str">
        <f>VLOOKUP(C413,'Data Angt'!$A$5:$B$5809,2,FALSE)</f>
        <v>A1125</v>
      </c>
      <c r="E413" s="40" t="s">
        <v>11730</v>
      </c>
      <c r="F413" s="41">
        <v>40781</v>
      </c>
      <c r="G413" s="38">
        <v>1</v>
      </c>
      <c r="H413" s="40">
        <v>0</v>
      </c>
      <c r="I413" s="38">
        <v>4</v>
      </c>
      <c r="J413" s="41">
        <v>40781</v>
      </c>
      <c r="K413" s="38" t="s">
        <v>10768</v>
      </c>
      <c r="L413" s="42">
        <v>22000000</v>
      </c>
      <c r="O413" s="151" t="s">
        <v>13623</v>
      </c>
      <c r="P413" s="5" t="str">
        <f t="shared" si="12"/>
        <v>A4872</v>
      </c>
      <c r="Q413" s="5">
        <f t="shared" si="13"/>
        <v>5</v>
      </c>
      <c r="R413">
        <f>VLOOKUP(O413,'Data Angt'!$A$5:$F$5810,6,FALSE)</f>
        <v>32</v>
      </c>
      <c r="S413" s="5" t="str">
        <f>VLOOKUP(O413,'Data Angt'!$A$5:$H$5810,8,FALSE)</f>
        <v>Aparatur/Pejabat Negara</v>
      </c>
      <c r="T413" s="44" t="str">
        <f>VLOOKUP(O413,'Data Angt'!$A$5:$C$5809,3,FALSE)</f>
        <v>PBL</v>
      </c>
    </row>
    <row r="414" spans="1:20" x14ac:dyDescent="0.3">
      <c r="A414" s="37">
        <v>78589</v>
      </c>
      <c r="B414" s="38">
        <v>408</v>
      </c>
      <c r="C414" s="39" t="s">
        <v>12226</v>
      </c>
      <c r="D414" s="10" t="str">
        <f>VLOOKUP(C414,'Data Angt'!$A$5:$B$5809,2,FALSE)</f>
        <v>A1125</v>
      </c>
      <c r="E414" s="40" t="s">
        <v>11729</v>
      </c>
      <c r="F414" s="41">
        <v>41135</v>
      </c>
      <c r="G414" s="38">
        <v>1</v>
      </c>
      <c r="H414" s="40">
        <v>0</v>
      </c>
      <c r="I414" s="38">
        <v>4</v>
      </c>
      <c r="J414" s="41">
        <v>41135</v>
      </c>
      <c r="K414" s="38" t="s">
        <v>10768</v>
      </c>
      <c r="L414" s="42">
        <v>12000000</v>
      </c>
      <c r="O414" s="151" t="s">
        <v>13684</v>
      </c>
      <c r="P414" s="5" t="str">
        <f t="shared" si="12"/>
        <v>A4898</v>
      </c>
      <c r="Q414" s="5">
        <f t="shared" si="13"/>
        <v>2</v>
      </c>
      <c r="R414">
        <f>VLOOKUP(O414,'Data Angt'!$A$5:$F$5810,6,FALSE)</f>
        <v>62</v>
      </c>
      <c r="S414" s="5" t="str">
        <f>VLOOKUP(O414,'Data Angt'!$A$5:$H$5810,8,FALSE)</f>
        <v>Wiraswasta</v>
      </c>
      <c r="T414" s="44" t="str">
        <f>VLOOKUP(O414,'Data Angt'!$A$5:$C$5809,3,FALSE)</f>
        <v>PBL</v>
      </c>
    </row>
    <row r="415" spans="1:20" x14ac:dyDescent="0.3">
      <c r="A415" s="37">
        <v>78590</v>
      </c>
      <c r="B415" s="38">
        <v>409</v>
      </c>
      <c r="C415" s="39" t="s">
        <v>12226</v>
      </c>
      <c r="D415" s="10" t="str">
        <f>VLOOKUP(C415,'Data Angt'!$A$5:$B$5809,2,FALSE)</f>
        <v>A1125</v>
      </c>
      <c r="E415" s="40" t="s">
        <v>11728</v>
      </c>
      <c r="F415" s="41">
        <v>41147</v>
      </c>
      <c r="G415" s="38">
        <v>1</v>
      </c>
      <c r="H415" s="40">
        <v>0</v>
      </c>
      <c r="I415" s="38">
        <v>4</v>
      </c>
      <c r="J415" s="41">
        <v>41147</v>
      </c>
      <c r="K415" s="38" t="s">
        <v>10768</v>
      </c>
      <c r="L415" s="42">
        <v>12000000</v>
      </c>
      <c r="O415" s="151" t="s">
        <v>13733</v>
      </c>
      <c r="P415" s="5" t="str">
        <f t="shared" si="12"/>
        <v>A4922</v>
      </c>
      <c r="Q415" s="5">
        <f t="shared" si="13"/>
        <v>3</v>
      </c>
      <c r="R415">
        <f>VLOOKUP(O415,'Data Angt'!$A$5:$F$5810,6,FALSE)</f>
        <v>61</v>
      </c>
      <c r="S415" s="5" t="str">
        <f>VLOOKUP(O415,'Data Angt'!$A$5:$H$5810,8,FALSE)</f>
        <v>Wiraswasta</v>
      </c>
      <c r="T415" s="44" t="str">
        <f>VLOOKUP(O415,'Data Angt'!$A$5:$C$5809,3,FALSE)</f>
        <v>PBL</v>
      </c>
    </row>
    <row r="416" spans="1:20" x14ac:dyDescent="0.3">
      <c r="A416" s="37">
        <v>78601</v>
      </c>
      <c r="B416" s="38">
        <v>410</v>
      </c>
      <c r="C416" s="39" t="s">
        <v>12226</v>
      </c>
      <c r="D416" s="10" t="str">
        <f>VLOOKUP(C416,'Data Angt'!$A$5:$B$5809,2,FALSE)</f>
        <v>A1125</v>
      </c>
      <c r="E416" s="40" t="s">
        <v>11733</v>
      </c>
      <c r="F416" s="41">
        <v>41835</v>
      </c>
      <c r="G416" s="38">
        <v>1</v>
      </c>
      <c r="H416" s="40">
        <v>0</v>
      </c>
      <c r="I416" s="38">
        <v>4</v>
      </c>
      <c r="J416" s="41">
        <v>41835</v>
      </c>
      <c r="K416" s="38" t="s">
        <v>10768</v>
      </c>
      <c r="L416" s="42">
        <v>14000000</v>
      </c>
      <c r="O416" s="151" t="s">
        <v>13744</v>
      </c>
      <c r="P416" s="5" t="str">
        <f t="shared" si="12"/>
        <v>A4926</v>
      </c>
      <c r="Q416" s="5">
        <f t="shared" si="13"/>
        <v>1</v>
      </c>
      <c r="R416">
        <f>VLOOKUP(O416,'Data Angt'!$A$5:$F$5810,6,FALSE)</f>
        <v>67</v>
      </c>
      <c r="S416" s="5" t="str">
        <f>VLOOKUP(O416,'Data Angt'!$A$5:$H$5810,8,FALSE)</f>
        <v>Wiraswasta</v>
      </c>
      <c r="T416" s="44" t="str">
        <f>VLOOKUP(O416,'Data Angt'!$A$5:$C$5809,3,FALSE)</f>
        <v>PBL</v>
      </c>
    </row>
    <row r="417" spans="1:20" x14ac:dyDescent="0.3">
      <c r="A417" s="37">
        <v>93713</v>
      </c>
      <c r="B417" s="38">
        <v>411</v>
      </c>
      <c r="C417" s="39" t="s">
        <v>12226</v>
      </c>
      <c r="D417" s="10" t="str">
        <f>VLOOKUP(C417,'Data Angt'!$A$5:$B$5809,2,FALSE)</f>
        <v>A1125</v>
      </c>
      <c r="E417" s="40" t="s">
        <v>11732</v>
      </c>
      <c r="F417" s="41">
        <v>43502</v>
      </c>
      <c r="G417" s="38">
        <v>1</v>
      </c>
      <c r="H417" s="40">
        <v>0</v>
      </c>
      <c r="I417" s="38">
        <v>4</v>
      </c>
      <c r="J417" s="41">
        <v>43502</v>
      </c>
      <c r="K417" s="38" t="s">
        <v>10768</v>
      </c>
      <c r="L417" s="42">
        <v>35000000</v>
      </c>
      <c r="O417" s="151" t="s">
        <v>13763</v>
      </c>
      <c r="P417" s="5" t="str">
        <f t="shared" si="12"/>
        <v>A4933</v>
      </c>
      <c r="Q417" s="5">
        <f t="shared" si="13"/>
        <v>1</v>
      </c>
      <c r="R417">
        <f>VLOOKUP(O417,'Data Angt'!$A$5:$F$5810,6,FALSE)</f>
        <v>41</v>
      </c>
      <c r="S417" s="5" t="str">
        <f>VLOOKUP(O417,'Data Angt'!$A$5:$H$5810,8,FALSE)</f>
        <v>Karyawan</v>
      </c>
      <c r="T417" s="44" t="str">
        <f>VLOOKUP(O417,'Data Angt'!$A$5:$C$5809,3,FALSE)</f>
        <v>PBL</v>
      </c>
    </row>
    <row r="418" spans="1:20" x14ac:dyDescent="0.3">
      <c r="A418" s="37">
        <v>93714</v>
      </c>
      <c r="B418" s="38">
        <v>412</v>
      </c>
      <c r="C418" s="39" t="s">
        <v>12226</v>
      </c>
      <c r="D418" s="10" t="str">
        <f>VLOOKUP(C418,'Data Angt'!$A$5:$B$5809,2,FALSE)</f>
        <v>A1125</v>
      </c>
      <c r="E418" s="40" t="s">
        <v>11731</v>
      </c>
      <c r="F418" s="41">
        <v>43502</v>
      </c>
      <c r="G418" s="38">
        <v>1</v>
      </c>
      <c r="H418" s="40">
        <v>0</v>
      </c>
      <c r="I418" s="38">
        <v>4</v>
      </c>
      <c r="J418" s="41">
        <v>43502</v>
      </c>
      <c r="K418" s="38" t="s">
        <v>10768</v>
      </c>
      <c r="L418" s="42">
        <v>35000000</v>
      </c>
      <c r="O418" s="151" t="s">
        <v>13831</v>
      </c>
      <c r="P418" s="5" t="str">
        <f t="shared" si="12"/>
        <v>A4969</v>
      </c>
      <c r="Q418" s="5">
        <f t="shared" si="13"/>
        <v>1</v>
      </c>
      <c r="R418">
        <f>VLOOKUP(O418,'Data Angt'!$A$5:$F$5810,6,FALSE)</f>
        <v>24</v>
      </c>
      <c r="S418" s="5" t="str">
        <f>VLOOKUP(O418,'Data Angt'!$A$5:$H$5810,8,FALSE)</f>
        <v>Karyawan</v>
      </c>
      <c r="T418" s="44" t="str">
        <f>VLOOKUP(O418,'Data Angt'!$A$5:$C$5809,3,FALSE)</f>
        <v>PBL</v>
      </c>
    </row>
    <row r="419" spans="1:20" x14ac:dyDescent="0.3">
      <c r="A419" s="37">
        <v>131698</v>
      </c>
      <c r="B419" s="38">
        <v>413</v>
      </c>
      <c r="C419" s="39" t="s">
        <v>2731</v>
      </c>
      <c r="D419" s="10" t="str">
        <f>VLOOKUP(C419,'Data Angt'!$A$5:$B$5809,2,FALSE)</f>
        <v>A1145</v>
      </c>
      <c r="E419" s="40" t="s">
        <v>11727</v>
      </c>
      <c r="F419" s="41">
        <v>44599</v>
      </c>
      <c r="G419" s="38">
        <v>1</v>
      </c>
      <c r="H419" s="40">
        <v>0</v>
      </c>
      <c r="I419" s="38">
        <v>4</v>
      </c>
      <c r="J419" s="41">
        <v>44599</v>
      </c>
      <c r="K419" s="38" t="s">
        <v>10768</v>
      </c>
      <c r="L419" s="42">
        <v>3000000</v>
      </c>
      <c r="O419" s="151" t="s">
        <v>13886</v>
      </c>
      <c r="P419" s="5" t="str">
        <f t="shared" si="12"/>
        <v>A4994</v>
      </c>
      <c r="Q419" s="5">
        <f t="shared" si="13"/>
        <v>1</v>
      </c>
      <c r="R419">
        <f>VLOOKUP(O419,'Data Angt'!$A$5:$F$5810,6,FALSE)</f>
        <v>28</v>
      </c>
      <c r="S419" s="5" t="str">
        <f>VLOOKUP(O419,'Data Angt'!$A$5:$H$5810,8,FALSE)</f>
        <v>Tenaga Medis</v>
      </c>
      <c r="T419" s="44" t="str">
        <f>VLOOKUP(O419,'Data Angt'!$A$5:$C$5809,3,FALSE)</f>
        <v>MGL</v>
      </c>
    </row>
    <row r="420" spans="1:20" x14ac:dyDescent="0.3">
      <c r="A420" s="37">
        <v>144364</v>
      </c>
      <c r="B420" s="38">
        <v>414</v>
      </c>
      <c r="C420" s="39" t="s">
        <v>2731</v>
      </c>
      <c r="D420" s="10" t="str">
        <f>VLOOKUP(C420,'Data Angt'!$A$5:$B$5809,2,FALSE)</f>
        <v>A1145</v>
      </c>
      <c r="E420" s="40" t="s">
        <v>18088</v>
      </c>
      <c r="F420" s="41">
        <v>45402</v>
      </c>
      <c r="G420" s="38">
        <v>1</v>
      </c>
      <c r="H420" s="40">
        <v>0</v>
      </c>
      <c r="I420" s="38">
        <v>4</v>
      </c>
      <c r="J420" s="41">
        <v>45402</v>
      </c>
      <c r="K420" s="38" t="s">
        <v>10768</v>
      </c>
      <c r="L420" s="42">
        <v>12000000</v>
      </c>
      <c r="O420" s="151" t="s">
        <v>13929</v>
      </c>
      <c r="P420" s="5" t="str">
        <f t="shared" si="12"/>
        <v>A5012</v>
      </c>
      <c r="Q420" s="5">
        <f t="shared" si="13"/>
        <v>2</v>
      </c>
      <c r="R420">
        <f>VLOOKUP(O420,'Data Angt'!$A$5:$F$5810,6,FALSE)</f>
        <v>45</v>
      </c>
      <c r="S420" s="5" t="str">
        <f>VLOOKUP(O420,'Data Angt'!$A$5:$H$5810,8,FALSE)</f>
        <v>Tenaga Ahli</v>
      </c>
      <c r="T420" s="44" t="str">
        <f>VLOOKUP(O420,'Data Angt'!$A$5:$C$5809,3,FALSE)</f>
        <v>PBL</v>
      </c>
    </row>
    <row r="421" spans="1:20" x14ac:dyDescent="0.3">
      <c r="A421" s="37">
        <v>157809</v>
      </c>
      <c r="B421" s="38">
        <v>415</v>
      </c>
      <c r="C421" s="39" t="s">
        <v>2761</v>
      </c>
      <c r="D421" s="10" t="str">
        <f>VLOOKUP(C421,'Data Angt'!$A$5:$B$5809,2,FALSE)</f>
        <v>A1158</v>
      </c>
      <c r="E421" s="40" t="s">
        <v>24019</v>
      </c>
      <c r="F421" s="41">
        <v>45883</v>
      </c>
      <c r="G421" s="38">
        <v>1</v>
      </c>
      <c r="H421" s="40">
        <v>0</v>
      </c>
      <c r="I421" s="38">
        <v>4</v>
      </c>
      <c r="J421" s="41">
        <v>45883</v>
      </c>
      <c r="K421" s="38" t="s">
        <v>10768</v>
      </c>
      <c r="L421" s="42">
        <v>20000000</v>
      </c>
      <c r="O421" s="151" t="s">
        <v>13965</v>
      </c>
      <c r="P421" s="5" t="str">
        <f t="shared" si="12"/>
        <v>A5028</v>
      </c>
      <c r="Q421" s="5">
        <f t="shared" si="13"/>
        <v>1</v>
      </c>
      <c r="R421">
        <f>VLOOKUP(O421,'Data Angt'!$A$5:$F$5810,6,FALSE)</f>
        <v>35</v>
      </c>
      <c r="S421" s="5" t="str">
        <f>VLOOKUP(O421,'Data Angt'!$A$5:$H$5810,8,FALSE)</f>
        <v>Karyawan</v>
      </c>
      <c r="T421" s="44" t="str">
        <f>VLOOKUP(O421,'Data Angt'!$A$5:$C$5809,3,FALSE)</f>
        <v>JBR</v>
      </c>
    </row>
    <row r="422" spans="1:20" x14ac:dyDescent="0.3">
      <c r="A422" s="37">
        <v>154114</v>
      </c>
      <c r="B422" s="38">
        <v>416</v>
      </c>
      <c r="C422" s="39" t="s">
        <v>2772</v>
      </c>
      <c r="D422" s="10" t="str">
        <f>VLOOKUP(C422,'Data Angt'!$A$5:$B$5809,2,FALSE)</f>
        <v>A1165</v>
      </c>
      <c r="E422" s="40" t="s">
        <v>18091</v>
      </c>
      <c r="F422" s="41">
        <v>45717</v>
      </c>
      <c r="G422" s="38">
        <v>1</v>
      </c>
      <c r="H422" s="40">
        <v>0</v>
      </c>
      <c r="I422" s="38">
        <v>4</v>
      </c>
      <c r="J422" s="41">
        <v>45717</v>
      </c>
      <c r="K422" s="38" t="s">
        <v>10768</v>
      </c>
      <c r="L422" s="42">
        <v>50000000</v>
      </c>
      <c r="O422" s="151" t="s">
        <v>13992</v>
      </c>
      <c r="P422" s="5" t="str">
        <f t="shared" si="12"/>
        <v>A5038</v>
      </c>
      <c r="Q422" s="5">
        <f t="shared" si="13"/>
        <v>1</v>
      </c>
      <c r="R422">
        <f>VLOOKUP(O422,'Data Angt'!$A$5:$F$5810,6,FALSE)</f>
        <v>21</v>
      </c>
      <c r="S422" s="5" t="str">
        <f>VLOOKUP(O422,'Data Angt'!$A$5:$H$5810,8,FALSE)</f>
        <v>Karyawan</v>
      </c>
      <c r="T422" s="44" t="str">
        <f>VLOOKUP(O422,'Data Angt'!$A$5:$C$5809,3,FALSE)</f>
        <v>BWI</v>
      </c>
    </row>
    <row r="423" spans="1:20" x14ac:dyDescent="0.3">
      <c r="A423" s="37">
        <v>154111</v>
      </c>
      <c r="B423" s="38">
        <v>417</v>
      </c>
      <c r="C423" s="39" t="s">
        <v>2772</v>
      </c>
      <c r="D423" s="10" t="str">
        <f>VLOOKUP(C423,'Data Angt'!$A$5:$B$5809,2,FALSE)</f>
        <v>A1165</v>
      </c>
      <c r="E423" s="40" t="s">
        <v>18089</v>
      </c>
      <c r="F423" s="41">
        <v>45717</v>
      </c>
      <c r="G423" s="38">
        <v>1</v>
      </c>
      <c r="H423" s="40">
        <v>0</v>
      </c>
      <c r="I423" s="38">
        <v>4</v>
      </c>
      <c r="J423" s="41">
        <v>45717</v>
      </c>
      <c r="K423" s="38" t="s">
        <v>10768</v>
      </c>
      <c r="L423" s="42">
        <v>50000000</v>
      </c>
      <c r="O423" s="151" t="s">
        <v>14006</v>
      </c>
      <c r="P423" s="5" t="str">
        <f t="shared" si="12"/>
        <v>A5044</v>
      </c>
      <c r="Q423" s="5">
        <f t="shared" si="13"/>
        <v>1</v>
      </c>
      <c r="R423">
        <f>VLOOKUP(O423,'Data Angt'!$A$5:$F$5810,6,FALSE)</f>
        <v>70</v>
      </c>
      <c r="S423" s="5" t="str">
        <f>VLOOKUP(O423,'Data Angt'!$A$5:$H$5810,8,FALSE)</f>
        <v>Pensiunan</v>
      </c>
      <c r="T423" s="44" t="str">
        <f>VLOOKUP(O423,'Data Angt'!$A$5:$C$5809,3,FALSE)</f>
        <v>MGL</v>
      </c>
    </row>
    <row r="424" spans="1:20" x14ac:dyDescent="0.3">
      <c r="A424" s="37">
        <v>154113</v>
      </c>
      <c r="B424" s="38">
        <v>418</v>
      </c>
      <c r="C424" s="39" t="s">
        <v>2772</v>
      </c>
      <c r="D424" s="10" t="str">
        <f>VLOOKUP(C424,'Data Angt'!$A$5:$B$5809,2,FALSE)</f>
        <v>A1165</v>
      </c>
      <c r="E424" s="40" t="s">
        <v>18090</v>
      </c>
      <c r="F424" s="41">
        <v>45717</v>
      </c>
      <c r="G424" s="38">
        <v>1</v>
      </c>
      <c r="H424" s="40">
        <v>0</v>
      </c>
      <c r="I424" s="38">
        <v>4</v>
      </c>
      <c r="J424" s="41">
        <v>45717</v>
      </c>
      <c r="K424" s="38" t="s">
        <v>10768</v>
      </c>
      <c r="L424" s="42">
        <v>50000000</v>
      </c>
      <c r="O424" s="151" t="s">
        <v>14012</v>
      </c>
      <c r="P424" s="5" t="str">
        <f t="shared" si="12"/>
        <v>A5047</v>
      </c>
      <c r="Q424" s="5">
        <f t="shared" si="13"/>
        <v>3</v>
      </c>
      <c r="R424">
        <f>VLOOKUP(O424,'Data Angt'!$A$5:$F$5810,6,FALSE)</f>
        <v>33</v>
      </c>
      <c r="S424" s="5" t="str">
        <f>VLOOKUP(O424,'Data Angt'!$A$5:$H$5810,8,FALSE)</f>
        <v>Karyawan</v>
      </c>
      <c r="T424" s="44" t="str">
        <f>VLOOKUP(O424,'Data Angt'!$A$5:$C$5809,3,FALSE)</f>
        <v>JBR</v>
      </c>
    </row>
    <row r="425" spans="1:20" x14ac:dyDescent="0.3">
      <c r="A425" s="37">
        <v>77899</v>
      </c>
      <c r="B425" s="38">
        <v>419</v>
      </c>
      <c r="C425" s="39" t="s">
        <v>2779</v>
      </c>
      <c r="D425" s="10" t="str">
        <f>VLOOKUP(C425,'Data Angt'!$A$5:$B$5809,2,FALSE)</f>
        <v>A1168</v>
      </c>
      <c r="E425" s="40" t="s">
        <v>11726</v>
      </c>
      <c r="F425" s="41">
        <v>41300</v>
      </c>
      <c r="G425" s="38">
        <v>1</v>
      </c>
      <c r="H425" s="40">
        <v>0</v>
      </c>
      <c r="I425" s="38">
        <v>4</v>
      </c>
      <c r="J425" s="41">
        <v>41300</v>
      </c>
      <c r="K425" s="38" t="s">
        <v>10768</v>
      </c>
      <c r="L425" s="42">
        <v>10000000</v>
      </c>
      <c r="O425" s="151" t="s">
        <v>14015</v>
      </c>
      <c r="P425" s="5" t="str">
        <f t="shared" si="12"/>
        <v>A5049</v>
      </c>
      <c r="Q425" s="5">
        <f t="shared" si="13"/>
        <v>3</v>
      </c>
      <c r="R425">
        <f>VLOOKUP(O425,'Data Angt'!$A$5:$F$5810,6,FALSE)</f>
        <v>39</v>
      </c>
      <c r="S425" s="5" t="str">
        <f>VLOOKUP(O425,'Data Angt'!$A$5:$H$5810,8,FALSE)</f>
        <v>Aparatur/Pejabat Negara</v>
      </c>
      <c r="T425" s="44" t="str">
        <f>VLOOKUP(O425,'Data Angt'!$A$5:$C$5809,3,FALSE)</f>
        <v>PBL</v>
      </c>
    </row>
    <row r="426" spans="1:20" x14ac:dyDescent="0.3">
      <c r="A426" s="37">
        <v>154913</v>
      </c>
      <c r="B426" s="38">
        <v>420</v>
      </c>
      <c r="C426" s="39" t="s">
        <v>2786</v>
      </c>
      <c r="D426" s="10" t="str">
        <f>VLOOKUP(C426,'Data Angt'!$A$5:$B$5809,2,FALSE)</f>
        <v>A1171</v>
      </c>
      <c r="E426" s="40" t="s">
        <v>18092</v>
      </c>
      <c r="F426" s="41">
        <v>45756</v>
      </c>
      <c r="G426" s="38">
        <v>1</v>
      </c>
      <c r="H426" s="40">
        <v>0</v>
      </c>
      <c r="I426" s="38">
        <v>4</v>
      </c>
      <c r="J426" s="41">
        <v>45756</v>
      </c>
      <c r="K426" s="38" t="s">
        <v>10768</v>
      </c>
      <c r="L426" s="42">
        <v>2500000</v>
      </c>
      <c r="O426" s="151" t="s">
        <v>14074</v>
      </c>
      <c r="P426" s="5" t="str">
        <f t="shared" si="12"/>
        <v>A5073</v>
      </c>
      <c r="Q426" s="5">
        <f t="shared" si="13"/>
        <v>2</v>
      </c>
      <c r="R426">
        <f>VLOOKUP(O426,'Data Angt'!$A$5:$F$5810,6,FALSE)</f>
        <v>22</v>
      </c>
      <c r="S426" s="5" t="str">
        <f>VLOOKUP(O426,'Data Angt'!$A$5:$H$5810,8,FALSE)</f>
        <v>Pelajar/Mahasiswa</v>
      </c>
      <c r="T426" s="44" t="str">
        <f>VLOOKUP(O426,'Data Angt'!$A$5:$C$5809,3,FALSE)</f>
        <v>PBL</v>
      </c>
    </row>
    <row r="427" spans="1:20" x14ac:dyDescent="0.3">
      <c r="A427" s="37">
        <v>151784</v>
      </c>
      <c r="B427" s="38">
        <v>421</v>
      </c>
      <c r="C427" s="39" t="s">
        <v>2800</v>
      </c>
      <c r="D427" s="10" t="str">
        <f>VLOOKUP(C427,'Data Angt'!$A$5:$B$5809,2,FALSE)</f>
        <v>A1177</v>
      </c>
      <c r="E427" s="40" t="s">
        <v>18093</v>
      </c>
      <c r="F427" s="41">
        <v>45663</v>
      </c>
      <c r="G427" s="38">
        <v>1</v>
      </c>
      <c r="H427" s="40">
        <v>0</v>
      </c>
      <c r="I427" s="38">
        <v>4</v>
      </c>
      <c r="J427" s="41">
        <v>45663</v>
      </c>
      <c r="K427" s="38" t="s">
        <v>10768</v>
      </c>
      <c r="L427" s="42">
        <v>10000000</v>
      </c>
      <c r="O427" s="151" t="s">
        <v>14088</v>
      </c>
      <c r="P427" s="5" t="str">
        <f t="shared" si="12"/>
        <v>A5079</v>
      </c>
      <c r="Q427" s="5">
        <f t="shared" si="13"/>
        <v>1</v>
      </c>
      <c r="R427">
        <f>VLOOKUP(O427,'Data Angt'!$A$5:$F$5810,6,FALSE)</f>
        <v>46</v>
      </c>
      <c r="S427" s="5" t="str">
        <f>VLOOKUP(O427,'Data Angt'!$A$5:$H$5810,8,FALSE)</f>
        <v>Wiraswasta</v>
      </c>
      <c r="T427" s="44" t="str">
        <f>VLOOKUP(O427,'Data Angt'!$A$5:$C$5809,3,FALSE)</f>
        <v>BWI</v>
      </c>
    </row>
    <row r="428" spans="1:20" x14ac:dyDescent="0.3">
      <c r="A428" s="37">
        <v>130639</v>
      </c>
      <c r="B428" s="38">
        <v>422</v>
      </c>
      <c r="C428" s="39" t="s">
        <v>2834</v>
      </c>
      <c r="D428" s="10" t="str">
        <f>VLOOKUP(C428,'Data Angt'!$A$5:$B$5809,2,FALSE)</f>
        <v>A1196</v>
      </c>
      <c r="E428" s="40" t="s">
        <v>11720</v>
      </c>
      <c r="F428" s="41">
        <v>44511</v>
      </c>
      <c r="G428" s="38">
        <v>1</v>
      </c>
      <c r="H428" s="40">
        <v>0</v>
      </c>
      <c r="I428" s="38">
        <v>4</v>
      </c>
      <c r="J428" s="41">
        <v>44511</v>
      </c>
      <c r="K428" s="38" t="s">
        <v>10768</v>
      </c>
      <c r="L428" s="42">
        <v>2000000</v>
      </c>
      <c r="O428" s="151" t="s">
        <v>14145</v>
      </c>
      <c r="P428" s="5" t="str">
        <f t="shared" si="12"/>
        <v>A5108</v>
      </c>
      <c r="Q428" s="5">
        <f t="shared" si="13"/>
        <v>1</v>
      </c>
      <c r="R428">
        <f>VLOOKUP(O428,'Data Angt'!$A$5:$F$5810,6,FALSE)</f>
        <v>44</v>
      </c>
      <c r="S428" s="5" t="str">
        <f>VLOOKUP(O428,'Data Angt'!$A$5:$H$5810,8,FALSE)</f>
        <v>Karyawan</v>
      </c>
      <c r="T428" s="44" t="str">
        <f>VLOOKUP(O428,'Data Angt'!$A$5:$C$5809,3,FALSE)</f>
        <v>MJK</v>
      </c>
    </row>
    <row r="429" spans="1:20" x14ac:dyDescent="0.3">
      <c r="A429" s="37">
        <v>133918</v>
      </c>
      <c r="B429" s="38">
        <v>423</v>
      </c>
      <c r="C429" s="39" t="s">
        <v>2834</v>
      </c>
      <c r="D429" s="10" t="str">
        <f>VLOOKUP(C429,'Data Angt'!$A$5:$B$5809,2,FALSE)</f>
        <v>A1196</v>
      </c>
      <c r="E429" s="40" t="s">
        <v>11719</v>
      </c>
      <c r="F429" s="41">
        <v>44778</v>
      </c>
      <c r="G429" s="38">
        <v>1</v>
      </c>
      <c r="H429" s="40">
        <v>0</v>
      </c>
      <c r="I429" s="38">
        <v>4</v>
      </c>
      <c r="J429" s="41">
        <v>44778</v>
      </c>
      <c r="K429" s="38" t="s">
        <v>10768</v>
      </c>
      <c r="L429" s="42">
        <v>2000000</v>
      </c>
      <c r="O429" s="151" t="s">
        <v>14246</v>
      </c>
      <c r="P429" s="5" t="str">
        <f t="shared" si="12"/>
        <v>A5156</v>
      </c>
      <c r="Q429" s="5">
        <f t="shared" si="13"/>
        <v>3</v>
      </c>
      <c r="R429">
        <f>VLOOKUP(O429,'Data Angt'!$A$5:$F$5810,6,FALSE)</f>
        <v>49</v>
      </c>
      <c r="S429" s="5" t="str">
        <f>VLOOKUP(O429,'Data Angt'!$A$5:$H$5810,8,FALSE)</f>
        <v>Mengurus Rumah Tangga</v>
      </c>
      <c r="T429" s="44" t="str">
        <f>VLOOKUP(O429,'Data Angt'!$A$5:$C$5809,3,FALSE)</f>
        <v>BWI</v>
      </c>
    </row>
    <row r="430" spans="1:20" x14ac:dyDescent="0.3">
      <c r="A430" s="37">
        <v>137300</v>
      </c>
      <c r="B430" s="38">
        <v>424</v>
      </c>
      <c r="C430" s="39" t="s">
        <v>2834</v>
      </c>
      <c r="D430" s="10" t="str">
        <f>VLOOKUP(C430,'Data Angt'!$A$5:$B$5809,2,FALSE)</f>
        <v>A1196</v>
      </c>
      <c r="E430" s="40" t="s">
        <v>11718</v>
      </c>
      <c r="F430" s="41">
        <v>45049</v>
      </c>
      <c r="G430" s="38">
        <v>1</v>
      </c>
      <c r="H430" s="40">
        <v>0</v>
      </c>
      <c r="I430" s="38">
        <v>4</v>
      </c>
      <c r="J430" s="41">
        <v>45049</v>
      </c>
      <c r="K430" s="38" t="s">
        <v>10768</v>
      </c>
      <c r="L430" s="42">
        <v>2000000</v>
      </c>
      <c r="O430" s="151" t="s">
        <v>14249</v>
      </c>
      <c r="P430" s="5" t="str">
        <f t="shared" si="12"/>
        <v>A5158</v>
      </c>
      <c r="Q430" s="5">
        <f t="shared" si="13"/>
        <v>1</v>
      </c>
      <c r="R430">
        <f>VLOOKUP(O430,'Data Angt'!$A$5:$F$5810,6,FALSE)</f>
        <v>35</v>
      </c>
      <c r="S430" s="5" t="str">
        <f>VLOOKUP(O430,'Data Angt'!$A$5:$H$5810,8,FALSE)</f>
        <v>Lain-Lain</v>
      </c>
      <c r="T430" s="44" t="str">
        <f>VLOOKUP(O430,'Data Angt'!$A$5:$C$5809,3,FALSE)</f>
        <v>BWI</v>
      </c>
    </row>
    <row r="431" spans="1:20" x14ac:dyDescent="0.3">
      <c r="A431" s="37">
        <v>78039</v>
      </c>
      <c r="B431" s="38">
        <v>425</v>
      </c>
      <c r="C431" s="39" t="s">
        <v>2834</v>
      </c>
      <c r="D431" s="10" t="str">
        <f>VLOOKUP(C431,'Data Angt'!$A$5:$B$5809,2,FALSE)</f>
        <v>A1196</v>
      </c>
      <c r="E431" s="40" t="s">
        <v>11717</v>
      </c>
      <c r="F431" s="41">
        <v>42601</v>
      </c>
      <c r="G431" s="38">
        <v>1</v>
      </c>
      <c r="H431" s="40">
        <v>0</v>
      </c>
      <c r="I431" s="38">
        <v>4</v>
      </c>
      <c r="J431" s="41">
        <v>42601</v>
      </c>
      <c r="K431" s="38" t="s">
        <v>10768</v>
      </c>
      <c r="L431" s="42">
        <v>5000000</v>
      </c>
      <c r="O431" s="151" t="s">
        <v>14368</v>
      </c>
      <c r="P431" s="5" t="str">
        <f t="shared" si="12"/>
        <v>A5180</v>
      </c>
      <c r="Q431" s="5">
        <f t="shared" si="13"/>
        <v>1</v>
      </c>
      <c r="R431">
        <f>VLOOKUP(O431,'Data Angt'!$A$5:$F$5810,6,FALSE)</f>
        <v>43</v>
      </c>
      <c r="S431" s="5" t="str">
        <f>VLOOKUP(O431,'Data Angt'!$A$5:$H$5810,8,FALSE)</f>
        <v>Karyawan</v>
      </c>
      <c r="T431" s="44" t="str">
        <f>VLOOKUP(O431,'Data Angt'!$A$5:$C$5809,3,FALSE)</f>
        <v>PBL</v>
      </c>
    </row>
    <row r="432" spans="1:20" x14ac:dyDescent="0.3">
      <c r="A432" s="37">
        <v>78070</v>
      </c>
      <c r="B432" s="38">
        <v>426</v>
      </c>
      <c r="C432" s="39" t="s">
        <v>2834</v>
      </c>
      <c r="D432" s="10" t="str">
        <f>VLOOKUP(C432,'Data Angt'!$A$5:$B$5809,2,FALSE)</f>
        <v>A1196</v>
      </c>
      <c r="E432" s="40" t="s">
        <v>11716</v>
      </c>
      <c r="F432" s="41">
        <v>42710</v>
      </c>
      <c r="G432" s="38">
        <v>1</v>
      </c>
      <c r="H432" s="40">
        <v>0</v>
      </c>
      <c r="I432" s="38">
        <v>4</v>
      </c>
      <c r="J432" s="41">
        <v>42533</v>
      </c>
      <c r="K432" s="38" t="s">
        <v>10768</v>
      </c>
      <c r="L432" s="42">
        <v>2000000</v>
      </c>
      <c r="O432" s="151" t="s">
        <v>14375</v>
      </c>
      <c r="P432" s="5" t="str">
        <f t="shared" si="12"/>
        <v>A5183</v>
      </c>
      <c r="Q432" s="5">
        <f t="shared" si="13"/>
        <v>2</v>
      </c>
      <c r="R432">
        <f>VLOOKUP(O432,'Data Angt'!$A$5:$F$5810,6,FALSE)</f>
        <v>43</v>
      </c>
      <c r="S432" s="5" t="str">
        <f>VLOOKUP(O432,'Data Angt'!$A$5:$H$5810,8,FALSE)</f>
        <v>Pemuka Agama</v>
      </c>
      <c r="T432" s="44" t="str">
        <f>VLOOKUP(O432,'Data Angt'!$A$5:$C$5809,3,FALSE)</f>
        <v>BWI</v>
      </c>
    </row>
    <row r="433" spans="1:20" x14ac:dyDescent="0.3">
      <c r="A433" s="37">
        <v>145533</v>
      </c>
      <c r="B433" s="38">
        <v>427</v>
      </c>
      <c r="C433" s="39" t="s">
        <v>2834</v>
      </c>
      <c r="D433" s="10" t="str">
        <f>VLOOKUP(C433,'Data Angt'!$A$5:$B$5809,2,FALSE)</f>
        <v>A1196</v>
      </c>
      <c r="E433" s="40" t="s">
        <v>18094</v>
      </c>
      <c r="F433" s="41">
        <v>45439</v>
      </c>
      <c r="G433" s="38">
        <v>1</v>
      </c>
      <c r="H433" s="40">
        <v>0</v>
      </c>
      <c r="I433" s="38">
        <v>4</v>
      </c>
      <c r="J433" s="41">
        <v>45439</v>
      </c>
      <c r="K433" s="38" t="s">
        <v>10768</v>
      </c>
      <c r="L433" s="42">
        <v>10000000</v>
      </c>
      <c r="O433" s="151" t="s">
        <v>14425</v>
      </c>
      <c r="P433" s="5" t="str">
        <f t="shared" si="12"/>
        <v>A5205</v>
      </c>
      <c r="Q433" s="5">
        <f t="shared" si="13"/>
        <v>7</v>
      </c>
      <c r="R433">
        <f>VLOOKUP(O433,'Data Angt'!$A$5:$F$5810,6,FALSE)</f>
        <v>52</v>
      </c>
      <c r="S433" s="5" t="str">
        <f>VLOOKUP(O433,'Data Angt'!$A$5:$H$5810,8,FALSE)</f>
        <v>Pemuka Agama</v>
      </c>
      <c r="T433" s="44" t="str">
        <f>VLOOKUP(O433,'Data Angt'!$A$5:$C$5809,3,FALSE)</f>
        <v>PBL</v>
      </c>
    </row>
    <row r="434" spans="1:20" x14ac:dyDescent="0.3">
      <c r="A434" s="37">
        <v>151805</v>
      </c>
      <c r="B434" s="38">
        <v>428</v>
      </c>
      <c r="C434" s="39" t="s">
        <v>2834</v>
      </c>
      <c r="D434" s="10" t="str">
        <f>VLOOKUP(C434,'Data Angt'!$A$5:$B$5809,2,FALSE)</f>
        <v>A1196</v>
      </c>
      <c r="E434" s="40" t="s">
        <v>18095</v>
      </c>
      <c r="F434" s="41">
        <v>45663</v>
      </c>
      <c r="G434" s="38">
        <v>1</v>
      </c>
      <c r="H434" s="40">
        <v>0</v>
      </c>
      <c r="I434" s="38">
        <v>4</v>
      </c>
      <c r="J434" s="41">
        <v>45663</v>
      </c>
      <c r="K434" s="38" t="s">
        <v>10768</v>
      </c>
      <c r="L434" s="42">
        <v>3000000</v>
      </c>
      <c r="O434" s="151" t="s">
        <v>14440</v>
      </c>
      <c r="P434" s="5" t="str">
        <f t="shared" si="12"/>
        <v>A5211</v>
      </c>
      <c r="Q434" s="5">
        <f t="shared" si="13"/>
        <v>4</v>
      </c>
      <c r="R434">
        <f>VLOOKUP(O434,'Data Angt'!$A$5:$F$5810,6,FALSE)</f>
        <v>54</v>
      </c>
      <c r="S434" s="5" t="str">
        <f>VLOOKUP(O434,'Data Angt'!$A$5:$H$5810,8,FALSE)</f>
        <v>Pemuka Agama</v>
      </c>
      <c r="T434" s="44" t="str">
        <f>VLOOKUP(O434,'Data Angt'!$A$5:$C$5809,3,FALSE)</f>
        <v>PBL</v>
      </c>
    </row>
    <row r="435" spans="1:20" x14ac:dyDescent="0.3">
      <c r="A435" s="37">
        <v>156764</v>
      </c>
      <c r="B435" s="38">
        <v>429</v>
      </c>
      <c r="C435" s="39" t="s">
        <v>2834</v>
      </c>
      <c r="D435" s="10" t="str">
        <f>VLOOKUP(C435,'Data Angt'!$A$5:$B$5809,2,FALSE)</f>
        <v>A1196</v>
      </c>
      <c r="E435" s="40" t="s">
        <v>24020</v>
      </c>
      <c r="F435" s="41">
        <v>45842</v>
      </c>
      <c r="G435" s="38">
        <v>1</v>
      </c>
      <c r="H435" s="40">
        <v>0</v>
      </c>
      <c r="I435" s="38">
        <v>4</v>
      </c>
      <c r="J435" s="41">
        <v>45842</v>
      </c>
      <c r="K435" s="38" t="s">
        <v>10768</v>
      </c>
      <c r="L435" s="42">
        <v>5000000</v>
      </c>
      <c r="O435" s="151" t="s">
        <v>14459</v>
      </c>
      <c r="P435" s="5" t="str">
        <f t="shared" si="12"/>
        <v>A5218</v>
      </c>
      <c r="Q435" s="5">
        <f t="shared" si="13"/>
        <v>4</v>
      </c>
      <c r="R435">
        <f>VLOOKUP(O435,'Data Angt'!$A$5:$F$5810,6,FALSE)</f>
        <v>41</v>
      </c>
      <c r="S435" s="5" t="str">
        <f>VLOOKUP(O435,'Data Angt'!$A$5:$H$5810,8,FALSE)</f>
        <v>Wiraswasta</v>
      </c>
      <c r="T435" s="44" t="str">
        <f>VLOOKUP(O435,'Data Angt'!$A$5:$C$5809,3,FALSE)</f>
        <v>PBL</v>
      </c>
    </row>
    <row r="436" spans="1:20" x14ac:dyDescent="0.3">
      <c r="A436" s="37">
        <v>78147</v>
      </c>
      <c r="B436" s="38">
        <v>430</v>
      </c>
      <c r="C436" s="39" t="s">
        <v>2834</v>
      </c>
      <c r="D436" s="10" t="str">
        <f>VLOOKUP(C436,'Data Angt'!$A$5:$B$5809,2,FALSE)</f>
        <v>A1196</v>
      </c>
      <c r="E436" s="40" t="s">
        <v>11715</v>
      </c>
      <c r="F436" s="41">
        <v>42879</v>
      </c>
      <c r="G436" s="38">
        <v>1</v>
      </c>
      <c r="H436" s="40">
        <v>0</v>
      </c>
      <c r="I436" s="38">
        <v>4</v>
      </c>
      <c r="J436" s="41">
        <v>42879</v>
      </c>
      <c r="K436" s="38" t="s">
        <v>10768</v>
      </c>
      <c r="L436" s="42">
        <v>4000000</v>
      </c>
      <c r="O436" s="151" t="s">
        <v>14476</v>
      </c>
      <c r="P436" s="5" t="str">
        <f t="shared" si="12"/>
        <v>A5226</v>
      </c>
      <c r="Q436" s="5">
        <f t="shared" si="13"/>
        <v>1</v>
      </c>
      <c r="R436">
        <f>VLOOKUP(O436,'Data Angt'!$A$5:$F$5810,6,FALSE)</f>
        <v>58</v>
      </c>
      <c r="S436" s="5" t="str">
        <f>VLOOKUP(O436,'Data Angt'!$A$5:$H$5810,8,FALSE)</f>
        <v>Mengurus Rumah Tangga</v>
      </c>
      <c r="T436" s="44" t="str">
        <f>VLOOKUP(O436,'Data Angt'!$A$5:$C$5809,3,FALSE)</f>
        <v>PBL</v>
      </c>
    </row>
    <row r="437" spans="1:20" x14ac:dyDescent="0.3">
      <c r="A437" s="37">
        <v>78190</v>
      </c>
      <c r="B437" s="38">
        <v>431</v>
      </c>
      <c r="C437" s="39" t="s">
        <v>2834</v>
      </c>
      <c r="D437" s="10" t="str">
        <f>VLOOKUP(C437,'Data Angt'!$A$5:$B$5809,2,FALSE)</f>
        <v>A1196</v>
      </c>
      <c r="E437" s="40" t="s">
        <v>11724</v>
      </c>
      <c r="F437" s="41">
        <v>42949</v>
      </c>
      <c r="G437" s="38">
        <v>1</v>
      </c>
      <c r="H437" s="40">
        <v>0</v>
      </c>
      <c r="I437" s="38">
        <v>4</v>
      </c>
      <c r="J437" s="41">
        <v>42774</v>
      </c>
      <c r="K437" s="38" t="s">
        <v>10768</v>
      </c>
      <c r="L437" s="42">
        <v>4500000</v>
      </c>
      <c r="O437" s="151" t="s">
        <v>14753</v>
      </c>
      <c r="P437" s="5" t="str">
        <f t="shared" si="12"/>
        <v>A5344</v>
      </c>
      <c r="Q437" s="5">
        <f t="shared" si="13"/>
        <v>2</v>
      </c>
      <c r="R437">
        <f>VLOOKUP(O437,'Data Angt'!$A$5:$F$5810,6,FALSE)</f>
        <v>39</v>
      </c>
      <c r="S437" s="5" t="str">
        <f>VLOOKUP(O437,'Data Angt'!$A$5:$H$5810,8,FALSE)</f>
        <v>Tenaga Pengajar</v>
      </c>
      <c r="T437" s="44" t="str">
        <f>VLOOKUP(O437,'Data Angt'!$A$5:$C$5809,3,FALSE)</f>
        <v>JBR</v>
      </c>
    </row>
    <row r="438" spans="1:20" x14ac:dyDescent="0.3">
      <c r="A438" s="37">
        <v>119093</v>
      </c>
      <c r="B438" s="38">
        <v>432</v>
      </c>
      <c r="C438" s="39" t="s">
        <v>2834</v>
      </c>
      <c r="D438" s="10" t="str">
        <f>VLOOKUP(C438,'Data Angt'!$A$5:$B$5809,2,FALSE)</f>
        <v>A1196</v>
      </c>
      <c r="E438" s="40" t="s">
        <v>11723</v>
      </c>
      <c r="F438" s="41">
        <v>43812</v>
      </c>
      <c r="G438" s="38">
        <v>1</v>
      </c>
      <c r="H438" s="40">
        <v>0</v>
      </c>
      <c r="I438" s="38">
        <v>4</v>
      </c>
      <c r="J438" s="41">
        <v>43812</v>
      </c>
      <c r="K438" s="38" t="s">
        <v>10768</v>
      </c>
      <c r="L438" s="42">
        <v>10000000</v>
      </c>
      <c r="O438" s="151" t="s">
        <v>14762</v>
      </c>
      <c r="P438" s="5" t="str">
        <f t="shared" si="12"/>
        <v>A5349</v>
      </c>
      <c r="Q438" s="5">
        <f t="shared" si="13"/>
        <v>2</v>
      </c>
      <c r="R438">
        <f>VLOOKUP(O438,'Data Angt'!$A$5:$F$5810,6,FALSE)</f>
        <v>21</v>
      </c>
      <c r="S438" s="5" t="str">
        <f>VLOOKUP(O438,'Data Angt'!$A$5:$H$5810,8,FALSE)</f>
        <v>Pelajar/Mahasiswa</v>
      </c>
      <c r="T438" s="44" t="str">
        <f>VLOOKUP(O438,'Data Angt'!$A$5:$C$5809,3,FALSE)</f>
        <v>PBL</v>
      </c>
    </row>
    <row r="439" spans="1:20" x14ac:dyDescent="0.3">
      <c r="A439" s="37">
        <v>119492</v>
      </c>
      <c r="B439" s="38">
        <v>433</v>
      </c>
      <c r="C439" s="39" t="s">
        <v>2834</v>
      </c>
      <c r="D439" s="10" t="str">
        <f>VLOOKUP(C439,'Data Angt'!$A$5:$B$5809,2,FALSE)</f>
        <v>A1196</v>
      </c>
      <c r="E439" s="40" t="s">
        <v>11722</v>
      </c>
      <c r="F439" s="41">
        <v>43839</v>
      </c>
      <c r="G439" s="38">
        <v>1</v>
      </c>
      <c r="H439" s="40">
        <v>0</v>
      </c>
      <c r="I439" s="38">
        <v>4</v>
      </c>
      <c r="J439" s="41">
        <v>43839</v>
      </c>
      <c r="K439" s="38" t="s">
        <v>10768</v>
      </c>
      <c r="L439" s="42">
        <v>2000000</v>
      </c>
      <c r="O439" s="151" t="s">
        <v>14871</v>
      </c>
      <c r="P439" s="5" t="str">
        <f t="shared" si="12"/>
        <v>A5400</v>
      </c>
      <c r="Q439" s="5">
        <f t="shared" si="13"/>
        <v>1</v>
      </c>
      <c r="R439">
        <f>VLOOKUP(O439,'Data Angt'!$A$5:$F$5810,6,FALSE)</f>
        <v>29</v>
      </c>
      <c r="S439" s="5" t="str">
        <f>VLOOKUP(O439,'Data Angt'!$A$5:$H$5810,8,FALSE)</f>
        <v>Wiraswasta</v>
      </c>
      <c r="T439" s="44" t="str">
        <f>VLOOKUP(O439,'Data Angt'!$A$5:$C$5809,3,FALSE)</f>
        <v>KRK</v>
      </c>
    </row>
    <row r="440" spans="1:20" x14ac:dyDescent="0.3">
      <c r="A440" s="37">
        <v>128458</v>
      </c>
      <c r="B440" s="38">
        <v>434</v>
      </c>
      <c r="C440" s="39" t="s">
        <v>2834</v>
      </c>
      <c r="D440" s="10" t="str">
        <f>VLOOKUP(C440,'Data Angt'!$A$5:$B$5809,2,FALSE)</f>
        <v>A1196</v>
      </c>
      <c r="E440" s="40" t="s">
        <v>11721</v>
      </c>
      <c r="F440" s="41">
        <v>44350</v>
      </c>
      <c r="G440" s="38">
        <v>1</v>
      </c>
      <c r="H440" s="40">
        <v>0</v>
      </c>
      <c r="I440" s="38">
        <v>4</v>
      </c>
      <c r="J440" s="41">
        <v>44350</v>
      </c>
      <c r="K440" s="38" t="s">
        <v>10768</v>
      </c>
      <c r="L440" s="42">
        <v>3500000</v>
      </c>
      <c r="O440" s="151" t="s">
        <v>14876</v>
      </c>
      <c r="P440" s="5" t="str">
        <f t="shared" si="12"/>
        <v>A5402</v>
      </c>
      <c r="Q440" s="5">
        <f t="shared" si="13"/>
        <v>3</v>
      </c>
      <c r="R440">
        <f>VLOOKUP(O440,'Data Angt'!$A$5:$F$5810,6,FALSE)</f>
        <v>53</v>
      </c>
      <c r="S440" s="5" t="str">
        <f>VLOOKUP(O440,'Data Angt'!$A$5:$H$5810,8,FALSE)</f>
        <v>Wiraswasta</v>
      </c>
      <c r="T440" s="44" t="str">
        <f>VLOOKUP(O440,'Data Angt'!$A$5:$C$5809,3,FALSE)</f>
        <v>BWI</v>
      </c>
    </row>
    <row r="441" spans="1:20" x14ac:dyDescent="0.3">
      <c r="A441" s="37">
        <v>134509</v>
      </c>
      <c r="B441" s="38">
        <v>435</v>
      </c>
      <c r="C441" s="39" t="s">
        <v>2840</v>
      </c>
      <c r="D441" s="10" t="str">
        <f>VLOOKUP(C441,'Data Angt'!$A$5:$B$5809,2,FALSE)</f>
        <v>A1199</v>
      </c>
      <c r="E441" s="40" t="s">
        <v>11707</v>
      </c>
      <c r="F441" s="41">
        <v>44813</v>
      </c>
      <c r="G441" s="38">
        <v>1</v>
      </c>
      <c r="H441" s="40">
        <v>0</v>
      </c>
      <c r="I441" s="38">
        <v>4</v>
      </c>
      <c r="J441" s="41">
        <v>44813</v>
      </c>
      <c r="K441" s="38" t="s">
        <v>10768</v>
      </c>
      <c r="L441" s="42">
        <v>3000000</v>
      </c>
      <c r="O441" s="151" t="s">
        <v>14940</v>
      </c>
      <c r="P441" s="5" t="str">
        <f t="shared" si="12"/>
        <v>A5430</v>
      </c>
      <c r="Q441" s="5">
        <f t="shared" si="13"/>
        <v>1</v>
      </c>
      <c r="R441">
        <f>VLOOKUP(O441,'Data Angt'!$A$5:$F$5810,6,FALSE)</f>
        <v>42</v>
      </c>
      <c r="S441" s="5" t="str">
        <f>VLOOKUP(O441,'Data Angt'!$A$5:$H$5810,8,FALSE)</f>
        <v>Karyawan</v>
      </c>
      <c r="T441" s="44" t="str">
        <f>VLOOKUP(O441,'Data Angt'!$A$5:$C$5809,3,FALSE)</f>
        <v>PBL</v>
      </c>
    </row>
    <row r="442" spans="1:20" x14ac:dyDescent="0.3">
      <c r="A442" s="37">
        <v>152967</v>
      </c>
      <c r="B442" s="38">
        <v>436</v>
      </c>
      <c r="C442" s="39" t="s">
        <v>2840</v>
      </c>
      <c r="D442" s="10" t="str">
        <f>VLOOKUP(C442,'Data Angt'!$A$5:$B$5809,2,FALSE)</f>
        <v>A1199</v>
      </c>
      <c r="E442" s="40" t="s">
        <v>18101</v>
      </c>
      <c r="F442" s="41">
        <v>45696</v>
      </c>
      <c r="G442" s="38">
        <v>1</v>
      </c>
      <c r="H442" s="40">
        <v>0</v>
      </c>
      <c r="I442" s="38">
        <v>4</v>
      </c>
      <c r="J442" s="41">
        <v>45696</v>
      </c>
      <c r="K442" s="38" t="s">
        <v>10768</v>
      </c>
      <c r="L442" s="42">
        <v>7000000</v>
      </c>
      <c r="O442" s="151" t="s">
        <v>14963</v>
      </c>
      <c r="P442" s="5" t="str">
        <f t="shared" si="12"/>
        <v>A5442</v>
      </c>
      <c r="Q442" s="5">
        <f t="shared" si="13"/>
        <v>2</v>
      </c>
      <c r="R442">
        <f>VLOOKUP(O442,'Data Angt'!$A$5:$F$5810,6,FALSE)</f>
        <v>52</v>
      </c>
      <c r="S442" s="5" t="str">
        <f>VLOOKUP(O442,'Data Angt'!$A$5:$H$5810,8,FALSE)</f>
        <v>Karyawan</v>
      </c>
      <c r="T442" s="44" t="str">
        <f>VLOOKUP(O442,'Data Angt'!$A$5:$C$5809,3,FALSE)</f>
        <v>PBL</v>
      </c>
    </row>
    <row r="443" spans="1:20" x14ac:dyDescent="0.3">
      <c r="A443" s="37">
        <v>78016</v>
      </c>
      <c r="B443" s="38">
        <v>437</v>
      </c>
      <c r="C443" s="39" t="s">
        <v>2840</v>
      </c>
      <c r="D443" s="10" t="str">
        <f>VLOOKUP(C443,'Data Angt'!$A$5:$B$5809,2,FALSE)</f>
        <v>A1199</v>
      </c>
      <c r="E443" s="40" t="s">
        <v>11708</v>
      </c>
      <c r="F443" s="41">
        <v>42528</v>
      </c>
      <c r="G443" s="38">
        <v>1</v>
      </c>
      <c r="H443" s="40">
        <v>0</v>
      </c>
      <c r="I443" s="38">
        <v>4</v>
      </c>
      <c r="J443" s="41">
        <v>42557</v>
      </c>
      <c r="K443" s="38" t="s">
        <v>10768</v>
      </c>
      <c r="L443" s="42">
        <v>8000000</v>
      </c>
      <c r="O443" s="151" t="s">
        <v>14988</v>
      </c>
      <c r="P443" s="5" t="str">
        <f t="shared" si="12"/>
        <v>A5453</v>
      </c>
      <c r="Q443" s="5">
        <f t="shared" si="13"/>
        <v>2</v>
      </c>
      <c r="R443">
        <f>VLOOKUP(O443,'Data Angt'!$A$5:$F$5810,6,FALSE)</f>
        <v>36</v>
      </c>
      <c r="S443" s="5" t="str">
        <f>VLOOKUP(O443,'Data Angt'!$A$5:$H$5810,8,FALSE)</f>
        <v>Wiraswasta</v>
      </c>
      <c r="T443" s="44" t="str">
        <f>VLOOKUP(O443,'Data Angt'!$A$5:$C$5809,3,FALSE)</f>
        <v>PBL</v>
      </c>
    </row>
    <row r="444" spans="1:20" x14ac:dyDescent="0.3">
      <c r="A444" s="37">
        <v>134886</v>
      </c>
      <c r="B444" s="38">
        <v>438</v>
      </c>
      <c r="C444" s="39" t="s">
        <v>2840</v>
      </c>
      <c r="D444" s="10" t="str">
        <f>VLOOKUP(C444,'Data Angt'!$A$5:$B$5809,2,FALSE)</f>
        <v>A1199</v>
      </c>
      <c r="E444" s="40" t="s">
        <v>11706</v>
      </c>
      <c r="F444" s="41">
        <v>44845</v>
      </c>
      <c r="G444" s="38">
        <v>1</v>
      </c>
      <c r="H444" s="40">
        <v>0</v>
      </c>
      <c r="I444" s="38">
        <v>4</v>
      </c>
      <c r="J444" s="41">
        <v>44845</v>
      </c>
      <c r="K444" s="38" t="s">
        <v>10768</v>
      </c>
      <c r="L444" s="42">
        <v>3000000</v>
      </c>
      <c r="O444" s="151" t="s">
        <v>15070</v>
      </c>
      <c r="P444" s="5" t="str">
        <f t="shared" si="12"/>
        <v>A5491</v>
      </c>
      <c r="Q444" s="5">
        <f t="shared" si="13"/>
        <v>2</v>
      </c>
      <c r="R444">
        <f>VLOOKUP(O444,'Data Angt'!$A$5:$F$5810,6,FALSE)</f>
        <v>26</v>
      </c>
      <c r="S444" s="5" t="str">
        <f>VLOOKUP(O444,'Data Angt'!$A$5:$H$5810,8,FALSE)</f>
        <v>Wiraswasta</v>
      </c>
      <c r="T444" s="44" t="str">
        <f>VLOOKUP(O444,'Data Angt'!$A$5:$C$5809,3,FALSE)</f>
        <v>MJK</v>
      </c>
    </row>
    <row r="445" spans="1:20" x14ac:dyDescent="0.3">
      <c r="A445" s="37">
        <v>153666</v>
      </c>
      <c r="B445" s="38">
        <v>439</v>
      </c>
      <c r="C445" s="39" t="s">
        <v>2840</v>
      </c>
      <c r="D445" s="10" t="str">
        <f>VLOOKUP(C445,'Data Angt'!$A$5:$B$5809,2,FALSE)</f>
        <v>A1199</v>
      </c>
      <c r="E445" s="40" t="s">
        <v>18102</v>
      </c>
      <c r="F445" s="41">
        <v>45709</v>
      </c>
      <c r="G445" s="38">
        <v>1</v>
      </c>
      <c r="H445" s="40">
        <v>0</v>
      </c>
      <c r="I445" s="38">
        <v>4</v>
      </c>
      <c r="J445" s="41">
        <v>45709</v>
      </c>
      <c r="K445" s="38" t="s">
        <v>10768</v>
      </c>
      <c r="L445" s="42">
        <v>3000000</v>
      </c>
      <c r="O445" s="151" t="s">
        <v>15142</v>
      </c>
      <c r="P445" s="5" t="str">
        <f t="shared" si="12"/>
        <v>A5524</v>
      </c>
      <c r="Q445" s="5">
        <f t="shared" si="13"/>
        <v>1</v>
      </c>
      <c r="R445">
        <f>VLOOKUP(O445,'Data Angt'!$A$5:$F$5810,6,FALSE)</f>
        <v>43</v>
      </c>
      <c r="S445" s="5" t="str">
        <f>VLOOKUP(O445,'Data Angt'!$A$5:$H$5810,8,FALSE)</f>
        <v>Mengurus Rumah Tangga</v>
      </c>
      <c r="T445" s="44" t="str">
        <f>VLOOKUP(O445,'Data Angt'!$A$5:$C$5809,3,FALSE)</f>
        <v>JBR</v>
      </c>
    </row>
    <row r="446" spans="1:20" x14ac:dyDescent="0.3">
      <c r="A446" s="37">
        <v>135214</v>
      </c>
      <c r="B446" s="38">
        <v>440</v>
      </c>
      <c r="C446" s="39" t="s">
        <v>2840</v>
      </c>
      <c r="D446" s="10" t="str">
        <f>VLOOKUP(C446,'Data Angt'!$A$5:$B$5809,2,FALSE)</f>
        <v>A1199</v>
      </c>
      <c r="E446" s="40" t="s">
        <v>11705</v>
      </c>
      <c r="F446" s="41">
        <v>44876</v>
      </c>
      <c r="G446" s="38">
        <v>1</v>
      </c>
      <c r="H446" s="40">
        <v>0</v>
      </c>
      <c r="I446" s="38">
        <v>4</v>
      </c>
      <c r="J446" s="41">
        <v>44876</v>
      </c>
      <c r="K446" s="38" t="s">
        <v>10768</v>
      </c>
      <c r="L446" s="42">
        <v>3000000</v>
      </c>
      <c r="O446" s="151" t="s">
        <v>15176</v>
      </c>
      <c r="P446" s="5" t="str">
        <f t="shared" si="12"/>
        <v>A5539</v>
      </c>
      <c r="Q446" s="5">
        <f t="shared" si="13"/>
        <v>1</v>
      </c>
      <c r="R446">
        <f>VLOOKUP(O446,'Data Angt'!$A$5:$F$5810,6,FALSE)</f>
        <v>54</v>
      </c>
      <c r="S446" s="5" t="str">
        <f>VLOOKUP(O446,'Data Angt'!$A$5:$H$5810,8,FALSE)</f>
        <v>Wiraswasta</v>
      </c>
      <c r="T446" s="44" t="str">
        <f>VLOOKUP(O446,'Data Angt'!$A$5:$C$5809,3,FALSE)</f>
        <v>MJK</v>
      </c>
    </row>
    <row r="447" spans="1:20" x14ac:dyDescent="0.3">
      <c r="A447" s="37">
        <v>155929</v>
      </c>
      <c r="B447" s="38">
        <v>441</v>
      </c>
      <c r="C447" s="39" t="s">
        <v>2840</v>
      </c>
      <c r="D447" s="10" t="str">
        <f>VLOOKUP(C447,'Data Angt'!$A$5:$B$5809,2,FALSE)</f>
        <v>A1199</v>
      </c>
      <c r="E447" s="40" t="s">
        <v>18103</v>
      </c>
      <c r="F447" s="41">
        <v>45801</v>
      </c>
      <c r="G447" s="38">
        <v>1</v>
      </c>
      <c r="H447" s="40">
        <v>0</v>
      </c>
      <c r="I447" s="38">
        <v>4</v>
      </c>
      <c r="J447" s="41">
        <v>45801</v>
      </c>
      <c r="K447" s="38" t="s">
        <v>10768</v>
      </c>
      <c r="L447" s="42">
        <v>2000000</v>
      </c>
      <c r="O447" s="151" t="s">
        <v>18872</v>
      </c>
      <c r="P447" s="5" t="str">
        <f t="shared" si="12"/>
        <v>A5615</v>
      </c>
      <c r="Q447" s="5">
        <f t="shared" si="13"/>
        <v>1</v>
      </c>
      <c r="R447">
        <f>VLOOKUP(O447,'Data Angt'!$A$5:$F$5810,6,FALSE)</f>
        <v>25</v>
      </c>
      <c r="S447" s="5" t="str">
        <f>VLOOKUP(O447,'Data Angt'!$A$5:$H$5810,8,FALSE)</f>
        <v>Karyawan</v>
      </c>
      <c r="T447" s="44" t="str">
        <f>VLOOKUP(O447,'Data Angt'!$A$5:$C$5809,3,FALSE)</f>
        <v>PBL</v>
      </c>
    </row>
    <row r="448" spans="1:20" x14ac:dyDescent="0.3">
      <c r="A448" s="37">
        <v>90667</v>
      </c>
      <c r="B448" s="38">
        <v>442</v>
      </c>
      <c r="C448" s="39" t="s">
        <v>2840</v>
      </c>
      <c r="D448" s="10" t="str">
        <f>VLOOKUP(C448,'Data Angt'!$A$5:$B$5809,2,FALSE)</f>
        <v>A1199</v>
      </c>
      <c r="E448" s="40" t="s">
        <v>11703</v>
      </c>
      <c r="F448" s="41">
        <v>43379</v>
      </c>
      <c r="G448" s="38">
        <v>1</v>
      </c>
      <c r="H448" s="40">
        <v>0</v>
      </c>
      <c r="I448" s="38">
        <v>4</v>
      </c>
      <c r="J448" s="41">
        <v>43379</v>
      </c>
      <c r="K448" s="38" t="s">
        <v>10768</v>
      </c>
      <c r="L448" s="42">
        <v>30000000</v>
      </c>
      <c r="O448" s="151" t="s">
        <v>18898</v>
      </c>
      <c r="P448" s="5" t="str">
        <f t="shared" si="12"/>
        <v>A5625</v>
      </c>
      <c r="Q448" s="5">
        <f t="shared" si="13"/>
        <v>1</v>
      </c>
      <c r="R448">
        <f>VLOOKUP(O448,'Data Angt'!$A$5:$F$5810,6,FALSE)</f>
        <v>36</v>
      </c>
      <c r="S448" s="5" t="str">
        <f>VLOOKUP(O448,'Data Angt'!$A$5:$H$5810,8,FALSE)</f>
        <v>Wiraswasta</v>
      </c>
      <c r="T448" s="44" t="str">
        <f>VLOOKUP(O448,'Data Angt'!$A$5:$C$5809,3,FALSE)</f>
        <v>PBL</v>
      </c>
    </row>
    <row r="449" spans="1:20" x14ac:dyDescent="0.3">
      <c r="A449" s="37">
        <v>135241</v>
      </c>
      <c r="B449" s="38">
        <v>443</v>
      </c>
      <c r="C449" s="39" t="s">
        <v>2840</v>
      </c>
      <c r="D449" s="10" t="str">
        <f>VLOOKUP(C449,'Data Angt'!$A$5:$B$5809,2,FALSE)</f>
        <v>A1199</v>
      </c>
      <c r="E449" s="40" t="s">
        <v>11702</v>
      </c>
      <c r="F449" s="41">
        <v>44879</v>
      </c>
      <c r="G449" s="38">
        <v>1</v>
      </c>
      <c r="H449" s="40">
        <v>0</v>
      </c>
      <c r="I449" s="38">
        <v>4</v>
      </c>
      <c r="J449" s="41">
        <v>44879</v>
      </c>
      <c r="K449" s="38" t="s">
        <v>10768</v>
      </c>
      <c r="L449" s="42">
        <v>3000000</v>
      </c>
      <c r="O449" s="151" t="s">
        <v>18924</v>
      </c>
      <c r="P449" s="5" t="str">
        <f t="shared" si="12"/>
        <v>A5636</v>
      </c>
      <c r="Q449" s="5">
        <f t="shared" si="13"/>
        <v>1</v>
      </c>
      <c r="R449">
        <f>VLOOKUP(O449,'Data Angt'!$A$5:$F$5810,6,FALSE)</f>
        <v>45</v>
      </c>
      <c r="S449" s="5" t="str">
        <f>VLOOKUP(O449,'Data Angt'!$A$5:$H$5810,8,FALSE)</f>
        <v>Tenaga Pengajar</v>
      </c>
      <c r="T449" s="44" t="str">
        <f>VLOOKUP(O449,'Data Angt'!$A$5:$C$5809,3,FALSE)</f>
        <v>JBR</v>
      </c>
    </row>
    <row r="450" spans="1:20" x14ac:dyDescent="0.3">
      <c r="A450" s="37">
        <v>157024</v>
      </c>
      <c r="B450" s="38">
        <v>444</v>
      </c>
      <c r="C450" s="39" t="s">
        <v>2840</v>
      </c>
      <c r="D450" s="10" t="str">
        <f>VLOOKUP(C450,'Data Angt'!$A$5:$B$5809,2,FALSE)</f>
        <v>A1199</v>
      </c>
      <c r="E450" s="40" t="s">
        <v>24021</v>
      </c>
      <c r="F450" s="41">
        <v>45853</v>
      </c>
      <c r="G450" s="38">
        <v>1</v>
      </c>
      <c r="H450" s="40">
        <v>0</v>
      </c>
      <c r="I450" s="38">
        <v>4</v>
      </c>
      <c r="J450" s="41">
        <v>45853</v>
      </c>
      <c r="K450" s="38" t="s">
        <v>10768</v>
      </c>
      <c r="L450" s="42">
        <v>9000000</v>
      </c>
      <c r="O450" s="151" t="s">
        <v>19000</v>
      </c>
      <c r="P450" s="5" t="str">
        <f t="shared" si="12"/>
        <v>A5672</v>
      </c>
      <c r="Q450" s="5">
        <f t="shared" si="13"/>
        <v>1</v>
      </c>
      <c r="R450">
        <f>VLOOKUP(O450,'Data Angt'!$A$5:$F$5810,6,FALSE)</f>
        <v>57</v>
      </c>
      <c r="S450" s="5" t="str">
        <f>VLOOKUP(O450,'Data Angt'!$A$5:$H$5810,8,FALSE)</f>
        <v>Wiraswasta</v>
      </c>
      <c r="T450" s="44" t="str">
        <f>VLOOKUP(O450,'Data Angt'!$A$5:$C$5809,3,FALSE)</f>
        <v>JBR</v>
      </c>
    </row>
    <row r="451" spans="1:20" x14ac:dyDescent="0.3">
      <c r="A451" s="37">
        <v>78088</v>
      </c>
      <c r="B451" s="38">
        <v>445</v>
      </c>
      <c r="C451" s="39" t="s">
        <v>2840</v>
      </c>
      <c r="D451" s="10" t="str">
        <f>VLOOKUP(C451,'Data Angt'!$A$5:$B$5809,2,FALSE)</f>
        <v>A1199</v>
      </c>
      <c r="E451" s="40" t="s">
        <v>11704</v>
      </c>
      <c r="F451" s="41">
        <v>42741</v>
      </c>
      <c r="G451" s="38">
        <v>1</v>
      </c>
      <c r="H451" s="40">
        <v>0</v>
      </c>
      <c r="I451" s="38">
        <v>4</v>
      </c>
      <c r="J451" s="41">
        <v>42887</v>
      </c>
      <c r="K451" s="38" t="s">
        <v>10768</v>
      </c>
      <c r="L451" s="42">
        <v>3000000</v>
      </c>
      <c r="O451" s="151" t="s">
        <v>19153</v>
      </c>
      <c r="P451" s="5" t="str">
        <f t="shared" si="12"/>
        <v>A5743</v>
      </c>
      <c r="Q451" s="5">
        <f t="shared" si="13"/>
        <v>1</v>
      </c>
      <c r="R451">
        <f>VLOOKUP(O451,'Data Angt'!$A$5:$F$5810,6,FALSE)</f>
        <v>28</v>
      </c>
      <c r="S451" s="5" t="str">
        <f>VLOOKUP(O451,'Data Angt'!$A$5:$H$5810,8,FALSE)</f>
        <v>Pelajar/Mahasiswa</v>
      </c>
      <c r="T451" s="44" t="str">
        <f>VLOOKUP(O451,'Data Angt'!$A$5:$C$5809,3,FALSE)</f>
        <v>PBL</v>
      </c>
    </row>
    <row r="452" spans="1:20" x14ac:dyDescent="0.3">
      <c r="A452" s="37">
        <v>135566</v>
      </c>
      <c r="B452" s="38">
        <v>446</v>
      </c>
      <c r="C452" s="39" t="s">
        <v>2840</v>
      </c>
      <c r="D452" s="10" t="str">
        <f>VLOOKUP(C452,'Data Angt'!$A$5:$B$5809,2,FALSE)</f>
        <v>A1199</v>
      </c>
      <c r="E452" s="40" t="s">
        <v>11700</v>
      </c>
      <c r="F452" s="41">
        <v>44900</v>
      </c>
      <c r="G452" s="38">
        <v>1</v>
      </c>
      <c r="H452" s="40">
        <v>0</v>
      </c>
      <c r="I452" s="38">
        <v>4</v>
      </c>
      <c r="J452" s="41">
        <v>44900</v>
      </c>
      <c r="K452" s="38" t="s">
        <v>10768</v>
      </c>
      <c r="L452" s="42">
        <v>3000000</v>
      </c>
      <c r="O452" s="151" t="s">
        <v>22161</v>
      </c>
      <c r="P452" s="5" t="str">
        <f t="shared" si="12"/>
        <v>A5795</v>
      </c>
      <c r="Q452" s="5">
        <f t="shared" si="13"/>
        <v>1</v>
      </c>
      <c r="R452">
        <f>VLOOKUP(O452,'Data Angt'!$A$5:$F$5810,6,FALSE)</f>
        <v>33</v>
      </c>
      <c r="S452" s="5" t="str">
        <f>VLOOKUP(O452,'Data Angt'!$A$5:$H$5810,8,FALSE)</f>
        <v>Wiraswasta</v>
      </c>
      <c r="T452" s="44" t="str">
        <f>VLOOKUP(O452,'Data Angt'!$A$5:$C$5809,3,FALSE)</f>
        <v>PBL</v>
      </c>
    </row>
    <row r="453" spans="1:20" x14ac:dyDescent="0.3">
      <c r="A453" s="37">
        <v>157753</v>
      </c>
      <c r="B453" s="38">
        <v>447</v>
      </c>
      <c r="C453" s="39" t="s">
        <v>2840</v>
      </c>
      <c r="D453" s="10" t="str">
        <f>VLOOKUP(C453,'Data Angt'!$A$5:$B$5809,2,FALSE)</f>
        <v>A1199</v>
      </c>
      <c r="E453" s="40" t="s">
        <v>24022</v>
      </c>
      <c r="F453" s="41">
        <v>45881</v>
      </c>
      <c r="G453" s="38">
        <v>1</v>
      </c>
      <c r="H453" s="40">
        <v>0</v>
      </c>
      <c r="I453" s="38">
        <v>4</v>
      </c>
      <c r="J453" s="41">
        <v>45881</v>
      </c>
      <c r="K453" s="38" t="s">
        <v>10768</v>
      </c>
      <c r="L453" s="42">
        <v>3000000</v>
      </c>
      <c r="O453" s="152" t="s">
        <v>11402</v>
      </c>
      <c r="P453" s="153" t="e">
        <f t="shared" si="12"/>
        <v>#N/A</v>
      </c>
      <c r="Q453" s="153">
        <f t="shared" si="13"/>
        <v>1</v>
      </c>
      <c r="R453" s="154" t="e">
        <f>VLOOKUP(O453,'Data Angt'!$A$5:$F$5810,6,FALSE)</f>
        <v>#N/A</v>
      </c>
      <c r="S453" s="153" t="e">
        <f>VLOOKUP(O453,'Data Angt'!$A$5:$H$5810,8,FALSE)</f>
        <v>#N/A</v>
      </c>
      <c r="T453" s="44" t="e">
        <f>VLOOKUP(O453,'Data Angt'!$A$5:$C$5809,3,FALSE)</f>
        <v>#N/A</v>
      </c>
    </row>
    <row r="454" spans="1:20" x14ac:dyDescent="0.3">
      <c r="A454" s="37">
        <v>78099</v>
      </c>
      <c r="B454" s="38">
        <v>448</v>
      </c>
      <c r="C454" s="39" t="s">
        <v>2840</v>
      </c>
      <c r="D454" s="10" t="str">
        <f>VLOOKUP(C454,'Data Angt'!$A$5:$B$5809,2,FALSE)</f>
        <v>A1199</v>
      </c>
      <c r="E454" s="40" t="s">
        <v>11701</v>
      </c>
      <c r="F454" s="41">
        <v>42755</v>
      </c>
      <c r="G454" s="38">
        <v>1</v>
      </c>
      <c r="H454" s="40">
        <v>0</v>
      </c>
      <c r="I454" s="38">
        <v>4</v>
      </c>
      <c r="J454" s="41">
        <v>42755</v>
      </c>
      <c r="K454" s="38" t="s">
        <v>10768</v>
      </c>
      <c r="L454" s="42">
        <v>6000000</v>
      </c>
      <c r="O454" s="152" t="s">
        <v>11413</v>
      </c>
      <c r="P454" s="153" t="e">
        <f t="shared" ref="P454:P457" si="14">VLOOKUP(O454,$C$7:$D$1146,2,FALSE)</f>
        <v>#N/A</v>
      </c>
      <c r="Q454" s="153">
        <f t="shared" si="13"/>
        <v>1</v>
      </c>
      <c r="R454" s="154" t="e">
        <f>VLOOKUP(O454,'Data Angt'!$A$5:$F$5810,6,FALSE)</f>
        <v>#N/A</v>
      </c>
      <c r="S454" s="153" t="e">
        <f>VLOOKUP(O454,'Data Angt'!$A$5:$H$5810,8,FALSE)</f>
        <v>#N/A</v>
      </c>
      <c r="T454" s="44" t="e">
        <f>VLOOKUP(O454,'Data Angt'!$A$5:$C$5809,3,FALSE)</f>
        <v>#N/A</v>
      </c>
    </row>
    <row r="455" spans="1:20" x14ac:dyDescent="0.3">
      <c r="A455" s="37">
        <v>91584</v>
      </c>
      <c r="B455" s="38">
        <v>449</v>
      </c>
      <c r="C455" s="39" t="s">
        <v>2840</v>
      </c>
      <c r="D455" s="10" t="str">
        <f>VLOOKUP(C455,'Data Angt'!$A$5:$B$5809,2,FALSE)</f>
        <v>A1199</v>
      </c>
      <c r="E455" s="40" t="s">
        <v>11699</v>
      </c>
      <c r="F455" s="41">
        <v>43413</v>
      </c>
      <c r="G455" s="38">
        <v>1</v>
      </c>
      <c r="H455" s="40">
        <v>0</v>
      </c>
      <c r="I455" s="38">
        <v>4</v>
      </c>
      <c r="J455" s="41">
        <v>43413</v>
      </c>
      <c r="K455" s="38" t="s">
        <v>10768</v>
      </c>
      <c r="L455" s="42">
        <v>5000000</v>
      </c>
      <c r="O455" s="152" t="s">
        <v>11411</v>
      </c>
      <c r="P455" s="153" t="e">
        <f t="shared" si="14"/>
        <v>#N/A</v>
      </c>
      <c r="Q455" s="153">
        <f t="shared" ref="Q455:Q457" si="15">COUNTIF($C$7:$C$1146,O455)</f>
        <v>1</v>
      </c>
      <c r="R455" s="154" t="e">
        <f>VLOOKUP(O455,'Data Angt'!$A$5:$F$5810,6,FALSE)</f>
        <v>#N/A</v>
      </c>
      <c r="S455" s="153" t="e">
        <f>VLOOKUP(O455,'Data Angt'!$A$5:$H$5810,8,FALSE)</f>
        <v>#N/A</v>
      </c>
      <c r="T455" s="44" t="e">
        <f>VLOOKUP(O455,'Data Angt'!$A$5:$C$5809,3,FALSE)</f>
        <v>#N/A</v>
      </c>
    </row>
    <row r="456" spans="1:20" x14ac:dyDescent="0.3">
      <c r="A456" s="37">
        <v>137092</v>
      </c>
      <c r="B456" s="38">
        <v>450</v>
      </c>
      <c r="C456" s="39" t="s">
        <v>2840</v>
      </c>
      <c r="D456" s="10" t="str">
        <f>VLOOKUP(C456,'Data Angt'!$A$5:$B$5809,2,FALSE)</f>
        <v>A1199</v>
      </c>
      <c r="E456" s="40" t="s">
        <v>11698</v>
      </c>
      <c r="F456" s="41">
        <v>45026</v>
      </c>
      <c r="G456" s="38">
        <v>1</v>
      </c>
      <c r="H456" s="40">
        <v>0</v>
      </c>
      <c r="I456" s="38">
        <v>4</v>
      </c>
      <c r="J456" s="41">
        <v>45026</v>
      </c>
      <c r="K456" s="38" t="s">
        <v>10768</v>
      </c>
      <c r="L456" s="42">
        <v>4000000</v>
      </c>
      <c r="O456" s="152" t="s">
        <v>11409</v>
      </c>
      <c r="P456" s="153" t="e">
        <f t="shared" si="14"/>
        <v>#N/A</v>
      </c>
      <c r="Q456" s="153">
        <f t="shared" si="15"/>
        <v>1</v>
      </c>
      <c r="R456" s="154" t="e">
        <f>VLOOKUP(O456,'Data Angt'!$A$5:$F$5810,6,FALSE)</f>
        <v>#N/A</v>
      </c>
      <c r="S456" s="153" t="e">
        <f>VLOOKUP(O456,'Data Angt'!$A$5:$H$5810,8,FALSE)</f>
        <v>#N/A</v>
      </c>
      <c r="T456" s="44" t="e">
        <f>VLOOKUP(O456,'Data Angt'!$A$5:$C$5809,3,FALSE)</f>
        <v>#N/A</v>
      </c>
    </row>
    <row r="457" spans="1:20" x14ac:dyDescent="0.3">
      <c r="A457" s="37">
        <v>158602</v>
      </c>
      <c r="B457" s="38">
        <v>451</v>
      </c>
      <c r="C457" s="39" t="s">
        <v>2840</v>
      </c>
      <c r="D457" s="10" t="str">
        <f>VLOOKUP(C457,'Data Angt'!$A$5:$B$5809,2,FALSE)</f>
        <v>A1199</v>
      </c>
      <c r="E457" s="40" t="s">
        <v>24023</v>
      </c>
      <c r="F457" s="41">
        <v>45916</v>
      </c>
      <c r="G457" s="38">
        <v>1</v>
      </c>
      <c r="H457" s="40">
        <v>0</v>
      </c>
      <c r="I457" s="38">
        <v>4</v>
      </c>
      <c r="J457" s="41">
        <v>45916</v>
      </c>
      <c r="K457" s="38" t="s">
        <v>10768</v>
      </c>
      <c r="L457" s="42">
        <v>3000000</v>
      </c>
      <c r="O457" s="152" t="s">
        <v>11404</v>
      </c>
      <c r="P457" s="153" t="e">
        <f t="shared" si="14"/>
        <v>#N/A</v>
      </c>
      <c r="Q457" s="153">
        <f t="shared" si="15"/>
        <v>1</v>
      </c>
      <c r="R457" s="154" t="e">
        <f>VLOOKUP(O457,'Data Angt'!$A$5:$F$5810,6,FALSE)</f>
        <v>#N/A</v>
      </c>
      <c r="S457" s="153" t="e">
        <f>VLOOKUP(O457,'Data Angt'!$A$5:$H$5810,8,FALSE)</f>
        <v>#N/A</v>
      </c>
      <c r="T457" s="44" t="e">
        <f>VLOOKUP(O457,'Data Angt'!$A$5:$C$5809,3,FALSE)</f>
        <v>#N/A</v>
      </c>
    </row>
    <row r="458" spans="1:20" x14ac:dyDescent="0.3">
      <c r="A458" s="37">
        <v>91893</v>
      </c>
      <c r="B458" s="38">
        <v>452</v>
      </c>
      <c r="C458" s="39" t="s">
        <v>2840</v>
      </c>
      <c r="D458" s="10" t="str">
        <f>VLOOKUP(C458,'Data Angt'!$A$5:$B$5809,2,FALSE)</f>
        <v>A1199</v>
      </c>
      <c r="E458" s="40" t="s">
        <v>11696</v>
      </c>
      <c r="F458" s="41">
        <v>43426</v>
      </c>
      <c r="G458" s="38">
        <v>1</v>
      </c>
      <c r="H458" s="40">
        <v>0</v>
      </c>
      <c r="I458" s="38">
        <v>4</v>
      </c>
      <c r="J458" s="41">
        <v>43426</v>
      </c>
      <c r="K458" s="38" t="s">
        <v>10768</v>
      </c>
      <c r="L458" s="42">
        <v>5000000</v>
      </c>
      <c r="O458"/>
      <c r="R458"/>
    </row>
    <row r="459" spans="1:20" x14ac:dyDescent="0.3">
      <c r="A459" s="37">
        <v>137197</v>
      </c>
      <c r="B459" s="38">
        <v>453</v>
      </c>
      <c r="C459" s="39" t="s">
        <v>2840</v>
      </c>
      <c r="D459" s="10" t="str">
        <f>VLOOKUP(C459,'Data Angt'!$A$5:$B$5809,2,FALSE)</f>
        <v>A1199</v>
      </c>
      <c r="E459" s="40" t="s">
        <v>11695</v>
      </c>
      <c r="F459" s="41">
        <v>45035</v>
      </c>
      <c r="G459" s="38">
        <v>1</v>
      </c>
      <c r="H459" s="40">
        <v>0</v>
      </c>
      <c r="I459" s="38">
        <v>4</v>
      </c>
      <c r="J459" s="41">
        <v>45035</v>
      </c>
      <c r="K459" s="38" t="s">
        <v>10768</v>
      </c>
      <c r="L459" s="42">
        <v>2000000</v>
      </c>
      <c r="O459"/>
      <c r="R459"/>
    </row>
    <row r="460" spans="1:20" x14ac:dyDescent="0.3">
      <c r="A460" s="37">
        <v>78124</v>
      </c>
      <c r="B460" s="38">
        <v>454</v>
      </c>
      <c r="C460" s="39" t="s">
        <v>2840</v>
      </c>
      <c r="D460" s="10" t="str">
        <f>VLOOKUP(C460,'Data Angt'!$A$5:$B$5809,2,FALSE)</f>
        <v>A1199</v>
      </c>
      <c r="E460" s="40" t="s">
        <v>11697</v>
      </c>
      <c r="F460" s="41">
        <v>42802</v>
      </c>
      <c r="G460" s="38">
        <v>1</v>
      </c>
      <c r="H460" s="40">
        <v>0</v>
      </c>
      <c r="I460" s="38">
        <v>4</v>
      </c>
      <c r="J460" s="41">
        <v>42950</v>
      </c>
      <c r="K460" s="38" t="s">
        <v>10768</v>
      </c>
      <c r="L460" s="42">
        <v>6000000</v>
      </c>
      <c r="O460"/>
      <c r="R460"/>
    </row>
    <row r="461" spans="1:20" x14ac:dyDescent="0.3">
      <c r="A461" s="37">
        <v>139333</v>
      </c>
      <c r="B461" s="38">
        <v>455</v>
      </c>
      <c r="C461" s="39" t="s">
        <v>2840</v>
      </c>
      <c r="D461" s="10" t="str">
        <f>VLOOKUP(C461,'Data Angt'!$A$5:$B$5809,2,FALSE)</f>
        <v>A1199</v>
      </c>
      <c r="E461" s="40" t="s">
        <v>11694</v>
      </c>
      <c r="F461" s="41">
        <v>45185</v>
      </c>
      <c r="G461" s="38">
        <v>1</v>
      </c>
      <c r="H461" s="40">
        <v>0</v>
      </c>
      <c r="I461" s="38">
        <v>4</v>
      </c>
      <c r="J461" s="41">
        <v>45185</v>
      </c>
      <c r="K461" s="38" t="s">
        <v>10768</v>
      </c>
      <c r="L461" s="42">
        <v>3000000</v>
      </c>
      <c r="O461"/>
      <c r="R461"/>
    </row>
    <row r="462" spans="1:20" x14ac:dyDescent="0.3">
      <c r="A462" s="37">
        <v>139730</v>
      </c>
      <c r="B462" s="38">
        <v>456</v>
      </c>
      <c r="C462" s="39" t="s">
        <v>2840</v>
      </c>
      <c r="D462" s="10" t="str">
        <f>VLOOKUP(C462,'Data Angt'!$A$5:$B$5809,2,FALSE)</f>
        <v>A1199</v>
      </c>
      <c r="E462" s="40" t="s">
        <v>11693</v>
      </c>
      <c r="F462" s="41">
        <v>45205</v>
      </c>
      <c r="G462" s="38">
        <v>1</v>
      </c>
      <c r="H462" s="40">
        <v>0</v>
      </c>
      <c r="I462" s="38">
        <v>4</v>
      </c>
      <c r="J462" s="41">
        <v>45205</v>
      </c>
      <c r="K462" s="38" t="s">
        <v>10768</v>
      </c>
      <c r="L462" s="42">
        <v>3000000</v>
      </c>
      <c r="O462"/>
      <c r="R462"/>
    </row>
    <row r="463" spans="1:20" x14ac:dyDescent="0.3">
      <c r="A463" s="37">
        <v>93079</v>
      </c>
      <c r="B463" s="38">
        <v>457</v>
      </c>
      <c r="C463" s="39" t="s">
        <v>2840</v>
      </c>
      <c r="D463" s="10" t="str">
        <f>VLOOKUP(C463,'Data Angt'!$A$5:$B$5809,2,FALSE)</f>
        <v>A1199</v>
      </c>
      <c r="E463" s="40" t="s">
        <v>11692</v>
      </c>
      <c r="F463" s="41">
        <v>43483</v>
      </c>
      <c r="G463" s="38">
        <v>1</v>
      </c>
      <c r="H463" s="40">
        <v>0</v>
      </c>
      <c r="I463" s="38">
        <v>4</v>
      </c>
      <c r="J463" s="41">
        <v>43483</v>
      </c>
      <c r="K463" s="38" t="s">
        <v>10768</v>
      </c>
      <c r="L463" s="42">
        <v>2000000</v>
      </c>
      <c r="O463"/>
      <c r="R463"/>
    </row>
    <row r="464" spans="1:20" x14ac:dyDescent="0.3">
      <c r="A464" s="37">
        <v>141734</v>
      </c>
      <c r="B464" s="38">
        <v>458</v>
      </c>
      <c r="C464" s="39" t="s">
        <v>2840</v>
      </c>
      <c r="D464" s="10" t="str">
        <f>VLOOKUP(C464,'Data Angt'!$A$5:$B$5809,2,FALSE)</f>
        <v>A1199</v>
      </c>
      <c r="E464" s="40" t="s">
        <v>18096</v>
      </c>
      <c r="F464" s="41">
        <v>45304</v>
      </c>
      <c r="G464" s="38">
        <v>1</v>
      </c>
      <c r="H464" s="40">
        <v>0</v>
      </c>
      <c r="I464" s="38">
        <v>4</v>
      </c>
      <c r="J464" s="41">
        <v>45304</v>
      </c>
      <c r="K464" s="38" t="s">
        <v>10768</v>
      </c>
      <c r="L464" s="42">
        <v>7000000</v>
      </c>
      <c r="O464"/>
      <c r="R464"/>
    </row>
    <row r="465" spans="1:18" x14ac:dyDescent="0.3">
      <c r="A465" s="37">
        <v>142145</v>
      </c>
      <c r="B465" s="38">
        <v>459</v>
      </c>
      <c r="C465" s="39" t="s">
        <v>2840</v>
      </c>
      <c r="D465" s="10" t="str">
        <f>VLOOKUP(C465,'Data Angt'!$A$5:$B$5809,2,FALSE)</f>
        <v>A1199</v>
      </c>
      <c r="E465" s="40" t="s">
        <v>18097</v>
      </c>
      <c r="F465" s="41">
        <v>45316</v>
      </c>
      <c r="G465" s="38">
        <v>1</v>
      </c>
      <c r="H465" s="40">
        <v>0</v>
      </c>
      <c r="I465" s="38">
        <v>4</v>
      </c>
      <c r="J465" s="41">
        <v>45316</v>
      </c>
      <c r="K465" s="38" t="s">
        <v>10768</v>
      </c>
      <c r="L465" s="42">
        <v>3000000</v>
      </c>
      <c r="O465"/>
      <c r="R465"/>
    </row>
    <row r="466" spans="1:18" x14ac:dyDescent="0.3">
      <c r="A466" s="37">
        <v>78257</v>
      </c>
      <c r="B466" s="38">
        <v>460</v>
      </c>
      <c r="C466" s="39" t="s">
        <v>2840</v>
      </c>
      <c r="D466" s="10" t="str">
        <f>VLOOKUP(C466,'Data Angt'!$A$5:$B$5809,2,FALSE)</f>
        <v>A1199</v>
      </c>
      <c r="E466" s="40" t="s">
        <v>11691</v>
      </c>
      <c r="F466" s="41">
        <v>43042</v>
      </c>
      <c r="G466" s="38">
        <v>1</v>
      </c>
      <c r="H466" s="40">
        <v>0</v>
      </c>
      <c r="I466" s="38">
        <v>4</v>
      </c>
      <c r="J466" s="41">
        <v>42805</v>
      </c>
      <c r="K466" s="38" t="s">
        <v>10768</v>
      </c>
      <c r="L466" s="42">
        <v>4000000</v>
      </c>
      <c r="O466"/>
      <c r="R466"/>
    </row>
    <row r="467" spans="1:18" x14ac:dyDescent="0.3">
      <c r="A467" s="37">
        <v>142342</v>
      </c>
      <c r="B467" s="38">
        <v>461</v>
      </c>
      <c r="C467" s="39" t="s">
        <v>2840</v>
      </c>
      <c r="D467" s="10" t="str">
        <f>VLOOKUP(C467,'Data Angt'!$A$5:$B$5809,2,FALSE)</f>
        <v>A1199</v>
      </c>
      <c r="E467" s="40" t="s">
        <v>18098</v>
      </c>
      <c r="F467" s="41">
        <v>45327</v>
      </c>
      <c r="G467" s="38">
        <v>1</v>
      </c>
      <c r="H467" s="40">
        <v>0</v>
      </c>
      <c r="I467" s="38">
        <v>4</v>
      </c>
      <c r="J467" s="41">
        <v>45327</v>
      </c>
      <c r="K467" s="38" t="s">
        <v>10768</v>
      </c>
      <c r="L467" s="42">
        <v>2000000</v>
      </c>
      <c r="O467"/>
      <c r="R467"/>
    </row>
    <row r="468" spans="1:18" x14ac:dyDescent="0.3">
      <c r="A468" s="37">
        <v>110116</v>
      </c>
      <c r="B468" s="38">
        <v>462</v>
      </c>
      <c r="C468" s="39" t="s">
        <v>2840</v>
      </c>
      <c r="D468" s="10" t="str">
        <f>VLOOKUP(C468,'Data Angt'!$A$5:$B$5809,2,FALSE)</f>
        <v>A1199</v>
      </c>
      <c r="E468" s="40" t="s">
        <v>11690</v>
      </c>
      <c r="F468" s="41">
        <v>43532</v>
      </c>
      <c r="G468" s="38">
        <v>1</v>
      </c>
      <c r="H468" s="40">
        <v>0</v>
      </c>
      <c r="I468" s="38">
        <v>4</v>
      </c>
      <c r="J468" s="41">
        <v>43532</v>
      </c>
      <c r="K468" s="38" t="s">
        <v>10768</v>
      </c>
      <c r="L468" s="42">
        <v>3000000</v>
      </c>
      <c r="O468"/>
      <c r="R468"/>
    </row>
    <row r="469" spans="1:18" x14ac:dyDescent="0.3">
      <c r="A469" s="37">
        <v>78299</v>
      </c>
      <c r="B469" s="38">
        <v>463</v>
      </c>
      <c r="C469" s="39" t="s">
        <v>2840</v>
      </c>
      <c r="D469" s="10" t="str">
        <f>VLOOKUP(C469,'Data Angt'!$A$5:$B$5809,2,FALSE)</f>
        <v>A1199</v>
      </c>
      <c r="E469" s="40" t="s">
        <v>11713</v>
      </c>
      <c r="F469" s="41">
        <v>43075</v>
      </c>
      <c r="G469" s="38">
        <v>1</v>
      </c>
      <c r="H469" s="40">
        <v>0</v>
      </c>
      <c r="I469" s="38">
        <v>4</v>
      </c>
      <c r="J469" s="41">
        <v>42898</v>
      </c>
      <c r="K469" s="38" t="s">
        <v>10768</v>
      </c>
      <c r="L469" s="42">
        <v>3000000</v>
      </c>
      <c r="O469"/>
      <c r="R469"/>
    </row>
    <row r="470" spans="1:18" x14ac:dyDescent="0.3">
      <c r="A470" s="37">
        <v>111203</v>
      </c>
      <c r="B470" s="38">
        <v>464</v>
      </c>
      <c r="C470" s="39" t="s">
        <v>2840</v>
      </c>
      <c r="D470" s="10" t="str">
        <f>VLOOKUP(C470,'Data Angt'!$A$5:$B$5809,2,FALSE)</f>
        <v>A1199</v>
      </c>
      <c r="E470" s="40" t="s">
        <v>11712</v>
      </c>
      <c r="F470" s="41">
        <v>43560</v>
      </c>
      <c r="G470" s="38">
        <v>1</v>
      </c>
      <c r="H470" s="40">
        <v>0</v>
      </c>
      <c r="I470" s="38">
        <v>4</v>
      </c>
      <c r="J470" s="41">
        <v>43560</v>
      </c>
      <c r="K470" s="38" t="s">
        <v>10768</v>
      </c>
      <c r="L470" s="42">
        <v>3000000</v>
      </c>
      <c r="O470"/>
      <c r="R470"/>
    </row>
    <row r="471" spans="1:18" x14ac:dyDescent="0.3">
      <c r="A471" s="37">
        <v>148962</v>
      </c>
      <c r="B471" s="38">
        <v>465</v>
      </c>
      <c r="C471" s="39" t="s">
        <v>2840</v>
      </c>
      <c r="D471" s="10" t="str">
        <f>VLOOKUP(C471,'Data Angt'!$A$5:$B$5809,2,FALSE)</f>
        <v>A1199</v>
      </c>
      <c r="E471" s="40" t="s">
        <v>18099</v>
      </c>
      <c r="F471" s="41">
        <v>45542</v>
      </c>
      <c r="G471" s="38">
        <v>1</v>
      </c>
      <c r="H471" s="40">
        <v>0</v>
      </c>
      <c r="I471" s="38">
        <v>4</v>
      </c>
      <c r="J471" s="41">
        <v>45542</v>
      </c>
      <c r="K471" s="38" t="s">
        <v>10768</v>
      </c>
      <c r="L471" s="42">
        <v>2000000</v>
      </c>
      <c r="O471"/>
      <c r="R471"/>
    </row>
    <row r="472" spans="1:18" x14ac:dyDescent="0.3">
      <c r="A472" s="37">
        <v>78322</v>
      </c>
      <c r="B472" s="38">
        <v>466</v>
      </c>
      <c r="C472" s="39" t="s">
        <v>2840</v>
      </c>
      <c r="D472" s="10" t="str">
        <f>VLOOKUP(C472,'Data Angt'!$A$5:$B$5809,2,FALSE)</f>
        <v>A1199</v>
      </c>
      <c r="E472" s="40" t="s">
        <v>11711</v>
      </c>
      <c r="F472" s="41">
        <v>43105</v>
      </c>
      <c r="G472" s="38">
        <v>1</v>
      </c>
      <c r="H472" s="40">
        <v>0</v>
      </c>
      <c r="I472" s="38">
        <v>4</v>
      </c>
      <c r="J472" s="41">
        <v>43105</v>
      </c>
      <c r="K472" s="38" t="s">
        <v>10768</v>
      </c>
      <c r="L472" s="42">
        <v>5000000</v>
      </c>
      <c r="O472"/>
      <c r="R472"/>
    </row>
    <row r="473" spans="1:18" x14ac:dyDescent="0.3">
      <c r="A473" s="37">
        <v>78338</v>
      </c>
      <c r="B473" s="38">
        <v>467</v>
      </c>
      <c r="C473" s="39" t="s">
        <v>2840</v>
      </c>
      <c r="D473" s="10" t="str">
        <f>VLOOKUP(C473,'Data Angt'!$A$5:$B$5809,2,FALSE)</f>
        <v>A1199</v>
      </c>
      <c r="E473" s="40" t="s">
        <v>11710</v>
      </c>
      <c r="F473" s="41">
        <v>43112</v>
      </c>
      <c r="G473" s="38">
        <v>1</v>
      </c>
      <c r="H473" s="40">
        <v>0</v>
      </c>
      <c r="I473" s="38">
        <v>4</v>
      </c>
      <c r="J473" s="41">
        <v>43112</v>
      </c>
      <c r="K473" s="38" t="s">
        <v>10768</v>
      </c>
      <c r="L473" s="42">
        <v>3000000</v>
      </c>
      <c r="O473"/>
      <c r="R473"/>
    </row>
    <row r="474" spans="1:18" x14ac:dyDescent="0.3">
      <c r="A474" s="37">
        <v>134216</v>
      </c>
      <c r="B474" s="38">
        <v>468</v>
      </c>
      <c r="C474" s="39" t="s">
        <v>2840</v>
      </c>
      <c r="D474" s="10" t="str">
        <f>VLOOKUP(C474,'Data Angt'!$A$5:$B$5809,2,FALSE)</f>
        <v>A1199</v>
      </c>
      <c r="E474" s="40" t="s">
        <v>11709</v>
      </c>
      <c r="F474" s="41">
        <v>44795</v>
      </c>
      <c r="G474" s="38">
        <v>1</v>
      </c>
      <c r="H474" s="40">
        <v>0</v>
      </c>
      <c r="I474" s="38">
        <v>4</v>
      </c>
      <c r="J474" s="41">
        <v>44795</v>
      </c>
      <c r="K474" s="38" t="s">
        <v>10768</v>
      </c>
      <c r="L474" s="42">
        <v>4000000</v>
      </c>
      <c r="O474"/>
      <c r="R474"/>
    </row>
    <row r="475" spans="1:18" x14ac:dyDescent="0.3">
      <c r="A475" s="37">
        <v>152857</v>
      </c>
      <c r="B475" s="38">
        <v>469</v>
      </c>
      <c r="C475" s="39" t="s">
        <v>2840</v>
      </c>
      <c r="D475" s="10" t="str">
        <f>VLOOKUP(C475,'Data Angt'!$A$5:$B$5809,2,FALSE)</f>
        <v>A1199</v>
      </c>
      <c r="E475" s="40" t="s">
        <v>18100</v>
      </c>
      <c r="F475" s="41">
        <v>45694</v>
      </c>
      <c r="G475" s="38">
        <v>1</v>
      </c>
      <c r="H475" s="40">
        <v>0</v>
      </c>
      <c r="I475" s="38">
        <v>4</v>
      </c>
      <c r="J475" s="41">
        <v>45694</v>
      </c>
      <c r="K475" s="38" t="s">
        <v>10768</v>
      </c>
      <c r="L475" s="42">
        <v>2000000</v>
      </c>
      <c r="O475"/>
    </row>
    <row r="476" spans="1:18" x14ac:dyDescent="0.3">
      <c r="A476" s="37">
        <v>147976</v>
      </c>
      <c r="B476" s="38">
        <v>470</v>
      </c>
      <c r="C476" s="39" t="s">
        <v>2864</v>
      </c>
      <c r="D476" s="10" t="str">
        <f>VLOOKUP(C476,'Data Angt'!$A$5:$B$5809,2,FALSE)</f>
        <v>A1208</v>
      </c>
      <c r="E476" s="40" t="s">
        <v>18104</v>
      </c>
      <c r="F476" s="41">
        <v>45511</v>
      </c>
      <c r="G476" s="38">
        <v>1</v>
      </c>
      <c r="H476" s="40">
        <v>0</v>
      </c>
      <c r="I476" s="38">
        <v>4</v>
      </c>
      <c r="J476" s="41">
        <v>45511</v>
      </c>
      <c r="K476" s="38" t="s">
        <v>10768</v>
      </c>
      <c r="L476" s="42">
        <v>30000000</v>
      </c>
      <c r="O476"/>
    </row>
    <row r="477" spans="1:18" x14ac:dyDescent="0.3">
      <c r="A477" s="37">
        <v>144049</v>
      </c>
      <c r="B477" s="38">
        <v>471</v>
      </c>
      <c r="C477" s="39" t="s">
        <v>2878</v>
      </c>
      <c r="D477" s="10" t="str">
        <f>VLOOKUP(C477,'Data Angt'!$A$5:$B$5809,2,FALSE)</f>
        <v>A1212</v>
      </c>
      <c r="E477" s="40" t="s">
        <v>18105</v>
      </c>
      <c r="F477" s="41">
        <v>45383</v>
      </c>
      <c r="G477" s="38">
        <v>1</v>
      </c>
      <c r="H477" s="40">
        <v>0</v>
      </c>
      <c r="I477" s="38">
        <v>4</v>
      </c>
      <c r="J477" s="41">
        <v>45383</v>
      </c>
      <c r="K477" s="38" t="s">
        <v>10768</v>
      </c>
      <c r="L477" s="42">
        <v>2000000</v>
      </c>
      <c r="O477"/>
    </row>
    <row r="478" spans="1:18" x14ac:dyDescent="0.3">
      <c r="A478" s="37">
        <v>124859</v>
      </c>
      <c r="B478" s="38">
        <v>472</v>
      </c>
      <c r="C478" s="39" t="s">
        <v>2881</v>
      </c>
      <c r="D478" s="10" t="str">
        <f>VLOOKUP(C478,'Data Angt'!$A$5:$B$5809,2,FALSE)</f>
        <v>A1213</v>
      </c>
      <c r="E478" s="40" t="s">
        <v>11689</v>
      </c>
      <c r="F478" s="41">
        <v>44077</v>
      </c>
      <c r="G478" s="38">
        <v>1</v>
      </c>
      <c r="H478" s="40">
        <v>0</v>
      </c>
      <c r="I478" s="38">
        <v>4</v>
      </c>
      <c r="J478" s="41">
        <v>44077</v>
      </c>
      <c r="K478" s="38" t="s">
        <v>10768</v>
      </c>
      <c r="L478" s="42">
        <v>30000000</v>
      </c>
      <c r="O478"/>
    </row>
    <row r="479" spans="1:18" x14ac:dyDescent="0.3">
      <c r="A479" s="37">
        <v>124860</v>
      </c>
      <c r="B479" s="38">
        <v>473</v>
      </c>
      <c r="C479" s="39" t="s">
        <v>2881</v>
      </c>
      <c r="D479" s="10" t="str">
        <f>VLOOKUP(C479,'Data Angt'!$A$5:$B$5809,2,FALSE)</f>
        <v>A1213</v>
      </c>
      <c r="E479" s="40" t="s">
        <v>11688</v>
      </c>
      <c r="F479" s="41">
        <v>44077</v>
      </c>
      <c r="G479" s="38">
        <v>1</v>
      </c>
      <c r="H479" s="40">
        <v>0</v>
      </c>
      <c r="I479" s="38">
        <v>4</v>
      </c>
      <c r="J479" s="41">
        <v>44077</v>
      </c>
      <c r="K479" s="38" t="s">
        <v>10768</v>
      </c>
      <c r="L479" s="42">
        <v>30000000</v>
      </c>
      <c r="O479"/>
    </row>
    <row r="480" spans="1:18" x14ac:dyDescent="0.3">
      <c r="A480" s="37">
        <v>81306</v>
      </c>
      <c r="B480" s="38">
        <v>474</v>
      </c>
      <c r="C480" s="39" t="s">
        <v>2907</v>
      </c>
      <c r="D480" s="10" t="str">
        <f>VLOOKUP(C480,'Data Angt'!$A$5:$B$5809,2,FALSE)</f>
        <v>A1226</v>
      </c>
      <c r="E480" s="40" t="s">
        <v>11687</v>
      </c>
      <c r="F480" s="41">
        <v>43174</v>
      </c>
      <c r="G480" s="38">
        <v>1</v>
      </c>
      <c r="H480" s="40">
        <v>0</v>
      </c>
      <c r="I480" s="38">
        <v>4</v>
      </c>
      <c r="J480" s="41">
        <v>43174</v>
      </c>
      <c r="K480" s="38" t="s">
        <v>10768</v>
      </c>
      <c r="L480" s="42">
        <v>5000000</v>
      </c>
      <c r="O480"/>
    </row>
    <row r="481" spans="1:15" x14ac:dyDescent="0.3">
      <c r="A481" s="37">
        <v>157115</v>
      </c>
      <c r="B481" s="38">
        <v>475</v>
      </c>
      <c r="C481" s="39" t="s">
        <v>2948</v>
      </c>
      <c r="D481" s="10" t="str">
        <f>VLOOKUP(C481,'Data Angt'!$A$5:$B$5809,2,FALSE)</f>
        <v>A1246</v>
      </c>
      <c r="E481" s="40" t="s">
        <v>24024</v>
      </c>
      <c r="F481" s="41">
        <v>45855</v>
      </c>
      <c r="G481" s="38">
        <v>1</v>
      </c>
      <c r="H481" s="40">
        <v>0</v>
      </c>
      <c r="I481" s="38">
        <v>4</v>
      </c>
      <c r="J481" s="41">
        <v>45855</v>
      </c>
      <c r="K481" s="38" t="s">
        <v>10768</v>
      </c>
      <c r="L481" s="42">
        <v>20000000</v>
      </c>
      <c r="O481"/>
    </row>
    <row r="482" spans="1:15" x14ac:dyDescent="0.3">
      <c r="A482" s="37">
        <v>157728</v>
      </c>
      <c r="B482" s="38">
        <v>476</v>
      </c>
      <c r="C482" s="39" t="s">
        <v>2948</v>
      </c>
      <c r="D482" s="10" t="str">
        <f>VLOOKUP(C482,'Data Angt'!$A$5:$B$5809,2,FALSE)</f>
        <v>A1246</v>
      </c>
      <c r="E482" s="40" t="s">
        <v>24025</v>
      </c>
      <c r="F482" s="41">
        <v>45880</v>
      </c>
      <c r="G482" s="38">
        <v>1</v>
      </c>
      <c r="H482" s="40">
        <v>0</v>
      </c>
      <c r="I482" s="38">
        <v>4</v>
      </c>
      <c r="J482" s="41">
        <v>45880</v>
      </c>
      <c r="K482" s="38" t="s">
        <v>10768</v>
      </c>
      <c r="L482" s="42">
        <v>20000000</v>
      </c>
      <c r="O482"/>
    </row>
    <row r="483" spans="1:15" x14ac:dyDescent="0.3">
      <c r="A483" s="37">
        <v>158003</v>
      </c>
      <c r="B483" s="38">
        <v>477</v>
      </c>
      <c r="C483" s="39" t="s">
        <v>2948</v>
      </c>
      <c r="D483" s="10" t="str">
        <f>VLOOKUP(C483,'Data Angt'!$A$5:$B$5809,2,FALSE)</f>
        <v>A1246</v>
      </c>
      <c r="E483" s="40" t="s">
        <v>24026</v>
      </c>
      <c r="F483" s="41">
        <v>45889</v>
      </c>
      <c r="G483" s="38">
        <v>1</v>
      </c>
      <c r="H483" s="40">
        <v>0</v>
      </c>
      <c r="I483" s="38">
        <v>4</v>
      </c>
      <c r="J483" s="41">
        <v>45889</v>
      </c>
      <c r="K483" s="38" t="s">
        <v>10768</v>
      </c>
      <c r="L483" s="42">
        <v>20000000</v>
      </c>
      <c r="O483"/>
    </row>
    <row r="484" spans="1:15" x14ac:dyDescent="0.3">
      <c r="A484" s="37">
        <v>151815</v>
      </c>
      <c r="B484" s="38">
        <v>478</v>
      </c>
      <c r="C484" s="39" t="s">
        <v>2948</v>
      </c>
      <c r="D484" s="10" t="str">
        <f>VLOOKUP(C484,'Data Angt'!$A$5:$B$5809,2,FALSE)</f>
        <v>A1246</v>
      </c>
      <c r="E484" s="40" t="s">
        <v>18113</v>
      </c>
      <c r="F484" s="41">
        <v>45663</v>
      </c>
      <c r="G484" s="38">
        <v>1</v>
      </c>
      <c r="H484" s="40">
        <v>0</v>
      </c>
      <c r="I484" s="38">
        <v>4</v>
      </c>
      <c r="J484" s="41">
        <v>45663</v>
      </c>
      <c r="K484" s="38" t="s">
        <v>10768</v>
      </c>
      <c r="L484" s="42">
        <v>22000000</v>
      </c>
      <c r="O484"/>
    </row>
    <row r="485" spans="1:15" x14ac:dyDescent="0.3">
      <c r="A485" s="37">
        <v>154425</v>
      </c>
      <c r="B485" s="38">
        <v>479</v>
      </c>
      <c r="C485" s="39" t="s">
        <v>2948</v>
      </c>
      <c r="D485" s="10" t="str">
        <f>VLOOKUP(C485,'Data Angt'!$A$5:$B$5809,2,FALSE)</f>
        <v>A1246</v>
      </c>
      <c r="E485" s="40" t="s">
        <v>18114</v>
      </c>
      <c r="F485" s="41">
        <v>45726</v>
      </c>
      <c r="G485" s="38">
        <v>1</v>
      </c>
      <c r="H485" s="40">
        <v>0</v>
      </c>
      <c r="I485" s="38">
        <v>4</v>
      </c>
      <c r="J485" s="41">
        <v>45726</v>
      </c>
      <c r="K485" s="38" t="s">
        <v>10768</v>
      </c>
      <c r="L485" s="42">
        <v>37000000</v>
      </c>
      <c r="O485"/>
    </row>
    <row r="486" spans="1:15" x14ac:dyDescent="0.3">
      <c r="A486" s="37">
        <v>154636</v>
      </c>
      <c r="B486" s="38">
        <v>480</v>
      </c>
      <c r="C486" s="39" t="s">
        <v>2948</v>
      </c>
      <c r="D486" s="10" t="str">
        <f>VLOOKUP(C486,'Data Angt'!$A$5:$B$5809,2,FALSE)</f>
        <v>A1246</v>
      </c>
      <c r="E486" s="40" t="s">
        <v>18116</v>
      </c>
      <c r="F486" s="41">
        <v>45734</v>
      </c>
      <c r="G486" s="38">
        <v>1</v>
      </c>
      <c r="H486" s="40">
        <v>0</v>
      </c>
      <c r="I486" s="38">
        <v>4</v>
      </c>
      <c r="J486" s="41">
        <v>45734</v>
      </c>
      <c r="K486" s="38" t="s">
        <v>10768</v>
      </c>
      <c r="L486" s="42">
        <v>25000000</v>
      </c>
      <c r="O486"/>
    </row>
    <row r="487" spans="1:15" x14ac:dyDescent="0.3">
      <c r="A487" s="37">
        <v>144705</v>
      </c>
      <c r="B487" s="38">
        <v>481</v>
      </c>
      <c r="C487" s="39" t="s">
        <v>2948</v>
      </c>
      <c r="D487" s="10" t="str">
        <f>VLOOKUP(C487,'Data Angt'!$A$5:$B$5809,2,FALSE)</f>
        <v>A1246</v>
      </c>
      <c r="E487" s="40" t="s">
        <v>18115</v>
      </c>
      <c r="F487" s="41">
        <v>45418</v>
      </c>
      <c r="G487" s="38">
        <v>1</v>
      </c>
      <c r="H487" s="40">
        <v>0</v>
      </c>
      <c r="I487" s="38">
        <v>4</v>
      </c>
      <c r="J487" s="41">
        <v>45418</v>
      </c>
      <c r="K487" s="38" t="s">
        <v>10768</v>
      </c>
      <c r="L487" s="42">
        <v>30000000</v>
      </c>
      <c r="O487"/>
    </row>
    <row r="488" spans="1:15" x14ac:dyDescent="0.3">
      <c r="A488" s="37">
        <v>155047</v>
      </c>
      <c r="B488" s="38">
        <v>482</v>
      </c>
      <c r="C488" s="39" t="s">
        <v>2948</v>
      </c>
      <c r="D488" s="10" t="str">
        <f>VLOOKUP(C488,'Data Angt'!$A$5:$B$5809,2,FALSE)</f>
        <v>A1246</v>
      </c>
      <c r="E488" s="40" t="s">
        <v>18117</v>
      </c>
      <c r="F488" s="41">
        <v>45761</v>
      </c>
      <c r="G488" s="38">
        <v>1</v>
      </c>
      <c r="H488" s="40">
        <v>0</v>
      </c>
      <c r="I488" s="38">
        <v>4</v>
      </c>
      <c r="J488" s="41">
        <v>45761</v>
      </c>
      <c r="K488" s="38" t="s">
        <v>10768</v>
      </c>
      <c r="L488" s="42">
        <v>27000000</v>
      </c>
      <c r="O488"/>
    </row>
    <row r="489" spans="1:15" x14ac:dyDescent="0.3">
      <c r="A489" s="37">
        <v>155131</v>
      </c>
      <c r="B489" s="38">
        <v>483</v>
      </c>
      <c r="C489" s="39" t="s">
        <v>2948</v>
      </c>
      <c r="D489" s="10" t="str">
        <f>VLOOKUP(C489,'Data Angt'!$A$5:$B$5809,2,FALSE)</f>
        <v>A1246</v>
      </c>
      <c r="E489" s="40" t="s">
        <v>18106</v>
      </c>
      <c r="F489" s="41">
        <v>45769</v>
      </c>
      <c r="G489" s="38">
        <v>1</v>
      </c>
      <c r="H489" s="40">
        <v>0</v>
      </c>
      <c r="I489" s="38">
        <v>4</v>
      </c>
      <c r="J489" s="41">
        <v>45769</v>
      </c>
      <c r="K489" s="38" t="s">
        <v>10768</v>
      </c>
      <c r="L489" s="42">
        <v>20000000</v>
      </c>
      <c r="O489"/>
    </row>
    <row r="490" spans="1:15" x14ac:dyDescent="0.3">
      <c r="A490" s="37">
        <v>155306</v>
      </c>
      <c r="B490" s="38">
        <v>484</v>
      </c>
      <c r="C490" s="39" t="s">
        <v>2948</v>
      </c>
      <c r="D490" s="10" t="str">
        <f>VLOOKUP(C490,'Data Angt'!$A$5:$B$5809,2,FALSE)</f>
        <v>A1246</v>
      </c>
      <c r="E490" s="40" t="s">
        <v>18107</v>
      </c>
      <c r="F490" s="41">
        <v>45775</v>
      </c>
      <c r="G490" s="38">
        <v>1</v>
      </c>
      <c r="H490" s="40">
        <v>0</v>
      </c>
      <c r="I490" s="38">
        <v>4</v>
      </c>
      <c r="J490" s="41">
        <v>45775</v>
      </c>
      <c r="K490" s="38" t="s">
        <v>10768</v>
      </c>
      <c r="L490" s="42">
        <v>20000000</v>
      </c>
      <c r="O490"/>
    </row>
    <row r="491" spans="1:15" x14ac:dyDescent="0.3">
      <c r="A491" s="37">
        <v>155485</v>
      </c>
      <c r="B491" s="38">
        <v>485</v>
      </c>
      <c r="C491" s="39" t="s">
        <v>2948</v>
      </c>
      <c r="D491" s="10" t="str">
        <f>VLOOKUP(C491,'Data Angt'!$A$5:$B$5809,2,FALSE)</f>
        <v>A1246</v>
      </c>
      <c r="E491" s="40" t="s">
        <v>18109</v>
      </c>
      <c r="F491" s="41">
        <v>45783</v>
      </c>
      <c r="G491" s="38">
        <v>1</v>
      </c>
      <c r="H491" s="40">
        <v>0</v>
      </c>
      <c r="I491" s="38">
        <v>4</v>
      </c>
      <c r="J491" s="41">
        <v>45783</v>
      </c>
      <c r="K491" s="38" t="s">
        <v>10768</v>
      </c>
      <c r="L491" s="42">
        <v>20000000</v>
      </c>
      <c r="O491"/>
    </row>
    <row r="492" spans="1:15" x14ac:dyDescent="0.3">
      <c r="A492" s="37">
        <v>146381</v>
      </c>
      <c r="B492" s="38">
        <v>486</v>
      </c>
      <c r="C492" s="39" t="s">
        <v>2948</v>
      </c>
      <c r="D492" s="10" t="str">
        <f>VLOOKUP(C492,'Data Angt'!$A$5:$B$5809,2,FALSE)</f>
        <v>A1246</v>
      </c>
      <c r="E492" s="40" t="s">
        <v>18108</v>
      </c>
      <c r="F492" s="41">
        <v>45478</v>
      </c>
      <c r="G492" s="38">
        <v>1</v>
      </c>
      <c r="H492" s="40">
        <v>0</v>
      </c>
      <c r="I492" s="38">
        <v>4</v>
      </c>
      <c r="J492" s="41">
        <v>45478</v>
      </c>
      <c r="K492" s="38" t="s">
        <v>10768</v>
      </c>
      <c r="L492" s="42">
        <v>30000000</v>
      </c>
      <c r="O492"/>
    </row>
    <row r="493" spans="1:15" x14ac:dyDescent="0.3">
      <c r="A493" s="37">
        <v>155763</v>
      </c>
      <c r="B493" s="38">
        <v>487</v>
      </c>
      <c r="C493" s="39" t="s">
        <v>2948</v>
      </c>
      <c r="D493" s="10" t="str">
        <f>VLOOKUP(C493,'Data Angt'!$A$5:$B$5809,2,FALSE)</f>
        <v>A1246</v>
      </c>
      <c r="E493" s="40" t="s">
        <v>18110</v>
      </c>
      <c r="F493" s="41">
        <v>45796</v>
      </c>
      <c r="G493" s="38">
        <v>1</v>
      </c>
      <c r="H493" s="40">
        <v>0</v>
      </c>
      <c r="I493" s="38">
        <v>4</v>
      </c>
      <c r="J493" s="41">
        <v>45796</v>
      </c>
      <c r="K493" s="38" t="s">
        <v>10768</v>
      </c>
      <c r="L493" s="42">
        <v>20000000</v>
      </c>
      <c r="O493"/>
    </row>
    <row r="494" spans="1:15" x14ac:dyDescent="0.3">
      <c r="A494" s="37">
        <v>156091</v>
      </c>
      <c r="B494" s="38">
        <v>488</v>
      </c>
      <c r="C494" s="39" t="s">
        <v>2948</v>
      </c>
      <c r="D494" s="10" t="str">
        <f>VLOOKUP(C494,'Data Angt'!$A$5:$B$5809,2,FALSE)</f>
        <v>A1246</v>
      </c>
      <c r="E494" s="40" t="s">
        <v>18111</v>
      </c>
      <c r="F494" s="41">
        <v>45807</v>
      </c>
      <c r="G494" s="38">
        <v>1</v>
      </c>
      <c r="H494" s="40">
        <v>0</v>
      </c>
      <c r="I494" s="38">
        <v>4</v>
      </c>
      <c r="J494" s="41">
        <v>45807</v>
      </c>
      <c r="K494" s="38" t="s">
        <v>10768</v>
      </c>
      <c r="L494" s="42">
        <v>20000000</v>
      </c>
      <c r="O494"/>
    </row>
    <row r="495" spans="1:15" x14ac:dyDescent="0.3">
      <c r="A495" s="37">
        <v>156497</v>
      </c>
      <c r="B495" s="38">
        <v>489</v>
      </c>
      <c r="C495" s="39" t="s">
        <v>2948</v>
      </c>
      <c r="D495" s="10" t="str">
        <f>VLOOKUP(C495,'Data Angt'!$A$5:$B$5809,2,FALSE)</f>
        <v>A1246</v>
      </c>
      <c r="E495" s="40" t="s">
        <v>18112</v>
      </c>
      <c r="F495" s="41">
        <v>45828</v>
      </c>
      <c r="G495" s="38">
        <v>1</v>
      </c>
      <c r="H495" s="40">
        <v>0</v>
      </c>
      <c r="I495" s="38">
        <v>4</v>
      </c>
      <c r="J495" s="41">
        <v>45828</v>
      </c>
      <c r="K495" s="38" t="s">
        <v>10768</v>
      </c>
      <c r="L495" s="42">
        <v>20000000</v>
      </c>
      <c r="O495"/>
    </row>
    <row r="496" spans="1:15" x14ac:dyDescent="0.3">
      <c r="A496" s="37">
        <v>78353</v>
      </c>
      <c r="B496" s="38">
        <v>490</v>
      </c>
      <c r="C496" s="39" t="s">
        <v>2974</v>
      </c>
      <c r="D496" s="10" t="str">
        <f>VLOOKUP(C496,'Data Angt'!$A$5:$B$5809,2,FALSE)</f>
        <v>A1256</v>
      </c>
      <c r="E496" s="40" t="s">
        <v>11686</v>
      </c>
      <c r="F496" s="41">
        <v>43131</v>
      </c>
      <c r="G496" s="38">
        <v>1</v>
      </c>
      <c r="H496" s="40">
        <v>0</v>
      </c>
      <c r="I496" s="38">
        <v>4</v>
      </c>
      <c r="J496" s="41">
        <v>43131</v>
      </c>
      <c r="K496" s="38" t="s">
        <v>10768</v>
      </c>
      <c r="L496" s="42">
        <v>50000000</v>
      </c>
      <c r="O496"/>
    </row>
    <row r="497" spans="1:15" x14ac:dyDescent="0.3">
      <c r="A497" s="37">
        <v>78354</v>
      </c>
      <c r="B497" s="38">
        <v>491</v>
      </c>
      <c r="C497" s="39" t="s">
        <v>2974</v>
      </c>
      <c r="D497" s="10" t="str">
        <f>VLOOKUP(C497,'Data Angt'!$A$5:$B$5809,2,FALSE)</f>
        <v>A1256</v>
      </c>
      <c r="E497" s="40" t="s">
        <v>11685</v>
      </c>
      <c r="F497" s="41">
        <v>43131</v>
      </c>
      <c r="G497" s="38">
        <v>1</v>
      </c>
      <c r="H497" s="40">
        <v>0</v>
      </c>
      <c r="I497" s="38">
        <v>4</v>
      </c>
      <c r="J497" s="41">
        <v>43131</v>
      </c>
      <c r="K497" s="38" t="s">
        <v>10768</v>
      </c>
      <c r="L497" s="42">
        <v>50000000</v>
      </c>
      <c r="O497"/>
    </row>
    <row r="498" spans="1:15" x14ac:dyDescent="0.3">
      <c r="A498" s="37">
        <v>78355</v>
      </c>
      <c r="B498" s="38">
        <v>492</v>
      </c>
      <c r="C498" s="39" t="s">
        <v>2974</v>
      </c>
      <c r="D498" s="10" t="str">
        <f>VLOOKUP(C498,'Data Angt'!$A$5:$B$5809,2,FALSE)</f>
        <v>A1256</v>
      </c>
      <c r="E498" s="40" t="s">
        <v>11684</v>
      </c>
      <c r="F498" s="41">
        <v>43131</v>
      </c>
      <c r="G498" s="38">
        <v>1</v>
      </c>
      <c r="H498" s="40">
        <v>0</v>
      </c>
      <c r="I498" s="38">
        <v>4</v>
      </c>
      <c r="J498" s="41">
        <v>43131</v>
      </c>
      <c r="K498" s="38" t="s">
        <v>10768</v>
      </c>
      <c r="L498" s="42">
        <v>50000000</v>
      </c>
      <c r="O498"/>
    </row>
    <row r="499" spans="1:15" x14ac:dyDescent="0.3">
      <c r="A499" s="37">
        <v>78356</v>
      </c>
      <c r="B499" s="38">
        <v>493</v>
      </c>
      <c r="C499" s="39" t="s">
        <v>2974</v>
      </c>
      <c r="D499" s="10" t="str">
        <f>VLOOKUP(C499,'Data Angt'!$A$5:$B$5809,2,FALSE)</f>
        <v>A1256</v>
      </c>
      <c r="E499" s="40" t="s">
        <v>11683</v>
      </c>
      <c r="F499" s="41">
        <v>43131</v>
      </c>
      <c r="G499" s="38">
        <v>1</v>
      </c>
      <c r="H499" s="40">
        <v>0</v>
      </c>
      <c r="I499" s="38">
        <v>4</v>
      </c>
      <c r="J499" s="41">
        <v>43131</v>
      </c>
      <c r="K499" s="38" t="s">
        <v>10768</v>
      </c>
      <c r="L499" s="42">
        <v>50000000</v>
      </c>
      <c r="O499"/>
    </row>
    <row r="500" spans="1:15" x14ac:dyDescent="0.3">
      <c r="A500" s="37">
        <v>78357</v>
      </c>
      <c r="B500" s="38">
        <v>494</v>
      </c>
      <c r="C500" s="39" t="s">
        <v>2974</v>
      </c>
      <c r="D500" s="10" t="str">
        <f>VLOOKUP(C500,'Data Angt'!$A$5:$B$5809,2,FALSE)</f>
        <v>A1256</v>
      </c>
      <c r="E500" s="40" t="s">
        <v>11682</v>
      </c>
      <c r="F500" s="41">
        <v>43131</v>
      </c>
      <c r="G500" s="38">
        <v>1</v>
      </c>
      <c r="H500" s="40">
        <v>0</v>
      </c>
      <c r="I500" s="38">
        <v>4</v>
      </c>
      <c r="J500" s="41">
        <v>43131</v>
      </c>
      <c r="K500" s="38" t="s">
        <v>10768</v>
      </c>
      <c r="L500" s="42">
        <v>50000000</v>
      </c>
      <c r="O500"/>
    </row>
    <row r="501" spans="1:15" x14ac:dyDescent="0.3">
      <c r="A501" s="37">
        <v>118536</v>
      </c>
      <c r="B501" s="38">
        <v>495</v>
      </c>
      <c r="C501" s="39" t="s">
        <v>3009</v>
      </c>
      <c r="D501" s="10" t="str">
        <f>VLOOKUP(C501,'Data Angt'!$A$5:$B$5809,2,FALSE)</f>
        <v>A1272</v>
      </c>
      <c r="E501" s="40" t="s">
        <v>11681</v>
      </c>
      <c r="F501" s="41">
        <v>43790</v>
      </c>
      <c r="G501" s="38">
        <v>1</v>
      </c>
      <c r="H501" s="40">
        <v>0</v>
      </c>
      <c r="I501" s="38">
        <v>4</v>
      </c>
      <c r="J501" s="41">
        <v>43790</v>
      </c>
      <c r="K501" s="38" t="s">
        <v>10768</v>
      </c>
      <c r="L501" s="42">
        <v>10000000</v>
      </c>
      <c r="O501"/>
    </row>
    <row r="502" spans="1:15" x14ac:dyDescent="0.3">
      <c r="A502" s="37">
        <v>144328</v>
      </c>
      <c r="B502" s="38">
        <v>496</v>
      </c>
      <c r="C502" s="39" t="s">
        <v>3009</v>
      </c>
      <c r="D502" s="10" t="str">
        <f>VLOOKUP(C502,'Data Angt'!$A$5:$B$5809,2,FALSE)</f>
        <v>A1272</v>
      </c>
      <c r="E502" s="40" t="s">
        <v>18118</v>
      </c>
      <c r="F502" s="41">
        <v>45401</v>
      </c>
      <c r="G502" s="38">
        <v>1</v>
      </c>
      <c r="H502" s="40">
        <v>0</v>
      </c>
      <c r="I502" s="38">
        <v>4</v>
      </c>
      <c r="J502" s="41">
        <v>45401</v>
      </c>
      <c r="K502" s="38" t="s">
        <v>10768</v>
      </c>
      <c r="L502" s="42">
        <v>10000000</v>
      </c>
      <c r="O502"/>
    </row>
    <row r="503" spans="1:15" x14ac:dyDescent="0.3">
      <c r="A503" s="37">
        <v>144329</v>
      </c>
      <c r="B503" s="38">
        <v>497</v>
      </c>
      <c r="C503" s="39" t="s">
        <v>3009</v>
      </c>
      <c r="D503" s="10" t="str">
        <f>VLOOKUP(C503,'Data Angt'!$A$5:$B$5809,2,FALSE)</f>
        <v>A1272</v>
      </c>
      <c r="E503" s="40" t="s">
        <v>18119</v>
      </c>
      <c r="F503" s="41">
        <v>45401</v>
      </c>
      <c r="G503" s="38">
        <v>1</v>
      </c>
      <c r="H503" s="40">
        <v>0</v>
      </c>
      <c r="I503" s="38">
        <v>4</v>
      </c>
      <c r="J503" s="41">
        <v>45401</v>
      </c>
      <c r="K503" s="38" t="s">
        <v>10768</v>
      </c>
      <c r="L503" s="42">
        <v>15000000</v>
      </c>
      <c r="O503"/>
    </row>
    <row r="504" spans="1:15" x14ac:dyDescent="0.3">
      <c r="A504" s="37">
        <v>119603</v>
      </c>
      <c r="B504" s="38">
        <v>498</v>
      </c>
      <c r="C504" s="39" t="s">
        <v>3024</v>
      </c>
      <c r="D504" s="10" t="str">
        <f>VLOOKUP(C504,'Data Angt'!$A$5:$B$5809,2,FALSE)</f>
        <v>A1279</v>
      </c>
      <c r="E504" s="40" t="s">
        <v>11680</v>
      </c>
      <c r="F504" s="41">
        <v>43841</v>
      </c>
      <c r="G504" s="38">
        <v>1</v>
      </c>
      <c r="H504" s="40">
        <v>0</v>
      </c>
      <c r="I504" s="38">
        <v>4</v>
      </c>
      <c r="J504" s="41">
        <v>43841</v>
      </c>
      <c r="K504" s="38" t="s">
        <v>10768</v>
      </c>
      <c r="L504" s="42">
        <v>45000000</v>
      </c>
      <c r="O504"/>
    </row>
    <row r="505" spans="1:15" x14ac:dyDescent="0.3">
      <c r="A505" s="37">
        <v>87932</v>
      </c>
      <c r="B505" s="38">
        <v>499</v>
      </c>
      <c r="C505" s="39" t="s">
        <v>3051</v>
      </c>
      <c r="D505" s="10" t="str">
        <f>VLOOKUP(C505,'Data Angt'!$A$5:$B$5809,2,FALSE)</f>
        <v>A1291</v>
      </c>
      <c r="E505" s="40" t="s">
        <v>11679</v>
      </c>
      <c r="F505" s="41">
        <v>43309</v>
      </c>
      <c r="G505" s="38">
        <v>1</v>
      </c>
      <c r="H505" s="40">
        <v>0</v>
      </c>
      <c r="I505" s="38">
        <v>4</v>
      </c>
      <c r="J505" s="41">
        <v>43309</v>
      </c>
      <c r="K505" s="38" t="s">
        <v>10768</v>
      </c>
      <c r="L505" s="42">
        <v>25000000</v>
      </c>
      <c r="O505"/>
    </row>
    <row r="506" spans="1:15" x14ac:dyDescent="0.3">
      <c r="A506" s="37">
        <v>154704</v>
      </c>
      <c r="B506" s="38">
        <v>500</v>
      </c>
      <c r="C506" s="39" t="s">
        <v>3082</v>
      </c>
      <c r="D506" s="10" t="str">
        <f>VLOOKUP(C506,'Data Angt'!$A$5:$B$5809,2,FALSE)</f>
        <v>A1305</v>
      </c>
      <c r="E506" s="40" t="s">
        <v>18120</v>
      </c>
      <c r="F506" s="41">
        <v>45737</v>
      </c>
      <c r="G506" s="38">
        <v>1</v>
      </c>
      <c r="H506" s="40">
        <v>0</v>
      </c>
      <c r="I506" s="38">
        <v>4</v>
      </c>
      <c r="J506" s="41">
        <v>45737</v>
      </c>
      <c r="K506" s="38" t="s">
        <v>10768</v>
      </c>
      <c r="L506" s="42">
        <v>2000000</v>
      </c>
      <c r="O506"/>
    </row>
    <row r="507" spans="1:15" x14ac:dyDescent="0.3">
      <c r="A507" s="37">
        <v>156427</v>
      </c>
      <c r="B507" s="38">
        <v>501</v>
      </c>
      <c r="C507" s="39" t="s">
        <v>3082</v>
      </c>
      <c r="D507" s="10" t="str">
        <f>VLOOKUP(C507,'Data Angt'!$A$5:$B$5809,2,FALSE)</f>
        <v>A1305</v>
      </c>
      <c r="E507" s="40" t="s">
        <v>18121</v>
      </c>
      <c r="F507" s="41">
        <v>45824</v>
      </c>
      <c r="G507" s="38">
        <v>1</v>
      </c>
      <c r="H507" s="40">
        <v>0</v>
      </c>
      <c r="I507" s="38">
        <v>4</v>
      </c>
      <c r="J507" s="41">
        <v>45824</v>
      </c>
      <c r="K507" s="38" t="s">
        <v>10768</v>
      </c>
      <c r="L507" s="42">
        <v>2000000</v>
      </c>
      <c r="O507"/>
    </row>
    <row r="508" spans="1:15" x14ac:dyDescent="0.3">
      <c r="A508" s="37">
        <v>157365</v>
      </c>
      <c r="B508" s="38">
        <v>502</v>
      </c>
      <c r="C508" s="39" t="s">
        <v>3082</v>
      </c>
      <c r="D508" s="10" t="str">
        <f>VLOOKUP(C508,'Data Angt'!$A$5:$B$5809,2,FALSE)</f>
        <v>A1305</v>
      </c>
      <c r="E508" s="40" t="s">
        <v>24027</v>
      </c>
      <c r="F508" s="41">
        <v>45866</v>
      </c>
      <c r="G508" s="38">
        <v>1</v>
      </c>
      <c r="H508" s="40">
        <v>0</v>
      </c>
      <c r="I508" s="38">
        <v>4</v>
      </c>
      <c r="J508" s="41">
        <v>45866</v>
      </c>
      <c r="K508" s="38" t="s">
        <v>10768</v>
      </c>
      <c r="L508" s="42">
        <v>2000000</v>
      </c>
      <c r="O508"/>
    </row>
    <row r="509" spans="1:15" x14ac:dyDescent="0.3">
      <c r="A509" s="37">
        <v>158127</v>
      </c>
      <c r="B509" s="38">
        <v>503</v>
      </c>
      <c r="C509" s="39" t="s">
        <v>3082</v>
      </c>
      <c r="D509" s="10" t="str">
        <f>VLOOKUP(C509,'Data Angt'!$A$5:$B$5809,2,FALSE)</f>
        <v>A1305</v>
      </c>
      <c r="E509" s="40" t="s">
        <v>24028</v>
      </c>
      <c r="F509" s="41">
        <v>45895</v>
      </c>
      <c r="G509" s="38">
        <v>1</v>
      </c>
      <c r="H509" s="40">
        <v>0</v>
      </c>
      <c r="I509" s="38">
        <v>4</v>
      </c>
      <c r="J509" s="41">
        <v>45895</v>
      </c>
      <c r="K509" s="38" t="s">
        <v>10768</v>
      </c>
      <c r="L509" s="42">
        <v>2000000</v>
      </c>
      <c r="O509"/>
    </row>
    <row r="510" spans="1:15" x14ac:dyDescent="0.3">
      <c r="A510" s="37">
        <v>140189</v>
      </c>
      <c r="B510" s="38">
        <v>504</v>
      </c>
      <c r="C510" s="39" t="s">
        <v>3140</v>
      </c>
      <c r="D510" s="10" t="str">
        <f>VLOOKUP(C510,'Data Angt'!$A$5:$B$5809,2,FALSE)</f>
        <v>A1330</v>
      </c>
      <c r="E510" s="40" t="s">
        <v>11678</v>
      </c>
      <c r="F510" s="41">
        <v>45233</v>
      </c>
      <c r="G510" s="38">
        <v>1</v>
      </c>
      <c r="H510" s="40">
        <v>0</v>
      </c>
      <c r="I510" s="38">
        <v>4</v>
      </c>
      <c r="J510" s="41">
        <v>45233</v>
      </c>
      <c r="K510" s="38" t="s">
        <v>10768</v>
      </c>
      <c r="L510" s="42">
        <v>10000000</v>
      </c>
      <c r="O510"/>
    </row>
    <row r="511" spans="1:15" x14ac:dyDescent="0.3">
      <c r="A511" s="37">
        <v>127579</v>
      </c>
      <c r="B511" s="38">
        <v>505</v>
      </c>
      <c r="C511" s="39" t="s">
        <v>3258</v>
      </c>
      <c r="D511" s="10" t="str">
        <f>VLOOKUP(C511,'Data Angt'!$A$5:$B$5809,2,FALSE)</f>
        <v>A1382</v>
      </c>
      <c r="E511" s="40" t="s">
        <v>11677</v>
      </c>
      <c r="F511" s="41">
        <v>44277</v>
      </c>
      <c r="G511" s="38">
        <v>1</v>
      </c>
      <c r="H511" s="40">
        <v>0</v>
      </c>
      <c r="I511" s="38">
        <v>4</v>
      </c>
      <c r="J511" s="41">
        <v>44277</v>
      </c>
      <c r="K511" s="38" t="s">
        <v>10768</v>
      </c>
      <c r="L511" s="42">
        <v>30000000</v>
      </c>
      <c r="O511"/>
    </row>
    <row r="512" spans="1:15" x14ac:dyDescent="0.3">
      <c r="A512" s="37">
        <v>77895</v>
      </c>
      <c r="B512" s="38">
        <v>506</v>
      </c>
      <c r="C512" s="39" t="s">
        <v>3314</v>
      </c>
      <c r="D512" s="10" t="str">
        <f>VLOOKUP(C512,'Data Angt'!$A$5:$B$5809,2,FALSE)</f>
        <v>A1409</v>
      </c>
      <c r="E512" s="40" t="s">
        <v>11676</v>
      </c>
      <c r="F512" s="41">
        <v>41299</v>
      </c>
      <c r="G512" s="38">
        <v>1</v>
      </c>
      <c r="H512" s="40">
        <v>0</v>
      </c>
      <c r="I512" s="38">
        <v>4</v>
      </c>
      <c r="J512" s="41">
        <v>41299</v>
      </c>
      <c r="K512" s="38" t="s">
        <v>10768</v>
      </c>
      <c r="L512" s="42">
        <v>41000000</v>
      </c>
      <c r="O512"/>
    </row>
    <row r="513" spans="1:15" x14ac:dyDescent="0.3">
      <c r="A513" s="37">
        <v>78448</v>
      </c>
      <c r="B513" s="38">
        <v>507</v>
      </c>
      <c r="C513" s="39" t="s">
        <v>3314</v>
      </c>
      <c r="D513" s="10" t="str">
        <f>VLOOKUP(C513,'Data Angt'!$A$5:$B$5809,2,FALSE)</f>
        <v>A1409</v>
      </c>
      <c r="E513" s="40" t="s">
        <v>11675</v>
      </c>
      <c r="F513" s="41">
        <v>42797</v>
      </c>
      <c r="G513" s="38">
        <v>1</v>
      </c>
      <c r="H513" s="40">
        <v>0</v>
      </c>
      <c r="I513" s="38">
        <v>4</v>
      </c>
      <c r="J513" s="41">
        <v>42797</v>
      </c>
      <c r="K513" s="38" t="s">
        <v>10768</v>
      </c>
      <c r="L513" s="42">
        <v>45000000</v>
      </c>
      <c r="O513"/>
    </row>
    <row r="514" spans="1:15" x14ac:dyDescent="0.3">
      <c r="A514" s="37">
        <v>141341</v>
      </c>
      <c r="B514" s="38">
        <v>508</v>
      </c>
      <c r="C514" s="39" t="s">
        <v>3363</v>
      </c>
      <c r="D514" s="10" t="str">
        <f>VLOOKUP(C514,'Data Angt'!$A$5:$B$5809,2,FALSE)</f>
        <v>A1429</v>
      </c>
      <c r="E514" s="40" t="s">
        <v>11674</v>
      </c>
      <c r="F514" s="41">
        <v>45289</v>
      </c>
      <c r="G514" s="38">
        <v>1</v>
      </c>
      <c r="H514" s="40">
        <v>0</v>
      </c>
      <c r="I514" s="38">
        <v>4</v>
      </c>
      <c r="J514" s="41">
        <v>45289</v>
      </c>
      <c r="K514" s="38" t="s">
        <v>10768</v>
      </c>
      <c r="L514" s="42">
        <v>6000000</v>
      </c>
      <c r="O514"/>
    </row>
    <row r="515" spans="1:15" x14ac:dyDescent="0.3">
      <c r="A515" s="37">
        <v>154524</v>
      </c>
      <c r="B515" s="38">
        <v>509</v>
      </c>
      <c r="C515" s="39" t="s">
        <v>3363</v>
      </c>
      <c r="D515" s="10" t="str">
        <f>VLOOKUP(C515,'Data Angt'!$A$5:$B$5809,2,FALSE)</f>
        <v>A1429</v>
      </c>
      <c r="E515" s="40" t="s">
        <v>18122</v>
      </c>
      <c r="F515" s="41">
        <v>45729</v>
      </c>
      <c r="G515" s="38">
        <v>1</v>
      </c>
      <c r="H515" s="40">
        <v>0</v>
      </c>
      <c r="I515" s="38">
        <v>4</v>
      </c>
      <c r="J515" s="41">
        <v>45729</v>
      </c>
      <c r="K515" s="38" t="s">
        <v>10768</v>
      </c>
      <c r="L515" s="42">
        <v>11000000</v>
      </c>
      <c r="O515"/>
    </row>
    <row r="516" spans="1:15" x14ac:dyDescent="0.3">
      <c r="A516" s="37">
        <v>158485</v>
      </c>
      <c r="B516" s="38">
        <v>510</v>
      </c>
      <c r="C516" s="39" t="s">
        <v>3363</v>
      </c>
      <c r="D516" s="10" t="str">
        <f>VLOOKUP(C516,'Data Angt'!$A$5:$B$5809,2,FALSE)</f>
        <v>A1429</v>
      </c>
      <c r="E516" s="40" t="s">
        <v>24029</v>
      </c>
      <c r="F516" s="41">
        <v>45910</v>
      </c>
      <c r="G516" s="38">
        <v>1</v>
      </c>
      <c r="H516" s="40">
        <v>0</v>
      </c>
      <c r="I516" s="38">
        <v>4</v>
      </c>
      <c r="J516" s="41">
        <v>45910</v>
      </c>
      <c r="K516" s="38" t="s">
        <v>10768</v>
      </c>
      <c r="L516" s="42">
        <v>10000000</v>
      </c>
      <c r="O516"/>
    </row>
    <row r="517" spans="1:15" x14ac:dyDescent="0.3">
      <c r="A517" s="37">
        <v>132356</v>
      </c>
      <c r="B517" s="38">
        <v>511</v>
      </c>
      <c r="C517" s="39" t="s">
        <v>3391</v>
      </c>
      <c r="D517" s="10" t="str">
        <f>VLOOKUP(C517,'Data Angt'!$A$5:$B$5809,2,FALSE)</f>
        <v>A1441</v>
      </c>
      <c r="E517" s="40" t="s">
        <v>11670</v>
      </c>
      <c r="F517" s="41">
        <v>44651</v>
      </c>
      <c r="G517" s="38">
        <v>1</v>
      </c>
      <c r="H517" s="40">
        <v>0</v>
      </c>
      <c r="I517" s="38">
        <v>4</v>
      </c>
      <c r="J517" s="41">
        <v>44651</v>
      </c>
      <c r="K517" s="38" t="s">
        <v>10768</v>
      </c>
      <c r="L517" s="42">
        <v>36000000</v>
      </c>
      <c r="O517"/>
    </row>
    <row r="518" spans="1:15" x14ac:dyDescent="0.3">
      <c r="A518" s="37">
        <v>77986</v>
      </c>
      <c r="B518" s="38">
        <v>512</v>
      </c>
      <c r="C518" s="39" t="s">
        <v>3391</v>
      </c>
      <c r="D518" s="10" t="str">
        <f>VLOOKUP(C518,'Data Angt'!$A$5:$B$5809,2,FALSE)</f>
        <v>A1441</v>
      </c>
      <c r="E518" s="40" t="s">
        <v>11673</v>
      </c>
      <c r="F518" s="41">
        <v>42388</v>
      </c>
      <c r="G518" s="38">
        <v>1</v>
      </c>
      <c r="H518" s="40">
        <v>0</v>
      </c>
      <c r="I518" s="38">
        <v>4</v>
      </c>
      <c r="J518" s="41">
        <v>42388</v>
      </c>
      <c r="K518" s="38" t="s">
        <v>10768</v>
      </c>
      <c r="L518" s="42">
        <v>5500000</v>
      </c>
      <c r="O518"/>
    </row>
    <row r="519" spans="1:15" x14ac:dyDescent="0.3">
      <c r="A519" s="37">
        <v>77996</v>
      </c>
      <c r="B519" s="38">
        <v>513</v>
      </c>
      <c r="C519" s="39" t="s">
        <v>3391</v>
      </c>
      <c r="D519" s="10" t="str">
        <f>VLOOKUP(C519,'Data Angt'!$A$5:$B$5809,2,FALSE)</f>
        <v>A1441</v>
      </c>
      <c r="E519" s="40" t="s">
        <v>11672</v>
      </c>
      <c r="F519" s="41">
        <v>42453</v>
      </c>
      <c r="G519" s="38">
        <v>1</v>
      </c>
      <c r="H519" s="40">
        <v>0</v>
      </c>
      <c r="I519" s="38">
        <v>4</v>
      </c>
      <c r="J519" s="41">
        <v>42453</v>
      </c>
      <c r="K519" s="38" t="s">
        <v>10768</v>
      </c>
      <c r="L519" s="42">
        <v>3500000</v>
      </c>
      <c r="O519"/>
    </row>
    <row r="520" spans="1:15" x14ac:dyDescent="0.3">
      <c r="A520" s="37">
        <v>120212</v>
      </c>
      <c r="B520" s="38">
        <v>514</v>
      </c>
      <c r="C520" s="39" t="s">
        <v>3391</v>
      </c>
      <c r="D520" s="10" t="str">
        <f>VLOOKUP(C520,'Data Angt'!$A$5:$B$5809,2,FALSE)</f>
        <v>A1441</v>
      </c>
      <c r="E520" s="40" t="s">
        <v>11671</v>
      </c>
      <c r="F520" s="41">
        <v>43859</v>
      </c>
      <c r="G520" s="38">
        <v>1</v>
      </c>
      <c r="H520" s="40">
        <v>0</v>
      </c>
      <c r="I520" s="38">
        <v>4</v>
      </c>
      <c r="J520" s="41">
        <v>43859</v>
      </c>
      <c r="K520" s="38" t="s">
        <v>10768</v>
      </c>
      <c r="L520" s="42">
        <v>6000000</v>
      </c>
      <c r="O520"/>
    </row>
    <row r="521" spans="1:15" x14ac:dyDescent="0.3">
      <c r="A521" s="37">
        <v>155496</v>
      </c>
      <c r="B521" s="38">
        <v>515</v>
      </c>
      <c r="C521" s="39" t="s">
        <v>3498</v>
      </c>
      <c r="D521" s="10" t="str">
        <f>VLOOKUP(C521,'Data Angt'!$A$5:$B$5809,2,FALSE)</f>
        <v>A1493</v>
      </c>
      <c r="E521" s="40" t="s">
        <v>18123</v>
      </c>
      <c r="F521" s="41">
        <v>45784</v>
      </c>
      <c r="G521" s="38">
        <v>1</v>
      </c>
      <c r="H521" s="40">
        <v>0</v>
      </c>
      <c r="I521" s="38">
        <v>4</v>
      </c>
      <c r="J521" s="41">
        <v>45784</v>
      </c>
      <c r="K521" s="38" t="s">
        <v>10768</v>
      </c>
      <c r="L521" s="42">
        <v>5000000</v>
      </c>
      <c r="O521"/>
    </row>
    <row r="522" spans="1:15" x14ac:dyDescent="0.3">
      <c r="A522" s="37">
        <v>144013</v>
      </c>
      <c r="B522" s="38">
        <v>516</v>
      </c>
      <c r="C522" s="39" t="s">
        <v>3504</v>
      </c>
      <c r="D522" s="10" t="str">
        <f>VLOOKUP(C522,'Data Angt'!$A$5:$B$5809,2,FALSE)</f>
        <v>A1496</v>
      </c>
      <c r="E522" s="40" t="s">
        <v>18124</v>
      </c>
      <c r="F522" s="41">
        <v>45379</v>
      </c>
      <c r="G522" s="38">
        <v>1</v>
      </c>
      <c r="H522" s="40">
        <v>0</v>
      </c>
      <c r="I522" s="38">
        <v>4</v>
      </c>
      <c r="J522" s="41">
        <v>45379</v>
      </c>
      <c r="K522" s="38" t="s">
        <v>10768</v>
      </c>
      <c r="L522" s="42">
        <v>51000000</v>
      </c>
      <c r="O522"/>
    </row>
    <row r="523" spans="1:15" x14ac:dyDescent="0.3">
      <c r="A523" s="37">
        <v>144124</v>
      </c>
      <c r="B523" s="38">
        <v>517</v>
      </c>
      <c r="C523" s="39" t="s">
        <v>3504</v>
      </c>
      <c r="D523" s="10" t="str">
        <f>VLOOKUP(C523,'Data Angt'!$A$5:$B$5809,2,FALSE)</f>
        <v>A1496</v>
      </c>
      <c r="E523" s="40" t="s">
        <v>18125</v>
      </c>
      <c r="F523" s="41">
        <v>45385</v>
      </c>
      <c r="G523" s="38">
        <v>1</v>
      </c>
      <c r="H523" s="40">
        <v>0</v>
      </c>
      <c r="I523" s="38">
        <v>4</v>
      </c>
      <c r="J523" s="41">
        <v>45385</v>
      </c>
      <c r="K523" s="38" t="s">
        <v>10768</v>
      </c>
      <c r="L523" s="42">
        <v>20000000</v>
      </c>
      <c r="O523"/>
    </row>
    <row r="524" spans="1:15" x14ac:dyDescent="0.3">
      <c r="A524" s="37">
        <v>158645</v>
      </c>
      <c r="B524" s="38">
        <v>518</v>
      </c>
      <c r="C524" s="39" t="s">
        <v>3504</v>
      </c>
      <c r="D524" s="10" t="str">
        <f>VLOOKUP(C524,'Data Angt'!$A$5:$B$5809,2,FALSE)</f>
        <v>A1496</v>
      </c>
      <c r="E524" s="40" t="s">
        <v>24030</v>
      </c>
      <c r="F524" s="41">
        <v>45918</v>
      </c>
      <c r="G524" s="38">
        <v>1</v>
      </c>
      <c r="H524" s="40">
        <v>0</v>
      </c>
      <c r="I524" s="38">
        <v>4</v>
      </c>
      <c r="J524" s="41">
        <v>45918</v>
      </c>
      <c r="K524" s="38" t="s">
        <v>10768</v>
      </c>
      <c r="L524" s="42">
        <v>2000000</v>
      </c>
      <c r="O524"/>
    </row>
    <row r="525" spans="1:15" x14ac:dyDescent="0.3">
      <c r="A525" s="37">
        <v>158646</v>
      </c>
      <c r="B525" s="38">
        <v>519</v>
      </c>
      <c r="C525" s="39" t="s">
        <v>3504</v>
      </c>
      <c r="D525" s="10" t="str">
        <f>VLOOKUP(C525,'Data Angt'!$A$5:$B$5809,2,FALSE)</f>
        <v>A1496</v>
      </c>
      <c r="E525" s="40" t="s">
        <v>24031</v>
      </c>
      <c r="F525" s="41">
        <v>45918</v>
      </c>
      <c r="G525" s="38">
        <v>1</v>
      </c>
      <c r="H525" s="40">
        <v>0</v>
      </c>
      <c r="I525" s="38">
        <v>4</v>
      </c>
      <c r="J525" s="41">
        <v>45918</v>
      </c>
      <c r="K525" s="38" t="s">
        <v>10768</v>
      </c>
      <c r="L525" s="42">
        <v>2000000</v>
      </c>
      <c r="O525"/>
    </row>
    <row r="526" spans="1:15" x14ac:dyDescent="0.3">
      <c r="A526" s="37">
        <v>156493</v>
      </c>
      <c r="B526" s="38">
        <v>520</v>
      </c>
      <c r="C526" s="39" t="s">
        <v>3520</v>
      </c>
      <c r="D526" s="10" t="str">
        <f>VLOOKUP(C526,'Data Angt'!$A$5:$B$5809,2,FALSE)</f>
        <v>A1503</v>
      </c>
      <c r="E526" s="40" t="s">
        <v>18126</v>
      </c>
      <c r="F526" s="41">
        <v>45828</v>
      </c>
      <c r="G526" s="38">
        <v>1</v>
      </c>
      <c r="H526" s="40">
        <v>0</v>
      </c>
      <c r="I526" s="38">
        <v>4</v>
      </c>
      <c r="J526" s="41">
        <v>45828</v>
      </c>
      <c r="K526" s="38" t="s">
        <v>10768</v>
      </c>
      <c r="L526" s="42">
        <v>5000000</v>
      </c>
      <c r="O526"/>
    </row>
    <row r="527" spans="1:15" x14ac:dyDescent="0.3">
      <c r="A527" s="37">
        <v>157235</v>
      </c>
      <c r="B527" s="38">
        <v>521</v>
      </c>
      <c r="C527" s="39" t="s">
        <v>3520</v>
      </c>
      <c r="D527" s="10" t="str">
        <f>VLOOKUP(C527,'Data Angt'!$A$5:$B$5809,2,FALSE)</f>
        <v>A1503</v>
      </c>
      <c r="E527" s="40" t="s">
        <v>24032</v>
      </c>
      <c r="F527" s="41">
        <v>45860</v>
      </c>
      <c r="G527" s="38">
        <v>1</v>
      </c>
      <c r="H527" s="40">
        <v>0</v>
      </c>
      <c r="I527" s="38">
        <v>4</v>
      </c>
      <c r="J527" s="41">
        <v>45860</v>
      </c>
      <c r="K527" s="38" t="s">
        <v>10768</v>
      </c>
      <c r="L527" s="42">
        <v>5000000</v>
      </c>
      <c r="O527"/>
    </row>
    <row r="528" spans="1:15" x14ac:dyDescent="0.3">
      <c r="A528" s="37">
        <v>152873</v>
      </c>
      <c r="B528" s="38">
        <v>522</v>
      </c>
      <c r="C528" s="39" t="s">
        <v>3534</v>
      </c>
      <c r="D528" s="10" t="str">
        <f>VLOOKUP(C528,'Data Angt'!$A$5:$B$5809,2,FALSE)</f>
        <v>A1509</v>
      </c>
      <c r="E528" s="40" t="s">
        <v>18127</v>
      </c>
      <c r="F528" s="41">
        <v>45694</v>
      </c>
      <c r="G528" s="38">
        <v>1</v>
      </c>
      <c r="H528" s="40">
        <v>0</v>
      </c>
      <c r="I528" s="38">
        <v>4</v>
      </c>
      <c r="J528" s="41">
        <v>45694</v>
      </c>
      <c r="K528" s="38" t="s">
        <v>10768</v>
      </c>
      <c r="L528" s="42">
        <v>10000000</v>
      </c>
      <c r="O528"/>
    </row>
    <row r="529" spans="1:15" x14ac:dyDescent="0.3">
      <c r="A529" s="37">
        <v>123667</v>
      </c>
      <c r="B529" s="38">
        <v>523</v>
      </c>
      <c r="C529" s="39" t="s">
        <v>12262</v>
      </c>
      <c r="D529" s="10" t="str">
        <f>VLOOKUP(C529,'Data Angt'!$A$5:$B$5809,2,FALSE)</f>
        <v>A1511</v>
      </c>
      <c r="E529" s="40" t="s">
        <v>11669</v>
      </c>
      <c r="F529" s="41">
        <v>43993</v>
      </c>
      <c r="G529" s="38">
        <v>1</v>
      </c>
      <c r="H529" s="40">
        <v>0</v>
      </c>
      <c r="I529" s="38">
        <v>4</v>
      </c>
      <c r="J529" s="41">
        <v>43993</v>
      </c>
      <c r="K529" s="38" t="s">
        <v>10768</v>
      </c>
      <c r="L529" s="42">
        <v>5500000</v>
      </c>
      <c r="O529"/>
    </row>
    <row r="530" spans="1:15" x14ac:dyDescent="0.3">
      <c r="A530" s="37">
        <v>158647</v>
      </c>
      <c r="B530" s="38">
        <v>524</v>
      </c>
      <c r="C530" s="39" t="s">
        <v>12262</v>
      </c>
      <c r="D530" s="10" t="str">
        <f>VLOOKUP(C530,'Data Angt'!$A$5:$B$5809,2,FALSE)</f>
        <v>A1511</v>
      </c>
      <c r="E530" s="40" t="s">
        <v>24033</v>
      </c>
      <c r="F530" s="41">
        <v>45918</v>
      </c>
      <c r="G530" s="38">
        <v>1</v>
      </c>
      <c r="H530" s="40">
        <v>0</v>
      </c>
      <c r="I530" s="38">
        <v>4</v>
      </c>
      <c r="J530" s="41">
        <v>45918</v>
      </c>
      <c r="K530" s="38" t="s">
        <v>10768</v>
      </c>
      <c r="L530" s="42">
        <v>3000000</v>
      </c>
      <c r="O530"/>
    </row>
    <row r="531" spans="1:15" x14ac:dyDescent="0.3">
      <c r="A531" s="37">
        <v>77890</v>
      </c>
      <c r="B531" s="38">
        <v>525</v>
      </c>
      <c r="C531" s="39" t="s">
        <v>3549</v>
      </c>
      <c r="D531" s="10" t="str">
        <f>VLOOKUP(C531,'Data Angt'!$A$5:$B$5809,2,FALSE)</f>
        <v>A1516</v>
      </c>
      <c r="E531" s="40" t="s">
        <v>11668</v>
      </c>
      <c r="F531" s="41">
        <v>41134</v>
      </c>
      <c r="G531" s="38">
        <v>1</v>
      </c>
      <c r="H531" s="40">
        <v>0</v>
      </c>
      <c r="I531" s="38">
        <v>4</v>
      </c>
      <c r="J531" s="41">
        <v>41134</v>
      </c>
      <c r="K531" s="38" t="s">
        <v>10768</v>
      </c>
      <c r="L531" s="42">
        <v>5000000</v>
      </c>
      <c r="O531"/>
    </row>
    <row r="532" spans="1:15" x14ac:dyDescent="0.3">
      <c r="A532" s="37">
        <v>77929</v>
      </c>
      <c r="B532" s="38">
        <v>526</v>
      </c>
      <c r="C532" s="39" t="s">
        <v>3549</v>
      </c>
      <c r="D532" s="10" t="str">
        <f>VLOOKUP(C532,'Data Angt'!$A$5:$B$5809,2,FALSE)</f>
        <v>A1516</v>
      </c>
      <c r="E532" s="40" t="s">
        <v>11667</v>
      </c>
      <c r="F532" s="41">
        <v>41806</v>
      </c>
      <c r="G532" s="38">
        <v>1</v>
      </c>
      <c r="H532" s="40">
        <v>0</v>
      </c>
      <c r="I532" s="38">
        <v>4</v>
      </c>
      <c r="J532" s="41">
        <v>41806</v>
      </c>
      <c r="K532" s="38" t="s">
        <v>10768</v>
      </c>
      <c r="L532" s="42">
        <v>4000000</v>
      </c>
      <c r="O532"/>
    </row>
    <row r="533" spans="1:15" x14ac:dyDescent="0.3">
      <c r="A533" s="37">
        <v>131848</v>
      </c>
      <c r="B533" s="38">
        <v>527</v>
      </c>
      <c r="C533" s="39" t="s">
        <v>3554</v>
      </c>
      <c r="D533" s="10" t="str">
        <f>VLOOKUP(C533,'Data Angt'!$A$5:$B$5809,2,FALSE)</f>
        <v>A1518</v>
      </c>
      <c r="E533" s="40" t="s">
        <v>11666</v>
      </c>
      <c r="F533" s="41">
        <v>44613</v>
      </c>
      <c r="G533" s="38">
        <v>1</v>
      </c>
      <c r="H533" s="40">
        <v>0</v>
      </c>
      <c r="I533" s="38">
        <v>4</v>
      </c>
      <c r="J533" s="41">
        <v>44613</v>
      </c>
      <c r="K533" s="38" t="s">
        <v>10768</v>
      </c>
      <c r="L533" s="42">
        <v>5000000</v>
      </c>
      <c r="O533"/>
    </row>
    <row r="534" spans="1:15" x14ac:dyDescent="0.3">
      <c r="A534" s="37">
        <v>136028</v>
      </c>
      <c r="B534" s="38">
        <v>528</v>
      </c>
      <c r="C534" s="39" t="s">
        <v>3566</v>
      </c>
      <c r="D534" s="10" t="str">
        <f>VLOOKUP(C534,'Data Angt'!$A$5:$B$5809,2,FALSE)</f>
        <v>A1522</v>
      </c>
      <c r="E534" s="40" t="s">
        <v>11665</v>
      </c>
      <c r="F534" s="41">
        <v>44944</v>
      </c>
      <c r="G534" s="38">
        <v>1</v>
      </c>
      <c r="H534" s="40">
        <v>0</v>
      </c>
      <c r="I534" s="38">
        <v>4</v>
      </c>
      <c r="J534" s="41">
        <v>44944</v>
      </c>
      <c r="K534" s="38" t="s">
        <v>10768</v>
      </c>
      <c r="L534" s="42">
        <v>1500000</v>
      </c>
      <c r="O534"/>
    </row>
    <row r="535" spans="1:15" x14ac:dyDescent="0.3">
      <c r="A535" s="37">
        <v>155844</v>
      </c>
      <c r="B535" s="38">
        <v>529</v>
      </c>
      <c r="C535" s="39" t="s">
        <v>3645</v>
      </c>
      <c r="D535" s="10" t="str">
        <f>VLOOKUP(C535,'Data Angt'!$A$5:$B$5809,2,FALSE)</f>
        <v>A1564</v>
      </c>
      <c r="E535" s="40" t="s">
        <v>18128</v>
      </c>
      <c r="F535" s="41">
        <v>45798</v>
      </c>
      <c r="G535" s="38">
        <v>1</v>
      </c>
      <c r="H535" s="40">
        <v>0</v>
      </c>
      <c r="I535" s="38">
        <v>4</v>
      </c>
      <c r="J535" s="41">
        <v>45798</v>
      </c>
      <c r="K535" s="38" t="s">
        <v>10768</v>
      </c>
      <c r="L535" s="42">
        <v>1000000</v>
      </c>
      <c r="O535"/>
    </row>
    <row r="536" spans="1:15" x14ac:dyDescent="0.3">
      <c r="A536" s="37">
        <v>138821</v>
      </c>
      <c r="B536" s="38">
        <v>530</v>
      </c>
      <c r="C536" s="39" t="s">
        <v>3728</v>
      </c>
      <c r="D536" s="10" t="str">
        <f>VLOOKUP(C536,'Data Angt'!$A$5:$B$5809,2,FALSE)</f>
        <v>A1605</v>
      </c>
      <c r="E536" s="40" t="s">
        <v>11662</v>
      </c>
      <c r="F536" s="41">
        <v>45156</v>
      </c>
      <c r="G536" s="38">
        <v>1</v>
      </c>
      <c r="H536" s="40">
        <v>0</v>
      </c>
      <c r="I536" s="38">
        <v>4</v>
      </c>
      <c r="J536" s="41">
        <v>45156</v>
      </c>
      <c r="K536" s="38" t="s">
        <v>10768</v>
      </c>
      <c r="L536" s="42">
        <v>200000000</v>
      </c>
      <c r="O536"/>
    </row>
    <row r="537" spans="1:15" x14ac:dyDescent="0.3">
      <c r="A537" s="37">
        <v>138824</v>
      </c>
      <c r="B537" s="38">
        <v>531</v>
      </c>
      <c r="C537" s="39" t="s">
        <v>3728</v>
      </c>
      <c r="D537" s="10" t="str">
        <f>VLOOKUP(C537,'Data Angt'!$A$5:$B$5809,2,FALSE)</f>
        <v>A1605</v>
      </c>
      <c r="E537" s="40" t="s">
        <v>11661</v>
      </c>
      <c r="F537" s="41">
        <v>45156</v>
      </c>
      <c r="G537" s="38">
        <v>1</v>
      </c>
      <c r="H537" s="40">
        <v>0</v>
      </c>
      <c r="I537" s="38">
        <v>4</v>
      </c>
      <c r="J537" s="41">
        <v>45156</v>
      </c>
      <c r="K537" s="38" t="s">
        <v>10768</v>
      </c>
      <c r="L537" s="42">
        <v>150000000</v>
      </c>
      <c r="O537"/>
    </row>
    <row r="538" spans="1:15" x14ac:dyDescent="0.3">
      <c r="A538" s="37">
        <v>145560</v>
      </c>
      <c r="B538" s="38">
        <v>532</v>
      </c>
      <c r="C538" s="39" t="s">
        <v>3728</v>
      </c>
      <c r="D538" s="10" t="str">
        <f>VLOOKUP(C538,'Data Angt'!$A$5:$B$5809,2,FALSE)</f>
        <v>A1605</v>
      </c>
      <c r="E538" s="40" t="s">
        <v>18132</v>
      </c>
      <c r="F538" s="41">
        <v>45440</v>
      </c>
      <c r="G538" s="38">
        <v>1</v>
      </c>
      <c r="H538" s="40">
        <v>0</v>
      </c>
      <c r="I538" s="38">
        <v>4</v>
      </c>
      <c r="J538" s="41">
        <v>45440</v>
      </c>
      <c r="K538" s="38" t="s">
        <v>10768</v>
      </c>
      <c r="L538" s="42">
        <v>400000000</v>
      </c>
      <c r="O538"/>
    </row>
    <row r="539" spans="1:15" x14ac:dyDescent="0.3">
      <c r="A539" s="37">
        <v>145920</v>
      </c>
      <c r="B539" s="38">
        <v>533</v>
      </c>
      <c r="C539" s="39" t="s">
        <v>3728</v>
      </c>
      <c r="D539" s="10" t="str">
        <f>VLOOKUP(C539,'Data Angt'!$A$5:$B$5809,2,FALSE)</f>
        <v>A1605</v>
      </c>
      <c r="E539" s="40" t="s">
        <v>18129</v>
      </c>
      <c r="F539" s="41">
        <v>45454</v>
      </c>
      <c r="G539" s="38">
        <v>1</v>
      </c>
      <c r="H539" s="40">
        <v>0</v>
      </c>
      <c r="I539" s="38">
        <v>4</v>
      </c>
      <c r="J539" s="41">
        <v>45454</v>
      </c>
      <c r="K539" s="38" t="s">
        <v>10768</v>
      </c>
      <c r="L539" s="42">
        <v>400000000</v>
      </c>
      <c r="O539"/>
    </row>
    <row r="540" spans="1:15" x14ac:dyDescent="0.3">
      <c r="A540" s="37">
        <v>150964</v>
      </c>
      <c r="B540" s="38">
        <v>534</v>
      </c>
      <c r="C540" s="39" t="s">
        <v>3728</v>
      </c>
      <c r="D540" s="10" t="str">
        <f>VLOOKUP(C540,'Data Angt'!$A$5:$B$5809,2,FALSE)</f>
        <v>A1605</v>
      </c>
      <c r="E540" s="40" t="s">
        <v>18130</v>
      </c>
      <c r="F540" s="41">
        <v>45622</v>
      </c>
      <c r="G540" s="38">
        <v>1</v>
      </c>
      <c r="H540" s="40">
        <v>0</v>
      </c>
      <c r="I540" s="38">
        <v>4</v>
      </c>
      <c r="J540" s="41">
        <v>45622</v>
      </c>
      <c r="K540" s="38" t="s">
        <v>10768</v>
      </c>
      <c r="L540" s="42">
        <v>400000000</v>
      </c>
      <c r="O540"/>
    </row>
    <row r="541" spans="1:15" x14ac:dyDescent="0.3">
      <c r="A541" s="37">
        <v>156268</v>
      </c>
      <c r="B541" s="38">
        <v>535</v>
      </c>
      <c r="C541" s="39" t="s">
        <v>3728</v>
      </c>
      <c r="D541" s="10" t="str">
        <f>VLOOKUP(C541,'Data Angt'!$A$5:$B$5809,2,FALSE)</f>
        <v>A1605</v>
      </c>
      <c r="E541" s="40" t="s">
        <v>18131</v>
      </c>
      <c r="F541" s="41">
        <v>45817</v>
      </c>
      <c r="G541" s="38">
        <v>1</v>
      </c>
      <c r="H541" s="40">
        <v>0</v>
      </c>
      <c r="I541" s="38">
        <v>4</v>
      </c>
      <c r="J541" s="41">
        <v>45817</v>
      </c>
      <c r="K541" s="38" t="s">
        <v>10768</v>
      </c>
      <c r="L541" s="42">
        <v>300000000</v>
      </c>
      <c r="O541"/>
    </row>
    <row r="542" spans="1:15" x14ac:dyDescent="0.3">
      <c r="A542" s="37">
        <v>125103</v>
      </c>
      <c r="B542" s="38">
        <v>536</v>
      </c>
      <c r="C542" s="39" t="s">
        <v>3728</v>
      </c>
      <c r="D542" s="10" t="str">
        <f>VLOOKUP(C542,'Data Angt'!$A$5:$B$5809,2,FALSE)</f>
        <v>A1605</v>
      </c>
      <c r="E542" s="40" t="s">
        <v>11660</v>
      </c>
      <c r="F542" s="41">
        <v>44095</v>
      </c>
      <c r="G542" s="38">
        <v>1</v>
      </c>
      <c r="H542" s="40">
        <v>0</v>
      </c>
      <c r="I542" s="38">
        <v>4</v>
      </c>
      <c r="J542" s="41">
        <v>44095</v>
      </c>
      <c r="K542" s="38" t="s">
        <v>10768</v>
      </c>
      <c r="L542" s="42">
        <v>300000000</v>
      </c>
      <c r="O542"/>
    </row>
    <row r="543" spans="1:15" x14ac:dyDescent="0.3">
      <c r="A543" s="37">
        <v>125222</v>
      </c>
      <c r="B543" s="38">
        <v>537</v>
      </c>
      <c r="C543" s="39" t="s">
        <v>3728</v>
      </c>
      <c r="D543" s="10" t="str">
        <f>VLOOKUP(C543,'Data Angt'!$A$5:$B$5809,2,FALSE)</f>
        <v>A1605</v>
      </c>
      <c r="E543" s="40" t="s">
        <v>11659</v>
      </c>
      <c r="F543" s="41">
        <v>44104</v>
      </c>
      <c r="G543" s="38">
        <v>1</v>
      </c>
      <c r="H543" s="40">
        <v>0</v>
      </c>
      <c r="I543" s="38">
        <v>4</v>
      </c>
      <c r="J543" s="41">
        <v>44104</v>
      </c>
      <c r="K543" s="38" t="s">
        <v>10768</v>
      </c>
      <c r="L543" s="42">
        <v>300000000</v>
      </c>
      <c r="O543"/>
    </row>
    <row r="544" spans="1:15" x14ac:dyDescent="0.3">
      <c r="A544" s="37">
        <v>131008</v>
      </c>
      <c r="B544" s="38">
        <v>538</v>
      </c>
      <c r="C544" s="39" t="s">
        <v>3728</v>
      </c>
      <c r="D544" s="10" t="str">
        <f>VLOOKUP(C544,'Data Angt'!$A$5:$B$5809,2,FALSE)</f>
        <v>A1605</v>
      </c>
      <c r="E544" s="40" t="s">
        <v>11658</v>
      </c>
      <c r="F544" s="41">
        <v>44546</v>
      </c>
      <c r="G544" s="38">
        <v>1</v>
      </c>
      <c r="H544" s="40">
        <v>0</v>
      </c>
      <c r="I544" s="38">
        <v>4</v>
      </c>
      <c r="J544" s="41">
        <v>44546</v>
      </c>
      <c r="K544" s="38" t="s">
        <v>10768</v>
      </c>
      <c r="L544" s="42">
        <v>300000000</v>
      </c>
      <c r="O544"/>
    </row>
    <row r="545" spans="1:15" x14ac:dyDescent="0.3">
      <c r="A545" s="37">
        <v>132116</v>
      </c>
      <c r="B545" s="38">
        <v>539</v>
      </c>
      <c r="C545" s="39" t="s">
        <v>3728</v>
      </c>
      <c r="D545" s="10" t="str">
        <f>VLOOKUP(C545,'Data Angt'!$A$5:$B$5809,2,FALSE)</f>
        <v>A1605</v>
      </c>
      <c r="E545" s="40" t="s">
        <v>11657</v>
      </c>
      <c r="F545" s="41">
        <v>44636</v>
      </c>
      <c r="G545" s="38">
        <v>1</v>
      </c>
      <c r="H545" s="40">
        <v>0</v>
      </c>
      <c r="I545" s="38">
        <v>4</v>
      </c>
      <c r="J545" s="41">
        <v>44636</v>
      </c>
      <c r="K545" s="38" t="s">
        <v>10768</v>
      </c>
      <c r="L545" s="42">
        <v>200000000</v>
      </c>
      <c r="O545"/>
    </row>
    <row r="546" spans="1:15" x14ac:dyDescent="0.3">
      <c r="A546" s="37">
        <v>133724</v>
      </c>
      <c r="B546" s="38">
        <v>540</v>
      </c>
      <c r="C546" s="39" t="s">
        <v>3728</v>
      </c>
      <c r="D546" s="10" t="str">
        <f>VLOOKUP(C546,'Data Angt'!$A$5:$B$5809,2,FALSE)</f>
        <v>A1605</v>
      </c>
      <c r="E546" s="40" t="s">
        <v>11656</v>
      </c>
      <c r="F546" s="41">
        <v>44764</v>
      </c>
      <c r="G546" s="38">
        <v>1</v>
      </c>
      <c r="H546" s="40">
        <v>0</v>
      </c>
      <c r="I546" s="38">
        <v>4</v>
      </c>
      <c r="J546" s="41">
        <v>44764</v>
      </c>
      <c r="K546" s="38" t="s">
        <v>10768</v>
      </c>
      <c r="L546" s="42">
        <v>100000000</v>
      </c>
      <c r="O546"/>
    </row>
    <row r="547" spans="1:15" x14ac:dyDescent="0.3">
      <c r="A547" s="37">
        <v>134332</v>
      </c>
      <c r="B547" s="38">
        <v>541</v>
      </c>
      <c r="C547" s="39" t="s">
        <v>3728</v>
      </c>
      <c r="D547" s="10" t="str">
        <f>VLOOKUP(C547,'Data Angt'!$A$5:$B$5809,2,FALSE)</f>
        <v>A1605</v>
      </c>
      <c r="E547" s="40" t="s">
        <v>11655</v>
      </c>
      <c r="F547" s="41">
        <v>44805</v>
      </c>
      <c r="G547" s="38">
        <v>1</v>
      </c>
      <c r="H547" s="40">
        <v>0</v>
      </c>
      <c r="I547" s="38">
        <v>4</v>
      </c>
      <c r="J547" s="41">
        <v>44805</v>
      </c>
      <c r="K547" s="38" t="s">
        <v>10768</v>
      </c>
      <c r="L547" s="42">
        <v>100000000</v>
      </c>
      <c r="O547"/>
    </row>
    <row r="548" spans="1:15" x14ac:dyDescent="0.3">
      <c r="A548" s="37">
        <v>135019</v>
      </c>
      <c r="B548" s="38">
        <v>542</v>
      </c>
      <c r="C548" s="39" t="s">
        <v>3728</v>
      </c>
      <c r="D548" s="10" t="str">
        <f>VLOOKUP(C548,'Data Angt'!$A$5:$B$5809,2,FALSE)</f>
        <v>A1605</v>
      </c>
      <c r="E548" s="40" t="s">
        <v>11654</v>
      </c>
      <c r="F548" s="41">
        <v>44860</v>
      </c>
      <c r="G548" s="38">
        <v>1</v>
      </c>
      <c r="H548" s="40">
        <v>0</v>
      </c>
      <c r="I548" s="38">
        <v>4</v>
      </c>
      <c r="J548" s="41">
        <v>44860</v>
      </c>
      <c r="K548" s="38" t="s">
        <v>10768</v>
      </c>
      <c r="L548" s="42">
        <v>200000000</v>
      </c>
      <c r="O548"/>
    </row>
    <row r="549" spans="1:15" x14ac:dyDescent="0.3">
      <c r="A549" s="37">
        <v>135512</v>
      </c>
      <c r="B549" s="38">
        <v>543</v>
      </c>
      <c r="C549" s="39" t="s">
        <v>3728</v>
      </c>
      <c r="D549" s="10" t="str">
        <f>VLOOKUP(C549,'Data Angt'!$A$5:$B$5809,2,FALSE)</f>
        <v>A1605</v>
      </c>
      <c r="E549" s="40" t="s">
        <v>11664</v>
      </c>
      <c r="F549" s="41">
        <v>44897</v>
      </c>
      <c r="G549" s="38">
        <v>1</v>
      </c>
      <c r="H549" s="40">
        <v>0</v>
      </c>
      <c r="I549" s="38">
        <v>4</v>
      </c>
      <c r="J549" s="41">
        <v>44897</v>
      </c>
      <c r="K549" s="38" t="s">
        <v>10768</v>
      </c>
      <c r="L549" s="42">
        <v>100000000</v>
      </c>
      <c r="O549"/>
    </row>
    <row r="550" spans="1:15" x14ac:dyDescent="0.3">
      <c r="A550" s="37">
        <v>135741</v>
      </c>
      <c r="B550" s="38">
        <v>544</v>
      </c>
      <c r="C550" s="39" t="s">
        <v>3728</v>
      </c>
      <c r="D550" s="10" t="str">
        <f>VLOOKUP(C550,'Data Angt'!$A$5:$B$5809,2,FALSE)</f>
        <v>A1605</v>
      </c>
      <c r="E550" s="40" t="s">
        <v>11663</v>
      </c>
      <c r="F550" s="41">
        <v>44915</v>
      </c>
      <c r="G550" s="38">
        <v>1</v>
      </c>
      <c r="H550" s="40">
        <v>0</v>
      </c>
      <c r="I550" s="38">
        <v>4</v>
      </c>
      <c r="J550" s="41">
        <v>44915</v>
      </c>
      <c r="K550" s="38" t="s">
        <v>10768</v>
      </c>
      <c r="L550" s="42">
        <v>100000000</v>
      </c>
      <c r="O550"/>
    </row>
    <row r="551" spans="1:15" x14ac:dyDescent="0.3">
      <c r="A551" s="37">
        <v>154820</v>
      </c>
      <c r="B551" s="38">
        <v>545</v>
      </c>
      <c r="C551" s="39" t="s">
        <v>3761</v>
      </c>
      <c r="D551" s="10" t="str">
        <f>VLOOKUP(C551,'Data Angt'!$A$5:$B$5809,2,FALSE)</f>
        <v>A1618</v>
      </c>
      <c r="E551" s="40" t="s">
        <v>18133</v>
      </c>
      <c r="F551" s="41">
        <v>45743</v>
      </c>
      <c r="G551" s="38">
        <v>1</v>
      </c>
      <c r="H551" s="40">
        <v>0</v>
      </c>
      <c r="I551" s="38">
        <v>4</v>
      </c>
      <c r="J551" s="41">
        <v>45743</v>
      </c>
      <c r="K551" s="38" t="s">
        <v>10768</v>
      </c>
      <c r="L551" s="42">
        <v>5000000</v>
      </c>
      <c r="O551"/>
    </row>
    <row r="552" spans="1:15" x14ac:dyDescent="0.3">
      <c r="A552" s="37">
        <v>120753</v>
      </c>
      <c r="B552" s="38">
        <v>546</v>
      </c>
      <c r="C552" s="39" t="s">
        <v>12274</v>
      </c>
      <c r="D552" s="10" t="str">
        <f>VLOOKUP(C552,'Data Angt'!$A$5:$B$5809,2,FALSE)</f>
        <v>A1619</v>
      </c>
      <c r="E552" s="40" t="s">
        <v>11653</v>
      </c>
      <c r="F552" s="41">
        <v>43875</v>
      </c>
      <c r="G552" s="38">
        <v>1</v>
      </c>
      <c r="H552" s="40">
        <v>0</v>
      </c>
      <c r="I552" s="38">
        <v>4</v>
      </c>
      <c r="J552" s="41">
        <v>43875</v>
      </c>
      <c r="K552" s="38" t="s">
        <v>10768</v>
      </c>
      <c r="L552" s="42">
        <v>3000000</v>
      </c>
      <c r="O552"/>
    </row>
    <row r="553" spans="1:15" x14ac:dyDescent="0.3">
      <c r="A553" s="37">
        <v>135001</v>
      </c>
      <c r="B553" s="38">
        <v>547</v>
      </c>
      <c r="C553" s="39" t="s">
        <v>3771</v>
      </c>
      <c r="D553" s="10" t="str">
        <f>VLOOKUP(C553,'Data Angt'!$A$5:$B$5809,2,FALSE)</f>
        <v>A1623</v>
      </c>
      <c r="E553" s="40" t="s">
        <v>11651</v>
      </c>
      <c r="F553" s="41">
        <v>44858</v>
      </c>
      <c r="G553" s="38">
        <v>1</v>
      </c>
      <c r="H553" s="40">
        <v>0</v>
      </c>
      <c r="I553" s="38">
        <v>4</v>
      </c>
      <c r="J553" s="41">
        <v>44858</v>
      </c>
      <c r="K553" s="38" t="s">
        <v>10768</v>
      </c>
      <c r="L553" s="42">
        <v>40000000</v>
      </c>
      <c r="O553"/>
    </row>
    <row r="554" spans="1:15" x14ac:dyDescent="0.3">
      <c r="A554" s="37">
        <v>151599</v>
      </c>
      <c r="B554" s="38">
        <v>548</v>
      </c>
      <c r="C554" s="39" t="s">
        <v>3771</v>
      </c>
      <c r="D554" s="10" t="str">
        <f>VLOOKUP(C554,'Data Angt'!$A$5:$B$5809,2,FALSE)</f>
        <v>A1623</v>
      </c>
      <c r="E554" s="40" t="s">
        <v>18135</v>
      </c>
      <c r="F554" s="41">
        <v>45646</v>
      </c>
      <c r="G554" s="38">
        <v>1</v>
      </c>
      <c r="H554" s="40">
        <v>0</v>
      </c>
      <c r="I554" s="38">
        <v>4</v>
      </c>
      <c r="J554" s="41">
        <v>45646</v>
      </c>
      <c r="K554" s="38" t="s">
        <v>10768</v>
      </c>
      <c r="L554" s="42">
        <v>8500000</v>
      </c>
      <c r="O554"/>
    </row>
    <row r="555" spans="1:15" x14ac:dyDescent="0.3">
      <c r="A555" s="37">
        <v>152619</v>
      </c>
      <c r="B555" s="38">
        <v>549</v>
      </c>
      <c r="C555" s="39" t="s">
        <v>3771</v>
      </c>
      <c r="D555" s="10" t="str">
        <f>VLOOKUP(C555,'Data Angt'!$A$5:$B$5809,2,FALSE)</f>
        <v>A1623</v>
      </c>
      <c r="E555" s="40" t="s">
        <v>18136</v>
      </c>
      <c r="F555" s="41">
        <v>45688</v>
      </c>
      <c r="G555" s="38">
        <v>1</v>
      </c>
      <c r="H555" s="40">
        <v>0</v>
      </c>
      <c r="I555" s="38">
        <v>4</v>
      </c>
      <c r="J555" s="41">
        <v>45688</v>
      </c>
      <c r="K555" s="38" t="s">
        <v>10768</v>
      </c>
      <c r="L555" s="42">
        <v>9500000</v>
      </c>
      <c r="O555"/>
    </row>
    <row r="556" spans="1:15" x14ac:dyDescent="0.3">
      <c r="A556" s="37">
        <v>154202</v>
      </c>
      <c r="B556" s="38">
        <v>550</v>
      </c>
      <c r="C556" s="39" t="s">
        <v>3771</v>
      </c>
      <c r="D556" s="10" t="str">
        <f>VLOOKUP(C556,'Data Angt'!$A$5:$B$5809,2,FALSE)</f>
        <v>A1623</v>
      </c>
      <c r="E556" s="40" t="s">
        <v>18137</v>
      </c>
      <c r="F556" s="41">
        <v>45721</v>
      </c>
      <c r="G556" s="38">
        <v>1</v>
      </c>
      <c r="H556" s="40">
        <v>0</v>
      </c>
      <c r="I556" s="38">
        <v>4</v>
      </c>
      <c r="J556" s="41">
        <v>45721</v>
      </c>
      <c r="K556" s="38" t="s">
        <v>10768</v>
      </c>
      <c r="L556" s="42">
        <v>7000000</v>
      </c>
      <c r="O556"/>
    </row>
    <row r="557" spans="1:15" x14ac:dyDescent="0.3">
      <c r="A557" s="37">
        <v>154737</v>
      </c>
      <c r="B557" s="38">
        <v>551</v>
      </c>
      <c r="C557" s="39" t="s">
        <v>3771</v>
      </c>
      <c r="D557" s="10" t="str">
        <f>VLOOKUP(C557,'Data Angt'!$A$5:$B$5809,2,FALSE)</f>
        <v>A1623</v>
      </c>
      <c r="E557" s="40" t="s">
        <v>18138</v>
      </c>
      <c r="F557" s="41">
        <v>45740</v>
      </c>
      <c r="G557" s="38">
        <v>1</v>
      </c>
      <c r="H557" s="40">
        <v>0</v>
      </c>
      <c r="I557" s="38">
        <v>4</v>
      </c>
      <c r="J557" s="41">
        <v>45740</v>
      </c>
      <c r="K557" s="38" t="s">
        <v>10768</v>
      </c>
      <c r="L557" s="42">
        <v>4000000</v>
      </c>
      <c r="O557"/>
    </row>
    <row r="558" spans="1:15" x14ac:dyDescent="0.3">
      <c r="A558" s="37">
        <v>158480</v>
      </c>
      <c r="B558" s="38">
        <v>552</v>
      </c>
      <c r="C558" s="39" t="s">
        <v>3771</v>
      </c>
      <c r="D558" s="10" t="str">
        <f>VLOOKUP(C558,'Data Angt'!$A$5:$B$5809,2,FALSE)</f>
        <v>A1623</v>
      </c>
      <c r="E558" s="40" t="s">
        <v>24034</v>
      </c>
      <c r="F558" s="41">
        <v>45910</v>
      </c>
      <c r="G558" s="38">
        <v>1</v>
      </c>
      <c r="H558" s="40">
        <v>0</v>
      </c>
      <c r="I558" s="38">
        <v>4</v>
      </c>
      <c r="J558" s="41">
        <v>45910</v>
      </c>
      <c r="K558" s="38" t="s">
        <v>10768</v>
      </c>
      <c r="L558" s="42">
        <v>10000000</v>
      </c>
      <c r="O558"/>
    </row>
    <row r="559" spans="1:15" x14ac:dyDescent="0.3">
      <c r="A559" s="37">
        <v>141276</v>
      </c>
      <c r="B559" s="38">
        <v>553</v>
      </c>
      <c r="C559" s="39" t="s">
        <v>3771</v>
      </c>
      <c r="D559" s="10" t="str">
        <f>VLOOKUP(C559,'Data Angt'!$A$5:$B$5809,2,FALSE)</f>
        <v>A1623</v>
      </c>
      <c r="E559" s="40" t="s">
        <v>11652</v>
      </c>
      <c r="F559" s="41">
        <v>45288</v>
      </c>
      <c r="G559" s="38">
        <v>1</v>
      </c>
      <c r="H559" s="40">
        <v>0</v>
      </c>
      <c r="I559" s="38">
        <v>4</v>
      </c>
      <c r="J559" s="41">
        <v>45288</v>
      </c>
      <c r="K559" s="38" t="s">
        <v>10768</v>
      </c>
      <c r="L559" s="42">
        <v>16000000</v>
      </c>
      <c r="O559"/>
    </row>
    <row r="560" spans="1:15" x14ac:dyDescent="0.3">
      <c r="A560" s="37">
        <v>144706</v>
      </c>
      <c r="B560" s="38">
        <v>554</v>
      </c>
      <c r="C560" s="39" t="s">
        <v>3771</v>
      </c>
      <c r="D560" s="10" t="str">
        <f>VLOOKUP(C560,'Data Angt'!$A$5:$B$5809,2,FALSE)</f>
        <v>A1623</v>
      </c>
      <c r="E560" s="40" t="s">
        <v>18134</v>
      </c>
      <c r="F560" s="41">
        <v>45418</v>
      </c>
      <c r="G560" s="38">
        <v>1</v>
      </c>
      <c r="H560" s="40">
        <v>0</v>
      </c>
      <c r="I560" s="38">
        <v>4</v>
      </c>
      <c r="J560" s="41">
        <v>45418</v>
      </c>
      <c r="K560" s="38" t="s">
        <v>10768</v>
      </c>
      <c r="L560" s="42">
        <v>5000000</v>
      </c>
      <c r="O560"/>
    </row>
    <row r="561" spans="1:15" x14ac:dyDescent="0.3">
      <c r="A561" s="37">
        <v>156848</v>
      </c>
      <c r="B561" s="38">
        <v>555</v>
      </c>
      <c r="C561" s="39" t="s">
        <v>3779</v>
      </c>
      <c r="D561" s="10" t="str">
        <f>VLOOKUP(C561,'Data Angt'!$A$5:$B$5809,2,FALSE)</f>
        <v>A1627</v>
      </c>
      <c r="E561" s="40" t="s">
        <v>24035</v>
      </c>
      <c r="F561" s="41">
        <v>45846</v>
      </c>
      <c r="G561" s="38">
        <v>1</v>
      </c>
      <c r="H561" s="40">
        <v>0</v>
      </c>
      <c r="I561" s="38">
        <v>4</v>
      </c>
      <c r="J561" s="41">
        <v>45846</v>
      </c>
      <c r="K561" s="38" t="s">
        <v>10768</v>
      </c>
      <c r="L561" s="42">
        <v>10000000</v>
      </c>
      <c r="O561"/>
    </row>
    <row r="562" spans="1:15" x14ac:dyDescent="0.3">
      <c r="A562" s="37">
        <v>77911</v>
      </c>
      <c r="B562" s="38">
        <v>556</v>
      </c>
      <c r="C562" s="39" t="s">
        <v>3787</v>
      </c>
      <c r="D562" s="10" t="str">
        <f>VLOOKUP(C562,'Data Angt'!$A$5:$B$5809,2,FALSE)</f>
        <v>A1631</v>
      </c>
      <c r="E562" s="40" t="s">
        <v>11650</v>
      </c>
      <c r="F562" s="41">
        <v>41564</v>
      </c>
      <c r="G562" s="38">
        <v>1</v>
      </c>
      <c r="H562" s="40">
        <v>0</v>
      </c>
      <c r="I562" s="38">
        <v>4</v>
      </c>
      <c r="J562" s="41">
        <v>41564</v>
      </c>
      <c r="K562" s="38" t="s">
        <v>10768</v>
      </c>
      <c r="L562" s="42">
        <v>8000000</v>
      </c>
      <c r="O562"/>
    </row>
    <row r="563" spans="1:15" x14ac:dyDescent="0.3">
      <c r="A563" s="37">
        <v>156447</v>
      </c>
      <c r="B563" s="38">
        <v>557</v>
      </c>
      <c r="C563" s="39" t="s">
        <v>3838</v>
      </c>
      <c r="D563" s="10" t="str">
        <f>VLOOKUP(C563,'Data Angt'!$A$5:$B$5809,2,FALSE)</f>
        <v>A1658</v>
      </c>
      <c r="E563" s="40" t="s">
        <v>18139</v>
      </c>
      <c r="F563" s="41">
        <v>45826</v>
      </c>
      <c r="G563" s="38">
        <v>1</v>
      </c>
      <c r="H563" s="40">
        <v>0</v>
      </c>
      <c r="I563" s="38">
        <v>4</v>
      </c>
      <c r="J563" s="41">
        <v>45826</v>
      </c>
      <c r="K563" s="38" t="s">
        <v>10768</v>
      </c>
      <c r="L563" s="42">
        <v>25000000</v>
      </c>
      <c r="O563"/>
    </row>
    <row r="564" spans="1:15" x14ac:dyDescent="0.3">
      <c r="A564" s="37">
        <v>132640</v>
      </c>
      <c r="B564" s="38">
        <v>558</v>
      </c>
      <c r="C564" s="39" t="s">
        <v>3924</v>
      </c>
      <c r="D564" s="10" t="str">
        <f>VLOOKUP(C564,'Data Angt'!$A$5:$B$5809,2,FALSE)</f>
        <v>A1697</v>
      </c>
      <c r="E564" s="40" t="s">
        <v>11649</v>
      </c>
      <c r="F564" s="41">
        <v>44665</v>
      </c>
      <c r="G564" s="38">
        <v>1</v>
      </c>
      <c r="H564" s="40">
        <v>0</v>
      </c>
      <c r="I564" s="38">
        <v>4</v>
      </c>
      <c r="J564" s="41">
        <v>44665</v>
      </c>
      <c r="K564" s="38" t="s">
        <v>10768</v>
      </c>
      <c r="L564" s="42">
        <v>20000000</v>
      </c>
      <c r="O564"/>
    </row>
    <row r="565" spans="1:15" x14ac:dyDescent="0.3">
      <c r="A565" s="37">
        <v>148405</v>
      </c>
      <c r="B565" s="38">
        <v>559</v>
      </c>
      <c r="C565" s="39" t="s">
        <v>3924</v>
      </c>
      <c r="D565" s="10" t="str">
        <f>VLOOKUP(C565,'Data Angt'!$A$5:$B$5809,2,FALSE)</f>
        <v>A1697</v>
      </c>
      <c r="E565" s="40" t="s">
        <v>18140</v>
      </c>
      <c r="F565" s="41">
        <v>45527</v>
      </c>
      <c r="G565" s="38">
        <v>1</v>
      </c>
      <c r="H565" s="40">
        <v>0</v>
      </c>
      <c r="I565" s="38">
        <v>4</v>
      </c>
      <c r="J565" s="41">
        <v>45527</v>
      </c>
      <c r="K565" s="38" t="s">
        <v>10768</v>
      </c>
      <c r="L565" s="42">
        <v>20000000</v>
      </c>
      <c r="O565"/>
    </row>
    <row r="566" spans="1:15" x14ac:dyDescent="0.3">
      <c r="A566" s="37">
        <v>156716</v>
      </c>
      <c r="B566" s="38">
        <v>560</v>
      </c>
      <c r="C566" s="39" t="s">
        <v>3924</v>
      </c>
      <c r="D566" s="10" t="str">
        <f>VLOOKUP(C566,'Data Angt'!$A$5:$B$5809,2,FALSE)</f>
        <v>A1697</v>
      </c>
      <c r="E566" s="40" t="s">
        <v>24036</v>
      </c>
      <c r="F566" s="41">
        <v>45841</v>
      </c>
      <c r="G566" s="38">
        <v>1</v>
      </c>
      <c r="H566" s="40">
        <v>0</v>
      </c>
      <c r="I566" s="38">
        <v>4</v>
      </c>
      <c r="J566" s="41">
        <v>45841</v>
      </c>
      <c r="K566" s="38" t="s">
        <v>10768</v>
      </c>
      <c r="L566" s="42">
        <v>15000000</v>
      </c>
      <c r="O566"/>
    </row>
    <row r="567" spans="1:15" x14ac:dyDescent="0.3">
      <c r="A567" s="37">
        <v>145039</v>
      </c>
      <c r="B567" s="38">
        <v>561</v>
      </c>
      <c r="C567" s="39" t="s">
        <v>3932</v>
      </c>
      <c r="D567" s="10" t="str">
        <f>VLOOKUP(C567,'Data Angt'!$A$5:$B$5809,2,FALSE)</f>
        <v>A1700</v>
      </c>
      <c r="E567" s="40" t="s">
        <v>18141</v>
      </c>
      <c r="F567" s="41">
        <v>45427</v>
      </c>
      <c r="G567" s="38">
        <v>1</v>
      </c>
      <c r="H567" s="40">
        <v>0</v>
      </c>
      <c r="I567" s="38">
        <v>4</v>
      </c>
      <c r="J567" s="41">
        <v>45427</v>
      </c>
      <c r="K567" s="38" t="s">
        <v>10768</v>
      </c>
      <c r="L567" s="42">
        <v>15000000</v>
      </c>
      <c r="O567"/>
    </row>
    <row r="568" spans="1:15" x14ac:dyDescent="0.3">
      <c r="A568" s="37">
        <v>126114</v>
      </c>
      <c r="B568" s="38">
        <v>562</v>
      </c>
      <c r="C568" s="39" t="s">
        <v>4027</v>
      </c>
      <c r="D568" s="10" t="str">
        <f>VLOOKUP(C568,'Data Angt'!$A$5:$B$5809,2,FALSE)</f>
        <v>A1744</v>
      </c>
      <c r="E568" s="40" t="s">
        <v>11646</v>
      </c>
      <c r="F568" s="41">
        <v>44179</v>
      </c>
      <c r="G568" s="38">
        <v>1</v>
      </c>
      <c r="H568" s="40">
        <v>0</v>
      </c>
      <c r="I568" s="38">
        <v>4</v>
      </c>
      <c r="J568" s="41">
        <v>44179</v>
      </c>
      <c r="K568" s="38" t="s">
        <v>10768</v>
      </c>
      <c r="L568" s="42">
        <v>37500000</v>
      </c>
      <c r="O568"/>
    </row>
    <row r="569" spans="1:15" x14ac:dyDescent="0.3">
      <c r="A569" s="37">
        <v>126116</v>
      </c>
      <c r="B569" s="38">
        <v>563</v>
      </c>
      <c r="C569" s="39" t="s">
        <v>4027</v>
      </c>
      <c r="D569" s="10" t="str">
        <f>VLOOKUP(C569,'Data Angt'!$A$5:$B$5809,2,FALSE)</f>
        <v>A1744</v>
      </c>
      <c r="E569" s="40" t="s">
        <v>11648</v>
      </c>
      <c r="F569" s="41">
        <v>44179</v>
      </c>
      <c r="G569" s="38">
        <v>1</v>
      </c>
      <c r="H569" s="40">
        <v>0</v>
      </c>
      <c r="I569" s="38">
        <v>4</v>
      </c>
      <c r="J569" s="41">
        <v>44179</v>
      </c>
      <c r="K569" s="38" t="s">
        <v>10768</v>
      </c>
      <c r="L569" s="42">
        <v>37500000</v>
      </c>
      <c r="O569"/>
    </row>
    <row r="570" spans="1:15" x14ac:dyDescent="0.3">
      <c r="A570" s="37">
        <v>139540</v>
      </c>
      <c r="B570" s="38">
        <v>564</v>
      </c>
      <c r="C570" s="39" t="s">
        <v>4027</v>
      </c>
      <c r="D570" s="10" t="str">
        <f>VLOOKUP(C570,'Data Angt'!$A$5:$B$5809,2,FALSE)</f>
        <v>A1744</v>
      </c>
      <c r="E570" s="40" t="s">
        <v>11647</v>
      </c>
      <c r="F570" s="41">
        <v>45195</v>
      </c>
      <c r="G570" s="38">
        <v>1</v>
      </c>
      <c r="H570" s="40">
        <v>0</v>
      </c>
      <c r="I570" s="38">
        <v>4</v>
      </c>
      <c r="J570" s="41">
        <v>45195</v>
      </c>
      <c r="K570" s="38" t="s">
        <v>10768</v>
      </c>
      <c r="L570" s="42">
        <v>21000000</v>
      </c>
      <c r="O570"/>
    </row>
    <row r="571" spans="1:15" x14ac:dyDescent="0.3">
      <c r="A571" s="37">
        <v>77928</v>
      </c>
      <c r="B571" s="38">
        <v>565</v>
      </c>
      <c r="C571" s="39" t="s">
        <v>4029</v>
      </c>
      <c r="D571" s="10" t="str">
        <f>VLOOKUP(C571,'Data Angt'!$A$5:$B$5809,2,FALSE)</f>
        <v>A1745</v>
      </c>
      <c r="E571" s="40" t="s">
        <v>11645</v>
      </c>
      <c r="F571" s="41">
        <v>41800</v>
      </c>
      <c r="G571" s="38">
        <v>1</v>
      </c>
      <c r="H571" s="40">
        <v>0</v>
      </c>
      <c r="I571" s="38">
        <v>4</v>
      </c>
      <c r="J571" s="41">
        <v>41918</v>
      </c>
      <c r="K571" s="38" t="s">
        <v>10768</v>
      </c>
      <c r="L571" s="42">
        <v>1000000</v>
      </c>
      <c r="O571"/>
    </row>
    <row r="572" spans="1:15" x14ac:dyDescent="0.3">
      <c r="A572" s="37">
        <v>78244</v>
      </c>
      <c r="B572" s="38">
        <v>566</v>
      </c>
      <c r="C572" s="39" t="s">
        <v>4029</v>
      </c>
      <c r="D572" s="10" t="str">
        <f>VLOOKUP(C572,'Data Angt'!$A$5:$B$5809,2,FALSE)</f>
        <v>A1745</v>
      </c>
      <c r="E572" s="40" t="s">
        <v>11644</v>
      </c>
      <c r="F572" s="41">
        <v>43022</v>
      </c>
      <c r="G572" s="38">
        <v>1</v>
      </c>
      <c r="H572" s="40">
        <v>0</v>
      </c>
      <c r="I572" s="38">
        <v>4</v>
      </c>
      <c r="J572" s="41">
        <v>43022</v>
      </c>
      <c r="K572" s="38" t="s">
        <v>10768</v>
      </c>
      <c r="L572" s="42">
        <v>3000000</v>
      </c>
      <c r="O572"/>
    </row>
    <row r="573" spans="1:15" x14ac:dyDescent="0.3">
      <c r="A573" s="37">
        <v>141449</v>
      </c>
      <c r="B573" s="38">
        <v>567</v>
      </c>
      <c r="C573" s="39" t="s">
        <v>4029</v>
      </c>
      <c r="D573" s="10" t="str">
        <f>VLOOKUP(C573,'Data Angt'!$A$5:$B$5809,2,FALSE)</f>
        <v>A1745</v>
      </c>
      <c r="E573" s="40" t="s">
        <v>18142</v>
      </c>
      <c r="F573" s="41">
        <v>45299</v>
      </c>
      <c r="G573" s="38">
        <v>1</v>
      </c>
      <c r="H573" s="40">
        <v>0</v>
      </c>
      <c r="I573" s="38">
        <v>4</v>
      </c>
      <c r="J573" s="41">
        <v>45299</v>
      </c>
      <c r="K573" s="38" t="s">
        <v>10768</v>
      </c>
      <c r="L573" s="42">
        <v>6000000</v>
      </c>
      <c r="O573"/>
    </row>
    <row r="574" spans="1:15" x14ac:dyDescent="0.3">
      <c r="A574" s="37">
        <v>78091</v>
      </c>
      <c r="B574" s="38">
        <v>568</v>
      </c>
      <c r="C574" s="39" t="s">
        <v>4031</v>
      </c>
      <c r="D574" s="10" t="str">
        <f>VLOOKUP(C574,'Data Angt'!$A$5:$B$5809,2,FALSE)</f>
        <v>A1746</v>
      </c>
      <c r="E574" s="40" t="s">
        <v>11643</v>
      </c>
      <c r="F574" s="41">
        <v>42741</v>
      </c>
      <c r="G574" s="38">
        <v>1</v>
      </c>
      <c r="H574" s="40">
        <v>0</v>
      </c>
      <c r="I574" s="38">
        <v>4</v>
      </c>
      <c r="J574" s="41">
        <v>42887</v>
      </c>
      <c r="K574" s="38" t="s">
        <v>10768</v>
      </c>
      <c r="L574" s="42">
        <v>2000000</v>
      </c>
      <c r="O574"/>
    </row>
    <row r="575" spans="1:15" x14ac:dyDescent="0.3">
      <c r="A575" s="37">
        <v>156456</v>
      </c>
      <c r="B575" s="38">
        <v>569</v>
      </c>
      <c r="C575" s="39" t="s">
        <v>4040</v>
      </c>
      <c r="D575" s="10" t="str">
        <f>VLOOKUP(C575,'Data Angt'!$A$5:$B$5809,2,FALSE)</f>
        <v>A1750</v>
      </c>
      <c r="E575" s="40" t="s">
        <v>18143</v>
      </c>
      <c r="F575" s="41">
        <v>45826</v>
      </c>
      <c r="G575" s="38">
        <v>1</v>
      </c>
      <c r="H575" s="40">
        <v>0</v>
      </c>
      <c r="I575" s="38">
        <v>4</v>
      </c>
      <c r="J575" s="41">
        <v>45826</v>
      </c>
      <c r="K575" s="38" t="s">
        <v>10768</v>
      </c>
      <c r="L575" s="42">
        <v>15000000</v>
      </c>
      <c r="O575"/>
    </row>
    <row r="576" spans="1:15" x14ac:dyDescent="0.3">
      <c r="A576" s="37">
        <v>151785</v>
      </c>
      <c r="B576" s="38">
        <v>570</v>
      </c>
      <c r="C576" s="39" t="s">
        <v>4045</v>
      </c>
      <c r="D576" s="10" t="str">
        <f>VLOOKUP(C576,'Data Angt'!$A$5:$B$5809,2,FALSE)</f>
        <v>A1752</v>
      </c>
      <c r="E576" s="40" t="s">
        <v>18144</v>
      </c>
      <c r="F576" s="41">
        <v>45663</v>
      </c>
      <c r="G576" s="38">
        <v>1</v>
      </c>
      <c r="H576" s="40">
        <v>0</v>
      </c>
      <c r="I576" s="38">
        <v>4</v>
      </c>
      <c r="J576" s="41">
        <v>45663</v>
      </c>
      <c r="K576" s="38" t="s">
        <v>10768</v>
      </c>
      <c r="L576" s="42">
        <v>5500000</v>
      </c>
      <c r="O576"/>
    </row>
    <row r="577" spans="1:15" x14ac:dyDescent="0.3">
      <c r="A577" s="37">
        <v>77913</v>
      </c>
      <c r="B577" s="38">
        <v>571</v>
      </c>
      <c r="C577" s="39" t="s">
        <v>4056</v>
      </c>
      <c r="D577" s="10" t="str">
        <f>VLOOKUP(C577,'Data Angt'!$A$5:$B$5809,2,FALSE)</f>
        <v>A1759</v>
      </c>
      <c r="E577" s="40" t="s">
        <v>11642</v>
      </c>
      <c r="F577" s="41">
        <v>41597</v>
      </c>
      <c r="G577" s="38">
        <v>1</v>
      </c>
      <c r="H577" s="40">
        <v>0</v>
      </c>
      <c r="I577" s="38">
        <v>4</v>
      </c>
      <c r="J577" s="41">
        <v>41597</v>
      </c>
      <c r="K577" s="38" t="s">
        <v>10768</v>
      </c>
      <c r="L577" s="42">
        <v>9500000</v>
      </c>
      <c r="O577"/>
    </row>
    <row r="578" spans="1:15" x14ac:dyDescent="0.3">
      <c r="A578" s="37">
        <v>78913</v>
      </c>
      <c r="B578" s="38">
        <v>572</v>
      </c>
      <c r="C578" s="39" t="s">
        <v>4088</v>
      </c>
      <c r="D578" s="10" t="str">
        <f>VLOOKUP(C578,'Data Angt'!$A$5:$B$5809,2,FALSE)</f>
        <v>A1776</v>
      </c>
      <c r="E578" s="40" t="s">
        <v>11641</v>
      </c>
      <c r="F578" s="41">
        <v>42310</v>
      </c>
      <c r="G578" s="38">
        <v>1</v>
      </c>
      <c r="H578" s="40">
        <v>0</v>
      </c>
      <c r="I578" s="38">
        <v>4</v>
      </c>
      <c r="J578" s="41">
        <v>42046</v>
      </c>
      <c r="K578" s="38" t="s">
        <v>10768</v>
      </c>
      <c r="L578" s="42">
        <v>15000000</v>
      </c>
      <c r="O578"/>
    </row>
    <row r="579" spans="1:15" x14ac:dyDescent="0.3">
      <c r="A579" s="37">
        <v>115829</v>
      </c>
      <c r="B579" s="38">
        <v>573</v>
      </c>
      <c r="C579" s="39" t="s">
        <v>4088</v>
      </c>
      <c r="D579" s="10" t="str">
        <f>VLOOKUP(C579,'Data Angt'!$A$5:$B$5809,2,FALSE)</f>
        <v>A1776</v>
      </c>
      <c r="E579" s="40" t="s">
        <v>11640</v>
      </c>
      <c r="F579" s="41">
        <v>43705</v>
      </c>
      <c r="G579" s="38">
        <v>1</v>
      </c>
      <c r="H579" s="40">
        <v>0</v>
      </c>
      <c r="I579" s="38">
        <v>4</v>
      </c>
      <c r="J579" s="41">
        <v>43705</v>
      </c>
      <c r="K579" s="38" t="s">
        <v>10768</v>
      </c>
      <c r="L579" s="42">
        <v>15000000</v>
      </c>
      <c r="O579"/>
    </row>
    <row r="580" spans="1:15" x14ac:dyDescent="0.3">
      <c r="A580" s="37">
        <v>115828</v>
      </c>
      <c r="B580" s="38">
        <v>574</v>
      </c>
      <c r="C580" s="39" t="s">
        <v>4091</v>
      </c>
      <c r="D580" s="10" t="str">
        <f>VLOOKUP(C580,'Data Angt'!$A$5:$B$5809,2,FALSE)</f>
        <v>A1777</v>
      </c>
      <c r="E580" s="40" t="s">
        <v>11638</v>
      </c>
      <c r="F580" s="41">
        <v>43705</v>
      </c>
      <c r="G580" s="38">
        <v>1</v>
      </c>
      <c r="H580" s="40">
        <v>0</v>
      </c>
      <c r="I580" s="38">
        <v>4</v>
      </c>
      <c r="J580" s="41">
        <v>43705</v>
      </c>
      <c r="K580" s="38" t="s">
        <v>10768</v>
      </c>
      <c r="L580" s="42">
        <v>15000000</v>
      </c>
      <c r="O580"/>
    </row>
    <row r="581" spans="1:15" x14ac:dyDescent="0.3">
      <c r="A581" s="37">
        <v>78912</v>
      </c>
      <c r="B581" s="38">
        <v>575</v>
      </c>
      <c r="C581" s="39" t="s">
        <v>4091</v>
      </c>
      <c r="D581" s="10" t="str">
        <f>VLOOKUP(C581,'Data Angt'!$A$5:$B$5809,2,FALSE)</f>
        <v>A1777</v>
      </c>
      <c r="E581" s="40" t="s">
        <v>11639</v>
      </c>
      <c r="F581" s="41">
        <v>42310</v>
      </c>
      <c r="G581" s="38">
        <v>1</v>
      </c>
      <c r="H581" s="40">
        <v>0</v>
      </c>
      <c r="I581" s="38">
        <v>4</v>
      </c>
      <c r="J581" s="41">
        <v>42046</v>
      </c>
      <c r="K581" s="38" t="s">
        <v>10768</v>
      </c>
      <c r="L581" s="42">
        <v>15000000</v>
      </c>
      <c r="O581"/>
    </row>
    <row r="582" spans="1:15" x14ac:dyDescent="0.3">
      <c r="A582" s="37">
        <v>153702</v>
      </c>
      <c r="B582" s="38">
        <v>576</v>
      </c>
      <c r="C582" s="39" t="s">
        <v>4127</v>
      </c>
      <c r="D582" s="10" t="str">
        <f>VLOOKUP(C582,'Data Angt'!$A$5:$B$5809,2,FALSE)</f>
        <v>A1791</v>
      </c>
      <c r="E582" s="40" t="s">
        <v>18145</v>
      </c>
      <c r="F582" s="41">
        <v>45709</v>
      </c>
      <c r="G582" s="38">
        <v>1</v>
      </c>
      <c r="H582" s="40">
        <v>0</v>
      </c>
      <c r="I582" s="38">
        <v>4</v>
      </c>
      <c r="J582" s="41">
        <v>45709</v>
      </c>
      <c r="K582" s="38" t="s">
        <v>10768</v>
      </c>
      <c r="L582" s="42">
        <v>3000000</v>
      </c>
      <c r="O582"/>
    </row>
    <row r="583" spans="1:15" x14ac:dyDescent="0.3">
      <c r="A583" s="37">
        <v>133011</v>
      </c>
      <c r="B583" s="38">
        <v>577</v>
      </c>
      <c r="C583" s="39" t="s">
        <v>4134</v>
      </c>
      <c r="D583" s="10" t="str">
        <f>VLOOKUP(C583,'Data Angt'!$A$5:$B$5809,2,FALSE)</f>
        <v>A1794</v>
      </c>
      <c r="E583" s="40" t="s">
        <v>11714</v>
      </c>
      <c r="F583" s="41">
        <v>44704</v>
      </c>
      <c r="G583" s="38">
        <v>1</v>
      </c>
      <c r="H583" s="40">
        <v>0</v>
      </c>
      <c r="I583" s="38">
        <v>4</v>
      </c>
      <c r="J583" s="41">
        <v>44704</v>
      </c>
      <c r="K583" s="38" t="s">
        <v>10768</v>
      </c>
      <c r="L583" s="42">
        <v>5000000</v>
      </c>
      <c r="O583"/>
    </row>
    <row r="584" spans="1:15" x14ac:dyDescent="0.3">
      <c r="A584" s="37">
        <v>145443</v>
      </c>
      <c r="B584" s="38">
        <v>578</v>
      </c>
      <c r="C584" s="39" t="s">
        <v>4155</v>
      </c>
      <c r="D584" s="10" t="str">
        <f>VLOOKUP(C584,'Data Angt'!$A$5:$B$5809,2,FALSE)</f>
        <v>A1803</v>
      </c>
      <c r="E584" s="40" t="s">
        <v>18146</v>
      </c>
      <c r="F584" s="41">
        <v>45432</v>
      </c>
      <c r="G584" s="38">
        <v>1</v>
      </c>
      <c r="H584" s="40">
        <v>0</v>
      </c>
      <c r="I584" s="38">
        <v>4</v>
      </c>
      <c r="J584" s="41">
        <v>45432</v>
      </c>
      <c r="K584" s="38" t="s">
        <v>10768</v>
      </c>
      <c r="L584" s="42">
        <v>1000000</v>
      </c>
      <c r="O584"/>
    </row>
    <row r="585" spans="1:15" x14ac:dyDescent="0.3">
      <c r="A585" s="37">
        <v>77916</v>
      </c>
      <c r="B585" s="38">
        <v>579</v>
      </c>
      <c r="C585" s="39" t="s">
        <v>4155</v>
      </c>
      <c r="D585" s="10" t="str">
        <f>VLOOKUP(C585,'Data Angt'!$A$5:$B$5809,2,FALSE)</f>
        <v>A1803</v>
      </c>
      <c r="E585" s="40" t="s">
        <v>11634</v>
      </c>
      <c r="F585" s="41">
        <v>41657</v>
      </c>
      <c r="G585" s="38">
        <v>1</v>
      </c>
      <c r="H585" s="40">
        <v>0</v>
      </c>
      <c r="I585" s="38">
        <v>4</v>
      </c>
      <c r="J585" s="41">
        <v>41657</v>
      </c>
      <c r="K585" s="38" t="s">
        <v>10768</v>
      </c>
      <c r="L585" s="42">
        <v>4000000</v>
      </c>
      <c r="O585"/>
    </row>
    <row r="586" spans="1:15" x14ac:dyDescent="0.3">
      <c r="A586" s="37">
        <v>77933</v>
      </c>
      <c r="B586" s="38">
        <v>580</v>
      </c>
      <c r="C586" s="39" t="s">
        <v>4155</v>
      </c>
      <c r="D586" s="10" t="str">
        <f>VLOOKUP(C586,'Data Angt'!$A$5:$B$5809,2,FALSE)</f>
        <v>A1803</v>
      </c>
      <c r="E586" s="40" t="s">
        <v>11637</v>
      </c>
      <c r="F586" s="41">
        <v>41863</v>
      </c>
      <c r="G586" s="38">
        <v>1</v>
      </c>
      <c r="H586" s="40">
        <v>0</v>
      </c>
      <c r="I586" s="38">
        <v>4</v>
      </c>
      <c r="J586" s="41">
        <v>41981</v>
      </c>
      <c r="K586" s="38" t="s">
        <v>10768</v>
      </c>
      <c r="L586" s="42">
        <v>4000000</v>
      </c>
      <c r="O586"/>
    </row>
    <row r="587" spans="1:15" x14ac:dyDescent="0.3">
      <c r="A587" s="37">
        <v>78209</v>
      </c>
      <c r="B587" s="38">
        <v>581</v>
      </c>
      <c r="C587" s="39" t="s">
        <v>4155</v>
      </c>
      <c r="D587" s="10" t="str">
        <f>VLOOKUP(C587,'Data Angt'!$A$5:$B$5809,2,FALSE)</f>
        <v>A1803</v>
      </c>
      <c r="E587" s="40" t="s">
        <v>11636</v>
      </c>
      <c r="F587" s="41">
        <v>42965</v>
      </c>
      <c r="G587" s="38">
        <v>1</v>
      </c>
      <c r="H587" s="40">
        <v>0</v>
      </c>
      <c r="I587" s="38">
        <v>4</v>
      </c>
      <c r="J587" s="41">
        <v>42965</v>
      </c>
      <c r="K587" s="38" t="s">
        <v>10768</v>
      </c>
      <c r="L587" s="42">
        <v>4000000</v>
      </c>
      <c r="O587"/>
    </row>
    <row r="588" spans="1:15" x14ac:dyDescent="0.3">
      <c r="A588" s="37">
        <v>131708</v>
      </c>
      <c r="B588" s="38">
        <v>582</v>
      </c>
      <c r="C588" s="39" t="s">
        <v>4155</v>
      </c>
      <c r="D588" s="10" t="str">
        <f>VLOOKUP(C588,'Data Angt'!$A$5:$B$5809,2,FALSE)</f>
        <v>A1803</v>
      </c>
      <c r="E588" s="40" t="s">
        <v>11635</v>
      </c>
      <c r="F588" s="41">
        <v>44600</v>
      </c>
      <c r="G588" s="38">
        <v>1</v>
      </c>
      <c r="H588" s="40">
        <v>0</v>
      </c>
      <c r="I588" s="38">
        <v>4</v>
      </c>
      <c r="J588" s="41">
        <v>44600</v>
      </c>
      <c r="K588" s="38" t="s">
        <v>10768</v>
      </c>
      <c r="L588" s="42">
        <v>2000000</v>
      </c>
      <c r="O588"/>
    </row>
    <row r="589" spans="1:15" x14ac:dyDescent="0.3">
      <c r="A589" s="37">
        <v>78102</v>
      </c>
      <c r="B589" s="38">
        <v>583</v>
      </c>
      <c r="C589" s="39" t="s">
        <v>4201</v>
      </c>
      <c r="D589" s="10" t="str">
        <f>VLOOKUP(C589,'Data Angt'!$A$5:$B$5809,2,FALSE)</f>
        <v>A1821</v>
      </c>
      <c r="E589" s="40" t="s">
        <v>11633</v>
      </c>
      <c r="F589" s="41">
        <v>42766</v>
      </c>
      <c r="G589" s="38">
        <v>1</v>
      </c>
      <c r="H589" s="40">
        <v>0</v>
      </c>
      <c r="I589" s="38">
        <v>4</v>
      </c>
      <c r="J589" s="41">
        <v>42766</v>
      </c>
      <c r="K589" s="38" t="s">
        <v>10768</v>
      </c>
      <c r="L589" s="42">
        <v>2000000</v>
      </c>
      <c r="O589"/>
    </row>
    <row r="590" spans="1:15" x14ac:dyDescent="0.3">
      <c r="A590" s="37">
        <v>78904</v>
      </c>
      <c r="B590" s="38">
        <v>584</v>
      </c>
      <c r="C590" s="39" t="s">
        <v>4217</v>
      </c>
      <c r="D590" s="10" t="str">
        <f>VLOOKUP(C590,'Data Angt'!$A$5:$B$5809,2,FALSE)</f>
        <v>A1828</v>
      </c>
      <c r="E590" s="40" t="s">
        <v>11632</v>
      </c>
      <c r="F590" s="41">
        <v>42048</v>
      </c>
      <c r="G590" s="38">
        <v>1</v>
      </c>
      <c r="H590" s="40">
        <v>0</v>
      </c>
      <c r="I590" s="38">
        <v>4</v>
      </c>
      <c r="J590" s="41">
        <v>42048</v>
      </c>
      <c r="K590" s="38" t="s">
        <v>10768</v>
      </c>
      <c r="L590" s="42">
        <v>1500000</v>
      </c>
      <c r="O590"/>
    </row>
    <row r="591" spans="1:15" x14ac:dyDescent="0.3">
      <c r="A591" s="37">
        <v>125412</v>
      </c>
      <c r="B591" s="38">
        <v>585</v>
      </c>
      <c r="C591" s="39" t="s">
        <v>4231</v>
      </c>
      <c r="D591" s="10" t="str">
        <f>VLOOKUP(C591,'Data Angt'!$A$5:$B$5809,2,FALSE)</f>
        <v>A1834</v>
      </c>
      <c r="E591" s="40" t="s">
        <v>11631</v>
      </c>
      <c r="F591" s="41">
        <v>44118</v>
      </c>
      <c r="G591" s="38">
        <v>1</v>
      </c>
      <c r="H591" s="40">
        <v>0</v>
      </c>
      <c r="I591" s="38">
        <v>4</v>
      </c>
      <c r="J591" s="41">
        <v>44118</v>
      </c>
      <c r="K591" s="38" t="s">
        <v>10768</v>
      </c>
      <c r="L591" s="42">
        <v>1000000</v>
      </c>
      <c r="O591"/>
    </row>
    <row r="592" spans="1:15" x14ac:dyDescent="0.3">
      <c r="A592" s="37">
        <v>126246</v>
      </c>
      <c r="B592" s="38">
        <v>586</v>
      </c>
      <c r="C592" s="39" t="s">
        <v>4231</v>
      </c>
      <c r="D592" s="10" t="str">
        <f>VLOOKUP(C592,'Data Angt'!$A$5:$B$5809,2,FALSE)</f>
        <v>A1834</v>
      </c>
      <c r="E592" s="40" t="s">
        <v>11630</v>
      </c>
      <c r="F592" s="41">
        <v>44188</v>
      </c>
      <c r="G592" s="38">
        <v>1</v>
      </c>
      <c r="H592" s="40">
        <v>0</v>
      </c>
      <c r="I592" s="38">
        <v>4</v>
      </c>
      <c r="J592" s="41">
        <v>44188</v>
      </c>
      <c r="K592" s="38" t="s">
        <v>10768</v>
      </c>
      <c r="L592" s="42">
        <v>2000000</v>
      </c>
      <c r="O592"/>
    </row>
    <row r="593" spans="1:15" x14ac:dyDescent="0.3">
      <c r="A593" s="37">
        <v>137792</v>
      </c>
      <c r="B593" s="38">
        <v>587</v>
      </c>
      <c r="C593" s="39" t="s">
        <v>4231</v>
      </c>
      <c r="D593" s="10" t="str">
        <f>VLOOKUP(C593,'Data Angt'!$A$5:$B$5809,2,FALSE)</f>
        <v>A1834</v>
      </c>
      <c r="E593" s="40" t="s">
        <v>11629</v>
      </c>
      <c r="F593" s="41">
        <v>45090</v>
      </c>
      <c r="G593" s="38">
        <v>1</v>
      </c>
      <c r="H593" s="40">
        <v>0</v>
      </c>
      <c r="I593" s="38">
        <v>4</v>
      </c>
      <c r="J593" s="41">
        <v>45090</v>
      </c>
      <c r="K593" s="38" t="s">
        <v>10768</v>
      </c>
      <c r="L593" s="42">
        <v>5000000</v>
      </c>
      <c r="O593"/>
    </row>
    <row r="594" spans="1:15" x14ac:dyDescent="0.3">
      <c r="A594" s="37">
        <v>155985</v>
      </c>
      <c r="B594" s="38">
        <v>588</v>
      </c>
      <c r="C594" s="39" t="s">
        <v>4301</v>
      </c>
      <c r="D594" s="10" t="str">
        <f>VLOOKUP(C594,'Data Angt'!$A$5:$B$5809,2,FALSE)</f>
        <v>A1864</v>
      </c>
      <c r="E594" s="40" t="s">
        <v>18147</v>
      </c>
      <c r="F594" s="41">
        <v>45804</v>
      </c>
      <c r="G594" s="38">
        <v>1</v>
      </c>
      <c r="H594" s="40">
        <v>0</v>
      </c>
      <c r="I594" s="38">
        <v>4</v>
      </c>
      <c r="J594" s="41">
        <v>45804</v>
      </c>
      <c r="K594" s="38" t="s">
        <v>10768</v>
      </c>
      <c r="L594" s="42">
        <v>10000000</v>
      </c>
      <c r="O594"/>
    </row>
    <row r="595" spans="1:15" x14ac:dyDescent="0.3">
      <c r="A595" s="37">
        <v>158652</v>
      </c>
      <c r="B595" s="38">
        <v>589</v>
      </c>
      <c r="C595" s="39" t="s">
        <v>4301</v>
      </c>
      <c r="D595" s="10" t="str">
        <f>VLOOKUP(C595,'Data Angt'!$A$5:$B$5809,2,FALSE)</f>
        <v>A1864</v>
      </c>
      <c r="E595" s="40" t="s">
        <v>24037</v>
      </c>
      <c r="F595" s="41">
        <v>45919</v>
      </c>
      <c r="G595" s="38">
        <v>1</v>
      </c>
      <c r="H595" s="40">
        <v>0</v>
      </c>
      <c r="I595" s="38">
        <v>4</v>
      </c>
      <c r="J595" s="41">
        <v>45919</v>
      </c>
      <c r="K595" s="38" t="s">
        <v>10768</v>
      </c>
      <c r="L595" s="42">
        <v>1500000</v>
      </c>
      <c r="O595"/>
    </row>
    <row r="596" spans="1:15" x14ac:dyDescent="0.3">
      <c r="A596" s="37">
        <v>134885</v>
      </c>
      <c r="B596" s="38">
        <v>590</v>
      </c>
      <c r="C596" s="39" t="s">
        <v>4384</v>
      </c>
      <c r="D596" s="10" t="str">
        <f>VLOOKUP(C596,'Data Angt'!$A$5:$B$5809,2,FALSE)</f>
        <v>A1904</v>
      </c>
      <c r="E596" s="40" t="s">
        <v>11628</v>
      </c>
      <c r="F596" s="41">
        <v>44845</v>
      </c>
      <c r="G596" s="38">
        <v>1</v>
      </c>
      <c r="H596" s="40">
        <v>0</v>
      </c>
      <c r="I596" s="38">
        <v>4</v>
      </c>
      <c r="J596" s="41">
        <v>44845</v>
      </c>
      <c r="K596" s="38" t="s">
        <v>10768</v>
      </c>
      <c r="L596" s="42">
        <v>8000000</v>
      </c>
      <c r="O596"/>
    </row>
    <row r="597" spans="1:15" x14ac:dyDescent="0.3">
      <c r="A597" s="37">
        <v>78092</v>
      </c>
      <c r="B597" s="38">
        <v>591</v>
      </c>
      <c r="C597" s="39" t="s">
        <v>4403</v>
      </c>
      <c r="D597" s="10" t="str">
        <f>VLOOKUP(C597,'Data Angt'!$A$5:$B$5809,2,FALSE)</f>
        <v>A1914</v>
      </c>
      <c r="E597" s="40" t="s">
        <v>11627</v>
      </c>
      <c r="F597" s="41">
        <v>42744</v>
      </c>
      <c r="G597" s="38">
        <v>1</v>
      </c>
      <c r="H597" s="40">
        <v>0</v>
      </c>
      <c r="I597" s="38">
        <v>4</v>
      </c>
      <c r="J597" s="41">
        <v>42979</v>
      </c>
      <c r="K597" s="38" t="s">
        <v>10768</v>
      </c>
      <c r="L597" s="42">
        <v>20000000</v>
      </c>
      <c r="O597"/>
    </row>
    <row r="598" spans="1:15" x14ac:dyDescent="0.3">
      <c r="A598" s="37">
        <v>78362</v>
      </c>
      <c r="B598" s="38">
        <v>592</v>
      </c>
      <c r="C598" s="39" t="s">
        <v>4403</v>
      </c>
      <c r="D598" s="10" t="str">
        <f>VLOOKUP(C598,'Data Angt'!$A$5:$B$5809,2,FALSE)</f>
        <v>A1914</v>
      </c>
      <c r="E598" s="40" t="s">
        <v>11626</v>
      </c>
      <c r="F598" s="41">
        <v>43134</v>
      </c>
      <c r="G598" s="38">
        <v>1</v>
      </c>
      <c r="H598" s="40">
        <v>0</v>
      </c>
      <c r="I598" s="38">
        <v>4</v>
      </c>
      <c r="J598" s="41">
        <v>43134</v>
      </c>
      <c r="K598" s="38" t="s">
        <v>10768</v>
      </c>
      <c r="L598" s="42">
        <v>10000000</v>
      </c>
      <c r="O598"/>
    </row>
    <row r="599" spans="1:15" x14ac:dyDescent="0.3">
      <c r="A599" s="37">
        <v>92286</v>
      </c>
      <c r="B599" s="38">
        <v>593</v>
      </c>
      <c r="C599" s="39" t="s">
        <v>4403</v>
      </c>
      <c r="D599" s="10" t="str">
        <f>VLOOKUP(C599,'Data Angt'!$A$5:$B$5809,2,FALSE)</f>
        <v>A1914</v>
      </c>
      <c r="E599" s="40" t="s">
        <v>11625</v>
      </c>
      <c r="F599" s="41">
        <v>43442</v>
      </c>
      <c r="G599" s="38">
        <v>1</v>
      </c>
      <c r="H599" s="40">
        <v>0</v>
      </c>
      <c r="I599" s="38">
        <v>4</v>
      </c>
      <c r="J599" s="41">
        <v>43442</v>
      </c>
      <c r="K599" s="38" t="s">
        <v>10768</v>
      </c>
      <c r="L599" s="42">
        <v>20000000</v>
      </c>
      <c r="O599"/>
    </row>
    <row r="600" spans="1:15" x14ac:dyDescent="0.3">
      <c r="A600" s="37">
        <v>93478</v>
      </c>
      <c r="B600" s="38">
        <v>594</v>
      </c>
      <c r="C600" s="39" t="s">
        <v>4403</v>
      </c>
      <c r="D600" s="10" t="str">
        <f>VLOOKUP(C600,'Data Angt'!$A$5:$B$5809,2,FALSE)</f>
        <v>A1914</v>
      </c>
      <c r="E600" s="40" t="s">
        <v>11624</v>
      </c>
      <c r="F600" s="41">
        <v>43493</v>
      </c>
      <c r="G600" s="38">
        <v>1</v>
      </c>
      <c r="H600" s="40">
        <v>0</v>
      </c>
      <c r="I600" s="38">
        <v>4</v>
      </c>
      <c r="J600" s="41">
        <v>43493</v>
      </c>
      <c r="K600" s="38" t="s">
        <v>10768</v>
      </c>
      <c r="L600" s="42">
        <v>30000000</v>
      </c>
      <c r="O600"/>
    </row>
    <row r="601" spans="1:15" x14ac:dyDescent="0.3">
      <c r="A601" s="37">
        <v>124393</v>
      </c>
      <c r="B601" s="38">
        <v>595</v>
      </c>
      <c r="C601" s="39" t="s">
        <v>4403</v>
      </c>
      <c r="D601" s="10" t="str">
        <f>VLOOKUP(C601,'Data Angt'!$A$5:$B$5809,2,FALSE)</f>
        <v>A1914</v>
      </c>
      <c r="E601" s="40" t="s">
        <v>11623</v>
      </c>
      <c r="F601" s="41">
        <v>44042</v>
      </c>
      <c r="G601" s="38">
        <v>1</v>
      </c>
      <c r="H601" s="40">
        <v>0</v>
      </c>
      <c r="I601" s="38">
        <v>4</v>
      </c>
      <c r="J601" s="41">
        <v>44042</v>
      </c>
      <c r="K601" s="38" t="s">
        <v>10768</v>
      </c>
      <c r="L601" s="42">
        <v>10000000</v>
      </c>
      <c r="O601"/>
    </row>
    <row r="602" spans="1:15" x14ac:dyDescent="0.3">
      <c r="A602" s="37">
        <v>124558</v>
      </c>
      <c r="B602" s="38">
        <v>596</v>
      </c>
      <c r="C602" s="39" t="s">
        <v>4403</v>
      </c>
      <c r="D602" s="10" t="str">
        <f>VLOOKUP(C602,'Data Angt'!$A$5:$B$5809,2,FALSE)</f>
        <v>A1914</v>
      </c>
      <c r="E602" s="40" t="s">
        <v>11622</v>
      </c>
      <c r="F602" s="41">
        <v>44054</v>
      </c>
      <c r="G602" s="38">
        <v>1</v>
      </c>
      <c r="H602" s="40">
        <v>0</v>
      </c>
      <c r="I602" s="38">
        <v>4</v>
      </c>
      <c r="J602" s="41">
        <v>44054</v>
      </c>
      <c r="K602" s="38" t="s">
        <v>10768</v>
      </c>
      <c r="L602" s="42">
        <v>10000000</v>
      </c>
      <c r="O602"/>
    </row>
    <row r="603" spans="1:15" x14ac:dyDescent="0.3">
      <c r="A603" s="37">
        <v>124917</v>
      </c>
      <c r="B603" s="38">
        <v>597</v>
      </c>
      <c r="C603" s="39" t="s">
        <v>4403</v>
      </c>
      <c r="D603" s="10" t="str">
        <f>VLOOKUP(C603,'Data Angt'!$A$5:$B$5809,2,FALSE)</f>
        <v>A1914</v>
      </c>
      <c r="E603" s="40" t="s">
        <v>11621</v>
      </c>
      <c r="F603" s="41">
        <v>44081</v>
      </c>
      <c r="G603" s="38">
        <v>1</v>
      </c>
      <c r="H603" s="40">
        <v>0</v>
      </c>
      <c r="I603" s="38">
        <v>4</v>
      </c>
      <c r="J603" s="41">
        <v>44081</v>
      </c>
      <c r="K603" s="38" t="s">
        <v>10768</v>
      </c>
      <c r="L603" s="42">
        <v>10000000</v>
      </c>
      <c r="O603"/>
    </row>
    <row r="604" spans="1:15" x14ac:dyDescent="0.3">
      <c r="A604" s="37">
        <v>133367</v>
      </c>
      <c r="B604" s="38">
        <v>598</v>
      </c>
      <c r="C604" s="39" t="s">
        <v>4424</v>
      </c>
      <c r="D604" s="10" t="str">
        <f>VLOOKUP(C604,'Data Angt'!$A$5:$B$5809,2,FALSE)</f>
        <v>A1924</v>
      </c>
      <c r="E604" s="40" t="s">
        <v>11620</v>
      </c>
      <c r="F604" s="41">
        <v>44736</v>
      </c>
      <c r="G604" s="38">
        <v>1</v>
      </c>
      <c r="H604" s="40">
        <v>0</v>
      </c>
      <c r="I604" s="38">
        <v>4</v>
      </c>
      <c r="J604" s="41">
        <v>44736</v>
      </c>
      <c r="K604" s="38" t="s">
        <v>10768</v>
      </c>
      <c r="L604" s="42">
        <v>25000000</v>
      </c>
      <c r="O604"/>
    </row>
    <row r="605" spans="1:15" x14ac:dyDescent="0.3">
      <c r="A605" s="37">
        <v>129396</v>
      </c>
      <c r="B605" s="38">
        <v>599</v>
      </c>
      <c r="C605" s="39" t="s">
        <v>4429</v>
      </c>
      <c r="D605" s="10" t="str">
        <f>VLOOKUP(C605,'Data Angt'!$A$5:$B$5809,2,FALSE)</f>
        <v>A1927</v>
      </c>
      <c r="E605" s="40" t="s">
        <v>11619</v>
      </c>
      <c r="F605" s="41">
        <v>44420</v>
      </c>
      <c r="G605" s="38">
        <v>1</v>
      </c>
      <c r="H605" s="40">
        <v>0</v>
      </c>
      <c r="I605" s="38">
        <v>4</v>
      </c>
      <c r="J605" s="41">
        <v>44420</v>
      </c>
      <c r="K605" s="38" t="s">
        <v>10768</v>
      </c>
      <c r="L605" s="42">
        <v>10000000</v>
      </c>
      <c r="O605"/>
    </row>
    <row r="606" spans="1:15" x14ac:dyDescent="0.3">
      <c r="A606" s="37">
        <v>130005</v>
      </c>
      <c r="B606" s="38">
        <v>600</v>
      </c>
      <c r="C606" s="39" t="s">
        <v>4429</v>
      </c>
      <c r="D606" s="10" t="str">
        <f>VLOOKUP(C606,'Data Angt'!$A$5:$B$5809,2,FALSE)</f>
        <v>A1927</v>
      </c>
      <c r="E606" s="40" t="s">
        <v>11618</v>
      </c>
      <c r="F606" s="41">
        <v>44460</v>
      </c>
      <c r="G606" s="38">
        <v>1</v>
      </c>
      <c r="H606" s="40">
        <v>0</v>
      </c>
      <c r="I606" s="38">
        <v>4</v>
      </c>
      <c r="J606" s="41">
        <v>44460</v>
      </c>
      <c r="K606" s="38" t="s">
        <v>10768</v>
      </c>
      <c r="L606" s="42">
        <v>10000000</v>
      </c>
      <c r="O606"/>
    </row>
    <row r="607" spans="1:15" x14ac:dyDescent="0.3">
      <c r="A607" s="37">
        <v>130530</v>
      </c>
      <c r="B607" s="38">
        <v>601</v>
      </c>
      <c r="C607" s="39" t="s">
        <v>4429</v>
      </c>
      <c r="D607" s="10" t="str">
        <f>VLOOKUP(C607,'Data Angt'!$A$5:$B$5809,2,FALSE)</f>
        <v>A1927</v>
      </c>
      <c r="E607" s="40" t="s">
        <v>11617</v>
      </c>
      <c r="F607" s="41">
        <v>44504</v>
      </c>
      <c r="G607" s="38">
        <v>1</v>
      </c>
      <c r="H607" s="40">
        <v>0</v>
      </c>
      <c r="I607" s="38">
        <v>4</v>
      </c>
      <c r="J607" s="41">
        <v>44504</v>
      </c>
      <c r="K607" s="38" t="s">
        <v>10768</v>
      </c>
      <c r="L607" s="42">
        <v>10000000</v>
      </c>
      <c r="O607"/>
    </row>
    <row r="608" spans="1:15" x14ac:dyDescent="0.3">
      <c r="A608" s="37">
        <v>157554</v>
      </c>
      <c r="B608" s="38">
        <v>602</v>
      </c>
      <c r="C608" s="39" t="s">
        <v>4429</v>
      </c>
      <c r="D608" s="10" t="str">
        <f>VLOOKUP(C608,'Data Angt'!$A$5:$B$5809,2,FALSE)</f>
        <v>A1927</v>
      </c>
      <c r="E608" s="40" t="s">
        <v>24038</v>
      </c>
      <c r="F608" s="41">
        <v>45873</v>
      </c>
      <c r="G608" s="38">
        <v>1</v>
      </c>
      <c r="H608" s="40">
        <v>0</v>
      </c>
      <c r="I608" s="38">
        <v>4</v>
      </c>
      <c r="J608" s="41">
        <v>45873</v>
      </c>
      <c r="K608" s="38" t="s">
        <v>10768</v>
      </c>
      <c r="L608" s="42">
        <v>5000000</v>
      </c>
      <c r="O608"/>
    </row>
    <row r="609" spans="1:15" x14ac:dyDescent="0.3">
      <c r="A609" s="37">
        <v>155106</v>
      </c>
      <c r="B609" s="38">
        <v>603</v>
      </c>
      <c r="C609" s="39" t="s">
        <v>4431</v>
      </c>
      <c r="D609" s="10" t="str">
        <f>VLOOKUP(C609,'Data Angt'!$A$5:$B$5809,2,FALSE)</f>
        <v>A1928</v>
      </c>
      <c r="E609" s="40" t="s">
        <v>18148</v>
      </c>
      <c r="F609" s="41">
        <v>45768</v>
      </c>
      <c r="G609" s="38">
        <v>1</v>
      </c>
      <c r="H609" s="40">
        <v>0</v>
      </c>
      <c r="I609" s="38">
        <v>4</v>
      </c>
      <c r="J609" s="41">
        <v>45768</v>
      </c>
      <c r="K609" s="38" t="s">
        <v>10768</v>
      </c>
      <c r="L609" s="42">
        <v>3000000</v>
      </c>
      <c r="O609"/>
    </row>
    <row r="610" spans="1:15" x14ac:dyDescent="0.3">
      <c r="A610" s="37">
        <v>124935</v>
      </c>
      <c r="B610" s="38">
        <v>604</v>
      </c>
      <c r="C610" s="39" t="s">
        <v>4463</v>
      </c>
      <c r="D610" s="10" t="str">
        <f>VLOOKUP(C610,'Data Angt'!$A$5:$B$5809,2,FALSE)</f>
        <v>A1943</v>
      </c>
      <c r="E610" s="40" t="s">
        <v>11616</v>
      </c>
      <c r="F610" s="41">
        <v>44082</v>
      </c>
      <c r="G610" s="38">
        <v>1</v>
      </c>
      <c r="H610" s="40">
        <v>0</v>
      </c>
      <c r="I610" s="38">
        <v>4</v>
      </c>
      <c r="J610" s="41">
        <v>44082</v>
      </c>
      <c r="K610" s="38" t="s">
        <v>10768</v>
      </c>
      <c r="L610" s="42">
        <v>19500000</v>
      </c>
      <c r="O610"/>
    </row>
    <row r="611" spans="1:15" x14ac:dyDescent="0.3">
      <c r="A611" s="37">
        <v>149226</v>
      </c>
      <c r="B611" s="38">
        <v>605</v>
      </c>
      <c r="C611" s="39" t="s">
        <v>4463</v>
      </c>
      <c r="D611" s="10" t="str">
        <f>VLOOKUP(C611,'Data Angt'!$A$5:$B$5809,2,FALSE)</f>
        <v>A1943</v>
      </c>
      <c r="E611" s="40" t="s">
        <v>18149</v>
      </c>
      <c r="F611" s="41">
        <v>45554</v>
      </c>
      <c r="G611" s="38">
        <v>1</v>
      </c>
      <c r="H611" s="40">
        <v>0</v>
      </c>
      <c r="I611" s="38">
        <v>4</v>
      </c>
      <c r="J611" s="41">
        <v>45554</v>
      </c>
      <c r="K611" s="38" t="s">
        <v>10768</v>
      </c>
      <c r="L611" s="42">
        <v>10000000</v>
      </c>
      <c r="O611"/>
    </row>
    <row r="612" spans="1:15" x14ac:dyDescent="0.3">
      <c r="A612" s="37">
        <v>149227</v>
      </c>
      <c r="B612" s="38">
        <v>606</v>
      </c>
      <c r="C612" s="39" t="s">
        <v>4463</v>
      </c>
      <c r="D612" s="10" t="str">
        <f>VLOOKUP(C612,'Data Angt'!$A$5:$B$5809,2,FALSE)</f>
        <v>A1943</v>
      </c>
      <c r="E612" s="40" t="s">
        <v>18150</v>
      </c>
      <c r="F612" s="41">
        <v>45554</v>
      </c>
      <c r="G612" s="38">
        <v>1</v>
      </c>
      <c r="H612" s="40">
        <v>0</v>
      </c>
      <c r="I612" s="38">
        <v>4</v>
      </c>
      <c r="J612" s="41">
        <v>45554</v>
      </c>
      <c r="K612" s="38" t="s">
        <v>10768</v>
      </c>
      <c r="L612" s="42">
        <v>10000000</v>
      </c>
      <c r="O612"/>
    </row>
    <row r="613" spans="1:15" x14ac:dyDescent="0.3">
      <c r="A613" s="37">
        <v>120667</v>
      </c>
      <c r="B613" s="38">
        <v>607</v>
      </c>
      <c r="C613" s="39" t="s">
        <v>4483</v>
      </c>
      <c r="D613" s="10" t="str">
        <f>VLOOKUP(C613,'Data Angt'!$A$5:$B$5809,2,FALSE)</f>
        <v>A1951</v>
      </c>
      <c r="E613" s="40" t="s">
        <v>11615</v>
      </c>
      <c r="F613" s="41">
        <v>43873</v>
      </c>
      <c r="G613" s="38">
        <v>6</v>
      </c>
      <c r="H613" s="40">
        <v>0</v>
      </c>
      <c r="I613" s="38">
        <v>4</v>
      </c>
      <c r="J613" s="41">
        <v>43873</v>
      </c>
      <c r="K613" s="38" t="s">
        <v>10768</v>
      </c>
      <c r="L613" s="42">
        <v>5000000</v>
      </c>
      <c r="O613"/>
    </row>
    <row r="614" spans="1:15" x14ac:dyDescent="0.3">
      <c r="A614" s="37">
        <v>127733</v>
      </c>
      <c r="B614" s="38">
        <v>608</v>
      </c>
      <c r="C614" s="39" t="s">
        <v>4500</v>
      </c>
      <c r="D614" s="10" t="str">
        <f>VLOOKUP(C614,'Data Angt'!$A$5:$B$5809,2,FALSE)</f>
        <v>A1961</v>
      </c>
      <c r="E614" s="40" t="s">
        <v>11614</v>
      </c>
      <c r="F614" s="41">
        <v>44293</v>
      </c>
      <c r="G614" s="38">
        <v>1</v>
      </c>
      <c r="H614" s="40">
        <v>0</v>
      </c>
      <c r="I614" s="38">
        <v>4</v>
      </c>
      <c r="J614" s="41">
        <v>44293</v>
      </c>
      <c r="K614" s="38" t="s">
        <v>10768</v>
      </c>
      <c r="L614" s="42">
        <v>5000000</v>
      </c>
      <c r="O614"/>
    </row>
    <row r="615" spans="1:15" x14ac:dyDescent="0.3">
      <c r="A615" s="37">
        <v>140248</v>
      </c>
      <c r="B615" s="38">
        <v>609</v>
      </c>
      <c r="C615" s="39" t="s">
        <v>4531</v>
      </c>
      <c r="D615" s="10" t="str">
        <f>VLOOKUP(C615,'Data Angt'!$A$5:$B$5809,2,FALSE)</f>
        <v>A1973</v>
      </c>
      <c r="E615" s="40" t="s">
        <v>11482</v>
      </c>
      <c r="F615" s="41">
        <v>45237</v>
      </c>
      <c r="G615" s="38">
        <v>1</v>
      </c>
      <c r="H615" s="40">
        <v>0</v>
      </c>
      <c r="I615" s="38">
        <v>4</v>
      </c>
      <c r="J615" s="41">
        <v>45237</v>
      </c>
      <c r="K615" s="38" t="s">
        <v>10768</v>
      </c>
      <c r="L615" s="42">
        <v>1000000</v>
      </c>
      <c r="O615"/>
    </row>
    <row r="616" spans="1:15" x14ac:dyDescent="0.3">
      <c r="A616" s="37">
        <v>145908</v>
      </c>
      <c r="B616" s="38">
        <v>610</v>
      </c>
      <c r="C616" s="39" t="s">
        <v>4531</v>
      </c>
      <c r="D616" s="10" t="str">
        <f>VLOOKUP(C616,'Data Angt'!$A$5:$B$5809,2,FALSE)</f>
        <v>A1973</v>
      </c>
      <c r="E616" s="40" t="s">
        <v>18151</v>
      </c>
      <c r="F616" s="41">
        <v>45453</v>
      </c>
      <c r="G616" s="38">
        <v>1</v>
      </c>
      <c r="H616" s="40">
        <v>0</v>
      </c>
      <c r="I616" s="38">
        <v>4</v>
      </c>
      <c r="J616" s="41">
        <v>45453</v>
      </c>
      <c r="K616" s="38" t="s">
        <v>10768</v>
      </c>
      <c r="L616" s="42">
        <v>10000000</v>
      </c>
      <c r="O616"/>
    </row>
    <row r="617" spans="1:15" x14ac:dyDescent="0.3">
      <c r="A617" s="37">
        <v>144662</v>
      </c>
      <c r="B617" s="38">
        <v>611</v>
      </c>
      <c r="C617" s="39" t="s">
        <v>4533</v>
      </c>
      <c r="D617" s="10" t="str">
        <f>VLOOKUP(C617,'Data Angt'!$A$5:$B$5809,2,FALSE)</f>
        <v>A1974</v>
      </c>
      <c r="E617" s="40" t="s">
        <v>18152</v>
      </c>
      <c r="F617" s="41">
        <v>45418</v>
      </c>
      <c r="G617" s="38">
        <v>1</v>
      </c>
      <c r="H617" s="40">
        <v>0</v>
      </c>
      <c r="I617" s="38">
        <v>4</v>
      </c>
      <c r="J617" s="41">
        <v>45418</v>
      </c>
      <c r="K617" s="38" t="s">
        <v>10768</v>
      </c>
      <c r="L617" s="42">
        <v>10000000</v>
      </c>
      <c r="O617"/>
    </row>
    <row r="618" spans="1:15" x14ac:dyDescent="0.3">
      <c r="A618" s="37">
        <v>155107</v>
      </c>
      <c r="B618" s="38">
        <v>612</v>
      </c>
      <c r="C618" s="39" t="s">
        <v>4533</v>
      </c>
      <c r="D618" s="10" t="str">
        <f>VLOOKUP(C618,'Data Angt'!$A$5:$B$5809,2,FALSE)</f>
        <v>A1974</v>
      </c>
      <c r="E618" s="40" t="s">
        <v>18153</v>
      </c>
      <c r="F618" s="41">
        <v>45768</v>
      </c>
      <c r="G618" s="38">
        <v>1</v>
      </c>
      <c r="H618" s="40">
        <v>0</v>
      </c>
      <c r="I618" s="38">
        <v>4</v>
      </c>
      <c r="J618" s="41">
        <v>45768</v>
      </c>
      <c r="K618" s="38" t="s">
        <v>10768</v>
      </c>
      <c r="L618" s="42">
        <v>10000000</v>
      </c>
      <c r="O618"/>
    </row>
    <row r="619" spans="1:15" x14ac:dyDescent="0.3">
      <c r="A619" s="37">
        <v>143483</v>
      </c>
      <c r="B619" s="38">
        <v>613</v>
      </c>
      <c r="C619" s="39" t="s">
        <v>4562</v>
      </c>
      <c r="D619" s="10" t="str">
        <f>VLOOKUP(C619,'Data Angt'!$A$5:$B$5809,2,FALSE)</f>
        <v>A1987</v>
      </c>
      <c r="E619" s="40" t="s">
        <v>18154</v>
      </c>
      <c r="F619" s="41">
        <v>45366</v>
      </c>
      <c r="G619" s="38">
        <v>1</v>
      </c>
      <c r="H619" s="40">
        <v>0</v>
      </c>
      <c r="I619" s="38">
        <v>4</v>
      </c>
      <c r="J619" s="41">
        <v>45366</v>
      </c>
      <c r="K619" s="38" t="s">
        <v>10768</v>
      </c>
      <c r="L619" s="42">
        <v>20000000</v>
      </c>
      <c r="O619"/>
    </row>
    <row r="620" spans="1:15" x14ac:dyDescent="0.3">
      <c r="A620" s="37">
        <v>153940</v>
      </c>
      <c r="B620" s="38">
        <v>614</v>
      </c>
      <c r="C620" s="39" t="s">
        <v>4611</v>
      </c>
      <c r="D620" s="10" t="str">
        <f>VLOOKUP(C620,'Data Angt'!$A$5:$B$5809,2,FALSE)</f>
        <v>A2014</v>
      </c>
      <c r="E620" s="40" t="s">
        <v>18155</v>
      </c>
      <c r="F620" s="41">
        <v>45714</v>
      </c>
      <c r="G620" s="38">
        <v>1</v>
      </c>
      <c r="H620" s="40">
        <v>0</v>
      </c>
      <c r="I620" s="38">
        <v>4</v>
      </c>
      <c r="J620" s="41">
        <v>45714</v>
      </c>
      <c r="K620" s="38" t="s">
        <v>10768</v>
      </c>
      <c r="L620" s="42">
        <v>5000000</v>
      </c>
      <c r="O620"/>
    </row>
    <row r="621" spans="1:15" x14ac:dyDescent="0.3">
      <c r="A621" s="37">
        <v>153941</v>
      </c>
      <c r="B621" s="38">
        <v>615</v>
      </c>
      <c r="C621" s="39" t="s">
        <v>4611</v>
      </c>
      <c r="D621" s="10" t="str">
        <f>VLOOKUP(C621,'Data Angt'!$A$5:$B$5809,2,FALSE)</f>
        <v>A2014</v>
      </c>
      <c r="E621" s="40" t="s">
        <v>18156</v>
      </c>
      <c r="F621" s="41">
        <v>45714</v>
      </c>
      <c r="G621" s="38">
        <v>1</v>
      </c>
      <c r="H621" s="40">
        <v>0</v>
      </c>
      <c r="I621" s="38">
        <v>4</v>
      </c>
      <c r="J621" s="41">
        <v>45714</v>
      </c>
      <c r="K621" s="38" t="s">
        <v>10768</v>
      </c>
      <c r="L621" s="42">
        <v>5000000</v>
      </c>
      <c r="O621"/>
    </row>
    <row r="622" spans="1:15" x14ac:dyDescent="0.3">
      <c r="A622" s="37">
        <v>123071</v>
      </c>
      <c r="B622" s="38">
        <v>616</v>
      </c>
      <c r="C622" s="39" t="s">
        <v>4622</v>
      </c>
      <c r="D622" s="10" t="str">
        <f>VLOOKUP(C622,'Data Angt'!$A$5:$B$5809,2,FALSE)</f>
        <v>A2018</v>
      </c>
      <c r="E622" s="40" t="s">
        <v>11457</v>
      </c>
      <c r="F622" s="41">
        <v>43956</v>
      </c>
      <c r="G622" s="38">
        <v>1</v>
      </c>
      <c r="H622" s="40">
        <v>0</v>
      </c>
      <c r="I622" s="38">
        <v>4</v>
      </c>
      <c r="J622" s="41">
        <v>43956</v>
      </c>
      <c r="K622" s="38" t="s">
        <v>10768</v>
      </c>
      <c r="L622" s="42">
        <v>1000000</v>
      </c>
      <c r="O622"/>
    </row>
    <row r="623" spans="1:15" x14ac:dyDescent="0.3">
      <c r="A623" s="37">
        <v>126312</v>
      </c>
      <c r="B623" s="38">
        <v>617</v>
      </c>
      <c r="C623" s="39" t="s">
        <v>4622</v>
      </c>
      <c r="D623" s="10" t="str">
        <f>VLOOKUP(C623,'Data Angt'!$A$5:$B$5809,2,FALSE)</f>
        <v>A2018</v>
      </c>
      <c r="E623" s="40" t="s">
        <v>11456</v>
      </c>
      <c r="F623" s="41">
        <v>44200</v>
      </c>
      <c r="G623" s="38">
        <v>1</v>
      </c>
      <c r="H623" s="40">
        <v>0</v>
      </c>
      <c r="I623" s="38">
        <v>4</v>
      </c>
      <c r="J623" s="41">
        <v>44200</v>
      </c>
      <c r="K623" s="38" t="s">
        <v>10768</v>
      </c>
      <c r="L623" s="42">
        <v>1000000</v>
      </c>
      <c r="O623"/>
    </row>
    <row r="624" spans="1:15" x14ac:dyDescent="0.3">
      <c r="A624" s="37">
        <v>143395</v>
      </c>
      <c r="B624" s="38">
        <v>618</v>
      </c>
      <c r="C624" s="39" t="s">
        <v>4689</v>
      </c>
      <c r="D624" s="10" t="str">
        <f>VLOOKUP(C624,'Data Angt'!$A$5:$B$5809,2,FALSE)</f>
        <v>A2049</v>
      </c>
      <c r="E624" s="40" t="s">
        <v>18157</v>
      </c>
      <c r="F624" s="41">
        <v>45364</v>
      </c>
      <c r="G624" s="38">
        <v>1</v>
      </c>
      <c r="H624" s="40">
        <v>0</v>
      </c>
      <c r="I624" s="38">
        <v>4</v>
      </c>
      <c r="J624" s="41">
        <v>45364</v>
      </c>
      <c r="K624" s="38" t="s">
        <v>10768</v>
      </c>
      <c r="L624" s="42">
        <v>25000000</v>
      </c>
      <c r="O624"/>
    </row>
    <row r="625" spans="1:15" x14ac:dyDescent="0.3">
      <c r="A625" s="37">
        <v>78906</v>
      </c>
      <c r="B625" s="38">
        <v>619</v>
      </c>
      <c r="C625" s="39" t="s">
        <v>4713</v>
      </c>
      <c r="D625" s="10" t="str">
        <f>VLOOKUP(C625,'Data Angt'!$A$5:$B$5809,2,FALSE)</f>
        <v>A2059</v>
      </c>
      <c r="E625" s="40" t="s">
        <v>11613</v>
      </c>
      <c r="F625" s="41">
        <v>42111</v>
      </c>
      <c r="G625" s="38">
        <v>1</v>
      </c>
      <c r="H625" s="40">
        <v>0</v>
      </c>
      <c r="I625" s="38">
        <v>4</v>
      </c>
      <c r="J625" s="41">
        <v>42111</v>
      </c>
      <c r="K625" s="38" t="s">
        <v>10768</v>
      </c>
      <c r="L625" s="42">
        <v>10000000</v>
      </c>
      <c r="O625"/>
    </row>
    <row r="626" spans="1:15" x14ac:dyDescent="0.3">
      <c r="A626" s="37">
        <v>78910</v>
      </c>
      <c r="B626" s="38">
        <v>620</v>
      </c>
      <c r="C626" s="39" t="s">
        <v>4713</v>
      </c>
      <c r="D626" s="10" t="str">
        <f>VLOOKUP(C626,'Data Angt'!$A$5:$B$5809,2,FALSE)</f>
        <v>A2059</v>
      </c>
      <c r="E626" s="40" t="s">
        <v>11612</v>
      </c>
      <c r="F626" s="41">
        <v>42221</v>
      </c>
      <c r="G626" s="38">
        <v>1</v>
      </c>
      <c r="H626" s="40">
        <v>0</v>
      </c>
      <c r="I626" s="38">
        <v>4</v>
      </c>
      <c r="J626" s="41">
        <v>42132</v>
      </c>
      <c r="K626" s="38" t="s">
        <v>10768</v>
      </c>
      <c r="L626" s="42">
        <v>20000000</v>
      </c>
      <c r="O626"/>
    </row>
    <row r="627" spans="1:15" x14ac:dyDescent="0.3">
      <c r="A627" s="37">
        <v>113733</v>
      </c>
      <c r="B627" s="38">
        <v>621</v>
      </c>
      <c r="C627" s="39" t="s">
        <v>4713</v>
      </c>
      <c r="D627" s="10" t="str">
        <f>VLOOKUP(C627,'Data Angt'!$A$5:$B$5809,2,FALSE)</f>
        <v>A2059</v>
      </c>
      <c r="E627" s="40" t="s">
        <v>11611</v>
      </c>
      <c r="F627" s="41">
        <v>43651</v>
      </c>
      <c r="G627" s="38">
        <v>1</v>
      </c>
      <c r="H627" s="40">
        <v>0</v>
      </c>
      <c r="I627" s="38">
        <v>4</v>
      </c>
      <c r="J627" s="41">
        <v>43651</v>
      </c>
      <c r="K627" s="38" t="s">
        <v>10768</v>
      </c>
      <c r="L627" s="42">
        <v>30000000</v>
      </c>
      <c r="O627"/>
    </row>
    <row r="628" spans="1:15" x14ac:dyDescent="0.3">
      <c r="A628" s="37">
        <v>149920</v>
      </c>
      <c r="B628" s="38">
        <v>622</v>
      </c>
      <c r="C628" s="39" t="s">
        <v>4778</v>
      </c>
      <c r="D628" s="10" t="str">
        <f>VLOOKUP(C628,'Data Angt'!$A$5:$B$5809,2,FALSE)</f>
        <v>A2089</v>
      </c>
      <c r="E628" s="40" t="s">
        <v>18158</v>
      </c>
      <c r="F628" s="41">
        <v>45595</v>
      </c>
      <c r="G628" s="38">
        <v>1</v>
      </c>
      <c r="H628" s="40">
        <v>0</v>
      </c>
      <c r="I628" s="38">
        <v>4</v>
      </c>
      <c r="J628" s="41">
        <v>45595</v>
      </c>
      <c r="K628" s="38" t="s">
        <v>10768</v>
      </c>
      <c r="L628" s="42">
        <v>13000000</v>
      </c>
      <c r="O628"/>
    </row>
    <row r="629" spans="1:15" x14ac:dyDescent="0.3">
      <c r="A629" s="37">
        <v>156159</v>
      </c>
      <c r="B629" s="38">
        <v>623</v>
      </c>
      <c r="C629" s="39" t="s">
        <v>4778</v>
      </c>
      <c r="D629" s="10" t="str">
        <f>VLOOKUP(C629,'Data Angt'!$A$5:$B$5809,2,FALSE)</f>
        <v>A2089</v>
      </c>
      <c r="E629" s="40" t="s">
        <v>18159</v>
      </c>
      <c r="F629" s="41">
        <v>45810</v>
      </c>
      <c r="G629" s="38">
        <v>1</v>
      </c>
      <c r="H629" s="40">
        <v>0</v>
      </c>
      <c r="I629" s="38">
        <v>4</v>
      </c>
      <c r="J629" s="41">
        <v>45810</v>
      </c>
      <c r="K629" s="38" t="s">
        <v>10768</v>
      </c>
      <c r="L629" s="42">
        <v>1500000</v>
      </c>
      <c r="O629"/>
    </row>
    <row r="630" spans="1:15" x14ac:dyDescent="0.3">
      <c r="A630" s="37">
        <v>156160</v>
      </c>
      <c r="B630" s="38">
        <v>624</v>
      </c>
      <c r="C630" s="39" t="s">
        <v>4778</v>
      </c>
      <c r="D630" s="10" t="str">
        <f>VLOOKUP(C630,'Data Angt'!$A$5:$B$5809,2,FALSE)</f>
        <v>A2089</v>
      </c>
      <c r="E630" s="40" t="s">
        <v>18160</v>
      </c>
      <c r="F630" s="41">
        <v>45810</v>
      </c>
      <c r="G630" s="38">
        <v>1</v>
      </c>
      <c r="H630" s="40">
        <v>0</v>
      </c>
      <c r="I630" s="38">
        <v>4</v>
      </c>
      <c r="J630" s="41">
        <v>45810</v>
      </c>
      <c r="K630" s="38" t="s">
        <v>10768</v>
      </c>
      <c r="L630" s="42">
        <v>1500000</v>
      </c>
      <c r="O630"/>
    </row>
    <row r="631" spans="1:15" x14ac:dyDescent="0.3">
      <c r="A631" s="37">
        <v>157396</v>
      </c>
      <c r="B631" s="38">
        <v>625</v>
      </c>
      <c r="C631" s="39" t="s">
        <v>4778</v>
      </c>
      <c r="D631" s="10" t="str">
        <f>VLOOKUP(C631,'Data Angt'!$A$5:$B$5809,2,FALSE)</f>
        <v>A2089</v>
      </c>
      <c r="E631" s="40" t="s">
        <v>24039</v>
      </c>
      <c r="F631" s="41">
        <v>45867</v>
      </c>
      <c r="G631" s="38">
        <v>1</v>
      </c>
      <c r="H631" s="40">
        <v>0</v>
      </c>
      <c r="I631" s="38">
        <v>4</v>
      </c>
      <c r="J631" s="41">
        <v>45867</v>
      </c>
      <c r="K631" s="38" t="s">
        <v>10768</v>
      </c>
      <c r="L631" s="42">
        <v>2000000</v>
      </c>
      <c r="O631"/>
    </row>
    <row r="632" spans="1:15" x14ac:dyDescent="0.3">
      <c r="A632" s="37">
        <v>157397</v>
      </c>
      <c r="B632" s="38">
        <v>626</v>
      </c>
      <c r="C632" s="39" t="s">
        <v>4778</v>
      </c>
      <c r="D632" s="10" t="str">
        <f>VLOOKUP(C632,'Data Angt'!$A$5:$B$5809,2,FALSE)</f>
        <v>A2089</v>
      </c>
      <c r="E632" s="40" t="s">
        <v>24040</v>
      </c>
      <c r="F632" s="41">
        <v>45867</v>
      </c>
      <c r="G632" s="38">
        <v>1</v>
      </c>
      <c r="H632" s="40">
        <v>0</v>
      </c>
      <c r="I632" s="38">
        <v>4</v>
      </c>
      <c r="J632" s="41">
        <v>45867</v>
      </c>
      <c r="K632" s="38" t="s">
        <v>10768</v>
      </c>
      <c r="L632" s="42">
        <v>2000000</v>
      </c>
      <c r="O632"/>
    </row>
    <row r="633" spans="1:15" x14ac:dyDescent="0.3">
      <c r="A633" s="37">
        <v>157398</v>
      </c>
      <c r="B633" s="38">
        <v>627</v>
      </c>
      <c r="C633" s="39" t="s">
        <v>4778</v>
      </c>
      <c r="D633" s="10" t="str">
        <f>VLOOKUP(C633,'Data Angt'!$A$5:$B$5809,2,FALSE)</f>
        <v>A2089</v>
      </c>
      <c r="E633" s="40" t="s">
        <v>24041</v>
      </c>
      <c r="F633" s="41">
        <v>45867</v>
      </c>
      <c r="G633" s="38">
        <v>1</v>
      </c>
      <c r="H633" s="40">
        <v>0</v>
      </c>
      <c r="I633" s="38">
        <v>4</v>
      </c>
      <c r="J633" s="41">
        <v>45867</v>
      </c>
      <c r="K633" s="38" t="s">
        <v>10768</v>
      </c>
      <c r="L633" s="42">
        <v>1000000</v>
      </c>
      <c r="O633"/>
    </row>
    <row r="634" spans="1:15" x14ac:dyDescent="0.3">
      <c r="A634" s="37">
        <v>78746</v>
      </c>
      <c r="B634" s="38">
        <v>628</v>
      </c>
      <c r="C634" s="39" t="s">
        <v>4789</v>
      </c>
      <c r="D634" s="10" t="str">
        <f>VLOOKUP(C634,'Data Angt'!$A$5:$B$5809,2,FALSE)</f>
        <v>A2095</v>
      </c>
      <c r="E634" s="40" t="s">
        <v>11610</v>
      </c>
      <c r="F634" s="41">
        <v>43132</v>
      </c>
      <c r="G634" s="38">
        <v>1</v>
      </c>
      <c r="H634" s="40">
        <v>0</v>
      </c>
      <c r="I634" s="38">
        <v>0</v>
      </c>
      <c r="J634" s="41">
        <v>43102</v>
      </c>
      <c r="K634" s="38" t="s">
        <v>10768</v>
      </c>
      <c r="L634" s="42">
        <v>4000000</v>
      </c>
      <c r="O634"/>
    </row>
    <row r="635" spans="1:15" x14ac:dyDescent="0.3">
      <c r="A635" s="37">
        <v>78879</v>
      </c>
      <c r="B635" s="38">
        <v>629</v>
      </c>
      <c r="C635" s="39" t="s">
        <v>4797</v>
      </c>
      <c r="D635" s="10" t="str">
        <f>VLOOKUP(C635,'Data Angt'!$A$5:$B$5809,2,FALSE)</f>
        <v>A2099</v>
      </c>
      <c r="E635" s="40" t="s">
        <v>11609</v>
      </c>
      <c r="F635" s="41">
        <v>43113</v>
      </c>
      <c r="G635" s="38">
        <v>1</v>
      </c>
      <c r="H635" s="40">
        <v>0</v>
      </c>
      <c r="I635" s="38">
        <v>4</v>
      </c>
      <c r="J635" s="41">
        <v>44574</v>
      </c>
      <c r="K635" s="38" t="s">
        <v>10768</v>
      </c>
      <c r="L635" s="42">
        <v>5000000</v>
      </c>
      <c r="O635"/>
    </row>
    <row r="636" spans="1:15" x14ac:dyDescent="0.3">
      <c r="A636" s="37">
        <v>132818</v>
      </c>
      <c r="B636" s="38">
        <v>630</v>
      </c>
      <c r="C636" s="39" t="s">
        <v>4805</v>
      </c>
      <c r="D636" s="10" t="str">
        <f>VLOOKUP(C636,'Data Angt'!$A$5:$B$5809,2,FALSE)</f>
        <v>A2102</v>
      </c>
      <c r="E636" s="40" t="s">
        <v>11608</v>
      </c>
      <c r="F636" s="41">
        <v>44690</v>
      </c>
      <c r="G636" s="38">
        <v>1</v>
      </c>
      <c r="H636" s="40">
        <v>0</v>
      </c>
      <c r="I636" s="38">
        <v>4</v>
      </c>
      <c r="J636" s="41">
        <v>44690</v>
      </c>
      <c r="K636" s="38" t="s">
        <v>10768</v>
      </c>
      <c r="L636" s="42">
        <v>1000000</v>
      </c>
      <c r="O636"/>
    </row>
    <row r="637" spans="1:15" x14ac:dyDescent="0.3">
      <c r="A637" s="37">
        <v>127123</v>
      </c>
      <c r="B637" s="38">
        <v>631</v>
      </c>
      <c r="C637" s="39" t="s">
        <v>4824</v>
      </c>
      <c r="D637" s="10" t="str">
        <f>VLOOKUP(C637,'Data Angt'!$A$5:$B$5809,2,FALSE)</f>
        <v>A2111</v>
      </c>
      <c r="E637" s="40" t="s">
        <v>11607</v>
      </c>
      <c r="F637" s="41">
        <v>44252</v>
      </c>
      <c r="G637" s="38">
        <v>1</v>
      </c>
      <c r="H637" s="40">
        <v>0</v>
      </c>
      <c r="I637" s="38">
        <v>4</v>
      </c>
      <c r="J637" s="41">
        <v>44252</v>
      </c>
      <c r="K637" s="38" t="s">
        <v>10768</v>
      </c>
      <c r="L637" s="42">
        <v>12000000</v>
      </c>
      <c r="O637"/>
    </row>
    <row r="638" spans="1:15" x14ac:dyDescent="0.3">
      <c r="A638" s="37">
        <v>131077</v>
      </c>
      <c r="B638" s="38">
        <v>632</v>
      </c>
      <c r="C638" s="39" t="s">
        <v>4827</v>
      </c>
      <c r="D638" s="10" t="str">
        <f>VLOOKUP(C638,'Data Angt'!$A$5:$B$5809,2,FALSE)</f>
        <v>A2112</v>
      </c>
      <c r="E638" s="40" t="s">
        <v>11606</v>
      </c>
      <c r="F638" s="41">
        <v>44552</v>
      </c>
      <c r="G638" s="38">
        <v>1</v>
      </c>
      <c r="H638" s="40">
        <v>0</v>
      </c>
      <c r="I638" s="38">
        <v>4</v>
      </c>
      <c r="J638" s="41">
        <v>44552</v>
      </c>
      <c r="K638" s="38" t="s">
        <v>10768</v>
      </c>
      <c r="L638" s="42">
        <v>15000000</v>
      </c>
      <c r="O638"/>
    </row>
    <row r="639" spans="1:15" x14ac:dyDescent="0.3">
      <c r="A639" s="37">
        <v>140279</v>
      </c>
      <c r="B639" s="38">
        <v>633</v>
      </c>
      <c r="C639" s="39" t="s">
        <v>4847</v>
      </c>
      <c r="D639" s="10" t="str">
        <f>VLOOKUP(C639,'Data Angt'!$A$5:$B$5809,2,FALSE)</f>
        <v>A2121</v>
      </c>
      <c r="E639" s="40" t="s">
        <v>11605</v>
      </c>
      <c r="F639" s="41">
        <v>45238</v>
      </c>
      <c r="G639" s="38">
        <v>1</v>
      </c>
      <c r="H639" s="40">
        <v>0</v>
      </c>
      <c r="I639" s="38">
        <v>4</v>
      </c>
      <c r="J639" s="41">
        <v>45238</v>
      </c>
      <c r="K639" s="38" t="s">
        <v>10768</v>
      </c>
      <c r="L639" s="42">
        <v>100000000</v>
      </c>
      <c r="O639"/>
    </row>
    <row r="640" spans="1:15" x14ac:dyDescent="0.3">
      <c r="A640" s="37">
        <v>135081</v>
      </c>
      <c r="B640" s="38">
        <v>634</v>
      </c>
      <c r="C640" s="39" t="s">
        <v>4859</v>
      </c>
      <c r="D640" s="10" t="str">
        <f>VLOOKUP(C640,'Data Angt'!$A$5:$B$5809,2,FALSE)</f>
        <v>A2127</v>
      </c>
      <c r="E640" s="40" t="s">
        <v>11604</v>
      </c>
      <c r="F640" s="41">
        <v>44866</v>
      </c>
      <c r="G640" s="38">
        <v>1</v>
      </c>
      <c r="H640" s="40">
        <v>0</v>
      </c>
      <c r="I640" s="38">
        <v>4</v>
      </c>
      <c r="J640" s="41">
        <v>44866</v>
      </c>
      <c r="K640" s="38" t="s">
        <v>10768</v>
      </c>
      <c r="L640" s="42">
        <v>20000000</v>
      </c>
      <c r="O640"/>
    </row>
    <row r="641" spans="1:15" x14ac:dyDescent="0.3">
      <c r="A641" s="37">
        <v>146382</v>
      </c>
      <c r="B641" s="38">
        <v>635</v>
      </c>
      <c r="C641" s="39" t="s">
        <v>4859</v>
      </c>
      <c r="D641" s="10" t="str">
        <f>VLOOKUP(C641,'Data Angt'!$A$5:$B$5809,2,FALSE)</f>
        <v>A2127</v>
      </c>
      <c r="E641" s="40" t="s">
        <v>18161</v>
      </c>
      <c r="F641" s="41">
        <v>45478</v>
      </c>
      <c r="G641" s="38">
        <v>1</v>
      </c>
      <c r="H641" s="40">
        <v>0</v>
      </c>
      <c r="I641" s="38">
        <v>4</v>
      </c>
      <c r="J641" s="41">
        <v>45478</v>
      </c>
      <c r="K641" s="38" t="s">
        <v>10768</v>
      </c>
      <c r="L641" s="42">
        <v>20000000</v>
      </c>
      <c r="O641"/>
    </row>
    <row r="642" spans="1:15" x14ac:dyDescent="0.3">
      <c r="A642" s="37">
        <v>158749</v>
      </c>
      <c r="B642" s="38">
        <v>636</v>
      </c>
      <c r="C642" s="39" t="s">
        <v>4874</v>
      </c>
      <c r="D642" s="10" t="str">
        <f>VLOOKUP(C642,'Data Angt'!$A$5:$B$5809,2,FALSE)</f>
        <v>A2134</v>
      </c>
      <c r="E642" s="40" t="s">
        <v>24042</v>
      </c>
      <c r="F642" s="41">
        <v>45922</v>
      </c>
      <c r="G642" s="38">
        <v>1</v>
      </c>
      <c r="H642" s="40">
        <v>0</v>
      </c>
      <c r="I642" s="38">
        <v>4</v>
      </c>
      <c r="J642" s="41">
        <v>45922</v>
      </c>
      <c r="K642" s="38" t="s">
        <v>10768</v>
      </c>
      <c r="L642" s="42">
        <v>3000000</v>
      </c>
      <c r="O642"/>
    </row>
    <row r="643" spans="1:15" x14ac:dyDescent="0.3">
      <c r="A643" s="37">
        <v>158755</v>
      </c>
      <c r="B643" s="38">
        <v>637</v>
      </c>
      <c r="C643" s="39" t="s">
        <v>4874</v>
      </c>
      <c r="D643" s="10" t="str">
        <f>VLOOKUP(C643,'Data Angt'!$A$5:$B$5809,2,FALSE)</f>
        <v>A2134</v>
      </c>
      <c r="E643" s="40" t="s">
        <v>24043</v>
      </c>
      <c r="F643" s="41">
        <v>45923</v>
      </c>
      <c r="G643" s="38">
        <v>1</v>
      </c>
      <c r="H643" s="40">
        <v>0</v>
      </c>
      <c r="I643" s="38">
        <v>4</v>
      </c>
      <c r="J643" s="41">
        <v>45923</v>
      </c>
      <c r="K643" s="38" t="s">
        <v>10768</v>
      </c>
      <c r="L643" s="42">
        <v>3000000</v>
      </c>
      <c r="O643"/>
    </row>
    <row r="644" spans="1:15" x14ac:dyDescent="0.3">
      <c r="A644" s="37">
        <v>149302</v>
      </c>
      <c r="B644" s="38">
        <v>638</v>
      </c>
      <c r="C644" s="39" t="s">
        <v>4892</v>
      </c>
      <c r="D644" s="10" t="str">
        <f>VLOOKUP(C644,'Data Angt'!$A$5:$B$5809,2,FALSE)</f>
        <v>A2141</v>
      </c>
      <c r="E644" s="40" t="s">
        <v>18162</v>
      </c>
      <c r="F644" s="41">
        <v>45559</v>
      </c>
      <c r="G644" s="38">
        <v>1</v>
      </c>
      <c r="H644" s="40">
        <v>0</v>
      </c>
      <c r="I644" s="38">
        <v>4</v>
      </c>
      <c r="J644" s="41">
        <v>45559</v>
      </c>
      <c r="K644" s="38" t="s">
        <v>10768</v>
      </c>
      <c r="L644" s="42">
        <v>15000000</v>
      </c>
      <c r="O644"/>
    </row>
    <row r="645" spans="1:15" x14ac:dyDescent="0.3">
      <c r="A645" s="37">
        <v>138285</v>
      </c>
      <c r="B645" s="38">
        <v>639</v>
      </c>
      <c r="C645" s="39" t="s">
        <v>4892</v>
      </c>
      <c r="D645" s="10" t="str">
        <f>VLOOKUP(C645,'Data Angt'!$A$5:$B$5809,2,FALSE)</f>
        <v>A2141</v>
      </c>
      <c r="E645" s="40" t="s">
        <v>11603</v>
      </c>
      <c r="F645" s="41">
        <v>45131</v>
      </c>
      <c r="G645" s="38">
        <v>1</v>
      </c>
      <c r="H645" s="40">
        <v>0</v>
      </c>
      <c r="I645" s="38">
        <v>4</v>
      </c>
      <c r="J645" s="41">
        <v>45131</v>
      </c>
      <c r="K645" s="38" t="s">
        <v>10768</v>
      </c>
      <c r="L645" s="42">
        <v>10000000</v>
      </c>
      <c r="O645"/>
    </row>
    <row r="646" spans="1:15" x14ac:dyDescent="0.3">
      <c r="A646" s="37">
        <v>142035</v>
      </c>
      <c r="B646" s="38">
        <v>640</v>
      </c>
      <c r="C646" s="39" t="s">
        <v>12347</v>
      </c>
      <c r="D646" s="10" t="str">
        <f>VLOOKUP(C646,'Data Angt'!$A$5:$B$5809,2,FALSE)</f>
        <v>A2174</v>
      </c>
      <c r="E646" s="40" t="s">
        <v>18163</v>
      </c>
      <c r="F646" s="41">
        <v>45313</v>
      </c>
      <c r="G646" s="38">
        <v>1</v>
      </c>
      <c r="H646" s="40">
        <v>0</v>
      </c>
      <c r="I646" s="38">
        <v>4</v>
      </c>
      <c r="J646" s="41">
        <v>45313</v>
      </c>
      <c r="K646" s="38" t="s">
        <v>10768</v>
      </c>
      <c r="L646" s="42">
        <v>50000000</v>
      </c>
      <c r="O646"/>
    </row>
    <row r="647" spans="1:15" x14ac:dyDescent="0.3">
      <c r="A647" s="37">
        <v>158734</v>
      </c>
      <c r="B647" s="38">
        <v>641</v>
      </c>
      <c r="C647" s="39" t="s">
        <v>12348</v>
      </c>
      <c r="D647" s="10" t="str">
        <f>VLOOKUP(C647,'Data Angt'!$A$5:$B$5809,2,FALSE)</f>
        <v>A2175</v>
      </c>
      <c r="E647" s="40" t="s">
        <v>24044</v>
      </c>
      <c r="F647" s="41">
        <v>45922</v>
      </c>
      <c r="G647" s="38">
        <v>1</v>
      </c>
      <c r="H647" s="40">
        <v>0</v>
      </c>
      <c r="I647" s="38">
        <v>4</v>
      </c>
      <c r="J647" s="41">
        <v>45922</v>
      </c>
      <c r="K647" s="38" t="s">
        <v>10768</v>
      </c>
      <c r="L647" s="42">
        <v>20000000</v>
      </c>
      <c r="O647"/>
    </row>
    <row r="648" spans="1:15" x14ac:dyDescent="0.3">
      <c r="A648" s="37">
        <v>136822</v>
      </c>
      <c r="B648" s="38">
        <v>642</v>
      </c>
      <c r="C648" s="39" t="s">
        <v>5023</v>
      </c>
      <c r="D648" s="10" t="str">
        <f>VLOOKUP(C648,'Data Angt'!$A$5:$B$5809,2,FALSE)</f>
        <v>A2202</v>
      </c>
      <c r="E648" s="40" t="s">
        <v>11602</v>
      </c>
      <c r="F648" s="41">
        <v>45001</v>
      </c>
      <c r="G648" s="38">
        <v>1</v>
      </c>
      <c r="H648" s="40">
        <v>0</v>
      </c>
      <c r="I648" s="38">
        <v>4</v>
      </c>
      <c r="J648" s="41">
        <v>45001</v>
      </c>
      <c r="K648" s="38" t="s">
        <v>10768</v>
      </c>
      <c r="L648" s="42">
        <v>1000000</v>
      </c>
      <c r="O648"/>
    </row>
    <row r="649" spans="1:15" x14ac:dyDescent="0.3">
      <c r="A649" s="37">
        <v>155669</v>
      </c>
      <c r="B649" s="38">
        <v>643</v>
      </c>
      <c r="C649" s="39" t="s">
        <v>5086</v>
      </c>
      <c r="D649" s="10" t="str">
        <f>VLOOKUP(C649,'Data Angt'!$A$5:$B$5809,2,FALSE)</f>
        <v>A2232</v>
      </c>
      <c r="E649" s="40" t="s">
        <v>18165</v>
      </c>
      <c r="F649" s="41">
        <v>45792</v>
      </c>
      <c r="G649" s="38">
        <v>1</v>
      </c>
      <c r="H649" s="40">
        <v>0</v>
      </c>
      <c r="I649" s="38">
        <v>4</v>
      </c>
      <c r="J649" s="41">
        <v>45792</v>
      </c>
      <c r="K649" s="38" t="s">
        <v>10768</v>
      </c>
      <c r="L649" s="42">
        <v>20000000</v>
      </c>
      <c r="O649"/>
    </row>
    <row r="650" spans="1:15" x14ac:dyDescent="0.3">
      <c r="A650" s="37">
        <v>156445</v>
      </c>
      <c r="B650" s="38">
        <v>644</v>
      </c>
      <c r="C650" s="39" t="s">
        <v>5086</v>
      </c>
      <c r="D650" s="10" t="str">
        <f>VLOOKUP(C650,'Data Angt'!$A$5:$B$5809,2,FALSE)</f>
        <v>A2232</v>
      </c>
      <c r="E650" s="40" t="s">
        <v>18166</v>
      </c>
      <c r="F650" s="41">
        <v>45826</v>
      </c>
      <c r="G650" s="38">
        <v>1</v>
      </c>
      <c r="H650" s="40">
        <v>0</v>
      </c>
      <c r="I650" s="38">
        <v>4</v>
      </c>
      <c r="J650" s="41">
        <v>45826</v>
      </c>
      <c r="K650" s="38" t="s">
        <v>10768</v>
      </c>
      <c r="L650" s="42">
        <v>20000000</v>
      </c>
      <c r="O650"/>
    </row>
    <row r="651" spans="1:15" x14ac:dyDescent="0.3">
      <c r="A651" s="37">
        <v>156904</v>
      </c>
      <c r="B651" s="38">
        <v>645</v>
      </c>
      <c r="C651" s="39" t="s">
        <v>5086</v>
      </c>
      <c r="D651" s="10" t="str">
        <f>VLOOKUP(C651,'Data Angt'!$A$5:$B$5809,2,FALSE)</f>
        <v>A2232</v>
      </c>
      <c r="E651" s="40" t="s">
        <v>24045</v>
      </c>
      <c r="F651" s="41">
        <v>45848</v>
      </c>
      <c r="G651" s="38">
        <v>1</v>
      </c>
      <c r="H651" s="40">
        <v>0</v>
      </c>
      <c r="I651" s="38">
        <v>4</v>
      </c>
      <c r="J651" s="41">
        <v>45848</v>
      </c>
      <c r="K651" s="38" t="s">
        <v>10768</v>
      </c>
      <c r="L651" s="42">
        <v>20000000</v>
      </c>
      <c r="O651"/>
    </row>
    <row r="652" spans="1:15" x14ac:dyDescent="0.3">
      <c r="A652" s="37">
        <v>155531</v>
      </c>
      <c r="B652" s="38">
        <v>646</v>
      </c>
      <c r="C652" s="39" t="s">
        <v>5086</v>
      </c>
      <c r="D652" s="10" t="str">
        <f>VLOOKUP(C652,'Data Angt'!$A$5:$B$5809,2,FALSE)</f>
        <v>A2232</v>
      </c>
      <c r="E652" s="40" t="s">
        <v>18164</v>
      </c>
      <c r="F652" s="41">
        <v>45785</v>
      </c>
      <c r="G652" s="38">
        <v>1</v>
      </c>
      <c r="H652" s="40">
        <v>0</v>
      </c>
      <c r="I652" s="38">
        <v>4</v>
      </c>
      <c r="J652" s="41">
        <v>45785</v>
      </c>
      <c r="K652" s="38" t="s">
        <v>10768</v>
      </c>
      <c r="L652" s="42">
        <v>20000000</v>
      </c>
      <c r="O652"/>
    </row>
    <row r="653" spans="1:15" x14ac:dyDescent="0.3">
      <c r="A653" s="37">
        <v>153572</v>
      </c>
      <c r="B653" s="38">
        <v>647</v>
      </c>
      <c r="C653" s="39" t="s">
        <v>5096</v>
      </c>
      <c r="D653" s="10" t="str">
        <f>VLOOKUP(C653,'Data Angt'!$A$5:$B$5809,2,FALSE)</f>
        <v>A2237</v>
      </c>
      <c r="E653" s="40" t="s">
        <v>18167</v>
      </c>
      <c r="F653" s="41">
        <v>45708</v>
      </c>
      <c r="G653" s="38">
        <v>3</v>
      </c>
      <c r="H653" s="40">
        <v>0</v>
      </c>
      <c r="I653" s="38">
        <v>4</v>
      </c>
      <c r="J653" s="41">
        <v>45708</v>
      </c>
      <c r="K653" s="38" t="s">
        <v>10768</v>
      </c>
      <c r="L653" s="42">
        <v>10000000</v>
      </c>
      <c r="O653"/>
    </row>
    <row r="654" spans="1:15" x14ac:dyDescent="0.3">
      <c r="A654" s="37">
        <v>78524</v>
      </c>
      <c r="B654" s="38">
        <v>648</v>
      </c>
      <c r="C654" s="39" t="s">
        <v>5105</v>
      </c>
      <c r="D654" s="10" t="str">
        <f>VLOOKUP(C654,'Data Angt'!$A$5:$B$5809,2,FALSE)</f>
        <v>A2243</v>
      </c>
      <c r="E654" s="40" t="s">
        <v>11601</v>
      </c>
      <c r="F654" s="41">
        <v>42898</v>
      </c>
      <c r="G654" s="38">
        <v>1</v>
      </c>
      <c r="H654" s="40">
        <v>0</v>
      </c>
      <c r="I654" s="38">
        <v>4</v>
      </c>
      <c r="J654" s="41">
        <v>43075</v>
      </c>
      <c r="K654" s="38" t="s">
        <v>10768</v>
      </c>
      <c r="L654" s="42">
        <v>1000000</v>
      </c>
      <c r="O654"/>
    </row>
    <row r="655" spans="1:15" x14ac:dyDescent="0.3">
      <c r="A655" s="37">
        <v>78528</v>
      </c>
      <c r="B655" s="38">
        <v>649</v>
      </c>
      <c r="C655" s="39" t="s">
        <v>5105</v>
      </c>
      <c r="D655" s="10" t="str">
        <f>VLOOKUP(C655,'Data Angt'!$A$5:$B$5809,2,FALSE)</f>
        <v>A2243</v>
      </c>
      <c r="E655" s="40" t="s">
        <v>11545</v>
      </c>
      <c r="F655" s="41">
        <v>42926</v>
      </c>
      <c r="G655" s="38">
        <v>1</v>
      </c>
      <c r="H655" s="40">
        <v>0</v>
      </c>
      <c r="I655" s="38">
        <v>4</v>
      </c>
      <c r="J655" s="41">
        <v>43015</v>
      </c>
      <c r="K655" s="38" t="s">
        <v>10768</v>
      </c>
      <c r="L655" s="42">
        <v>1000000</v>
      </c>
      <c r="O655"/>
    </row>
    <row r="656" spans="1:15" x14ac:dyDescent="0.3">
      <c r="A656" s="37">
        <v>92966</v>
      </c>
      <c r="B656" s="38">
        <v>650</v>
      </c>
      <c r="C656" s="39" t="s">
        <v>5105</v>
      </c>
      <c r="D656" s="10" t="str">
        <f>VLOOKUP(C656,'Data Angt'!$A$5:$B$5809,2,FALSE)</f>
        <v>A2243</v>
      </c>
      <c r="E656" s="40" t="s">
        <v>11544</v>
      </c>
      <c r="F656" s="41">
        <v>43480</v>
      </c>
      <c r="G656" s="38">
        <v>1</v>
      </c>
      <c r="H656" s="40">
        <v>0</v>
      </c>
      <c r="I656" s="38">
        <v>4</v>
      </c>
      <c r="J656" s="41">
        <v>43480</v>
      </c>
      <c r="K656" s="38" t="s">
        <v>10768</v>
      </c>
      <c r="L656" s="42">
        <v>1000000</v>
      </c>
      <c r="O656"/>
    </row>
    <row r="657" spans="1:15" x14ac:dyDescent="0.3">
      <c r="A657" s="37">
        <v>127914</v>
      </c>
      <c r="B657" s="38">
        <v>651</v>
      </c>
      <c r="C657" s="39" t="s">
        <v>5105</v>
      </c>
      <c r="D657" s="10" t="str">
        <f>VLOOKUP(C657,'Data Angt'!$A$5:$B$5809,2,FALSE)</f>
        <v>A2243</v>
      </c>
      <c r="E657" s="40" t="s">
        <v>11507</v>
      </c>
      <c r="F657" s="41">
        <v>44303</v>
      </c>
      <c r="G657" s="38">
        <v>1</v>
      </c>
      <c r="H657" s="40">
        <v>0</v>
      </c>
      <c r="I657" s="38">
        <v>4</v>
      </c>
      <c r="J657" s="41">
        <v>44303</v>
      </c>
      <c r="K657" s="38" t="s">
        <v>10768</v>
      </c>
      <c r="L657" s="42">
        <v>1000000</v>
      </c>
      <c r="O657"/>
    </row>
    <row r="658" spans="1:15" x14ac:dyDescent="0.3">
      <c r="A658" s="37">
        <v>128297</v>
      </c>
      <c r="B658" s="38">
        <v>652</v>
      </c>
      <c r="C658" s="39" t="s">
        <v>5105</v>
      </c>
      <c r="D658" s="10" t="str">
        <f>VLOOKUP(C658,'Data Angt'!$A$5:$B$5809,2,FALSE)</f>
        <v>A2243</v>
      </c>
      <c r="E658" s="40" t="s">
        <v>11543</v>
      </c>
      <c r="F658" s="41">
        <v>44334</v>
      </c>
      <c r="G658" s="38">
        <v>1</v>
      </c>
      <c r="H658" s="40">
        <v>0</v>
      </c>
      <c r="I658" s="38">
        <v>4</v>
      </c>
      <c r="J658" s="41">
        <v>44334</v>
      </c>
      <c r="K658" s="38" t="s">
        <v>10768</v>
      </c>
      <c r="L658" s="42">
        <v>1000000</v>
      </c>
      <c r="O658"/>
    </row>
    <row r="659" spans="1:15" x14ac:dyDescent="0.3">
      <c r="A659" s="37">
        <v>126666</v>
      </c>
      <c r="B659" s="38">
        <v>653</v>
      </c>
      <c r="C659" s="39" t="s">
        <v>5140</v>
      </c>
      <c r="D659" s="10" t="str">
        <f>VLOOKUP(C659,'Data Angt'!$A$5:$B$5809,2,FALSE)</f>
        <v>A2260</v>
      </c>
      <c r="E659" s="40" t="s">
        <v>11600</v>
      </c>
      <c r="F659" s="41">
        <v>44221</v>
      </c>
      <c r="G659" s="38">
        <v>1</v>
      </c>
      <c r="H659" s="40">
        <v>0</v>
      </c>
      <c r="I659" s="38">
        <v>4</v>
      </c>
      <c r="J659" s="41">
        <v>44221</v>
      </c>
      <c r="K659" s="38" t="s">
        <v>10768</v>
      </c>
      <c r="L659" s="42">
        <v>10000000</v>
      </c>
      <c r="O659"/>
    </row>
    <row r="660" spans="1:15" x14ac:dyDescent="0.3">
      <c r="A660" s="37">
        <v>133212</v>
      </c>
      <c r="B660" s="38">
        <v>654</v>
      </c>
      <c r="C660" s="39" t="s">
        <v>5143</v>
      </c>
      <c r="D660" s="10" t="str">
        <f>VLOOKUP(C660,'Data Angt'!$A$5:$B$5809,2,FALSE)</f>
        <v>A2262</v>
      </c>
      <c r="E660" s="40" t="s">
        <v>11593</v>
      </c>
      <c r="F660" s="41">
        <v>44718</v>
      </c>
      <c r="G660" s="38">
        <v>1</v>
      </c>
      <c r="H660" s="40">
        <v>0</v>
      </c>
      <c r="I660" s="38">
        <v>4</v>
      </c>
      <c r="J660" s="41">
        <v>44718</v>
      </c>
      <c r="K660" s="38" t="s">
        <v>10768</v>
      </c>
      <c r="L660" s="42">
        <v>17000000</v>
      </c>
      <c r="O660"/>
    </row>
    <row r="661" spans="1:15" x14ac:dyDescent="0.3">
      <c r="A661" s="37">
        <v>157785</v>
      </c>
      <c r="B661" s="38">
        <v>655</v>
      </c>
      <c r="C661" s="39" t="s">
        <v>5143</v>
      </c>
      <c r="D661" s="10" t="str">
        <f>VLOOKUP(C661,'Data Angt'!$A$5:$B$5809,2,FALSE)</f>
        <v>A2262</v>
      </c>
      <c r="E661" s="40" t="s">
        <v>24046</v>
      </c>
      <c r="F661" s="41">
        <v>45882</v>
      </c>
      <c r="G661" s="38">
        <v>1</v>
      </c>
      <c r="H661" s="40">
        <v>0</v>
      </c>
      <c r="I661" s="38">
        <v>4</v>
      </c>
      <c r="J661" s="41">
        <v>45882</v>
      </c>
      <c r="K661" s="38" t="s">
        <v>10768</v>
      </c>
      <c r="L661" s="42">
        <v>8000000</v>
      </c>
      <c r="O661"/>
    </row>
    <row r="662" spans="1:15" x14ac:dyDescent="0.3">
      <c r="A662" s="37">
        <v>118188</v>
      </c>
      <c r="B662" s="38">
        <v>656</v>
      </c>
      <c r="C662" s="39" t="s">
        <v>5143</v>
      </c>
      <c r="D662" s="10" t="str">
        <f>VLOOKUP(C662,'Data Angt'!$A$5:$B$5809,2,FALSE)</f>
        <v>A2262</v>
      </c>
      <c r="E662" s="40" t="s">
        <v>11592</v>
      </c>
      <c r="F662" s="41">
        <v>43777</v>
      </c>
      <c r="G662" s="38">
        <v>1</v>
      </c>
      <c r="H662" s="40">
        <v>0</v>
      </c>
      <c r="I662" s="38">
        <v>4</v>
      </c>
      <c r="J662" s="41">
        <v>43777</v>
      </c>
      <c r="K662" s="38" t="s">
        <v>10768</v>
      </c>
      <c r="L662" s="42">
        <v>14000000</v>
      </c>
      <c r="O662"/>
    </row>
    <row r="663" spans="1:15" x14ac:dyDescent="0.3">
      <c r="A663" s="37">
        <v>134559</v>
      </c>
      <c r="B663" s="38">
        <v>657</v>
      </c>
      <c r="C663" s="39" t="s">
        <v>5143</v>
      </c>
      <c r="D663" s="10" t="str">
        <f>VLOOKUP(C663,'Data Angt'!$A$5:$B$5809,2,FALSE)</f>
        <v>A2262</v>
      </c>
      <c r="E663" s="40" t="s">
        <v>11591</v>
      </c>
      <c r="F663" s="41">
        <v>44817</v>
      </c>
      <c r="G663" s="38">
        <v>1</v>
      </c>
      <c r="H663" s="40">
        <v>0</v>
      </c>
      <c r="I663" s="38">
        <v>4</v>
      </c>
      <c r="J663" s="41">
        <v>44817</v>
      </c>
      <c r="K663" s="38" t="s">
        <v>10768</v>
      </c>
      <c r="L663" s="42">
        <v>12000000</v>
      </c>
      <c r="O663"/>
    </row>
    <row r="664" spans="1:15" x14ac:dyDescent="0.3">
      <c r="A664" s="37">
        <v>157786</v>
      </c>
      <c r="B664" s="38">
        <v>658</v>
      </c>
      <c r="C664" s="39" t="s">
        <v>5143</v>
      </c>
      <c r="D664" s="10" t="str">
        <f>VLOOKUP(C664,'Data Angt'!$A$5:$B$5809,2,FALSE)</f>
        <v>A2262</v>
      </c>
      <c r="E664" s="40" t="s">
        <v>24047</v>
      </c>
      <c r="F664" s="41">
        <v>45882</v>
      </c>
      <c r="G664" s="38">
        <v>1</v>
      </c>
      <c r="H664" s="40">
        <v>0</v>
      </c>
      <c r="I664" s="38">
        <v>4</v>
      </c>
      <c r="J664" s="41">
        <v>45882</v>
      </c>
      <c r="K664" s="38" t="s">
        <v>10768</v>
      </c>
      <c r="L664" s="42">
        <v>15000000</v>
      </c>
      <c r="O664"/>
    </row>
    <row r="665" spans="1:15" x14ac:dyDescent="0.3">
      <c r="A665" s="37">
        <v>123505</v>
      </c>
      <c r="B665" s="38">
        <v>659</v>
      </c>
      <c r="C665" s="39" t="s">
        <v>5143</v>
      </c>
      <c r="D665" s="10" t="str">
        <f>VLOOKUP(C665,'Data Angt'!$A$5:$B$5809,2,FALSE)</f>
        <v>A2262</v>
      </c>
      <c r="E665" s="40" t="s">
        <v>11590</v>
      </c>
      <c r="F665" s="41">
        <v>43984</v>
      </c>
      <c r="G665" s="38">
        <v>1</v>
      </c>
      <c r="H665" s="40">
        <v>0</v>
      </c>
      <c r="I665" s="38">
        <v>4</v>
      </c>
      <c r="J665" s="41">
        <v>43984</v>
      </c>
      <c r="K665" s="38" t="s">
        <v>10768</v>
      </c>
      <c r="L665" s="42">
        <v>15000000</v>
      </c>
      <c r="O665"/>
    </row>
    <row r="666" spans="1:15" x14ac:dyDescent="0.3">
      <c r="A666" s="37">
        <v>157787</v>
      </c>
      <c r="B666" s="38">
        <v>660</v>
      </c>
      <c r="C666" s="39" t="s">
        <v>5143</v>
      </c>
      <c r="D666" s="10" t="str">
        <f>VLOOKUP(C666,'Data Angt'!$A$5:$B$5809,2,FALSE)</f>
        <v>A2262</v>
      </c>
      <c r="E666" s="40" t="s">
        <v>24048</v>
      </c>
      <c r="F666" s="41">
        <v>45882</v>
      </c>
      <c r="G666" s="38">
        <v>1</v>
      </c>
      <c r="H666" s="40">
        <v>0</v>
      </c>
      <c r="I666" s="38">
        <v>4</v>
      </c>
      <c r="J666" s="41">
        <v>45882</v>
      </c>
      <c r="K666" s="38" t="s">
        <v>10768</v>
      </c>
      <c r="L666" s="42">
        <v>15000000</v>
      </c>
      <c r="O666"/>
    </row>
    <row r="667" spans="1:15" x14ac:dyDescent="0.3">
      <c r="A667" s="37">
        <v>124105</v>
      </c>
      <c r="B667" s="38">
        <v>661</v>
      </c>
      <c r="C667" s="39" t="s">
        <v>5143</v>
      </c>
      <c r="D667" s="10" t="str">
        <f>VLOOKUP(C667,'Data Angt'!$A$5:$B$5809,2,FALSE)</f>
        <v>A2262</v>
      </c>
      <c r="E667" s="40" t="s">
        <v>11589</v>
      </c>
      <c r="F667" s="41">
        <v>44020</v>
      </c>
      <c r="G667" s="38">
        <v>1</v>
      </c>
      <c r="H667" s="40">
        <v>0</v>
      </c>
      <c r="I667" s="38">
        <v>4</v>
      </c>
      <c r="J667" s="41">
        <v>44020</v>
      </c>
      <c r="K667" s="38" t="s">
        <v>10768</v>
      </c>
      <c r="L667" s="42">
        <v>10000000</v>
      </c>
      <c r="O667"/>
    </row>
    <row r="668" spans="1:15" x14ac:dyDescent="0.3">
      <c r="A668" s="37">
        <v>157788</v>
      </c>
      <c r="B668" s="38">
        <v>662</v>
      </c>
      <c r="C668" s="39" t="s">
        <v>5143</v>
      </c>
      <c r="D668" s="10" t="str">
        <f>VLOOKUP(C668,'Data Angt'!$A$5:$B$5809,2,FALSE)</f>
        <v>A2262</v>
      </c>
      <c r="E668" s="40" t="s">
        <v>24049</v>
      </c>
      <c r="F668" s="41">
        <v>45882</v>
      </c>
      <c r="G668" s="38">
        <v>1</v>
      </c>
      <c r="H668" s="40">
        <v>0</v>
      </c>
      <c r="I668" s="38">
        <v>4</v>
      </c>
      <c r="J668" s="41">
        <v>45882</v>
      </c>
      <c r="K668" s="38" t="s">
        <v>10768</v>
      </c>
      <c r="L668" s="42">
        <v>15000000</v>
      </c>
      <c r="O668"/>
    </row>
    <row r="669" spans="1:15" x14ac:dyDescent="0.3">
      <c r="A669" s="37">
        <v>124241</v>
      </c>
      <c r="B669" s="38">
        <v>663</v>
      </c>
      <c r="C669" s="39" t="s">
        <v>5143</v>
      </c>
      <c r="D669" s="10" t="str">
        <f>VLOOKUP(C669,'Data Angt'!$A$5:$B$5809,2,FALSE)</f>
        <v>A2262</v>
      </c>
      <c r="E669" s="40" t="s">
        <v>11588</v>
      </c>
      <c r="F669" s="41">
        <v>44029</v>
      </c>
      <c r="G669" s="38">
        <v>1</v>
      </c>
      <c r="H669" s="40">
        <v>0</v>
      </c>
      <c r="I669" s="38">
        <v>4</v>
      </c>
      <c r="J669" s="41">
        <v>44029</v>
      </c>
      <c r="K669" s="38" t="s">
        <v>10768</v>
      </c>
      <c r="L669" s="42">
        <v>9000000</v>
      </c>
      <c r="O669"/>
    </row>
    <row r="670" spans="1:15" x14ac:dyDescent="0.3">
      <c r="A670" s="37">
        <v>139903</v>
      </c>
      <c r="B670" s="38">
        <v>664</v>
      </c>
      <c r="C670" s="39" t="s">
        <v>5143</v>
      </c>
      <c r="D670" s="10" t="str">
        <f>VLOOKUP(C670,'Data Angt'!$A$5:$B$5809,2,FALSE)</f>
        <v>A2262</v>
      </c>
      <c r="E670" s="40" t="s">
        <v>11587</v>
      </c>
      <c r="F670" s="41">
        <v>45215</v>
      </c>
      <c r="G670" s="38">
        <v>1</v>
      </c>
      <c r="H670" s="40">
        <v>0</v>
      </c>
      <c r="I670" s="38">
        <v>4</v>
      </c>
      <c r="J670" s="41">
        <v>45215</v>
      </c>
      <c r="K670" s="38" t="s">
        <v>10768</v>
      </c>
      <c r="L670" s="42">
        <v>20000000</v>
      </c>
      <c r="O670"/>
    </row>
    <row r="671" spans="1:15" x14ac:dyDescent="0.3">
      <c r="A671" s="37">
        <v>88992</v>
      </c>
      <c r="B671" s="38">
        <v>665</v>
      </c>
      <c r="C671" s="39" t="s">
        <v>5143</v>
      </c>
      <c r="D671" s="10" t="str">
        <f>VLOOKUP(C671,'Data Angt'!$A$5:$B$5809,2,FALSE)</f>
        <v>A2262</v>
      </c>
      <c r="E671" s="40" t="s">
        <v>11576</v>
      </c>
      <c r="F671" s="41">
        <v>43335</v>
      </c>
      <c r="G671" s="38">
        <v>1</v>
      </c>
      <c r="H671" s="40">
        <v>0</v>
      </c>
      <c r="I671" s="38">
        <v>4</v>
      </c>
      <c r="J671" s="41">
        <v>43335</v>
      </c>
      <c r="K671" s="38" t="s">
        <v>10768</v>
      </c>
      <c r="L671" s="42">
        <v>6000000</v>
      </c>
      <c r="O671"/>
    </row>
    <row r="672" spans="1:15" x14ac:dyDescent="0.3">
      <c r="A672" s="37">
        <v>124667</v>
      </c>
      <c r="B672" s="38">
        <v>666</v>
      </c>
      <c r="C672" s="39" t="s">
        <v>5143</v>
      </c>
      <c r="D672" s="10" t="str">
        <f>VLOOKUP(C672,'Data Angt'!$A$5:$B$5809,2,FALSE)</f>
        <v>A2262</v>
      </c>
      <c r="E672" s="40" t="s">
        <v>11586</v>
      </c>
      <c r="F672" s="41">
        <v>44062</v>
      </c>
      <c r="G672" s="38">
        <v>1</v>
      </c>
      <c r="H672" s="40">
        <v>0</v>
      </c>
      <c r="I672" s="38">
        <v>4</v>
      </c>
      <c r="J672" s="41">
        <v>44062</v>
      </c>
      <c r="K672" s="38" t="s">
        <v>10768</v>
      </c>
      <c r="L672" s="42">
        <v>4500000</v>
      </c>
      <c r="O672"/>
    </row>
    <row r="673" spans="1:15" x14ac:dyDescent="0.3">
      <c r="A673" s="37">
        <v>139904</v>
      </c>
      <c r="B673" s="38">
        <v>667</v>
      </c>
      <c r="C673" s="39" t="s">
        <v>5143</v>
      </c>
      <c r="D673" s="10" t="str">
        <f>VLOOKUP(C673,'Data Angt'!$A$5:$B$5809,2,FALSE)</f>
        <v>A2262</v>
      </c>
      <c r="E673" s="40" t="s">
        <v>11585</v>
      </c>
      <c r="F673" s="41">
        <v>45215</v>
      </c>
      <c r="G673" s="38">
        <v>1</v>
      </c>
      <c r="H673" s="40">
        <v>0</v>
      </c>
      <c r="I673" s="38">
        <v>4</v>
      </c>
      <c r="J673" s="41">
        <v>45215</v>
      </c>
      <c r="K673" s="38" t="s">
        <v>10768</v>
      </c>
      <c r="L673" s="42">
        <v>4000000</v>
      </c>
      <c r="O673"/>
    </row>
    <row r="674" spans="1:15" x14ac:dyDescent="0.3">
      <c r="A674" s="37">
        <v>124668</v>
      </c>
      <c r="B674" s="38">
        <v>668</v>
      </c>
      <c r="C674" s="39" t="s">
        <v>5143</v>
      </c>
      <c r="D674" s="10" t="str">
        <f>VLOOKUP(C674,'Data Angt'!$A$5:$B$5809,2,FALSE)</f>
        <v>A2262</v>
      </c>
      <c r="E674" s="40" t="s">
        <v>11583</v>
      </c>
      <c r="F674" s="41">
        <v>44062</v>
      </c>
      <c r="G674" s="38">
        <v>1</v>
      </c>
      <c r="H674" s="40">
        <v>0</v>
      </c>
      <c r="I674" s="38">
        <v>4</v>
      </c>
      <c r="J674" s="41">
        <v>44062</v>
      </c>
      <c r="K674" s="38" t="s">
        <v>10768</v>
      </c>
      <c r="L674" s="42">
        <v>10000000</v>
      </c>
      <c r="O674"/>
    </row>
    <row r="675" spans="1:15" x14ac:dyDescent="0.3">
      <c r="A675" s="37">
        <v>139906</v>
      </c>
      <c r="B675" s="38">
        <v>669</v>
      </c>
      <c r="C675" s="39" t="s">
        <v>5143</v>
      </c>
      <c r="D675" s="10" t="str">
        <f>VLOOKUP(C675,'Data Angt'!$A$5:$B$5809,2,FALSE)</f>
        <v>A2262</v>
      </c>
      <c r="E675" s="40" t="s">
        <v>11582</v>
      </c>
      <c r="F675" s="41">
        <v>45215</v>
      </c>
      <c r="G675" s="38">
        <v>1</v>
      </c>
      <c r="H675" s="40">
        <v>0</v>
      </c>
      <c r="I675" s="38">
        <v>4</v>
      </c>
      <c r="J675" s="41">
        <v>45215</v>
      </c>
      <c r="K675" s="38" t="s">
        <v>10768</v>
      </c>
      <c r="L675" s="42">
        <v>9000000</v>
      </c>
      <c r="O675"/>
    </row>
    <row r="676" spans="1:15" x14ac:dyDescent="0.3">
      <c r="A676" s="37">
        <v>78624</v>
      </c>
      <c r="B676" s="38">
        <v>670</v>
      </c>
      <c r="C676" s="39" t="s">
        <v>5143</v>
      </c>
      <c r="D676" s="10" t="str">
        <f>VLOOKUP(C676,'Data Angt'!$A$5:$B$5809,2,FALSE)</f>
        <v>A2262</v>
      </c>
      <c r="E676" s="40" t="s">
        <v>11584</v>
      </c>
      <c r="F676" s="41">
        <v>42391</v>
      </c>
      <c r="G676" s="38">
        <v>1</v>
      </c>
      <c r="H676" s="40">
        <v>0</v>
      </c>
      <c r="I676" s="38">
        <v>4</v>
      </c>
      <c r="J676" s="41">
        <v>42391</v>
      </c>
      <c r="K676" s="38" t="s">
        <v>10768</v>
      </c>
      <c r="L676" s="42">
        <v>5000000</v>
      </c>
      <c r="O676"/>
    </row>
    <row r="677" spans="1:15" x14ac:dyDescent="0.3">
      <c r="A677" s="37">
        <v>125921</v>
      </c>
      <c r="B677" s="38">
        <v>671</v>
      </c>
      <c r="C677" s="39" t="s">
        <v>5143</v>
      </c>
      <c r="D677" s="10" t="str">
        <f>VLOOKUP(C677,'Data Angt'!$A$5:$B$5809,2,FALSE)</f>
        <v>A2262</v>
      </c>
      <c r="E677" s="40" t="s">
        <v>11581</v>
      </c>
      <c r="F677" s="41">
        <v>44161</v>
      </c>
      <c r="G677" s="38">
        <v>1</v>
      </c>
      <c r="H677" s="40">
        <v>0</v>
      </c>
      <c r="I677" s="38">
        <v>4</v>
      </c>
      <c r="J677" s="41">
        <v>44161</v>
      </c>
      <c r="K677" s="38" t="s">
        <v>10768</v>
      </c>
      <c r="L677" s="42">
        <v>6000000</v>
      </c>
      <c r="O677"/>
    </row>
    <row r="678" spans="1:15" x14ac:dyDescent="0.3">
      <c r="A678" s="37">
        <v>140709</v>
      </c>
      <c r="B678" s="38">
        <v>672</v>
      </c>
      <c r="C678" s="39" t="s">
        <v>5143</v>
      </c>
      <c r="D678" s="10" t="str">
        <f>VLOOKUP(C678,'Data Angt'!$A$5:$B$5809,2,FALSE)</f>
        <v>A2262</v>
      </c>
      <c r="E678" s="40" t="s">
        <v>11580</v>
      </c>
      <c r="F678" s="41">
        <v>45262</v>
      </c>
      <c r="G678" s="38">
        <v>1</v>
      </c>
      <c r="H678" s="40">
        <v>0</v>
      </c>
      <c r="I678" s="38">
        <v>4</v>
      </c>
      <c r="J678" s="41">
        <v>45262</v>
      </c>
      <c r="K678" s="38" t="s">
        <v>10768</v>
      </c>
      <c r="L678" s="42">
        <v>15000000</v>
      </c>
      <c r="O678"/>
    </row>
    <row r="679" spans="1:15" x14ac:dyDescent="0.3">
      <c r="A679" s="37">
        <v>125922</v>
      </c>
      <c r="B679" s="38">
        <v>673</v>
      </c>
      <c r="C679" s="39" t="s">
        <v>5143</v>
      </c>
      <c r="D679" s="10" t="str">
        <f>VLOOKUP(C679,'Data Angt'!$A$5:$B$5809,2,FALSE)</f>
        <v>A2262</v>
      </c>
      <c r="E679" s="40" t="s">
        <v>11579</v>
      </c>
      <c r="F679" s="41">
        <v>44161</v>
      </c>
      <c r="G679" s="38">
        <v>1</v>
      </c>
      <c r="H679" s="40">
        <v>0</v>
      </c>
      <c r="I679" s="38">
        <v>4</v>
      </c>
      <c r="J679" s="41">
        <v>44161</v>
      </c>
      <c r="K679" s="38" t="s">
        <v>10768</v>
      </c>
      <c r="L679" s="42">
        <v>25000000</v>
      </c>
      <c r="O679"/>
    </row>
    <row r="680" spans="1:15" x14ac:dyDescent="0.3">
      <c r="A680" s="37">
        <v>140889</v>
      </c>
      <c r="B680" s="38">
        <v>674</v>
      </c>
      <c r="C680" s="39" t="s">
        <v>5143</v>
      </c>
      <c r="D680" s="10" t="str">
        <f>VLOOKUP(C680,'Data Angt'!$A$5:$B$5809,2,FALSE)</f>
        <v>A2262</v>
      </c>
      <c r="E680" s="40" t="s">
        <v>11578</v>
      </c>
      <c r="F680" s="41">
        <v>45269</v>
      </c>
      <c r="G680" s="38">
        <v>1</v>
      </c>
      <c r="H680" s="40">
        <v>0</v>
      </c>
      <c r="I680" s="38">
        <v>4</v>
      </c>
      <c r="J680" s="41">
        <v>45269</v>
      </c>
      <c r="K680" s="38" t="s">
        <v>10768</v>
      </c>
      <c r="L680" s="42">
        <v>10000000</v>
      </c>
      <c r="O680"/>
    </row>
    <row r="681" spans="1:15" x14ac:dyDescent="0.3">
      <c r="A681" s="37">
        <v>130236</v>
      </c>
      <c r="B681" s="38">
        <v>675</v>
      </c>
      <c r="C681" s="39" t="s">
        <v>5143</v>
      </c>
      <c r="D681" s="10" t="str">
        <f>VLOOKUP(C681,'Data Angt'!$A$5:$B$5809,2,FALSE)</f>
        <v>A2262</v>
      </c>
      <c r="E681" s="40" t="s">
        <v>11577</v>
      </c>
      <c r="F681" s="41">
        <v>44477</v>
      </c>
      <c r="G681" s="38">
        <v>1</v>
      </c>
      <c r="H681" s="40">
        <v>0</v>
      </c>
      <c r="I681" s="38">
        <v>4</v>
      </c>
      <c r="J681" s="41">
        <v>44477</v>
      </c>
      <c r="K681" s="38" t="s">
        <v>10768</v>
      </c>
      <c r="L681" s="42">
        <v>20000000</v>
      </c>
      <c r="O681"/>
    </row>
    <row r="682" spans="1:15" x14ac:dyDescent="0.3">
      <c r="A682" s="37">
        <v>144439</v>
      </c>
      <c r="B682" s="38">
        <v>676</v>
      </c>
      <c r="C682" s="39" t="s">
        <v>5143</v>
      </c>
      <c r="D682" s="10" t="str">
        <f>VLOOKUP(C682,'Data Angt'!$A$5:$B$5809,2,FALSE)</f>
        <v>A2262</v>
      </c>
      <c r="E682" s="40" t="s">
        <v>18173</v>
      </c>
      <c r="F682" s="41">
        <v>45408</v>
      </c>
      <c r="G682" s="38">
        <v>1</v>
      </c>
      <c r="H682" s="40">
        <v>0</v>
      </c>
      <c r="I682" s="38">
        <v>4</v>
      </c>
      <c r="J682" s="41">
        <v>45408</v>
      </c>
      <c r="K682" s="38" t="s">
        <v>10768</v>
      </c>
      <c r="L682" s="42">
        <v>6000000</v>
      </c>
      <c r="O682"/>
    </row>
    <row r="683" spans="1:15" x14ac:dyDescent="0.3">
      <c r="A683" s="37">
        <v>130299</v>
      </c>
      <c r="B683" s="38">
        <v>677</v>
      </c>
      <c r="C683" s="39" t="s">
        <v>5143</v>
      </c>
      <c r="D683" s="10" t="str">
        <f>VLOOKUP(C683,'Data Angt'!$A$5:$B$5809,2,FALSE)</f>
        <v>A2262</v>
      </c>
      <c r="E683" s="40" t="s">
        <v>11575</v>
      </c>
      <c r="F683" s="41">
        <v>44482</v>
      </c>
      <c r="G683" s="38">
        <v>1</v>
      </c>
      <c r="H683" s="40">
        <v>0</v>
      </c>
      <c r="I683" s="38">
        <v>4</v>
      </c>
      <c r="J683" s="41">
        <v>44482</v>
      </c>
      <c r="K683" s="38" t="s">
        <v>10768</v>
      </c>
      <c r="L683" s="42">
        <v>9500000</v>
      </c>
      <c r="O683"/>
    </row>
    <row r="684" spans="1:15" x14ac:dyDescent="0.3">
      <c r="A684" s="37">
        <v>149806</v>
      </c>
      <c r="B684" s="38">
        <v>678</v>
      </c>
      <c r="C684" s="39" t="s">
        <v>5143</v>
      </c>
      <c r="D684" s="10" t="str">
        <f>VLOOKUP(C684,'Data Angt'!$A$5:$B$5809,2,FALSE)</f>
        <v>A2262</v>
      </c>
      <c r="E684" s="40" t="s">
        <v>18174</v>
      </c>
      <c r="F684" s="41">
        <v>45588</v>
      </c>
      <c r="G684" s="38">
        <v>1</v>
      </c>
      <c r="H684" s="40">
        <v>0</v>
      </c>
      <c r="I684" s="38">
        <v>4</v>
      </c>
      <c r="J684" s="41">
        <v>45588</v>
      </c>
      <c r="K684" s="38" t="s">
        <v>10768</v>
      </c>
      <c r="L684" s="42">
        <v>10000000</v>
      </c>
      <c r="O684"/>
    </row>
    <row r="685" spans="1:15" x14ac:dyDescent="0.3">
      <c r="A685" s="37">
        <v>149807</v>
      </c>
      <c r="B685" s="38">
        <v>679</v>
      </c>
      <c r="C685" s="39" t="s">
        <v>5143</v>
      </c>
      <c r="D685" s="10" t="str">
        <f>VLOOKUP(C685,'Data Angt'!$A$5:$B$5809,2,FALSE)</f>
        <v>A2262</v>
      </c>
      <c r="E685" s="40" t="s">
        <v>18168</v>
      </c>
      <c r="F685" s="41">
        <v>45588</v>
      </c>
      <c r="G685" s="38">
        <v>1</v>
      </c>
      <c r="H685" s="40">
        <v>0</v>
      </c>
      <c r="I685" s="38">
        <v>4</v>
      </c>
      <c r="J685" s="41">
        <v>45588</v>
      </c>
      <c r="K685" s="38" t="s">
        <v>10768</v>
      </c>
      <c r="L685" s="42">
        <v>10000000</v>
      </c>
      <c r="O685"/>
    </row>
    <row r="686" spans="1:15" x14ac:dyDescent="0.3">
      <c r="A686" s="37">
        <v>78645</v>
      </c>
      <c r="B686" s="38">
        <v>680</v>
      </c>
      <c r="C686" s="39" t="s">
        <v>5143</v>
      </c>
      <c r="D686" s="10" t="str">
        <f>VLOOKUP(C686,'Data Angt'!$A$5:$B$5809,2,FALSE)</f>
        <v>A2262</v>
      </c>
      <c r="E686" s="40" t="s">
        <v>11599</v>
      </c>
      <c r="F686" s="41">
        <v>42690</v>
      </c>
      <c r="G686" s="38">
        <v>1</v>
      </c>
      <c r="H686" s="40">
        <v>0</v>
      </c>
      <c r="I686" s="38">
        <v>4</v>
      </c>
      <c r="J686" s="41">
        <v>42690</v>
      </c>
      <c r="K686" s="38" t="s">
        <v>10768</v>
      </c>
      <c r="L686" s="42">
        <v>5000000</v>
      </c>
      <c r="O686"/>
    </row>
    <row r="687" spans="1:15" x14ac:dyDescent="0.3">
      <c r="A687" s="37">
        <v>131611</v>
      </c>
      <c r="B687" s="38">
        <v>681</v>
      </c>
      <c r="C687" s="39" t="s">
        <v>5143</v>
      </c>
      <c r="D687" s="10" t="str">
        <f>VLOOKUP(C687,'Data Angt'!$A$5:$B$5809,2,FALSE)</f>
        <v>A2262</v>
      </c>
      <c r="E687" s="40" t="s">
        <v>11598</v>
      </c>
      <c r="F687" s="41">
        <v>44594</v>
      </c>
      <c r="G687" s="38">
        <v>1</v>
      </c>
      <c r="H687" s="40">
        <v>0</v>
      </c>
      <c r="I687" s="38">
        <v>4</v>
      </c>
      <c r="J687" s="41">
        <v>44594</v>
      </c>
      <c r="K687" s="38" t="s">
        <v>10768</v>
      </c>
      <c r="L687" s="42">
        <v>5000000</v>
      </c>
      <c r="O687"/>
    </row>
    <row r="688" spans="1:15" x14ac:dyDescent="0.3">
      <c r="A688" s="37">
        <v>150677</v>
      </c>
      <c r="B688" s="38">
        <v>682</v>
      </c>
      <c r="C688" s="39" t="s">
        <v>5143</v>
      </c>
      <c r="D688" s="10" t="str">
        <f>VLOOKUP(C688,'Data Angt'!$A$5:$B$5809,2,FALSE)</f>
        <v>A2262</v>
      </c>
      <c r="E688" s="40" t="s">
        <v>18169</v>
      </c>
      <c r="F688" s="41">
        <v>45612</v>
      </c>
      <c r="G688" s="38">
        <v>1</v>
      </c>
      <c r="H688" s="40">
        <v>0</v>
      </c>
      <c r="I688" s="38">
        <v>4</v>
      </c>
      <c r="J688" s="41">
        <v>45612</v>
      </c>
      <c r="K688" s="38" t="s">
        <v>10768</v>
      </c>
      <c r="L688" s="42">
        <v>10000000</v>
      </c>
      <c r="O688"/>
    </row>
    <row r="689" spans="1:15" x14ac:dyDescent="0.3">
      <c r="A689" s="37">
        <v>131612</v>
      </c>
      <c r="B689" s="38">
        <v>683</v>
      </c>
      <c r="C689" s="39" t="s">
        <v>5143</v>
      </c>
      <c r="D689" s="10" t="str">
        <f>VLOOKUP(C689,'Data Angt'!$A$5:$B$5809,2,FALSE)</f>
        <v>A2262</v>
      </c>
      <c r="E689" s="40" t="s">
        <v>11597</v>
      </c>
      <c r="F689" s="41">
        <v>44594</v>
      </c>
      <c r="G689" s="38">
        <v>1</v>
      </c>
      <c r="H689" s="40">
        <v>0</v>
      </c>
      <c r="I689" s="38">
        <v>4</v>
      </c>
      <c r="J689" s="41">
        <v>44594</v>
      </c>
      <c r="K689" s="38" t="s">
        <v>10768</v>
      </c>
      <c r="L689" s="42">
        <v>5000000</v>
      </c>
      <c r="O689"/>
    </row>
    <row r="690" spans="1:15" x14ac:dyDescent="0.3">
      <c r="A690" s="37">
        <v>150678</v>
      </c>
      <c r="B690" s="38">
        <v>684</v>
      </c>
      <c r="C690" s="39" t="s">
        <v>5143</v>
      </c>
      <c r="D690" s="10" t="str">
        <f>VLOOKUP(C690,'Data Angt'!$A$5:$B$5809,2,FALSE)</f>
        <v>A2262</v>
      </c>
      <c r="E690" s="40" t="s">
        <v>18170</v>
      </c>
      <c r="F690" s="41">
        <v>45612</v>
      </c>
      <c r="G690" s="38">
        <v>1</v>
      </c>
      <c r="H690" s="40">
        <v>0</v>
      </c>
      <c r="I690" s="38">
        <v>4</v>
      </c>
      <c r="J690" s="41">
        <v>45612</v>
      </c>
      <c r="K690" s="38" t="s">
        <v>10768</v>
      </c>
      <c r="L690" s="42">
        <v>10000000</v>
      </c>
      <c r="O690"/>
    </row>
    <row r="691" spans="1:15" x14ac:dyDescent="0.3">
      <c r="A691" s="37">
        <v>131613</v>
      </c>
      <c r="B691" s="38">
        <v>685</v>
      </c>
      <c r="C691" s="39" t="s">
        <v>5143</v>
      </c>
      <c r="D691" s="10" t="str">
        <f>VLOOKUP(C691,'Data Angt'!$A$5:$B$5809,2,FALSE)</f>
        <v>A2262</v>
      </c>
      <c r="E691" s="40" t="s">
        <v>11596</v>
      </c>
      <c r="F691" s="41">
        <v>44594</v>
      </c>
      <c r="G691" s="38">
        <v>1</v>
      </c>
      <c r="H691" s="40">
        <v>0</v>
      </c>
      <c r="I691" s="38">
        <v>4</v>
      </c>
      <c r="J691" s="41">
        <v>44594</v>
      </c>
      <c r="K691" s="38" t="s">
        <v>10768</v>
      </c>
      <c r="L691" s="42">
        <v>5000000</v>
      </c>
      <c r="O691"/>
    </row>
    <row r="692" spans="1:15" x14ac:dyDescent="0.3">
      <c r="A692" s="37">
        <v>150679</v>
      </c>
      <c r="B692" s="38">
        <v>686</v>
      </c>
      <c r="C692" s="39" t="s">
        <v>5143</v>
      </c>
      <c r="D692" s="10" t="str">
        <f>VLOOKUP(C692,'Data Angt'!$A$5:$B$5809,2,FALSE)</f>
        <v>A2262</v>
      </c>
      <c r="E692" s="40" t="s">
        <v>18171</v>
      </c>
      <c r="F692" s="41">
        <v>45612</v>
      </c>
      <c r="G692" s="38">
        <v>1</v>
      </c>
      <c r="H692" s="40">
        <v>0</v>
      </c>
      <c r="I692" s="38">
        <v>4</v>
      </c>
      <c r="J692" s="41">
        <v>45612</v>
      </c>
      <c r="K692" s="38" t="s">
        <v>10768</v>
      </c>
      <c r="L692" s="42">
        <v>10000000</v>
      </c>
      <c r="O692"/>
    </row>
    <row r="693" spans="1:15" x14ac:dyDescent="0.3">
      <c r="A693" s="37">
        <v>131614</v>
      </c>
      <c r="B693" s="38">
        <v>687</v>
      </c>
      <c r="C693" s="39" t="s">
        <v>5143</v>
      </c>
      <c r="D693" s="10" t="str">
        <f>VLOOKUP(C693,'Data Angt'!$A$5:$B$5809,2,FALSE)</f>
        <v>A2262</v>
      </c>
      <c r="E693" s="40" t="s">
        <v>11594</v>
      </c>
      <c r="F693" s="41">
        <v>44594</v>
      </c>
      <c r="G693" s="38">
        <v>1</v>
      </c>
      <c r="H693" s="40">
        <v>0</v>
      </c>
      <c r="I693" s="38">
        <v>4</v>
      </c>
      <c r="J693" s="41">
        <v>44594</v>
      </c>
      <c r="K693" s="38" t="s">
        <v>10768</v>
      </c>
      <c r="L693" s="42">
        <v>6000000</v>
      </c>
      <c r="O693"/>
    </row>
    <row r="694" spans="1:15" x14ac:dyDescent="0.3">
      <c r="A694" s="37">
        <v>150680</v>
      </c>
      <c r="B694" s="38">
        <v>688</v>
      </c>
      <c r="C694" s="39" t="s">
        <v>5143</v>
      </c>
      <c r="D694" s="10" t="str">
        <f>VLOOKUP(C694,'Data Angt'!$A$5:$B$5809,2,FALSE)</f>
        <v>A2262</v>
      </c>
      <c r="E694" s="40" t="s">
        <v>18172</v>
      </c>
      <c r="F694" s="41">
        <v>45612</v>
      </c>
      <c r="G694" s="38">
        <v>1</v>
      </c>
      <c r="H694" s="40">
        <v>0</v>
      </c>
      <c r="I694" s="38">
        <v>4</v>
      </c>
      <c r="J694" s="41">
        <v>45612</v>
      </c>
      <c r="K694" s="38" t="s">
        <v>10768</v>
      </c>
      <c r="L694" s="42">
        <v>5000000</v>
      </c>
      <c r="O694"/>
    </row>
    <row r="695" spans="1:15" x14ac:dyDescent="0.3">
      <c r="A695" s="37">
        <v>87706</v>
      </c>
      <c r="B695" s="38">
        <v>689</v>
      </c>
      <c r="C695" s="39" t="s">
        <v>5143</v>
      </c>
      <c r="D695" s="10" t="str">
        <f>VLOOKUP(C695,'Data Angt'!$A$5:$B$5809,2,FALSE)</f>
        <v>A2262</v>
      </c>
      <c r="E695" s="40" t="s">
        <v>11595</v>
      </c>
      <c r="F695" s="41">
        <v>43301</v>
      </c>
      <c r="G695" s="38">
        <v>1</v>
      </c>
      <c r="H695" s="40">
        <v>0</v>
      </c>
      <c r="I695" s="38">
        <v>4</v>
      </c>
      <c r="J695" s="41">
        <v>43301</v>
      </c>
      <c r="K695" s="38" t="s">
        <v>10768</v>
      </c>
      <c r="L695" s="42">
        <v>10000000</v>
      </c>
      <c r="O695"/>
    </row>
    <row r="696" spans="1:15" x14ac:dyDescent="0.3">
      <c r="A696" s="37">
        <v>158530</v>
      </c>
      <c r="B696" s="38">
        <v>690</v>
      </c>
      <c r="C696" s="39" t="s">
        <v>5184</v>
      </c>
      <c r="D696" s="10" t="str">
        <f>VLOOKUP(C696,'Data Angt'!$A$5:$B$5809,2,FALSE)</f>
        <v>A2280</v>
      </c>
      <c r="E696" s="40" t="s">
        <v>24050</v>
      </c>
      <c r="F696" s="41">
        <v>45912</v>
      </c>
      <c r="G696" s="38">
        <v>1</v>
      </c>
      <c r="H696" s="40">
        <v>0</v>
      </c>
      <c r="I696" s="38">
        <v>4</v>
      </c>
      <c r="J696" s="41">
        <v>45912</v>
      </c>
      <c r="K696" s="38" t="s">
        <v>10768</v>
      </c>
      <c r="L696" s="42">
        <v>15000000</v>
      </c>
      <c r="O696"/>
    </row>
    <row r="697" spans="1:15" x14ac:dyDescent="0.3">
      <c r="A697" s="37">
        <v>152265</v>
      </c>
      <c r="B697" s="38">
        <v>691</v>
      </c>
      <c r="C697" s="39" t="s">
        <v>5184</v>
      </c>
      <c r="D697" s="10" t="str">
        <f>VLOOKUP(C697,'Data Angt'!$A$5:$B$5809,2,FALSE)</f>
        <v>A2280</v>
      </c>
      <c r="E697" s="40" t="s">
        <v>18175</v>
      </c>
      <c r="F697" s="41">
        <v>45674</v>
      </c>
      <c r="G697" s="38">
        <v>1</v>
      </c>
      <c r="H697" s="40">
        <v>0</v>
      </c>
      <c r="I697" s="38">
        <v>4</v>
      </c>
      <c r="J697" s="41">
        <v>45674</v>
      </c>
      <c r="K697" s="38" t="s">
        <v>10768</v>
      </c>
      <c r="L697" s="42">
        <v>1500000</v>
      </c>
      <c r="O697"/>
    </row>
    <row r="698" spans="1:15" x14ac:dyDescent="0.3">
      <c r="A698" s="37">
        <v>151279</v>
      </c>
      <c r="B698" s="38">
        <v>692</v>
      </c>
      <c r="C698" s="39" t="s">
        <v>5332</v>
      </c>
      <c r="D698" s="10" t="str">
        <f>VLOOKUP(C698,'Data Angt'!$A$5:$B$5809,2,FALSE)</f>
        <v>A2348</v>
      </c>
      <c r="E698" s="40" t="s">
        <v>18176</v>
      </c>
      <c r="F698" s="41">
        <v>45630</v>
      </c>
      <c r="G698" s="38">
        <v>1</v>
      </c>
      <c r="H698" s="40">
        <v>0</v>
      </c>
      <c r="I698" s="38">
        <v>4</v>
      </c>
      <c r="J698" s="41">
        <v>45630</v>
      </c>
      <c r="K698" s="38" t="s">
        <v>10768</v>
      </c>
      <c r="L698" s="42">
        <v>25000000</v>
      </c>
      <c r="O698"/>
    </row>
    <row r="699" spans="1:15" x14ac:dyDescent="0.3">
      <c r="A699" s="37">
        <v>117884</v>
      </c>
      <c r="B699" s="38">
        <v>693</v>
      </c>
      <c r="C699" s="39" t="s">
        <v>5366</v>
      </c>
      <c r="D699" s="10" t="str">
        <f>VLOOKUP(C699,'Data Angt'!$A$5:$B$5809,2,FALSE)</f>
        <v>A2366</v>
      </c>
      <c r="E699" s="40" t="s">
        <v>11571</v>
      </c>
      <c r="F699" s="41">
        <v>43773</v>
      </c>
      <c r="G699" s="38">
        <v>1</v>
      </c>
      <c r="H699" s="40">
        <v>0</v>
      </c>
      <c r="I699" s="38">
        <v>4</v>
      </c>
      <c r="J699" s="41">
        <v>43773</v>
      </c>
      <c r="K699" s="38" t="s">
        <v>10768</v>
      </c>
      <c r="L699" s="42">
        <v>1500000</v>
      </c>
      <c r="O699"/>
    </row>
    <row r="700" spans="1:15" x14ac:dyDescent="0.3">
      <c r="A700" s="37">
        <v>118918</v>
      </c>
      <c r="B700" s="38">
        <v>694</v>
      </c>
      <c r="C700" s="39" t="s">
        <v>5366</v>
      </c>
      <c r="D700" s="10" t="str">
        <f>VLOOKUP(C700,'Data Angt'!$A$5:$B$5809,2,FALSE)</f>
        <v>A2366</v>
      </c>
      <c r="E700" s="40" t="s">
        <v>11570</v>
      </c>
      <c r="F700" s="41">
        <v>43804</v>
      </c>
      <c r="G700" s="38">
        <v>1</v>
      </c>
      <c r="H700" s="40">
        <v>0</v>
      </c>
      <c r="I700" s="38">
        <v>4</v>
      </c>
      <c r="J700" s="41">
        <v>43804</v>
      </c>
      <c r="K700" s="38" t="s">
        <v>10768</v>
      </c>
      <c r="L700" s="42">
        <v>2500000</v>
      </c>
      <c r="O700"/>
    </row>
    <row r="701" spans="1:15" x14ac:dyDescent="0.3">
      <c r="A701" s="37">
        <v>120392</v>
      </c>
      <c r="B701" s="38">
        <v>695</v>
      </c>
      <c r="C701" s="39" t="s">
        <v>5366</v>
      </c>
      <c r="D701" s="10" t="str">
        <f>VLOOKUP(C701,'Data Angt'!$A$5:$B$5809,2,FALSE)</f>
        <v>A2366</v>
      </c>
      <c r="E701" s="40" t="s">
        <v>11569</v>
      </c>
      <c r="F701" s="41">
        <v>43865</v>
      </c>
      <c r="G701" s="38">
        <v>1</v>
      </c>
      <c r="H701" s="40">
        <v>0</v>
      </c>
      <c r="I701" s="38">
        <v>4</v>
      </c>
      <c r="J701" s="41">
        <v>43865</v>
      </c>
      <c r="K701" s="38" t="s">
        <v>10768</v>
      </c>
      <c r="L701" s="42">
        <v>4500000</v>
      </c>
      <c r="O701"/>
    </row>
    <row r="702" spans="1:15" x14ac:dyDescent="0.3">
      <c r="A702" s="37">
        <v>123970</v>
      </c>
      <c r="B702" s="38">
        <v>696</v>
      </c>
      <c r="C702" s="39" t="s">
        <v>5366</v>
      </c>
      <c r="D702" s="10" t="str">
        <f>VLOOKUP(C702,'Data Angt'!$A$5:$B$5809,2,FALSE)</f>
        <v>A2366</v>
      </c>
      <c r="E702" s="40" t="s">
        <v>11574</v>
      </c>
      <c r="F702" s="41">
        <v>44013</v>
      </c>
      <c r="G702" s="38">
        <v>1</v>
      </c>
      <c r="H702" s="40">
        <v>0</v>
      </c>
      <c r="I702" s="38">
        <v>4</v>
      </c>
      <c r="J702" s="41">
        <v>44013</v>
      </c>
      <c r="K702" s="38" t="s">
        <v>10768</v>
      </c>
      <c r="L702" s="42">
        <v>5000000</v>
      </c>
      <c r="O702"/>
    </row>
    <row r="703" spans="1:15" x14ac:dyDescent="0.3">
      <c r="A703" s="37">
        <v>112591</v>
      </c>
      <c r="B703" s="38">
        <v>697</v>
      </c>
      <c r="C703" s="39" t="s">
        <v>5366</v>
      </c>
      <c r="D703" s="10" t="str">
        <f>VLOOKUP(C703,'Data Angt'!$A$5:$B$5809,2,FALSE)</f>
        <v>A2366</v>
      </c>
      <c r="E703" s="40" t="s">
        <v>11573</v>
      </c>
      <c r="F703" s="41">
        <v>43613</v>
      </c>
      <c r="G703" s="38">
        <v>1</v>
      </c>
      <c r="H703" s="40">
        <v>0</v>
      </c>
      <c r="I703" s="38">
        <v>4</v>
      </c>
      <c r="J703" s="41">
        <v>43613</v>
      </c>
      <c r="K703" s="38" t="s">
        <v>10768</v>
      </c>
      <c r="L703" s="42">
        <v>5000000</v>
      </c>
      <c r="O703"/>
    </row>
    <row r="704" spans="1:15" x14ac:dyDescent="0.3">
      <c r="A704" s="37">
        <v>117234</v>
      </c>
      <c r="B704" s="38">
        <v>698</v>
      </c>
      <c r="C704" s="39" t="s">
        <v>5366</v>
      </c>
      <c r="D704" s="10" t="str">
        <f>VLOOKUP(C704,'Data Angt'!$A$5:$B$5809,2,FALSE)</f>
        <v>A2366</v>
      </c>
      <c r="E704" s="40" t="s">
        <v>11572</v>
      </c>
      <c r="F704" s="41">
        <v>43747</v>
      </c>
      <c r="G704" s="38">
        <v>1</v>
      </c>
      <c r="H704" s="40">
        <v>0</v>
      </c>
      <c r="I704" s="38">
        <v>4</v>
      </c>
      <c r="J704" s="41">
        <v>43747</v>
      </c>
      <c r="K704" s="38" t="s">
        <v>10768</v>
      </c>
      <c r="L704" s="42">
        <v>1000000</v>
      </c>
      <c r="O704"/>
    </row>
    <row r="705" spans="1:15" x14ac:dyDescent="0.3">
      <c r="A705" s="37">
        <v>78054</v>
      </c>
      <c r="B705" s="38">
        <v>699</v>
      </c>
      <c r="C705" s="39" t="s">
        <v>12377</v>
      </c>
      <c r="D705" s="10" t="str">
        <f>VLOOKUP(C705,'Data Angt'!$A$5:$B$5809,2,FALSE)</f>
        <v>A2373</v>
      </c>
      <c r="E705" s="40" t="s">
        <v>11568</v>
      </c>
      <c r="F705" s="41">
        <v>42646</v>
      </c>
      <c r="G705" s="38">
        <v>1</v>
      </c>
      <c r="H705" s="40">
        <v>0</v>
      </c>
      <c r="I705" s="38">
        <v>4</v>
      </c>
      <c r="J705" s="41">
        <v>42439</v>
      </c>
      <c r="K705" s="38" t="s">
        <v>10768</v>
      </c>
      <c r="L705" s="42">
        <v>2000000</v>
      </c>
      <c r="O705"/>
    </row>
    <row r="706" spans="1:15" x14ac:dyDescent="0.3">
      <c r="A706" s="37">
        <v>128080</v>
      </c>
      <c r="B706" s="38">
        <v>700</v>
      </c>
      <c r="C706" s="39" t="s">
        <v>12377</v>
      </c>
      <c r="D706" s="10" t="str">
        <f>VLOOKUP(C706,'Data Angt'!$A$5:$B$5809,2,FALSE)</f>
        <v>A2373</v>
      </c>
      <c r="E706" s="40" t="s">
        <v>11567</v>
      </c>
      <c r="F706" s="41">
        <v>44313</v>
      </c>
      <c r="G706" s="38">
        <v>1</v>
      </c>
      <c r="H706" s="40">
        <v>0</v>
      </c>
      <c r="I706" s="38">
        <v>4</v>
      </c>
      <c r="J706" s="41">
        <v>44313</v>
      </c>
      <c r="K706" s="38" t="s">
        <v>10768</v>
      </c>
      <c r="L706" s="42">
        <v>10000000</v>
      </c>
      <c r="O706"/>
    </row>
    <row r="707" spans="1:15" x14ac:dyDescent="0.3">
      <c r="A707" s="37">
        <v>150532</v>
      </c>
      <c r="B707" s="38">
        <v>701</v>
      </c>
      <c r="C707" s="39" t="s">
        <v>5385</v>
      </c>
      <c r="D707" s="10" t="str">
        <f>VLOOKUP(C707,'Data Angt'!$A$5:$B$5809,2,FALSE)</f>
        <v>A2376</v>
      </c>
      <c r="E707" s="40" t="s">
        <v>18177</v>
      </c>
      <c r="F707" s="41">
        <v>45608</v>
      </c>
      <c r="G707" s="38">
        <v>1</v>
      </c>
      <c r="H707" s="40">
        <v>0</v>
      </c>
      <c r="I707" s="38">
        <v>4</v>
      </c>
      <c r="J707" s="41">
        <v>45608</v>
      </c>
      <c r="K707" s="38" t="s">
        <v>10768</v>
      </c>
      <c r="L707" s="42">
        <v>16000000</v>
      </c>
      <c r="O707"/>
    </row>
    <row r="708" spans="1:15" x14ac:dyDescent="0.3">
      <c r="A708" s="37">
        <v>153815</v>
      </c>
      <c r="B708" s="38">
        <v>702</v>
      </c>
      <c r="C708" s="39" t="s">
        <v>5385</v>
      </c>
      <c r="D708" s="10" t="str">
        <f>VLOOKUP(C708,'Data Angt'!$A$5:$B$5809,2,FALSE)</f>
        <v>A2376</v>
      </c>
      <c r="E708" s="40" t="s">
        <v>18178</v>
      </c>
      <c r="F708" s="41">
        <v>45712</v>
      </c>
      <c r="G708" s="38">
        <v>1</v>
      </c>
      <c r="H708" s="40">
        <v>0</v>
      </c>
      <c r="I708" s="38">
        <v>4</v>
      </c>
      <c r="J708" s="41">
        <v>45712</v>
      </c>
      <c r="K708" s="38" t="s">
        <v>10768</v>
      </c>
      <c r="L708" s="42">
        <v>20000000</v>
      </c>
      <c r="O708"/>
    </row>
    <row r="709" spans="1:15" x14ac:dyDescent="0.3">
      <c r="A709" s="37">
        <v>155361</v>
      </c>
      <c r="B709" s="38">
        <v>703</v>
      </c>
      <c r="C709" s="39" t="s">
        <v>5393</v>
      </c>
      <c r="D709" s="10" t="str">
        <f>VLOOKUP(C709,'Data Angt'!$A$5:$B$5809,2,FALSE)</f>
        <v>A2379</v>
      </c>
      <c r="E709" s="40" t="s">
        <v>18179</v>
      </c>
      <c r="F709" s="41">
        <v>45779</v>
      </c>
      <c r="G709" s="38">
        <v>1</v>
      </c>
      <c r="H709" s="40">
        <v>0</v>
      </c>
      <c r="I709" s="38">
        <v>4</v>
      </c>
      <c r="J709" s="41">
        <v>45779</v>
      </c>
      <c r="K709" s="38" t="s">
        <v>10768</v>
      </c>
      <c r="L709" s="42">
        <v>20000000</v>
      </c>
      <c r="O709"/>
    </row>
    <row r="710" spans="1:15" x14ac:dyDescent="0.3">
      <c r="A710" s="37">
        <v>157035</v>
      </c>
      <c r="B710" s="38">
        <v>704</v>
      </c>
      <c r="C710" s="39" t="s">
        <v>5393</v>
      </c>
      <c r="D710" s="10" t="str">
        <f>VLOOKUP(C710,'Data Angt'!$A$5:$B$5809,2,FALSE)</f>
        <v>A2379</v>
      </c>
      <c r="E710" s="40" t="s">
        <v>24051</v>
      </c>
      <c r="F710" s="41">
        <v>45853</v>
      </c>
      <c r="G710" s="38">
        <v>1</v>
      </c>
      <c r="H710" s="40">
        <v>0</v>
      </c>
      <c r="I710" s="38">
        <v>4</v>
      </c>
      <c r="J710" s="41">
        <v>45853</v>
      </c>
      <c r="K710" s="38" t="s">
        <v>10768</v>
      </c>
      <c r="L710" s="42">
        <v>40000000</v>
      </c>
      <c r="O710"/>
    </row>
    <row r="711" spans="1:15" x14ac:dyDescent="0.3">
      <c r="A711" s="37">
        <v>158001</v>
      </c>
      <c r="B711" s="38">
        <v>705</v>
      </c>
      <c r="C711" s="39" t="s">
        <v>5393</v>
      </c>
      <c r="D711" s="10" t="str">
        <f>VLOOKUP(C711,'Data Angt'!$A$5:$B$5809,2,FALSE)</f>
        <v>A2379</v>
      </c>
      <c r="E711" s="40" t="s">
        <v>24052</v>
      </c>
      <c r="F711" s="41">
        <v>45889</v>
      </c>
      <c r="G711" s="38">
        <v>1</v>
      </c>
      <c r="H711" s="40">
        <v>0</v>
      </c>
      <c r="I711" s="38">
        <v>4</v>
      </c>
      <c r="J711" s="41">
        <v>45889</v>
      </c>
      <c r="K711" s="38" t="s">
        <v>10768</v>
      </c>
      <c r="L711" s="42">
        <v>18000000</v>
      </c>
      <c r="O711"/>
    </row>
    <row r="712" spans="1:15" x14ac:dyDescent="0.3">
      <c r="A712" s="37">
        <v>158002</v>
      </c>
      <c r="B712" s="38">
        <v>706</v>
      </c>
      <c r="C712" s="39" t="s">
        <v>5393</v>
      </c>
      <c r="D712" s="10" t="str">
        <f>VLOOKUP(C712,'Data Angt'!$A$5:$B$5809,2,FALSE)</f>
        <v>A2379</v>
      </c>
      <c r="E712" s="40" t="s">
        <v>24053</v>
      </c>
      <c r="F712" s="41">
        <v>45889</v>
      </c>
      <c r="G712" s="38">
        <v>1</v>
      </c>
      <c r="H712" s="40">
        <v>0</v>
      </c>
      <c r="I712" s="38">
        <v>4</v>
      </c>
      <c r="J712" s="41">
        <v>45889</v>
      </c>
      <c r="K712" s="38" t="s">
        <v>10768</v>
      </c>
      <c r="L712" s="42">
        <v>10000000</v>
      </c>
      <c r="O712"/>
    </row>
    <row r="713" spans="1:15" x14ac:dyDescent="0.3">
      <c r="A713" s="37">
        <v>127561</v>
      </c>
      <c r="B713" s="38">
        <v>707</v>
      </c>
      <c r="C713" s="39" t="s">
        <v>5396</v>
      </c>
      <c r="D713" s="10" t="str">
        <f>VLOOKUP(C713,'Data Angt'!$A$5:$B$5809,2,FALSE)</f>
        <v>A2380</v>
      </c>
      <c r="E713" s="40" t="s">
        <v>11441</v>
      </c>
      <c r="F713" s="41">
        <v>44274</v>
      </c>
      <c r="G713" s="38">
        <v>1</v>
      </c>
      <c r="H713" s="40">
        <v>0</v>
      </c>
      <c r="I713" s="38">
        <v>4</v>
      </c>
      <c r="J713" s="41">
        <v>44274</v>
      </c>
      <c r="K713" s="38" t="s">
        <v>10768</v>
      </c>
      <c r="L713" s="42">
        <v>4000000</v>
      </c>
      <c r="O713"/>
    </row>
    <row r="714" spans="1:15" x14ac:dyDescent="0.3">
      <c r="A714" s="37">
        <v>130644</v>
      </c>
      <c r="B714" s="38">
        <v>708</v>
      </c>
      <c r="C714" s="39" t="s">
        <v>5396</v>
      </c>
      <c r="D714" s="10" t="str">
        <f>VLOOKUP(C714,'Data Angt'!$A$5:$B$5809,2,FALSE)</f>
        <v>A2380</v>
      </c>
      <c r="E714" s="40" t="s">
        <v>11565</v>
      </c>
      <c r="F714" s="41">
        <v>44511</v>
      </c>
      <c r="G714" s="38">
        <v>1</v>
      </c>
      <c r="H714" s="40">
        <v>0</v>
      </c>
      <c r="I714" s="38">
        <v>4</v>
      </c>
      <c r="J714" s="41">
        <v>44511</v>
      </c>
      <c r="K714" s="38" t="s">
        <v>10768</v>
      </c>
      <c r="L714" s="42">
        <v>13000000</v>
      </c>
      <c r="O714"/>
    </row>
    <row r="715" spans="1:15" x14ac:dyDescent="0.3">
      <c r="A715" s="37">
        <v>131957</v>
      </c>
      <c r="B715" s="38">
        <v>709</v>
      </c>
      <c r="C715" s="39" t="s">
        <v>5396</v>
      </c>
      <c r="D715" s="10" t="str">
        <f>VLOOKUP(C715,'Data Angt'!$A$5:$B$5809,2,FALSE)</f>
        <v>A2380</v>
      </c>
      <c r="E715" s="40" t="s">
        <v>11440</v>
      </c>
      <c r="F715" s="41">
        <v>44624</v>
      </c>
      <c r="G715" s="38">
        <v>1</v>
      </c>
      <c r="H715" s="40">
        <v>0</v>
      </c>
      <c r="I715" s="38">
        <v>4</v>
      </c>
      <c r="J715" s="41">
        <v>44624</v>
      </c>
      <c r="K715" s="38" t="s">
        <v>10768</v>
      </c>
      <c r="L715" s="42">
        <v>5000000</v>
      </c>
      <c r="O715"/>
    </row>
    <row r="716" spans="1:15" x14ac:dyDescent="0.3">
      <c r="A716" s="37">
        <v>136321</v>
      </c>
      <c r="B716" s="38">
        <v>710</v>
      </c>
      <c r="C716" s="39" t="s">
        <v>5396</v>
      </c>
      <c r="D716" s="10" t="str">
        <f>VLOOKUP(C716,'Data Angt'!$A$5:$B$5809,2,FALSE)</f>
        <v>A2380</v>
      </c>
      <c r="E716" s="40" t="s">
        <v>11439</v>
      </c>
      <c r="F716" s="41">
        <v>44965</v>
      </c>
      <c r="G716" s="38">
        <v>1</v>
      </c>
      <c r="H716" s="40">
        <v>0</v>
      </c>
      <c r="I716" s="38">
        <v>4</v>
      </c>
      <c r="J716" s="41">
        <v>44965</v>
      </c>
      <c r="K716" s="38" t="s">
        <v>10768</v>
      </c>
      <c r="L716" s="42">
        <v>5500000</v>
      </c>
      <c r="O716"/>
    </row>
    <row r="717" spans="1:15" x14ac:dyDescent="0.3">
      <c r="A717" s="37">
        <v>119414</v>
      </c>
      <c r="B717" s="38">
        <v>711</v>
      </c>
      <c r="C717" s="39" t="s">
        <v>5396</v>
      </c>
      <c r="D717" s="10" t="str">
        <f>VLOOKUP(C717,'Data Angt'!$A$5:$B$5809,2,FALSE)</f>
        <v>A2380</v>
      </c>
      <c r="E717" s="40" t="s">
        <v>11566</v>
      </c>
      <c r="F717" s="41">
        <v>43837</v>
      </c>
      <c r="G717" s="38">
        <v>1</v>
      </c>
      <c r="H717" s="40">
        <v>0</v>
      </c>
      <c r="I717" s="38">
        <v>4</v>
      </c>
      <c r="J717" s="41">
        <v>43837</v>
      </c>
      <c r="K717" s="38" t="s">
        <v>10768</v>
      </c>
      <c r="L717" s="42">
        <v>18000000</v>
      </c>
      <c r="O717"/>
    </row>
    <row r="718" spans="1:15" x14ac:dyDescent="0.3">
      <c r="A718" s="37">
        <v>148447</v>
      </c>
      <c r="B718" s="38">
        <v>712</v>
      </c>
      <c r="C718" s="39" t="s">
        <v>5420</v>
      </c>
      <c r="D718" s="10" t="str">
        <f>VLOOKUP(C718,'Data Angt'!$A$5:$B$5809,2,FALSE)</f>
        <v>A2392</v>
      </c>
      <c r="E718" s="40" t="s">
        <v>18180</v>
      </c>
      <c r="F718" s="41">
        <v>45530</v>
      </c>
      <c r="G718" s="38">
        <v>1</v>
      </c>
      <c r="H718" s="40">
        <v>0</v>
      </c>
      <c r="I718" s="38">
        <v>4</v>
      </c>
      <c r="J718" s="41">
        <v>45530</v>
      </c>
      <c r="K718" s="38" t="s">
        <v>10768</v>
      </c>
      <c r="L718" s="42">
        <v>18000000</v>
      </c>
      <c r="O718"/>
    </row>
    <row r="719" spans="1:15" x14ac:dyDescent="0.3">
      <c r="A719" s="37">
        <v>148448</v>
      </c>
      <c r="B719" s="38">
        <v>713</v>
      </c>
      <c r="C719" s="39" t="s">
        <v>5420</v>
      </c>
      <c r="D719" s="10" t="str">
        <f>VLOOKUP(C719,'Data Angt'!$A$5:$B$5809,2,FALSE)</f>
        <v>A2392</v>
      </c>
      <c r="E719" s="40" t="s">
        <v>18181</v>
      </c>
      <c r="F719" s="41">
        <v>45530</v>
      </c>
      <c r="G719" s="38">
        <v>1</v>
      </c>
      <c r="H719" s="40">
        <v>0</v>
      </c>
      <c r="I719" s="38">
        <v>4</v>
      </c>
      <c r="J719" s="41">
        <v>45530</v>
      </c>
      <c r="K719" s="38" t="s">
        <v>10768</v>
      </c>
      <c r="L719" s="42">
        <v>2000000</v>
      </c>
      <c r="O719"/>
    </row>
    <row r="720" spans="1:15" x14ac:dyDescent="0.3">
      <c r="A720" s="37">
        <v>148932</v>
      </c>
      <c r="B720" s="38">
        <v>714</v>
      </c>
      <c r="C720" s="39" t="s">
        <v>5455</v>
      </c>
      <c r="D720" s="10" t="str">
        <f>VLOOKUP(C720,'Data Angt'!$A$5:$B$5809,2,FALSE)</f>
        <v>A2408</v>
      </c>
      <c r="E720" s="40" t="s">
        <v>18182</v>
      </c>
      <c r="F720" s="41">
        <v>45541</v>
      </c>
      <c r="G720" s="38">
        <v>1</v>
      </c>
      <c r="H720" s="40">
        <v>0</v>
      </c>
      <c r="I720" s="38">
        <v>4</v>
      </c>
      <c r="J720" s="41">
        <v>45541</v>
      </c>
      <c r="K720" s="38" t="s">
        <v>10768</v>
      </c>
      <c r="L720" s="42">
        <v>5000000</v>
      </c>
      <c r="O720"/>
    </row>
    <row r="721" spans="1:15" x14ac:dyDescent="0.3">
      <c r="A721" s="37">
        <v>154903</v>
      </c>
      <c r="B721" s="38">
        <v>715</v>
      </c>
      <c r="C721" s="39" t="s">
        <v>5455</v>
      </c>
      <c r="D721" s="10" t="str">
        <f>VLOOKUP(C721,'Data Angt'!$A$5:$B$5809,2,FALSE)</f>
        <v>A2408</v>
      </c>
      <c r="E721" s="40" t="s">
        <v>18183</v>
      </c>
      <c r="F721" s="41">
        <v>45755</v>
      </c>
      <c r="G721" s="38">
        <v>1</v>
      </c>
      <c r="H721" s="40">
        <v>0</v>
      </c>
      <c r="I721" s="38">
        <v>4</v>
      </c>
      <c r="J721" s="41">
        <v>45755</v>
      </c>
      <c r="K721" s="38" t="s">
        <v>10768</v>
      </c>
      <c r="L721" s="42">
        <v>5000000</v>
      </c>
      <c r="O721"/>
    </row>
    <row r="722" spans="1:15" x14ac:dyDescent="0.3">
      <c r="A722" s="37">
        <v>158373</v>
      </c>
      <c r="B722" s="38">
        <v>716</v>
      </c>
      <c r="C722" s="39" t="s">
        <v>5455</v>
      </c>
      <c r="D722" s="10" t="str">
        <f>VLOOKUP(C722,'Data Angt'!$A$5:$B$5809,2,FALSE)</f>
        <v>A2408</v>
      </c>
      <c r="E722" s="40" t="s">
        <v>24054</v>
      </c>
      <c r="F722" s="41">
        <v>45908</v>
      </c>
      <c r="G722" s="38">
        <v>1</v>
      </c>
      <c r="H722" s="40">
        <v>0</v>
      </c>
      <c r="I722" s="38">
        <v>4</v>
      </c>
      <c r="J722" s="41">
        <v>45908</v>
      </c>
      <c r="K722" s="38" t="s">
        <v>10768</v>
      </c>
      <c r="L722" s="42">
        <v>5000000</v>
      </c>
      <c r="O722"/>
    </row>
    <row r="723" spans="1:15" x14ac:dyDescent="0.3">
      <c r="A723" s="37">
        <v>151764</v>
      </c>
      <c r="B723" s="38">
        <v>717</v>
      </c>
      <c r="C723" s="39" t="s">
        <v>5499</v>
      </c>
      <c r="D723" s="10" t="str">
        <f>VLOOKUP(C723,'Data Angt'!$A$5:$B$5809,2,FALSE)</f>
        <v>A2427</v>
      </c>
      <c r="E723" s="40" t="s">
        <v>18184</v>
      </c>
      <c r="F723" s="41">
        <v>45656</v>
      </c>
      <c r="G723" s="38">
        <v>1</v>
      </c>
      <c r="H723" s="40">
        <v>0</v>
      </c>
      <c r="I723" s="38">
        <v>4</v>
      </c>
      <c r="J723" s="41">
        <v>45656</v>
      </c>
      <c r="K723" s="38" t="s">
        <v>10768</v>
      </c>
      <c r="L723" s="42">
        <v>10000000</v>
      </c>
      <c r="O723"/>
    </row>
    <row r="724" spans="1:15" x14ac:dyDescent="0.3">
      <c r="A724" s="37">
        <v>155471</v>
      </c>
      <c r="B724" s="38">
        <v>718</v>
      </c>
      <c r="C724" s="39" t="s">
        <v>5554</v>
      </c>
      <c r="D724" s="10" t="str">
        <f>VLOOKUP(C724,'Data Angt'!$A$5:$B$5809,2,FALSE)</f>
        <v>A2451</v>
      </c>
      <c r="E724" s="40" t="s">
        <v>18186</v>
      </c>
      <c r="F724" s="41">
        <v>45783</v>
      </c>
      <c r="G724" s="38">
        <v>1</v>
      </c>
      <c r="H724" s="40">
        <v>0</v>
      </c>
      <c r="I724" s="38">
        <v>4</v>
      </c>
      <c r="J724" s="41">
        <v>45783</v>
      </c>
      <c r="K724" s="38" t="s">
        <v>10768</v>
      </c>
      <c r="L724" s="42">
        <v>5000000</v>
      </c>
      <c r="O724"/>
    </row>
    <row r="725" spans="1:15" x14ac:dyDescent="0.3">
      <c r="A725" s="37">
        <v>155472</v>
      </c>
      <c r="B725" s="38">
        <v>719</v>
      </c>
      <c r="C725" s="39" t="s">
        <v>5554</v>
      </c>
      <c r="D725" s="10" t="str">
        <f>VLOOKUP(C725,'Data Angt'!$A$5:$B$5809,2,FALSE)</f>
        <v>A2451</v>
      </c>
      <c r="E725" s="40" t="s">
        <v>18187</v>
      </c>
      <c r="F725" s="41">
        <v>45783</v>
      </c>
      <c r="G725" s="38">
        <v>1</v>
      </c>
      <c r="H725" s="40">
        <v>0</v>
      </c>
      <c r="I725" s="38">
        <v>4</v>
      </c>
      <c r="J725" s="41">
        <v>45783</v>
      </c>
      <c r="K725" s="38" t="s">
        <v>10768</v>
      </c>
      <c r="L725" s="42">
        <v>10000000</v>
      </c>
      <c r="O725"/>
    </row>
    <row r="726" spans="1:15" x14ac:dyDescent="0.3">
      <c r="A726" s="37">
        <v>155473</v>
      </c>
      <c r="B726" s="38">
        <v>720</v>
      </c>
      <c r="C726" s="39" t="s">
        <v>5554</v>
      </c>
      <c r="D726" s="10" t="str">
        <f>VLOOKUP(C726,'Data Angt'!$A$5:$B$5809,2,FALSE)</f>
        <v>A2451</v>
      </c>
      <c r="E726" s="40" t="s">
        <v>18188</v>
      </c>
      <c r="F726" s="41">
        <v>45783</v>
      </c>
      <c r="G726" s="38">
        <v>1</v>
      </c>
      <c r="H726" s="40">
        <v>0</v>
      </c>
      <c r="I726" s="38">
        <v>4</v>
      </c>
      <c r="J726" s="41">
        <v>45783</v>
      </c>
      <c r="K726" s="38" t="s">
        <v>10768</v>
      </c>
      <c r="L726" s="42">
        <v>5000000</v>
      </c>
      <c r="O726"/>
    </row>
    <row r="727" spans="1:15" x14ac:dyDescent="0.3">
      <c r="A727" s="37">
        <v>155474</v>
      </c>
      <c r="B727" s="38">
        <v>721</v>
      </c>
      <c r="C727" s="39" t="s">
        <v>5554</v>
      </c>
      <c r="D727" s="10" t="str">
        <f>VLOOKUP(C727,'Data Angt'!$A$5:$B$5809,2,FALSE)</f>
        <v>A2451</v>
      </c>
      <c r="E727" s="40" t="s">
        <v>18189</v>
      </c>
      <c r="F727" s="41">
        <v>45783</v>
      </c>
      <c r="G727" s="38">
        <v>1</v>
      </c>
      <c r="H727" s="40">
        <v>0</v>
      </c>
      <c r="I727" s="38">
        <v>4</v>
      </c>
      <c r="J727" s="41">
        <v>45783</v>
      </c>
      <c r="K727" s="38" t="s">
        <v>10768</v>
      </c>
      <c r="L727" s="42">
        <v>5000000</v>
      </c>
      <c r="O727"/>
    </row>
    <row r="728" spans="1:15" x14ac:dyDescent="0.3">
      <c r="A728" s="37">
        <v>155475</v>
      </c>
      <c r="B728" s="38">
        <v>722</v>
      </c>
      <c r="C728" s="39" t="s">
        <v>5554</v>
      </c>
      <c r="D728" s="10" t="str">
        <f>VLOOKUP(C728,'Data Angt'!$A$5:$B$5809,2,FALSE)</f>
        <v>A2451</v>
      </c>
      <c r="E728" s="40" t="s">
        <v>18190</v>
      </c>
      <c r="F728" s="41">
        <v>45783</v>
      </c>
      <c r="G728" s="38">
        <v>1</v>
      </c>
      <c r="H728" s="40">
        <v>0</v>
      </c>
      <c r="I728" s="38">
        <v>4</v>
      </c>
      <c r="J728" s="41">
        <v>45783</v>
      </c>
      <c r="K728" s="38" t="s">
        <v>10768</v>
      </c>
      <c r="L728" s="42">
        <v>10000000</v>
      </c>
      <c r="O728"/>
    </row>
    <row r="729" spans="1:15" x14ac:dyDescent="0.3">
      <c r="A729" s="37">
        <v>78305</v>
      </c>
      <c r="B729" s="38">
        <v>723</v>
      </c>
      <c r="C729" s="39" t="s">
        <v>5554</v>
      </c>
      <c r="D729" s="10" t="str">
        <f>VLOOKUP(C729,'Data Angt'!$A$5:$B$5809,2,FALSE)</f>
        <v>A2451</v>
      </c>
      <c r="E729" s="40" t="s">
        <v>11562</v>
      </c>
      <c r="F729" s="41">
        <v>43087</v>
      </c>
      <c r="G729" s="38">
        <v>1</v>
      </c>
      <c r="H729" s="40">
        <v>0</v>
      </c>
      <c r="I729" s="38">
        <v>4</v>
      </c>
      <c r="J729" s="41">
        <v>43087</v>
      </c>
      <c r="K729" s="38" t="s">
        <v>10768</v>
      </c>
      <c r="L729" s="42">
        <v>10000000</v>
      </c>
      <c r="O729"/>
    </row>
    <row r="730" spans="1:15" x14ac:dyDescent="0.3">
      <c r="A730" s="37">
        <v>121814</v>
      </c>
      <c r="B730" s="38">
        <v>724</v>
      </c>
      <c r="C730" s="39" t="s">
        <v>5554</v>
      </c>
      <c r="D730" s="10" t="str">
        <f>VLOOKUP(C730,'Data Angt'!$A$5:$B$5809,2,FALSE)</f>
        <v>A2451</v>
      </c>
      <c r="E730" s="40" t="s">
        <v>11561</v>
      </c>
      <c r="F730" s="41">
        <v>43902</v>
      </c>
      <c r="G730" s="38">
        <v>1</v>
      </c>
      <c r="H730" s="40">
        <v>0</v>
      </c>
      <c r="I730" s="38">
        <v>4</v>
      </c>
      <c r="J730" s="41">
        <v>43902</v>
      </c>
      <c r="K730" s="38" t="s">
        <v>10768</v>
      </c>
      <c r="L730" s="42">
        <v>5000000</v>
      </c>
      <c r="O730"/>
    </row>
    <row r="731" spans="1:15" x14ac:dyDescent="0.3">
      <c r="A731" s="37">
        <v>129125</v>
      </c>
      <c r="B731" s="38">
        <v>725</v>
      </c>
      <c r="C731" s="39" t="s">
        <v>5554</v>
      </c>
      <c r="D731" s="10" t="str">
        <f>VLOOKUP(C731,'Data Angt'!$A$5:$B$5809,2,FALSE)</f>
        <v>A2451</v>
      </c>
      <c r="E731" s="40" t="s">
        <v>11564</v>
      </c>
      <c r="F731" s="41">
        <v>44403</v>
      </c>
      <c r="G731" s="38">
        <v>1</v>
      </c>
      <c r="H731" s="40">
        <v>0</v>
      </c>
      <c r="I731" s="38">
        <v>4</v>
      </c>
      <c r="J731" s="41">
        <v>44403</v>
      </c>
      <c r="K731" s="38" t="s">
        <v>10768</v>
      </c>
      <c r="L731" s="42">
        <v>5000000</v>
      </c>
      <c r="O731"/>
    </row>
    <row r="732" spans="1:15" x14ac:dyDescent="0.3">
      <c r="A732" s="37">
        <v>129126</v>
      </c>
      <c r="B732" s="38">
        <v>726</v>
      </c>
      <c r="C732" s="39" t="s">
        <v>5554</v>
      </c>
      <c r="D732" s="10" t="str">
        <f>VLOOKUP(C732,'Data Angt'!$A$5:$B$5809,2,FALSE)</f>
        <v>A2451</v>
      </c>
      <c r="E732" s="40" t="s">
        <v>11563</v>
      </c>
      <c r="F732" s="41">
        <v>44403</v>
      </c>
      <c r="G732" s="38">
        <v>1</v>
      </c>
      <c r="H732" s="40">
        <v>0</v>
      </c>
      <c r="I732" s="38">
        <v>4</v>
      </c>
      <c r="J732" s="41">
        <v>44403</v>
      </c>
      <c r="K732" s="38" t="s">
        <v>10768</v>
      </c>
      <c r="L732" s="42">
        <v>10000000</v>
      </c>
      <c r="O732"/>
    </row>
    <row r="733" spans="1:15" x14ac:dyDescent="0.3">
      <c r="A733" s="37">
        <v>142287</v>
      </c>
      <c r="B733" s="38">
        <v>727</v>
      </c>
      <c r="C733" s="39" t="s">
        <v>5554</v>
      </c>
      <c r="D733" s="10" t="str">
        <f>VLOOKUP(C733,'Data Angt'!$A$5:$B$5809,2,FALSE)</f>
        <v>A2451</v>
      </c>
      <c r="E733" s="40" t="s">
        <v>18185</v>
      </c>
      <c r="F733" s="41">
        <v>45322</v>
      </c>
      <c r="G733" s="38">
        <v>1</v>
      </c>
      <c r="H733" s="40">
        <v>0</v>
      </c>
      <c r="I733" s="38">
        <v>4</v>
      </c>
      <c r="J733" s="41">
        <v>45322</v>
      </c>
      <c r="K733" s="38" t="s">
        <v>10768</v>
      </c>
      <c r="L733" s="42">
        <v>5000000</v>
      </c>
      <c r="O733"/>
    </row>
    <row r="734" spans="1:15" x14ac:dyDescent="0.3">
      <c r="A734" s="37">
        <v>144305</v>
      </c>
      <c r="B734" s="38">
        <v>728</v>
      </c>
      <c r="C734" s="39" t="s">
        <v>5581</v>
      </c>
      <c r="D734" s="10" t="str">
        <f>VLOOKUP(C734,'Data Angt'!$A$5:$B$5809,2,FALSE)</f>
        <v>A2465</v>
      </c>
      <c r="E734" s="40" t="s">
        <v>18191</v>
      </c>
      <c r="F734" s="41">
        <v>45400</v>
      </c>
      <c r="G734" s="38">
        <v>1</v>
      </c>
      <c r="H734" s="40">
        <v>0</v>
      </c>
      <c r="I734" s="38">
        <v>4</v>
      </c>
      <c r="J734" s="41">
        <v>45400</v>
      </c>
      <c r="K734" s="38" t="s">
        <v>10768</v>
      </c>
      <c r="L734" s="42">
        <v>20000000</v>
      </c>
      <c r="O734"/>
    </row>
    <row r="735" spans="1:15" x14ac:dyDescent="0.3">
      <c r="A735" s="37">
        <v>78105</v>
      </c>
      <c r="B735" s="38">
        <v>729</v>
      </c>
      <c r="C735" s="39" t="s">
        <v>5621</v>
      </c>
      <c r="D735" s="10" t="str">
        <f>VLOOKUP(C735,'Data Angt'!$A$5:$B$5809,2,FALSE)</f>
        <v>A2483</v>
      </c>
      <c r="E735" s="40" t="s">
        <v>11558</v>
      </c>
      <c r="F735" s="41">
        <v>42768</v>
      </c>
      <c r="G735" s="38">
        <v>1</v>
      </c>
      <c r="H735" s="40">
        <v>0</v>
      </c>
      <c r="I735" s="38">
        <v>4</v>
      </c>
      <c r="J735" s="41">
        <v>42768</v>
      </c>
      <c r="K735" s="38" t="s">
        <v>10768</v>
      </c>
      <c r="L735" s="42">
        <v>20000000</v>
      </c>
      <c r="O735"/>
    </row>
    <row r="736" spans="1:15" x14ac:dyDescent="0.3">
      <c r="A736" s="37">
        <v>113213</v>
      </c>
      <c r="B736" s="38">
        <v>730</v>
      </c>
      <c r="C736" s="39" t="s">
        <v>5621</v>
      </c>
      <c r="D736" s="10" t="str">
        <f>VLOOKUP(C736,'Data Angt'!$A$5:$B$5809,2,FALSE)</f>
        <v>A2483</v>
      </c>
      <c r="E736" s="40" t="s">
        <v>11560</v>
      </c>
      <c r="F736" s="41">
        <v>43640</v>
      </c>
      <c r="G736" s="38">
        <v>1</v>
      </c>
      <c r="H736" s="40">
        <v>0</v>
      </c>
      <c r="I736" s="38">
        <v>4</v>
      </c>
      <c r="J736" s="41">
        <v>43640</v>
      </c>
      <c r="K736" s="38" t="s">
        <v>10768</v>
      </c>
      <c r="L736" s="42">
        <v>10000000</v>
      </c>
      <c r="O736"/>
    </row>
    <row r="737" spans="1:15" x14ac:dyDescent="0.3">
      <c r="A737" s="37">
        <v>141092</v>
      </c>
      <c r="B737" s="38">
        <v>731</v>
      </c>
      <c r="C737" s="39" t="s">
        <v>5621</v>
      </c>
      <c r="D737" s="10" t="str">
        <f>VLOOKUP(C737,'Data Angt'!$A$5:$B$5809,2,FALSE)</f>
        <v>A2483</v>
      </c>
      <c r="E737" s="40" t="s">
        <v>11559</v>
      </c>
      <c r="F737" s="41">
        <v>45276</v>
      </c>
      <c r="G737" s="38">
        <v>1</v>
      </c>
      <c r="H737" s="40">
        <v>0</v>
      </c>
      <c r="I737" s="38">
        <v>4</v>
      </c>
      <c r="J737" s="41">
        <v>45276</v>
      </c>
      <c r="K737" s="38" t="s">
        <v>10768</v>
      </c>
      <c r="L737" s="42">
        <v>35000000</v>
      </c>
      <c r="O737"/>
    </row>
    <row r="738" spans="1:15" x14ac:dyDescent="0.3">
      <c r="A738" s="37">
        <v>152221</v>
      </c>
      <c r="B738" s="38">
        <v>732</v>
      </c>
      <c r="C738" s="39" t="s">
        <v>5654</v>
      </c>
      <c r="D738" s="10" t="str">
        <f>VLOOKUP(C738,'Data Angt'!$A$5:$B$5809,2,FALSE)</f>
        <v>A2495</v>
      </c>
      <c r="E738" s="40" t="s">
        <v>18192</v>
      </c>
      <c r="F738" s="41">
        <v>45673</v>
      </c>
      <c r="G738" s="38">
        <v>1</v>
      </c>
      <c r="H738" s="40">
        <v>0</v>
      </c>
      <c r="I738" s="38">
        <v>4</v>
      </c>
      <c r="J738" s="41">
        <v>45673</v>
      </c>
      <c r="K738" s="38" t="s">
        <v>10768</v>
      </c>
      <c r="L738" s="42">
        <v>1000000</v>
      </c>
      <c r="O738"/>
    </row>
    <row r="739" spans="1:15" x14ac:dyDescent="0.3">
      <c r="A739" s="37">
        <v>132148</v>
      </c>
      <c r="B739" s="38">
        <v>733</v>
      </c>
      <c r="C739" s="39" t="s">
        <v>5661</v>
      </c>
      <c r="D739" s="10" t="str">
        <f>VLOOKUP(C739,'Data Angt'!$A$5:$B$5809,2,FALSE)</f>
        <v>A2498</v>
      </c>
      <c r="E739" s="40" t="s">
        <v>11557</v>
      </c>
      <c r="F739" s="41">
        <v>44637</v>
      </c>
      <c r="G739" s="38">
        <v>1</v>
      </c>
      <c r="H739" s="40">
        <v>0</v>
      </c>
      <c r="I739" s="38">
        <v>4</v>
      </c>
      <c r="J739" s="41">
        <v>44637</v>
      </c>
      <c r="K739" s="38" t="s">
        <v>10768</v>
      </c>
      <c r="L739" s="42">
        <v>54000000</v>
      </c>
      <c r="O739"/>
    </row>
    <row r="740" spans="1:15" x14ac:dyDescent="0.3">
      <c r="A740" s="37">
        <v>132149</v>
      </c>
      <c r="B740" s="38">
        <v>734</v>
      </c>
      <c r="C740" s="39" t="s">
        <v>5661</v>
      </c>
      <c r="D740" s="10" t="str">
        <f>VLOOKUP(C740,'Data Angt'!$A$5:$B$5809,2,FALSE)</f>
        <v>A2498</v>
      </c>
      <c r="E740" s="40" t="s">
        <v>11556</v>
      </c>
      <c r="F740" s="41">
        <v>44637</v>
      </c>
      <c r="G740" s="38">
        <v>1</v>
      </c>
      <c r="H740" s="40">
        <v>0</v>
      </c>
      <c r="I740" s="38">
        <v>4</v>
      </c>
      <c r="J740" s="41">
        <v>44637</v>
      </c>
      <c r="K740" s="38" t="s">
        <v>10768</v>
      </c>
      <c r="L740" s="42">
        <v>54000000</v>
      </c>
      <c r="O740"/>
    </row>
    <row r="741" spans="1:15" x14ac:dyDescent="0.3">
      <c r="A741" s="37">
        <v>132553</v>
      </c>
      <c r="B741" s="38">
        <v>735</v>
      </c>
      <c r="C741" s="39" t="s">
        <v>5661</v>
      </c>
      <c r="D741" s="10" t="str">
        <f>VLOOKUP(C741,'Data Angt'!$A$5:$B$5809,2,FALSE)</f>
        <v>A2498</v>
      </c>
      <c r="E741" s="40" t="s">
        <v>11555</v>
      </c>
      <c r="F741" s="41">
        <v>44660</v>
      </c>
      <c r="G741" s="38">
        <v>1</v>
      </c>
      <c r="H741" s="40">
        <v>0</v>
      </c>
      <c r="I741" s="38">
        <v>4</v>
      </c>
      <c r="J741" s="41">
        <v>44660</v>
      </c>
      <c r="K741" s="38" t="s">
        <v>10768</v>
      </c>
      <c r="L741" s="42">
        <v>24000000</v>
      </c>
      <c r="O741"/>
    </row>
    <row r="742" spans="1:15" x14ac:dyDescent="0.3">
      <c r="A742" s="37">
        <v>133485</v>
      </c>
      <c r="B742" s="38">
        <v>736</v>
      </c>
      <c r="C742" s="39" t="s">
        <v>5661</v>
      </c>
      <c r="D742" s="10" t="str">
        <f>VLOOKUP(C742,'Data Angt'!$A$5:$B$5809,2,FALSE)</f>
        <v>A2498</v>
      </c>
      <c r="E742" s="40" t="s">
        <v>11554</v>
      </c>
      <c r="F742" s="41">
        <v>44744</v>
      </c>
      <c r="G742" s="38">
        <v>1</v>
      </c>
      <c r="H742" s="40">
        <v>0</v>
      </c>
      <c r="I742" s="38">
        <v>4</v>
      </c>
      <c r="J742" s="41">
        <v>44744</v>
      </c>
      <c r="K742" s="38" t="s">
        <v>10768</v>
      </c>
      <c r="L742" s="42">
        <v>24000000</v>
      </c>
      <c r="O742"/>
    </row>
    <row r="743" spans="1:15" x14ac:dyDescent="0.3">
      <c r="A743" s="37">
        <v>152623</v>
      </c>
      <c r="B743" s="38">
        <v>737</v>
      </c>
      <c r="C743" s="39" t="s">
        <v>5661</v>
      </c>
      <c r="D743" s="10" t="str">
        <f>VLOOKUP(C743,'Data Angt'!$A$5:$B$5809,2,FALSE)</f>
        <v>A2498</v>
      </c>
      <c r="E743" s="40" t="s">
        <v>18193</v>
      </c>
      <c r="F743" s="41">
        <v>45688</v>
      </c>
      <c r="G743" s="38">
        <v>1</v>
      </c>
      <c r="H743" s="40">
        <v>0</v>
      </c>
      <c r="I743" s="38">
        <v>4</v>
      </c>
      <c r="J743" s="41">
        <v>45688</v>
      </c>
      <c r="K743" s="38" t="s">
        <v>10768</v>
      </c>
      <c r="L743" s="42">
        <v>15000000</v>
      </c>
      <c r="O743"/>
    </row>
    <row r="744" spans="1:15" x14ac:dyDescent="0.3">
      <c r="A744" s="37">
        <v>78314</v>
      </c>
      <c r="B744" s="38">
        <v>738</v>
      </c>
      <c r="C744" s="39" t="s">
        <v>12394</v>
      </c>
      <c r="D744" s="10" t="str">
        <f>VLOOKUP(C744,'Data Angt'!$A$5:$B$5809,2,FALSE)</f>
        <v>A2501</v>
      </c>
      <c r="E744" s="40" t="s">
        <v>11553</v>
      </c>
      <c r="F744" s="41">
        <v>43090</v>
      </c>
      <c r="G744" s="38">
        <v>1</v>
      </c>
      <c r="H744" s="40">
        <v>0</v>
      </c>
      <c r="I744" s="38">
        <v>4</v>
      </c>
      <c r="J744" s="41">
        <v>43090</v>
      </c>
      <c r="K744" s="38" t="s">
        <v>10768</v>
      </c>
      <c r="L744" s="42">
        <v>10000000</v>
      </c>
      <c r="O744"/>
    </row>
    <row r="745" spans="1:15" x14ac:dyDescent="0.3">
      <c r="A745" s="37">
        <v>119571</v>
      </c>
      <c r="B745" s="38">
        <v>739</v>
      </c>
      <c r="C745" s="39" t="s">
        <v>12394</v>
      </c>
      <c r="D745" s="10" t="str">
        <f>VLOOKUP(C745,'Data Angt'!$A$5:$B$5809,2,FALSE)</f>
        <v>A2501</v>
      </c>
      <c r="E745" s="40" t="s">
        <v>11552</v>
      </c>
      <c r="F745" s="41">
        <v>43840</v>
      </c>
      <c r="G745" s="38">
        <v>1</v>
      </c>
      <c r="H745" s="40">
        <v>0</v>
      </c>
      <c r="I745" s="38">
        <v>4</v>
      </c>
      <c r="J745" s="41">
        <v>43840</v>
      </c>
      <c r="K745" s="38" t="s">
        <v>10768</v>
      </c>
      <c r="L745" s="42">
        <v>10000000</v>
      </c>
      <c r="O745"/>
    </row>
    <row r="746" spans="1:15" x14ac:dyDescent="0.3">
      <c r="A746" s="37">
        <v>132077</v>
      </c>
      <c r="B746" s="38">
        <v>740</v>
      </c>
      <c r="C746" s="39" t="s">
        <v>12394</v>
      </c>
      <c r="D746" s="10" t="str">
        <f>VLOOKUP(C746,'Data Angt'!$A$5:$B$5809,2,FALSE)</f>
        <v>A2501</v>
      </c>
      <c r="E746" s="40" t="s">
        <v>11551</v>
      </c>
      <c r="F746" s="41">
        <v>44632</v>
      </c>
      <c r="G746" s="38">
        <v>1</v>
      </c>
      <c r="H746" s="40">
        <v>0</v>
      </c>
      <c r="I746" s="38">
        <v>4</v>
      </c>
      <c r="J746" s="41">
        <v>44632</v>
      </c>
      <c r="K746" s="38" t="s">
        <v>10768</v>
      </c>
      <c r="L746" s="42">
        <v>10000000</v>
      </c>
      <c r="O746"/>
    </row>
    <row r="747" spans="1:15" x14ac:dyDescent="0.3">
      <c r="A747" s="37">
        <v>135937</v>
      </c>
      <c r="B747" s="38">
        <v>741</v>
      </c>
      <c r="C747" s="39" t="s">
        <v>12394</v>
      </c>
      <c r="D747" s="10" t="str">
        <f>VLOOKUP(C747,'Data Angt'!$A$5:$B$5809,2,FALSE)</f>
        <v>A2501</v>
      </c>
      <c r="E747" s="40" t="s">
        <v>11550</v>
      </c>
      <c r="F747" s="41">
        <v>44938</v>
      </c>
      <c r="G747" s="38">
        <v>1</v>
      </c>
      <c r="H747" s="40">
        <v>0</v>
      </c>
      <c r="I747" s="38">
        <v>4</v>
      </c>
      <c r="J747" s="41">
        <v>44938</v>
      </c>
      <c r="K747" s="38" t="s">
        <v>10768</v>
      </c>
      <c r="L747" s="42">
        <v>10000000</v>
      </c>
      <c r="O747"/>
    </row>
    <row r="748" spans="1:15" x14ac:dyDescent="0.3">
      <c r="A748" s="37">
        <v>141839</v>
      </c>
      <c r="B748" s="38">
        <v>742</v>
      </c>
      <c r="C748" s="39" t="s">
        <v>12394</v>
      </c>
      <c r="D748" s="10" t="str">
        <f>VLOOKUP(C748,'Data Angt'!$A$5:$B$5809,2,FALSE)</f>
        <v>A2501</v>
      </c>
      <c r="E748" s="40" t="s">
        <v>18194</v>
      </c>
      <c r="F748" s="41">
        <v>45307</v>
      </c>
      <c r="G748" s="38">
        <v>1</v>
      </c>
      <c r="H748" s="40">
        <v>0</v>
      </c>
      <c r="I748" s="38">
        <v>4</v>
      </c>
      <c r="J748" s="41">
        <v>45307</v>
      </c>
      <c r="K748" s="38" t="s">
        <v>10768</v>
      </c>
      <c r="L748" s="42">
        <v>20000000</v>
      </c>
      <c r="O748"/>
    </row>
    <row r="749" spans="1:15" x14ac:dyDescent="0.3">
      <c r="A749" s="37">
        <v>153518</v>
      </c>
      <c r="B749" s="38">
        <v>743</v>
      </c>
      <c r="C749" s="39" t="s">
        <v>12394</v>
      </c>
      <c r="D749" s="10" t="str">
        <f>VLOOKUP(C749,'Data Angt'!$A$5:$B$5809,2,FALSE)</f>
        <v>A2501</v>
      </c>
      <c r="E749" s="40" t="s">
        <v>18195</v>
      </c>
      <c r="F749" s="41">
        <v>45707</v>
      </c>
      <c r="G749" s="38">
        <v>1</v>
      </c>
      <c r="H749" s="40">
        <v>0</v>
      </c>
      <c r="I749" s="38">
        <v>4</v>
      </c>
      <c r="J749" s="41">
        <v>45707</v>
      </c>
      <c r="K749" s="38" t="s">
        <v>10768</v>
      </c>
      <c r="L749" s="42">
        <v>10000000</v>
      </c>
      <c r="O749"/>
    </row>
    <row r="750" spans="1:15" x14ac:dyDescent="0.3">
      <c r="A750" s="37">
        <v>156294</v>
      </c>
      <c r="B750" s="38">
        <v>744</v>
      </c>
      <c r="C750" s="39" t="s">
        <v>12394</v>
      </c>
      <c r="D750" s="10" t="str">
        <f>VLOOKUP(C750,'Data Angt'!$A$5:$B$5809,2,FALSE)</f>
        <v>A2501</v>
      </c>
      <c r="E750" s="40" t="s">
        <v>18196</v>
      </c>
      <c r="F750" s="41">
        <v>45818</v>
      </c>
      <c r="G750" s="38">
        <v>1</v>
      </c>
      <c r="H750" s="40">
        <v>0</v>
      </c>
      <c r="I750" s="38">
        <v>4</v>
      </c>
      <c r="J750" s="41">
        <v>45818</v>
      </c>
      <c r="K750" s="38" t="s">
        <v>10768</v>
      </c>
      <c r="L750" s="42">
        <v>30000000</v>
      </c>
      <c r="O750"/>
    </row>
    <row r="751" spans="1:15" x14ac:dyDescent="0.3">
      <c r="A751" s="37">
        <v>132078</v>
      </c>
      <c r="B751" s="38">
        <v>745</v>
      </c>
      <c r="C751" s="39" t="s">
        <v>12395</v>
      </c>
      <c r="D751" s="10" t="str">
        <f>VLOOKUP(C751,'Data Angt'!$A$5:$B$5809,2,FALSE)</f>
        <v>A2502</v>
      </c>
      <c r="E751" s="40" t="s">
        <v>11546</v>
      </c>
      <c r="F751" s="41">
        <v>44632</v>
      </c>
      <c r="G751" s="38">
        <v>1</v>
      </c>
      <c r="H751" s="40">
        <v>0</v>
      </c>
      <c r="I751" s="38">
        <v>4</v>
      </c>
      <c r="J751" s="41">
        <v>44632</v>
      </c>
      <c r="K751" s="38" t="s">
        <v>10768</v>
      </c>
      <c r="L751" s="42">
        <v>10000000</v>
      </c>
      <c r="O751"/>
    </row>
    <row r="752" spans="1:15" x14ac:dyDescent="0.3">
      <c r="A752" s="37">
        <v>135936</v>
      </c>
      <c r="B752" s="38">
        <v>746</v>
      </c>
      <c r="C752" s="39" t="s">
        <v>12395</v>
      </c>
      <c r="D752" s="10" t="str">
        <f>VLOOKUP(C752,'Data Angt'!$A$5:$B$5809,2,FALSE)</f>
        <v>A2502</v>
      </c>
      <c r="E752" s="40" t="s">
        <v>11549</v>
      </c>
      <c r="F752" s="41">
        <v>44938</v>
      </c>
      <c r="G752" s="38">
        <v>1</v>
      </c>
      <c r="H752" s="40">
        <v>0</v>
      </c>
      <c r="I752" s="38">
        <v>4</v>
      </c>
      <c r="J752" s="41">
        <v>44938</v>
      </c>
      <c r="K752" s="38" t="s">
        <v>10768</v>
      </c>
      <c r="L752" s="42">
        <v>10000000</v>
      </c>
      <c r="O752"/>
    </row>
    <row r="753" spans="1:15" x14ac:dyDescent="0.3">
      <c r="A753" s="37">
        <v>141838</v>
      </c>
      <c r="B753" s="38">
        <v>747</v>
      </c>
      <c r="C753" s="39" t="s">
        <v>12395</v>
      </c>
      <c r="D753" s="10" t="str">
        <f>VLOOKUP(C753,'Data Angt'!$A$5:$B$5809,2,FALSE)</f>
        <v>A2502</v>
      </c>
      <c r="E753" s="40" t="s">
        <v>18197</v>
      </c>
      <c r="F753" s="41">
        <v>45307</v>
      </c>
      <c r="G753" s="38">
        <v>1</v>
      </c>
      <c r="H753" s="40">
        <v>0</v>
      </c>
      <c r="I753" s="38">
        <v>4</v>
      </c>
      <c r="J753" s="41">
        <v>45307</v>
      </c>
      <c r="K753" s="38" t="s">
        <v>10768</v>
      </c>
      <c r="L753" s="42">
        <v>20000000</v>
      </c>
      <c r="O753"/>
    </row>
    <row r="754" spans="1:15" x14ac:dyDescent="0.3">
      <c r="A754" s="37">
        <v>153517</v>
      </c>
      <c r="B754" s="38">
        <v>748</v>
      </c>
      <c r="C754" s="39" t="s">
        <v>12395</v>
      </c>
      <c r="D754" s="10" t="str">
        <f>VLOOKUP(C754,'Data Angt'!$A$5:$B$5809,2,FALSE)</f>
        <v>A2502</v>
      </c>
      <c r="E754" s="40" t="s">
        <v>18198</v>
      </c>
      <c r="F754" s="41">
        <v>45707</v>
      </c>
      <c r="G754" s="38">
        <v>1</v>
      </c>
      <c r="H754" s="40">
        <v>0</v>
      </c>
      <c r="I754" s="38">
        <v>4</v>
      </c>
      <c r="J754" s="41">
        <v>45707</v>
      </c>
      <c r="K754" s="38" t="s">
        <v>10768</v>
      </c>
      <c r="L754" s="42">
        <v>10000000</v>
      </c>
      <c r="O754"/>
    </row>
    <row r="755" spans="1:15" x14ac:dyDescent="0.3">
      <c r="A755" s="37">
        <v>156293</v>
      </c>
      <c r="B755" s="38">
        <v>749</v>
      </c>
      <c r="C755" s="39" t="s">
        <v>12395</v>
      </c>
      <c r="D755" s="10" t="str">
        <f>VLOOKUP(C755,'Data Angt'!$A$5:$B$5809,2,FALSE)</f>
        <v>A2502</v>
      </c>
      <c r="E755" s="40" t="s">
        <v>18199</v>
      </c>
      <c r="F755" s="41">
        <v>45818</v>
      </c>
      <c r="G755" s="38">
        <v>1</v>
      </c>
      <c r="H755" s="40">
        <v>0</v>
      </c>
      <c r="I755" s="38">
        <v>4</v>
      </c>
      <c r="J755" s="41">
        <v>45818</v>
      </c>
      <c r="K755" s="38" t="s">
        <v>10768</v>
      </c>
      <c r="L755" s="42">
        <v>30000000</v>
      </c>
      <c r="O755"/>
    </row>
    <row r="756" spans="1:15" x14ac:dyDescent="0.3">
      <c r="A756" s="37">
        <v>78315</v>
      </c>
      <c r="B756" s="38">
        <v>750</v>
      </c>
      <c r="C756" s="39" t="s">
        <v>12395</v>
      </c>
      <c r="D756" s="10" t="str">
        <f>VLOOKUP(C756,'Data Angt'!$A$5:$B$5809,2,FALSE)</f>
        <v>A2502</v>
      </c>
      <c r="E756" s="40" t="s">
        <v>11548</v>
      </c>
      <c r="F756" s="41">
        <v>43090</v>
      </c>
      <c r="G756" s="38">
        <v>1</v>
      </c>
      <c r="H756" s="40">
        <v>0</v>
      </c>
      <c r="I756" s="38">
        <v>4</v>
      </c>
      <c r="J756" s="41">
        <v>43090</v>
      </c>
      <c r="K756" s="38" t="s">
        <v>10768</v>
      </c>
      <c r="L756" s="42">
        <v>10000000</v>
      </c>
      <c r="O756"/>
    </row>
    <row r="757" spans="1:15" x14ac:dyDescent="0.3">
      <c r="A757" s="37">
        <v>119572</v>
      </c>
      <c r="B757" s="38">
        <v>751</v>
      </c>
      <c r="C757" s="39" t="s">
        <v>12395</v>
      </c>
      <c r="D757" s="10" t="str">
        <f>VLOOKUP(C757,'Data Angt'!$A$5:$B$5809,2,FALSE)</f>
        <v>A2502</v>
      </c>
      <c r="E757" s="40" t="s">
        <v>11547</v>
      </c>
      <c r="F757" s="41">
        <v>43840</v>
      </c>
      <c r="G757" s="38">
        <v>1</v>
      </c>
      <c r="H757" s="40">
        <v>0</v>
      </c>
      <c r="I757" s="38">
        <v>4</v>
      </c>
      <c r="J757" s="41">
        <v>43840</v>
      </c>
      <c r="K757" s="38" t="s">
        <v>10768</v>
      </c>
      <c r="L757" s="42">
        <v>10000000</v>
      </c>
      <c r="O757"/>
    </row>
    <row r="758" spans="1:15" x14ac:dyDescent="0.3">
      <c r="A758" s="37">
        <v>157726</v>
      </c>
      <c r="B758" s="38">
        <v>752</v>
      </c>
      <c r="C758" s="39" t="s">
        <v>5676</v>
      </c>
      <c r="D758" s="10" t="str">
        <f>VLOOKUP(C758,'Data Angt'!$A$5:$B$5809,2,FALSE)</f>
        <v>A2506</v>
      </c>
      <c r="E758" s="40" t="s">
        <v>24055</v>
      </c>
      <c r="F758" s="41">
        <v>45880</v>
      </c>
      <c r="G758" s="38">
        <v>1</v>
      </c>
      <c r="H758" s="40">
        <v>0</v>
      </c>
      <c r="I758" s="38">
        <v>4</v>
      </c>
      <c r="J758" s="41">
        <v>45880</v>
      </c>
      <c r="K758" s="38" t="s">
        <v>10768</v>
      </c>
      <c r="L758" s="42">
        <v>30000000</v>
      </c>
      <c r="O758"/>
    </row>
    <row r="759" spans="1:15" x14ac:dyDescent="0.3">
      <c r="A759" s="37">
        <v>158374</v>
      </c>
      <c r="B759" s="38">
        <v>753</v>
      </c>
      <c r="C759" s="39" t="s">
        <v>5676</v>
      </c>
      <c r="D759" s="10" t="str">
        <f>VLOOKUP(C759,'Data Angt'!$A$5:$B$5809,2,FALSE)</f>
        <v>A2506</v>
      </c>
      <c r="E759" s="40" t="s">
        <v>24056</v>
      </c>
      <c r="F759" s="41">
        <v>45908</v>
      </c>
      <c r="G759" s="38">
        <v>1</v>
      </c>
      <c r="H759" s="40">
        <v>0</v>
      </c>
      <c r="I759" s="38">
        <v>4</v>
      </c>
      <c r="J759" s="41">
        <v>45908</v>
      </c>
      <c r="K759" s="38" t="s">
        <v>10768</v>
      </c>
      <c r="L759" s="42">
        <v>30000000</v>
      </c>
      <c r="O759"/>
    </row>
    <row r="760" spans="1:15" x14ac:dyDescent="0.3">
      <c r="A760" s="37">
        <v>156100</v>
      </c>
      <c r="B760" s="38">
        <v>754</v>
      </c>
      <c r="C760" s="39" t="s">
        <v>5676</v>
      </c>
      <c r="D760" s="10" t="str">
        <f>VLOOKUP(C760,'Data Angt'!$A$5:$B$5809,2,FALSE)</f>
        <v>A2506</v>
      </c>
      <c r="E760" s="40" t="s">
        <v>18200</v>
      </c>
      <c r="F760" s="41">
        <v>45807</v>
      </c>
      <c r="G760" s="38">
        <v>1</v>
      </c>
      <c r="H760" s="40">
        <v>0</v>
      </c>
      <c r="I760" s="38">
        <v>4</v>
      </c>
      <c r="J760" s="41">
        <v>45807</v>
      </c>
      <c r="K760" s="38" t="s">
        <v>10768</v>
      </c>
      <c r="L760" s="42">
        <v>20000000</v>
      </c>
      <c r="O760"/>
    </row>
    <row r="761" spans="1:15" x14ac:dyDescent="0.3">
      <c r="A761" s="37">
        <v>156165</v>
      </c>
      <c r="B761" s="38">
        <v>755</v>
      </c>
      <c r="C761" s="39" t="s">
        <v>5676</v>
      </c>
      <c r="D761" s="10" t="str">
        <f>VLOOKUP(C761,'Data Angt'!$A$5:$B$5809,2,FALSE)</f>
        <v>A2506</v>
      </c>
      <c r="E761" s="40" t="s">
        <v>18201</v>
      </c>
      <c r="F761" s="41">
        <v>45810</v>
      </c>
      <c r="G761" s="38">
        <v>1</v>
      </c>
      <c r="H761" s="40">
        <v>0</v>
      </c>
      <c r="I761" s="38">
        <v>4</v>
      </c>
      <c r="J761" s="41">
        <v>45810</v>
      </c>
      <c r="K761" s="38" t="s">
        <v>10768</v>
      </c>
      <c r="L761" s="42">
        <v>30000000</v>
      </c>
      <c r="O761"/>
    </row>
    <row r="762" spans="1:15" x14ac:dyDescent="0.3">
      <c r="A762" s="37">
        <v>157591</v>
      </c>
      <c r="B762" s="38">
        <v>756</v>
      </c>
      <c r="C762" s="39" t="s">
        <v>5676</v>
      </c>
      <c r="D762" s="10" t="str">
        <f>VLOOKUP(C762,'Data Angt'!$A$5:$B$5809,2,FALSE)</f>
        <v>A2506</v>
      </c>
      <c r="E762" s="40" t="s">
        <v>24057</v>
      </c>
      <c r="F762" s="41">
        <v>45875</v>
      </c>
      <c r="G762" s="38">
        <v>1</v>
      </c>
      <c r="H762" s="40">
        <v>0</v>
      </c>
      <c r="I762" s="38">
        <v>4</v>
      </c>
      <c r="J762" s="41">
        <v>45875</v>
      </c>
      <c r="K762" s="38" t="s">
        <v>10768</v>
      </c>
      <c r="L762" s="42">
        <v>50000000</v>
      </c>
      <c r="O762"/>
    </row>
    <row r="763" spans="1:15" x14ac:dyDescent="0.3">
      <c r="A763" s="37">
        <v>144632</v>
      </c>
      <c r="B763" s="38">
        <v>757</v>
      </c>
      <c r="C763" s="39" t="s">
        <v>5700</v>
      </c>
      <c r="D763" s="10" t="str">
        <f>VLOOKUP(C763,'Data Angt'!$A$5:$B$5809,2,FALSE)</f>
        <v>A2515</v>
      </c>
      <c r="E763" s="40" t="s">
        <v>18203</v>
      </c>
      <c r="F763" s="41">
        <v>45416</v>
      </c>
      <c r="G763" s="38">
        <v>1</v>
      </c>
      <c r="H763" s="40">
        <v>0</v>
      </c>
      <c r="I763" s="38">
        <v>4</v>
      </c>
      <c r="J763" s="41">
        <v>45416</v>
      </c>
      <c r="K763" s="38" t="s">
        <v>10768</v>
      </c>
      <c r="L763" s="42">
        <v>15000000</v>
      </c>
      <c r="O763"/>
    </row>
    <row r="764" spans="1:15" x14ac:dyDescent="0.3">
      <c r="A764" s="37">
        <v>156168</v>
      </c>
      <c r="B764" s="38">
        <v>758</v>
      </c>
      <c r="C764" s="39" t="s">
        <v>5700</v>
      </c>
      <c r="D764" s="10" t="str">
        <f>VLOOKUP(C764,'Data Angt'!$A$5:$B$5809,2,FALSE)</f>
        <v>A2515</v>
      </c>
      <c r="E764" s="40" t="s">
        <v>18202</v>
      </c>
      <c r="F764" s="41">
        <v>45810</v>
      </c>
      <c r="G764" s="38">
        <v>1</v>
      </c>
      <c r="H764" s="40">
        <v>0</v>
      </c>
      <c r="I764" s="38">
        <v>4</v>
      </c>
      <c r="J764" s="41">
        <v>45810</v>
      </c>
      <c r="K764" s="38" t="s">
        <v>10768</v>
      </c>
      <c r="L764" s="42">
        <v>15000000</v>
      </c>
      <c r="O764"/>
    </row>
    <row r="765" spans="1:15" x14ac:dyDescent="0.3">
      <c r="A765" s="37">
        <v>157776</v>
      </c>
      <c r="B765" s="38">
        <v>759</v>
      </c>
      <c r="C765" s="39" t="s">
        <v>5746</v>
      </c>
      <c r="D765" s="10" t="str">
        <f>VLOOKUP(C765,'Data Angt'!$A$5:$B$5809,2,FALSE)</f>
        <v>A2534</v>
      </c>
      <c r="E765" s="40" t="s">
        <v>24058</v>
      </c>
      <c r="F765" s="41">
        <v>45882</v>
      </c>
      <c r="G765" s="38">
        <v>1</v>
      </c>
      <c r="H765" s="40">
        <v>0</v>
      </c>
      <c r="I765" s="38">
        <v>4</v>
      </c>
      <c r="J765" s="41">
        <v>45882</v>
      </c>
      <c r="K765" s="38" t="s">
        <v>10768</v>
      </c>
      <c r="L765" s="42">
        <v>70000000</v>
      </c>
      <c r="O765"/>
    </row>
    <row r="766" spans="1:15" x14ac:dyDescent="0.3">
      <c r="A766" s="37">
        <v>154085</v>
      </c>
      <c r="B766" s="38">
        <v>760</v>
      </c>
      <c r="C766" s="39" t="s">
        <v>5761</v>
      </c>
      <c r="D766" s="10" t="str">
        <f>VLOOKUP(C766,'Data Angt'!$A$5:$B$5809,2,FALSE)</f>
        <v>A2541</v>
      </c>
      <c r="E766" s="40" t="s">
        <v>18204</v>
      </c>
      <c r="F766" s="41">
        <v>45716</v>
      </c>
      <c r="G766" s="38">
        <v>1</v>
      </c>
      <c r="H766" s="40">
        <v>0</v>
      </c>
      <c r="I766" s="38">
        <v>4</v>
      </c>
      <c r="J766" s="41">
        <v>45716</v>
      </c>
      <c r="K766" s="38" t="s">
        <v>10768</v>
      </c>
      <c r="L766" s="42">
        <v>50000000</v>
      </c>
      <c r="O766"/>
    </row>
    <row r="767" spans="1:15" x14ac:dyDescent="0.3">
      <c r="A767" s="37">
        <v>78161</v>
      </c>
      <c r="B767" s="38">
        <v>761</v>
      </c>
      <c r="C767" s="39" t="s">
        <v>5792</v>
      </c>
      <c r="D767" s="10" t="str">
        <f>VLOOKUP(C767,'Data Angt'!$A$5:$B$5809,2,FALSE)</f>
        <v>A2554</v>
      </c>
      <c r="E767" s="40" t="s">
        <v>11539</v>
      </c>
      <c r="F767" s="41">
        <v>42921</v>
      </c>
      <c r="G767" s="38">
        <v>1</v>
      </c>
      <c r="H767" s="40">
        <v>0</v>
      </c>
      <c r="I767" s="38">
        <v>4</v>
      </c>
      <c r="J767" s="41">
        <v>42862</v>
      </c>
      <c r="K767" s="38" t="s">
        <v>10768</v>
      </c>
      <c r="L767" s="42">
        <v>25000000</v>
      </c>
      <c r="O767"/>
    </row>
    <row r="768" spans="1:15" x14ac:dyDescent="0.3">
      <c r="A768" s="37">
        <v>81262</v>
      </c>
      <c r="B768" s="38">
        <v>762</v>
      </c>
      <c r="C768" s="39" t="s">
        <v>5792</v>
      </c>
      <c r="D768" s="10" t="str">
        <f>VLOOKUP(C768,'Data Angt'!$A$5:$B$5809,2,FALSE)</f>
        <v>A2554</v>
      </c>
      <c r="E768" s="40" t="s">
        <v>11542</v>
      </c>
      <c r="F768" s="41">
        <v>43178</v>
      </c>
      <c r="G768" s="38">
        <v>1</v>
      </c>
      <c r="H768" s="40">
        <v>0</v>
      </c>
      <c r="I768" s="38">
        <v>4</v>
      </c>
      <c r="J768" s="41">
        <v>43178</v>
      </c>
      <c r="K768" s="38" t="s">
        <v>10768</v>
      </c>
      <c r="L768" s="42">
        <v>5000000</v>
      </c>
      <c r="O768"/>
    </row>
    <row r="769" spans="1:15" x14ac:dyDescent="0.3">
      <c r="A769" s="37">
        <v>87658</v>
      </c>
      <c r="B769" s="38">
        <v>763</v>
      </c>
      <c r="C769" s="39" t="s">
        <v>5792</v>
      </c>
      <c r="D769" s="10" t="str">
        <f>VLOOKUP(C769,'Data Angt'!$A$5:$B$5809,2,FALSE)</f>
        <v>A2554</v>
      </c>
      <c r="E769" s="40" t="s">
        <v>11541</v>
      </c>
      <c r="F769" s="41">
        <v>43300</v>
      </c>
      <c r="G769" s="38">
        <v>1</v>
      </c>
      <c r="H769" s="40">
        <v>0</v>
      </c>
      <c r="I769" s="38">
        <v>4</v>
      </c>
      <c r="J769" s="41">
        <v>43300</v>
      </c>
      <c r="K769" s="38" t="s">
        <v>10768</v>
      </c>
      <c r="L769" s="42">
        <v>5000000</v>
      </c>
      <c r="O769"/>
    </row>
    <row r="770" spans="1:15" x14ac:dyDescent="0.3">
      <c r="A770" s="37">
        <v>119012</v>
      </c>
      <c r="B770" s="38">
        <v>764</v>
      </c>
      <c r="C770" s="39" t="s">
        <v>5792</v>
      </c>
      <c r="D770" s="10" t="str">
        <f>VLOOKUP(C770,'Data Angt'!$A$5:$B$5809,2,FALSE)</f>
        <v>A2554</v>
      </c>
      <c r="E770" s="40" t="s">
        <v>11540</v>
      </c>
      <c r="F770" s="41">
        <v>43808</v>
      </c>
      <c r="G770" s="38">
        <v>1</v>
      </c>
      <c r="H770" s="40">
        <v>0</v>
      </c>
      <c r="I770" s="38">
        <v>4</v>
      </c>
      <c r="J770" s="41">
        <v>43808</v>
      </c>
      <c r="K770" s="38" t="s">
        <v>10768</v>
      </c>
      <c r="L770" s="42">
        <v>40000000</v>
      </c>
      <c r="O770"/>
    </row>
    <row r="771" spans="1:15" x14ac:dyDescent="0.3">
      <c r="A771" s="37">
        <v>112638</v>
      </c>
      <c r="B771" s="38">
        <v>765</v>
      </c>
      <c r="C771" s="39" t="s">
        <v>5799</v>
      </c>
      <c r="D771" s="10" t="str">
        <f>VLOOKUP(C771,'Data Angt'!$A$5:$B$5809,2,FALSE)</f>
        <v>A2557</v>
      </c>
      <c r="E771" s="40" t="s">
        <v>11538</v>
      </c>
      <c r="F771" s="41">
        <v>43626</v>
      </c>
      <c r="G771" s="38">
        <v>1</v>
      </c>
      <c r="H771" s="40">
        <v>0</v>
      </c>
      <c r="I771" s="38">
        <v>4</v>
      </c>
      <c r="J771" s="41">
        <v>43626</v>
      </c>
      <c r="K771" s="38" t="s">
        <v>10768</v>
      </c>
      <c r="L771" s="42">
        <v>15000000</v>
      </c>
      <c r="O771"/>
    </row>
    <row r="772" spans="1:15" x14ac:dyDescent="0.3">
      <c r="A772" s="37">
        <v>115544</v>
      </c>
      <c r="B772" s="38">
        <v>766</v>
      </c>
      <c r="C772" s="39" t="s">
        <v>5799</v>
      </c>
      <c r="D772" s="10" t="str">
        <f>VLOOKUP(C772,'Data Angt'!$A$5:$B$5809,2,FALSE)</f>
        <v>A2557</v>
      </c>
      <c r="E772" s="40" t="s">
        <v>11537</v>
      </c>
      <c r="F772" s="41">
        <v>43698</v>
      </c>
      <c r="G772" s="38">
        <v>1</v>
      </c>
      <c r="H772" s="40">
        <v>0</v>
      </c>
      <c r="I772" s="38">
        <v>4</v>
      </c>
      <c r="J772" s="41">
        <v>43698</v>
      </c>
      <c r="K772" s="38" t="s">
        <v>10768</v>
      </c>
      <c r="L772" s="42">
        <v>10000000</v>
      </c>
      <c r="O772"/>
    </row>
    <row r="773" spans="1:15" x14ac:dyDescent="0.3">
      <c r="A773" s="37">
        <v>155750</v>
      </c>
      <c r="B773" s="38">
        <v>767</v>
      </c>
      <c r="C773" s="39" t="s">
        <v>5801</v>
      </c>
      <c r="D773" s="10" t="str">
        <f>VLOOKUP(C773,'Data Angt'!$A$5:$B$5809,2,FALSE)</f>
        <v>A2558</v>
      </c>
      <c r="E773" s="40" t="s">
        <v>18205</v>
      </c>
      <c r="F773" s="41">
        <v>45796</v>
      </c>
      <c r="G773" s="38">
        <v>1</v>
      </c>
      <c r="H773" s="40">
        <v>0</v>
      </c>
      <c r="I773" s="38">
        <v>4</v>
      </c>
      <c r="J773" s="41">
        <v>45796</v>
      </c>
      <c r="K773" s="38" t="s">
        <v>10768</v>
      </c>
      <c r="L773" s="42">
        <v>70000000</v>
      </c>
      <c r="O773"/>
    </row>
    <row r="774" spans="1:15" x14ac:dyDescent="0.3">
      <c r="A774" s="37">
        <v>158621</v>
      </c>
      <c r="B774" s="38">
        <v>768</v>
      </c>
      <c r="C774" s="39" t="s">
        <v>5802</v>
      </c>
      <c r="D774" s="10" t="str">
        <f>VLOOKUP(C774,'Data Angt'!$A$5:$B$5809,2,FALSE)</f>
        <v>A2559</v>
      </c>
      <c r="E774" s="40" t="s">
        <v>24059</v>
      </c>
      <c r="F774" s="41">
        <v>45918</v>
      </c>
      <c r="G774" s="38">
        <v>1</v>
      </c>
      <c r="H774" s="40">
        <v>0</v>
      </c>
      <c r="I774" s="38">
        <v>4</v>
      </c>
      <c r="J774" s="41">
        <v>45918</v>
      </c>
      <c r="K774" s="38" t="s">
        <v>10768</v>
      </c>
      <c r="L774" s="42">
        <v>8000000</v>
      </c>
      <c r="O774"/>
    </row>
    <row r="775" spans="1:15" x14ac:dyDescent="0.3">
      <c r="A775" s="37">
        <v>148258</v>
      </c>
      <c r="B775" s="38">
        <v>769</v>
      </c>
      <c r="C775" s="39" t="s">
        <v>5838</v>
      </c>
      <c r="D775" s="10" t="str">
        <f>VLOOKUP(C775,'Data Angt'!$A$5:$B$5809,2,FALSE)</f>
        <v>A2575</v>
      </c>
      <c r="E775" s="40" t="s">
        <v>18206</v>
      </c>
      <c r="F775" s="41">
        <v>45520</v>
      </c>
      <c r="G775" s="38">
        <v>1</v>
      </c>
      <c r="H775" s="40">
        <v>0</v>
      </c>
      <c r="I775" s="38">
        <v>4</v>
      </c>
      <c r="J775" s="41">
        <v>45520</v>
      </c>
      <c r="K775" s="38" t="s">
        <v>10768</v>
      </c>
      <c r="L775" s="42">
        <v>20000000</v>
      </c>
      <c r="O775"/>
    </row>
    <row r="776" spans="1:15" x14ac:dyDescent="0.3">
      <c r="A776" s="37">
        <v>85990</v>
      </c>
      <c r="B776" s="38">
        <v>770</v>
      </c>
      <c r="C776" s="39" t="s">
        <v>5868</v>
      </c>
      <c r="D776" s="10" t="str">
        <f>VLOOKUP(C776,'Data Angt'!$A$5:$B$5809,2,FALSE)</f>
        <v>A2590</v>
      </c>
      <c r="E776" s="40" t="s">
        <v>11536</v>
      </c>
      <c r="F776" s="41">
        <v>43225</v>
      </c>
      <c r="G776" s="38">
        <v>1</v>
      </c>
      <c r="H776" s="40">
        <v>0</v>
      </c>
      <c r="I776" s="38">
        <v>4</v>
      </c>
      <c r="J776" s="41">
        <v>43225</v>
      </c>
      <c r="K776" s="38" t="s">
        <v>10768</v>
      </c>
      <c r="L776" s="42">
        <v>1000000</v>
      </c>
      <c r="O776"/>
    </row>
    <row r="777" spans="1:15" x14ac:dyDescent="0.3">
      <c r="A777" s="37">
        <v>145922</v>
      </c>
      <c r="B777" s="38">
        <v>771</v>
      </c>
      <c r="C777" s="39" t="s">
        <v>5875</v>
      </c>
      <c r="D777" s="10" t="str">
        <f>VLOOKUP(C777,'Data Angt'!$A$5:$B$5809,2,FALSE)</f>
        <v>A2592</v>
      </c>
      <c r="E777" s="40" t="s">
        <v>18207</v>
      </c>
      <c r="F777" s="41">
        <v>45454</v>
      </c>
      <c r="G777" s="38">
        <v>1</v>
      </c>
      <c r="H777" s="40">
        <v>0</v>
      </c>
      <c r="I777" s="38">
        <v>4</v>
      </c>
      <c r="J777" s="41">
        <v>45454</v>
      </c>
      <c r="K777" s="38" t="s">
        <v>10768</v>
      </c>
      <c r="L777" s="42">
        <v>30000000</v>
      </c>
      <c r="O777"/>
    </row>
    <row r="778" spans="1:15" x14ac:dyDescent="0.3">
      <c r="A778" s="37">
        <v>117414</v>
      </c>
      <c r="B778" s="38">
        <v>772</v>
      </c>
      <c r="C778" s="39" t="s">
        <v>5903</v>
      </c>
      <c r="D778" s="10" t="str">
        <f>VLOOKUP(C778,'Data Angt'!$A$5:$B$5809,2,FALSE)</f>
        <v>A2607</v>
      </c>
      <c r="E778" s="40" t="s">
        <v>11534</v>
      </c>
      <c r="F778" s="41">
        <v>43752</v>
      </c>
      <c r="G778" s="38">
        <v>1</v>
      </c>
      <c r="H778" s="40">
        <v>0</v>
      </c>
      <c r="I778" s="38">
        <v>4</v>
      </c>
      <c r="J778" s="41">
        <v>43752</v>
      </c>
      <c r="K778" s="38" t="s">
        <v>10768</v>
      </c>
      <c r="L778" s="42">
        <v>50000000</v>
      </c>
      <c r="O778"/>
    </row>
    <row r="779" spans="1:15" x14ac:dyDescent="0.3">
      <c r="A779" s="37">
        <v>156915</v>
      </c>
      <c r="B779" s="38">
        <v>773</v>
      </c>
      <c r="C779" s="39" t="s">
        <v>5903</v>
      </c>
      <c r="D779" s="10" t="str">
        <f>VLOOKUP(C779,'Data Angt'!$A$5:$B$5809,2,FALSE)</f>
        <v>A2607</v>
      </c>
      <c r="E779" s="40" t="s">
        <v>24060</v>
      </c>
      <c r="F779" s="41">
        <v>45848</v>
      </c>
      <c r="G779" s="38">
        <v>1</v>
      </c>
      <c r="H779" s="40">
        <v>0</v>
      </c>
      <c r="I779" s="38">
        <v>4</v>
      </c>
      <c r="J779" s="41">
        <v>45848</v>
      </c>
      <c r="K779" s="38" t="s">
        <v>10768</v>
      </c>
      <c r="L779" s="42">
        <v>50000000</v>
      </c>
      <c r="O779"/>
    </row>
    <row r="780" spans="1:15" x14ac:dyDescent="0.3">
      <c r="A780" s="37">
        <v>156916</v>
      </c>
      <c r="B780" s="38">
        <v>774</v>
      </c>
      <c r="C780" s="39" t="s">
        <v>5903</v>
      </c>
      <c r="D780" s="10" t="str">
        <f>VLOOKUP(C780,'Data Angt'!$A$5:$B$5809,2,FALSE)</f>
        <v>A2607</v>
      </c>
      <c r="E780" s="40" t="s">
        <v>24061</v>
      </c>
      <c r="F780" s="41">
        <v>45848</v>
      </c>
      <c r="G780" s="38">
        <v>1</v>
      </c>
      <c r="H780" s="40">
        <v>0</v>
      </c>
      <c r="I780" s="38">
        <v>4</v>
      </c>
      <c r="J780" s="41">
        <v>45848</v>
      </c>
      <c r="K780" s="38" t="s">
        <v>10768</v>
      </c>
      <c r="L780" s="42">
        <v>50000000</v>
      </c>
      <c r="O780"/>
    </row>
    <row r="781" spans="1:15" x14ac:dyDescent="0.3">
      <c r="A781" s="37">
        <v>156917</v>
      </c>
      <c r="B781" s="38">
        <v>775</v>
      </c>
      <c r="C781" s="39" t="s">
        <v>5903</v>
      </c>
      <c r="D781" s="10" t="str">
        <f>VLOOKUP(C781,'Data Angt'!$A$5:$B$5809,2,FALSE)</f>
        <v>A2607</v>
      </c>
      <c r="E781" s="40" t="s">
        <v>24062</v>
      </c>
      <c r="F781" s="41">
        <v>45848</v>
      </c>
      <c r="G781" s="38">
        <v>1</v>
      </c>
      <c r="H781" s="40">
        <v>0</v>
      </c>
      <c r="I781" s="38">
        <v>4</v>
      </c>
      <c r="J781" s="41">
        <v>45848</v>
      </c>
      <c r="K781" s="38" t="s">
        <v>10768</v>
      </c>
      <c r="L781" s="42">
        <v>50000000</v>
      </c>
      <c r="O781"/>
    </row>
    <row r="782" spans="1:15" x14ac:dyDescent="0.3">
      <c r="A782" s="37">
        <v>156918</v>
      </c>
      <c r="B782" s="38">
        <v>776</v>
      </c>
      <c r="C782" s="39" t="s">
        <v>5903</v>
      </c>
      <c r="D782" s="10" t="str">
        <f>VLOOKUP(C782,'Data Angt'!$A$5:$B$5809,2,FALSE)</f>
        <v>A2607</v>
      </c>
      <c r="E782" s="40" t="s">
        <v>24063</v>
      </c>
      <c r="F782" s="41">
        <v>45848</v>
      </c>
      <c r="G782" s="38">
        <v>1</v>
      </c>
      <c r="H782" s="40">
        <v>0</v>
      </c>
      <c r="I782" s="38">
        <v>4</v>
      </c>
      <c r="J782" s="41">
        <v>45848</v>
      </c>
      <c r="K782" s="38" t="s">
        <v>10768</v>
      </c>
      <c r="L782" s="42">
        <v>50000000</v>
      </c>
      <c r="O782"/>
    </row>
    <row r="783" spans="1:15" x14ac:dyDescent="0.3">
      <c r="A783" s="37">
        <v>78046</v>
      </c>
      <c r="B783" s="38">
        <v>777</v>
      </c>
      <c r="C783" s="39" t="s">
        <v>5903</v>
      </c>
      <c r="D783" s="10" t="str">
        <f>VLOOKUP(C783,'Data Angt'!$A$5:$B$5809,2,FALSE)</f>
        <v>A2607</v>
      </c>
      <c r="E783" s="40" t="s">
        <v>11535</v>
      </c>
      <c r="F783" s="41">
        <v>42620</v>
      </c>
      <c r="G783" s="38">
        <v>1</v>
      </c>
      <c r="H783" s="40">
        <v>0</v>
      </c>
      <c r="I783" s="38">
        <v>4</v>
      </c>
      <c r="J783" s="41">
        <v>42560</v>
      </c>
      <c r="K783" s="38" t="s">
        <v>10768</v>
      </c>
      <c r="L783" s="42">
        <v>50000000</v>
      </c>
      <c r="O783"/>
    </row>
    <row r="784" spans="1:15" x14ac:dyDescent="0.3">
      <c r="A784" s="37">
        <v>158208</v>
      </c>
      <c r="B784" s="38">
        <v>778</v>
      </c>
      <c r="C784" s="39" t="s">
        <v>5946</v>
      </c>
      <c r="D784" s="10" t="str">
        <f>VLOOKUP(C784,'Data Angt'!$A$5:$B$5809,2,FALSE)</f>
        <v>A2624</v>
      </c>
      <c r="E784" s="40" t="s">
        <v>24064</v>
      </c>
      <c r="F784" s="41">
        <v>45898</v>
      </c>
      <c r="G784" s="38">
        <v>1</v>
      </c>
      <c r="H784" s="40">
        <v>0</v>
      </c>
      <c r="I784" s="38">
        <v>4</v>
      </c>
      <c r="J784" s="41">
        <v>45898</v>
      </c>
      <c r="K784" s="38" t="s">
        <v>10768</v>
      </c>
      <c r="L784" s="42">
        <v>20000000</v>
      </c>
      <c r="O784"/>
    </row>
    <row r="785" spans="1:15" x14ac:dyDescent="0.3">
      <c r="A785" s="37">
        <v>149137</v>
      </c>
      <c r="B785" s="38">
        <v>779</v>
      </c>
      <c r="C785" s="39" t="s">
        <v>12409</v>
      </c>
      <c r="D785" s="10" t="str">
        <f>VLOOKUP(C785,'Data Angt'!$A$5:$B$5809,2,FALSE)</f>
        <v>A2644</v>
      </c>
      <c r="E785" s="40" t="s">
        <v>18208</v>
      </c>
      <c r="F785" s="41">
        <v>45552</v>
      </c>
      <c r="G785" s="38">
        <v>1</v>
      </c>
      <c r="H785" s="40">
        <v>0</v>
      </c>
      <c r="I785" s="38">
        <v>4</v>
      </c>
      <c r="J785" s="41">
        <v>45552</v>
      </c>
      <c r="K785" s="38" t="s">
        <v>10768</v>
      </c>
      <c r="L785" s="42">
        <v>20000000</v>
      </c>
      <c r="O785"/>
    </row>
    <row r="786" spans="1:15" x14ac:dyDescent="0.3">
      <c r="A786" s="37">
        <v>119064</v>
      </c>
      <c r="B786" s="38">
        <v>780</v>
      </c>
      <c r="C786" s="39" t="s">
        <v>6091</v>
      </c>
      <c r="D786" s="10" t="str">
        <f>VLOOKUP(C786,'Data Angt'!$A$5:$B$5809,2,FALSE)</f>
        <v>A2696</v>
      </c>
      <c r="E786" s="40" t="s">
        <v>11533</v>
      </c>
      <c r="F786" s="41">
        <v>43811</v>
      </c>
      <c r="G786" s="38">
        <v>1</v>
      </c>
      <c r="H786" s="40">
        <v>0</v>
      </c>
      <c r="I786" s="38">
        <v>4</v>
      </c>
      <c r="J786" s="41">
        <v>43811</v>
      </c>
      <c r="K786" s="38" t="s">
        <v>10768</v>
      </c>
      <c r="L786" s="42">
        <v>5000000</v>
      </c>
      <c r="O786"/>
    </row>
    <row r="787" spans="1:15" x14ac:dyDescent="0.3">
      <c r="A787" s="37">
        <v>123514</v>
      </c>
      <c r="B787" s="38">
        <v>781</v>
      </c>
      <c r="C787" s="39" t="s">
        <v>6091</v>
      </c>
      <c r="D787" s="10" t="str">
        <f>VLOOKUP(C787,'Data Angt'!$A$5:$B$5809,2,FALSE)</f>
        <v>A2696</v>
      </c>
      <c r="E787" s="40" t="s">
        <v>11532</v>
      </c>
      <c r="F787" s="41">
        <v>43985</v>
      </c>
      <c r="G787" s="38">
        <v>1</v>
      </c>
      <c r="H787" s="40">
        <v>0</v>
      </c>
      <c r="I787" s="38">
        <v>4</v>
      </c>
      <c r="J787" s="41">
        <v>43985</v>
      </c>
      <c r="K787" s="38" t="s">
        <v>10768</v>
      </c>
      <c r="L787" s="42">
        <v>5000000</v>
      </c>
      <c r="O787"/>
    </row>
    <row r="788" spans="1:15" x14ac:dyDescent="0.3">
      <c r="A788" s="37">
        <v>130999</v>
      </c>
      <c r="B788" s="38">
        <v>782</v>
      </c>
      <c r="C788" s="39" t="s">
        <v>6091</v>
      </c>
      <c r="D788" s="10" t="str">
        <f>VLOOKUP(C788,'Data Angt'!$A$5:$B$5809,2,FALSE)</f>
        <v>A2696</v>
      </c>
      <c r="E788" s="40" t="s">
        <v>11531</v>
      </c>
      <c r="F788" s="41">
        <v>44544</v>
      </c>
      <c r="G788" s="38">
        <v>1</v>
      </c>
      <c r="H788" s="40">
        <v>0</v>
      </c>
      <c r="I788" s="38">
        <v>4</v>
      </c>
      <c r="J788" s="41">
        <v>44544</v>
      </c>
      <c r="K788" s="38" t="s">
        <v>10768</v>
      </c>
      <c r="L788" s="42">
        <v>5000000</v>
      </c>
      <c r="O788"/>
    </row>
    <row r="789" spans="1:15" x14ac:dyDescent="0.3">
      <c r="A789" s="37">
        <v>131944</v>
      </c>
      <c r="B789" s="38">
        <v>783</v>
      </c>
      <c r="C789" s="39" t="s">
        <v>6091</v>
      </c>
      <c r="D789" s="10" t="str">
        <f>VLOOKUP(C789,'Data Angt'!$A$5:$B$5809,2,FALSE)</f>
        <v>A2696</v>
      </c>
      <c r="E789" s="40" t="s">
        <v>11530</v>
      </c>
      <c r="F789" s="41">
        <v>44622</v>
      </c>
      <c r="G789" s="38">
        <v>1</v>
      </c>
      <c r="H789" s="40">
        <v>0</v>
      </c>
      <c r="I789" s="38">
        <v>4</v>
      </c>
      <c r="J789" s="41">
        <v>44622</v>
      </c>
      <c r="K789" s="38" t="s">
        <v>10768</v>
      </c>
      <c r="L789" s="42">
        <v>10000000</v>
      </c>
      <c r="O789"/>
    </row>
    <row r="790" spans="1:15" x14ac:dyDescent="0.3">
      <c r="A790" s="37">
        <v>133189</v>
      </c>
      <c r="B790" s="38">
        <v>784</v>
      </c>
      <c r="C790" s="39" t="s">
        <v>6091</v>
      </c>
      <c r="D790" s="10" t="str">
        <f>VLOOKUP(C790,'Data Angt'!$A$5:$B$5809,2,FALSE)</f>
        <v>A2696</v>
      </c>
      <c r="E790" s="40" t="s">
        <v>11529</v>
      </c>
      <c r="F790" s="41">
        <v>44718</v>
      </c>
      <c r="G790" s="38">
        <v>1</v>
      </c>
      <c r="H790" s="40">
        <v>0</v>
      </c>
      <c r="I790" s="38">
        <v>4</v>
      </c>
      <c r="J790" s="41">
        <v>44718</v>
      </c>
      <c r="K790" s="38" t="s">
        <v>10768</v>
      </c>
      <c r="L790" s="42">
        <v>10000000</v>
      </c>
      <c r="O790"/>
    </row>
    <row r="791" spans="1:15" x14ac:dyDescent="0.3">
      <c r="A791" s="37">
        <v>136732</v>
      </c>
      <c r="B791" s="38">
        <v>785</v>
      </c>
      <c r="C791" s="39" t="s">
        <v>6091</v>
      </c>
      <c r="D791" s="10" t="str">
        <f>VLOOKUP(C791,'Data Angt'!$A$5:$B$5809,2,FALSE)</f>
        <v>A2696</v>
      </c>
      <c r="E791" s="40" t="s">
        <v>11528</v>
      </c>
      <c r="F791" s="41">
        <v>44993</v>
      </c>
      <c r="G791" s="38">
        <v>1</v>
      </c>
      <c r="H791" s="40">
        <v>0</v>
      </c>
      <c r="I791" s="38">
        <v>4</v>
      </c>
      <c r="J791" s="41">
        <v>44993</v>
      </c>
      <c r="K791" s="38" t="s">
        <v>10768</v>
      </c>
      <c r="L791" s="42">
        <v>10000000</v>
      </c>
      <c r="O791"/>
    </row>
    <row r="792" spans="1:15" x14ac:dyDescent="0.3">
      <c r="A792" s="37">
        <v>78676</v>
      </c>
      <c r="B792" s="38">
        <v>786</v>
      </c>
      <c r="C792" s="39" t="s">
        <v>6091</v>
      </c>
      <c r="D792" s="10" t="str">
        <f>VLOOKUP(C792,'Data Angt'!$A$5:$B$5809,2,FALSE)</f>
        <v>A2696</v>
      </c>
      <c r="E792" s="40" t="s">
        <v>11527</v>
      </c>
      <c r="F792" s="41">
        <v>42905</v>
      </c>
      <c r="G792" s="38">
        <v>1</v>
      </c>
      <c r="H792" s="40">
        <v>0</v>
      </c>
      <c r="I792" s="38">
        <v>4</v>
      </c>
      <c r="J792" s="41">
        <v>42905</v>
      </c>
      <c r="K792" s="38" t="s">
        <v>10768</v>
      </c>
      <c r="L792" s="42">
        <v>5000000</v>
      </c>
      <c r="O792"/>
    </row>
    <row r="793" spans="1:15" x14ac:dyDescent="0.3">
      <c r="A793" s="37">
        <v>158495</v>
      </c>
      <c r="B793" s="38">
        <v>787</v>
      </c>
      <c r="C793" s="39" t="s">
        <v>6105</v>
      </c>
      <c r="D793" s="10" t="str">
        <f>VLOOKUP(C793,'Data Angt'!$A$5:$B$5809,2,FALSE)</f>
        <v>A2703</v>
      </c>
      <c r="E793" s="40" t="s">
        <v>24065</v>
      </c>
      <c r="F793" s="41">
        <v>45910</v>
      </c>
      <c r="G793" s="38">
        <v>1</v>
      </c>
      <c r="H793" s="40">
        <v>0</v>
      </c>
      <c r="I793" s="38">
        <v>4</v>
      </c>
      <c r="J793" s="41">
        <v>45910</v>
      </c>
      <c r="K793" s="38" t="s">
        <v>10768</v>
      </c>
      <c r="L793" s="42">
        <v>5000000</v>
      </c>
      <c r="O793"/>
    </row>
    <row r="794" spans="1:15" x14ac:dyDescent="0.3">
      <c r="A794" s="37">
        <v>86920</v>
      </c>
      <c r="B794" s="38">
        <v>788</v>
      </c>
      <c r="C794" s="39" t="s">
        <v>6122</v>
      </c>
      <c r="D794" s="10" t="str">
        <f>VLOOKUP(C794,'Data Angt'!$A$5:$B$5809,2,FALSE)</f>
        <v>A2712</v>
      </c>
      <c r="E794" s="40" t="s">
        <v>11526</v>
      </c>
      <c r="F794" s="41">
        <v>43264</v>
      </c>
      <c r="G794" s="38">
        <v>1</v>
      </c>
      <c r="H794" s="40">
        <v>0</v>
      </c>
      <c r="I794" s="38">
        <v>4</v>
      </c>
      <c r="J794" s="41">
        <v>43264</v>
      </c>
      <c r="K794" s="38" t="s">
        <v>10768</v>
      </c>
      <c r="L794" s="42">
        <v>5000000</v>
      </c>
      <c r="O794"/>
    </row>
    <row r="795" spans="1:15" x14ac:dyDescent="0.3">
      <c r="A795" s="37">
        <v>137794</v>
      </c>
      <c r="B795" s="38">
        <v>789</v>
      </c>
      <c r="C795" s="39" t="s">
        <v>6122</v>
      </c>
      <c r="D795" s="10" t="str">
        <f>VLOOKUP(C795,'Data Angt'!$A$5:$B$5809,2,FALSE)</f>
        <v>A2712</v>
      </c>
      <c r="E795" s="40" t="s">
        <v>11525</v>
      </c>
      <c r="F795" s="41">
        <v>45091</v>
      </c>
      <c r="G795" s="38">
        <v>1</v>
      </c>
      <c r="H795" s="40">
        <v>0</v>
      </c>
      <c r="I795" s="38">
        <v>4</v>
      </c>
      <c r="J795" s="41">
        <v>45091</v>
      </c>
      <c r="K795" s="38" t="s">
        <v>10768</v>
      </c>
      <c r="L795" s="42">
        <v>10000000</v>
      </c>
      <c r="O795"/>
    </row>
    <row r="796" spans="1:15" x14ac:dyDescent="0.3">
      <c r="A796" s="37">
        <v>78921</v>
      </c>
      <c r="B796" s="38">
        <v>790</v>
      </c>
      <c r="C796" s="39" t="s">
        <v>6154</v>
      </c>
      <c r="D796" s="10" t="str">
        <f>VLOOKUP(C796,'Data Angt'!$A$5:$B$5809,2,FALSE)</f>
        <v>A2725</v>
      </c>
      <c r="E796" s="40" t="s">
        <v>11524</v>
      </c>
      <c r="F796" s="41">
        <v>42699</v>
      </c>
      <c r="G796" s="38">
        <v>1</v>
      </c>
      <c r="H796" s="40">
        <v>0</v>
      </c>
      <c r="I796" s="38">
        <v>4</v>
      </c>
      <c r="J796" s="41">
        <v>42699</v>
      </c>
      <c r="K796" s="38" t="s">
        <v>10768</v>
      </c>
      <c r="L796" s="42">
        <v>6500000</v>
      </c>
      <c r="O796"/>
    </row>
    <row r="797" spans="1:15" x14ac:dyDescent="0.3">
      <c r="A797" s="37">
        <v>78922</v>
      </c>
      <c r="B797" s="38">
        <v>791</v>
      </c>
      <c r="C797" s="39" t="s">
        <v>6154</v>
      </c>
      <c r="D797" s="10" t="str">
        <f>VLOOKUP(C797,'Data Angt'!$A$5:$B$5809,2,FALSE)</f>
        <v>A2725</v>
      </c>
      <c r="E797" s="40" t="s">
        <v>11523</v>
      </c>
      <c r="F797" s="41">
        <v>42703</v>
      </c>
      <c r="G797" s="38">
        <v>1</v>
      </c>
      <c r="H797" s="40">
        <v>0</v>
      </c>
      <c r="I797" s="38">
        <v>4</v>
      </c>
      <c r="J797" s="41">
        <v>42703</v>
      </c>
      <c r="K797" s="38" t="s">
        <v>10768</v>
      </c>
      <c r="L797" s="42">
        <v>10000000</v>
      </c>
      <c r="O797"/>
    </row>
    <row r="798" spans="1:15" x14ac:dyDescent="0.3">
      <c r="A798" s="37">
        <v>141840</v>
      </c>
      <c r="B798" s="38">
        <v>792</v>
      </c>
      <c r="C798" s="39" t="s">
        <v>6167</v>
      </c>
      <c r="D798" s="10" t="str">
        <f>VLOOKUP(C798,'Data Angt'!$A$5:$B$5809,2,FALSE)</f>
        <v>A2732</v>
      </c>
      <c r="E798" s="40" t="s">
        <v>18209</v>
      </c>
      <c r="F798" s="41">
        <v>45307</v>
      </c>
      <c r="G798" s="38">
        <v>1</v>
      </c>
      <c r="H798" s="40">
        <v>0</v>
      </c>
      <c r="I798" s="38">
        <v>4</v>
      </c>
      <c r="J798" s="41">
        <v>45307</v>
      </c>
      <c r="K798" s="38" t="s">
        <v>10768</v>
      </c>
      <c r="L798" s="42">
        <v>20000000</v>
      </c>
      <c r="O798"/>
    </row>
    <row r="799" spans="1:15" x14ac:dyDescent="0.3">
      <c r="A799" s="37">
        <v>153514</v>
      </c>
      <c r="B799" s="38">
        <v>793</v>
      </c>
      <c r="C799" s="39" t="s">
        <v>6167</v>
      </c>
      <c r="D799" s="10" t="str">
        <f>VLOOKUP(C799,'Data Angt'!$A$5:$B$5809,2,FALSE)</f>
        <v>A2732</v>
      </c>
      <c r="E799" s="40" t="s">
        <v>18210</v>
      </c>
      <c r="F799" s="41">
        <v>45707</v>
      </c>
      <c r="G799" s="38">
        <v>1</v>
      </c>
      <c r="H799" s="40">
        <v>0</v>
      </c>
      <c r="I799" s="38">
        <v>4</v>
      </c>
      <c r="J799" s="41">
        <v>45707</v>
      </c>
      <c r="K799" s="38" t="s">
        <v>10768</v>
      </c>
      <c r="L799" s="42">
        <v>20000000</v>
      </c>
      <c r="O799"/>
    </row>
    <row r="800" spans="1:15" x14ac:dyDescent="0.3">
      <c r="A800" s="37">
        <v>156827</v>
      </c>
      <c r="B800" s="38">
        <v>794</v>
      </c>
      <c r="C800" s="39" t="s">
        <v>6173</v>
      </c>
      <c r="D800" s="10" t="str">
        <f>VLOOKUP(C800,'Data Angt'!$A$5:$B$5809,2,FALSE)</f>
        <v>A2736</v>
      </c>
      <c r="E800" s="40" t="s">
        <v>24066</v>
      </c>
      <c r="F800" s="41">
        <v>45845</v>
      </c>
      <c r="G800" s="38">
        <v>1</v>
      </c>
      <c r="H800" s="40">
        <v>0</v>
      </c>
      <c r="I800" s="38">
        <v>4</v>
      </c>
      <c r="J800" s="41">
        <v>45845</v>
      </c>
      <c r="K800" s="38" t="s">
        <v>10768</v>
      </c>
      <c r="L800" s="42">
        <v>10000000</v>
      </c>
      <c r="O800"/>
    </row>
    <row r="801" spans="1:15" x14ac:dyDescent="0.3">
      <c r="A801" s="37">
        <v>136777</v>
      </c>
      <c r="B801" s="38">
        <v>795</v>
      </c>
      <c r="C801" s="39" t="s">
        <v>6194</v>
      </c>
      <c r="D801" s="10" t="str">
        <f>VLOOKUP(C801,'Data Angt'!$A$5:$B$5809,2,FALSE)</f>
        <v>A2744</v>
      </c>
      <c r="E801" s="40" t="s">
        <v>11521</v>
      </c>
      <c r="F801" s="41">
        <v>44998</v>
      </c>
      <c r="G801" s="38">
        <v>1</v>
      </c>
      <c r="H801" s="40">
        <v>0</v>
      </c>
      <c r="I801" s="38">
        <v>4</v>
      </c>
      <c r="J801" s="41">
        <v>44998</v>
      </c>
      <c r="K801" s="38" t="s">
        <v>10768</v>
      </c>
      <c r="L801" s="42">
        <v>5000000</v>
      </c>
      <c r="O801"/>
    </row>
    <row r="802" spans="1:15" x14ac:dyDescent="0.3">
      <c r="A802" s="37">
        <v>137785</v>
      </c>
      <c r="B802" s="38">
        <v>796</v>
      </c>
      <c r="C802" s="39" t="s">
        <v>6194</v>
      </c>
      <c r="D802" s="10" t="str">
        <f>VLOOKUP(C802,'Data Angt'!$A$5:$B$5809,2,FALSE)</f>
        <v>A2744</v>
      </c>
      <c r="E802" s="40" t="s">
        <v>11522</v>
      </c>
      <c r="F802" s="41">
        <v>45090</v>
      </c>
      <c r="G802" s="38">
        <v>1</v>
      </c>
      <c r="H802" s="40">
        <v>0</v>
      </c>
      <c r="I802" s="38">
        <v>4</v>
      </c>
      <c r="J802" s="41">
        <v>45090</v>
      </c>
      <c r="K802" s="38" t="s">
        <v>10768</v>
      </c>
      <c r="L802" s="42">
        <v>5000000</v>
      </c>
      <c r="O802"/>
    </row>
    <row r="803" spans="1:15" x14ac:dyDescent="0.3">
      <c r="A803" s="37">
        <v>156809</v>
      </c>
      <c r="B803" s="38">
        <v>797</v>
      </c>
      <c r="C803" s="39" t="s">
        <v>6194</v>
      </c>
      <c r="D803" s="10" t="str">
        <f>VLOOKUP(C803,'Data Angt'!$A$5:$B$5809,2,FALSE)</f>
        <v>A2744</v>
      </c>
      <c r="E803" s="40" t="s">
        <v>24067</v>
      </c>
      <c r="F803" s="41">
        <v>45845</v>
      </c>
      <c r="G803" s="38">
        <v>1</v>
      </c>
      <c r="H803" s="40">
        <v>0</v>
      </c>
      <c r="I803" s="38">
        <v>4</v>
      </c>
      <c r="J803" s="41">
        <v>45845</v>
      </c>
      <c r="K803" s="38" t="s">
        <v>10768</v>
      </c>
      <c r="L803" s="42">
        <v>20000000</v>
      </c>
      <c r="O803"/>
    </row>
    <row r="804" spans="1:15" x14ac:dyDescent="0.3">
      <c r="A804" s="37">
        <v>131032</v>
      </c>
      <c r="B804" s="38">
        <v>798</v>
      </c>
      <c r="C804" s="39" t="s">
        <v>6197</v>
      </c>
      <c r="D804" s="10" t="str">
        <f>VLOOKUP(C804,'Data Angt'!$A$5:$B$5809,2,FALSE)</f>
        <v>A2745</v>
      </c>
      <c r="E804" s="40" t="s">
        <v>11520</v>
      </c>
      <c r="F804" s="41">
        <v>44547</v>
      </c>
      <c r="G804" s="38">
        <v>1</v>
      </c>
      <c r="H804" s="40">
        <v>0</v>
      </c>
      <c r="I804" s="38">
        <v>4</v>
      </c>
      <c r="J804" s="41">
        <v>44547</v>
      </c>
      <c r="K804" s="38" t="s">
        <v>10768</v>
      </c>
      <c r="L804" s="42">
        <v>5000000</v>
      </c>
      <c r="O804"/>
    </row>
    <row r="805" spans="1:15" x14ac:dyDescent="0.3">
      <c r="A805" s="37">
        <v>142230</v>
      </c>
      <c r="B805" s="38">
        <v>799</v>
      </c>
      <c r="C805" s="39" t="s">
        <v>6197</v>
      </c>
      <c r="D805" s="10" t="str">
        <f>VLOOKUP(C805,'Data Angt'!$A$5:$B$5809,2,FALSE)</f>
        <v>A2745</v>
      </c>
      <c r="E805" s="40" t="s">
        <v>18211</v>
      </c>
      <c r="F805" s="41">
        <v>45320</v>
      </c>
      <c r="G805" s="38">
        <v>1</v>
      </c>
      <c r="H805" s="40">
        <v>0</v>
      </c>
      <c r="I805" s="38">
        <v>4</v>
      </c>
      <c r="J805" s="41">
        <v>45320</v>
      </c>
      <c r="K805" s="38" t="s">
        <v>10768</v>
      </c>
      <c r="L805" s="42">
        <v>10000000</v>
      </c>
      <c r="O805"/>
    </row>
    <row r="806" spans="1:15" x14ac:dyDescent="0.3">
      <c r="A806" s="37">
        <v>144393</v>
      </c>
      <c r="B806" s="38">
        <v>800</v>
      </c>
      <c r="C806" s="39" t="s">
        <v>6197</v>
      </c>
      <c r="D806" s="10" t="str">
        <f>VLOOKUP(C806,'Data Angt'!$A$5:$B$5809,2,FALSE)</f>
        <v>A2745</v>
      </c>
      <c r="E806" s="40" t="s">
        <v>18212</v>
      </c>
      <c r="F806" s="41">
        <v>45405</v>
      </c>
      <c r="G806" s="38">
        <v>1</v>
      </c>
      <c r="H806" s="40">
        <v>0</v>
      </c>
      <c r="I806" s="38">
        <v>4</v>
      </c>
      <c r="J806" s="41">
        <v>45405</v>
      </c>
      <c r="K806" s="38" t="s">
        <v>10768</v>
      </c>
      <c r="L806" s="42">
        <v>10000000</v>
      </c>
      <c r="O806"/>
    </row>
    <row r="807" spans="1:15" x14ac:dyDescent="0.3">
      <c r="A807" s="37">
        <v>145750</v>
      </c>
      <c r="B807" s="38">
        <v>801</v>
      </c>
      <c r="C807" s="39" t="s">
        <v>6197</v>
      </c>
      <c r="D807" s="10" t="str">
        <f>VLOOKUP(C807,'Data Angt'!$A$5:$B$5809,2,FALSE)</f>
        <v>A2745</v>
      </c>
      <c r="E807" s="40" t="s">
        <v>18213</v>
      </c>
      <c r="F807" s="41">
        <v>45443</v>
      </c>
      <c r="G807" s="38">
        <v>1</v>
      </c>
      <c r="H807" s="40">
        <v>0</v>
      </c>
      <c r="I807" s="38">
        <v>4</v>
      </c>
      <c r="J807" s="41">
        <v>45443</v>
      </c>
      <c r="K807" s="38" t="s">
        <v>10768</v>
      </c>
      <c r="L807" s="42">
        <v>5000000</v>
      </c>
      <c r="O807"/>
    </row>
    <row r="808" spans="1:15" x14ac:dyDescent="0.3">
      <c r="A808" s="37">
        <v>148261</v>
      </c>
      <c r="B808" s="38">
        <v>802</v>
      </c>
      <c r="C808" s="39" t="s">
        <v>6197</v>
      </c>
      <c r="D808" s="10" t="str">
        <f>VLOOKUP(C808,'Data Angt'!$A$5:$B$5809,2,FALSE)</f>
        <v>A2745</v>
      </c>
      <c r="E808" s="40" t="s">
        <v>18214</v>
      </c>
      <c r="F808" s="41">
        <v>45520</v>
      </c>
      <c r="G808" s="38">
        <v>1</v>
      </c>
      <c r="H808" s="40">
        <v>0</v>
      </c>
      <c r="I808" s="38">
        <v>4</v>
      </c>
      <c r="J808" s="41">
        <v>45520</v>
      </c>
      <c r="K808" s="38" t="s">
        <v>10768</v>
      </c>
      <c r="L808" s="42">
        <v>10000000</v>
      </c>
      <c r="O808"/>
    </row>
    <row r="809" spans="1:15" x14ac:dyDescent="0.3">
      <c r="A809" s="37">
        <v>140558</v>
      </c>
      <c r="B809" s="38">
        <v>803</v>
      </c>
      <c r="C809" s="39" t="s">
        <v>6238</v>
      </c>
      <c r="D809" s="10" t="str">
        <f>VLOOKUP(C809,'Data Angt'!$A$5:$B$5809,2,FALSE)</f>
        <v>A2764</v>
      </c>
      <c r="E809" s="40" t="s">
        <v>11519</v>
      </c>
      <c r="F809" s="41">
        <v>45250</v>
      </c>
      <c r="G809" s="38">
        <v>1</v>
      </c>
      <c r="H809" s="40">
        <v>0</v>
      </c>
      <c r="I809" s="38">
        <v>4</v>
      </c>
      <c r="J809" s="41">
        <v>45250</v>
      </c>
      <c r="K809" s="38" t="s">
        <v>10768</v>
      </c>
      <c r="L809" s="42">
        <v>5000000</v>
      </c>
      <c r="O809"/>
    </row>
    <row r="810" spans="1:15" x14ac:dyDescent="0.3">
      <c r="A810" s="37">
        <v>131878</v>
      </c>
      <c r="B810" s="38">
        <v>804</v>
      </c>
      <c r="C810" s="39" t="s">
        <v>6247</v>
      </c>
      <c r="D810" s="10" t="str">
        <f>VLOOKUP(C810,'Data Angt'!$A$5:$B$5809,2,FALSE)</f>
        <v>A2767</v>
      </c>
      <c r="E810" s="40" t="s">
        <v>11518</v>
      </c>
      <c r="F810" s="41">
        <v>44614</v>
      </c>
      <c r="G810" s="38">
        <v>1</v>
      </c>
      <c r="H810" s="40">
        <v>0</v>
      </c>
      <c r="I810" s="38">
        <v>4</v>
      </c>
      <c r="J810" s="41">
        <v>44614</v>
      </c>
      <c r="K810" s="38" t="s">
        <v>10768</v>
      </c>
      <c r="L810" s="42">
        <v>2000000</v>
      </c>
      <c r="O810"/>
    </row>
    <row r="811" spans="1:15" x14ac:dyDescent="0.3">
      <c r="A811" s="37">
        <v>158643</v>
      </c>
      <c r="B811" s="38">
        <v>805</v>
      </c>
      <c r="C811" s="39" t="s">
        <v>6247</v>
      </c>
      <c r="D811" s="10" t="str">
        <f>VLOOKUP(C811,'Data Angt'!$A$5:$B$5809,2,FALSE)</f>
        <v>A2767</v>
      </c>
      <c r="E811" s="40" t="s">
        <v>24068</v>
      </c>
      <c r="F811" s="41">
        <v>45918</v>
      </c>
      <c r="G811" s="38">
        <v>1</v>
      </c>
      <c r="H811" s="40">
        <v>0</v>
      </c>
      <c r="I811" s="38">
        <v>4</v>
      </c>
      <c r="J811" s="41">
        <v>45918</v>
      </c>
      <c r="K811" s="38" t="s">
        <v>10768</v>
      </c>
      <c r="L811" s="42">
        <v>4500000</v>
      </c>
      <c r="O811"/>
    </row>
    <row r="812" spans="1:15" x14ac:dyDescent="0.3">
      <c r="A812" s="37">
        <v>130153</v>
      </c>
      <c r="B812" s="38">
        <v>806</v>
      </c>
      <c r="C812" s="39" t="s">
        <v>6250</v>
      </c>
      <c r="D812" s="10" t="str">
        <f>VLOOKUP(C812,'Data Angt'!$A$5:$B$5809,2,FALSE)</f>
        <v>A2769</v>
      </c>
      <c r="E812" s="40" t="s">
        <v>11517</v>
      </c>
      <c r="F812" s="41">
        <v>44473</v>
      </c>
      <c r="G812" s="38">
        <v>1</v>
      </c>
      <c r="H812" s="40">
        <v>0</v>
      </c>
      <c r="I812" s="38">
        <v>4</v>
      </c>
      <c r="J812" s="41">
        <v>44473</v>
      </c>
      <c r="K812" s="38" t="s">
        <v>10768</v>
      </c>
      <c r="L812" s="42">
        <v>50000000</v>
      </c>
      <c r="O812"/>
    </row>
    <row r="813" spans="1:15" x14ac:dyDescent="0.3">
      <c r="A813" s="37">
        <v>141546</v>
      </c>
      <c r="B813" s="38">
        <v>807</v>
      </c>
      <c r="C813" s="39" t="s">
        <v>6250</v>
      </c>
      <c r="D813" s="10" t="str">
        <f>VLOOKUP(C813,'Data Angt'!$A$5:$B$5809,2,FALSE)</f>
        <v>A2769</v>
      </c>
      <c r="E813" s="40" t="s">
        <v>18216</v>
      </c>
      <c r="F813" s="41">
        <v>45301</v>
      </c>
      <c r="G813" s="38">
        <v>1</v>
      </c>
      <c r="H813" s="40">
        <v>0</v>
      </c>
      <c r="I813" s="38">
        <v>4</v>
      </c>
      <c r="J813" s="41">
        <v>45301</v>
      </c>
      <c r="K813" s="38" t="s">
        <v>10768</v>
      </c>
      <c r="L813" s="42">
        <v>50000000</v>
      </c>
      <c r="O813"/>
    </row>
    <row r="814" spans="1:15" x14ac:dyDescent="0.3">
      <c r="A814" s="37">
        <v>156469</v>
      </c>
      <c r="B814" s="38">
        <v>808</v>
      </c>
      <c r="C814" s="39" t="s">
        <v>6250</v>
      </c>
      <c r="D814" s="10" t="str">
        <f>VLOOKUP(C814,'Data Angt'!$A$5:$B$5809,2,FALSE)</f>
        <v>A2769</v>
      </c>
      <c r="E814" s="40" t="s">
        <v>18215</v>
      </c>
      <c r="F814" s="41">
        <v>45827</v>
      </c>
      <c r="G814" s="38">
        <v>1</v>
      </c>
      <c r="H814" s="40">
        <v>0</v>
      </c>
      <c r="I814" s="38">
        <v>4</v>
      </c>
      <c r="J814" s="41">
        <v>45827</v>
      </c>
      <c r="K814" s="38" t="s">
        <v>10768</v>
      </c>
      <c r="L814" s="42">
        <v>10000000</v>
      </c>
      <c r="O814"/>
    </row>
    <row r="815" spans="1:15" x14ac:dyDescent="0.3">
      <c r="A815" s="37">
        <v>156851</v>
      </c>
      <c r="B815" s="38">
        <v>809</v>
      </c>
      <c r="C815" s="39" t="s">
        <v>6260</v>
      </c>
      <c r="D815" s="10" t="str">
        <f>VLOOKUP(C815,'Data Angt'!$A$5:$B$5809,2,FALSE)</f>
        <v>A2774</v>
      </c>
      <c r="E815" s="40" t="s">
        <v>24069</v>
      </c>
      <c r="F815" s="41">
        <v>45846</v>
      </c>
      <c r="G815" s="38">
        <v>1</v>
      </c>
      <c r="H815" s="40">
        <v>0</v>
      </c>
      <c r="I815" s="38">
        <v>4</v>
      </c>
      <c r="J815" s="41">
        <v>45846</v>
      </c>
      <c r="K815" s="38" t="s">
        <v>10768</v>
      </c>
      <c r="L815" s="42">
        <v>10000000</v>
      </c>
      <c r="O815"/>
    </row>
    <row r="816" spans="1:15" x14ac:dyDescent="0.3">
      <c r="A816" s="37">
        <v>156852</v>
      </c>
      <c r="B816" s="38">
        <v>810</v>
      </c>
      <c r="C816" s="39" t="s">
        <v>6260</v>
      </c>
      <c r="D816" s="10" t="str">
        <f>VLOOKUP(C816,'Data Angt'!$A$5:$B$5809,2,FALSE)</f>
        <v>A2774</v>
      </c>
      <c r="E816" s="40" t="s">
        <v>24070</v>
      </c>
      <c r="F816" s="41">
        <v>45846</v>
      </c>
      <c r="G816" s="38">
        <v>1</v>
      </c>
      <c r="H816" s="40">
        <v>0</v>
      </c>
      <c r="I816" s="38">
        <v>4</v>
      </c>
      <c r="J816" s="41">
        <v>45846</v>
      </c>
      <c r="K816" s="38" t="s">
        <v>10768</v>
      </c>
      <c r="L816" s="42">
        <v>10000000</v>
      </c>
      <c r="O816"/>
    </row>
    <row r="817" spans="1:15" x14ac:dyDescent="0.3">
      <c r="A817" s="37">
        <v>156853</v>
      </c>
      <c r="B817" s="38">
        <v>811</v>
      </c>
      <c r="C817" s="39" t="s">
        <v>6260</v>
      </c>
      <c r="D817" s="10" t="str">
        <f>VLOOKUP(C817,'Data Angt'!$A$5:$B$5809,2,FALSE)</f>
        <v>A2774</v>
      </c>
      <c r="E817" s="40" t="s">
        <v>24071</v>
      </c>
      <c r="F817" s="41">
        <v>45846</v>
      </c>
      <c r="G817" s="38">
        <v>1</v>
      </c>
      <c r="H817" s="40">
        <v>0</v>
      </c>
      <c r="I817" s="38">
        <v>4</v>
      </c>
      <c r="J817" s="41">
        <v>45846</v>
      </c>
      <c r="K817" s="38" t="s">
        <v>10768</v>
      </c>
      <c r="L817" s="42">
        <v>10000000</v>
      </c>
      <c r="O817"/>
    </row>
    <row r="818" spans="1:15" x14ac:dyDescent="0.3">
      <c r="A818" s="37">
        <v>157042</v>
      </c>
      <c r="B818" s="38">
        <v>812</v>
      </c>
      <c r="C818" s="39" t="s">
        <v>6260</v>
      </c>
      <c r="D818" s="10" t="str">
        <f>VLOOKUP(C818,'Data Angt'!$A$5:$B$5809,2,FALSE)</f>
        <v>A2774</v>
      </c>
      <c r="E818" s="40" t="s">
        <v>24072</v>
      </c>
      <c r="F818" s="41">
        <v>45854</v>
      </c>
      <c r="G818" s="38">
        <v>1</v>
      </c>
      <c r="H818" s="40">
        <v>0</v>
      </c>
      <c r="I818" s="38">
        <v>4</v>
      </c>
      <c r="J818" s="41">
        <v>45854</v>
      </c>
      <c r="K818" s="38" t="s">
        <v>10768</v>
      </c>
      <c r="L818" s="42">
        <v>10000000</v>
      </c>
      <c r="O818"/>
    </row>
    <row r="819" spans="1:15" x14ac:dyDescent="0.3">
      <c r="A819" s="37">
        <v>157555</v>
      </c>
      <c r="B819" s="38">
        <v>813</v>
      </c>
      <c r="C819" s="39" t="s">
        <v>6260</v>
      </c>
      <c r="D819" s="10" t="str">
        <f>VLOOKUP(C819,'Data Angt'!$A$5:$B$5809,2,FALSE)</f>
        <v>A2774</v>
      </c>
      <c r="E819" s="40" t="s">
        <v>24073</v>
      </c>
      <c r="F819" s="41">
        <v>45873</v>
      </c>
      <c r="G819" s="38">
        <v>1</v>
      </c>
      <c r="H819" s="40">
        <v>0</v>
      </c>
      <c r="I819" s="38">
        <v>4</v>
      </c>
      <c r="J819" s="41">
        <v>45873</v>
      </c>
      <c r="K819" s="38" t="s">
        <v>10768</v>
      </c>
      <c r="L819" s="42">
        <v>5000000</v>
      </c>
      <c r="O819"/>
    </row>
    <row r="820" spans="1:15" x14ac:dyDescent="0.3">
      <c r="A820" s="37">
        <v>138861</v>
      </c>
      <c r="B820" s="38">
        <v>814</v>
      </c>
      <c r="C820" s="39" t="s">
        <v>6260</v>
      </c>
      <c r="D820" s="10" t="str">
        <f>VLOOKUP(C820,'Data Angt'!$A$5:$B$5809,2,FALSE)</f>
        <v>A2774</v>
      </c>
      <c r="E820" s="40" t="s">
        <v>11516</v>
      </c>
      <c r="F820" s="41">
        <v>45160</v>
      </c>
      <c r="G820" s="38">
        <v>1</v>
      </c>
      <c r="H820" s="40">
        <v>0</v>
      </c>
      <c r="I820" s="38">
        <v>4</v>
      </c>
      <c r="J820" s="41">
        <v>45160</v>
      </c>
      <c r="K820" s="38" t="s">
        <v>10768</v>
      </c>
      <c r="L820" s="42">
        <v>20000000</v>
      </c>
      <c r="O820"/>
    </row>
    <row r="821" spans="1:15" x14ac:dyDescent="0.3">
      <c r="A821" s="37">
        <v>151056</v>
      </c>
      <c r="B821" s="38">
        <v>815</v>
      </c>
      <c r="C821" s="39" t="s">
        <v>6260</v>
      </c>
      <c r="D821" s="10" t="str">
        <f>VLOOKUP(C821,'Data Angt'!$A$5:$B$5809,2,FALSE)</f>
        <v>A2774</v>
      </c>
      <c r="E821" s="40" t="s">
        <v>18217</v>
      </c>
      <c r="F821" s="41">
        <v>45624</v>
      </c>
      <c r="G821" s="38">
        <v>1</v>
      </c>
      <c r="H821" s="40">
        <v>0</v>
      </c>
      <c r="I821" s="38">
        <v>4</v>
      </c>
      <c r="J821" s="41">
        <v>45624</v>
      </c>
      <c r="K821" s="38" t="s">
        <v>10768</v>
      </c>
      <c r="L821" s="42">
        <v>25000000</v>
      </c>
      <c r="O821"/>
    </row>
    <row r="822" spans="1:15" x14ac:dyDescent="0.3">
      <c r="A822" s="37">
        <v>151057</v>
      </c>
      <c r="B822" s="38">
        <v>816</v>
      </c>
      <c r="C822" s="39" t="s">
        <v>6260</v>
      </c>
      <c r="D822" s="10" t="str">
        <f>VLOOKUP(C822,'Data Angt'!$A$5:$B$5809,2,FALSE)</f>
        <v>A2774</v>
      </c>
      <c r="E822" s="40" t="s">
        <v>18218</v>
      </c>
      <c r="F822" s="41">
        <v>45624</v>
      </c>
      <c r="G822" s="38">
        <v>1</v>
      </c>
      <c r="H822" s="40">
        <v>0</v>
      </c>
      <c r="I822" s="38">
        <v>4</v>
      </c>
      <c r="J822" s="41">
        <v>45624</v>
      </c>
      <c r="K822" s="38" t="s">
        <v>10768</v>
      </c>
      <c r="L822" s="42">
        <v>25000000</v>
      </c>
      <c r="O822"/>
    </row>
    <row r="823" spans="1:15" x14ac:dyDescent="0.3">
      <c r="A823" s="37">
        <v>81250</v>
      </c>
      <c r="B823" s="38">
        <v>817</v>
      </c>
      <c r="C823" s="39" t="s">
        <v>6269</v>
      </c>
      <c r="D823" s="10" t="str">
        <f>VLOOKUP(C823,'Data Angt'!$A$5:$B$5809,2,FALSE)</f>
        <v>A2777</v>
      </c>
      <c r="E823" s="40" t="s">
        <v>11515</v>
      </c>
      <c r="F823" s="41">
        <v>43171</v>
      </c>
      <c r="G823" s="38">
        <v>1</v>
      </c>
      <c r="H823" s="40">
        <v>0</v>
      </c>
      <c r="I823" s="38">
        <v>4</v>
      </c>
      <c r="J823" s="41">
        <v>43171</v>
      </c>
      <c r="K823" s="38" t="s">
        <v>10768</v>
      </c>
      <c r="L823" s="42">
        <v>1000000</v>
      </c>
      <c r="O823"/>
    </row>
    <row r="824" spans="1:15" x14ac:dyDescent="0.3">
      <c r="A824" s="37">
        <v>144416</v>
      </c>
      <c r="B824" s="38">
        <v>818</v>
      </c>
      <c r="C824" s="39" t="s">
        <v>6318</v>
      </c>
      <c r="D824" s="10" t="str">
        <f>VLOOKUP(C824,'Data Angt'!$A$5:$B$5809,2,FALSE)</f>
        <v>A2800</v>
      </c>
      <c r="E824" s="40" t="s">
        <v>18219</v>
      </c>
      <c r="F824" s="41">
        <v>45407</v>
      </c>
      <c r="G824" s="38">
        <v>1</v>
      </c>
      <c r="H824" s="40">
        <v>0</v>
      </c>
      <c r="I824" s="38">
        <v>4</v>
      </c>
      <c r="J824" s="41">
        <v>45407</v>
      </c>
      <c r="K824" s="38" t="s">
        <v>10768</v>
      </c>
      <c r="L824" s="42">
        <v>3000000</v>
      </c>
      <c r="O824"/>
    </row>
    <row r="825" spans="1:15" x14ac:dyDescent="0.3">
      <c r="A825" s="37">
        <v>156289</v>
      </c>
      <c r="B825" s="38">
        <v>819</v>
      </c>
      <c r="C825" s="39" t="s">
        <v>6349</v>
      </c>
      <c r="D825" s="10" t="str">
        <f>VLOOKUP(C825,'Data Angt'!$A$5:$B$5809,2,FALSE)</f>
        <v>A2814</v>
      </c>
      <c r="E825" s="40" t="s">
        <v>18220</v>
      </c>
      <c r="F825" s="41">
        <v>45818</v>
      </c>
      <c r="G825" s="38">
        <v>1</v>
      </c>
      <c r="H825" s="40">
        <v>0</v>
      </c>
      <c r="I825" s="38">
        <v>4</v>
      </c>
      <c r="J825" s="41">
        <v>45818</v>
      </c>
      <c r="K825" s="38" t="s">
        <v>10768</v>
      </c>
      <c r="L825" s="42">
        <v>8000000</v>
      </c>
      <c r="O825"/>
    </row>
    <row r="826" spans="1:15" x14ac:dyDescent="0.3">
      <c r="A826" s="37">
        <v>158338</v>
      </c>
      <c r="B826" s="38">
        <v>820</v>
      </c>
      <c r="C826" s="39" t="s">
        <v>6387</v>
      </c>
      <c r="D826" s="10" t="str">
        <f>VLOOKUP(C826,'Data Angt'!$A$5:$B$5809,2,FALSE)</f>
        <v>A2832</v>
      </c>
      <c r="E826" s="40" t="s">
        <v>24074</v>
      </c>
      <c r="F826" s="41">
        <v>45904</v>
      </c>
      <c r="G826" s="38">
        <v>1</v>
      </c>
      <c r="H826" s="40">
        <v>0</v>
      </c>
      <c r="I826" s="38">
        <v>4</v>
      </c>
      <c r="J826" s="41">
        <v>45904</v>
      </c>
      <c r="K826" s="38" t="s">
        <v>10768</v>
      </c>
      <c r="L826" s="42">
        <v>30000000</v>
      </c>
      <c r="O826"/>
    </row>
    <row r="827" spans="1:15" x14ac:dyDescent="0.3">
      <c r="A827" s="37">
        <v>158339</v>
      </c>
      <c r="B827" s="38">
        <v>821</v>
      </c>
      <c r="C827" s="39" t="s">
        <v>6387</v>
      </c>
      <c r="D827" s="10" t="str">
        <f>VLOOKUP(C827,'Data Angt'!$A$5:$B$5809,2,FALSE)</f>
        <v>A2832</v>
      </c>
      <c r="E827" s="40" t="s">
        <v>24075</v>
      </c>
      <c r="F827" s="41">
        <v>45904</v>
      </c>
      <c r="G827" s="38">
        <v>1</v>
      </c>
      <c r="H827" s="40">
        <v>0</v>
      </c>
      <c r="I827" s="38">
        <v>4</v>
      </c>
      <c r="J827" s="41">
        <v>45904</v>
      </c>
      <c r="K827" s="38" t="s">
        <v>10768</v>
      </c>
      <c r="L827" s="42">
        <v>30000000</v>
      </c>
      <c r="O827"/>
    </row>
    <row r="828" spans="1:15" x14ac:dyDescent="0.3">
      <c r="A828" s="37">
        <v>158340</v>
      </c>
      <c r="B828" s="38">
        <v>822</v>
      </c>
      <c r="C828" s="39" t="s">
        <v>6387</v>
      </c>
      <c r="D828" s="10" t="str">
        <f>VLOOKUP(C828,'Data Angt'!$A$5:$B$5809,2,FALSE)</f>
        <v>A2832</v>
      </c>
      <c r="E828" s="40" t="s">
        <v>24076</v>
      </c>
      <c r="F828" s="41">
        <v>45904</v>
      </c>
      <c r="G828" s="38">
        <v>1</v>
      </c>
      <c r="H828" s="40">
        <v>0</v>
      </c>
      <c r="I828" s="38">
        <v>4</v>
      </c>
      <c r="J828" s="41">
        <v>45904</v>
      </c>
      <c r="K828" s="38" t="s">
        <v>10768</v>
      </c>
      <c r="L828" s="42">
        <v>50000000</v>
      </c>
      <c r="O828"/>
    </row>
    <row r="829" spans="1:15" x14ac:dyDescent="0.3">
      <c r="A829" s="37">
        <v>117702</v>
      </c>
      <c r="B829" s="38">
        <v>823</v>
      </c>
      <c r="C829" s="39" t="s">
        <v>6387</v>
      </c>
      <c r="D829" s="10" t="str">
        <f>VLOOKUP(C829,'Data Angt'!$A$5:$B$5809,2,FALSE)</f>
        <v>A2832</v>
      </c>
      <c r="E829" s="40" t="s">
        <v>11514</v>
      </c>
      <c r="F829" s="41">
        <v>43764</v>
      </c>
      <c r="G829" s="38">
        <v>1</v>
      </c>
      <c r="H829" s="40">
        <v>0</v>
      </c>
      <c r="I829" s="38">
        <v>4</v>
      </c>
      <c r="J829" s="41">
        <v>43764</v>
      </c>
      <c r="K829" s="38" t="s">
        <v>10768</v>
      </c>
      <c r="L829" s="42">
        <v>20500000</v>
      </c>
      <c r="O829"/>
    </row>
    <row r="830" spans="1:15" x14ac:dyDescent="0.3">
      <c r="A830" s="37">
        <v>149378</v>
      </c>
      <c r="B830" s="38">
        <v>824</v>
      </c>
      <c r="C830" s="39" t="s">
        <v>6436</v>
      </c>
      <c r="D830" s="10" t="str">
        <f>VLOOKUP(C830,'Data Angt'!$A$5:$B$5809,2,FALSE)</f>
        <v>A2855</v>
      </c>
      <c r="E830" s="40" t="s">
        <v>18221</v>
      </c>
      <c r="F830" s="41">
        <v>45562</v>
      </c>
      <c r="G830" s="38">
        <v>1</v>
      </c>
      <c r="H830" s="40">
        <v>0</v>
      </c>
      <c r="I830" s="38">
        <v>4</v>
      </c>
      <c r="J830" s="41">
        <v>45562</v>
      </c>
      <c r="K830" s="38" t="s">
        <v>10768</v>
      </c>
      <c r="L830" s="42">
        <v>35000000</v>
      </c>
      <c r="O830"/>
    </row>
    <row r="831" spans="1:15" x14ac:dyDescent="0.3">
      <c r="A831" s="37">
        <v>131918</v>
      </c>
      <c r="B831" s="38">
        <v>825</v>
      </c>
      <c r="C831" s="39" t="s">
        <v>6441</v>
      </c>
      <c r="D831" s="10" t="str">
        <f>VLOOKUP(C831,'Data Angt'!$A$5:$B$5809,2,FALSE)</f>
        <v>A2857</v>
      </c>
      <c r="E831" s="40" t="s">
        <v>11513</v>
      </c>
      <c r="F831" s="41">
        <v>44621</v>
      </c>
      <c r="G831" s="38">
        <v>1</v>
      </c>
      <c r="H831" s="40">
        <v>0</v>
      </c>
      <c r="I831" s="38">
        <v>4</v>
      </c>
      <c r="J831" s="41">
        <v>44621</v>
      </c>
      <c r="K831" s="38" t="s">
        <v>10768</v>
      </c>
      <c r="L831" s="42">
        <v>30000000</v>
      </c>
      <c r="O831"/>
    </row>
    <row r="832" spans="1:15" x14ac:dyDescent="0.3">
      <c r="A832" s="37">
        <v>152328</v>
      </c>
      <c r="B832" s="38">
        <v>826</v>
      </c>
      <c r="C832" s="39" t="s">
        <v>6441</v>
      </c>
      <c r="D832" s="10" t="str">
        <f>VLOOKUP(C832,'Data Angt'!$A$5:$B$5809,2,FALSE)</f>
        <v>A2857</v>
      </c>
      <c r="E832" s="40" t="s">
        <v>18222</v>
      </c>
      <c r="F832" s="41">
        <v>45677</v>
      </c>
      <c r="G832" s="38">
        <v>1</v>
      </c>
      <c r="H832" s="40">
        <v>0</v>
      </c>
      <c r="I832" s="38">
        <v>4</v>
      </c>
      <c r="J832" s="41">
        <v>45677</v>
      </c>
      <c r="K832" s="38" t="s">
        <v>10768</v>
      </c>
      <c r="L832" s="42">
        <v>15000000</v>
      </c>
      <c r="O832"/>
    </row>
    <row r="833" spans="1:15" x14ac:dyDescent="0.3">
      <c r="A833" s="37">
        <v>88667</v>
      </c>
      <c r="B833" s="38">
        <v>827</v>
      </c>
      <c r="C833" s="39" t="s">
        <v>6510</v>
      </c>
      <c r="D833" s="10" t="str">
        <f>VLOOKUP(C833,'Data Angt'!$A$5:$B$5809,2,FALSE)</f>
        <v>A2890</v>
      </c>
      <c r="E833" s="40" t="s">
        <v>11512</v>
      </c>
      <c r="F833" s="41">
        <v>43322</v>
      </c>
      <c r="G833" s="38">
        <v>1</v>
      </c>
      <c r="H833" s="40">
        <v>0</v>
      </c>
      <c r="I833" s="38">
        <v>4</v>
      </c>
      <c r="J833" s="41">
        <v>43322</v>
      </c>
      <c r="K833" s="38" t="s">
        <v>10768</v>
      </c>
      <c r="L833" s="42">
        <v>5000000</v>
      </c>
      <c r="O833"/>
    </row>
    <row r="834" spans="1:15" x14ac:dyDescent="0.3">
      <c r="A834" s="37">
        <v>78253</v>
      </c>
      <c r="B834" s="38">
        <v>828</v>
      </c>
      <c r="C834" s="39" t="s">
        <v>6516</v>
      </c>
      <c r="D834" s="10" t="str">
        <f>VLOOKUP(C834,'Data Angt'!$A$5:$B$5809,2,FALSE)</f>
        <v>A2894</v>
      </c>
      <c r="E834" s="40" t="s">
        <v>11510</v>
      </c>
      <c r="F834" s="41">
        <v>43035</v>
      </c>
      <c r="G834" s="38">
        <v>1</v>
      </c>
      <c r="H834" s="40">
        <v>0</v>
      </c>
      <c r="I834" s="38">
        <v>4</v>
      </c>
      <c r="J834" s="41">
        <v>43035</v>
      </c>
      <c r="K834" s="38" t="s">
        <v>10768</v>
      </c>
      <c r="L834" s="42">
        <v>24000000</v>
      </c>
      <c r="O834"/>
    </row>
    <row r="835" spans="1:15" x14ac:dyDescent="0.3">
      <c r="A835" s="37">
        <v>92205</v>
      </c>
      <c r="B835" s="38">
        <v>829</v>
      </c>
      <c r="C835" s="39" t="s">
        <v>6516</v>
      </c>
      <c r="D835" s="10" t="str">
        <f>VLOOKUP(C835,'Data Angt'!$A$5:$B$5809,2,FALSE)</f>
        <v>A2894</v>
      </c>
      <c r="E835" s="40" t="s">
        <v>11509</v>
      </c>
      <c r="F835" s="41">
        <v>43439</v>
      </c>
      <c r="G835" s="38">
        <v>1</v>
      </c>
      <c r="H835" s="40">
        <v>0</v>
      </c>
      <c r="I835" s="38">
        <v>4</v>
      </c>
      <c r="J835" s="41">
        <v>43439</v>
      </c>
      <c r="K835" s="38" t="s">
        <v>10768</v>
      </c>
      <c r="L835" s="42">
        <v>6000000</v>
      </c>
      <c r="O835"/>
    </row>
    <row r="836" spans="1:15" x14ac:dyDescent="0.3">
      <c r="A836" s="37">
        <v>132835</v>
      </c>
      <c r="B836" s="38">
        <v>830</v>
      </c>
      <c r="C836" s="39" t="s">
        <v>6516</v>
      </c>
      <c r="D836" s="10" t="str">
        <f>VLOOKUP(C836,'Data Angt'!$A$5:$B$5809,2,FALSE)</f>
        <v>A2894</v>
      </c>
      <c r="E836" s="40" t="s">
        <v>11508</v>
      </c>
      <c r="F836" s="41">
        <v>44692</v>
      </c>
      <c r="G836" s="38">
        <v>1</v>
      </c>
      <c r="H836" s="40">
        <v>0</v>
      </c>
      <c r="I836" s="38">
        <v>4</v>
      </c>
      <c r="J836" s="41">
        <v>44692</v>
      </c>
      <c r="K836" s="38" t="s">
        <v>10768</v>
      </c>
      <c r="L836" s="42">
        <v>24000000</v>
      </c>
      <c r="O836"/>
    </row>
    <row r="837" spans="1:15" x14ac:dyDescent="0.3">
      <c r="A837" s="37">
        <v>138364</v>
      </c>
      <c r="B837" s="38">
        <v>831</v>
      </c>
      <c r="C837" s="39" t="s">
        <v>6516</v>
      </c>
      <c r="D837" s="10" t="str">
        <f>VLOOKUP(C837,'Data Angt'!$A$5:$B$5809,2,FALSE)</f>
        <v>A2894</v>
      </c>
      <c r="E837" s="40" t="s">
        <v>11511</v>
      </c>
      <c r="F837" s="41">
        <v>45135</v>
      </c>
      <c r="G837" s="38">
        <v>1</v>
      </c>
      <c r="H837" s="40">
        <v>0</v>
      </c>
      <c r="I837" s="38">
        <v>4</v>
      </c>
      <c r="J837" s="41">
        <v>45135</v>
      </c>
      <c r="K837" s="38" t="s">
        <v>10768</v>
      </c>
      <c r="L837" s="42">
        <v>16000000</v>
      </c>
      <c r="O837"/>
    </row>
    <row r="838" spans="1:15" x14ac:dyDescent="0.3">
      <c r="A838" s="37">
        <v>148113</v>
      </c>
      <c r="B838" s="38">
        <v>832</v>
      </c>
      <c r="C838" s="39" t="s">
        <v>6516</v>
      </c>
      <c r="D838" s="10" t="str">
        <f>VLOOKUP(C838,'Data Angt'!$A$5:$B$5809,2,FALSE)</f>
        <v>A2894</v>
      </c>
      <c r="E838" s="40" t="s">
        <v>18223</v>
      </c>
      <c r="F838" s="41">
        <v>45516</v>
      </c>
      <c r="G838" s="38">
        <v>1</v>
      </c>
      <c r="H838" s="40">
        <v>0</v>
      </c>
      <c r="I838" s="38">
        <v>4</v>
      </c>
      <c r="J838" s="41">
        <v>45516</v>
      </c>
      <c r="K838" s="38" t="s">
        <v>10768</v>
      </c>
      <c r="L838" s="42">
        <v>18000000</v>
      </c>
      <c r="O838"/>
    </row>
    <row r="839" spans="1:15" x14ac:dyDescent="0.3">
      <c r="A839" s="37">
        <v>119730</v>
      </c>
      <c r="B839" s="38">
        <v>833</v>
      </c>
      <c r="C839" s="39" t="s">
        <v>6530</v>
      </c>
      <c r="D839" s="10" t="str">
        <f>VLOOKUP(C839,'Data Angt'!$A$5:$B$5809,2,FALSE)</f>
        <v>A2900</v>
      </c>
      <c r="E839" s="40" t="s">
        <v>11506</v>
      </c>
      <c r="F839" s="41">
        <v>43846</v>
      </c>
      <c r="G839" s="38">
        <v>1</v>
      </c>
      <c r="H839" s="40">
        <v>0</v>
      </c>
      <c r="I839" s="38">
        <v>4</v>
      </c>
      <c r="J839" s="41">
        <v>43846</v>
      </c>
      <c r="K839" s="38" t="s">
        <v>10768</v>
      </c>
      <c r="L839" s="42">
        <v>10000000</v>
      </c>
      <c r="O839"/>
    </row>
    <row r="840" spans="1:15" x14ac:dyDescent="0.3">
      <c r="A840" s="37">
        <v>152198</v>
      </c>
      <c r="B840" s="38">
        <v>834</v>
      </c>
      <c r="C840" s="39" t="s">
        <v>6530</v>
      </c>
      <c r="D840" s="10" t="str">
        <f>VLOOKUP(C840,'Data Angt'!$A$5:$B$5809,2,FALSE)</f>
        <v>A2900</v>
      </c>
      <c r="E840" s="40" t="s">
        <v>18224</v>
      </c>
      <c r="F840" s="41">
        <v>45672</v>
      </c>
      <c r="G840" s="38">
        <v>1</v>
      </c>
      <c r="H840" s="40">
        <v>0</v>
      </c>
      <c r="I840" s="38">
        <v>4</v>
      </c>
      <c r="J840" s="41">
        <v>45672</v>
      </c>
      <c r="K840" s="38" t="s">
        <v>10768</v>
      </c>
      <c r="L840" s="42">
        <v>30000000</v>
      </c>
      <c r="O840"/>
    </row>
    <row r="841" spans="1:15" x14ac:dyDescent="0.3">
      <c r="A841" s="37">
        <v>78174</v>
      </c>
      <c r="B841" s="38">
        <v>835</v>
      </c>
      <c r="C841" s="39" t="s">
        <v>6550</v>
      </c>
      <c r="D841" s="10" t="str">
        <f>VLOOKUP(C841,'Data Angt'!$A$5:$B$5809,2,FALSE)</f>
        <v>A2908</v>
      </c>
      <c r="E841" s="40" t="s">
        <v>11505</v>
      </c>
      <c r="F841" s="41">
        <v>42931</v>
      </c>
      <c r="G841" s="38">
        <v>1</v>
      </c>
      <c r="H841" s="40">
        <v>0</v>
      </c>
      <c r="I841" s="38">
        <v>4</v>
      </c>
      <c r="J841" s="41">
        <v>42931</v>
      </c>
      <c r="K841" s="38" t="s">
        <v>10768</v>
      </c>
      <c r="L841" s="42">
        <v>3000000</v>
      </c>
      <c r="O841"/>
    </row>
    <row r="842" spans="1:15" x14ac:dyDescent="0.3">
      <c r="A842" s="37">
        <v>120771</v>
      </c>
      <c r="B842" s="38">
        <v>836</v>
      </c>
      <c r="C842" s="39" t="s">
        <v>6550</v>
      </c>
      <c r="D842" s="10" t="str">
        <f>VLOOKUP(C842,'Data Angt'!$A$5:$B$5809,2,FALSE)</f>
        <v>A2908</v>
      </c>
      <c r="E842" s="40" t="s">
        <v>11504</v>
      </c>
      <c r="F842" s="41">
        <v>43876</v>
      </c>
      <c r="G842" s="38">
        <v>1</v>
      </c>
      <c r="H842" s="40">
        <v>0</v>
      </c>
      <c r="I842" s="38">
        <v>4</v>
      </c>
      <c r="J842" s="41">
        <v>43876</v>
      </c>
      <c r="K842" s="38" t="s">
        <v>10768</v>
      </c>
      <c r="L842" s="42">
        <v>1000000</v>
      </c>
      <c r="O842"/>
    </row>
    <row r="843" spans="1:15" x14ac:dyDescent="0.3">
      <c r="A843" s="37">
        <v>125037</v>
      </c>
      <c r="B843" s="38">
        <v>837</v>
      </c>
      <c r="C843" s="39" t="s">
        <v>6550</v>
      </c>
      <c r="D843" s="10" t="str">
        <f>VLOOKUP(C843,'Data Angt'!$A$5:$B$5809,2,FALSE)</f>
        <v>A2908</v>
      </c>
      <c r="E843" s="40" t="s">
        <v>11503</v>
      </c>
      <c r="F843" s="41">
        <v>44089</v>
      </c>
      <c r="G843" s="38">
        <v>1</v>
      </c>
      <c r="H843" s="40">
        <v>0</v>
      </c>
      <c r="I843" s="38">
        <v>4</v>
      </c>
      <c r="J843" s="41">
        <v>44089</v>
      </c>
      <c r="K843" s="38" t="s">
        <v>10768</v>
      </c>
      <c r="L843" s="42">
        <v>1000000</v>
      </c>
      <c r="O843"/>
    </row>
    <row r="844" spans="1:15" x14ac:dyDescent="0.3">
      <c r="A844" s="37">
        <v>127887</v>
      </c>
      <c r="B844" s="38">
        <v>838</v>
      </c>
      <c r="C844" s="39" t="s">
        <v>6561</v>
      </c>
      <c r="D844" s="10" t="str">
        <f>VLOOKUP(C844,'Data Angt'!$A$5:$B$5809,2,FALSE)</f>
        <v>A2914</v>
      </c>
      <c r="E844" s="40" t="s">
        <v>11502</v>
      </c>
      <c r="F844" s="41">
        <v>44302</v>
      </c>
      <c r="G844" s="38">
        <v>1</v>
      </c>
      <c r="H844" s="40">
        <v>0</v>
      </c>
      <c r="I844" s="38">
        <v>4</v>
      </c>
      <c r="J844" s="41">
        <v>44302</v>
      </c>
      <c r="K844" s="38" t="s">
        <v>10768</v>
      </c>
      <c r="L844" s="42">
        <v>1000000</v>
      </c>
      <c r="O844"/>
    </row>
    <row r="845" spans="1:15" x14ac:dyDescent="0.3">
      <c r="A845" s="37">
        <v>78197</v>
      </c>
      <c r="B845" s="38">
        <v>839</v>
      </c>
      <c r="C845" s="39" t="s">
        <v>6566</v>
      </c>
      <c r="D845" s="10" t="str">
        <f>VLOOKUP(C845,'Data Angt'!$A$5:$B$5809,2,FALSE)</f>
        <v>A2916</v>
      </c>
      <c r="E845" s="40" t="s">
        <v>11501</v>
      </c>
      <c r="F845" s="41">
        <v>42951</v>
      </c>
      <c r="G845" s="38">
        <v>1</v>
      </c>
      <c r="H845" s="40">
        <v>0</v>
      </c>
      <c r="I845" s="38">
        <v>4</v>
      </c>
      <c r="J845" s="41">
        <v>42833</v>
      </c>
      <c r="K845" s="38" t="s">
        <v>10768</v>
      </c>
      <c r="L845" s="42">
        <v>2000000</v>
      </c>
      <c r="O845"/>
    </row>
    <row r="846" spans="1:15" x14ac:dyDescent="0.3">
      <c r="A846" s="37">
        <v>154779</v>
      </c>
      <c r="B846" s="38">
        <v>840</v>
      </c>
      <c r="C846" s="39" t="s">
        <v>6570</v>
      </c>
      <c r="D846" s="10" t="str">
        <f>VLOOKUP(C846,'Data Angt'!$A$5:$B$5809,2,FALSE)</f>
        <v>A2918</v>
      </c>
      <c r="E846" s="40" t="s">
        <v>18225</v>
      </c>
      <c r="F846" s="41">
        <v>45741</v>
      </c>
      <c r="G846" s="38">
        <v>1</v>
      </c>
      <c r="H846" s="40">
        <v>0</v>
      </c>
      <c r="I846" s="38">
        <v>4</v>
      </c>
      <c r="J846" s="41">
        <v>45741</v>
      </c>
      <c r="K846" s="38" t="s">
        <v>10768</v>
      </c>
      <c r="L846" s="42">
        <v>10000000</v>
      </c>
      <c r="O846"/>
    </row>
    <row r="847" spans="1:15" x14ac:dyDescent="0.3">
      <c r="A847" s="37">
        <v>78170</v>
      </c>
      <c r="B847" s="38">
        <v>841</v>
      </c>
      <c r="C847" s="39" t="s">
        <v>6570</v>
      </c>
      <c r="D847" s="10" t="str">
        <f>VLOOKUP(C847,'Data Angt'!$A$5:$B$5809,2,FALSE)</f>
        <v>A2918</v>
      </c>
      <c r="E847" s="40" t="s">
        <v>11498</v>
      </c>
      <c r="F847" s="41">
        <v>42930</v>
      </c>
      <c r="G847" s="38">
        <v>1</v>
      </c>
      <c r="H847" s="40">
        <v>0</v>
      </c>
      <c r="I847" s="38">
        <v>4</v>
      </c>
      <c r="J847" s="41">
        <v>42930</v>
      </c>
      <c r="K847" s="38" t="s">
        <v>10768</v>
      </c>
      <c r="L847" s="42">
        <v>20000000</v>
      </c>
      <c r="O847"/>
    </row>
    <row r="848" spans="1:15" x14ac:dyDescent="0.3">
      <c r="A848" s="37">
        <v>78171</v>
      </c>
      <c r="B848" s="38">
        <v>842</v>
      </c>
      <c r="C848" s="39" t="s">
        <v>6570</v>
      </c>
      <c r="D848" s="10" t="str">
        <f>VLOOKUP(C848,'Data Angt'!$A$5:$B$5809,2,FALSE)</f>
        <v>A2918</v>
      </c>
      <c r="E848" s="40" t="s">
        <v>11500</v>
      </c>
      <c r="F848" s="41">
        <v>42930</v>
      </c>
      <c r="G848" s="38">
        <v>1</v>
      </c>
      <c r="H848" s="40">
        <v>0</v>
      </c>
      <c r="I848" s="38">
        <v>4</v>
      </c>
      <c r="J848" s="41">
        <v>42930</v>
      </c>
      <c r="K848" s="38" t="s">
        <v>10768</v>
      </c>
      <c r="L848" s="42">
        <v>20000000</v>
      </c>
      <c r="O848"/>
    </row>
    <row r="849" spans="1:15" x14ac:dyDescent="0.3">
      <c r="A849" s="37">
        <v>78172</v>
      </c>
      <c r="B849" s="38">
        <v>843</v>
      </c>
      <c r="C849" s="39" t="s">
        <v>6570</v>
      </c>
      <c r="D849" s="10" t="str">
        <f>VLOOKUP(C849,'Data Angt'!$A$5:$B$5809,2,FALSE)</f>
        <v>A2918</v>
      </c>
      <c r="E849" s="40" t="s">
        <v>11499</v>
      </c>
      <c r="F849" s="41">
        <v>42930</v>
      </c>
      <c r="G849" s="38">
        <v>1</v>
      </c>
      <c r="H849" s="40">
        <v>0</v>
      </c>
      <c r="I849" s="38">
        <v>4</v>
      </c>
      <c r="J849" s="41">
        <v>42930</v>
      </c>
      <c r="K849" s="38" t="s">
        <v>10768</v>
      </c>
      <c r="L849" s="42">
        <v>10000000</v>
      </c>
      <c r="O849"/>
    </row>
    <row r="850" spans="1:15" x14ac:dyDescent="0.3">
      <c r="A850" s="37">
        <v>133669</v>
      </c>
      <c r="B850" s="38">
        <v>844</v>
      </c>
      <c r="C850" s="39" t="s">
        <v>6580</v>
      </c>
      <c r="D850" s="10" t="str">
        <f>VLOOKUP(C850,'Data Angt'!$A$5:$B$5809,2,FALSE)</f>
        <v>A2923</v>
      </c>
      <c r="E850" s="40" t="s">
        <v>11497</v>
      </c>
      <c r="F850" s="41">
        <v>44758</v>
      </c>
      <c r="G850" s="38">
        <v>1</v>
      </c>
      <c r="H850" s="40">
        <v>0</v>
      </c>
      <c r="I850" s="38">
        <v>4</v>
      </c>
      <c r="J850" s="41">
        <v>44758</v>
      </c>
      <c r="K850" s="38" t="s">
        <v>10768</v>
      </c>
      <c r="L850" s="42">
        <v>10000000</v>
      </c>
      <c r="O850"/>
    </row>
    <row r="851" spans="1:15" x14ac:dyDescent="0.3">
      <c r="A851" s="37">
        <v>136809</v>
      </c>
      <c r="B851" s="38">
        <v>845</v>
      </c>
      <c r="C851" s="39" t="s">
        <v>6580</v>
      </c>
      <c r="D851" s="10" t="str">
        <f>VLOOKUP(C851,'Data Angt'!$A$5:$B$5809,2,FALSE)</f>
        <v>A2923</v>
      </c>
      <c r="E851" s="40" t="s">
        <v>11496</v>
      </c>
      <c r="F851" s="41">
        <v>45000</v>
      </c>
      <c r="G851" s="38">
        <v>1</v>
      </c>
      <c r="H851" s="40">
        <v>0</v>
      </c>
      <c r="I851" s="38">
        <v>4</v>
      </c>
      <c r="J851" s="41">
        <v>45000</v>
      </c>
      <c r="K851" s="38" t="s">
        <v>10768</v>
      </c>
      <c r="L851" s="42">
        <v>10000000</v>
      </c>
      <c r="O851"/>
    </row>
    <row r="852" spans="1:15" x14ac:dyDescent="0.3">
      <c r="A852" s="37">
        <v>158767</v>
      </c>
      <c r="B852" s="38">
        <v>846</v>
      </c>
      <c r="C852" s="39" t="s">
        <v>6600</v>
      </c>
      <c r="D852" s="10" t="str">
        <f>VLOOKUP(C852,'Data Angt'!$A$5:$B$5809,2,FALSE)</f>
        <v>A2931</v>
      </c>
      <c r="E852" s="40" t="s">
        <v>24077</v>
      </c>
      <c r="F852" s="41">
        <v>45924</v>
      </c>
      <c r="G852" s="38">
        <v>1</v>
      </c>
      <c r="H852" s="40">
        <v>0</v>
      </c>
      <c r="I852" s="38">
        <v>4</v>
      </c>
      <c r="J852" s="41">
        <v>45924</v>
      </c>
      <c r="K852" s="38" t="s">
        <v>10768</v>
      </c>
      <c r="L852" s="42">
        <v>24000000</v>
      </c>
      <c r="O852"/>
    </row>
    <row r="853" spans="1:15" x14ac:dyDescent="0.3">
      <c r="A853" s="37">
        <v>155897</v>
      </c>
      <c r="B853" s="38">
        <v>847</v>
      </c>
      <c r="C853" s="39" t="s">
        <v>6640</v>
      </c>
      <c r="D853" s="10" t="str">
        <f>VLOOKUP(C853,'Data Angt'!$A$5:$B$5809,2,FALSE)</f>
        <v>A2950</v>
      </c>
      <c r="E853" s="40" t="s">
        <v>18228</v>
      </c>
      <c r="F853" s="41">
        <v>45800</v>
      </c>
      <c r="G853" s="38">
        <v>3</v>
      </c>
      <c r="H853" s="40">
        <v>0</v>
      </c>
      <c r="I853" s="38">
        <v>4</v>
      </c>
      <c r="J853" s="41">
        <v>45800</v>
      </c>
      <c r="K853" s="38" t="s">
        <v>10768</v>
      </c>
      <c r="L853" s="42">
        <v>100000000</v>
      </c>
      <c r="O853"/>
    </row>
    <row r="854" spans="1:15" x14ac:dyDescent="0.3">
      <c r="A854" s="37">
        <v>155899</v>
      </c>
      <c r="B854" s="38">
        <v>848</v>
      </c>
      <c r="C854" s="39" t="s">
        <v>6640</v>
      </c>
      <c r="D854" s="10" t="str">
        <f>VLOOKUP(C854,'Data Angt'!$A$5:$B$5809,2,FALSE)</f>
        <v>A2950</v>
      </c>
      <c r="E854" s="40" t="s">
        <v>18229</v>
      </c>
      <c r="F854" s="41">
        <v>45800</v>
      </c>
      <c r="G854" s="38">
        <v>3</v>
      </c>
      <c r="H854" s="40">
        <v>0</v>
      </c>
      <c r="I854" s="38">
        <v>4</v>
      </c>
      <c r="J854" s="41">
        <v>45800</v>
      </c>
      <c r="K854" s="38" t="s">
        <v>10768</v>
      </c>
      <c r="L854" s="42">
        <v>100000000</v>
      </c>
      <c r="O854"/>
    </row>
    <row r="855" spans="1:15" x14ac:dyDescent="0.3">
      <c r="A855" s="37">
        <v>155901</v>
      </c>
      <c r="B855" s="38">
        <v>849</v>
      </c>
      <c r="C855" s="39" t="s">
        <v>6640</v>
      </c>
      <c r="D855" s="10" t="str">
        <f>VLOOKUP(C855,'Data Angt'!$A$5:$B$5809,2,FALSE)</f>
        <v>A2950</v>
      </c>
      <c r="E855" s="40" t="s">
        <v>18230</v>
      </c>
      <c r="F855" s="41">
        <v>45800</v>
      </c>
      <c r="G855" s="38">
        <v>3</v>
      </c>
      <c r="H855" s="40">
        <v>0</v>
      </c>
      <c r="I855" s="38">
        <v>4</v>
      </c>
      <c r="J855" s="41">
        <v>45800</v>
      </c>
      <c r="K855" s="38" t="s">
        <v>10768</v>
      </c>
      <c r="L855" s="42">
        <v>100000000</v>
      </c>
      <c r="O855"/>
    </row>
    <row r="856" spans="1:15" x14ac:dyDescent="0.3">
      <c r="A856" s="37">
        <v>155904</v>
      </c>
      <c r="B856" s="38">
        <v>850</v>
      </c>
      <c r="C856" s="39" t="s">
        <v>6640</v>
      </c>
      <c r="D856" s="10" t="str">
        <f>VLOOKUP(C856,'Data Angt'!$A$5:$B$5809,2,FALSE)</f>
        <v>A2950</v>
      </c>
      <c r="E856" s="40" t="s">
        <v>18231</v>
      </c>
      <c r="F856" s="41">
        <v>45800</v>
      </c>
      <c r="G856" s="38">
        <v>3</v>
      </c>
      <c r="H856" s="40">
        <v>0</v>
      </c>
      <c r="I856" s="38">
        <v>4</v>
      </c>
      <c r="J856" s="41">
        <v>45800</v>
      </c>
      <c r="K856" s="38" t="s">
        <v>10768</v>
      </c>
      <c r="L856" s="42">
        <v>100000000</v>
      </c>
      <c r="O856"/>
    </row>
    <row r="857" spans="1:15" x14ac:dyDescent="0.3">
      <c r="A857" s="37">
        <v>155927</v>
      </c>
      <c r="B857" s="38">
        <v>851</v>
      </c>
      <c r="C857" s="39" t="s">
        <v>6640</v>
      </c>
      <c r="D857" s="10" t="str">
        <f>VLOOKUP(C857,'Data Angt'!$A$5:$B$5809,2,FALSE)</f>
        <v>A2950</v>
      </c>
      <c r="E857" s="40" t="s">
        <v>18232</v>
      </c>
      <c r="F857" s="41">
        <v>45801</v>
      </c>
      <c r="G857" s="38">
        <v>3</v>
      </c>
      <c r="H857" s="40">
        <v>0</v>
      </c>
      <c r="I857" s="38">
        <v>4</v>
      </c>
      <c r="J857" s="41">
        <v>45801</v>
      </c>
      <c r="K857" s="38" t="s">
        <v>10768</v>
      </c>
      <c r="L857" s="42">
        <v>60000000</v>
      </c>
      <c r="O857"/>
    </row>
    <row r="858" spans="1:15" x14ac:dyDescent="0.3">
      <c r="A858" s="37">
        <v>158198</v>
      </c>
      <c r="B858" s="38">
        <v>852</v>
      </c>
      <c r="C858" s="39" t="s">
        <v>6640</v>
      </c>
      <c r="D858" s="10" t="str">
        <f>VLOOKUP(C858,'Data Angt'!$A$5:$B$5809,2,FALSE)</f>
        <v>A2950</v>
      </c>
      <c r="E858" s="40" t="s">
        <v>24078</v>
      </c>
      <c r="F858" s="41">
        <v>45897</v>
      </c>
      <c r="G858" s="38">
        <v>6</v>
      </c>
      <c r="H858" s="40">
        <v>0</v>
      </c>
      <c r="I858" s="38">
        <v>4</v>
      </c>
      <c r="J858" s="41">
        <v>45897</v>
      </c>
      <c r="K858" s="38" t="s">
        <v>10768</v>
      </c>
      <c r="L858" s="42">
        <v>50000000</v>
      </c>
      <c r="O858"/>
    </row>
    <row r="859" spans="1:15" x14ac:dyDescent="0.3">
      <c r="A859" s="37">
        <v>152394</v>
      </c>
      <c r="B859" s="38">
        <v>853</v>
      </c>
      <c r="C859" s="39" t="s">
        <v>6640</v>
      </c>
      <c r="D859" s="10" t="str">
        <f>VLOOKUP(C859,'Data Angt'!$A$5:$B$5809,2,FALSE)</f>
        <v>A2950</v>
      </c>
      <c r="E859" s="40" t="s">
        <v>18233</v>
      </c>
      <c r="F859" s="41">
        <v>45679</v>
      </c>
      <c r="G859" s="38">
        <v>6</v>
      </c>
      <c r="H859" s="40">
        <v>0</v>
      </c>
      <c r="I859" s="38">
        <v>4</v>
      </c>
      <c r="J859" s="41">
        <v>45679</v>
      </c>
      <c r="K859" s="38" t="s">
        <v>10768</v>
      </c>
      <c r="L859" s="42">
        <v>50000000</v>
      </c>
      <c r="O859"/>
    </row>
    <row r="860" spans="1:15" x14ac:dyDescent="0.3">
      <c r="A860" s="37">
        <v>155887</v>
      </c>
      <c r="B860" s="38">
        <v>854</v>
      </c>
      <c r="C860" s="39" t="s">
        <v>6640</v>
      </c>
      <c r="D860" s="10" t="str">
        <f>VLOOKUP(C860,'Data Angt'!$A$5:$B$5809,2,FALSE)</f>
        <v>A2950</v>
      </c>
      <c r="E860" s="40" t="s">
        <v>18234</v>
      </c>
      <c r="F860" s="41">
        <v>45800</v>
      </c>
      <c r="G860" s="38">
        <v>3</v>
      </c>
      <c r="H860" s="40">
        <v>0</v>
      </c>
      <c r="I860" s="38">
        <v>4</v>
      </c>
      <c r="J860" s="41">
        <v>45800</v>
      </c>
      <c r="K860" s="38" t="s">
        <v>10768</v>
      </c>
      <c r="L860" s="42">
        <v>100000000</v>
      </c>
      <c r="O860"/>
    </row>
    <row r="861" spans="1:15" x14ac:dyDescent="0.3">
      <c r="A861" s="37">
        <v>155893</v>
      </c>
      <c r="B861" s="38">
        <v>855</v>
      </c>
      <c r="C861" s="39" t="s">
        <v>6640</v>
      </c>
      <c r="D861" s="10" t="str">
        <f>VLOOKUP(C861,'Data Angt'!$A$5:$B$5809,2,FALSE)</f>
        <v>A2950</v>
      </c>
      <c r="E861" s="40" t="s">
        <v>18226</v>
      </c>
      <c r="F861" s="41">
        <v>45800</v>
      </c>
      <c r="G861" s="38">
        <v>3</v>
      </c>
      <c r="H861" s="40">
        <v>0</v>
      </c>
      <c r="I861" s="38">
        <v>4</v>
      </c>
      <c r="J861" s="41">
        <v>45800</v>
      </c>
      <c r="K861" s="38" t="s">
        <v>10768</v>
      </c>
      <c r="L861" s="42">
        <v>100000000</v>
      </c>
      <c r="O861"/>
    </row>
    <row r="862" spans="1:15" x14ac:dyDescent="0.3">
      <c r="A862" s="37">
        <v>155895</v>
      </c>
      <c r="B862" s="38">
        <v>856</v>
      </c>
      <c r="C862" s="39" t="s">
        <v>6640</v>
      </c>
      <c r="D862" s="10" t="str">
        <f>VLOOKUP(C862,'Data Angt'!$A$5:$B$5809,2,FALSE)</f>
        <v>A2950</v>
      </c>
      <c r="E862" s="40" t="s">
        <v>18227</v>
      </c>
      <c r="F862" s="41">
        <v>45800</v>
      </c>
      <c r="G862" s="38">
        <v>3</v>
      </c>
      <c r="H862" s="40">
        <v>0</v>
      </c>
      <c r="I862" s="38">
        <v>4</v>
      </c>
      <c r="J862" s="41">
        <v>45800</v>
      </c>
      <c r="K862" s="38" t="s">
        <v>10768</v>
      </c>
      <c r="L862" s="42">
        <v>100000000</v>
      </c>
      <c r="O862"/>
    </row>
    <row r="863" spans="1:15" x14ac:dyDescent="0.3">
      <c r="A863" s="37">
        <v>146473</v>
      </c>
      <c r="B863" s="38">
        <v>857</v>
      </c>
      <c r="C863" s="39" t="s">
        <v>6682</v>
      </c>
      <c r="D863" s="10" t="str">
        <f>VLOOKUP(C863,'Data Angt'!$A$5:$B$5809,2,FALSE)</f>
        <v>A2971</v>
      </c>
      <c r="E863" s="40" t="s">
        <v>18235</v>
      </c>
      <c r="F863" s="41">
        <v>45483</v>
      </c>
      <c r="G863" s="38">
        <v>1</v>
      </c>
      <c r="H863" s="40">
        <v>0</v>
      </c>
      <c r="I863" s="38">
        <v>4</v>
      </c>
      <c r="J863" s="41">
        <v>45483</v>
      </c>
      <c r="K863" s="38" t="s">
        <v>10768</v>
      </c>
      <c r="L863" s="42">
        <v>30000000</v>
      </c>
      <c r="O863"/>
    </row>
    <row r="864" spans="1:15" x14ac:dyDescent="0.3">
      <c r="A864" s="37">
        <v>151444</v>
      </c>
      <c r="B864" s="38">
        <v>858</v>
      </c>
      <c r="C864" s="39" t="s">
        <v>6692</v>
      </c>
      <c r="D864" s="10" t="str">
        <f>VLOOKUP(C864,'Data Angt'!$A$5:$B$5809,2,FALSE)</f>
        <v>A2976</v>
      </c>
      <c r="E864" s="40" t="s">
        <v>18236</v>
      </c>
      <c r="F864" s="41">
        <v>45638</v>
      </c>
      <c r="G864" s="38">
        <v>1</v>
      </c>
      <c r="H864" s="40">
        <v>0</v>
      </c>
      <c r="I864" s="38">
        <v>4</v>
      </c>
      <c r="J864" s="41">
        <v>45638</v>
      </c>
      <c r="K864" s="38" t="s">
        <v>10768</v>
      </c>
      <c r="L864" s="42">
        <v>40000000</v>
      </c>
      <c r="O864"/>
    </row>
    <row r="865" spans="1:15" x14ac:dyDescent="0.3">
      <c r="A865" s="37">
        <v>149719</v>
      </c>
      <c r="B865" s="38">
        <v>859</v>
      </c>
      <c r="C865" s="39" t="s">
        <v>6745</v>
      </c>
      <c r="D865" s="10" t="str">
        <f>VLOOKUP(C865,'Data Angt'!$A$5:$B$5809,2,FALSE)</f>
        <v>A3000</v>
      </c>
      <c r="E865" s="40" t="s">
        <v>18237</v>
      </c>
      <c r="F865" s="41">
        <v>45586</v>
      </c>
      <c r="G865" s="38">
        <v>1</v>
      </c>
      <c r="H865" s="40">
        <v>0</v>
      </c>
      <c r="I865" s="38">
        <v>4</v>
      </c>
      <c r="J865" s="41">
        <v>45586</v>
      </c>
      <c r="K865" s="38" t="s">
        <v>10768</v>
      </c>
      <c r="L865" s="42">
        <v>3000000</v>
      </c>
      <c r="O865"/>
    </row>
    <row r="866" spans="1:15" x14ac:dyDescent="0.3">
      <c r="A866" s="37">
        <v>149396</v>
      </c>
      <c r="B866" s="38">
        <v>860</v>
      </c>
      <c r="C866" s="39" t="s">
        <v>6785</v>
      </c>
      <c r="D866" s="10" t="str">
        <f>VLOOKUP(C866,'Data Angt'!$A$5:$B$5809,2,FALSE)</f>
        <v>A3019</v>
      </c>
      <c r="E866" s="40" t="s">
        <v>18238</v>
      </c>
      <c r="F866" s="41">
        <v>45565</v>
      </c>
      <c r="G866" s="38">
        <v>1</v>
      </c>
      <c r="H866" s="40">
        <v>0</v>
      </c>
      <c r="I866" s="38">
        <v>4</v>
      </c>
      <c r="J866" s="41">
        <v>45565</v>
      </c>
      <c r="K866" s="38" t="s">
        <v>10768</v>
      </c>
      <c r="L866" s="42">
        <v>60000000</v>
      </c>
      <c r="O866"/>
    </row>
    <row r="867" spans="1:15" x14ac:dyDescent="0.3">
      <c r="A867" s="37">
        <v>158045</v>
      </c>
      <c r="B867" s="38">
        <v>861</v>
      </c>
      <c r="C867" s="39" t="s">
        <v>6785</v>
      </c>
      <c r="D867" s="10" t="str">
        <f>VLOOKUP(C867,'Data Angt'!$A$5:$B$5809,2,FALSE)</f>
        <v>A3019</v>
      </c>
      <c r="E867" s="40" t="s">
        <v>24079</v>
      </c>
      <c r="F867" s="41">
        <v>45891</v>
      </c>
      <c r="G867" s="38">
        <v>1</v>
      </c>
      <c r="H867" s="40">
        <v>0</v>
      </c>
      <c r="I867" s="38">
        <v>4</v>
      </c>
      <c r="J867" s="41">
        <v>45891</v>
      </c>
      <c r="K867" s="38" t="s">
        <v>10768</v>
      </c>
      <c r="L867" s="42">
        <v>60000000</v>
      </c>
      <c r="O867"/>
    </row>
    <row r="868" spans="1:15" x14ac:dyDescent="0.3">
      <c r="A868" s="37">
        <v>158154</v>
      </c>
      <c r="B868" s="38">
        <v>862</v>
      </c>
      <c r="C868" s="39" t="s">
        <v>6785</v>
      </c>
      <c r="D868" s="10" t="str">
        <f>VLOOKUP(C868,'Data Angt'!$A$5:$B$5809,2,FALSE)</f>
        <v>A3019</v>
      </c>
      <c r="E868" s="40" t="s">
        <v>24080</v>
      </c>
      <c r="F868" s="41">
        <v>45896</v>
      </c>
      <c r="G868" s="38">
        <v>1</v>
      </c>
      <c r="H868" s="40">
        <v>0</v>
      </c>
      <c r="I868" s="38">
        <v>4</v>
      </c>
      <c r="J868" s="41">
        <v>45896</v>
      </c>
      <c r="K868" s="38" t="s">
        <v>10768</v>
      </c>
      <c r="L868" s="42">
        <v>60000000</v>
      </c>
      <c r="O868"/>
    </row>
    <row r="869" spans="1:15" x14ac:dyDescent="0.3">
      <c r="A869" s="37">
        <v>156205</v>
      </c>
      <c r="B869" s="38">
        <v>863</v>
      </c>
      <c r="C869" s="39" t="s">
        <v>6850</v>
      </c>
      <c r="D869" s="10" t="str">
        <f>VLOOKUP(C869,'Data Angt'!$A$5:$B$5809,2,FALSE)</f>
        <v>A3054</v>
      </c>
      <c r="E869" s="40" t="s">
        <v>18239</v>
      </c>
      <c r="F869" s="41">
        <v>45812</v>
      </c>
      <c r="G869" s="38">
        <v>6</v>
      </c>
      <c r="H869" s="40">
        <v>0</v>
      </c>
      <c r="I869" s="38">
        <v>4</v>
      </c>
      <c r="J869" s="41">
        <v>45812</v>
      </c>
      <c r="K869" s="38" t="s">
        <v>10768</v>
      </c>
      <c r="L869" s="42">
        <v>2000000</v>
      </c>
      <c r="O869"/>
    </row>
    <row r="870" spans="1:15" x14ac:dyDescent="0.3">
      <c r="A870" s="37">
        <v>152329</v>
      </c>
      <c r="B870" s="38">
        <v>864</v>
      </c>
      <c r="C870" s="39" t="s">
        <v>6865</v>
      </c>
      <c r="D870" s="10" t="str">
        <f>VLOOKUP(C870,'Data Angt'!$A$5:$B$5809,2,FALSE)</f>
        <v>A3062</v>
      </c>
      <c r="E870" s="40" t="s">
        <v>18240</v>
      </c>
      <c r="F870" s="41">
        <v>45677</v>
      </c>
      <c r="G870" s="38">
        <v>1</v>
      </c>
      <c r="H870" s="40">
        <v>0</v>
      </c>
      <c r="I870" s="38">
        <v>4</v>
      </c>
      <c r="J870" s="41">
        <v>45677</v>
      </c>
      <c r="K870" s="38" t="s">
        <v>10768</v>
      </c>
      <c r="L870" s="42">
        <v>10000000</v>
      </c>
      <c r="O870"/>
    </row>
    <row r="871" spans="1:15" x14ac:dyDescent="0.3">
      <c r="A871" s="37">
        <v>93650</v>
      </c>
      <c r="B871" s="38">
        <v>865</v>
      </c>
      <c r="C871" s="39" t="s">
        <v>6902</v>
      </c>
      <c r="D871" s="10" t="str">
        <f>VLOOKUP(C871,'Data Angt'!$A$5:$B$5809,2,FALSE)</f>
        <v>A3081</v>
      </c>
      <c r="E871" s="40" t="s">
        <v>11494</v>
      </c>
      <c r="F871" s="41">
        <v>43500</v>
      </c>
      <c r="G871" s="38">
        <v>1</v>
      </c>
      <c r="H871" s="40">
        <v>0</v>
      </c>
      <c r="I871" s="38">
        <v>4</v>
      </c>
      <c r="J871" s="41">
        <v>43500</v>
      </c>
      <c r="K871" s="38" t="s">
        <v>10768</v>
      </c>
      <c r="L871" s="42">
        <v>10000000</v>
      </c>
      <c r="O871"/>
    </row>
    <row r="872" spans="1:15" x14ac:dyDescent="0.3">
      <c r="A872" s="37">
        <v>127562</v>
      </c>
      <c r="B872" s="38">
        <v>866</v>
      </c>
      <c r="C872" s="39" t="s">
        <v>6902</v>
      </c>
      <c r="D872" s="10" t="str">
        <f>VLOOKUP(C872,'Data Angt'!$A$5:$B$5809,2,FALSE)</f>
        <v>A3081</v>
      </c>
      <c r="E872" s="40" t="s">
        <v>11495</v>
      </c>
      <c r="F872" s="41">
        <v>44274</v>
      </c>
      <c r="G872" s="38">
        <v>1</v>
      </c>
      <c r="H872" s="40">
        <v>0</v>
      </c>
      <c r="I872" s="38">
        <v>4</v>
      </c>
      <c r="J872" s="41">
        <v>44274</v>
      </c>
      <c r="K872" s="38" t="s">
        <v>10768</v>
      </c>
      <c r="L872" s="42">
        <v>16000000</v>
      </c>
      <c r="O872"/>
    </row>
    <row r="873" spans="1:15" x14ac:dyDescent="0.3">
      <c r="A873" s="37">
        <v>134208</v>
      </c>
      <c r="B873" s="38">
        <v>867</v>
      </c>
      <c r="C873" s="39" t="s">
        <v>12462</v>
      </c>
      <c r="D873" s="10" t="str">
        <f>VLOOKUP(C873,'Data Angt'!$A$5:$B$5809,2,FALSE)</f>
        <v>A3086</v>
      </c>
      <c r="E873" s="40" t="s">
        <v>11493</v>
      </c>
      <c r="F873" s="41">
        <v>44793</v>
      </c>
      <c r="G873" s="38">
        <v>1</v>
      </c>
      <c r="H873" s="40">
        <v>0</v>
      </c>
      <c r="I873" s="38">
        <v>4</v>
      </c>
      <c r="J873" s="41">
        <v>44793</v>
      </c>
      <c r="K873" s="38" t="s">
        <v>10768</v>
      </c>
      <c r="L873" s="42">
        <v>10000000</v>
      </c>
      <c r="O873"/>
    </row>
    <row r="874" spans="1:15" x14ac:dyDescent="0.3">
      <c r="A874" s="37">
        <v>137283</v>
      </c>
      <c r="B874" s="38">
        <v>868</v>
      </c>
      <c r="C874" s="39" t="s">
        <v>12462</v>
      </c>
      <c r="D874" s="10" t="str">
        <f>VLOOKUP(C874,'Data Angt'!$A$5:$B$5809,2,FALSE)</f>
        <v>A3086</v>
      </c>
      <c r="E874" s="40" t="s">
        <v>11492</v>
      </c>
      <c r="F874" s="41">
        <v>45048</v>
      </c>
      <c r="G874" s="38">
        <v>1</v>
      </c>
      <c r="H874" s="40">
        <v>0</v>
      </c>
      <c r="I874" s="38">
        <v>4</v>
      </c>
      <c r="J874" s="41">
        <v>45048</v>
      </c>
      <c r="K874" s="38" t="s">
        <v>10768</v>
      </c>
      <c r="L874" s="42">
        <v>5000000</v>
      </c>
      <c r="O874"/>
    </row>
    <row r="875" spans="1:15" x14ac:dyDescent="0.3">
      <c r="A875" s="37">
        <v>151470</v>
      </c>
      <c r="B875" s="38">
        <v>869</v>
      </c>
      <c r="C875" s="39" t="s">
        <v>6923</v>
      </c>
      <c r="D875" s="10" t="str">
        <f>VLOOKUP(C875,'Data Angt'!$A$5:$B$5809,2,FALSE)</f>
        <v>A3093</v>
      </c>
      <c r="E875" s="40" t="s">
        <v>18241</v>
      </c>
      <c r="F875" s="41">
        <v>45642</v>
      </c>
      <c r="G875" s="38">
        <v>1</v>
      </c>
      <c r="H875" s="40">
        <v>0</v>
      </c>
      <c r="I875" s="38">
        <v>4</v>
      </c>
      <c r="J875" s="41">
        <v>45642</v>
      </c>
      <c r="K875" s="38" t="s">
        <v>10768</v>
      </c>
      <c r="L875" s="42">
        <v>5000000</v>
      </c>
      <c r="O875"/>
    </row>
    <row r="876" spans="1:15" x14ac:dyDescent="0.3">
      <c r="A876" s="37">
        <v>156701</v>
      </c>
      <c r="B876" s="38">
        <v>870</v>
      </c>
      <c r="C876" s="39" t="s">
        <v>6923</v>
      </c>
      <c r="D876" s="10" t="str">
        <f>VLOOKUP(C876,'Data Angt'!$A$5:$B$5809,2,FALSE)</f>
        <v>A3093</v>
      </c>
      <c r="E876" s="40" t="s">
        <v>24081</v>
      </c>
      <c r="F876" s="41">
        <v>45840</v>
      </c>
      <c r="G876" s="38">
        <v>1</v>
      </c>
      <c r="H876" s="40">
        <v>0</v>
      </c>
      <c r="I876" s="38">
        <v>4</v>
      </c>
      <c r="J876" s="41">
        <v>45840</v>
      </c>
      <c r="K876" s="38" t="s">
        <v>10768</v>
      </c>
      <c r="L876" s="42">
        <v>20000000</v>
      </c>
      <c r="O876"/>
    </row>
    <row r="877" spans="1:15" x14ac:dyDescent="0.3">
      <c r="A877" s="37">
        <v>151684</v>
      </c>
      <c r="B877" s="38">
        <v>871</v>
      </c>
      <c r="C877" s="39" t="s">
        <v>12465</v>
      </c>
      <c r="D877" s="10" t="str">
        <f>VLOOKUP(C877,'Data Angt'!$A$5:$B$5809,2,FALSE)</f>
        <v>A3095</v>
      </c>
      <c r="E877" s="40" t="s">
        <v>18242</v>
      </c>
      <c r="F877" s="41">
        <v>45653</v>
      </c>
      <c r="G877" s="38">
        <v>1</v>
      </c>
      <c r="H877" s="40">
        <v>0</v>
      </c>
      <c r="I877" s="38">
        <v>4</v>
      </c>
      <c r="J877" s="41">
        <v>45653</v>
      </c>
      <c r="K877" s="38" t="s">
        <v>10768</v>
      </c>
      <c r="L877" s="42">
        <v>10000000</v>
      </c>
      <c r="O877"/>
    </row>
    <row r="878" spans="1:15" x14ac:dyDescent="0.3">
      <c r="A878" s="37">
        <v>119127</v>
      </c>
      <c r="B878" s="38">
        <v>872</v>
      </c>
      <c r="C878" s="39" t="s">
        <v>6940</v>
      </c>
      <c r="D878" s="10" t="str">
        <f>VLOOKUP(C878,'Data Angt'!$A$5:$B$5809,2,FALSE)</f>
        <v>A3103</v>
      </c>
      <c r="E878" s="40" t="s">
        <v>11491</v>
      </c>
      <c r="F878" s="41">
        <v>43813</v>
      </c>
      <c r="G878" s="38">
        <v>1</v>
      </c>
      <c r="H878" s="40">
        <v>0</v>
      </c>
      <c r="I878" s="38">
        <v>4</v>
      </c>
      <c r="J878" s="41">
        <v>43813</v>
      </c>
      <c r="K878" s="38" t="s">
        <v>10768</v>
      </c>
      <c r="L878" s="42">
        <v>6500000</v>
      </c>
      <c r="O878"/>
    </row>
    <row r="879" spans="1:15" x14ac:dyDescent="0.3">
      <c r="A879" s="37">
        <v>157557</v>
      </c>
      <c r="B879" s="38">
        <v>873</v>
      </c>
      <c r="C879" s="39" t="s">
        <v>6942</v>
      </c>
      <c r="D879" s="10" t="str">
        <f>VLOOKUP(C879,'Data Angt'!$A$5:$B$5809,2,FALSE)</f>
        <v>A3104</v>
      </c>
      <c r="E879" s="40" t="s">
        <v>24082</v>
      </c>
      <c r="F879" s="41">
        <v>45873</v>
      </c>
      <c r="G879" s="38">
        <v>6</v>
      </c>
      <c r="H879" s="40">
        <v>0</v>
      </c>
      <c r="I879" s="38">
        <v>4</v>
      </c>
      <c r="J879" s="41">
        <v>45873</v>
      </c>
      <c r="K879" s="38" t="s">
        <v>10768</v>
      </c>
      <c r="L879" s="42">
        <v>10000000</v>
      </c>
      <c r="O879"/>
    </row>
    <row r="880" spans="1:15" x14ac:dyDescent="0.3">
      <c r="A880" s="37">
        <v>143349</v>
      </c>
      <c r="B880" s="38">
        <v>874</v>
      </c>
      <c r="C880" s="39" t="s">
        <v>6965</v>
      </c>
      <c r="D880" s="10" t="str">
        <f>VLOOKUP(C880,'Data Angt'!$A$5:$B$5809,2,FALSE)</f>
        <v>A3116</v>
      </c>
      <c r="E880" s="40" t="s">
        <v>18243</v>
      </c>
      <c r="F880" s="41">
        <v>45360</v>
      </c>
      <c r="G880" s="38">
        <v>1</v>
      </c>
      <c r="H880" s="40">
        <v>0</v>
      </c>
      <c r="I880" s="38">
        <v>4</v>
      </c>
      <c r="J880" s="41">
        <v>45360</v>
      </c>
      <c r="K880" s="38" t="s">
        <v>10768</v>
      </c>
      <c r="L880" s="42">
        <v>25000000</v>
      </c>
      <c r="O880"/>
    </row>
    <row r="881" spans="1:15" x14ac:dyDescent="0.3">
      <c r="A881" s="37">
        <v>157076</v>
      </c>
      <c r="B881" s="38">
        <v>875</v>
      </c>
      <c r="C881" s="39" t="s">
        <v>6965</v>
      </c>
      <c r="D881" s="10" t="str">
        <f>VLOOKUP(C881,'Data Angt'!$A$5:$B$5809,2,FALSE)</f>
        <v>A3116</v>
      </c>
      <c r="E881" s="40" t="s">
        <v>24083</v>
      </c>
      <c r="F881" s="41">
        <v>45855</v>
      </c>
      <c r="G881" s="38">
        <v>1</v>
      </c>
      <c r="H881" s="40">
        <v>0</v>
      </c>
      <c r="I881" s="38">
        <v>4</v>
      </c>
      <c r="J881" s="41">
        <v>45855</v>
      </c>
      <c r="K881" s="38" t="s">
        <v>10768</v>
      </c>
      <c r="L881" s="42">
        <v>50000000</v>
      </c>
      <c r="O881"/>
    </row>
    <row r="882" spans="1:15" x14ac:dyDescent="0.3">
      <c r="A882" s="37">
        <v>122241</v>
      </c>
      <c r="B882" s="38">
        <v>876</v>
      </c>
      <c r="C882" s="39" t="s">
        <v>6995</v>
      </c>
      <c r="D882" s="10" t="str">
        <f>VLOOKUP(C882,'Data Angt'!$A$5:$B$5809,2,FALSE)</f>
        <v>A3130</v>
      </c>
      <c r="E882" s="40" t="s">
        <v>11490</v>
      </c>
      <c r="F882" s="41">
        <v>43909</v>
      </c>
      <c r="G882" s="38">
        <v>1</v>
      </c>
      <c r="H882" s="40">
        <v>0</v>
      </c>
      <c r="I882" s="38">
        <v>4</v>
      </c>
      <c r="J882" s="41">
        <v>43909</v>
      </c>
      <c r="K882" s="38" t="s">
        <v>10768</v>
      </c>
      <c r="L882" s="42">
        <v>1000000</v>
      </c>
      <c r="O882"/>
    </row>
    <row r="883" spans="1:15" x14ac:dyDescent="0.3">
      <c r="A883" s="37">
        <v>154993</v>
      </c>
      <c r="B883" s="38">
        <v>877</v>
      </c>
      <c r="C883" s="39" t="s">
        <v>7032</v>
      </c>
      <c r="D883" s="10" t="str">
        <f>VLOOKUP(C883,'Data Angt'!$A$5:$B$5809,2,FALSE)</f>
        <v>A3146</v>
      </c>
      <c r="E883" s="40" t="s">
        <v>18244</v>
      </c>
      <c r="F883" s="41">
        <v>45758</v>
      </c>
      <c r="G883" s="38">
        <v>1</v>
      </c>
      <c r="H883" s="40">
        <v>0</v>
      </c>
      <c r="I883" s="38">
        <v>4</v>
      </c>
      <c r="J883" s="41">
        <v>45758</v>
      </c>
      <c r="K883" s="38" t="s">
        <v>10768</v>
      </c>
      <c r="L883" s="42">
        <v>10000000</v>
      </c>
      <c r="O883"/>
    </row>
    <row r="884" spans="1:15" x14ac:dyDescent="0.3">
      <c r="A884" s="37">
        <v>82385</v>
      </c>
      <c r="B884" s="38">
        <v>878</v>
      </c>
      <c r="C884" s="39" t="s">
        <v>7108</v>
      </c>
      <c r="D884" s="10" t="str">
        <f>VLOOKUP(C884,'Data Angt'!$A$5:$B$5809,2,FALSE)</f>
        <v>A3181</v>
      </c>
      <c r="E884" s="40" t="s">
        <v>11489</v>
      </c>
      <c r="F884" s="41">
        <v>43214</v>
      </c>
      <c r="G884" s="38">
        <v>1</v>
      </c>
      <c r="H884" s="40">
        <v>0</v>
      </c>
      <c r="I884" s="38">
        <v>4</v>
      </c>
      <c r="J884" s="41">
        <v>43214</v>
      </c>
      <c r="K884" s="38" t="s">
        <v>10768</v>
      </c>
      <c r="L884" s="42">
        <v>5000000</v>
      </c>
      <c r="O884"/>
    </row>
    <row r="885" spans="1:15" x14ac:dyDescent="0.3">
      <c r="A885" s="37">
        <v>82386</v>
      </c>
      <c r="B885" s="38">
        <v>879</v>
      </c>
      <c r="C885" s="39" t="s">
        <v>7108</v>
      </c>
      <c r="D885" s="10" t="str">
        <f>VLOOKUP(C885,'Data Angt'!$A$5:$B$5809,2,FALSE)</f>
        <v>A3181</v>
      </c>
      <c r="E885" s="40" t="s">
        <v>11488</v>
      </c>
      <c r="F885" s="41">
        <v>43214</v>
      </c>
      <c r="G885" s="38">
        <v>3</v>
      </c>
      <c r="H885" s="40">
        <v>0</v>
      </c>
      <c r="I885" s="38">
        <v>4</v>
      </c>
      <c r="J885" s="41">
        <v>43214</v>
      </c>
      <c r="K885" s="38" t="s">
        <v>10768</v>
      </c>
      <c r="L885" s="42">
        <v>5000000</v>
      </c>
      <c r="O885"/>
    </row>
    <row r="886" spans="1:15" x14ac:dyDescent="0.3">
      <c r="A886" s="37">
        <v>128405</v>
      </c>
      <c r="B886" s="38">
        <v>880</v>
      </c>
      <c r="C886" s="39" t="s">
        <v>7187</v>
      </c>
      <c r="D886" s="10" t="str">
        <f>VLOOKUP(C886,'Data Angt'!$A$5:$B$5809,2,FALSE)</f>
        <v>A3214</v>
      </c>
      <c r="E886" s="40" t="s">
        <v>11487</v>
      </c>
      <c r="F886" s="41">
        <v>44347</v>
      </c>
      <c r="G886" s="38">
        <v>1</v>
      </c>
      <c r="H886" s="40">
        <v>0</v>
      </c>
      <c r="I886" s="38">
        <v>4</v>
      </c>
      <c r="J886" s="41">
        <v>44562</v>
      </c>
      <c r="K886" s="38" t="s">
        <v>10768</v>
      </c>
      <c r="L886" s="42">
        <v>5000000</v>
      </c>
      <c r="O886"/>
    </row>
    <row r="887" spans="1:15" x14ac:dyDescent="0.3">
      <c r="A887" s="37">
        <v>139048</v>
      </c>
      <c r="B887" s="38">
        <v>881</v>
      </c>
      <c r="C887" s="39" t="s">
        <v>7187</v>
      </c>
      <c r="D887" s="10" t="str">
        <f>VLOOKUP(C887,'Data Angt'!$A$5:$B$5809,2,FALSE)</f>
        <v>A3214</v>
      </c>
      <c r="E887" s="40" t="s">
        <v>11486</v>
      </c>
      <c r="F887" s="41">
        <v>45168</v>
      </c>
      <c r="G887" s="38">
        <v>1</v>
      </c>
      <c r="H887" s="40">
        <v>0</v>
      </c>
      <c r="I887" s="38">
        <v>4</v>
      </c>
      <c r="J887" s="41">
        <v>45168</v>
      </c>
      <c r="K887" s="38" t="s">
        <v>10768</v>
      </c>
      <c r="L887" s="42">
        <v>7000000</v>
      </c>
      <c r="O887"/>
    </row>
    <row r="888" spans="1:15" x14ac:dyDescent="0.3">
      <c r="A888" s="37">
        <v>90022</v>
      </c>
      <c r="B888" s="38">
        <v>882</v>
      </c>
      <c r="C888" s="39" t="s">
        <v>7228</v>
      </c>
      <c r="D888" s="10" t="str">
        <f>VLOOKUP(C888,'Data Angt'!$A$5:$B$5809,2,FALSE)</f>
        <v>A3231</v>
      </c>
      <c r="E888" s="40" t="s">
        <v>11485</v>
      </c>
      <c r="F888" s="41">
        <v>43357</v>
      </c>
      <c r="G888" s="38">
        <v>1</v>
      </c>
      <c r="H888" s="40">
        <v>0</v>
      </c>
      <c r="I888" s="38">
        <v>4</v>
      </c>
      <c r="J888" s="41">
        <v>43357</v>
      </c>
      <c r="K888" s="38" t="s">
        <v>10768</v>
      </c>
      <c r="L888" s="42">
        <v>2000000</v>
      </c>
      <c r="O888"/>
    </row>
    <row r="889" spans="1:15" x14ac:dyDescent="0.3">
      <c r="A889" s="37">
        <v>145722</v>
      </c>
      <c r="B889" s="38">
        <v>883</v>
      </c>
      <c r="C889" s="39" t="s">
        <v>7270</v>
      </c>
      <c r="D889" s="10" t="str">
        <f>VLOOKUP(C889,'Data Angt'!$A$5:$B$5809,2,FALSE)</f>
        <v>A3251</v>
      </c>
      <c r="E889" s="40" t="s">
        <v>18245</v>
      </c>
      <c r="F889" s="41">
        <v>45442</v>
      </c>
      <c r="G889" s="38">
        <v>1</v>
      </c>
      <c r="H889" s="40">
        <v>0</v>
      </c>
      <c r="I889" s="38">
        <v>4</v>
      </c>
      <c r="J889" s="41">
        <v>45442</v>
      </c>
      <c r="K889" s="38" t="s">
        <v>10768</v>
      </c>
      <c r="L889" s="42">
        <v>18500000</v>
      </c>
      <c r="O889"/>
    </row>
    <row r="890" spans="1:15" x14ac:dyDescent="0.3">
      <c r="A890" s="37">
        <v>131236</v>
      </c>
      <c r="B890" s="38">
        <v>884</v>
      </c>
      <c r="C890" s="39" t="s">
        <v>7333</v>
      </c>
      <c r="D890" s="10" t="str">
        <f>VLOOKUP(C890,'Data Angt'!$A$5:$B$5809,2,FALSE)</f>
        <v>A3280</v>
      </c>
      <c r="E890" s="40" t="s">
        <v>11484</v>
      </c>
      <c r="F890" s="41">
        <v>44567</v>
      </c>
      <c r="G890" s="38">
        <v>1</v>
      </c>
      <c r="H890" s="40">
        <v>0</v>
      </c>
      <c r="I890" s="38">
        <v>4</v>
      </c>
      <c r="J890" s="41">
        <v>44567</v>
      </c>
      <c r="K890" s="38" t="s">
        <v>10768</v>
      </c>
      <c r="L890" s="42">
        <v>25000000</v>
      </c>
      <c r="O890"/>
    </row>
    <row r="891" spans="1:15" x14ac:dyDescent="0.3">
      <c r="A891" s="37">
        <v>132366</v>
      </c>
      <c r="B891" s="38">
        <v>885</v>
      </c>
      <c r="C891" s="39" t="s">
        <v>7333</v>
      </c>
      <c r="D891" s="10" t="str">
        <f>VLOOKUP(C891,'Data Angt'!$A$5:$B$5809,2,FALSE)</f>
        <v>A3280</v>
      </c>
      <c r="E891" s="40" t="s">
        <v>11483</v>
      </c>
      <c r="F891" s="41">
        <v>44652</v>
      </c>
      <c r="G891" s="38">
        <v>1</v>
      </c>
      <c r="H891" s="40">
        <v>0</v>
      </c>
      <c r="I891" s="38">
        <v>4</v>
      </c>
      <c r="J891" s="41">
        <v>44652</v>
      </c>
      <c r="K891" s="38" t="s">
        <v>10768</v>
      </c>
      <c r="L891" s="42">
        <v>12000000</v>
      </c>
      <c r="O891"/>
    </row>
    <row r="892" spans="1:15" x14ac:dyDescent="0.3">
      <c r="A892" s="37">
        <v>150454</v>
      </c>
      <c r="B892" s="38">
        <v>886</v>
      </c>
      <c r="C892" s="39" t="s">
        <v>7420</v>
      </c>
      <c r="D892" s="10" t="str">
        <f>VLOOKUP(C892,'Data Angt'!$A$5:$B$5809,2,FALSE)</f>
        <v>A3319</v>
      </c>
      <c r="E892" s="40" t="s">
        <v>18246</v>
      </c>
      <c r="F892" s="41">
        <v>45607</v>
      </c>
      <c r="G892" s="38">
        <v>1</v>
      </c>
      <c r="H892" s="40">
        <v>0</v>
      </c>
      <c r="I892" s="38">
        <v>4</v>
      </c>
      <c r="J892" s="41">
        <v>45607</v>
      </c>
      <c r="K892" s="38" t="s">
        <v>10768</v>
      </c>
      <c r="L892" s="42">
        <v>50000000</v>
      </c>
      <c r="O892"/>
    </row>
    <row r="893" spans="1:15" x14ac:dyDescent="0.3">
      <c r="A893" s="37">
        <v>124516</v>
      </c>
      <c r="B893" s="38">
        <v>887</v>
      </c>
      <c r="C893" s="39" t="s">
        <v>7468</v>
      </c>
      <c r="D893" s="10" t="str">
        <f>VLOOKUP(C893,'Data Angt'!$A$5:$B$5809,2,FALSE)</f>
        <v>A3342</v>
      </c>
      <c r="E893" s="40" t="s">
        <v>11481</v>
      </c>
      <c r="F893" s="41">
        <v>44050</v>
      </c>
      <c r="G893" s="38">
        <v>1</v>
      </c>
      <c r="H893" s="40">
        <v>0</v>
      </c>
      <c r="I893" s="38">
        <v>4</v>
      </c>
      <c r="J893" s="41">
        <v>44050</v>
      </c>
      <c r="K893" s="38" t="s">
        <v>10768</v>
      </c>
      <c r="L893" s="42">
        <v>10000000</v>
      </c>
      <c r="O893"/>
    </row>
    <row r="894" spans="1:15" x14ac:dyDescent="0.3">
      <c r="A894" s="37">
        <v>128459</v>
      </c>
      <c r="B894" s="38">
        <v>888</v>
      </c>
      <c r="C894" s="39" t="s">
        <v>7468</v>
      </c>
      <c r="D894" s="10" t="str">
        <f>VLOOKUP(C894,'Data Angt'!$A$5:$B$5809,2,FALSE)</f>
        <v>A3342</v>
      </c>
      <c r="E894" s="40" t="s">
        <v>11480</v>
      </c>
      <c r="F894" s="41">
        <v>44350</v>
      </c>
      <c r="G894" s="38">
        <v>1</v>
      </c>
      <c r="H894" s="40">
        <v>0</v>
      </c>
      <c r="I894" s="38">
        <v>4</v>
      </c>
      <c r="J894" s="41">
        <v>44350</v>
      </c>
      <c r="K894" s="38" t="s">
        <v>10768</v>
      </c>
      <c r="L894" s="42">
        <v>10000000</v>
      </c>
      <c r="O894"/>
    </row>
    <row r="895" spans="1:15" x14ac:dyDescent="0.3">
      <c r="A895" s="37">
        <v>130637</v>
      </c>
      <c r="B895" s="38">
        <v>889</v>
      </c>
      <c r="C895" s="39" t="s">
        <v>7468</v>
      </c>
      <c r="D895" s="10" t="str">
        <f>VLOOKUP(C895,'Data Angt'!$A$5:$B$5809,2,FALSE)</f>
        <v>A3342</v>
      </c>
      <c r="E895" s="40" t="s">
        <v>11479</v>
      </c>
      <c r="F895" s="41">
        <v>44510</v>
      </c>
      <c r="G895" s="38">
        <v>1</v>
      </c>
      <c r="H895" s="40">
        <v>0</v>
      </c>
      <c r="I895" s="38">
        <v>4</v>
      </c>
      <c r="J895" s="41">
        <v>44510</v>
      </c>
      <c r="K895" s="38" t="s">
        <v>10768</v>
      </c>
      <c r="L895" s="42">
        <v>15000000</v>
      </c>
      <c r="O895"/>
    </row>
    <row r="896" spans="1:15" x14ac:dyDescent="0.3">
      <c r="A896" s="37">
        <v>149730</v>
      </c>
      <c r="B896" s="38">
        <v>890</v>
      </c>
      <c r="C896" s="39" t="s">
        <v>7468</v>
      </c>
      <c r="D896" s="10" t="str">
        <f>VLOOKUP(C896,'Data Angt'!$A$5:$B$5809,2,FALSE)</f>
        <v>A3342</v>
      </c>
      <c r="E896" s="40" t="s">
        <v>18247</v>
      </c>
      <c r="F896" s="41">
        <v>45586</v>
      </c>
      <c r="G896" s="38">
        <v>1</v>
      </c>
      <c r="H896" s="40">
        <v>0</v>
      </c>
      <c r="I896" s="38">
        <v>4</v>
      </c>
      <c r="J896" s="41">
        <v>45586</v>
      </c>
      <c r="K896" s="38" t="s">
        <v>10768</v>
      </c>
      <c r="L896" s="42">
        <v>10000000</v>
      </c>
      <c r="O896"/>
    </row>
    <row r="897" spans="1:15" x14ac:dyDescent="0.3">
      <c r="A897" s="37">
        <v>133119</v>
      </c>
      <c r="B897" s="38">
        <v>891</v>
      </c>
      <c r="C897" s="39" t="s">
        <v>7491</v>
      </c>
      <c r="D897" s="10" t="str">
        <f>VLOOKUP(C897,'Data Angt'!$A$5:$B$5809,2,FALSE)</f>
        <v>A3353</v>
      </c>
      <c r="E897" s="40" t="s">
        <v>11478</v>
      </c>
      <c r="F897" s="41">
        <v>44709</v>
      </c>
      <c r="G897" s="38">
        <v>1</v>
      </c>
      <c r="H897" s="40">
        <v>0</v>
      </c>
      <c r="I897" s="38">
        <v>4</v>
      </c>
      <c r="J897" s="41">
        <v>44709</v>
      </c>
      <c r="K897" s="38" t="s">
        <v>10768</v>
      </c>
      <c r="L897" s="42">
        <v>2500000</v>
      </c>
      <c r="O897"/>
    </row>
    <row r="898" spans="1:15" x14ac:dyDescent="0.3">
      <c r="A898" s="37">
        <v>143873</v>
      </c>
      <c r="B898" s="38">
        <v>892</v>
      </c>
      <c r="C898" s="39" t="s">
        <v>7491</v>
      </c>
      <c r="D898" s="10" t="str">
        <f>VLOOKUP(C898,'Data Angt'!$A$5:$B$5809,2,FALSE)</f>
        <v>A3353</v>
      </c>
      <c r="E898" s="40" t="s">
        <v>18248</v>
      </c>
      <c r="F898" s="41">
        <v>45376</v>
      </c>
      <c r="G898" s="38">
        <v>1</v>
      </c>
      <c r="H898" s="40">
        <v>0</v>
      </c>
      <c r="I898" s="38">
        <v>4</v>
      </c>
      <c r="J898" s="41">
        <v>45376</v>
      </c>
      <c r="K898" s="38" t="s">
        <v>10768</v>
      </c>
      <c r="L898" s="42">
        <v>1500000</v>
      </c>
      <c r="O898"/>
    </row>
    <row r="899" spans="1:15" x14ac:dyDescent="0.3">
      <c r="A899" s="37">
        <v>149431</v>
      </c>
      <c r="B899" s="38">
        <v>893</v>
      </c>
      <c r="C899" s="39" t="s">
        <v>7525</v>
      </c>
      <c r="D899" s="10" t="str">
        <f>VLOOKUP(C899,'Data Angt'!$A$5:$B$5809,2,FALSE)</f>
        <v>A3369</v>
      </c>
      <c r="E899" s="40" t="s">
        <v>18249</v>
      </c>
      <c r="F899" s="41">
        <v>45566</v>
      </c>
      <c r="G899" s="38">
        <v>1</v>
      </c>
      <c r="H899" s="40">
        <v>0</v>
      </c>
      <c r="I899" s="38">
        <v>4</v>
      </c>
      <c r="J899" s="41">
        <v>45566</v>
      </c>
      <c r="K899" s="38" t="s">
        <v>10768</v>
      </c>
      <c r="L899" s="42">
        <v>3000000</v>
      </c>
      <c r="O899"/>
    </row>
    <row r="900" spans="1:15" x14ac:dyDescent="0.3">
      <c r="A900" s="37">
        <v>111570</v>
      </c>
      <c r="B900" s="38">
        <v>894</v>
      </c>
      <c r="C900" s="39" t="s">
        <v>7572</v>
      </c>
      <c r="D900" s="10" t="str">
        <f>VLOOKUP(C900,'Data Angt'!$A$5:$B$5809,2,FALSE)</f>
        <v>A3392</v>
      </c>
      <c r="E900" s="40" t="s">
        <v>11477</v>
      </c>
      <c r="F900" s="41">
        <v>43577</v>
      </c>
      <c r="G900" s="38">
        <v>3</v>
      </c>
      <c r="H900" s="40">
        <v>0</v>
      </c>
      <c r="I900" s="38">
        <v>4</v>
      </c>
      <c r="J900" s="41">
        <v>43577</v>
      </c>
      <c r="K900" s="38" t="s">
        <v>10768</v>
      </c>
      <c r="L900" s="42">
        <v>1000000</v>
      </c>
      <c r="O900"/>
    </row>
    <row r="901" spans="1:15" x14ac:dyDescent="0.3">
      <c r="A901" s="37">
        <v>115713</v>
      </c>
      <c r="B901" s="38">
        <v>895</v>
      </c>
      <c r="C901" s="39" t="s">
        <v>7572</v>
      </c>
      <c r="D901" s="10" t="str">
        <f>VLOOKUP(C901,'Data Angt'!$A$5:$B$5809,2,FALSE)</f>
        <v>A3392</v>
      </c>
      <c r="E901" s="40" t="s">
        <v>11476</v>
      </c>
      <c r="F901" s="41">
        <v>43700</v>
      </c>
      <c r="G901" s="38">
        <v>1</v>
      </c>
      <c r="H901" s="40">
        <v>0</v>
      </c>
      <c r="I901" s="38">
        <v>4</v>
      </c>
      <c r="J901" s="41">
        <v>43700</v>
      </c>
      <c r="K901" s="38" t="s">
        <v>10768</v>
      </c>
      <c r="L901" s="42">
        <v>1000000</v>
      </c>
      <c r="O901"/>
    </row>
    <row r="902" spans="1:15" x14ac:dyDescent="0.3">
      <c r="A902" s="37">
        <v>123742</v>
      </c>
      <c r="B902" s="38">
        <v>896</v>
      </c>
      <c r="C902" s="39" t="s">
        <v>7572</v>
      </c>
      <c r="D902" s="10" t="str">
        <f>VLOOKUP(C902,'Data Angt'!$A$5:$B$5809,2,FALSE)</f>
        <v>A3392</v>
      </c>
      <c r="E902" s="40" t="s">
        <v>11475</v>
      </c>
      <c r="F902" s="41">
        <v>43998</v>
      </c>
      <c r="G902" s="38">
        <v>1</v>
      </c>
      <c r="H902" s="40">
        <v>0</v>
      </c>
      <c r="I902" s="38">
        <v>4</v>
      </c>
      <c r="J902" s="41">
        <v>43998</v>
      </c>
      <c r="K902" s="38" t="s">
        <v>10768</v>
      </c>
      <c r="L902" s="42">
        <v>1000000</v>
      </c>
      <c r="O902"/>
    </row>
    <row r="903" spans="1:15" x14ac:dyDescent="0.3">
      <c r="A903" s="37">
        <v>158533</v>
      </c>
      <c r="B903" s="38">
        <v>897</v>
      </c>
      <c r="C903" s="39" t="s">
        <v>7613</v>
      </c>
      <c r="D903" s="10" t="str">
        <f>VLOOKUP(C903,'Data Angt'!$A$5:$B$5809,2,FALSE)</f>
        <v>A3410</v>
      </c>
      <c r="E903" s="40" t="s">
        <v>24084</v>
      </c>
      <c r="F903" s="41">
        <v>45912</v>
      </c>
      <c r="G903" s="38">
        <v>1</v>
      </c>
      <c r="H903" s="40">
        <v>0</v>
      </c>
      <c r="I903" s="38">
        <v>4</v>
      </c>
      <c r="J903" s="41">
        <v>45912</v>
      </c>
      <c r="K903" s="38" t="s">
        <v>10768</v>
      </c>
      <c r="L903" s="42">
        <v>16500000</v>
      </c>
      <c r="O903"/>
    </row>
    <row r="904" spans="1:15" x14ac:dyDescent="0.3">
      <c r="A904" s="37">
        <v>128851</v>
      </c>
      <c r="B904" s="38">
        <v>898</v>
      </c>
      <c r="C904" s="39" t="s">
        <v>7645</v>
      </c>
      <c r="D904" s="10" t="str">
        <f>VLOOKUP(C904,'Data Angt'!$A$5:$B$5809,2,FALSE)</f>
        <v>A3424</v>
      </c>
      <c r="E904" s="40" t="s">
        <v>11473</v>
      </c>
      <c r="F904" s="41">
        <v>44379</v>
      </c>
      <c r="G904" s="38">
        <v>1</v>
      </c>
      <c r="H904" s="40">
        <v>0</v>
      </c>
      <c r="I904" s="38">
        <v>4</v>
      </c>
      <c r="J904" s="41">
        <v>44379</v>
      </c>
      <c r="K904" s="38" t="s">
        <v>10768</v>
      </c>
      <c r="L904" s="42">
        <v>20000000</v>
      </c>
      <c r="O904"/>
    </row>
    <row r="905" spans="1:15" x14ac:dyDescent="0.3">
      <c r="A905" s="37">
        <v>130836</v>
      </c>
      <c r="B905" s="38">
        <v>899</v>
      </c>
      <c r="C905" s="39" t="s">
        <v>7645</v>
      </c>
      <c r="D905" s="10" t="str">
        <f>VLOOKUP(C905,'Data Angt'!$A$5:$B$5809,2,FALSE)</f>
        <v>A3424</v>
      </c>
      <c r="E905" s="40" t="s">
        <v>11472</v>
      </c>
      <c r="F905" s="41">
        <v>44532</v>
      </c>
      <c r="G905" s="38">
        <v>1</v>
      </c>
      <c r="H905" s="40">
        <v>0</v>
      </c>
      <c r="I905" s="38">
        <v>4</v>
      </c>
      <c r="J905" s="41">
        <v>44532</v>
      </c>
      <c r="K905" s="38" t="s">
        <v>10768</v>
      </c>
      <c r="L905" s="42">
        <v>20000000</v>
      </c>
      <c r="O905"/>
    </row>
    <row r="906" spans="1:15" x14ac:dyDescent="0.3">
      <c r="A906" s="37">
        <v>144604</v>
      </c>
      <c r="B906" s="38">
        <v>900</v>
      </c>
      <c r="C906" s="39" t="s">
        <v>7645</v>
      </c>
      <c r="D906" s="10" t="str">
        <f>VLOOKUP(C906,'Data Angt'!$A$5:$B$5809,2,FALSE)</f>
        <v>A3424</v>
      </c>
      <c r="E906" s="40" t="s">
        <v>18250</v>
      </c>
      <c r="F906" s="41">
        <v>45415</v>
      </c>
      <c r="G906" s="38">
        <v>1</v>
      </c>
      <c r="H906" s="40">
        <v>0</v>
      </c>
      <c r="I906" s="38">
        <v>4</v>
      </c>
      <c r="J906" s="41">
        <v>45415</v>
      </c>
      <c r="K906" s="38" t="s">
        <v>10768</v>
      </c>
      <c r="L906" s="42">
        <v>50000000</v>
      </c>
      <c r="O906"/>
    </row>
    <row r="907" spans="1:15" x14ac:dyDescent="0.3">
      <c r="A907" s="37">
        <v>145753</v>
      </c>
      <c r="B907" s="38">
        <v>901</v>
      </c>
      <c r="C907" s="39" t="s">
        <v>7645</v>
      </c>
      <c r="D907" s="10" t="str">
        <f>VLOOKUP(C907,'Data Angt'!$A$5:$B$5809,2,FALSE)</f>
        <v>A3424</v>
      </c>
      <c r="E907" s="40" t="s">
        <v>18251</v>
      </c>
      <c r="F907" s="41">
        <v>45443</v>
      </c>
      <c r="G907" s="38">
        <v>1</v>
      </c>
      <c r="H907" s="40">
        <v>0</v>
      </c>
      <c r="I907" s="38">
        <v>4</v>
      </c>
      <c r="J907" s="41">
        <v>45443</v>
      </c>
      <c r="K907" s="38" t="s">
        <v>10768</v>
      </c>
      <c r="L907" s="42">
        <v>50000000</v>
      </c>
      <c r="O907"/>
    </row>
    <row r="908" spans="1:15" x14ac:dyDescent="0.3">
      <c r="A908" s="37">
        <v>145754</v>
      </c>
      <c r="B908" s="38">
        <v>902</v>
      </c>
      <c r="C908" s="39" t="s">
        <v>7645</v>
      </c>
      <c r="D908" s="10" t="str">
        <f>VLOOKUP(C908,'Data Angt'!$A$5:$B$5809,2,FALSE)</f>
        <v>A3424</v>
      </c>
      <c r="E908" s="40" t="s">
        <v>18252</v>
      </c>
      <c r="F908" s="41">
        <v>45443</v>
      </c>
      <c r="G908" s="38">
        <v>1</v>
      </c>
      <c r="H908" s="40">
        <v>0</v>
      </c>
      <c r="I908" s="38">
        <v>4</v>
      </c>
      <c r="J908" s="41">
        <v>45443</v>
      </c>
      <c r="K908" s="38" t="s">
        <v>10768</v>
      </c>
      <c r="L908" s="42">
        <v>50000000</v>
      </c>
      <c r="O908"/>
    </row>
    <row r="909" spans="1:15" x14ac:dyDescent="0.3">
      <c r="A909" s="37">
        <v>157181</v>
      </c>
      <c r="B909" s="38">
        <v>903</v>
      </c>
      <c r="C909" s="39" t="s">
        <v>7645</v>
      </c>
      <c r="D909" s="10" t="str">
        <f>VLOOKUP(C909,'Data Angt'!$A$5:$B$5809,2,FALSE)</f>
        <v>A3424</v>
      </c>
      <c r="E909" s="40" t="s">
        <v>24085</v>
      </c>
      <c r="F909" s="41">
        <v>45857</v>
      </c>
      <c r="G909" s="38">
        <v>1</v>
      </c>
      <c r="H909" s="40">
        <v>0</v>
      </c>
      <c r="I909" s="38">
        <v>4</v>
      </c>
      <c r="J909" s="41">
        <v>45857</v>
      </c>
      <c r="K909" s="38" t="s">
        <v>10768</v>
      </c>
      <c r="L909" s="42">
        <v>60000000</v>
      </c>
      <c r="O909"/>
    </row>
    <row r="910" spans="1:15" x14ac:dyDescent="0.3">
      <c r="A910" s="37">
        <v>123840</v>
      </c>
      <c r="B910" s="38">
        <v>904</v>
      </c>
      <c r="C910" s="39" t="s">
        <v>7645</v>
      </c>
      <c r="D910" s="10" t="str">
        <f>VLOOKUP(C910,'Data Angt'!$A$5:$B$5809,2,FALSE)</f>
        <v>A3424</v>
      </c>
      <c r="E910" s="40" t="s">
        <v>11474</v>
      </c>
      <c r="F910" s="41">
        <v>44004</v>
      </c>
      <c r="G910" s="38">
        <v>1</v>
      </c>
      <c r="H910" s="40">
        <v>0</v>
      </c>
      <c r="I910" s="38">
        <v>4</v>
      </c>
      <c r="J910" s="41">
        <v>44004</v>
      </c>
      <c r="K910" s="38" t="s">
        <v>10768</v>
      </c>
      <c r="L910" s="42">
        <v>70000000</v>
      </c>
      <c r="O910"/>
    </row>
    <row r="911" spans="1:15" x14ac:dyDescent="0.3">
      <c r="A911" s="37">
        <v>151789</v>
      </c>
      <c r="B911" s="38">
        <v>905</v>
      </c>
      <c r="C911" s="39" t="s">
        <v>7646</v>
      </c>
      <c r="D911" s="10" t="str">
        <f>VLOOKUP(C911,'Data Angt'!$A$5:$B$5809,2,FALSE)</f>
        <v>A3425</v>
      </c>
      <c r="E911" s="40" t="s">
        <v>18253</v>
      </c>
      <c r="F911" s="41">
        <v>45663</v>
      </c>
      <c r="G911" s="38">
        <v>1</v>
      </c>
      <c r="H911" s="40">
        <v>0</v>
      </c>
      <c r="I911" s="38">
        <v>4</v>
      </c>
      <c r="J911" s="41">
        <v>45663</v>
      </c>
      <c r="K911" s="38" t="s">
        <v>10768</v>
      </c>
      <c r="L911" s="42">
        <v>50000000</v>
      </c>
      <c r="O911"/>
    </row>
    <row r="912" spans="1:15" x14ac:dyDescent="0.3">
      <c r="A912" s="37">
        <v>154128</v>
      </c>
      <c r="B912" s="38">
        <v>906</v>
      </c>
      <c r="C912" s="39" t="s">
        <v>7646</v>
      </c>
      <c r="D912" s="10" t="str">
        <f>VLOOKUP(C912,'Data Angt'!$A$5:$B$5809,2,FALSE)</f>
        <v>A3425</v>
      </c>
      <c r="E912" s="40" t="s">
        <v>18254</v>
      </c>
      <c r="F912" s="41">
        <v>45719</v>
      </c>
      <c r="G912" s="38">
        <v>1</v>
      </c>
      <c r="H912" s="40">
        <v>0</v>
      </c>
      <c r="I912" s="38">
        <v>4</v>
      </c>
      <c r="J912" s="41">
        <v>45719</v>
      </c>
      <c r="K912" s="38" t="s">
        <v>10768</v>
      </c>
      <c r="L912" s="42">
        <v>15000000</v>
      </c>
      <c r="O912"/>
    </row>
    <row r="913" spans="1:15" x14ac:dyDescent="0.3">
      <c r="A913" s="37">
        <v>158654</v>
      </c>
      <c r="B913" s="38">
        <v>907</v>
      </c>
      <c r="C913" s="39" t="s">
        <v>7646</v>
      </c>
      <c r="D913" s="10" t="str">
        <f>VLOOKUP(C913,'Data Angt'!$A$5:$B$5809,2,FALSE)</f>
        <v>A3425</v>
      </c>
      <c r="E913" s="40" t="s">
        <v>24086</v>
      </c>
      <c r="F913" s="41">
        <v>45919</v>
      </c>
      <c r="G913" s="38">
        <v>1</v>
      </c>
      <c r="H913" s="40">
        <v>0</v>
      </c>
      <c r="I913" s="38">
        <v>4</v>
      </c>
      <c r="J913" s="41">
        <v>45919</v>
      </c>
      <c r="K913" s="38" t="s">
        <v>10768</v>
      </c>
      <c r="L913" s="42">
        <v>20000000</v>
      </c>
      <c r="O913"/>
    </row>
    <row r="914" spans="1:15" x14ac:dyDescent="0.3">
      <c r="A914" s="37">
        <v>141185</v>
      </c>
      <c r="B914" s="38">
        <v>908</v>
      </c>
      <c r="C914" s="39" t="s">
        <v>7677</v>
      </c>
      <c r="D914" s="10" t="str">
        <f>VLOOKUP(C914,'Data Angt'!$A$5:$B$5809,2,FALSE)</f>
        <v>A3442</v>
      </c>
      <c r="E914" s="40" t="s">
        <v>11468</v>
      </c>
      <c r="F914" s="41">
        <v>45280</v>
      </c>
      <c r="G914" s="38">
        <v>1</v>
      </c>
      <c r="H914" s="40">
        <v>0</v>
      </c>
      <c r="I914" s="38">
        <v>4</v>
      </c>
      <c r="J914" s="41">
        <v>45280</v>
      </c>
      <c r="K914" s="38" t="s">
        <v>10768</v>
      </c>
      <c r="L914" s="42">
        <v>20000000</v>
      </c>
      <c r="O914"/>
    </row>
    <row r="915" spans="1:15" x14ac:dyDescent="0.3">
      <c r="A915" s="37">
        <v>125993</v>
      </c>
      <c r="B915" s="38">
        <v>909</v>
      </c>
      <c r="C915" s="39" t="s">
        <v>7677</v>
      </c>
      <c r="D915" s="10" t="str">
        <f>VLOOKUP(C915,'Data Angt'!$A$5:$B$5809,2,FALSE)</f>
        <v>A3442</v>
      </c>
      <c r="E915" s="40" t="s">
        <v>11467</v>
      </c>
      <c r="F915" s="41">
        <v>44167</v>
      </c>
      <c r="G915" s="38">
        <v>1</v>
      </c>
      <c r="H915" s="40">
        <v>0</v>
      </c>
      <c r="I915" s="38">
        <v>4</v>
      </c>
      <c r="J915" s="41">
        <v>44167</v>
      </c>
      <c r="K915" s="38" t="s">
        <v>10768</v>
      </c>
      <c r="L915" s="42">
        <v>5000000</v>
      </c>
      <c r="O915"/>
    </row>
    <row r="916" spans="1:15" x14ac:dyDescent="0.3">
      <c r="A916" s="37">
        <v>126741</v>
      </c>
      <c r="B916" s="38">
        <v>910</v>
      </c>
      <c r="C916" s="39" t="s">
        <v>7677</v>
      </c>
      <c r="D916" s="10" t="str">
        <f>VLOOKUP(C916,'Data Angt'!$A$5:$B$5809,2,FALSE)</f>
        <v>A3442</v>
      </c>
      <c r="E916" s="40" t="s">
        <v>11466</v>
      </c>
      <c r="F916" s="41">
        <v>44228</v>
      </c>
      <c r="G916" s="38">
        <v>1</v>
      </c>
      <c r="H916" s="40">
        <v>0</v>
      </c>
      <c r="I916" s="38">
        <v>4</v>
      </c>
      <c r="J916" s="41">
        <v>44228</v>
      </c>
      <c r="K916" s="38" t="s">
        <v>10768</v>
      </c>
      <c r="L916" s="42">
        <v>10000000</v>
      </c>
      <c r="O916"/>
    </row>
    <row r="917" spans="1:15" x14ac:dyDescent="0.3">
      <c r="A917" s="37">
        <v>128131</v>
      </c>
      <c r="B917" s="38">
        <v>911</v>
      </c>
      <c r="C917" s="39" t="s">
        <v>7677</v>
      </c>
      <c r="D917" s="10" t="str">
        <f>VLOOKUP(C917,'Data Angt'!$A$5:$B$5809,2,FALSE)</f>
        <v>A3442</v>
      </c>
      <c r="E917" s="40" t="s">
        <v>11471</v>
      </c>
      <c r="F917" s="41">
        <v>44319</v>
      </c>
      <c r="G917" s="38">
        <v>1</v>
      </c>
      <c r="H917" s="40">
        <v>0</v>
      </c>
      <c r="I917" s="38">
        <v>4</v>
      </c>
      <c r="J917" s="41">
        <v>44319</v>
      </c>
      <c r="K917" s="38" t="s">
        <v>10768</v>
      </c>
      <c r="L917" s="42">
        <v>5000000</v>
      </c>
      <c r="O917"/>
    </row>
    <row r="918" spans="1:15" x14ac:dyDescent="0.3">
      <c r="A918" s="37">
        <v>135919</v>
      </c>
      <c r="B918" s="38">
        <v>912</v>
      </c>
      <c r="C918" s="39" t="s">
        <v>7677</v>
      </c>
      <c r="D918" s="10" t="str">
        <f>VLOOKUP(C918,'Data Angt'!$A$5:$B$5809,2,FALSE)</f>
        <v>A3442</v>
      </c>
      <c r="E918" s="40" t="s">
        <v>11470</v>
      </c>
      <c r="F918" s="41">
        <v>44936</v>
      </c>
      <c r="G918" s="38">
        <v>1</v>
      </c>
      <c r="H918" s="40">
        <v>0</v>
      </c>
      <c r="I918" s="38">
        <v>4</v>
      </c>
      <c r="J918" s="41">
        <v>44936</v>
      </c>
      <c r="K918" s="38" t="s">
        <v>10768</v>
      </c>
      <c r="L918" s="42">
        <v>10000000</v>
      </c>
      <c r="O918"/>
    </row>
    <row r="919" spans="1:15" x14ac:dyDescent="0.3">
      <c r="A919" s="37">
        <v>137340</v>
      </c>
      <c r="B919" s="38">
        <v>913</v>
      </c>
      <c r="C919" s="39" t="s">
        <v>7677</v>
      </c>
      <c r="D919" s="10" t="str">
        <f>VLOOKUP(C919,'Data Angt'!$A$5:$B$5809,2,FALSE)</f>
        <v>A3442</v>
      </c>
      <c r="E919" s="40" t="s">
        <v>11469</v>
      </c>
      <c r="F919" s="41">
        <v>45051</v>
      </c>
      <c r="G919" s="38">
        <v>1</v>
      </c>
      <c r="H919" s="40">
        <v>0</v>
      </c>
      <c r="I919" s="38">
        <v>4</v>
      </c>
      <c r="J919" s="41">
        <v>45051</v>
      </c>
      <c r="K919" s="38" t="s">
        <v>10768</v>
      </c>
      <c r="L919" s="42">
        <v>15000000</v>
      </c>
      <c r="O919"/>
    </row>
    <row r="920" spans="1:15" x14ac:dyDescent="0.3">
      <c r="A920" s="37">
        <v>125682</v>
      </c>
      <c r="B920" s="38">
        <v>914</v>
      </c>
      <c r="C920" s="39" t="s">
        <v>7678</v>
      </c>
      <c r="D920" s="10" t="str">
        <f>VLOOKUP(C920,'Data Angt'!$A$5:$B$5809,2,FALSE)</f>
        <v>A3443</v>
      </c>
      <c r="E920" s="40" t="s">
        <v>11463</v>
      </c>
      <c r="F920" s="41">
        <v>44142</v>
      </c>
      <c r="G920" s="38">
        <v>1</v>
      </c>
      <c r="H920" s="40">
        <v>0</v>
      </c>
      <c r="I920" s="38">
        <v>4</v>
      </c>
      <c r="J920" s="41">
        <v>44142</v>
      </c>
      <c r="K920" s="38" t="s">
        <v>10768</v>
      </c>
      <c r="L920" s="42">
        <v>2000000</v>
      </c>
      <c r="O920"/>
    </row>
    <row r="921" spans="1:15" x14ac:dyDescent="0.3">
      <c r="A921" s="37">
        <v>127975</v>
      </c>
      <c r="B921" s="38">
        <v>915</v>
      </c>
      <c r="C921" s="39" t="s">
        <v>7678</v>
      </c>
      <c r="D921" s="10" t="str">
        <f>VLOOKUP(C921,'Data Angt'!$A$5:$B$5809,2,FALSE)</f>
        <v>A3443</v>
      </c>
      <c r="E921" s="40" t="s">
        <v>11462</v>
      </c>
      <c r="F921" s="41">
        <v>44309</v>
      </c>
      <c r="G921" s="38">
        <v>1</v>
      </c>
      <c r="H921" s="40">
        <v>0</v>
      </c>
      <c r="I921" s="38">
        <v>4</v>
      </c>
      <c r="J921" s="41">
        <v>44309</v>
      </c>
      <c r="K921" s="38" t="s">
        <v>10768</v>
      </c>
      <c r="L921" s="42">
        <v>1000000</v>
      </c>
      <c r="O921"/>
    </row>
    <row r="922" spans="1:15" x14ac:dyDescent="0.3">
      <c r="A922" s="37">
        <v>134346</v>
      </c>
      <c r="B922" s="38">
        <v>916</v>
      </c>
      <c r="C922" s="39" t="s">
        <v>7678</v>
      </c>
      <c r="D922" s="10" t="str">
        <f>VLOOKUP(C922,'Data Angt'!$A$5:$B$5809,2,FALSE)</f>
        <v>A3443</v>
      </c>
      <c r="E922" s="40" t="s">
        <v>11465</v>
      </c>
      <c r="F922" s="41">
        <v>44806</v>
      </c>
      <c r="G922" s="38">
        <v>1</v>
      </c>
      <c r="H922" s="40">
        <v>0</v>
      </c>
      <c r="I922" s="38">
        <v>4</v>
      </c>
      <c r="J922" s="41">
        <v>44806</v>
      </c>
      <c r="K922" s="38" t="s">
        <v>10768</v>
      </c>
      <c r="L922" s="42">
        <v>1000000</v>
      </c>
      <c r="O922"/>
    </row>
    <row r="923" spans="1:15" x14ac:dyDescent="0.3">
      <c r="A923" s="37">
        <v>134726</v>
      </c>
      <c r="B923" s="38">
        <v>917</v>
      </c>
      <c r="C923" s="39" t="s">
        <v>7678</v>
      </c>
      <c r="D923" s="10" t="str">
        <f>VLOOKUP(C923,'Data Angt'!$A$5:$B$5809,2,FALSE)</f>
        <v>A3443</v>
      </c>
      <c r="E923" s="40" t="s">
        <v>11464</v>
      </c>
      <c r="F923" s="41">
        <v>44833</v>
      </c>
      <c r="G923" s="38">
        <v>1</v>
      </c>
      <c r="H923" s="40">
        <v>0</v>
      </c>
      <c r="I923" s="38">
        <v>4</v>
      </c>
      <c r="J923" s="41">
        <v>44833</v>
      </c>
      <c r="K923" s="38" t="s">
        <v>10768</v>
      </c>
      <c r="L923" s="42">
        <v>1000000</v>
      </c>
      <c r="O923"/>
    </row>
    <row r="924" spans="1:15" x14ac:dyDescent="0.3">
      <c r="A924" s="37">
        <v>148502</v>
      </c>
      <c r="B924" s="38">
        <v>918</v>
      </c>
      <c r="C924" s="39" t="s">
        <v>7678</v>
      </c>
      <c r="D924" s="10" t="str">
        <f>VLOOKUP(C924,'Data Angt'!$A$5:$B$5809,2,FALSE)</f>
        <v>A3443</v>
      </c>
      <c r="E924" s="40" t="s">
        <v>18255</v>
      </c>
      <c r="F924" s="41">
        <v>45532</v>
      </c>
      <c r="G924" s="38">
        <v>1</v>
      </c>
      <c r="H924" s="40">
        <v>0</v>
      </c>
      <c r="I924" s="38">
        <v>4</v>
      </c>
      <c r="J924" s="41">
        <v>45532</v>
      </c>
      <c r="K924" s="38" t="s">
        <v>10768</v>
      </c>
      <c r="L924" s="42">
        <v>2000000</v>
      </c>
      <c r="O924"/>
    </row>
    <row r="925" spans="1:15" x14ac:dyDescent="0.3">
      <c r="A925" s="37">
        <v>149379</v>
      </c>
      <c r="B925" s="38">
        <v>919</v>
      </c>
      <c r="C925" s="39" t="s">
        <v>7678</v>
      </c>
      <c r="D925" s="10" t="str">
        <f>VLOOKUP(C925,'Data Angt'!$A$5:$B$5809,2,FALSE)</f>
        <v>A3443</v>
      </c>
      <c r="E925" s="40" t="s">
        <v>18256</v>
      </c>
      <c r="F925" s="41">
        <v>45562</v>
      </c>
      <c r="G925" s="38">
        <v>1</v>
      </c>
      <c r="H925" s="40">
        <v>0</v>
      </c>
      <c r="I925" s="38">
        <v>4</v>
      </c>
      <c r="J925" s="41">
        <v>45562</v>
      </c>
      <c r="K925" s="38" t="s">
        <v>10768</v>
      </c>
      <c r="L925" s="42">
        <v>2000000</v>
      </c>
      <c r="O925"/>
    </row>
    <row r="926" spans="1:15" x14ac:dyDescent="0.3">
      <c r="A926" s="37">
        <v>143520</v>
      </c>
      <c r="B926" s="38">
        <v>920</v>
      </c>
      <c r="C926" s="39" t="s">
        <v>7695</v>
      </c>
      <c r="D926" s="10" t="str">
        <f>VLOOKUP(C926,'Data Angt'!$A$5:$B$5809,2,FALSE)</f>
        <v>A3451</v>
      </c>
      <c r="E926" s="40" t="s">
        <v>18257</v>
      </c>
      <c r="F926" s="41">
        <v>45367</v>
      </c>
      <c r="G926" s="38">
        <v>1</v>
      </c>
      <c r="H926" s="40">
        <v>0</v>
      </c>
      <c r="I926" s="38">
        <v>4</v>
      </c>
      <c r="J926" s="41">
        <v>45367</v>
      </c>
      <c r="K926" s="38" t="s">
        <v>10768</v>
      </c>
      <c r="L926" s="42">
        <v>6000000</v>
      </c>
      <c r="O926"/>
    </row>
    <row r="927" spans="1:15" x14ac:dyDescent="0.3">
      <c r="A927" s="37">
        <v>143521</v>
      </c>
      <c r="B927" s="38">
        <v>921</v>
      </c>
      <c r="C927" s="39" t="s">
        <v>7695</v>
      </c>
      <c r="D927" s="10" t="str">
        <f>VLOOKUP(C927,'Data Angt'!$A$5:$B$5809,2,FALSE)</f>
        <v>A3451</v>
      </c>
      <c r="E927" s="40" t="s">
        <v>18258</v>
      </c>
      <c r="F927" s="41">
        <v>45367</v>
      </c>
      <c r="G927" s="38">
        <v>1</v>
      </c>
      <c r="H927" s="40">
        <v>0</v>
      </c>
      <c r="I927" s="38">
        <v>4</v>
      </c>
      <c r="J927" s="41">
        <v>45367</v>
      </c>
      <c r="K927" s="38" t="s">
        <v>10768</v>
      </c>
      <c r="L927" s="42">
        <v>6000000</v>
      </c>
      <c r="O927"/>
    </row>
    <row r="928" spans="1:15" x14ac:dyDescent="0.3">
      <c r="A928" s="37">
        <v>154664</v>
      </c>
      <c r="B928" s="38">
        <v>922</v>
      </c>
      <c r="C928" s="39" t="s">
        <v>7695</v>
      </c>
      <c r="D928" s="10" t="str">
        <f>VLOOKUP(C928,'Data Angt'!$A$5:$B$5809,2,FALSE)</f>
        <v>A3451</v>
      </c>
      <c r="E928" s="40" t="s">
        <v>18259</v>
      </c>
      <c r="F928" s="41">
        <v>45736</v>
      </c>
      <c r="G928" s="38">
        <v>1</v>
      </c>
      <c r="H928" s="40">
        <v>0</v>
      </c>
      <c r="I928" s="38">
        <v>4</v>
      </c>
      <c r="J928" s="41">
        <v>45736</v>
      </c>
      <c r="K928" s="38" t="s">
        <v>10768</v>
      </c>
      <c r="L928" s="42">
        <v>5000000</v>
      </c>
      <c r="O928"/>
    </row>
    <row r="929" spans="1:15" x14ac:dyDescent="0.3">
      <c r="A929" s="37">
        <v>154665</v>
      </c>
      <c r="B929" s="38">
        <v>923</v>
      </c>
      <c r="C929" s="39" t="s">
        <v>7695</v>
      </c>
      <c r="D929" s="10" t="str">
        <f>VLOOKUP(C929,'Data Angt'!$A$5:$B$5809,2,FALSE)</f>
        <v>A3451</v>
      </c>
      <c r="E929" s="40" t="s">
        <v>18260</v>
      </c>
      <c r="F929" s="41">
        <v>45736</v>
      </c>
      <c r="G929" s="38">
        <v>1</v>
      </c>
      <c r="H929" s="40">
        <v>0</v>
      </c>
      <c r="I929" s="38">
        <v>4</v>
      </c>
      <c r="J929" s="41">
        <v>45736</v>
      </c>
      <c r="K929" s="38" t="s">
        <v>10768</v>
      </c>
      <c r="L929" s="42">
        <v>5000000</v>
      </c>
      <c r="O929"/>
    </row>
    <row r="930" spans="1:15" x14ac:dyDescent="0.3">
      <c r="A930" s="37">
        <v>158867</v>
      </c>
      <c r="B930" s="38">
        <v>924</v>
      </c>
      <c r="C930" s="39" t="s">
        <v>7695</v>
      </c>
      <c r="D930" s="10" t="str">
        <f>VLOOKUP(C930,'Data Angt'!$A$5:$B$5809,2,FALSE)</f>
        <v>A3451</v>
      </c>
      <c r="E930" s="40" t="s">
        <v>24087</v>
      </c>
      <c r="F930" s="41">
        <v>45930</v>
      </c>
      <c r="G930" s="38">
        <v>1</v>
      </c>
      <c r="H930" s="40">
        <v>0</v>
      </c>
      <c r="I930" s="38">
        <v>4</v>
      </c>
      <c r="J930" s="41">
        <v>45930</v>
      </c>
      <c r="K930" s="38" t="s">
        <v>10768</v>
      </c>
      <c r="L930" s="42">
        <v>4000000</v>
      </c>
      <c r="O930"/>
    </row>
    <row r="931" spans="1:15" x14ac:dyDescent="0.3">
      <c r="A931" s="37">
        <v>151983</v>
      </c>
      <c r="B931" s="38">
        <v>925</v>
      </c>
      <c r="C931" s="39" t="s">
        <v>7707</v>
      </c>
      <c r="D931" s="10" t="str">
        <f>VLOOKUP(C931,'Data Angt'!$A$5:$B$5809,2,FALSE)</f>
        <v>A3458</v>
      </c>
      <c r="E931" s="40" t="s">
        <v>18261</v>
      </c>
      <c r="F931" s="41">
        <v>45666</v>
      </c>
      <c r="G931" s="38">
        <v>1</v>
      </c>
      <c r="H931" s="40">
        <v>0</v>
      </c>
      <c r="I931" s="38">
        <v>4</v>
      </c>
      <c r="J931" s="41">
        <v>45666</v>
      </c>
      <c r="K931" s="38" t="s">
        <v>10768</v>
      </c>
      <c r="L931" s="42">
        <v>70000000</v>
      </c>
      <c r="O931"/>
    </row>
    <row r="932" spans="1:15" x14ac:dyDescent="0.3">
      <c r="A932" s="37">
        <v>151984</v>
      </c>
      <c r="B932" s="38">
        <v>926</v>
      </c>
      <c r="C932" s="39" t="s">
        <v>7707</v>
      </c>
      <c r="D932" s="10" t="str">
        <f>VLOOKUP(C932,'Data Angt'!$A$5:$B$5809,2,FALSE)</f>
        <v>A3458</v>
      </c>
      <c r="E932" s="40" t="s">
        <v>18262</v>
      </c>
      <c r="F932" s="41">
        <v>45666</v>
      </c>
      <c r="G932" s="38">
        <v>1</v>
      </c>
      <c r="H932" s="40">
        <v>0</v>
      </c>
      <c r="I932" s="38">
        <v>4</v>
      </c>
      <c r="J932" s="41">
        <v>45666</v>
      </c>
      <c r="K932" s="38" t="s">
        <v>10768</v>
      </c>
      <c r="L932" s="42">
        <v>70000000</v>
      </c>
      <c r="O932"/>
    </row>
    <row r="933" spans="1:15" x14ac:dyDescent="0.3">
      <c r="A933" s="37">
        <v>158859</v>
      </c>
      <c r="B933" s="38">
        <v>927</v>
      </c>
      <c r="C933" s="39" t="s">
        <v>7707</v>
      </c>
      <c r="D933" s="10" t="str">
        <f>VLOOKUP(C933,'Data Angt'!$A$5:$B$5809,2,FALSE)</f>
        <v>A3458</v>
      </c>
      <c r="E933" s="40" t="s">
        <v>24088</v>
      </c>
      <c r="F933" s="41">
        <v>45930</v>
      </c>
      <c r="G933" s="38">
        <v>1</v>
      </c>
      <c r="H933" s="40">
        <v>0</v>
      </c>
      <c r="I933" s="38">
        <v>4</v>
      </c>
      <c r="J933" s="41">
        <v>45930</v>
      </c>
      <c r="K933" s="38" t="s">
        <v>10768</v>
      </c>
      <c r="L933" s="42">
        <v>5000000</v>
      </c>
      <c r="O933"/>
    </row>
    <row r="934" spans="1:15" x14ac:dyDescent="0.3">
      <c r="A934" s="37">
        <v>128907</v>
      </c>
      <c r="B934" s="38">
        <v>928</v>
      </c>
      <c r="C934" s="39" t="s">
        <v>7714</v>
      </c>
      <c r="D934" s="10" t="str">
        <f>VLOOKUP(C934,'Data Angt'!$A$5:$B$5809,2,FALSE)</f>
        <v>A3462</v>
      </c>
      <c r="E934" s="40" t="s">
        <v>11461</v>
      </c>
      <c r="F934" s="41">
        <v>44383</v>
      </c>
      <c r="G934" s="38">
        <v>1</v>
      </c>
      <c r="H934" s="40">
        <v>0</v>
      </c>
      <c r="I934" s="38">
        <v>4</v>
      </c>
      <c r="J934" s="41">
        <v>44383</v>
      </c>
      <c r="K934" s="38" t="s">
        <v>10768</v>
      </c>
      <c r="L934" s="42">
        <v>5000000</v>
      </c>
      <c r="O934"/>
    </row>
    <row r="935" spans="1:15" x14ac:dyDescent="0.3">
      <c r="A935" s="37">
        <v>136333</v>
      </c>
      <c r="B935" s="38">
        <v>929</v>
      </c>
      <c r="C935" s="39" t="s">
        <v>7727</v>
      </c>
      <c r="D935" s="10" t="str">
        <f>VLOOKUP(C935,'Data Angt'!$A$5:$B$5809,2,FALSE)</f>
        <v>A3468</v>
      </c>
      <c r="E935" s="40" t="s">
        <v>11460</v>
      </c>
      <c r="F935" s="41">
        <v>44965</v>
      </c>
      <c r="G935" s="38">
        <v>1</v>
      </c>
      <c r="H935" s="40">
        <v>0</v>
      </c>
      <c r="I935" s="38">
        <v>4</v>
      </c>
      <c r="J935" s="41">
        <v>44965</v>
      </c>
      <c r="K935" s="38" t="s">
        <v>10768</v>
      </c>
      <c r="L935" s="42">
        <v>20000000</v>
      </c>
      <c r="O935"/>
    </row>
    <row r="936" spans="1:15" x14ac:dyDescent="0.3">
      <c r="A936" s="37">
        <v>138489</v>
      </c>
      <c r="B936" s="38">
        <v>930</v>
      </c>
      <c r="C936" s="39" t="s">
        <v>7727</v>
      </c>
      <c r="D936" s="10" t="str">
        <f>VLOOKUP(C936,'Data Angt'!$A$5:$B$5809,2,FALSE)</f>
        <v>A3468</v>
      </c>
      <c r="E936" s="40" t="s">
        <v>11459</v>
      </c>
      <c r="F936" s="41">
        <v>45140</v>
      </c>
      <c r="G936" s="38">
        <v>1</v>
      </c>
      <c r="H936" s="40">
        <v>0</v>
      </c>
      <c r="I936" s="38">
        <v>4</v>
      </c>
      <c r="J936" s="41">
        <v>45140</v>
      </c>
      <c r="K936" s="38" t="s">
        <v>10768</v>
      </c>
      <c r="L936" s="42">
        <v>20000000</v>
      </c>
      <c r="O936"/>
    </row>
    <row r="937" spans="1:15" x14ac:dyDescent="0.3">
      <c r="A937" s="37">
        <v>149238</v>
      </c>
      <c r="B937" s="38">
        <v>931</v>
      </c>
      <c r="C937" s="39" t="s">
        <v>7754</v>
      </c>
      <c r="D937" s="10" t="str">
        <f>VLOOKUP(C937,'Data Angt'!$A$5:$B$5809,2,FALSE)</f>
        <v>A3480</v>
      </c>
      <c r="E937" s="40" t="s">
        <v>18263</v>
      </c>
      <c r="F937" s="41">
        <v>45554</v>
      </c>
      <c r="G937" s="38">
        <v>1</v>
      </c>
      <c r="H937" s="40">
        <v>0</v>
      </c>
      <c r="I937" s="38">
        <v>4</v>
      </c>
      <c r="J937" s="41">
        <v>45554</v>
      </c>
      <c r="K937" s="38" t="s">
        <v>10768</v>
      </c>
      <c r="L937" s="42">
        <v>20000000</v>
      </c>
      <c r="O937"/>
    </row>
    <row r="938" spans="1:15" x14ac:dyDescent="0.3">
      <c r="A938" s="37">
        <v>151977</v>
      </c>
      <c r="B938" s="38">
        <v>932</v>
      </c>
      <c r="C938" s="39" t="s">
        <v>7754</v>
      </c>
      <c r="D938" s="10" t="str">
        <f>VLOOKUP(C938,'Data Angt'!$A$5:$B$5809,2,FALSE)</f>
        <v>A3480</v>
      </c>
      <c r="E938" s="40" t="s">
        <v>18264</v>
      </c>
      <c r="F938" s="41">
        <v>45666</v>
      </c>
      <c r="G938" s="38">
        <v>1</v>
      </c>
      <c r="H938" s="40">
        <v>0</v>
      </c>
      <c r="I938" s="38">
        <v>4</v>
      </c>
      <c r="J938" s="41">
        <v>45666</v>
      </c>
      <c r="K938" s="38" t="s">
        <v>10768</v>
      </c>
      <c r="L938" s="42">
        <v>2500000</v>
      </c>
      <c r="O938"/>
    </row>
    <row r="939" spans="1:15" x14ac:dyDescent="0.3">
      <c r="A939" s="37">
        <v>158667</v>
      </c>
      <c r="B939" s="38">
        <v>933</v>
      </c>
      <c r="C939" s="39" t="s">
        <v>7851</v>
      </c>
      <c r="D939" s="10" t="str">
        <f>VLOOKUP(C939,'Data Angt'!$A$5:$B$5809,2,FALSE)</f>
        <v>A3529</v>
      </c>
      <c r="E939" s="40" t="s">
        <v>24089</v>
      </c>
      <c r="F939" s="41">
        <v>45919</v>
      </c>
      <c r="G939" s="38">
        <v>1</v>
      </c>
      <c r="H939" s="40">
        <v>0</v>
      </c>
      <c r="I939" s="38">
        <v>4</v>
      </c>
      <c r="J939" s="41">
        <v>45919</v>
      </c>
      <c r="K939" s="38" t="s">
        <v>384</v>
      </c>
      <c r="L939" s="42">
        <v>2000000</v>
      </c>
      <c r="O939"/>
    </row>
    <row r="940" spans="1:15" x14ac:dyDescent="0.3">
      <c r="A940" s="37">
        <v>138849</v>
      </c>
      <c r="B940" s="38">
        <v>934</v>
      </c>
      <c r="C940" s="39" t="s">
        <v>7861</v>
      </c>
      <c r="D940" s="10" t="str">
        <f>VLOOKUP(C940,'Data Angt'!$A$5:$B$5809,2,FALSE)</f>
        <v>A3534</v>
      </c>
      <c r="E940" s="40" t="s">
        <v>11458</v>
      </c>
      <c r="F940" s="41">
        <v>45159</v>
      </c>
      <c r="G940" s="38">
        <v>1</v>
      </c>
      <c r="H940" s="40">
        <v>0</v>
      </c>
      <c r="I940" s="38">
        <v>4</v>
      </c>
      <c r="J940" s="41">
        <v>45159</v>
      </c>
      <c r="K940" s="38" t="s">
        <v>10768</v>
      </c>
      <c r="L940" s="42">
        <v>10000000</v>
      </c>
      <c r="O940"/>
    </row>
    <row r="941" spans="1:15" x14ac:dyDescent="0.3">
      <c r="A941" s="37">
        <v>144258</v>
      </c>
      <c r="B941" s="38">
        <v>935</v>
      </c>
      <c r="C941" s="39" t="s">
        <v>7985</v>
      </c>
      <c r="D941" s="10" t="str">
        <f>VLOOKUP(C941,'Data Angt'!$A$5:$B$5809,2,FALSE)</f>
        <v>A3600</v>
      </c>
      <c r="E941" s="40" t="s">
        <v>18265</v>
      </c>
      <c r="F941" s="41">
        <v>45391</v>
      </c>
      <c r="G941" s="38">
        <v>1</v>
      </c>
      <c r="H941" s="40">
        <v>0</v>
      </c>
      <c r="I941" s="38">
        <v>4</v>
      </c>
      <c r="J941" s="41">
        <v>45391</v>
      </c>
      <c r="K941" s="38" t="s">
        <v>10768</v>
      </c>
      <c r="L941" s="42">
        <v>1000000</v>
      </c>
      <c r="O941"/>
    </row>
    <row r="942" spans="1:15" x14ac:dyDescent="0.3">
      <c r="A942" s="37">
        <v>124367</v>
      </c>
      <c r="B942" s="38">
        <v>936</v>
      </c>
      <c r="C942" s="39" t="s">
        <v>8004</v>
      </c>
      <c r="D942" s="10" t="str">
        <f>VLOOKUP(C942,'Data Angt'!$A$5:$B$5809,2,FALSE)</f>
        <v>A3609</v>
      </c>
      <c r="E942" s="40" t="s">
        <v>11455</v>
      </c>
      <c r="F942" s="41">
        <v>44040</v>
      </c>
      <c r="G942" s="38">
        <v>1</v>
      </c>
      <c r="H942" s="40">
        <v>0</v>
      </c>
      <c r="I942" s="38">
        <v>4</v>
      </c>
      <c r="J942" s="41">
        <v>44040</v>
      </c>
      <c r="K942" s="38" t="s">
        <v>10768</v>
      </c>
      <c r="L942" s="42">
        <v>10000000</v>
      </c>
      <c r="O942"/>
    </row>
    <row r="943" spans="1:15" x14ac:dyDescent="0.3">
      <c r="A943" s="37">
        <v>127389</v>
      </c>
      <c r="B943" s="38">
        <v>937</v>
      </c>
      <c r="C943" s="39" t="s">
        <v>8004</v>
      </c>
      <c r="D943" s="10" t="str">
        <f>VLOOKUP(C943,'Data Angt'!$A$5:$B$5809,2,FALSE)</f>
        <v>A3609</v>
      </c>
      <c r="E943" s="40" t="s">
        <v>11454</v>
      </c>
      <c r="F943" s="41">
        <v>44264</v>
      </c>
      <c r="G943" s="38">
        <v>1</v>
      </c>
      <c r="H943" s="40">
        <v>0</v>
      </c>
      <c r="I943" s="38">
        <v>4</v>
      </c>
      <c r="J943" s="41">
        <v>44264</v>
      </c>
      <c r="K943" s="38" t="s">
        <v>10768</v>
      </c>
      <c r="L943" s="42">
        <v>10000000</v>
      </c>
      <c r="O943"/>
    </row>
    <row r="944" spans="1:15" x14ac:dyDescent="0.3">
      <c r="A944" s="37">
        <v>151251</v>
      </c>
      <c r="B944" s="38">
        <v>938</v>
      </c>
      <c r="C944" s="39" t="s">
        <v>8061</v>
      </c>
      <c r="D944" s="10" t="str">
        <f>VLOOKUP(C944,'Data Angt'!$A$5:$B$5809,2,FALSE)</f>
        <v>A3641</v>
      </c>
      <c r="E944" s="40" t="s">
        <v>18266</v>
      </c>
      <c r="F944" s="41">
        <v>45629</v>
      </c>
      <c r="G944" s="38">
        <v>1</v>
      </c>
      <c r="H944" s="40">
        <v>0</v>
      </c>
      <c r="I944" s="38">
        <v>4</v>
      </c>
      <c r="J944" s="41">
        <v>45629</v>
      </c>
      <c r="K944" s="38" t="s">
        <v>10768</v>
      </c>
      <c r="L944" s="42">
        <v>10000000</v>
      </c>
      <c r="O944"/>
    </row>
    <row r="945" spans="1:15" x14ac:dyDescent="0.3">
      <c r="A945" s="37">
        <v>121586</v>
      </c>
      <c r="B945" s="38">
        <v>939</v>
      </c>
      <c r="C945" s="39" t="s">
        <v>8061</v>
      </c>
      <c r="D945" s="10" t="str">
        <f>VLOOKUP(C945,'Data Angt'!$A$5:$B$5809,2,FALSE)</f>
        <v>A3641</v>
      </c>
      <c r="E945" s="40" t="s">
        <v>11453</v>
      </c>
      <c r="F945" s="41">
        <v>43896</v>
      </c>
      <c r="G945" s="38">
        <v>1</v>
      </c>
      <c r="H945" s="40">
        <v>0</v>
      </c>
      <c r="I945" s="38">
        <v>4</v>
      </c>
      <c r="J945" s="41">
        <v>43896</v>
      </c>
      <c r="K945" s="38" t="s">
        <v>10768</v>
      </c>
      <c r="L945" s="42">
        <v>10000000</v>
      </c>
      <c r="O945"/>
    </row>
    <row r="946" spans="1:15" x14ac:dyDescent="0.3">
      <c r="A946" s="37">
        <v>122436</v>
      </c>
      <c r="B946" s="38">
        <v>940</v>
      </c>
      <c r="C946" s="39" t="s">
        <v>8061</v>
      </c>
      <c r="D946" s="10" t="str">
        <f>VLOOKUP(C946,'Data Angt'!$A$5:$B$5809,2,FALSE)</f>
        <v>A3641</v>
      </c>
      <c r="E946" s="40" t="s">
        <v>11452</v>
      </c>
      <c r="F946" s="41">
        <v>43920</v>
      </c>
      <c r="G946" s="38">
        <v>1</v>
      </c>
      <c r="H946" s="40">
        <v>0</v>
      </c>
      <c r="I946" s="38">
        <v>4</v>
      </c>
      <c r="J946" s="41">
        <v>43920</v>
      </c>
      <c r="K946" s="38" t="s">
        <v>10768</v>
      </c>
      <c r="L946" s="42">
        <v>10000000</v>
      </c>
      <c r="O946"/>
    </row>
    <row r="947" spans="1:15" x14ac:dyDescent="0.3">
      <c r="A947" s="37">
        <v>120216</v>
      </c>
      <c r="B947" s="38">
        <v>941</v>
      </c>
      <c r="C947" s="39" t="s">
        <v>8067</v>
      </c>
      <c r="D947" s="10" t="str">
        <f>VLOOKUP(C947,'Data Angt'!$A$5:$B$5809,2,FALSE)</f>
        <v>A3645</v>
      </c>
      <c r="E947" s="40" t="s">
        <v>11451</v>
      </c>
      <c r="F947" s="41">
        <v>43859</v>
      </c>
      <c r="G947" s="38">
        <v>1</v>
      </c>
      <c r="H947" s="40">
        <v>0</v>
      </c>
      <c r="I947" s="38">
        <v>4</v>
      </c>
      <c r="J947" s="41">
        <v>43859</v>
      </c>
      <c r="K947" s="38" t="s">
        <v>10768</v>
      </c>
      <c r="L947" s="42">
        <v>50000000</v>
      </c>
      <c r="O947"/>
    </row>
    <row r="948" spans="1:15" x14ac:dyDescent="0.3">
      <c r="A948" s="37">
        <v>120217</v>
      </c>
      <c r="B948" s="38">
        <v>942</v>
      </c>
      <c r="C948" s="39" t="s">
        <v>8067</v>
      </c>
      <c r="D948" s="10" t="str">
        <f>VLOOKUP(C948,'Data Angt'!$A$5:$B$5809,2,FALSE)</f>
        <v>A3645</v>
      </c>
      <c r="E948" s="40" t="s">
        <v>11450</v>
      </c>
      <c r="F948" s="41">
        <v>43859</v>
      </c>
      <c r="G948" s="38">
        <v>1</v>
      </c>
      <c r="H948" s="40">
        <v>0</v>
      </c>
      <c r="I948" s="38">
        <v>4</v>
      </c>
      <c r="J948" s="41">
        <v>43859</v>
      </c>
      <c r="K948" s="38" t="s">
        <v>10768</v>
      </c>
      <c r="L948" s="42">
        <v>50000000</v>
      </c>
      <c r="O948"/>
    </row>
    <row r="949" spans="1:15" x14ac:dyDescent="0.3">
      <c r="A949" s="37">
        <v>146176</v>
      </c>
      <c r="B949" s="38">
        <v>943</v>
      </c>
      <c r="C949" s="39" t="s">
        <v>8086</v>
      </c>
      <c r="D949" s="10" t="str">
        <f>VLOOKUP(C949,'Data Angt'!$A$5:$B$5809,2,FALSE)</f>
        <v>A3658</v>
      </c>
      <c r="E949" s="40" t="s">
        <v>18267</v>
      </c>
      <c r="F949" s="41">
        <v>45469</v>
      </c>
      <c r="G949" s="38">
        <v>1</v>
      </c>
      <c r="H949" s="40">
        <v>0</v>
      </c>
      <c r="I949" s="38">
        <v>4</v>
      </c>
      <c r="J949" s="41">
        <v>45469</v>
      </c>
      <c r="K949" s="38" t="s">
        <v>10768</v>
      </c>
      <c r="L949" s="42">
        <v>2000000</v>
      </c>
      <c r="O949"/>
    </row>
    <row r="950" spans="1:15" x14ac:dyDescent="0.3">
      <c r="A950" s="37">
        <v>151706</v>
      </c>
      <c r="B950" s="38">
        <v>944</v>
      </c>
      <c r="C950" s="39" t="s">
        <v>8086</v>
      </c>
      <c r="D950" s="10" t="str">
        <f>VLOOKUP(C950,'Data Angt'!$A$5:$B$5809,2,FALSE)</f>
        <v>A3658</v>
      </c>
      <c r="E950" s="40" t="s">
        <v>18268</v>
      </c>
      <c r="F950" s="41">
        <v>45653</v>
      </c>
      <c r="G950" s="38">
        <v>1</v>
      </c>
      <c r="H950" s="40">
        <v>0</v>
      </c>
      <c r="I950" s="38">
        <v>4</v>
      </c>
      <c r="J950" s="41">
        <v>45653</v>
      </c>
      <c r="K950" s="38" t="s">
        <v>10768</v>
      </c>
      <c r="L950" s="42">
        <v>3000000</v>
      </c>
      <c r="O950"/>
    </row>
    <row r="951" spans="1:15" x14ac:dyDescent="0.3">
      <c r="A951" s="37">
        <v>154803</v>
      </c>
      <c r="B951" s="38">
        <v>945</v>
      </c>
      <c r="C951" s="39" t="s">
        <v>8086</v>
      </c>
      <c r="D951" s="10" t="str">
        <f>VLOOKUP(C951,'Data Angt'!$A$5:$B$5809,2,FALSE)</f>
        <v>A3658</v>
      </c>
      <c r="E951" s="40" t="s">
        <v>18269</v>
      </c>
      <c r="F951" s="41">
        <v>45742</v>
      </c>
      <c r="G951" s="38">
        <v>1</v>
      </c>
      <c r="H951" s="40">
        <v>0</v>
      </c>
      <c r="I951" s="38">
        <v>4</v>
      </c>
      <c r="J951" s="41">
        <v>45742</v>
      </c>
      <c r="K951" s="38" t="s">
        <v>10768</v>
      </c>
      <c r="L951" s="42">
        <v>4000000</v>
      </c>
      <c r="O951"/>
    </row>
    <row r="952" spans="1:15" x14ac:dyDescent="0.3">
      <c r="A952" s="37">
        <v>156995</v>
      </c>
      <c r="B952" s="38">
        <v>946</v>
      </c>
      <c r="C952" s="39" t="s">
        <v>8086</v>
      </c>
      <c r="D952" s="10" t="str">
        <f>VLOOKUP(C952,'Data Angt'!$A$5:$B$5809,2,FALSE)</f>
        <v>A3658</v>
      </c>
      <c r="E952" s="40" t="s">
        <v>24090</v>
      </c>
      <c r="F952" s="41">
        <v>45852</v>
      </c>
      <c r="G952" s="38">
        <v>1</v>
      </c>
      <c r="H952" s="40">
        <v>0</v>
      </c>
      <c r="I952" s="38">
        <v>4</v>
      </c>
      <c r="J952" s="41">
        <v>45852</v>
      </c>
      <c r="K952" s="38" t="s">
        <v>10768</v>
      </c>
      <c r="L952" s="42">
        <v>3000000</v>
      </c>
      <c r="O952"/>
    </row>
    <row r="953" spans="1:15" x14ac:dyDescent="0.3">
      <c r="A953" s="37">
        <v>121856</v>
      </c>
      <c r="B953" s="38">
        <v>947</v>
      </c>
      <c r="C953" s="39" t="s">
        <v>8132</v>
      </c>
      <c r="D953" s="10" t="str">
        <f>VLOOKUP(C953,'Data Angt'!$A$5:$B$5809,2,FALSE)</f>
        <v>A3681</v>
      </c>
      <c r="E953" s="40" t="s">
        <v>11449</v>
      </c>
      <c r="F953" s="41">
        <v>43903</v>
      </c>
      <c r="G953" s="38">
        <v>1</v>
      </c>
      <c r="H953" s="40">
        <v>0</v>
      </c>
      <c r="I953" s="38">
        <v>4</v>
      </c>
      <c r="J953" s="41">
        <v>43903</v>
      </c>
      <c r="K953" s="38" t="s">
        <v>10768</v>
      </c>
      <c r="L953" s="42">
        <v>1000000</v>
      </c>
      <c r="O953"/>
    </row>
    <row r="954" spans="1:15" x14ac:dyDescent="0.3">
      <c r="A954" s="37">
        <v>150160</v>
      </c>
      <c r="B954" s="38">
        <v>948</v>
      </c>
      <c r="C954" s="39" t="s">
        <v>8147</v>
      </c>
      <c r="D954" s="10" t="str">
        <f>VLOOKUP(C954,'Data Angt'!$A$5:$B$5809,2,FALSE)</f>
        <v>A3689</v>
      </c>
      <c r="E954" s="40" t="s">
        <v>18270</v>
      </c>
      <c r="F954" s="41">
        <v>45601</v>
      </c>
      <c r="G954" s="38">
        <v>1</v>
      </c>
      <c r="H954" s="40">
        <v>0</v>
      </c>
      <c r="I954" s="38">
        <v>4</v>
      </c>
      <c r="J954" s="41">
        <v>45601</v>
      </c>
      <c r="K954" s="38" t="s">
        <v>10768</v>
      </c>
      <c r="L954" s="42">
        <v>5000000</v>
      </c>
      <c r="O954"/>
    </row>
    <row r="955" spans="1:15" x14ac:dyDescent="0.3">
      <c r="A955" s="37">
        <v>158848</v>
      </c>
      <c r="B955" s="38">
        <v>949</v>
      </c>
      <c r="C955" s="39" t="s">
        <v>8168</v>
      </c>
      <c r="D955" s="10" t="str">
        <f>VLOOKUP(C955,'Data Angt'!$A$5:$B$5809,2,FALSE)</f>
        <v>A3698</v>
      </c>
      <c r="E955" s="40" t="s">
        <v>24091</v>
      </c>
      <c r="F955" s="41">
        <v>45929</v>
      </c>
      <c r="G955" s="38">
        <v>1</v>
      </c>
      <c r="H955" s="40">
        <v>0</v>
      </c>
      <c r="I955" s="38">
        <v>4</v>
      </c>
      <c r="J955" s="41">
        <v>45929</v>
      </c>
      <c r="K955" s="38" t="s">
        <v>10768</v>
      </c>
      <c r="L955" s="42">
        <v>9000000</v>
      </c>
      <c r="O955"/>
    </row>
    <row r="956" spans="1:15" x14ac:dyDescent="0.3">
      <c r="A956" s="37">
        <v>148201</v>
      </c>
      <c r="B956" s="38">
        <v>950</v>
      </c>
      <c r="C956" s="39" t="s">
        <v>8223</v>
      </c>
      <c r="D956" s="10" t="str">
        <f>VLOOKUP(C956,'Data Angt'!$A$5:$B$5809,2,FALSE)</f>
        <v>A3725</v>
      </c>
      <c r="E956" s="40" t="s">
        <v>18271</v>
      </c>
      <c r="F956" s="41">
        <v>45519</v>
      </c>
      <c r="G956" s="38">
        <v>1</v>
      </c>
      <c r="H956" s="40">
        <v>0</v>
      </c>
      <c r="I956" s="38">
        <v>4</v>
      </c>
      <c r="J956" s="41">
        <v>45519</v>
      </c>
      <c r="K956" s="38" t="s">
        <v>10768</v>
      </c>
      <c r="L956" s="42">
        <v>15000000</v>
      </c>
      <c r="O956"/>
    </row>
    <row r="957" spans="1:15" x14ac:dyDescent="0.3">
      <c r="A957" s="37">
        <v>157062</v>
      </c>
      <c r="B957" s="38">
        <v>951</v>
      </c>
      <c r="C957" s="39" t="s">
        <v>8278</v>
      </c>
      <c r="D957" s="10" t="str">
        <f>VLOOKUP(C957,'Data Angt'!$A$5:$B$5809,2,FALSE)</f>
        <v>A3751</v>
      </c>
      <c r="E957" s="40" t="s">
        <v>24092</v>
      </c>
      <c r="F957" s="41">
        <v>45854</v>
      </c>
      <c r="G957" s="38">
        <v>1</v>
      </c>
      <c r="H957" s="40">
        <v>0</v>
      </c>
      <c r="I957" s="38">
        <v>4</v>
      </c>
      <c r="J957" s="41">
        <v>45854</v>
      </c>
      <c r="K957" s="38" t="s">
        <v>10768</v>
      </c>
      <c r="L957" s="42">
        <v>15000000</v>
      </c>
      <c r="O957"/>
    </row>
    <row r="958" spans="1:15" x14ac:dyDescent="0.3">
      <c r="A958" s="37">
        <v>158126</v>
      </c>
      <c r="B958" s="38">
        <v>952</v>
      </c>
      <c r="C958" s="39" t="s">
        <v>8278</v>
      </c>
      <c r="D958" s="10" t="str">
        <f>VLOOKUP(C958,'Data Angt'!$A$5:$B$5809,2,FALSE)</f>
        <v>A3751</v>
      </c>
      <c r="E958" s="40" t="s">
        <v>24093</v>
      </c>
      <c r="F958" s="41">
        <v>45894</v>
      </c>
      <c r="G958" s="38">
        <v>1</v>
      </c>
      <c r="H958" s="40">
        <v>0</v>
      </c>
      <c r="I958" s="38">
        <v>4</v>
      </c>
      <c r="J958" s="41">
        <v>45894</v>
      </c>
      <c r="K958" s="38" t="s">
        <v>10768</v>
      </c>
      <c r="L958" s="42">
        <v>10000000</v>
      </c>
      <c r="O958"/>
    </row>
    <row r="959" spans="1:15" x14ac:dyDescent="0.3">
      <c r="A959" s="37">
        <v>157061</v>
      </c>
      <c r="B959" s="38">
        <v>953</v>
      </c>
      <c r="C959" s="39" t="s">
        <v>8278</v>
      </c>
      <c r="D959" s="10" t="str">
        <f>VLOOKUP(C959,'Data Angt'!$A$5:$B$5809,2,FALSE)</f>
        <v>A3751</v>
      </c>
      <c r="E959" s="40" t="s">
        <v>24094</v>
      </c>
      <c r="F959" s="41">
        <v>45854</v>
      </c>
      <c r="G959" s="38">
        <v>1</v>
      </c>
      <c r="H959" s="40">
        <v>0</v>
      </c>
      <c r="I959" s="38">
        <v>4</v>
      </c>
      <c r="J959" s="41">
        <v>45854</v>
      </c>
      <c r="K959" s="38" t="s">
        <v>10768</v>
      </c>
      <c r="L959" s="42">
        <v>15000000</v>
      </c>
      <c r="O959"/>
    </row>
    <row r="960" spans="1:15" x14ac:dyDescent="0.3">
      <c r="A960" s="37">
        <v>151782</v>
      </c>
      <c r="B960" s="38">
        <v>954</v>
      </c>
      <c r="C960" s="39" t="s">
        <v>8329</v>
      </c>
      <c r="D960" s="10" t="str">
        <f>VLOOKUP(C960,'Data Angt'!$A$5:$B$5809,2,FALSE)</f>
        <v>A3776</v>
      </c>
      <c r="E960" s="40" t="s">
        <v>18272</v>
      </c>
      <c r="F960" s="41">
        <v>45657</v>
      </c>
      <c r="G960" s="38">
        <v>1</v>
      </c>
      <c r="H960" s="40">
        <v>0</v>
      </c>
      <c r="I960" s="38">
        <v>4</v>
      </c>
      <c r="J960" s="41">
        <v>45657</v>
      </c>
      <c r="K960" s="38" t="s">
        <v>10768</v>
      </c>
      <c r="L960" s="42">
        <v>40000000</v>
      </c>
      <c r="O960"/>
    </row>
    <row r="961" spans="1:15" x14ac:dyDescent="0.3">
      <c r="A961" s="37">
        <v>155483</v>
      </c>
      <c r="B961" s="38">
        <v>955</v>
      </c>
      <c r="C961" s="39" t="s">
        <v>8333</v>
      </c>
      <c r="D961" s="10" t="str">
        <f>VLOOKUP(C961,'Data Angt'!$A$5:$B$5809,2,FALSE)</f>
        <v>A3778</v>
      </c>
      <c r="E961" s="40" t="s">
        <v>18278</v>
      </c>
      <c r="F961" s="41">
        <v>45783</v>
      </c>
      <c r="G961" s="38">
        <v>1</v>
      </c>
      <c r="H961" s="40">
        <v>0</v>
      </c>
      <c r="I961" s="38">
        <v>4</v>
      </c>
      <c r="J961" s="41">
        <v>45783</v>
      </c>
      <c r="K961" s="38" t="s">
        <v>10768</v>
      </c>
      <c r="L961" s="42">
        <v>2000000</v>
      </c>
      <c r="O961"/>
    </row>
    <row r="962" spans="1:15" x14ac:dyDescent="0.3">
      <c r="A962" s="37">
        <v>155484</v>
      </c>
      <c r="B962" s="38">
        <v>956</v>
      </c>
      <c r="C962" s="39" t="s">
        <v>8333</v>
      </c>
      <c r="D962" s="10" t="str">
        <f>VLOOKUP(C962,'Data Angt'!$A$5:$B$5809,2,FALSE)</f>
        <v>A3778</v>
      </c>
      <c r="E962" s="40" t="s">
        <v>18279</v>
      </c>
      <c r="F962" s="41">
        <v>45783</v>
      </c>
      <c r="G962" s="38">
        <v>1</v>
      </c>
      <c r="H962" s="40">
        <v>0</v>
      </c>
      <c r="I962" s="38">
        <v>4</v>
      </c>
      <c r="J962" s="41">
        <v>45783</v>
      </c>
      <c r="K962" s="38" t="s">
        <v>10768</v>
      </c>
      <c r="L962" s="42">
        <v>3000000</v>
      </c>
      <c r="O962"/>
    </row>
    <row r="963" spans="1:15" x14ac:dyDescent="0.3">
      <c r="A963" s="37">
        <v>156835</v>
      </c>
      <c r="B963" s="38">
        <v>957</v>
      </c>
      <c r="C963" s="39" t="s">
        <v>8333</v>
      </c>
      <c r="D963" s="10" t="str">
        <f>VLOOKUP(C963,'Data Angt'!$A$5:$B$5809,2,FALSE)</f>
        <v>A3778</v>
      </c>
      <c r="E963" s="40" t="s">
        <v>24095</v>
      </c>
      <c r="F963" s="41">
        <v>45845</v>
      </c>
      <c r="G963" s="38">
        <v>1</v>
      </c>
      <c r="H963" s="40">
        <v>0</v>
      </c>
      <c r="I963" s="38">
        <v>4</v>
      </c>
      <c r="J963" s="41">
        <v>45845</v>
      </c>
      <c r="K963" s="38" t="s">
        <v>10768</v>
      </c>
      <c r="L963" s="42">
        <v>2000000</v>
      </c>
      <c r="O963"/>
    </row>
    <row r="964" spans="1:15" x14ac:dyDescent="0.3">
      <c r="A964" s="37">
        <v>141453</v>
      </c>
      <c r="B964" s="38">
        <v>958</v>
      </c>
      <c r="C964" s="39" t="s">
        <v>8333</v>
      </c>
      <c r="D964" s="10" t="str">
        <f>VLOOKUP(C964,'Data Angt'!$A$5:$B$5809,2,FALSE)</f>
        <v>A3778</v>
      </c>
      <c r="E964" s="40" t="s">
        <v>18280</v>
      </c>
      <c r="F964" s="41">
        <v>45299</v>
      </c>
      <c r="G964" s="38">
        <v>1</v>
      </c>
      <c r="H964" s="40">
        <v>0</v>
      </c>
      <c r="I964" s="38">
        <v>4</v>
      </c>
      <c r="J964" s="41">
        <v>45299</v>
      </c>
      <c r="K964" s="38" t="s">
        <v>10768</v>
      </c>
      <c r="L964" s="42">
        <v>2000000</v>
      </c>
      <c r="O964"/>
    </row>
    <row r="965" spans="1:15" x14ac:dyDescent="0.3">
      <c r="A965" s="37">
        <v>142488</v>
      </c>
      <c r="B965" s="38">
        <v>959</v>
      </c>
      <c r="C965" s="39" t="s">
        <v>8333</v>
      </c>
      <c r="D965" s="10" t="str">
        <f>VLOOKUP(C965,'Data Angt'!$A$5:$B$5809,2,FALSE)</f>
        <v>A3778</v>
      </c>
      <c r="E965" s="40" t="s">
        <v>18281</v>
      </c>
      <c r="F965" s="41">
        <v>45334</v>
      </c>
      <c r="G965" s="38">
        <v>1</v>
      </c>
      <c r="H965" s="40">
        <v>0</v>
      </c>
      <c r="I965" s="38">
        <v>4</v>
      </c>
      <c r="J965" s="41">
        <v>45334</v>
      </c>
      <c r="K965" s="38" t="s">
        <v>10768</v>
      </c>
      <c r="L965" s="42">
        <v>2000000</v>
      </c>
      <c r="O965"/>
    </row>
    <row r="966" spans="1:15" x14ac:dyDescent="0.3">
      <c r="A966" s="37">
        <v>134575</v>
      </c>
      <c r="B966" s="38">
        <v>960</v>
      </c>
      <c r="C966" s="39" t="s">
        <v>8333</v>
      </c>
      <c r="D966" s="10" t="str">
        <f>VLOOKUP(C966,'Data Angt'!$A$5:$B$5809,2,FALSE)</f>
        <v>A3778</v>
      </c>
      <c r="E966" s="40" t="s">
        <v>11448</v>
      </c>
      <c r="F966" s="41">
        <v>44817</v>
      </c>
      <c r="G966" s="38">
        <v>1</v>
      </c>
      <c r="H966" s="40">
        <v>0</v>
      </c>
      <c r="I966" s="38">
        <v>4</v>
      </c>
      <c r="J966" s="41">
        <v>44817</v>
      </c>
      <c r="K966" s="38" t="s">
        <v>10768</v>
      </c>
      <c r="L966" s="42">
        <v>1000000</v>
      </c>
      <c r="O966"/>
    </row>
    <row r="967" spans="1:15" x14ac:dyDescent="0.3">
      <c r="A967" s="37">
        <v>143477</v>
      </c>
      <c r="B967" s="38">
        <v>961</v>
      </c>
      <c r="C967" s="39" t="s">
        <v>8333</v>
      </c>
      <c r="D967" s="10" t="str">
        <f>VLOOKUP(C967,'Data Angt'!$A$5:$B$5809,2,FALSE)</f>
        <v>A3778</v>
      </c>
      <c r="E967" s="40" t="s">
        <v>18282</v>
      </c>
      <c r="F967" s="41">
        <v>45365</v>
      </c>
      <c r="G967" s="38">
        <v>1</v>
      </c>
      <c r="H967" s="40">
        <v>0</v>
      </c>
      <c r="I967" s="38">
        <v>4</v>
      </c>
      <c r="J967" s="41">
        <v>45365</v>
      </c>
      <c r="K967" s="38" t="s">
        <v>10768</v>
      </c>
      <c r="L967" s="42">
        <v>2000000</v>
      </c>
      <c r="O967"/>
    </row>
    <row r="968" spans="1:15" x14ac:dyDescent="0.3">
      <c r="A968" s="37">
        <v>145911</v>
      </c>
      <c r="B968" s="38">
        <v>962</v>
      </c>
      <c r="C968" s="39" t="s">
        <v>8333</v>
      </c>
      <c r="D968" s="10" t="str">
        <f>VLOOKUP(C968,'Data Angt'!$A$5:$B$5809,2,FALSE)</f>
        <v>A3778</v>
      </c>
      <c r="E968" s="40" t="s">
        <v>18273</v>
      </c>
      <c r="F968" s="41">
        <v>45453</v>
      </c>
      <c r="G968" s="38">
        <v>1</v>
      </c>
      <c r="H968" s="40">
        <v>0</v>
      </c>
      <c r="I968" s="38">
        <v>4</v>
      </c>
      <c r="J968" s="41">
        <v>45453</v>
      </c>
      <c r="K968" s="38" t="s">
        <v>10768</v>
      </c>
      <c r="L968" s="42">
        <v>1500000</v>
      </c>
      <c r="O968"/>
    </row>
    <row r="969" spans="1:15" x14ac:dyDescent="0.3">
      <c r="A969" s="37">
        <v>136247</v>
      </c>
      <c r="B969" s="38">
        <v>963</v>
      </c>
      <c r="C969" s="39" t="s">
        <v>8333</v>
      </c>
      <c r="D969" s="10" t="str">
        <f>VLOOKUP(C969,'Data Angt'!$A$5:$B$5809,2,FALSE)</f>
        <v>A3778</v>
      </c>
      <c r="E969" s="40" t="s">
        <v>11447</v>
      </c>
      <c r="F969" s="41">
        <v>44959</v>
      </c>
      <c r="G969" s="38">
        <v>1</v>
      </c>
      <c r="H969" s="40">
        <v>0</v>
      </c>
      <c r="I969" s="38">
        <v>4</v>
      </c>
      <c r="J969" s="41">
        <v>44959</v>
      </c>
      <c r="K969" s="38" t="s">
        <v>10768</v>
      </c>
      <c r="L969" s="42">
        <v>2000000</v>
      </c>
      <c r="O969"/>
    </row>
    <row r="970" spans="1:15" x14ac:dyDescent="0.3">
      <c r="A970" s="37">
        <v>146490</v>
      </c>
      <c r="B970" s="38">
        <v>964</v>
      </c>
      <c r="C970" s="39" t="s">
        <v>8333</v>
      </c>
      <c r="D970" s="10" t="str">
        <f>VLOOKUP(C970,'Data Angt'!$A$5:$B$5809,2,FALSE)</f>
        <v>A3778</v>
      </c>
      <c r="E970" s="40" t="s">
        <v>18274</v>
      </c>
      <c r="F970" s="41">
        <v>45485</v>
      </c>
      <c r="G970" s="38">
        <v>1</v>
      </c>
      <c r="H970" s="40">
        <v>0</v>
      </c>
      <c r="I970" s="38">
        <v>4</v>
      </c>
      <c r="J970" s="41">
        <v>45485</v>
      </c>
      <c r="K970" s="38" t="s">
        <v>10768</v>
      </c>
      <c r="L970" s="42">
        <v>2000000</v>
      </c>
      <c r="O970"/>
    </row>
    <row r="971" spans="1:15" x14ac:dyDescent="0.3">
      <c r="A971" s="37">
        <v>147822</v>
      </c>
      <c r="B971" s="38">
        <v>965</v>
      </c>
      <c r="C971" s="39" t="s">
        <v>8333</v>
      </c>
      <c r="D971" s="10" t="str">
        <f>VLOOKUP(C971,'Data Angt'!$A$5:$B$5809,2,FALSE)</f>
        <v>A3778</v>
      </c>
      <c r="E971" s="40" t="s">
        <v>18275</v>
      </c>
      <c r="F971" s="41">
        <v>45504</v>
      </c>
      <c r="G971" s="38">
        <v>1</v>
      </c>
      <c r="H971" s="40">
        <v>0</v>
      </c>
      <c r="I971" s="38">
        <v>4</v>
      </c>
      <c r="J971" s="41">
        <v>45504</v>
      </c>
      <c r="K971" s="38" t="s">
        <v>10768</v>
      </c>
      <c r="L971" s="42">
        <v>2000000</v>
      </c>
      <c r="O971"/>
    </row>
    <row r="972" spans="1:15" x14ac:dyDescent="0.3">
      <c r="A972" s="37">
        <v>149068</v>
      </c>
      <c r="B972" s="38">
        <v>966</v>
      </c>
      <c r="C972" s="39" t="s">
        <v>8333</v>
      </c>
      <c r="D972" s="10" t="str">
        <f>VLOOKUP(C972,'Data Angt'!$A$5:$B$5809,2,FALSE)</f>
        <v>A3778</v>
      </c>
      <c r="E972" s="40" t="s">
        <v>18276</v>
      </c>
      <c r="F972" s="41">
        <v>45547</v>
      </c>
      <c r="G972" s="38">
        <v>1</v>
      </c>
      <c r="H972" s="40">
        <v>0</v>
      </c>
      <c r="I972" s="38">
        <v>4</v>
      </c>
      <c r="J972" s="41">
        <v>45547</v>
      </c>
      <c r="K972" s="38" t="s">
        <v>10768</v>
      </c>
      <c r="L972" s="42">
        <v>3000000</v>
      </c>
      <c r="O972"/>
    </row>
    <row r="973" spans="1:15" x14ac:dyDescent="0.3">
      <c r="A973" s="37">
        <v>137101</v>
      </c>
      <c r="B973" s="38">
        <v>967</v>
      </c>
      <c r="C973" s="39" t="s">
        <v>8333</v>
      </c>
      <c r="D973" s="10" t="str">
        <f>VLOOKUP(C973,'Data Angt'!$A$5:$B$5809,2,FALSE)</f>
        <v>A3778</v>
      </c>
      <c r="E973" s="40" t="s">
        <v>11446</v>
      </c>
      <c r="F973" s="41">
        <v>45027</v>
      </c>
      <c r="G973" s="38">
        <v>1</v>
      </c>
      <c r="H973" s="40">
        <v>0</v>
      </c>
      <c r="I973" s="38">
        <v>4</v>
      </c>
      <c r="J973" s="41">
        <v>45027</v>
      </c>
      <c r="K973" s="38" t="s">
        <v>10768</v>
      </c>
      <c r="L973" s="42">
        <v>2000000</v>
      </c>
      <c r="O973"/>
    </row>
    <row r="974" spans="1:15" x14ac:dyDescent="0.3">
      <c r="A974" s="37">
        <v>154386</v>
      </c>
      <c r="B974" s="38">
        <v>968</v>
      </c>
      <c r="C974" s="39" t="s">
        <v>8333</v>
      </c>
      <c r="D974" s="10" t="str">
        <f>VLOOKUP(C974,'Data Angt'!$A$5:$B$5809,2,FALSE)</f>
        <v>A3778</v>
      </c>
      <c r="E974" s="40" t="s">
        <v>18277</v>
      </c>
      <c r="F974" s="41">
        <v>45726</v>
      </c>
      <c r="G974" s="38">
        <v>1</v>
      </c>
      <c r="H974" s="40">
        <v>0</v>
      </c>
      <c r="I974" s="38">
        <v>4</v>
      </c>
      <c r="J974" s="41">
        <v>45728</v>
      </c>
      <c r="K974" s="38" t="s">
        <v>10768</v>
      </c>
      <c r="L974" s="42">
        <v>3500000</v>
      </c>
      <c r="O974"/>
    </row>
    <row r="975" spans="1:15" x14ac:dyDescent="0.3">
      <c r="A975" s="37">
        <v>136601</v>
      </c>
      <c r="B975" s="38">
        <v>969</v>
      </c>
      <c r="C975" s="39" t="s">
        <v>8354</v>
      </c>
      <c r="D975" s="10" t="str">
        <f>VLOOKUP(C975,'Data Angt'!$A$5:$B$5809,2,FALSE)</f>
        <v>A3787</v>
      </c>
      <c r="E975" s="40" t="s">
        <v>11445</v>
      </c>
      <c r="F975" s="41">
        <v>44982</v>
      </c>
      <c r="G975" s="38">
        <v>1</v>
      </c>
      <c r="H975" s="40">
        <v>0</v>
      </c>
      <c r="I975" s="38">
        <v>4</v>
      </c>
      <c r="J975" s="41">
        <v>44982</v>
      </c>
      <c r="K975" s="38" t="s">
        <v>10768</v>
      </c>
      <c r="L975" s="42">
        <v>4000000</v>
      </c>
      <c r="O975"/>
    </row>
    <row r="976" spans="1:15" x14ac:dyDescent="0.3">
      <c r="A976" s="37">
        <v>146041</v>
      </c>
      <c r="B976" s="38">
        <v>970</v>
      </c>
      <c r="C976" s="39" t="s">
        <v>8364</v>
      </c>
      <c r="D976" s="10" t="str">
        <f>VLOOKUP(C976,'Data Angt'!$A$5:$B$5809,2,FALSE)</f>
        <v>A3790</v>
      </c>
      <c r="E976" s="40" t="s">
        <v>18283</v>
      </c>
      <c r="F976" s="41">
        <v>45458</v>
      </c>
      <c r="G976" s="38">
        <v>1</v>
      </c>
      <c r="H976" s="40">
        <v>0</v>
      </c>
      <c r="I976" s="38">
        <v>4</v>
      </c>
      <c r="J976" s="41">
        <v>45458</v>
      </c>
      <c r="K976" s="38" t="s">
        <v>10768</v>
      </c>
      <c r="L976" s="42">
        <v>10000000</v>
      </c>
      <c r="O976"/>
    </row>
    <row r="977" spans="1:15" x14ac:dyDescent="0.3">
      <c r="A977" s="37">
        <v>131726</v>
      </c>
      <c r="B977" s="38">
        <v>971</v>
      </c>
      <c r="C977" s="39" t="s">
        <v>8376</v>
      </c>
      <c r="D977" s="10" t="str">
        <f>VLOOKUP(C977,'Data Angt'!$A$5:$B$5809,2,FALSE)</f>
        <v>A3796</v>
      </c>
      <c r="E977" s="40" t="s">
        <v>11444</v>
      </c>
      <c r="F977" s="41">
        <v>44601</v>
      </c>
      <c r="G977" s="38">
        <v>1</v>
      </c>
      <c r="H977" s="40">
        <v>0</v>
      </c>
      <c r="I977" s="38">
        <v>4</v>
      </c>
      <c r="J977" s="41">
        <v>44601</v>
      </c>
      <c r="K977" s="38" t="s">
        <v>10768</v>
      </c>
      <c r="L977" s="42">
        <v>40000000</v>
      </c>
      <c r="O977"/>
    </row>
    <row r="978" spans="1:15" x14ac:dyDescent="0.3">
      <c r="A978" s="37">
        <v>134417</v>
      </c>
      <c r="B978" s="38">
        <v>972</v>
      </c>
      <c r="C978" s="39" t="s">
        <v>8376</v>
      </c>
      <c r="D978" s="10" t="str">
        <f>VLOOKUP(C978,'Data Angt'!$A$5:$B$5809,2,FALSE)</f>
        <v>A3796</v>
      </c>
      <c r="E978" s="40" t="s">
        <v>11443</v>
      </c>
      <c r="F978" s="41">
        <v>44809</v>
      </c>
      <c r="G978" s="38">
        <v>1</v>
      </c>
      <c r="H978" s="40">
        <v>0</v>
      </c>
      <c r="I978" s="38">
        <v>4</v>
      </c>
      <c r="J978" s="41">
        <v>44809</v>
      </c>
      <c r="K978" s="38" t="s">
        <v>10768</v>
      </c>
      <c r="L978" s="42">
        <v>35000000</v>
      </c>
      <c r="O978"/>
    </row>
    <row r="979" spans="1:15" x14ac:dyDescent="0.3">
      <c r="A979" s="37">
        <v>135835</v>
      </c>
      <c r="B979" s="38">
        <v>973</v>
      </c>
      <c r="C979" s="39" t="s">
        <v>8376</v>
      </c>
      <c r="D979" s="10" t="str">
        <f>VLOOKUP(C979,'Data Angt'!$A$5:$B$5809,2,FALSE)</f>
        <v>A3796</v>
      </c>
      <c r="E979" s="40" t="s">
        <v>11442</v>
      </c>
      <c r="F979" s="41">
        <v>44931</v>
      </c>
      <c r="G979" s="38">
        <v>1</v>
      </c>
      <c r="H979" s="40">
        <v>0</v>
      </c>
      <c r="I979" s="38">
        <v>4</v>
      </c>
      <c r="J979" s="41">
        <v>44931</v>
      </c>
      <c r="K979" s="38" t="s">
        <v>10768</v>
      </c>
      <c r="L979" s="42">
        <v>70000000</v>
      </c>
      <c r="O979"/>
    </row>
    <row r="980" spans="1:15" x14ac:dyDescent="0.3">
      <c r="A980" s="37">
        <v>127904</v>
      </c>
      <c r="B980" s="38">
        <v>974</v>
      </c>
      <c r="C980" s="39" t="s">
        <v>8395</v>
      </c>
      <c r="D980" s="10" t="str">
        <f>VLOOKUP(C980,'Data Angt'!$A$5:$B$5809,2,FALSE)</f>
        <v>A3806</v>
      </c>
      <c r="E980" s="40" t="s">
        <v>11438</v>
      </c>
      <c r="F980" s="41">
        <v>44303</v>
      </c>
      <c r="G980" s="38">
        <v>1</v>
      </c>
      <c r="H980" s="40">
        <v>0</v>
      </c>
      <c r="I980" s="38">
        <v>4</v>
      </c>
      <c r="J980" s="41">
        <v>44303</v>
      </c>
      <c r="K980" s="38" t="s">
        <v>10768</v>
      </c>
      <c r="L980" s="42">
        <v>36000000</v>
      </c>
      <c r="O980"/>
    </row>
    <row r="981" spans="1:15" x14ac:dyDescent="0.3">
      <c r="A981" s="37">
        <v>145874</v>
      </c>
      <c r="B981" s="38">
        <v>975</v>
      </c>
      <c r="C981" s="39" t="s">
        <v>8441</v>
      </c>
      <c r="D981" s="10" t="str">
        <f>VLOOKUP(C981,'Data Angt'!$A$5:$B$5809,2,FALSE)</f>
        <v>A3827</v>
      </c>
      <c r="E981" s="40" t="s">
        <v>18284</v>
      </c>
      <c r="F981" s="41">
        <v>45450</v>
      </c>
      <c r="G981" s="38">
        <v>6</v>
      </c>
      <c r="H981" s="40">
        <v>0</v>
      </c>
      <c r="I981" s="38">
        <v>4</v>
      </c>
      <c r="J981" s="41">
        <v>45450</v>
      </c>
      <c r="K981" s="38" t="s">
        <v>10768</v>
      </c>
      <c r="L981" s="42">
        <v>2500000</v>
      </c>
      <c r="O981"/>
    </row>
    <row r="982" spans="1:15" x14ac:dyDescent="0.3">
      <c r="A982" s="37">
        <v>149539</v>
      </c>
      <c r="B982" s="38">
        <v>976</v>
      </c>
      <c r="C982" s="39" t="s">
        <v>8504</v>
      </c>
      <c r="D982" s="10" t="str">
        <f>VLOOKUP(C982,'Data Angt'!$A$5:$B$5809,2,FALSE)</f>
        <v>A3856</v>
      </c>
      <c r="E982" s="40" t="s">
        <v>18285</v>
      </c>
      <c r="F982" s="41">
        <v>45569</v>
      </c>
      <c r="G982" s="38">
        <v>1</v>
      </c>
      <c r="H982" s="40">
        <v>0</v>
      </c>
      <c r="I982" s="38">
        <v>4</v>
      </c>
      <c r="J982" s="41">
        <v>45569</v>
      </c>
      <c r="K982" s="38" t="s">
        <v>10768</v>
      </c>
      <c r="L982" s="42">
        <v>1000000</v>
      </c>
      <c r="O982"/>
    </row>
    <row r="983" spans="1:15" x14ac:dyDescent="0.3">
      <c r="A983" s="37">
        <v>155285</v>
      </c>
      <c r="B983" s="38">
        <v>977</v>
      </c>
      <c r="C983" s="39" t="s">
        <v>8537</v>
      </c>
      <c r="D983" s="10" t="str">
        <f>VLOOKUP(C983,'Data Angt'!$A$5:$B$5809,2,FALSE)</f>
        <v>A3873</v>
      </c>
      <c r="E983" s="40" t="s">
        <v>18286</v>
      </c>
      <c r="F983" s="41">
        <v>45775</v>
      </c>
      <c r="G983" s="38">
        <v>6</v>
      </c>
      <c r="H983" s="40">
        <v>0</v>
      </c>
      <c r="I983" s="38">
        <v>4</v>
      </c>
      <c r="J983" s="41">
        <v>45775</v>
      </c>
      <c r="K983" s="38" t="s">
        <v>10768</v>
      </c>
      <c r="L983" s="42">
        <v>7000000</v>
      </c>
      <c r="O983"/>
    </row>
    <row r="984" spans="1:15" x14ac:dyDescent="0.3">
      <c r="A984" s="37">
        <v>130323</v>
      </c>
      <c r="B984" s="38">
        <v>978</v>
      </c>
      <c r="C984" s="39" t="s">
        <v>8552</v>
      </c>
      <c r="D984" s="10" t="str">
        <f>VLOOKUP(C984,'Data Angt'!$A$5:$B$5809,2,FALSE)</f>
        <v>A3879</v>
      </c>
      <c r="E984" s="40" t="s">
        <v>11437</v>
      </c>
      <c r="F984" s="41">
        <v>44484</v>
      </c>
      <c r="G984" s="38">
        <v>1</v>
      </c>
      <c r="H984" s="40">
        <v>0</v>
      </c>
      <c r="I984" s="38">
        <v>4</v>
      </c>
      <c r="J984" s="41">
        <v>44484</v>
      </c>
      <c r="K984" s="38" t="s">
        <v>10768</v>
      </c>
      <c r="L984" s="42">
        <v>1000000</v>
      </c>
      <c r="O984"/>
    </row>
    <row r="985" spans="1:15" x14ac:dyDescent="0.3">
      <c r="A985" s="37">
        <v>136246</v>
      </c>
      <c r="B985" s="38">
        <v>979</v>
      </c>
      <c r="C985" s="39" t="s">
        <v>8564</v>
      </c>
      <c r="D985" s="10" t="str">
        <f>VLOOKUP(C985,'Data Angt'!$A$5:$B$5809,2,FALSE)</f>
        <v>A3885</v>
      </c>
      <c r="E985" s="40" t="s">
        <v>11436</v>
      </c>
      <c r="F985" s="41">
        <v>44959</v>
      </c>
      <c r="G985" s="38">
        <v>1</v>
      </c>
      <c r="H985" s="40">
        <v>0</v>
      </c>
      <c r="I985" s="38">
        <v>4</v>
      </c>
      <c r="J985" s="41">
        <v>44959</v>
      </c>
      <c r="K985" s="38" t="s">
        <v>10768</v>
      </c>
      <c r="L985" s="42">
        <v>1500000</v>
      </c>
      <c r="O985"/>
    </row>
    <row r="986" spans="1:15" x14ac:dyDescent="0.3">
      <c r="A986" s="37">
        <v>130495</v>
      </c>
      <c r="B986" s="38">
        <v>980</v>
      </c>
      <c r="C986" s="39" t="s">
        <v>8576</v>
      </c>
      <c r="D986" s="10" t="str">
        <f>VLOOKUP(C986,'Data Angt'!$A$5:$B$5809,2,FALSE)</f>
        <v>A3889</v>
      </c>
      <c r="E986" s="40" t="s">
        <v>11435</v>
      </c>
      <c r="F986" s="41">
        <v>44501</v>
      </c>
      <c r="G986" s="38">
        <v>1</v>
      </c>
      <c r="H986" s="40">
        <v>0</v>
      </c>
      <c r="I986" s="38">
        <v>4</v>
      </c>
      <c r="J986" s="41">
        <v>44501</v>
      </c>
      <c r="K986" s="38" t="s">
        <v>10768</v>
      </c>
      <c r="L986" s="42">
        <v>50000000</v>
      </c>
      <c r="O986"/>
    </row>
    <row r="987" spans="1:15" x14ac:dyDescent="0.3">
      <c r="A987" s="37">
        <v>130496</v>
      </c>
      <c r="B987" s="38">
        <v>981</v>
      </c>
      <c r="C987" s="39" t="s">
        <v>8576</v>
      </c>
      <c r="D987" s="10" t="str">
        <f>VLOOKUP(C987,'Data Angt'!$A$5:$B$5809,2,FALSE)</f>
        <v>A3889</v>
      </c>
      <c r="E987" s="40" t="s">
        <v>11434</v>
      </c>
      <c r="F987" s="41">
        <v>44501</v>
      </c>
      <c r="G987" s="38">
        <v>1</v>
      </c>
      <c r="H987" s="40">
        <v>0</v>
      </c>
      <c r="I987" s="38">
        <v>4</v>
      </c>
      <c r="J987" s="41">
        <v>44501</v>
      </c>
      <c r="K987" s="38" t="s">
        <v>10768</v>
      </c>
      <c r="L987" s="42">
        <v>50000000</v>
      </c>
      <c r="O987"/>
    </row>
    <row r="988" spans="1:15" x14ac:dyDescent="0.3">
      <c r="A988" s="37">
        <v>130497</v>
      </c>
      <c r="B988" s="38">
        <v>982</v>
      </c>
      <c r="C988" s="39" t="s">
        <v>8576</v>
      </c>
      <c r="D988" s="10" t="str">
        <f>VLOOKUP(C988,'Data Angt'!$A$5:$B$5809,2,FALSE)</f>
        <v>A3889</v>
      </c>
      <c r="E988" s="40" t="s">
        <v>11433</v>
      </c>
      <c r="F988" s="41">
        <v>44501</v>
      </c>
      <c r="G988" s="38">
        <v>1</v>
      </c>
      <c r="H988" s="40">
        <v>0</v>
      </c>
      <c r="I988" s="38">
        <v>4</v>
      </c>
      <c r="J988" s="41">
        <v>44501</v>
      </c>
      <c r="K988" s="38" t="s">
        <v>10768</v>
      </c>
      <c r="L988" s="42">
        <v>50000000</v>
      </c>
      <c r="O988"/>
    </row>
    <row r="989" spans="1:15" x14ac:dyDescent="0.3">
      <c r="A989" s="37">
        <v>130498</v>
      </c>
      <c r="B989" s="38">
        <v>983</v>
      </c>
      <c r="C989" s="39" t="s">
        <v>8576</v>
      </c>
      <c r="D989" s="10" t="str">
        <f>VLOOKUP(C989,'Data Angt'!$A$5:$B$5809,2,FALSE)</f>
        <v>A3889</v>
      </c>
      <c r="E989" s="40" t="s">
        <v>11432</v>
      </c>
      <c r="F989" s="41">
        <v>44501</v>
      </c>
      <c r="G989" s="38">
        <v>1</v>
      </c>
      <c r="H989" s="40">
        <v>0</v>
      </c>
      <c r="I989" s="38">
        <v>4</v>
      </c>
      <c r="J989" s="41">
        <v>44501</v>
      </c>
      <c r="K989" s="38" t="s">
        <v>10768</v>
      </c>
      <c r="L989" s="42">
        <v>50000000</v>
      </c>
      <c r="O989"/>
    </row>
    <row r="990" spans="1:15" x14ac:dyDescent="0.3">
      <c r="A990" s="37">
        <v>133389</v>
      </c>
      <c r="B990" s="38">
        <v>984</v>
      </c>
      <c r="C990" s="39" t="s">
        <v>8578</v>
      </c>
      <c r="D990" s="10" t="str">
        <f>VLOOKUP(C990,'Data Angt'!$A$5:$B$5809,2,FALSE)</f>
        <v>A3890</v>
      </c>
      <c r="E990" s="40" t="s">
        <v>11431</v>
      </c>
      <c r="F990" s="41">
        <v>44739</v>
      </c>
      <c r="G990" s="38">
        <v>1</v>
      </c>
      <c r="H990" s="40">
        <v>0</v>
      </c>
      <c r="I990" s="38">
        <v>4</v>
      </c>
      <c r="J990" s="41">
        <v>44739</v>
      </c>
      <c r="K990" s="38" t="s">
        <v>10768</v>
      </c>
      <c r="L990" s="42">
        <v>9000000</v>
      </c>
      <c r="O990"/>
    </row>
    <row r="991" spans="1:15" x14ac:dyDescent="0.3">
      <c r="A991" s="37">
        <v>139731</v>
      </c>
      <c r="B991" s="38">
        <v>985</v>
      </c>
      <c r="C991" s="39" t="s">
        <v>8606</v>
      </c>
      <c r="D991" s="10" t="str">
        <f>VLOOKUP(C991,'Data Angt'!$A$5:$B$5809,2,FALSE)</f>
        <v>A3903</v>
      </c>
      <c r="E991" s="40" t="s">
        <v>11430</v>
      </c>
      <c r="F991" s="41">
        <v>45205</v>
      </c>
      <c r="G991" s="38">
        <v>1</v>
      </c>
      <c r="H991" s="40">
        <v>0</v>
      </c>
      <c r="I991" s="38">
        <v>4</v>
      </c>
      <c r="J991" s="41">
        <v>45205</v>
      </c>
      <c r="K991" s="38" t="s">
        <v>10768</v>
      </c>
      <c r="L991" s="42">
        <v>7000000</v>
      </c>
      <c r="O991"/>
    </row>
    <row r="992" spans="1:15" x14ac:dyDescent="0.3">
      <c r="A992" s="37">
        <v>149543</v>
      </c>
      <c r="B992" s="38">
        <v>986</v>
      </c>
      <c r="C992" s="39" t="s">
        <v>8612</v>
      </c>
      <c r="D992" s="10" t="str">
        <f>VLOOKUP(C992,'Data Angt'!$A$5:$B$5809,2,FALSE)</f>
        <v>A3905</v>
      </c>
      <c r="E992" s="40" t="s">
        <v>18287</v>
      </c>
      <c r="F992" s="41">
        <v>45570</v>
      </c>
      <c r="G992" s="38">
        <v>1</v>
      </c>
      <c r="H992" s="40">
        <v>0</v>
      </c>
      <c r="I992" s="38">
        <v>4</v>
      </c>
      <c r="J992" s="41">
        <v>45570</v>
      </c>
      <c r="K992" s="38" t="s">
        <v>10768</v>
      </c>
      <c r="L992" s="42">
        <v>50000000</v>
      </c>
      <c r="O992"/>
    </row>
    <row r="993" spans="1:15" x14ac:dyDescent="0.3">
      <c r="A993" s="37">
        <v>149544</v>
      </c>
      <c r="B993" s="38">
        <v>987</v>
      </c>
      <c r="C993" s="39" t="s">
        <v>8612</v>
      </c>
      <c r="D993" s="10" t="str">
        <f>VLOOKUP(C993,'Data Angt'!$A$5:$B$5809,2,FALSE)</f>
        <v>A3905</v>
      </c>
      <c r="E993" s="40" t="s">
        <v>18288</v>
      </c>
      <c r="F993" s="41">
        <v>45570</v>
      </c>
      <c r="G993" s="38">
        <v>1</v>
      </c>
      <c r="H993" s="40">
        <v>0</v>
      </c>
      <c r="I993" s="38">
        <v>4</v>
      </c>
      <c r="J993" s="41">
        <v>45570</v>
      </c>
      <c r="K993" s="38" t="s">
        <v>10768</v>
      </c>
      <c r="L993" s="42">
        <v>50000000</v>
      </c>
      <c r="O993"/>
    </row>
    <row r="994" spans="1:15" x14ac:dyDescent="0.3">
      <c r="A994" s="37">
        <v>149546</v>
      </c>
      <c r="B994" s="38">
        <v>988</v>
      </c>
      <c r="C994" s="39" t="s">
        <v>8612</v>
      </c>
      <c r="D994" s="10" t="str">
        <f>VLOOKUP(C994,'Data Angt'!$A$5:$B$5809,2,FALSE)</f>
        <v>A3905</v>
      </c>
      <c r="E994" s="40" t="s">
        <v>18289</v>
      </c>
      <c r="F994" s="41">
        <v>45570</v>
      </c>
      <c r="G994" s="38">
        <v>1</v>
      </c>
      <c r="H994" s="40">
        <v>0</v>
      </c>
      <c r="I994" s="38">
        <v>4</v>
      </c>
      <c r="J994" s="41">
        <v>45570</v>
      </c>
      <c r="K994" s="38" t="s">
        <v>10768</v>
      </c>
      <c r="L994" s="42">
        <v>50000000</v>
      </c>
      <c r="O994"/>
    </row>
    <row r="995" spans="1:15" x14ac:dyDescent="0.3">
      <c r="A995" s="37">
        <v>140166</v>
      </c>
      <c r="B995" s="38">
        <v>989</v>
      </c>
      <c r="C995" s="39" t="s">
        <v>8684</v>
      </c>
      <c r="D995" s="10" t="str">
        <f>VLOOKUP(C995,'Data Angt'!$A$5:$B$5809,2,FALSE)</f>
        <v>A3940</v>
      </c>
      <c r="E995" s="40" t="s">
        <v>11429</v>
      </c>
      <c r="F995" s="41">
        <v>45231</v>
      </c>
      <c r="G995" s="38">
        <v>1</v>
      </c>
      <c r="H995" s="40">
        <v>0</v>
      </c>
      <c r="I995" s="38">
        <v>4</v>
      </c>
      <c r="J995" s="41">
        <v>45231</v>
      </c>
      <c r="K995" s="38" t="s">
        <v>10768</v>
      </c>
      <c r="L995" s="42">
        <v>1000000</v>
      </c>
      <c r="O995"/>
    </row>
    <row r="996" spans="1:15" x14ac:dyDescent="0.3">
      <c r="A996" s="37">
        <v>153421</v>
      </c>
      <c r="B996" s="38">
        <v>990</v>
      </c>
      <c r="C996" s="39" t="s">
        <v>8684</v>
      </c>
      <c r="D996" s="10" t="str">
        <f>VLOOKUP(C996,'Data Angt'!$A$5:$B$5809,2,FALSE)</f>
        <v>A3940</v>
      </c>
      <c r="E996" s="40" t="s">
        <v>18290</v>
      </c>
      <c r="F996" s="41">
        <v>45705</v>
      </c>
      <c r="G996" s="38">
        <v>1</v>
      </c>
      <c r="H996" s="40">
        <v>0</v>
      </c>
      <c r="I996" s="38">
        <v>4</v>
      </c>
      <c r="J996" s="41">
        <v>45705</v>
      </c>
      <c r="K996" s="38" t="s">
        <v>10768</v>
      </c>
      <c r="L996" s="42">
        <v>6000000</v>
      </c>
      <c r="O996"/>
    </row>
    <row r="997" spans="1:15" x14ac:dyDescent="0.3">
      <c r="A997" s="37">
        <v>138193</v>
      </c>
      <c r="B997" s="38">
        <v>991</v>
      </c>
      <c r="C997" s="39" t="s">
        <v>8708</v>
      </c>
      <c r="D997" s="10" t="str">
        <f>VLOOKUP(C997,'Data Angt'!$A$5:$B$5809,2,FALSE)</f>
        <v>A3952</v>
      </c>
      <c r="E997" s="40" t="s">
        <v>11428</v>
      </c>
      <c r="F997" s="41">
        <v>45122</v>
      </c>
      <c r="G997" s="38">
        <v>1</v>
      </c>
      <c r="H997" s="40">
        <v>0</v>
      </c>
      <c r="I997" s="38">
        <v>4</v>
      </c>
      <c r="J997" s="41">
        <v>45122</v>
      </c>
      <c r="K997" s="38" t="s">
        <v>10768</v>
      </c>
      <c r="L997" s="42">
        <v>5000000</v>
      </c>
      <c r="O997"/>
    </row>
    <row r="998" spans="1:15" x14ac:dyDescent="0.3">
      <c r="A998" s="37">
        <v>146252</v>
      </c>
      <c r="B998" s="38">
        <v>992</v>
      </c>
      <c r="C998" s="39" t="s">
        <v>8716</v>
      </c>
      <c r="D998" s="10" t="str">
        <f>VLOOKUP(C998,'Data Angt'!$A$5:$B$5809,2,FALSE)</f>
        <v>A3955</v>
      </c>
      <c r="E998" s="40" t="s">
        <v>18291</v>
      </c>
      <c r="F998" s="41">
        <v>45474</v>
      </c>
      <c r="G998" s="38">
        <v>1</v>
      </c>
      <c r="H998" s="40">
        <v>0</v>
      </c>
      <c r="I998" s="38">
        <v>4</v>
      </c>
      <c r="J998" s="41">
        <v>45474</v>
      </c>
      <c r="K998" s="38" t="s">
        <v>10768</v>
      </c>
      <c r="L998" s="42">
        <v>50000000</v>
      </c>
      <c r="O998"/>
    </row>
    <row r="999" spans="1:15" x14ac:dyDescent="0.3">
      <c r="A999" s="37">
        <v>155334</v>
      </c>
      <c r="B999" s="38">
        <v>993</v>
      </c>
      <c r="C999" s="39" t="s">
        <v>8725</v>
      </c>
      <c r="D999" s="10" t="str">
        <f>VLOOKUP(C999,'Data Angt'!$A$5:$B$5809,2,FALSE)</f>
        <v>A3959</v>
      </c>
      <c r="E999" s="40" t="s">
        <v>18292</v>
      </c>
      <c r="F999" s="41">
        <v>45776</v>
      </c>
      <c r="G999" s="38">
        <v>1</v>
      </c>
      <c r="H999" s="40">
        <v>0</v>
      </c>
      <c r="I999" s="38">
        <v>4</v>
      </c>
      <c r="J999" s="41">
        <v>45776</v>
      </c>
      <c r="K999" s="38" t="s">
        <v>10768</v>
      </c>
      <c r="L999" s="42">
        <v>3000000</v>
      </c>
      <c r="O999"/>
    </row>
    <row r="1000" spans="1:15" x14ac:dyDescent="0.3">
      <c r="A1000" s="37">
        <v>156567</v>
      </c>
      <c r="B1000" s="38">
        <v>994</v>
      </c>
      <c r="C1000" s="39" t="s">
        <v>8780</v>
      </c>
      <c r="D1000" s="10" t="str">
        <f>VLOOKUP(C1000,'Data Angt'!$A$5:$B$5809,2,FALSE)</f>
        <v>A3986</v>
      </c>
      <c r="E1000" s="40" t="s">
        <v>18295</v>
      </c>
      <c r="F1000" s="41">
        <v>45833</v>
      </c>
      <c r="G1000" s="38">
        <v>1</v>
      </c>
      <c r="H1000" s="40">
        <v>0</v>
      </c>
      <c r="I1000" s="38">
        <v>4</v>
      </c>
      <c r="J1000" s="41">
        <v>45833</v>
      </c>
      <c r="K1000" s="38" t="s">
        <v>10768</v>
      </c>
      <c r="L1000" s="42">
        <v>2000000</v>
      </c>
      <c r="O1000"/>
    </row>
    <row r="1001" spans="1:15" x14ac:dyDescent="0.3">
      <c r="A1001" s="37">
        <v>156928</v>
      </c>
      <c r="B1001" s="38">
        <v>995</v>
      </c>
      <c r="C1001" s="39" t="s">
        <v>8780</v>
      </c>
      <c r="D1001" s="10" t="str">
        <f>VLOOKUP(C1001,'Data Angt'!$A$5:$B$5809,2,FALSE)</f>
        <v>A3986</v>
      </c>
      <c r="E1001" s="40" t="s">
        <v>24096</v>
      </c>
      <c r="F1001" s="41">
        <v>45849</v>
      </c>
      <c r="G1001" s="38">
        <v>1</v>
      </c>
      <c r="H1001" s="40">
        <v>0</v>
      </c>
      <c r="I1001" s="38">
        <v>4</v>
      </c>
      <c r="J1001" s="41">
        <v>45849</v>
      </c>
      <c r="K1001" s="38" t="s">
        <v>10768</v>
      </c>
      <c r="L1001" s="42">
        <v>5000000</v>
      </c>
      <c r="O1001"/>
    </row>
    <row r="1002" spans="1:15" x14ac:dyDescent="0.3">
      <c r="A1002" s="37">
        <v>154790</v>
      </c>
      <c r="B1002" s="38">
        <v>996</v>
      </c>
      <c r="C1002" s="39" t="s">
        <v>8780</v>
      </c>
      <c r="D1002" s="10" t="str">
        <f>VLOOKUP(C1002,'Data Angt'!$A$5:$B$5809,2,FALSE)</f>
        <v>A3986</v>
      </c>
      <c r="E1002" s="40" t="s">
        <v>18293</v>
      </c>
      <c r="F1002" s="41">
        <v>45741</v>
      </c>
      <c r="G1002" s="38">
        <v>1</v>
      </c>
      <c r="H1002" s="40">
        <v>0</v>
      </c>
      <c r="I1002" s="38">
        <v>4</v>
      </c>
      <c r="J1002" s="41">
        <v>45741</v>
      </c>
      <c r="K1002" s="38" t="s">
        <v>10768</v>
      </c>
      <c r="L1002" s="42">
        <v>1000000</v>
      </c>
      <c r="O1002"/>
    </row>
    <row r="1003" spans="1:15" x14ac:dyDescent="0.3">
      <c r="A1003" s="37">
        <v>154791</v>
      </c>
      <c r="B1003" s="38">
        <v>997</v>
      </c>
      <c r="C1003" s="39" t="s">
        <v>8780</v>
      </c>
      <c r="D1003" s="10" t="str">
        <f>VLOOKUP(C1003,'Data Angt'!$A$5:$B$5809,2,FALSE)</f>
        <v>A3986</v>
      </c>
      <c r="E1003" s="40" t="s">
        <v>18294</v>
      </c>
      <c r="F1003" s="41">
        <v>45741</v>
      </c>
      <c r="G1003" s="38">
        <v>1</v>
      </c>
      <c r="H1003" s="40">
        <v>0</v>
      </c>
      <c r="I1003" s="38">
        <v>4</v>
      </c>
      <c r="J1003" s="41">
        <v>45741</v>
      </c>
      <c r="K1003" s="38" t="s">
        <v>10768</v>
      </c>
      <c r="L1003" s="42">
        <v>2000000</v>
      </c>
      <c r="O1003"/>
    </row>
    <row r="1004" spans="1:15" x14ac:dyDescent="0.3">
      <c r="A1004" s="37">
        <v>141616</v>
      </c>
      <c r="B1004" s="38">
        <v>998</v>
      </c>
      <c r="C1004" s="39" t="s">
        <v>8830</v>
      </c>
      <c r="D1004" s="10" t="str">
        <f>VLOOKUP(C1004,'Data Angt'!$A$5:$B$5809,2,FALSE)</f>
        <v>A4008</v>
      </c>
      <c r="E1004" s="40" t="s">
        <v>18296</v>
      </c>
      <c r="F1004" s="41">
        <v>45302</v>
      </c>
      <c r="G1004" s="38">
        <v>1</v>
      </c>
      <c r="H1004" s="40">
        <v>0</v>
      </c>
      <c r="I1004" s="38">
        <v>4</v>
      </c>
      <c r="J1004" s="41">
        <v>45302</v>
      </c>
      <c r="K1004" s="38" t="s">
        <v>10768</v>
      </c>
      <c r="L1004" s="42">
        <v>1000000</v>
      </c>
      <c r="O1004"/>
    </row>
    <row r="1005" spans="1:15" x14ac:dyDescent="0.3">
      <c r="A1005" s="37">
        <v>155008</v>
      </c>
      <c r="B1005" s="38">
        <v>999</v>
      </c>
      <c r="C1005" s="39" t="s">
        <v>8830</v>
      </c>
      <c r="D1005" s="10" t="str">
        <f>VLOOKUP(C1005,'Data Angt'!$A$5:$B$5809,2,FALSE)</f>
        <v>A4008</v>
      </c>
      <c r="E1005" s="40" t="s">
        <v>18297</v>
      </c>
      <c r="F1005" s="41">
        <v>45759</v>
      </c>
      <c r="G1005" s="38">
        <v>3</v>
      </c>
      <c r="H1005" s="40">
        <v>0</v>
      </c>
      <c r="I1005" s="38">
        <v>4</v>
      </c>
      <c r="J1005" s="41">
        <v>45759</v>
      </c>
      <c r="K1005" s="38" t="s">
        <v>10768</v>
      </c>
      <c r="L1005" s="42">
        <v>1000000</v>
      </c>
      <c r="O1005"/>
    </row>
    <row r="1006" spans="1:15" x14ac:dyDescent="0.3">
      <c r="A1006" s="37">
        <v>155569</v>
      </c>
      <c r="B1006" s="38">
        <v>1000</v>
      </c>
      <c r="C1006" s="39" t="s">
        <v>8839</v>
      </c>
      <c r="D1006" s="10" t="str">
        <f>VLOOKUP(C1006,'Data Angt'!$A$5:$B$5809,2,FALSE)</f>
        <v>A4012</v>
      </c>
      <c r="E1006" s="40" t="s">
        <v>18298</v>
      </c>
      <c r="F1006" s="41">
        <v>45786</v>
      </c>
      <c r="G1006" s="38">
        <v>1</v>
      </c>
      <c r="H1006" s="40">
        <v>0</v>
      </c>
      <c r="I1006" s="38">
        <v>4</v>
      </c>
      <c r="J1006" s="41">
        <v>45786</v>
      </c>
      <c r="K1006" s="38" t="s">
        <v>10768</v>
      </c>
      <c r="L1006" s="42">
        <v>3000000</v>
      </c>
      <c r="O1006"/>
    </row>
    <row r="1007" spans="1:15" x14ac:dyDescent="0.3">
      <c r="A1007" s="37">
        <v>135026</v>
      </c>
      <c r="B1007" s="38">
        <v>1001</v>
      </c>
      <c r="C1007" s="39" t="s">
        <v>8841</v>
      </c>
      <c r="D1007" s="10" t="str">
        <f>VLOOKUP(C1007,'Data Angt'!$A$5:$B$5809,2,FALSE)</f>
        <v>A4013</v>
      </c>
      <c r="E1007" s="40" t="s">
        <v>11427</v>
      </c>
      <c r="F1007" s="41">
        <v>44860</v>
      </c>
      <c r="G1007" s="38">
        <v>1</v>
      </c>
      <c r="H1007" s="40">
        <v>0</v>
      </c>
      <c r="I1007" s="38">
        <v>4</v>
      </c>
      <c r="J1007" s="41">
        <v>44860</v>
      </c>
      <c r="K1007" s="38" t="s">
        <v>10768</v>
      </c>
      <c r="L1007" s="42">
        <v>5000000</v>
      </c>
      <c r="O1007"/>
    </row>
    <row r="1008" spans="1:15" x14ac:dyDescent="0.3">
      <c r="A1008" s="37">
        <v>135031</v>
      </c>
      <c r="B1008" s="38">
        <v>1002</v>
      </c>
      <c r="C1008" s="39" t="s">
        <v>8841</v>
      </c>
      <c r="D1008" s="10" t="str">
        <f>VLOOKUP(C1008,'Data Angt'!$A$5:$B$5809,2,FALSE)</f>
        <v>A4013</v>
      </c>
      <c r="E1008" s="40" t="s">
        <v>11426</v>
      </c>
      <c r="F1008" s="41">
        <v>44860</v>
      </c>
      <c r="G1008" s="38">
        <v>1</v>
      </c>
      <c r="H1008" s="40">
        <v>0</v>
      </c>
      <c r="I1008" s="38">
        <v>4</v>
      </c>
      <c r="J1008" s="41">
        <v>44860</v>
      </c>
      <c r="K1008" s="38" t="s">
        <v>10768</v>
      </c>
      <c r="L1008" s="42">
        <v>10000000</v>
      </c>
      <c r="O1008"/>
    </row>
    <row r="1009" spans="1:15" x14ac:dyDescent="0.3">
      <c r="A1009" s="37">
        <v>142245</v>
      </c>
      <c r="B1009" s="38">
        <v>1003</v>
      </c>
      <c r="C1009" s="39" t="s">
        <v>12578</v>
      </c>
      <c r="D1009" s="10" t="str">
        <f>VLOOKUP(C1009,'Data Angt'!$A$5:$B$5809,2,FALSE)</f>
        <v>A4053</v>
      </c>
      <c r="E1009" s="40" t="s">
        <v>18299</v>
      </c>
      <c r="F1009" s="41">
        <v>45320</v>
      </c>
      <c r="G1009" s="38">
        <v>1</v>
      </c>
      <c r="H1009" s="40">
        <v>0</v>
      </c>
      <c r="I1009" s="38">
        <v>4</v>
      </c>
      <c r="J1009" s="41">
        <v>45320</v>
      </c>
      <c r="K1009" s="38" t="s">
        <v>10768</v>
      </c>
      <c r="L1009" s="42">
        <v>5000000</v>
      </c>
      <c r="O1009"/>
    </row>
    <row r="1010" spans="1:15" x14ac:dyDescent="0.3">
      <c r="A1010" s="37">
        <v>136211</v>
      </c>
      <c r="B1010" s="38">
        <v>1004</v>
      </c>
      <c r="C1010" s="39" t="s">
        <v>8921</v>
      </c>
      <c r="D1010" s="10" t="str">
        <f>VLOOKUP(C1010,'Data Angt'!$A$5:$B$5809,2,FALSE)</f>
        <v>A4055</v>
      </c>
      <c r="E1010" s="40" t="s">
        <v>11425</v>
      </c>
      <c r="F1010" s="41">
        <v>44958</v>
      </c>
      <c r="G1010" s="38">
        <v>1</v>
      </c>
      <c r="H1010" s="40">
        <v>0</v>
      </c>
      <c r="I1010" s="38">
        <v>4</v>
      </c>
      <c r="J1010" s="41">
        <v>44958</v>
      </c>
      <c r="K1010" s="38" t="s">
        <v>10768</v>
      </c>
      <c r="L1010" s="42">
        <v>10000000</v>
      </c>
      <c r="O1010"/>
    </row>
    <row r="1011" spans="1:15" x14ac:dyDescent="0.3">
      <c r="A1011" s="37">
        <v>156470</v>
      </c>
      <c r="B1011" s="38">
        <v>1005</v>
      </c>
      <c r="C1011" s="39" t="s">
        <v>8947</v>
      </c>
      <c r="D1011" s="10" t="str">
        <f>VLOOKUP(C1011,'Data Angt'!$A$5:$B$5809,2,FALSE)</f>
        <v>A4068</v>
      </c>
      <c r="E1011" s="40" t="s">
        <v>18300</v>
      </c>
      <c r="F1011" s="41">
        <v>45827</v>
      </c>
      <c r="G1011" s="38">
        <v>1</v>
      </c>
      <c r="H1011" s="40">
        <v>0</v>
      </c>
      <c r="I1011" s="38">
        <v>4</v>
      </c>
      <c r="J1011" s="41">
        <v>45827</v>
      </c>
      <c r="K1011" s="38" t="s">
        <v>10768</v>
      </c>
      <c r="L1011" s="42">
        <v>6000000</v>
      </c>
      <c r="O1011"/>
    </row>
    <row r="1012" spans="1:15" x14ac:dyDescent="0.3">
      <c r="A1012" s="37">
        <v>156692</v>
      </c>
      <c r="B1012" s="38">
        <v>1006</v>
      </c>
      <c r="C1012" s="39" t="s">
        <v>8947</v>
      </c>
      <c r="D1012" s="10" t="str">
        <f>VLOOKUP(C1012,'Data Angt'!$A$5:$B$5809,2,FALSE)</f>
        <v>A4068</v>
      </c>
      <c r="E1012" s="40" t="s">
        <v>24097</v>
      </c>
      <c r="F1012" s="41">
        <v>45840</v>
      </c>
      <c r="G1012" s="38">
        <v>1</v>
      </c>
      <c r="H1012" s="40">
        <v>0</v>
      </c>
      <c r="I1012" s="38">
        <v>4</v>
      </c>
      <c r="J1012" s="41">
        <v>45840</v>
      </c>
      <c r="K1012" s="38" t="s">
        <v>10768</v>
      </c>
      <c r="L1012" s="42">
        <v>6000000</v>
      </c>
      <c r="O1012"/>
    </row>
    <row r="1013" spans="1:15" x14ac:dyDescent="0.3">
      <c r="A1013" s="37">
        <v>157196</v>
      </c>
      <c r="B1013" s="38">
        <v>1007</v>
      </c>
      <c r="C1013" s="39" t="s">
        <v>8947</v>
      </c>
      <c r="D1013" s="10" t="str">
        <f>VLOOKUP(C1013,'Data Angt'!$A$5:$B$5809,2,FALSE)</f>
        <v>A4068</v>
      </c>
      <c r="E1013" s="40" t="s">
        <v>24098</v>
      </c>
      <c r="F1013" s="41">
        <v>45859</v>
      </c>
      <c r="G1013" s="38">
        <v>1</v>
      </c>
      <c r="H1013" s="40">
        <v>0</v>
      </c>
      <c r="I1013" s="38">
        <v>4</v>
      </c>
      <c r="J1013" s="41">
        <v>45859</v>
      </c>
      <c r="K1013" s="38" t="s">
        <v>10768</v>
      </c>
      <c r="L1013" s="42">
        <v>10000000</v>
      </c>
      <c r="O1013"/>
    </row>
    <row r="1014" spans="1:15" x14ac:dyDescent="0.3">
      <c r="A1014" s="37">
        <v>157742</v>
      </c>
      <c r="B1014" s="38">
        <v>1008</v>
      </c>
      <c r="C1014" s="39" t="s">
        <v>8947</v>
      </c>
      <c r="D1014" s="10" t="str">
        <f>VLOOKUP(C1014,'Data Angt'!$A$5:$B$5809,2,FALSE)</f>
        <v>A4068</v>
      </c>
      <c r="E1014" s="40" t="s">
        <v>24099</v>
      </c>
      <c r="F1014" s="41">
        <v>45881</v>
      </c>
      <c r="G1014" s="38">
        <v>1</v>
      </c>
      <c r="H1014" s="40">
        <v>0</v>
      </c>
      <c r="I1014" s="38">
        <v>4</v>
      </c>
      <c r="J1014" s="41">
        <v>45881</v>
      </c>
      <c r="K1014" s="38" t="s">
        <v>10768</v>
      </c>
      <c r="L1014" s="42">
        <v>10000000</v>
      </c>
      <c r="O1014"/>
    </row>
    <row r="1015" spans="1:15" x14ac:dyDescent="0.3">
      <c r="A1015" s="37">
        <v>139795</v>
      </c>
      <c r="B1015" s="38">
        <v>1009</v>
      </c>
      <c r="C1015" s="39" t="s">
        <v>8972</v>
      </c>
      <c r="D1015" s="10" t="str">
        <f>VLOOKUP(C1015,'Data Angt'!$A$5:$B$5809,2,FALSE)</f>
        <v>A4081</v>
      </c>
      <c r="E1015" s="40" t="s">
        <v>11424</v>
      </c>
      <c r="F1015" s="41">
        <v>45210</v>
      </c>
      <c r="G1015" s="38">
        <v>1</v>
      </c>
      <c r="H1015" s="40">
        <v>0</v>
      </c>
      <c r="I1015" s="38">
        <v>4</v>
      </c>
      <c r="J1015" s="41">
        <v>45210</v>
      </c>
      <c r="K1015" s="38" t="s">
        <v>10768</v>
      </c>
      <c r="L1015" s="42">
        <v>9000000</v>
      </c>
      <c r="O1015"/>
    </row>
    <row r="1016" spans="1:15" x14ac:dyDescent="0.3">
      <c r="A1016" s="37">
        <v>154592</v>
      </c>
      <c r="B1016" s="38">
        <v>1010</v>
      </c>
      <c r="C1016" s="39" t="s">
        <v>9003</v>
      </c>
      <c r="D1016" s="10" t="str">
        <f>VLOOKUP(C1016,'Data Angt'!$A$5:$B$5809,2,FALSE)</f>
        <v>A4095</v>
      </c>
      <c r="E1016" s="40" t="s">
        <v>18301</v>
      </c>
      <c r="F1016" s="41">
        <v>45731</v>
      </c>
      <c r="G1016" s="38">
        <v>1</v>
      </c>
      <c r="H1016" s="40">
        <v>0</v>
      </c>
      <c r="I1016" s="38">
        <v>4</v>
      </c>
      <c r="J1016" s="41">
        <v>45731</v>
      </c>
      <c r="K1016" s="38" t="s">
        <v>10768</v>
      </c>
      <c r="L1016" s="42">
        <v>30000000</v>
      </c>
      <c r="O1016"/>
    </row>
    <row r="1017" spans="1:15" x14ac:dyDescent="0.3">
      <c r="A1017" s="37">
        <v>150176</v>
      </c>
      <c r="B1017" s="38">
        <v>1011</v>
      </c>
      <c r="C1017" s="39" t="s">
        <v>12589</v>
      </c>
      <c r="D1017" s="10" t="str">
        <f>VLOOKUP(C1017,'Data Angt'!$A$5:$B$5809,2,FALSE)</f>
        <v>A4108</v>
      </c>
      <c r="E1017" s="40" t="s">
        <v>18302</v>
      </c>
      <c r="F1017" s="41">
        <v>45601</v>
      </c>
      <c r="G1017" s="38">
        <v>1</v>
      </c>
      <c r="H1017" s="40">
        <v>0</v>
      </c>
      <c r="I1017" s="38">
        <v>4</v>
      </c>
      <c r="J1017" s="41">
        <v>45601</v>
      </c>
      <c r="K1017" s="38" t="s">
        <v>10768</v>
      </c>
      <c r="L1017" s="42">
        <v>2000000</v>
      </c>
      <c r="O1017"/>
    </row>
    <row r="1018" spans="1:15" x14ac:dyDescent="0.3">
      <c r="A1018" s="37">
        <v>155382</v>
      </c>
      <c r="B1018" s="38">
        <v>1012</v>
      </c>
      <c r="C1018" s="39" t="s">
        <v>9043</v>
      </c>
      <c r="D1018" s="10" t="str">
        <f>VLOOKUP(C1018,'Data Angt'!$A$5:$B$5809,2,FALSE)</f>
        <v>A4112</v>
      </c>
      <c r="E1018" s="40" t="s">
        <v>18303</v>
      </c>
      <c r="F1018" s="41">
        <v>45779</v>
      </c>
      <c r="G1018" s="38">
        <v>1</v>
      </c>
      <c r="H1018" s="40">
        <v>0</v>
      </c>
      <c r="I1018" s="38">
        <v>4</v>
      </c>
      <c r="J1018" s="41">
        <v>45779</v>
      </c>
      <c r="K1018" s="38" t="s">
        <v>10768</v>
      </c>
      <c r="L1018" s="42">
        <v>10000000</v>
      </c>
      <c r="O1018"/>
    </row>
    <row r="1019" spans="1:15" x14ac:dyDescent="0.3">
      <c r="A1019" s="37">
        <v>158021</v>
      </c>
      <c r="B1019" s="38">
        <v>1013</v>
      </c>
      <c r="C1019" s="39" t="s">
        <v>9043</v>
      </c>
      <c r="D1019" s="10" t="str">
        <f>VLOOKUP(C1019,'Data Angt'!$A$5:$B$5809,2,FALSE)</f>
        <v>A4112</v>
      </c>
      <c r="E1019" s="40" t="s">
        <v>24100</v>
      </c>
      <c r="F1019" s="41">
        <v>45890</v>
      </c>
      <c r="G1019" s="38">
        <v>1</v>
      </c>
      <c r="H1019" s="40">
        <v>0</v>
      </c>
      <c r="I1019" s="38">
        <v>4</v>
      </c>
      <c r="J1019" s="41">
        <v>45890</v>
      </c>
      <c r="K1019" s="38" t="s">
        <v>10768</v>
      </c>
      <c r="L1019" s="42">
        <v>11000000</v>
      </c>
      <c r="O1019"/>
    </row>
    <row r="1020" spans="1:15" x14ac:dyDescent="0.3">
      <c r="A1020" s="37">
        <v>145625</v>
      </c>
      <c r="B1020" s="38">
        <v>1014</v>
      </c>
      <c r="C1020" s="39" t="s">
        <v>9094</v>
      </c>
      <c r="D1020" s="10" t="str">
        <f>VLOOKUP(C1020,'Data Angt'!$A$5:$B$5809,2,FALSE)</f>
        <v>A4138</v>
      </c>
      <c r="E1020" s="40" t="s">
        <v>18304</v>
      </c>
      <c r="F1020" s="41">
        <v>45441</v>
      </c>
      <c r="G1020" s="38">
        <v>1</v>
      </c>
      <c r="H1020" s="40">
        <v>0</v>
      </c>
      <c r="I1020" s="38">
        <v>4</v>
      </c>
      <c r="J1020" s="41">
        <v>45441</v>
      </c>
      <c r="K1020" s="38" t="s">
        <v>10768</v>
      </c>
      <c r="L1020" s="42">
        <v>1000000</v>
      </c>
      <c r="O1020"/>
    </row>
    <row r="1021" spans="1:15" x14ac:dyDescent="0.3">
      <c r="A1021" s="37">
        <v>147848</v>
      </c>
      <c r="B1021" s="38">
        <v>1015</v>
      </c>
      <c r="C1021" s="39" t="s">
        <v>9094</v>
      </c>
      <c r="D1021" s="10" t="str">
        <f>VLOOKUP(C1021,'Data Angt'!$A$5:$B$5809,2,FALSE)</f>
        <v>A4138</v>
      </c>
      <c r="E1021" s="40" t="s">
        <v>18305</v>
      </c>
      <c r="F1021" s="41">
        <v>45505</v>
      </c>
      <c r="G1021" s="38">
        <v>1</v>
      </c>
      <c r="H1021" s="40">
        <v>0</v>
      </c>
      <c r="I1021" s="38">
        <v>4</v>
      </c>
      <c r="J1021" s="41">
        <v>45505</v>
      </c>
      <c r="K1021" s="38" t="s">
        <v>10768</v>
      </c>
      <c r="L1021" s="42">
        <v>1000000</v>
      </c>
      <c r="O1021"/>
    </row>
    <row r="1022" spans="1:15" x14ac:dyDescent="0.3">
      <c r="A1022" s="37">
        <v>149349</v>
      </c>
      <c r="B1022" s="38">
        <v>1016</v>
      </c>
      <c r="C1022" s="39" t="s">
        <v>9094</v>
      </c>
      <c r="D1022" s="10" t="str">
        <f>VLOOKUP(C1022,'Data Angt'!$A$5:$B$5809,2,FALSE)</f>
        <v>A4138</v>
      </c>
      <c r="E1022" s="40" t="s">
        <v>18306</v>
      </c>
      <c r="F1022" s="41">
        <v>45561</v>
      </c>
      <c r="G1022" s="38">
        <v>1</v>
      </c>
      <c r="H1022" s="40">
        <v>0</v>
      </c>
      <c r="I1022" s="38">
        <v>4</v>
      </c>
      <c r="J1022" s="41">
        <v>45561</v>
      </c>
      <c r="K1022" s="38" t="s">
        <v>10768</v>
      </c>
      <c r="L1022" s="42">
        <v>1000000</v>
      </c>
      <c r="O1022"/>
    </row>
    <row r="1023" spans="1:15" x14ac:dyDescent="0.3">
      <c r="A1023" s="37">
        <v>149982</v>
      </c>
      <c r="B1023" s="38">
        <v>1017</v>
      </c>
      <c r="C1023" s="39" t="s">
        <v>9094</v>
      </c>
      <c r="D1023" s="10" t="str">
        <f>VLOOKUP(C1023,'Data Angt'!$A$5:$B$5809,2,FALSE)</f>
        <v>A4138</v>
      </c>
      <c r="E1023" s="40" t="s">
        <v>18307</v>
      </c>
      <c r="F1023" s="41">
        <v>45596</v>
      </c>
      <c r="G1023" s="38">
        <v>1</v>
      </c>
      <c r="H1023" s="40">
        <v>0</v>
      </c>
      <c r="I1023" s="38">
        <v>4</v>
      </c>
      <c r="J1023" s="41">
        <v>45596</v>
      </c>
      <c r="K1023" s="38" t="s">
        <v>10768</v>
      </c>
      <c r="L1023" s="42">
        <v>1000000</v>
      </c>
      <c r="O1023"/>
    </row>
    <row r="1024" spans="1:15" x14ac:dyDescent="0.3">
      <c r="A1024" s="37">
        <v>149683</v>
      </c>
      <c r="B1024" s="38">
        <v>1018</v>
      </c>
      <c r="C1024" s="39" t="s">
        <v>9137</v>
      </c>
      <c r="D1024" s="10" t="str">
        <f>VLOOKUP(C1024,'Data Angt'!$A$5:$B$5809,2,FALSE)</f>
        <v>A4156</v>
      </c>
      <c r="E1024" s="40" t="s">
        <v>18308</v>
      </c>
      <c r="F1024" s="41">
        <v>45579</v>
      </c>
      <c r="G1024" s="38">
        <v>1</v>
      </c>
      <c r="H1024" s="40">
        <v>0</v>
      </c>
      <c r="I1024" s="38">
        <v>4</v>
      </c>
      <c r="J1024" s="41">
        <v>45579</v>
      </c>
      <c r="K1024" s="38" t="s">
        <v>10768</v>
      </c>
      <c r="L1024" s="42">
        <v>30000000</v>
      </c>
      <c r="O1024"/>
    </row>
    <row r="1025" spans="1:15" x14ac:dyDescent="0.3">
      <c r="A1025" s="37">
        <v>138161</v>
      </c>
      <c r="B1025" s="38">
        <v>1019</v>
      </c>
      <c r="C1025" s="39" t="s">
        <v>9137</v>
      </c>
      <c r="D1025" s="10" t="str">
        <f>VLOOKUP(C1025,'Data Angt'!$A$5:$B$5809,2,FALSE)</f>
        <v>A4156</v>
      </c>
      <c r="E1025" s="40" t="s">
        <v>11423</v>
      </c>
      <c r="F1025" s="41">
        <v>45119</v>
      </c>
      <c r="G1025" s="38">
        <v>1</v>
      </c>
      <c r="H1025" s="40">
        <v>0</v>
      </c>
      <c r="I1025" s="38">
        <v>4</v>
      </c>
      <c r="J1025" s="41">
        <v>45119</v>
      </c>
      <c r="K1025" s="38" t="s">
        <v>10768</v>
      </c>
      <c r="L1025" s="42">
        <v>50000000</v>
      </c>
      <c r="O1025"/>
    </row>
    <row r="1026" spans="1:15" x14ac:dyDescent="0.3">
      <c r="A1026" s="37">
        <v>139177</v>
      </c>
      <c r="B1026" s="38">
        <v>1020</v>
      </c>
      <c r="C1026" s="39" t="s">
        <v>9137</v>
      </c>
      <c r="D1026" s="10" t="str">
        <f>VLOOKUP(C1026,'Data Angt'!$A$5:$B$5809,2,FALSE)</f>
        <v>A4156</v>
      </c>
      <c r="E1026" s="40" t="s">
        <v>11422</v>
      </c>
      <c r="F1026" s="41">
        <v>45178</v>
      </c>
      <c r="G1026" s="38">
        <v>1</v>
      </c>
      <c r="H1026" s="40">
        <v>0</v>
      </c>
      <c r="I1026" s="38">
        <v>4</v>
      </c>
      <c r="J1026" s="41">
        <v>45178</v>
      </c>
      <c r="K1026" s="38" t="s">
        <v>10768</v>
      </c>
      <c r="L1026" s="42">
        <v>100000000</v>
      </c>
      <c r="O1026"/>
    </row>
    <row r="1027" spans="1:15" x14ac:dyDescent="0.3">
      <c r="A1027" s="37">
        <v>140643</v>
      </c>
      <c r="B1027" s="38">
        <v>1021</v>
      </c>
      <c r="C1027" s="39" t="s">
        <v>9137</v>
      </c>
      <c r="D1027" s="10" t="str">
        <f>VLOOKUP(C1027,'Data Angt'!$A$5:$B$5809,2,FALSE)</f>
        <v>A4156</v>
      </c>
      <c r="E1027" s="40" t="s">
        <v>11421</v>
      </c>
      <c r="F1027" s="41">
        <v>45257</v>
      </c>
      <c r="G1027" s="38">
        <v>1</v>
      </c>
      <c r="H1027" s="40">
        <v>0</v>
      </c>
      <c r="I1027" s="38">
        <v>4</v>
      </c>
      <c r="J1027" s="41">
        <v>45257</v>
      </c>
      <c r="K1027" s="38" t="s">
        <v>10768</v>
      </c>
      <c r="L1027" s="42">
        <v>10000000</v>
      </c>
      <c r="O1027"/>
    </row>
    <row r="1028" spans="1:15" x14ac:dyDescent="0.3">
      <c r="A1028" s="37">
        <v>138239</v>
      </c>
      <c r="B1028" s="38">
        <v>1022</v>
      </c>
      <c r="C1028" s="39" t="s">
        <v>9150</v>
      </c>
      <c r="D1028" s="10" t="str">
        <f>VLOOKUP(C1028,'Data Angt'!$A$5:$B$5809,2,FALSE)</f>
        <v>A4162</v>
      </c>
      <c r="E1028" s="40" t="s">
        <v>11420</v>
      </c>
      <c r="F1028" s="41">
        <v>45125</v>
      </c>
      <c r="G1028" s="38">
        <v>1</v>
      </c>
      <c r="H1028" s="40">
        <v>0</v>
      </c>
      <c r="I1028" s="38">
        <v>4</v>
      </c>
      <c r="J1028" s="41">
        <v>45125</v>
      </c>
      <c r="K1028" s="38" t="s">
        <v>10768</v>
      </c>
      <c r="L1028" s="42">
        <v>1000000</v>
      </c>
      <c r="O1028"/>
    </row>
    <row r="1029" spans="1:15" x14ac:dyDescent="0.3">
      <c r="A1029" s="37">
        <v>140342</v>
      </c>
      <c r="B1029" s="38">
        <v>1023</v>
      </c>
      <c r="C1029" s="39" t="s">
        <v>9159</v>
      </c>
      <c r="D1029" s="10" t="str">
        <f>VLOOKUP(C1029,'Data Angt'!$A$5:$B$5809,2,FALSE)</f>
        <v>A4167</v>
      </c>
      <c r="E1029" s="40" t="s">
        <v>11419</v>
      </c>
      <c r="F1029" s="41">
        <v>45240</v>
      </c>
      <c r="G1029" s="38">
        <v>1</v>
      </c>
      <c r="H1029" s="40">
        <v>0</v>
      </c>
      <c r="I1029" s="38">
        <v>4</v>
      </c>
      <c r="J1029" s="41">
        <v>45240</v>
      </c>
      <c r="K1029" s="38" t="s">
        <v>10768</v>
      </c>
      <c r="L1029" s="42">
        <v>3000000</v>
      </c>
      <c r="O1029"/>
    </row>
    <row r="1030" spans="1:15" x14ac:dyDescent="0.3">
      <c r="A1030" s="37">
        <v>139570</v>
      </c>
      <c r="B1030" s="38">
        <v>1024</v>
      </c>
      <c r="C1030" s="39" t="s">
        <v>9169</v>
      </c>
      <c r="D1030" s="10" t="str">
        <f>VLOOKUP(C1030,'Data Angt'!$A$5:$B$5809,2,FALSE)</f>
        <v>A4172</v>
      </c>
      <c r="E1030" s="40" t="s">
        <v>11418</v>
      </c>
      <c r="F1030" s="41">
        <v>45196</v>
      </c>
      <c r="G1030" s="38">
        <v>1</v>
      </c>
      <c r="H1030" s="40">
        <v>0</v>
      </c>
      <c r="I1030" s="38">
        <v>4</v>
      </c>
      <c r="J1030" s="41">
        <v>45196</v>
      </c>
      <c r="K1030" s="38" t="s">
        <v>10768</v>
      </c>
      <c r="L1030" s="42">
        <v>2000000</v>
      </c>
      <c r="O1030"/>
    </row>
    <row r="1031" spans="1:15" x14ac:dyDescent="0.3">
      <c r="A1031" s="37">
        <v>154686</v>
      </c>
      <c r="B1031" s="38">
        <v>1025</v>
      </c>
      <c r="C1031" s="39" t="s">
        <v>9397</v>
      </c>
      <c r="D1031" s="10" t="str">
        <f>VLOOKUP(C1031,'Data Angt'!$A$5:$B$5809,2,FALSE)</f>
        <v>A4275</v>
      </c>
      <c r="E1031" s="40" t="s">
        <v>18309</v>
      </c>
      <c r="F1031" s="41">
        <v>45736</v>
      </c>
      <c r="G1031" s="38">
        <v>1</v>
      </c>
      <c r="H1031" s="40">
        <v>0</v>
      </c>
      <c r="I1031" s="38">
        <v>4</v>
      </c>
      <c r="J1031" s="41">
        <v>45736</v>
      </c>
      <c r="K1031" s="38" t="s">
        <v>10768</v>
      </c>
      <c r="L1031" s="42">
        <v>70000000</v>
      </c>
      <c r="O1031"/>
    </row>
    <row r="1032" spans="1:15" x14ac:dyDescent="0.3">
      <c r="A1032" s="37">
        <v>152946</v>
      </c>
      <c r="B1032" s="38">
        <v>1026</v>
      </c>
      <c r="C1032" s="39" t="s">
        <v>9455</v>
      </c>
      <c r="D1032" s="10" t="str">
        <f>VLOOKUP(C1032,'Data Angt'!$A$5:$B$5809,2,FALSE)</f>
        <v>A4301</v>
      </c>
      <c r="E1032" s="40" t="s">
        <v>18310</v>
      </c>
      <c r="F1032" s="41">
        <v>45695</v>
      </c>
      <c r="G1032" s="38">
        <v>1</v>
      </c>
      <c r="H1032" s="40">
        <v>0</v>
      </c>
      <c r="I1032" s="38">
        <v>4</v>
      </c>
      <c r="J1032" s="41">
        <v>45695</v>
      </c>
      <c r="K1032" s="38" t="s">
        <v>10768</v>
      </c>
      <c r="L1032" s="42">
        <v>10000000</v>
      </c>
      <c r="O1032"/>
    </row>
    <row r="1033" spans="1:15" x14ac:dyDescent="0.3">
      <c r="A1033" s="37">
        <v>140612</v>
      </c>
      <c r="B1033" s="38">
        <v>1027</v>
      </c>
      <c r="C1033" s="39" t="s">
        <v>9462</v>
      </c>
      <c r="D1033" s="10" t="str">
        <f>VLOOKUP(C1033,'Data Angt'!$A$5:$B$5809,2,FALSE)</f>
        <v>A4304</v>
      </c>
      <c r="E1033" s="40" t="s">
        <v>11417</v>
      </c>
      <c r="F1033" s="41">
        <v>45254</v>
      </c>
      <c r="G1033" s="38">
        <v>1</v>
      </c>
      <c r="H1033" s="40">
        <v>0</v>
      </c>
      <c r="I1033" s="38">
        <v>4</v>
      </c>
      <c r="J1033" s="41">
        <v>45254</v>
      </c>
      <c r="K1033" s="38" t="s">
        <v>10768</v>
      </c>
      <c r="L1033" s="42">
        <v>11000000</v>
      </c>
      <c r="O1033"/>
    </row>
    <row r="1034" spans="1:15" x14ac:dyDescent="0.3">
      <c r="A1034" s="37">
        <v>139724</v>
      </c>
      <c r="B1034" s="38">
        <v>1028</v>
      </c>
      <c r="C1034" s="39" t="s">
        <v>9476</v>
      </c>
      <c r="D1034" s="10" t="str">
        <f>VLOOKUP(C1034,'Data Angt'!$A$5:$B$5809,2,FALSE)</f>
        <v>A4311</v>
      </c>
      <c r="E1034" s="40" t="s">
        <v>11416</v>
      </c>
      <c r="F1034" s="41">
        <v>45204</v>
      </c>
      <c r="G1034" s="38">
        <v>3</v>
      </c>
      <c r="H1034" s="40">
        <v>0</v>
      </c>
      <c r="I1034" s="38">
        <v>4</v>
      </c>
      <c r="J1034" s="41">
        <v>45204</v>
      </c>
      <c r="K1034" s="38" t="s">
        <v>10768</v>
      </c>
      <c r="L1034" s="42">
        <v>20000000</v>
      </c>
      <c r="O1034"/>
    </row>
    <row r="1035" spans="1:15" x14ac:dyDescent="0.3">
      <c r="A1035" s="37">
        <v>140927</v>
      </c>
      <c r="B1035" s="38">
        <v>1029</v>
      </c>
      <c r="C1035" s="39" t="s">
        <v>9476</v>
      </c>
      <c r="D1035" s="10" t="str">
        <f>VLOOKUP(C1035,'Data Angt'!$A$5:$B$5809,2,FALSE)</f>
        <v>A4311</v>
      </c>
      <c r="E1035" s="40" t="s">
        <v>11415</v>
      </c>
      <c r="F1035" s="41">
        <v>45271</v>
      </c>
      <c r="G1035" s="38">
        <v>3</v>
      </c>
      <c r="H1035" s="40">
        <v>0</v>
      </c>
      <c r="I1035" s="38">
        <v>4</v>
      </c>
      <c r="J1035" s="41">
        <v>45271</v>
      </c>
      <c r="K1035" s="38" t="s">
        <v>10768</v>
      </c>
      <c r="L1035" s="42">
        <v>18000000</v>
      </c>
      <c r="O1035"/>
    </row>
    <row r="1036" spans="1:15" x14ac:dyDescent="0.3">
      <c r="A1036" s="37">
        <v>141721</v>
      </c>
      <c r="B1036" s="38">
        <v>1030</v>
      </c>
      <c r="C1036" s="39" t="s">
        <v>9476</v>
      </c>
      <c r="D1036" s="10" t="str">
        <f>VLOOKUP(C1036,'Data Angt'!$A$5:$B$5809,2,FALSE)</f>
        <v>A4311</v>
      </c>
      <c r="E1036" s="40" t="s">
        <v>18311</v>
      </c>
      <c r="F1036" s="41">
        <v>45304</v>
      </c>
      <c r="G1036" s="38">
        <v>3</v>
      </c>
      <c r="H1036" s="40">
        <v>0</v>
      </c>
      <c r="I1036" s="38">
        <v>4</v>
      </c>
      <c r="J1036" s="41">
        <v>45304</v>
      </c>
      <c r="K1036" s="38" t="s">
        <v>10768</v>
      </c>
      <c r="L1036" s="42">
        <v>57500000</v>
      </c>
      <c r="O1036"/>
    </row>
    <row r="1037" spans="1:15" x14ac:dyDescent="0.3">
      <c r="A1037" s="37">
        <v>155113</v>
      </c>
      <c r="B1037" s="38">
        <v>1031</v>
      </c>
      <c r="C1037" s="39" t="s">
        <v>9557</v>
      </c>
      <c r="D1037" s="10" t="str">
        <f>VLOOKUP(C1037,'Data Angt'!$A$5:$B$5809,2,FALSE)</f>
        <v>A4343</v>
      </c>
      <c r="E1037" s="40" t="s">
        <v>18312</v>
      </c>
      <c r="F1037" s="41">
        <v>45769</v>
      </c>
      <c r="G1037" s="38">
        <v>1</v>
      </c>
      <c r="H1037" s="40">
        <v>0</v>
      </c>
      <c r="I1037" s="38">
        <v>4</v>
      </c>
      <c r="J1037" s="41">
        <v>45769</v>
      </c>
      <c r="K1037" s="38" t="s">
        <v>10768</v>
      </c>
      <c r="L1037" s="42">
        <v>1000000</v>
      </c>
      <c r="O1037"/>
    </row>
    <row r="1038" spans="1:15" x14ac:dyDescent="0.3">
      <c r="A1038" s="37">
        <v>151223</v>
      </c>
      <c r="B1038" s="38">
        <v>1032</v>
      </c>
      <c r="C1038" s="39" t="s">
        <v>9570</v>
      </c>
      <c r="D1038" s="10" t="str">
        <f>VLOOKUP(C1038,'Data Angt'!$A$5:$B$5809,2,FALSE)</f>
        <v>A4349</v>
      </c>
      <c r="E1038" s="40" t="s">
        <v>18313</v>
      </c>
      <c r="F1038" s="41">
        <v>45628</v>
      </c>
      <c r="G1038" s="38">
        <v>1</v>
      </c>
      <c r="H1038" s="40">
        <v>0</v>
      </c>
      <c r="I1038" s="38">
        <v>4</v>
      </c>
      <c r="J1038" s="41">
        <v>45628</v>
      </c>
      <c r="K1038" s="38" t="s">
        <v>10768</v>
      </c>
      <c r="L1038" s="42">
        <v>1000000</v>
      </c>
      <c r="O1038"/>
    </row>
    <row r="1039" spans="1:15" x14ac:dyDescent="0.3">
      <c r="A1039" s="37">
        <v>152390</v>
      </c>
      <c r="B1039" s="38">
        <v>1033</v>
      </c>
      <c r="C1039" s="39" t="s">
        <v>12631</v>
      </c>
      <c r="D1039" s="10" t="str">
        <f>VLOOKUP(C1039,'Data Angt'!$A$5:$B$5809,2,FALSE)</f>
        <v>A4368</v>
      </c>
      <c r="E1039" s="40" t="s">
        <v>18314</v>
      </c>
      <c r="F1039" s="41">
        <v>45679</v>
      </c>
      <c r="G1039" s="38">
        <v>1</v>
      </c>
      <c r="H1039" s="40">
        <v>0</v>
      </c>
      <c r="I1039" s="38">
        <v>4</v>
      </c>
      <c r="J1039" s="41">
        <v>45679</v>
      </c>
      <c r="K1039" s="38" t="s">
        <v>10768</v>
      </c>
      <c r="L1039" s="42">
        <v>22000000</v>
      </c>
      <c r="O1039"/>
    </row>
    <row r="1040" spans="1:15" x14ac:dyDescent="0.3">
      <c r="A1040" s="37">
        <v>154205</v>
      </c>
      <c r="B1040" s="38">
        <v>1034</v>
      </c>
      <c r="C1040" s="39" t="s">
        <v>12651</v>
      </c>
      <c r="D1040" s="10" t="str">
        <f>VLOOKUP(C1040,'Data Angt'!$A$5:$B$5809,2,FALSE)</f>
        <v>A4379</v>
      </c>
      <c r="E1040" s="40" t="s">
        <v>18315</v>
      </c>
      <c r="F1040" s="41">
        <v>45721</v>
      </c>
      <c r="G1040" s="38">
        <v>1</v>
      </c>
      <c r="H1040" s="40">
        <v>0</v>
      </c>
      <c r="I1040" s="38">
        <v>4</v>
      </c>
      <c r="J1040" s="41">
        <v>45721</v>
      </c>
      <c r="K1040" s="38" t="s">
        <v>10768</v>
      </c>
      <c r="L1040" s="42">
        <v>2000000</v>
      </c>
      <c r="O1040"/>
    </row>
    <row r="1041" spans="1:15" x14ac:dyDescent="0.3">
      <c r="A1041" s="37">
        <v>141805</v>
      </c>
      <c r="B1041" s="38">
        <v>1035</v>
      </c>
      <c r="C1041" s="39" t="s">
        <v>12670</v>
      </c>
      <c r="D1041" s="10" t="str">
        <f>VLOOKUP(C1041,'Data Angt'!$A$5:$B$5809,2,FALSE)</f>
        <v>A4387</v>
      </c>
      <c r="E1041" s="40" t="s">
        <v>18316</v>
      </c>
      <c r="F1041" s="41">
        <v>45307</v>
      </c>
      <c r="G1041" s="38">
        <v>1</v>
      </c>
      <c r="H1041" s="40">
        <v>0</v>
      </c>
      <c r="I1041" s="38">
        <v>4</v>
      </c>
      <c r="J1041" s="41">
        <v>45307</v>
      </c>
      <c r="K1041" s="38" t="s">
        <v>10768</v>
      </c>
      <c r="L1041" s="42">
        <v>800000000</v>
      </c>
      <c r="O1041"/>
    </row>
    <row r="1042" spans="1:15" x14ac:dyDescent="0.3">
      <c r="A1042" s="37">
        <v>154839</v>
      </c>
      <c r="B1042" s="38">
        <v>1036</v>
      </c>
      <c r="C1042" s="39" t="s">
        <v>12698</v>
      </c>
      <c r="D1042" s="10" t="str">
        <f>VLOOKUP(C1042,'Data Angt'!$A$5:$B$5809,2,FALSE)</f>
        <v>A4400</v>
      </c>
      <c r="E1042" s="40" t="s">
        <v>18317</v>
      </c>
      <c r="F1042" s="41">
        <v>45743</v>
      </c>
      <c r="G1042" s="38">
        <v>6</v>
      </c>
      <c r="H1042" s="40">
        <v>0</v>
      </c>
      <c r="I1042" s="38">
        <v>4.5</v>
      </c>
      <c r="J1042" s="41">
        <v>45743</v>
      </c>
      <c r="K1042" s="38" t="s">
        <v>10768</v>
      </c>
      <c r="L1042" s="42">
        <v>100000000</v>
      </c>
      <c r="O1042"/>
    </row>
    <row r="1043" spans="1:15" x14ac:dyDescent="0.3">
      <c r="A1043" s="37">
        <v>142565</v>
      </c>
      <c r="B1043" s="38">
        <v>1037</v>
      </c>
      <c r="C1043" s="39" t="s">
        <v>12749</v>
      </c>
      <c r="D1043" s="10" t="str">
        <f>VLOOKUP(C1043,'Data Angt'!$A$5:$B$5809,2,FALSE)</f>
        <v>A4420</v>
      </c>
      <c r="E1043" s="40" t="s">
        <v>18318</v>
      </c>
      <c r="F1043" s="41">
        <v>45337</v>
      </c>
      <c r="G1043" s="38">
        <v>1</v>
      </c>
      <c r="H1043" s="40">
        <v>0</v>
      </c>
      <c r="I1043" s="38">
        <v>4</v>
      </c>
      <c r="J1043" s="41">
        <v>45337</v>
      </c>
      <c r="K1043" s="38" t="s">
        <v>10768</v>
      </c>
      <c r="L1043" s="42">
        <v>1000000</v>
      </c>
      <c r="O1043"/>
    </row>
    <row r="1044" spans="1:15" x14ac:dyDescent="0.3">
      <c r="A1044" s="37">
        <v>150604</v>
      </c>
      <c r="B1044" s="38">
        <v>1038</v>
      </c>
      <c r="C1044" s="39" t="s">
        <v>12764</v>
      </c>
      <c r="D1044" s="10" t="str">
        <f>VLOOKUP(C1044,'Data Angt'!$A$5:$B$5809,2,FALSE)</f>
        <v>A4427</v>
      </c>
      <c r="E1044" s="40" t="s">
        <v>18319</v>
      </c>
      <c r="F1044" s="41">
        <v>45610</v>
      </c>
      <c r="G1044" s="38">
        <v>1</v>
      </c>
      <c r="H1044" s="40">
        <v>0</v>
      </c>
      <c r="I1044" s="38">
        <v>4</v>
      </c>
      <c r="J1044" s="41">
        <v>45610</v>
      </c>
      <c r="K1044" s="38" t="s">
        <v>10768</v>
      </c>
      <c r="L1044" s="42">
        <v>4000000</v>
      </c>
      <c r="O1044"/>
    </row>
    <row r="1045" spans="1:15" x14ac:dyDescent="0.3">
      <c r="A1045" s="37">
        <v>153464</v>
      </c>
      <c r="B1045" s="38">
        <v>1039</v>
      </c>
      <c r="C1045" s="39" t="s">
        <v>12902</v>
      </c>
      <c r="D1045" s="10" t="str">
        <f>VLOOKUP(C1045,'Data Angt'!$A$5:$B$5809,2,FALSE)</f>
        <v>A4489</v>
      </c>
      <c r="E1045" s="40" t="s">
        <v>18320</v>
      </c>
      <c r="F1045" s="41">
        <v>45706</v>
      </c>
      <c r="G1045" s="38">
        <v>1</v>
      </c>
      <c r="H1045" s="40">
        <v>0</v>
      </c>
      <c r="I1045" s="38">
        <v>4</v>
      </c>
      <c r="J1045" s="41">
        <v>45706</v>
      </c>
      <c r="K1045" s="38" t="s">
        <v>10768</v>
      </c>
      <c r="L1045" s="42">
        <v>1000000</v>
      </c>
      <c r="O1045"/>
    </row>
    <row r="1046" spans="1:15" x14ac:dyDescent="0.3">
      <c r="A1046" s="37">
        <v>143592</v>
      </c>
      <c r="B1046" s="38">
        <v>1040</v>
      </c>
      <c r="C1046" s="39" t="s">
        <v>12909</v>
      </c>
      <c r="D1046" s="10" t="str">
        <f>VLOOKUP(C1046,'Data Angt'!$A$5:$B$5809,2,FALSE)</f>
        <v>A4493</v>
      </c>
      <c r="E1046" s="40" t="s">
        <v>18321</v>
      </c>
      <c r="F1046" s="41">
        <v>45369</v>
      </c>
      <c r="G1046" s="38">
        <v>1</v>
      </c>
      <c r="H1046" s="40">
        <v>0</v>
      </c>
      <c r="I1046" s="38">
        <v>4</v>
      </c>
      <c r="J1046" s="41">
        <v>45369</v>
      </c>
      <c r="K1046" s="38" t="s">
        <v>10768</v>
      </c>
      <c r="L1046" s="42">
        <v>1000000</v>
      </c>
      <c r="O1046"/>
    </row>
    <row r="1047" spans="1:15" x14ac:dyDescent="0.3">
      <c r="A1047" s="37">
        <v>150256</v>
      </c>
      <c r="B1047" s="38">
        <v>1041</v>
      </c>
      <c r="C1047" s="39" t="s">
        <v>12925</v>
      </c>
      <c r="D1047" s="10" t="str">
        <f>VLOOKUP(C1047,'Data Angt'!$A$5:$B$5809,2,FALSE)</f>
        <v>A4501</v>
      </c>
      <c r="E1047" s="40" t="s">
        <v>18322</v>
      </c>
      <c r="F1047" s="41">
        <v>45601</v>
      </c>
      <c r="G1047" s="38">
        <v>1</v>
      </c>
      <c r="H1047" s="40">
        <v>0</v>
      </c>
      <c r="I1047" s="38">
        <v>4</v>
      </c>
      <c r="J1047" s="41">
        <v>45601</v>
      </c>
      <c r="K1047" s="38" t="s">
        <v>10768</v>
      </c>
      <c r="L1047" s="42">
        <v>6000000</v>
      </c>
      <c r="O1047"/>
    </row>
    <row r="1048" spans="1:15" x14ac:dyDescent="0.3">
      <c r="A1048" s="37">
        <v>149723</v>
      </c>
      <c r="B1048" s="38">
        <v>1042</v>
      </c>
      <c r="C1048" s="39" t="s">
        <v>12946</v>
      </c>
      <c r="D1048" s="10" t="str">
        <f>VLOOKUP(C1048,'Data Angt'!$A$5:$B$5809,2,FALSE)</f>
        <v>A4509</v>
      </c>
      <c r="E1048" s="40" t="s">
        <v>18323</v>
      </c>
      <c r="F1048" s="41">
        <v>45586</v>
      </c>
      <c r="G1048" s="38">
        <v>1</v>
      </c>
      <c r="H1048" s="40">
        <v>0</v>
      </c>
      <c r="I1048" s="38">
        <v>4</v>
      </c>
      <c r="J1048" s="41">
        <v>45586</v>
      </c>
      <c r="K1048" s="38" t="s">
        <v>10768</v>
      </c>
      <c r="L1048" s="42">
        <v>20000000</v>
      </c>
      <c r="O1048"/>
    </row>
    <row r="1049" spans="1:15" x14ac:dyDescent="0.3">
      <c r="A1049" s="37">
        <v>144548</v>
      </c>
      <c r="B1049" s="38">
        <v>1043</v>
      </c>
      <c r="C1049" s="39" t="s">
        <v>12974</v>
      </c>
      <c r="D1049" s="10" t="str">
        <f>VLOOKUP(C1049,'Data Angt'!$A$5:$B$5809,2,FALSE)</f>
        <v>A4523</v>
      </c>
      <c r="E1049" s="40" t="s">
        <v>18324</v>
      </c>
      <c r="F1049" s="41">
        <v>45414</v>
      </c>
      <c r="G1049" s="38">
        <v>1</v>
      </c>
      <c r="H1049" s="40">
        <v>0</v>
      </c>
      <c r="I1049" s="38">
        <v>4</v>
      </c>
      <c r="J1049" s="41">
        <v>45414</v>
      </c>
      <c r="K1049" s="38" t="s">
        <v>10768</v>
      </c>
      <c r="L1049" s="42">
        <v>15000000</v>
      </c>
      <c r="O1049"/>
    </row>
    <row r="1050" spans="1:15" x14ac:dyDescent="0.3">
      <c r="A1050" s="37">
        <v>148871</v>
      </c>
      <c r="B1050" s="38">
        <v>1044</v>
      </c>
      <c r="C1050" s="39" t="s">
        <v>12982</v>
      </c>
      <c r="D1050" s="10" t="str">
        <f>VLOOKUP(C1050,'Data Angt'!$A$5:$B$5809,2,FALSE)</f>
        <v>A4527</v>
      </c>
      <c r="E1050" s="40" t="s">
        <v>18325</v>
      </c>
      <c r="F1050" s="41">
        <v>45539</v>
      </c>
      <c r="G1050" s="38">
        <v>1</v>
      </c>
      <c r="H1050" s="40">
        <v>0</v>
      </c>
      <c r="I1050" s="38">
        <v>4</v>
      </c>
      <c r="J1050" s="41">
        <v>45539</v>
      </c>
      <c r="K1050" s="38" t="s">
        <v>10768</v>
      </c>
      <c r="L1050" s="42">
        <v>10000000</v>
      </c>
      <c r="O1050"/>
    </row>
    <row r="1051" spans="1:15" x14ac:dyDescent="0.3">
      <c r="A1051" s="37">
        <v>145398</v>
      </c>
      <c r="B1051" s="38">
        <v>1045</v>
      </c>
      <c r="C1051" s="39" t="s">
        <v>13034</v>
      </c>
      <c r="D1051" s="10" t="str">
        <f>VLOOKUP(C1051,'Data Angt'!$A$5:$B$5809,2,FALSE)</f>
        <v>A4549</v>
      </c>
      <c r="E1051" s="40" t="s">
        <v>18326</v>
      </c>
      <c r="F1051" s="41">
        <v>45429</v>
      </c>
      <c r="G1051" s="38">
        <v>1</v>
      </c>
      <c r="H1051" s="40">
        <v>0</v>
      </c>
      <c r="I1051" s="38">
        <v>4</v>
      </c>
      <c r="J1051" s="41">
        <v>45429</v>
      </c>
      <c r="K1051" s="38" t="s">
        <v>10768</v>
      </c>
      <c r="L1051" s="42">
        <v>50000000</v>
      </c>
      <c r="O1051"/>
    </row>
    <row r="1052" spans="1:15" x14ac:dyDescent="0.3">
      <c r="A1052" s="37">
        <v>145919</v>
      </c>
      <c r="B1052" s="38">
        <v>1046</v>
      </c>
      <c r="C1052" s="39" t="s">
        <v>13077</v>
      </c>
      <c r="D1052" s="10" t="str">
        <f>VLOOKUP(C1052,'Data Angt'!$A$5:$B$5809,2,FALSE)</f>
        <v>A4573</v>
      </c>
      <c r="E1052" s="40" t="s">
        <v>18327</v>
      </c>
      <c r="F1052" s="41">
        <v>45454</v>
      </c>
      <c r="G1052" s="38">
        <v>1</v>
      </c>
      <c r="H1052" s="40">
        <v>0</v>
      </c>
      <c r="I1052" s="38">
        <v>4</v>
      </c>
      <c r="J1052" s="41">
        <v>45454</v>
      </c>
      <c r="K1052" s="38" t="s">
        <v>10768</v>
      </c>
      <c r="L1052" s="42">
        <v>10000000</v>
      </c>
      <c r="O1052"/>
    </row>
    <row r="1053" spans="1:15" x14ac:dyDescent="0.3">
      <c r="A1053" s="37">
        <v>157811</v>
      </c>
      <c r="B1053" s="38">
        <v>1047</v>
      </c>
      <c r="C1053" s="39" t="s">
        <v>13084</v>
      </c>
      <c r="D1053" s="10" t="str">
        <f>VLOOKUP(C1053,'Data Angt'!$A$5:$B$5809,2,FALSE)</f>
        <v>A4577</v>
      </c>
      <c r="E1053" s="40" t="s">
        <v>24101</v>
      </c>
      <c r="F1053" s="41">
        <v>45883</v>
      </c>
      <c r="G1053" s="38">
        <v>1</v>
      </c>
      <c r="H1053" s="40">
        <v>0</v>
      </c>
      <c r="I1053" s="38">
        <v>4</v>
      </c>
      <c r="J1053" s="41">
        <v>45883</v>
      </c>
      <c r="K1053" s="38" t="s">
        <v>10768</v>
      </c>
      <c r="L1053" s="42">
        <v>2000000</v>
      </c>
      <c r="O1053"/>
    </row>
    <row r="1054" spans="1:15" x14ac:dyDescent="0.3">
      <c r="A1054" s="37">
        <v>148514</v>
      </c>
      <c r="B1054" s="38">
        <v>1048</v>
      </c>
      <c r="C1054" s="39" t="s">
        <v>13111</v>
      </c>
      <c r="D1054" s="10" t="str">
        <f>VLOOKUP(C1054,'Data Angt'!$A$5:$B$5809,2,FALSE)</f>
        <v>A4589</v>
      </c>
      <c r="E1054" s="40" t="s">
        <v>18328</v>
      </c>
      <c r="F1054" s="41">
        <v>45534</v>
      </c>
      <c r="G1054" s="38">
        <v>1</v>
      </c>
      <c r="H1054" s="40">
        <v>0</v>
      </c>
      <c r="I1054" s="38">
        <v>4</v>
      </c>
      <c r="J1054" s="41">
        <v>45534</v>
      </c>
      <c r="K1054" s="38" t="s">
        <v>10768</v>
      </c>
      <c r="L1054" s="42">
        <v>20000000</v>
      </c>
      <c r="O1054"/>
    </row>
    <row r="1055" spans="1:15" x14ac:dyDescent="0.3">
      <c r="A1055" s="37">
        <v>149606</v>
      </c>
      <c r="B1055" s="38">
        <v>1049</v>
      </c>
      <c r="C1055" s="39" t="s">
        <v>13144</v>
      </c>
      <c r="D1055" s="10" t="str">
        <f>VLOOKUP(C1055,'Data Angt'!$A$5:$B$5809,2,FALSE)</f>
        <v>A4603</v>
      </c>
      <c r="E1055" s="40" t="s">
        <v>18331</v>
      </c>
      <c r="F1055" s="41">
        <v>45574</v>
      </c>
      <c r="G1055" s="38">
        <v>1</v>
      </c>
      <c r="H1055" s="40">
        <v>0</v>
      </c>
      <c r="I1055" s="38">
        <v>4</v>
      </c>
      <c r="J1055" s="41">
        <v>45574</v>
      </c>
      <c r="K1055" s="38" t="s">
        <v>10768</v>
      </c>
      <c r="L1055" s="42">
        <v>1000000</v>
      </c>
      <c r="O1055"/>
    </row>
    <row r="1056" spans="1:15" x14ac:dyDescent="0.3">
      <c r="A1056" s="37">
        <v>150569</v>
      </c>
      <c r="B1056" s="38">
        <v>1050</v>
      </c>
      <c r="C1056" s="39" t="s">
        <v>13144</v>
      </c>
      <c r="D1056" s="10" t="str">
        <f>VLOOKUP(C1056,'Data Angt'!$A$5:$B$5809,2,FALSE)</f>
        <v>A4603</v>
      </c>
      <c r="E1056" s="40" t="s">
        <v>18332</v>
      </c>
      <c r="F1056" s="41">
        <v>45609</v>
      </c>
      <c r="G1056" s="38">
        <v>1</v>
      </c>
      <c r="H1056" s="40">
        <v>0</v>
      </c>
      <c r="I1056" s="38">
        <v>4</v>
      </c>
      <c r="J1056" s="41">
        <v>45609</v>
      </c>
      <c r="K1056" s="38" t="s">
        <v>10768</v>
      </c>
      <c r="L1056" s="42">
        <v>2000000</v>
      </c>
      <c r="O1056"/>
    </row>
    <row r="1057" spans="1:15" x14ac:dyDescent="0.3">
      <c r="A1057" s="37">
        <v>152158</v>
      </c>
      <c r="B1057" s="38">
        <v>1051</v>
      </c>
      <c r="C1057" s="39" t="s">
        <v>13144</v>
      </c>
      <c r="D1057" s="10" t="str">
        <f>VLOOKUP(C1057,'Data Angt'!$A$5:$B$5809,2,FALSE)</f>
        <v>A4603</v>
      </c>
      <c r="E1057" s="40" t="s">
        <v>18333</v>
      </c>
      <c r="F1057" s="41">
        <v>45671</v>
      </c>
      <c r="G1057" s="38">
        <v>1</v>
      </c>
      <c r="H1057" s="40">
        <v>0</v>
      </c>
      <c r="I1057" s="38">
        <v>4</v>
      </c>
      <c r="J1057" s="41">
        <v>45671</v>
      </c>
      <c r="K1057" s="38" t="s">
        <v>10768</v>
      </c>
      <c r="L1057" s="42">
        <v>1000000</v>
      </c>
      <c r="O1057"/>
    </row>
    <row r="1058" spans="1:15" x14ac:dyDescent="0.3">
      <c r="A1058" s="37">
        <v>152689</v>
      </c>
      <c r="B1058" s="38">
        <v>1052</v>
      </c>
      <c r="C1058" s="39" t="s">
        <v>13144</v>
      </c>
      <c r="D1058" s="10" t="str">
        <f>VLOOKUP(C1058,'Data Angt'!$A$5:$B$5809,2,FALSE)</f>
        <v>A4603</v>
      </c>
      <c r="E1058" s="40" t="s">
        <v>18334</v>
      </c>
      <c r="F1058" s="41">
        <v>45691</v>
      </c>
      <c r="G1058" s="38">
        <v>1</v>
      </c>
      <c r="H1058" s="40">
        <v>0</v>
      </c>
      <c r="I1058" s="38">
        <v>4</v>
      </c>
      <c r="J1058" s="41">
        <v>45691</v>
      </c>
      <c r="K1058" s="38" t="s">
        <v>10768</v>
      </c>
      <c r="L1058" s="42">
        <v>2000000</v>
      </c>
      <c r="O1058"/>
    </row>
    <row r="1059" spans="1:15" x14ac:dyDescent="0.3">
      <c r="A1059" s="37">
        <v>148157</v>
      </c>
      <c r="B1059" s="38">
        <v>1053</v>
      </c>
      <c r="C1059" s="39" t="s">
        <v>13144</v>
      </c>
      <c r="D1059" s="10" t="str">
        <f>VLOOKUP(C1059,'Data Angt'!$A$5:$B$5809,2,FALSE)</f>
        <v>A4603</v>
      </c>
      <c r="E1059" s="40" t="s">
        <v>18329</v>
      </c>
      <c r="F1059" s="41">
        <v>45517</v>
      </c>
      <c r="G1059" s="38">
        <v>1</v>
      </c>
      <c r="H1059" s="40">
        <v>0</v>
      </c>
      <c r="I1059" s="38">
        <v>4</v>
      </c>
      <c r="J1059" s="41">
        <v>45517</v>
      </c>
      <c r="K1059" s="38" t="s">
        <v>10768</v>
      </c>
      <c r="L1059" s="42">
        <v>1000000</v>
      </c>
      <c r="O1059"/>
    </row>
    <row r="1060" spans="1:15" x14ac:dyDescent="0.3">
      <c r="A1060" s="37">
        <v>149079</v>
      </c>
      <c r="B1060" s="38">
        <v>1054</v>
      </c>
      <c r="C1060" s="39" t="s">
        <v>13144</v>
      </c>
      <c r="D1060" s="10" t="str">
        <f>VLOOKUP(C1060,'Data Angt'!$A$5:$B$5809,2,FALSE)</f>
        <v>A4603</v>
      </c>
      <c r="E1060" s="40" t="s">
        <v>18330</v>
      </c>
      <c r="F1060" s="41">
        <v>45547</v>
      </c>
      <c r="G1060" s="38">
        <v>1</v>
      </c>
      <c r="H1060" s="40">
        <v>0</v>
      </c>
      <c r="I1060" s="38">
        <v>4</v>
      </c>
      <c r="J1060" s="41">
        <v>45547</v>
      </c>
      <c r="K1060" s="38" t="s">
        <v>10768</v>
      </c>
      <c r="L1060" s="42">
        <v>1000000</v>
      </c>
      <c r="O1060"/>
    </row>
    <row r="1061" spans="1:15" x14ac:dyDescent="0.3">
      <c r="A1061" s="37">
        <v>157130</v>
      </c>
      <c r="B1061" s="38">
        <v>1055</v>
      </c>
      <c r="C1061" s="39" t="s">
        <v>13169</v>
      </c>
      <c r="D1061" s="10" t="str">
        <f>VLOOKUP(C1061,'Data Angt'!$A$5:$B$5809,2,FALSE)</f>
        <v>A4613</v>
      </c>
      <c r="E1061" s="40" t="s">
        <v>24102</v>
      </c>
      <c r="F1061" s="41">
        <v>45856</v>
      </c>
      <c r="G1061" s="38">
        <v>1</v>
      </c>
      <c r="H1061" s="40">
        <v>0</v>
      </c>
      <c r="I1061" s="38">
        <v>4</v>
      </c>
      <c r="J1061" s="41">
        <v>45856</v>
      </c>
      <c r="K1061" s="38" t="s">
        <v>10768</v>
      </c>
      <c r="L1061" s="42">
        <v>15000000</v>
      </c>
      <c r="O1061"/>
    </row>
    <row r="1062" spans="1:15" x14ac:dyDescent="0.3">
      <c r="A1062" s="37">
        <v>154668</v>
      </c>
      <c r="B1062" s="38">
        <v>1056</v>
      </c>
      <c r="C1062" s="39" t="s">
        <v>13560</v>
      </c>
      <c r="D1062" s="10" t="str">
        <f>VLOOKUP(C1062,'Data Angt'!$A$5:$B$5809,2,FALSE)</f>
        <v>A4846</v>
      </c>
      <c r="E1062" s="40" t="s">
        <v>18335</v>
      </c>
      <c r="F1062" s="41">
        <v>45736</v>
      </c>
      <c r="G1062" s="38">
        <v>1</v>
      </c>
      <c r="H1062" s="40">
        <v>0</v>
      </c>
      <c r="I1062" s="38">
        <v>4</v>
      </c>
      <c r="J1062" s="41">
        <v>45736</v>
      </c>
      <c r="K1062" s="38" t="s">
        <v>10768</v>
      </c>
      <c r="L1062" s="42">
        <v>35000000</v>
      </c>
      <c r="O1062"/>
    </row>
    <row r="1063" spans="1:15" x14ac:dyDescent="0.3">
      <c r="A1063" s="37">
        <v>149947</v>
      </c>
      <c r="B1063" s="38">
        <v>1057</v>
      </c>
      <c r="C1063" s="39" t="s">
        <v>13598</v>
      </c>
      <c r="D1063" s="10" t="str">
        <f>VLOOKUP(C1063,'Data Angt'!$A$5:$B$5809,2,FALSE)</f>
        <v>A4862</v>
      </c>
      <c r="E1063" s="40" t="s">
        <v>18336</v>
      </c>
      <c r="F1063" s="41">
        <v>45595</v>
      </c>
      <c r="G1063" s="38">
        <v>1</v>
      </c>
      <c r="H1063" s="40">
        <v>0</v>
      </c>
      <c r="I1063" s="38">
        <v>4</v>
      </c>
      <c r="J1063" s="41">
        <v>45595</v>
      </c>
      <c r="K1063" s="38" t="s">
        <v>10768</v>
      </c>
      <c r="L1063" s="42">
        <v>6000000</v>
      </c>
      <c r="O1063"/>
    </row>
    <row r="1064" spans="1:15" x14ac:dyDescent="0.3">
      <c r="A1064" s="37">
        <v>149967</v>
      </c>
      <c r="B1064" s="38">
        <v>1058</v>
      </c>
      <c r="C1064" s="39" t="s">
        <v>13623</v>
      </c>
      <c r="D1064" s="10" t="str">
        <f>VLOOKUP(C1064,'Data Angt'!$A$5:$B$5809,2,FALSE)</f>
        <v>A4872</v>
      </c>
      <c r="E1064" s="40" t="s">
        <v>18340</v>
      </c>
      <c r="F1064" s="41">
        <v>45596</v>
      </c>
      <c r="G1064" s="38">
        <v>1</v>
      </c>
      <c r="H1064" s="40">
        <v>0</v>
      </c>
      <c r="I1064" s="38">
        <v>4</v>
      </c>
      <c r="J1064" s="41">
        <v>45596</v>
      </c>
      <c r="K1064" s="38" t="s">
        <v>10768</v>
      </c>
      <c r="L1064" s="42">
        <v>10000000</v>
      </c>
      <c r="O1064"/>
    </row>
    <row r="1065" spans="1:15" x14ac:dyDescent="0.3">
      <c r="A1065" s="37">
        <v>151117</v>
      </c>
      <c r="B1065" s="38">
        <v>1059</v>
      </c>
      <c r="C1065" s="39" t="s">
        <v>13623</v>
      </c>
      <c r="D1065" s="10" t="str">
        <f>VLOOKUP(C1065,'Data Angt'!$A$5:$B$5809,2,FALSE)</f>
        <v>A4872</v>
      </c>
      <c r="E1065" s="40" t="s">
        <v>18341</v>
      </c>
      <c r="F1065" s="41">
        <v>45625</v>
      </c>
      <c r="G1065" s="38">
        <v>1</v>
      </c>
      <c r="H1065" s="40">
        <v>0</v>
      </c>
      <c r="I1065" s="38">
        <v>4</v>
      </c>
      <c r="J1065" s="41">
        <v>45625</v>
      </c>
      <c r="K1065" s="38" t="s">
        <v>10768</v>
      </c>
      <c r="L1065" s="42">
        <v>2000000</v>
      </c>
      <c r="O1065"/>
    </row>
    <row r="1066" spans="1:15" x14ac:dyDescent="0.3">
      <c r="A1066" s="37">
        <v>151118</v>
      </c>
      <c r="B1066" s="38">
        <v>1060</v>
      </c>
      <c r="C1066" s="39" t="s">
        <v>13623</v>
      </c>
      <c r="D1066" s="10" t="str">
        <f>VLOOKUP(C1066,'Data Angt'!$A$5:$B$5809,2,FALSE)</f>
        <v>A4872</v>
      </c>
      <c r="E1066" s="40" t="s">
        <v>18337</v>
      </c>
      <c r="F1066" s="41">
        <v>45625</v>
      </c>
      <c r="G1066" s="38">
        <v>1</v>
      </c>
      <c r="H1066" s="40">
        <v>0</v>
      </c>
      <c r="I1066" s="38">
        <v>4</v>
      </c>
      <c r="J1066" s="41">
        <v>45625</v>
      </c>
      <c r="K1066" s="38" t="s">
        <v>10768</v>
      </c>
      <c r="L1066" s="42">
        <v>1500000</v>
      </c>
      <c r="O1066"/>
    </row>
    <row r="1067" spans="1:15" x14ac:dyDescent="0.3">
      <c r="A1067" s="37">
        <v>151272</v>
      </c>
      <c r="B1067" s="38">
        <v>1061</v>
      </c>
      <c r="C1067" s="39" t="s">
        <v>13623</v>
      </c>
      <c r="D1067" s="10" t="str">
        <f>VLOOKUP(C1067,'Data Angt'!$A$5:$B$5809,2,FALSE)</f>
        <v>A4872</v>
      </c>
      <c r="E1067" s="40" t="s">
        <v>18338</v>
      </c>
      <c r="F1067" s="41">
        <v>45630</v>
      </c>
      <c r="G1067" s="38">
        <v>1</v>
      </c>
      <c r="H1067" s="40">
        <v>0</v>
      </c>
      <c r="I1067" s="38">
        <v>4</v>
      </c>
      <c r="J1067" s="41">
        <v>45630</v>
      </c>
      <c r="K1067" s="38" t="s">
        <v>10768</v>
      </c>
      <c r="L1067" s="42">
        <v>1500000</v>
      </c>
      <c r="O1067"/>
    </row>
    <row r="1068" spans="1:15" x14ac:dyDescent="0.3">
      <c r="A1068" s="37">
        <v>151461</v>
      </c>
      <c r="B1068" s="38">
        <v>1062</v>
      </c>
      <c r="C1068" s="39" t="s">
        <v>13623</v>
      </c>
      <c r="D1068" s="10" t="str">
        <f>VLOOKUP(C1068,'Data Angt'!$A$5:$B$5809,2,FALSE)</f>
        <v>A4872</v>
      </c>
      <c r="E1068" s="40" t="s">
        <v>18339</v>
      </c>
      <c r="F1068" s="41">
        <v>45642</v>
      </c>
      <c r="G1068" s="38">
        <v>1</v>
      </c>
      <c r="H1068" s="40">
        <v>0</v>
      </c>
      <c r="I1068" s="38">
        <v>4</v>
      </c>
      <c r="J1068" s="41">
        <v>45642</v>
      </c>
      <c r="K1068" s="38" t="s">
        <v>10768</v>
      </c>
      <c r="L1068" s="42">
        <v>1500000</v>
      </c>
      <c r="O1068"/>
    </row>
    <row r="1069" spans="1:15" x14ac:dyDescent="0.3">
      <c r="A1069" s="37">
        <v>148378</v>
      </c>
      <c r="B1069" s="38">
        <v>1063</v>
      </c>
      <c r="C1069" s="39" t="s">
        <v>13684</v>
      </c>
      <c r="D1069" s="10" t="str">
        <f>VLOOKUP(C1069,'Data Angt'!$A$5:$B$5809,2,FALSE)</f>
        <v>A4898</v>
      </c>
      <c r="E1069" s="40" t="s">
        <v>18342</v>
      </c>
      <c r="F1069" s="41">
        <v>45526</v>
      </c>
      <c r="G1069" s="38">
        <v>1</v>
      </c>
      <c r="H1069" s="40">
        <v>0</v>
      </c>
      <c r="I1069" s="38">
        <v>4</v>
      </c>
      <c r="J1069" s="41">
        <v>45526</v>
      </c>
      <c r="K1069" s="38" t="s">
        <v>10768</v>
      </c>
      <c r="L1069" s="42">
        <v>8000000</v>
      </c>
      <c r="O1069"/>
    </row>
    <row r="1070" spans="1:15" x14ac:dyDescent="0.3">
      <c r="A1070" s="37">
        <v>153813</v>
      </c>
      <c r="B1070" s="38">
        <v>1064</v>
      </c>
      <c r="C1070" s="39" t="s">
        <v>13684</v>
      </c>
      <c r="D1070" s="10" t="str">
        <f>VLOOKUP(C1070,'Data Angt'!$A$5:$B$5809,2,FALSE)</f>
        <v>A4898</v>
      </c>
      <c r="E1070" s="40" t="s">
        <v>18343</v>
      </c>
      <c r="F1070" s="41">
        <v>45712</v>
      </c>
      <c r="G1070" s="38">
        <v>1</v>
      </c>
      <c r="H1070" s="40">
        <v>0</v>
      </c>
      <c r="I1070" s="38">
        <v>4</v>
      </c>
      <c r="J1070" s="41">
        <v>45712</v>
      </c>
      <c r="K1070" s="38" t="s">
        <v>10768</v>
      </c>
      <c r="L1070" s="42">
        <v>3000000</v>
      </c>
      <c r="O1070"/>
    </row>
    <row r="1071" spans="1:15" x14ac:dyDescent="0.3">
      <c r="A1071" s="37">
        <v>148864</v>
      </c>
      <c r="B1071" s="38">
        <v>1065</v>
      </c>
      <c r="C1071" s="39" t="s">
        <v>13733</v>
      </c>
      <c r="D1071" s="10" t="str">
        <f>VLOOKUP(C1071,'Data Angt'!$A$5:$B$5809,2,FALSE)</f>
        <v>A4922</v>
      </c>
      <c r="E1071" s="40" t="s">
        <v>18344</v>
      </c>
      <c r="F1071" s="41">
        <v>45539</v>
      </c>
      <c r="G1071" s="38">
        <v>1</v>
      </c>
      <c r="H1071" s="40">
        <v>0</v>
      </c>
      <c r="I1071" s="38">
        <v>4</v>
      </c>
      <c r="J1071" s="41">
        <v>45539</v>
      </c>
      <c r="K1071" s="38" t="s">
        <v>10768</v>
      </c>
      <c r="L1071" s="42">
        <v>50000000</v>
      </c>
      <c r="O1071"/>
    </row>
    <row r="1072" spans="1:15" x14ac:dyDescent="0.3">
      <c r="A1072" s="37">
        <v>148865</v>
      </c>
      <c r="B1072" s="38">
        <v>1066</v>
      </c>
      <c r="C1072" s="39" t="s">
        <v>13733</v>
      </c>
      <c r="D1072" s="10" t="str">
        <f>VLOOKUP(C1072,'Data Angt'!$A$5:$B$5809,2,FALSE)</f>
        <v>A4922</v>
      </c>
      <c r="E1072" s="40" t="s">
        <v>18345</v>
      </c>
      <c r="F1072" s="41">
        <v>45539</v>
      </c>
      <c r="G1072" s="38">
        <v>1</v>
      </c>
      <c r="H1072" s="40">
        <v>0</v>
      </c>
      <c r="I1072" s="38">
        <v>4</v>
      </c>
      <c r="J1072" s="41">
        <v>45539</v>
      </c>
      <c r="K1072" s="38" t="s">
        <v>10768</v>
      </c>
      <c r="L1072" s="42">
        <v>50000000</v>
      </c>
      <c r="O1072"/>
    </row>
    <row r="1073" spans="1:15" x14ac:dyDescent="0.3">
      <c r="A1073" s="37">
        <v>156753</v>
      </c>
      <c r="B1073" s="38">
        <v>1067</v>
      </c>
      <c r="C1073" s="39" t="s">
        <v>13733</v>
      </c>
      <c r="D1073" s="10" t="str">
        <f>VLOOKUP(C1073,'Data Angt'!$A$5:$B$5809,2,FALSE)</f>
        <v>A4922</v>
      </c>
      <c r="E1073" s="40" t="s">
        <v>24103</v>
      </c>
      <c r="F1073" s="41">
        <v>45842</v>
      </c>
      <c r="G1073" s="38">
        <v>1</v>
      </c>
      <c r="H1073" s="40">
        <v>0</v>
      </c>
      <c r="I1073" s="38">
        <v>4</v>
      </c>
      <c r="J1073" s="41">
        <v>45842</v>
      </c>
      <c r="K1073" s="38" t="s">
        <v>10768</v>
      </c>
      <c r="L1073" s="42">
        <v>50000000</v>
      </c>
      <c r="O1073"/>
    </row>
    <row r="1074" spans="1:15" x14ac:dyDescent="0.3">
      <c r="A1074" s="37">
        <v>148919</v>
      </c>
      <c r="B1074" s="38">
        <v>1068</v>
      </c>
      <c r="C1074" s="39" t="s">
        <v>13744</v>
      </c>
      <c r="D1074" s="10" t="str">
        <f>VLOOKUP(C1074,'Data Angt'!$A$5:$B$5809,2,FALSE)</f>
        <v>A4926</v>
      </c>
      <c r="E1074" s="40" t="s">
        <v>18346</v>
      </c>
      <c r="F1074" s="41">
        <v>45540</v>
      </c>
      <c r="G1074" s="38">
        <v>1</v>
      </c>
      <c r="H1074" s="40">
        <v>0</v>
      </c>
      <c r="I1074" s="38">
        <v>4</v>
      </c>
      <c r="J1074" s="41">
        <v>45540</v>
      </c>
      <c r="K1074" s="38" t="s">
        <v>10768</v>
      </c>
      <c r="L1074" s="42">
        <v>50000000</v>
      </c>
      <c r="O1074"/>
    </row>
    <row r="1075" spans="1:15" x14ac:dyDescent="0.3">
      <c r="A1075" s="37">
        <v>148988</v>
      </c>
      <c r="B1075" s="38">
        <v>1069</v>
      </c>
      <c r="C1075" s="39" t="s">
        <v>13763</v>
      </c>
      <c r="D1075" s="10" t="str">
        <f>VLOOKUP(C1075,'Data Angt'!$A$5:$B$5809,2,FALSE)</f>
        <v>A4933</v>
      </c>
      <c r="E1075" s="40" t="s">
        <v>18347</v>
      </c>
      <c r="F1075" s="41">
        <v>45544</v>
      </c>
      <c r="G1075" s="38">
        <v>1</v>
      </c>
      <c r="H1075" s="40">
        <v>0</v>
      </c>
      <c r="I1075" s="38">
        <v>4</v>
      </c>
      <c r="J1075" s="41">
        <v>45544</v>
      </c>
      <c r="K1075" s="38" t="s">
        <v>10768</v>
      </c>
      <c r="L1075" s="42">
        <v>5000000</v>
      </c>
      <c r="O1075"/>
    </row>
    <row r="1076" spans="1:15" x14ac:dyDescent="0.3">
      <c r="A1076" s="37">
        <v>149633</v>
      </c>
      <c r="B1076" s="38">
        <v>1070</v>
      </c>
      <c r="C1076" s="39" t="s">
        <v>13831</v>
      </c>
      <c r="D1076" s="10" t="str">
        <f>VLOOKUP(C1076,'Data Angt'!$A$5:$B$5809,2,FALSE)</f>
        <v>A4969</v>
      </c>
      <c r="E1076" s="40" t="s">
        <v>18348</v>
      </c>
      <c r="F1076" s="41">
        <v>45575</v>
      </c>
      <c r="G1076" s="38">
        <v>1</v>
      </c>
      <c r="H1076" s="40">
        <v>0</v>
      </c>
      <c r="I1076" s="38">
        <v>4</v>
      </c>
      <c r="J1076" s="41">
        <v>45575</v>
      </c>
      <c r="K1076" s="38" t="s">
        <v>10768</v>
      </c>
      <c r="L1076" s="42">
        <v>4000000</v>
      </c>
      <c r="O1076"/>
    </row>
    <row r="1077" spans="1:15" x14ac:dyDescent="0.3">
      <c r="A1077" s="37">
        <v>152300</v>
      </c>
      <c r="B1077" s="38">
        <v>1071</v>
      </c>
      <c r="C1077" s="39" t="s">
        <v>13886</v>
      </c>
      <c r="D1077" s="10" t="str">
        <f>VLOOKUP(C1077,'Data Angt'!$A$5:$B$5809,2,FALSE)</f>
        <v>A4994</v>
      </c>
      <c r="E1077" s="40" t="s">
        <v>18349</v>
      </c>
      <c r="F1077" s="41">
        <v>45675</v>
      </c>
      <c r="G1077" s="38">
        <v>1</v>
      </c>
      <c r="H1077" s="40">
        <v>0</v>
      </c>
      <c r="I1077" s="38">
        <v>4</v>
      </c>
      <c r="J1077" s="41">
        <v>45675</v>
      </c>
      <c r="K1077" s="38" t="s">
        <v>10768</v>
      </c>
      <c r="L1077" s="42">
        <v>5000000</v>
      </c>
      <c r="O1077"/>
    </row>
    <row r="1078" spans="1:15" x14ac:dyDescent="0.3">
      <c r="A1078" s="37">
        <v>152272</v>
      </c>
      <c r="B1078" s="38">
        <v>1072</v>
      </c>
      <c r="C1078" s="39" t="s">
        <v>13929</v>
      </c>
      <c r="D1078" s="10" t="str">
        <f>VLOOKUP(C1078,'Data Angt'!$A$5:$B$5809,2,FALSE)</f>
        <v>A5012</v>
      </c>
      <c r="E1078" s="40" t="s">
        <v>18350</v>
      </c>
      <c r="F1078" s="41">
        <v>45674</v>
      </c>
      <c r="G1078" s="38">
        <v>1</v>
      </c>
      <c r="H1078" s="40">
        <v>0</v>
      </c>
      <c r="I1078" s="38">
        <v>4</v>
      </c>
      <c r="J1078" s="41">
        <v>45674</v>
      </c>
      <c r="K1078" s="38" t="s">
        <v>10768</v>
      </c>
      <c r="L1078" s="42">
        <v>1000000</v>
      </c>
      <c r="O1078"/>
    </row>
    <row r="1079" spans="1:15" x14ac:dyDescent="0.3">
      <c r="A1079" s="37">
        <v>155028</v>
      </c>
      <c r="B1079" s="38">
        <v>1073</v>
      </c>
      <c r="C1079" s="39" t="s">
        <v>13929</v>
      </c>
      <c r="D1079" s="10" t="str">
        <f>VLOOKUP(C1079,'Data Angt'!$A$5:$B$5809,2,FALSE)</f>
        <v>A5012</v>
      </c>
      <c r="E1079" s="40" t="s">
        <v>18351</v>
      </c>
      <c r="F1079" s="41">
        <v>45761</v>
      </c>
      <c r="G1079" s="38">
        <v>1</v>
      </c>
      <c r="H1079" s="40">
        <v>0</v>
      </c>
      <c r="I1079" s="38">
        <v>4</v>
      </c>
      <c r="J1079" s="41">
        <v>45761</v>
      </c>
      <c r="K1079" s="38" t="s">
        <v>10768</v>
      </c>
      <c r="L1079" s="42">
        <v>1000000</v>
      </c>
      <c r="O1079"/>
    </row>
    <row r="1080" spans="1:15" x14ac:dyDescent="0.3">
      <c r="A1080" s="37">
        <v>155019</v>
      </c>
      <c r="B1080" s="38">
        <v>1074</v>
      </c>
      <c r="C1080" s="39" t="s">
        <v>13965</v>
      </c>
      <c r="D1080" s="10" t="str">
        <f>VLOOKUP(C1080,'Data Angt'!$A$5:$B$5809,2,FALSE)</f>
        <v>A5028</v>
      </c>
      <c r="E1080" s="40" t="s">
        <v>18352</v>
      </c>
      <c r="F1080" s="41">
        <v>45759</v>
      </c>
      <c r="G1080" s="38">
        <v>1</v>
      </c>
      <c r="H1080" s="40">
        <v>0</v>
      </c>
      <c r="I1080" s="38">
        <v>4</v>
      </c>
      <c r="J1080" s="41">
        <v>45759</v>
      </c>
      <c r="K1080" s="38" t="s">
        <v>10768</v>
      </c>
      <c r="L1080" s="42">
        <v>6500000</v>
      </c>
      <c r="O1080"/>
    </row>
    <row r="1081" spans="1:15" x14ac:dyDescent="0.3">
      <c r="A1081" s="37">
        <v>152358</v>
      </c>
      <c r="B1081" s="38">
        <v>1075</v>
      </c>
      <c r="C1081" s="39" t="s">
        <v>13992</v>
      </c>
      <c r="D1081" s="10" t="str">
        <f>VLOOKUP(C1081,'Data Angt'!$A$5:$B$5809,2,FALSE)</f>
        <v>A5038</v>
      </c>
      <c r="E1081" s="40" t="s">
        <v>18353</v>
      </c>
      <c r="F1081" s="41">
        <v>45677</v>
      </c>
      <c r="G1081" s="38">
        <v>1</v>
      </c>
      <c r="H1081" s="40">
        <v>0</v>
      </c>
      <c r="I1081" s="38">
        <v>4</v>
      </c>
      <c r="J1081" s="41">
        <v>45677</v>
      </c>
      <c r="K1081" s="38" t="s">
        <v>10768</v>
      </c>
      <c r="L1081" s="42">
        <v>2000000</v>
      </c>
      <c r="O1081"/>
    </row>
    <row r="1082" spans="1:15" x14ac:dyDescent="0.3">
      <c r="A1082" s="37">
        <v>153088</v>
      </c>
      <c r="B1082" s="38">
        <v>1076</v>
      </c>
      <c r="C1082" s="39" t="s">
        <v>14006</v>
      </c>
      <c r="D1082" s="10" t="str">
        <f>VLOOKUP(C1082,'Data Angt'!$A$5:$B$5809,2,FALSE)</f>
        <v>A5044</v>
      </c>
      <c r="E1082" s="40" t="s">
        <v>18354</v>
      </c>
      <c r="F1082" s="41">
        <v>45699</v>
      </c>
      <c r="G1082" s="38">
        <v>1</v>
      </c>
      <c r="H1082" s="40">
        <v>0</v>
      </c>
      <c r="I1082" s="38">
        <v>4</v>
      </c>
      <c r="J1082" s="41">
        <v>45699</v>
      </c>
      <c r="K1082" s="38" t="s">
        <v>10768</v>
      </c>
      <c r="L1082" s="42">
        <v>2000000</v>
      </c>
      <c r="O1082"/>
    </row>
    <row r="1083" spans="1:15" x14ac:dyDescent="0.3">
      <c r="A1083" s="37">
        <v>155018</v>
      </c>
      <c r="B1083" s="38">
        <v>1077</v>
      </c>
      <c r="C1083" s="39" t="s">
        <v>14012</v>
      </c>
      <c r="D1083" s="10" t="str">
        <f>VLOOKUP(C1083,'Data Angt'!$A$5:$B$5809,2,FALSE)</f>
        <v>A5047</v>
      </c>
      <c r="E1083" s="40" t="s">
        <v>18356</v>
      </c>
      <c r="F1083" s="41">
        <v>45759</v>
      </c>
      <c r="G1083" s="38">
        <v>1</v>
      </c>
      <c r="H1083" s="40">
        <v>0</v>
      </c>
      <c r="I1083" s="38">
        <v>4</v>
      </c>
      <c r="J1083" s="41">
        <v>45759</v>
      </c>
      <c r="K1083" s="38" t="s">
        <v>10768</v>
      </c>
      <c r="L1083" s="42">
        <v>1000000</v>
      </c>
      <c r="O1083"/>
    </row>
    <row r="1084" spans="1:15" x14ac:dyDescent="0.3">
      <c r="A1084" s="37">
        <v>155870</v>
      </c>
      <c r="B1084" s="38">
        <v>1078</v>
      </c>
      <c r="C1084" s="39" t="s">
        <v>14012</v>
      </c>
      <c r="D1084" s="10" t="str">
        <f>VLOOKUP(C1084,'Data Angt'!$A$5:$B$5809,2,FALSE)</f>
        <v>A5047</v>
      </c>
      <c r="E1084" s="40" t="s">
        <v>18357</v>
      </c>
      <c r="F1084" s="41">
        <v>45800</v>
      </c>
      <c r="G1084" s="38">
        <v>1</v>
      </c>
      <c r="H1084" s="40">
        <v>0</v>
      </c>
      <c r="I1084" s="38">
        <v>4</v>
      </c>
      <c r="J1084" s="41">
        <v>45800</v>
      </c>
      <c r="K1084" s="38" t="s">
        <v>10768</v>
      </c>
      <c r="L1084" s="42">
        <v>2000000</v>
      </c>
      <c r="O1084"/>
    </row>
    <row r="1085" spans="1:15" x14ac:dyDescent="0.3">
      <c r="A1085" s="37">
        <v>155014</v>
      </c>
      <c r="B1085" s="38">
        <v>1079</v>
      </c>
      <c r="C1085" s="39" t="s">
        <v>14012</v>
      </c>
      <c r="D1085" s="10" t="str">
        <f>VLOOKUP(C1085,'Data Angt'!$A$5:$B$5809,2,FALSE)</f>
        <v>A5047</v>
      </c>
      <c r="E1085" s="40" t="s">
        <v>18355</v>
      </c>
      <c r="F1085" s="41">
        <v>45759</v>
      </c>
      <c r="G1085" s="38">
        <v>1</v>
      </c>
      <c r="H1085" s="40">
        <v>0</v>
      </c>
      <c r="I1085" s="38">
        <v>4</v>
      </c>
      <c r="J1085" s="41">
        <v>45759</v>
      </c>
      <c r="K1085" s="38" t="s">
        <v>10768</v>
      </c>
      <c r="L1085" s="42">
        <v>1000000</v>
      </c>
      <c r="O1085"/>
    </row>
    <row r="1086" spans="1:15" x14ac:dyDescent="0.3">
      <c r="A1086" s="37">
        <v>156038</v>
      </c>
      <c r="B1086" s="38">
        <v>1080</v>
      </c>
      <c r="C1086" s="39" t="s">
        <v>14015</v>
      </c>
      <c r="D1086" s="10" t="str">
        <f>VLOOKUP(C1086,'Data Angt'!$A$5:$B$5809,2,FALSE)</f>
        <v>A5049</v>
      </c>
      <c r="E1086" s="40" t="s">
        <v>18358</v>
      </c>
      <c r="F1086" s="41">
        <v>45805</v>
      </c>
      <c r="G1086" s="38">
        <v>1</v>
      </c>
      <c r="H1086" s="40">
        <v>0</v>
      </c>
      <c r="I1086" s="38">
        <v>4</v>
      </c>
      <c r="J1086" s="41">
        <v>45805</v>
      </c>
      <c r="K1086" s="38" t="s">
        <v>10768</v>
      </c>
      <c r="L1086" s="42">
        <v>2000000</v>
      </c>
      <c r="O1086"/>
    </row>
    <row r="1087" spans="1:15" x14ac:dyDescent="0.3">
      <c r="A1087" s="37">
        <v>156129</v>
      </c>
      <c r="B1087" s="38">
        <v>1081</v>
      </c>
      <c r="C1087" s="39" t="s">
        <v>14015</v>
      </c>
      <c r="D1087" s="10" t="str">
        <f>VLOOKUP(C1087,'Data Angt'!$A$5:$B$5809,2,FALSE)</f>
        <v>A5049</v>
      </c>
      <c r="E1087" s="40" t="s">
        <v>18359</v>
      </c>
      <c r="F1087" s="41">
        <v>45808</v>
      </c>
      <c r="G1087" s="38">
        <v>1</v>
      </c>
      <c r="H1087" s="40">
        <v>0</v>
      </c>
      <c r="I1087" s="38">
        <v>4</v>
      </c>
      <c r="J1087" s="41">
        <v>45808</v>
      </c>
      <c r="K1087" s="38" t="s">
        <v>10768</v>
      </c>
      <c r="L1087" s="42">
        <v>5000000</v>
      </c>
      <c r="O1087"/>
    </row>
    <row r="1088" spans="1:15" x14ac:dyDescent="0.3">
      <c r="A1088" s="37">
        <v>158024</v>
      </c>
      <c r="B1088" s="38">
        <v>1082</v>
      </c>
      <c r="C1088" s="39" t="s">
        <v>14015</v>
      </c>
      <c r="D1088" s="10" t="str">
        <f>VLOOKUP(C1088,'Data Angt'!$A$5:$B$5809,2,FALSE)</f>
        <v>A5049</v>
      </c>
      <c r="E1088" s="40" t="s">
        <v>24104</v>
      </c>
      <c r="F1088" s="41">
        <v>45890</v>
      </c>
      <c r="G1088" s="38">
        <v>1</v>
      </c>
      <c r="H1088" s="40">
        <v>0</v>
      </c>
      <c r="I1088" s="38">
        <v>4</v>
      </c>
      <c r="J1088" s="41">
        <v>45890</v>
      </c>
      <c r="K1088" s="38" t="s">
        <v>10768</v>
      </c>
      <c r="L1088" s="42">
        <v>3000000</v>
      </c>
      <c r="O1088"/>
    </row>
    <row r="1089" spans="1:15" x14ac:dyDescent="0.3">
      <c r="A1089" s="37">
        <v>150695</v>
      </c>
      <c r="B1089" s="38">
        <v>1083</v>
      </c>
      <c r="C1089" s="39" t="s">
        <v>14074</v>
      </c>
      <c r="D1089" s="10" t="str">
        <f>VLOOKUP(C1089,'Data Angt'!$A$5:$B$5809,2,FALSE)</f>
        <v>A5073</v>
      </c>
      <c r="E1089" s="40" t="s">
        <v>18360</v>
      </c>
      <c r="F1089" s="41">
        <v>45614</v>
      </c>
      <c r="G1089" s="38">
        <v>1</v>
      </c>
      <c r="H1089" s="40">
        <v>0</v>
      </c>
      <c r="I1089" s="38">
        <v>4</v>
      </c>
      <c r="J1089" s="41">
        <v>45614</v>
      </c>
      <c r="K1089" s="38" t="s">
        <v>10768</v>
      </c>
      <c r="L1089" s="42">
        <v>2000000</v>
      </c>
      <c r="O1089"/>
    </row>
    <row r="1090" spans="1:15" x14ac:dyDescent="0.3">
      <c r="A1090" s="37">
        <v>157765</v>
      </c>
      <c r="B1090" s="38">
        <v>1084</v>
      </c>
      <c r="C1090" s="39" t="s">
        <v>14074</v>
      </c>
      <c r="D1090" s="10" t="str">
        <f>VLOOKUP(C1090,'Data Angt'!$A$5:$B$5809,2,FALSE)</f>
        <v>A5073</v>
      </c>
      <c r="E1090" s="40" t="s">
        <v>24105</v>
      </c>
      <c r="F1090" s="41">
        <v>45882</v>
      </c>
      <c r="G1090" s="38">
        <v>1</v>
      </c>
      <c r="H1090" s="40">
        <v>0</v>
      </c>
      <c r="I1090" s="38">
        <v>4</v>
      </c>
      <c r="J1090" s="41">
        <v>45882</v>
      </c>
      <c r="K1090" s="38" t="s">
        <v>10768</v>
      </c>
      <c r="L1090" s="42">
        <v>4000000</v>
      </c>
      <c r="O1090"/>
    </row>
    <row r="1091" spans="1:15" x14ac:dyDescent="0.3">
      <c r="A1091" s="37">
        <v>153347</v>
      </c>
      <c r="B1091" s="38">
        <v>1085</v>
      </c>
      <c r="C1091" s="39" t="s">
        <v>14088</v>
      </c>
      <c r="D1091" s="10" t="str">
        <f>VLOOKUP(C1091,'Data Angt'!$A$5:$B$5809,2,FALSE)</f>
        <v>A5079</v>
      </c>
      <c r="E1091" s="40" t="s">
        <v>18361</v>
      </c>
      <c r="F1091" s="41">
        <v>45703</v>
      </c>
      <c r="G1091" s="38">
        <v>1</v>
      </c>
      <c r="H1091" s="40">
        <v>0</v>
      </c>
      <c r="I1091" s="38">
        <v>4</v>
      </c>
      <c r="J1091" s="41">
        <v>45703</v>
      </c>
      <c r="K1091" s="38" t="s">
        <v>10768</v>
      </c>
      <c r="L1091" s="42">
        <v>2000000</v>
      </c>
      <c r="O1091"/>
    </row>
    <row r="1092" spans="1:15" x14ac:dyDescent="0.3">
      <c r="A1092" s="37">
        <v>156810</v>
      </c>
      <c r="B1092" s="38">
        <v>1086</v>
      </c>
      <c r="C1092" s="39" t="s">
        <v>14145</v>
      </c>
      <c r="D1092" s="10" t="str">
        <f>VLOOKUP(C1092,'Data Angt'!$A$5:$B$5809,2,FALSE)</f>
        <v>A5108</v>
      </c>
      <c r="E1092" s="40" t="s">
        <v>24106</v>
      </c>
      <c r="F1092" s="41">
        <v>45845</v>
      </c>
      <c r="G1092" s="38">
        <v>1</v>
      </c>
      <c r="H1092" s="40">
        <v>0</v>
      </c>
      <c r="I1092" s="38">
        <v>4</v>
      </c>
      <c r="J1092" s="41">
        <v>45845</v>
      </c>
      <c r="K1092" s="38" t="s">
        <v>10768</v>
      </c>
      <c r="L1092" s="42">
        <v>15000000</v>
      </c>
      <c r="O1092"/>
    </row>
    <row r="1093" spans="1:15" x14ac:dyDescent="0.3">
      <c r="A1093" s="37">
        <v>154629</v>
      </c>
      <c r="B1093" s="38">
        <v>1087</v>
      </c>
      <c r="C1093" s="39" t="s">
        <v>14246</v>
      </c>
      <c r="D1093" s="10" t="str">
        <f>VLOOKUP(C1093,'Data Angt'!$A$5:$B$5809,2,FALSE)</f>
        <v>A5156</v>
      </c>
      <c r="E1093" s="40" t="s">
        <v>18364</v>
      </c>
      <c r="F1093" s="41">
        <v>45734</v>
      </c>
      <c r="G1093" s="38">
        <v>1</v>
      </c>
      <c r="H1093" s="40">
        <v>0</v>
      </c>
      <c r="I1093" s="38">
        <v>4</v>
      </c>
      <c r="J1093" s="41">
        <v>45734</v>
      </c>
      <c r="K1093" s="38" t="s">
        <v>10768</v>
      </c>
      <c r="L1093" s="42">
        <v>1000000</v>
      </c>
      <c r="O1093"/>
    </row>
    <row r="1094" spans="1:15" x14ac:dyDescent="0.3">
      <c r="A1094" s="37">
        <v>154972</v>
      </c>
      <c r="B1094" s="38">
        <v>1088</v>
      </c>
      <c r="C1094" s="39" t="s">
        <v>14246</v>
      </c>
      <c r="D1094" s="10" t="str">
        <f>VLOOKUP(C1094,'Data Angt'!$A$5:$B$5809,2,FALSE)</f>
        <v>A5156</v>
      </c>
      <c r="E1094" s="40" t="s">
        <v>18362</v>
      </c>
      <c r="F1094" s="41">
        <v>45757</v>
      </c>
      <c r="G1094" s="38">
        <v>1</v>
      </c>
      <c r="H1094" s="40">
        <v>0</v>
      </c>
      <c r="I1094" s="38">
        <v>4</v>
      </c>
      <c r="J1094" s="41">
        <v>45757</v>
      </c>
      <c r="K1094" s="38" t="s">
        <v>10768</v>
      </c>
      <c r="L1094" s="42">
        <v>25000000</v>
      </c>
      <c r="O1094"/>
    </row>
    <row r="1095" spans="1:15" x14ac:dyDescent="0.3">
      <c r="A1095" s="37">
        <v>155070</v>
      </c>
      <c r="B1095" s="38">
        <v>1089</v>
      </c>
      <c r="C1095" s="39" t="s">
        <v>14246</v>
      </c>
      <c r="D1095" s="10" t="str">
        <f>VLOOKUP(C1095,'Data Angt'!$A$5:$B$5809,2,FALSE)</f>
        <v>A5156</v>
      </c>
      <c r="E1095" s="40" t="s">
        <v>18363</v>
      </c>
      <c r="F1095" s="41">
        <v>45763</v>
      </c>
      <c r="G1095" s="38">
        <v>1</v>
      </c>
      <c r="H1095" s="40">
        <v>0</v>
      </c>
      <c r="I1095" s="38">
        <v>4</v>
      </c>
      <c r="J1095" s="41">
        <v>45763</v>
      </c>
      <c r="K1095" s="38" t="s">
        <v>10768</v>
      </c>
      <c r="L1095" s="42">
        <v>1000000</v>
      </c>
      <c r="O1095"/>
    </row>
    <row r="1096" spans="1:15" x14ac:dyDescent="0.3">
      <c r="A1096" s="37">
        <v>156444</v>
      </c>
      <c r="B1096" s="38">
        <v>1090</v>
      </c>
      <c r="C1096" s="39" t="s">
        <v>14249</v>
      </c>
      <c r="D1096" s="10" t="str">
        <f>VLOOKUP(C1096,'Data Angt'!$A$5:$B$5809,2,FALSE)</f>
        <v>A5158</v>
      </c>
      <c r="E1096" s="40" t="s">
        <v>18365</v>
      </c>
      <c r="F1096" s="41">
        <v>45826</v>
      </c>
      <c r="G1096" s="38">
        <v>1</v>
      </c>
      <c r="H1096" s="40">
        <v>0</v>
      </c>
      <c r="I1096" s="38">
        <v>4</v>
      </c>
      <c r="J1096" s="41">
        <v>45826</v>
      </c>
      <c r="K1096" s="38" t="s">
        <v>10768</v>
      </c>
      <c r="L1096" s="42">
        <v>10000000</v>
      </c>
      <c r="O1096"/>
    </row>
    <row r="1097" spans="1:15" x14ac:dyDescent="0.3">
      <c r="A1097" s="37">
        <v>152567</v>
      </c>
      <c r="B1097" s="38">
        <v>1091</v>
      </c>
      <c r="C1097" s="39" t="s">
        <v>14368</v>
      </c>
      <c r="D1097" s="10" t="str">
        <f>VLOOKUP(C1097,'Data Angt'!$A$5:$B$5809,2,FALSE)</f>
        <v>A5180</v>
      </c>
      <c r="E1097" s="40" t="s">
        <v>18366</v>
      </c>
      <c r="F1097" s="41">
        <v>45687</v>
      </c>
      <c r="G1097" s="38">
        <v>1</v>
      </c>
      <c r="H1097" s="40">
        <v>0</v>
      </c>
      <c r="I1097" s="38">
        <v>4</v>
      </c>
      <c r="J1097" s="41">
        <v>45687</v>
      </c>
      <c r="K1097" s="38" t="s">
        <v>10768</v>
      </c>
      <c r="L1097" s="42">
        <v>3000000</v>
      </c>
      <c r="O1097"/>
    </row>
    <row r="1098" spans="1:15" x14ac:dyDescent="0.3">
      <c r="A1098" s="37">
        <v>151858</v>
      </c>
      <c r="B1098" s="38">
        <v>1092</v>
      </c>
      <c r="C1098" s="39" t="s">
        <v>14375</v>
      </c>
      <c r="D1098" s="10" t="str">
        <f>VLOOKUP(C1098,'Data Angt'!$A$5:$B$5809,2,FALSE)</f>
        <v>A5183</v>
      </c>
      <c r="E1098" s="40" t="s">
        <v>18367</v>
      </c>
      <c r="F1098" s="41">
        <v>45664</v>
      </c>
      <c r="G1098" s="38">
        <v>1</v>
      </c>
      <c r="H1098" s="40">
        <v>0</v>
      </c>
      <c r="I1098" s="38">
        <v>4</v>
      </c>
      <c r="J1098" s="41">
        <v>45664</v>
      </c>
      <c r="K1098" s="38" t="s">
        <v>10768</v>
      </c>
      <c r="L1098" s="42">
        <v>60000000</v>
      </c>
      <c r="O1098"/>
    </row>
    <row r="1099" spans="1:15" x14ac:dyDescent="0.3">
      <c r="A1099" s="37">
        <v>151859</v>
      </c>
      <c r="B1099" s="38">
        <v>1093</v>
      </c>
      <c r="C1099" s="39" t="s">
        <v>14375</v>
      </c>
      <c r="D1099" s="10" t="str">
        <f>VLOOKUP(C1099,'Data Angt'!$A$5:$B$5809,2,FALSE)</f>
        <v>A5183</v>
      </c>
      <c r="E1099" s="40" t="s">
        <v>18368</v>
      </c>
      <c r="F1099" s="41">
        <v>45664</v>
      </c>
      <c r="G1099" s="38">
        <v>1</v>
      </c>
      <c r="H1099" s="40">
        <v>0</v>
      </c>
      <c r="I1099" s="38">
        <v>4</v>
      </c>
      <c r="J1099" s="41">
        <v>45664</v>
      </c>
      <c r="K1099" s="38" t="s">
        <v>10768</v>
      </c>
      <c r="L1099" s="42">
        <v>60000000</v>
      </c>
      <c r="O1099"/>
    </row>
    <row r="1100" spans="1:15" x14ac:dyDescent="0.3">
      <c r="A1100" s="37">
        <v>155675</v>
      </c>
      <c r="B1100" s="38">
        <v>1094</v>
      </c>
      <c r="C1100" s="39" t="s">
        <v>14425</v>
      </c>
      <c r="D1100" s="10" t="str">
        <f>VLOOKUP(C1100,'Data Angt'!$A$5:$B$5809,2,FALSE)</f>
        <v>A5205</v>
      </c>
      <c r="E1100" s="40" t="s">
        <v>18375</v>
      </c>
      <c r="F1100" s="41">
        <v>45792</v>
      </c>
      <c r="G1100" s="38">
        <v>1</v>
      </c>
      <c r="H1100" s="40">
        <v>0</v>
      </c>
      <c r="I1100" s="38">
        <v>4</v>
      </c>
      <c r="J1100" s="41">
        <v>45792</v>
      </c>
      <c r="K1100" s="38" t="s">
        <v>10768</v>
      </c>
      <c r="L1100" s="42">
        <v>60000000</v>
      </c>
      <c r="O1100"/>
    </row>
    <row r="1101" spans="1:15" x14ac:dyDescent="0.3">
      <c r="A1101" s="37">
        <v>155676</v>
      </c>
      <c r="B1101" s="38">
        <v>1095</v>
      </c>
      <c r="C1101" s="39" t="s">
        <v>14425</v>
      </c>
      <c r="D1101" s="10" t="str">
        <f>VLOOKUP(C1101,'Data Angt'!$A$5:$B$5809,2,FALSE)</f>
        <v>A5205</v>
      </c>
      <c r="E1101" s="40" t="s">
        <v>18369</v>
      </c>
      <c r="F1101" s="41">
        <v>45792</v>
      </c>
      <c r="G1101" s="38">
        <v>1</v>
      </c>
      <c r="H1101" s="40">
        <v>0</v>
      </c>
      <c r="I1101" s="38">
        <v>4</v>
      </c>
      <c r="J1101" s="41">
        <v>45792</v>
      </c>
      <c r="K1101" s="38" t="s">
        <v>10768</v>
      </c>
      <c r="L1101" s="42">
        <v>60000000</v>
      </c>
      <c r="O1101"/>
    </row>
    <row r="1102" spans="1:15" x14ac:dyDescent="0.3">
      <c r="A1102" s="37">
        <v>155677</v>
      </c>
      <c r="B1102" s="38">
        <v>1096</v>
      </c>
      <c r="C1102" s="39" t="s">
        <v>14425</v>
      </c>
      <c r="D1102" s="10" t="str">
        <f>VLOOKUP(C1102,'Data Angt'!$A$5:$B$5809,2,FALSE)</f>
        <v>A5205</v>
      </c>
      <c r="E1102" s="40" t="s">
        <v>18370</v>
      </c>
      <c r="F1102" s="41">
        <v>45792</v>
      </c>
      <c r="G1102" s="38">
        <v>1</v>
      </c>
      <c r="H1102" s="40">
        <v>0</v>
      </c>
      <c r="I1102" s="38">
        <v>4</v>
      </c>
      <c r="J1102" s="41">
        <v>45792</v>
      </c>
      <c r="K1102" s="38" t="s">
        <v>10768</v>
      </c>
      <c r="L1102" s="42">
        <v>60000000</v>
      </c>
      <c r="O1102"/>
    </row>
    <row r="1103" spans="1:15" x14ac:dyDescent="0.3">
      <c r="A1103" s="37">
        <v>155678</v>
      </c>
      <c r="B1103" s="38">
        <v>1097</v>
      </c>
      <c r="C1103" s="39" t="s">
        <v>14425</v>
      </c>
      <c r="D1103" s="10" t="str">
        <f>VLOOKUP(C1103,'Data Angt'!$A$5:$B$5809,2,FALSE)</f>
        <v>A5205</v>
      </c>
      <c r="E1103" s="40" t="s">
        <v>18371</v>
      </c>
      <c r="F1103" s="41">
        <v>45792</v>
      </c>
      <c r="G1103" s="38">
        <v>1</v>
      </c>
      <c r="H1103" s="40">
        <v>0</v>
      </c>
      <c r="I1103" s="38">
        <v>4</v>
      </c>
      <c r="J1103" s="41">
        <v>45792</v>
      </c>
      <c r="K1103" s="38" t="s">
        <v>10768</v>
      </c>
      <c r="L1103" s="42">
        <v>60000000</v>
      </c>
      <c r="O1103"/>
    </row>
    <row r="1104" spans="1:15" x14ac:dyDescent="0.3">
      <c r="A1104" s="37">
        <v>155679</v>
      </c>
      <c r="B1104" s="38">
        <v>1098</v>
      </c>
      <c r="C1104" s="39" t="s">
        <v>14425</v>
      </c>
      <c r="D1104" s="10" t="str">
        <f>VLOOKUP(C1104,'Data Angt'!$A$5:$B$5809,2,FALSE)</f>
        <v>A5205</v>
      </c>
      <c r="E1104" s="40" t="s">
        <v>18372</v>
      </c>
      <c r="F1104" s="41">
        <v>45792</v>
      </c>
      <c r="G1104" s="38">
        <v>1</v>
      </c>
      <c r="H1104" s="40">
        <v>0</v>
      </c>
      <c r="I1104" s="38">
        <v>4</v>
      </c>
      <c r="J1104" s="41">
        <v>45792</v>
      </c>
      <c r="K1104" s="38" t="s">
        <v>10768</v>
      </c>
      <c r="L1104" s="42">
        <v>60000000</v>
      </c>
      <c r="O1104"/>
    </row>
    <row r="1105" spans="1:15" x14ac:dyDescent="0.3">
      <c r="A1105" s="37">
        <v>155680</v>
      </c>
      <c r="B1105" s="38">
        <v>1099</v>
      </c>
      <c r="C1105" s="39" t="s">
        <v>14425</v>
      </c>
      <c r="D1105" s="10" t="str">
        <f>VLOOKUP(C1105,'Data Angt'!$A$5:$B$5809,2,FALSE)</f>
        <v>A5205</v>
      </c>
      <c r="E1105" s="40" t="s">
        <v>18373</v>
      </c>
      <c r="F1105" s="41">
        <v>45792</v>
      </c>
      <c r="G1105" s="38">
        <v>1</v>
      </c>
      <c r="H1105" s="40">
        <v>0</v>
      </c>
      <c r="I1105" s="38">
        <v>4</v>
      </c>
      <c r="J1105" s="41">
        <v>45792</v>
      </c>
      <c r="K1105" s="38" t="s">
        <v>10768</v>
      </c>
      <c r="L1105" s="42">
        <v>40000000</v>
      </c>
      <c r="O1105"/>
    </row>
    <row r="1106" spans="1:15" x14ac:dyDescent="0.3">
      <c r="A1106" s="37">
        <v>155674</v>
      </c>
      <c r="B1106" s="38">
        <v>1100</v>
      </c>
      <c r="C1106" s="39" t="s">
        <v>14425</v>
      </c>
      <c r="D1106" s="10" t="str">
        <f>VLOOKUP(C1106,'Data Angt'!$A$5:$B$5809,2,FALSE)</f>
        <v>A5205</v>
      </c>
      <c r="E1106" s="40" t="s">
        <v>18374</v>
      </c>
      <c r="F1106" s="41">
        <v>45792</v>
      </c>
      <c r="G1106" s="38">
        <v>1</v>
      </c>
      <c r="H1106" s="40">
        <v>0</v>
      </c>
      <c r="I1106" s="38">
        <v>4</v>
      </c>
      <c r="J1106" s="41">
        <v>45792</v>
      </c>
      <c r="K1106" s="38" t="s">
        <v>10768</v>
      </c>
      <c r="L1106" s="42">
        <v>60000000</v>
      </c>
      <c r="O1106"/>
    </row>
    <row r="1107" spans="1:15" x14ac:dyDescent="0.3">
      <c r="A1107" s="37">
        <v>156430</v>
      </c>
      <c r="B1107" s="38">
        <v>1101</v>
      </c>
      <c r="C1107" s="39" t="s">
        <v>14440</v>
      </c>
      <c r="D1107" s="10" t="str">
        <f>VLOOKUP(C1107,'Data Angt'!$A$5:$B$5809,2,FALSE)</f>
        <v>A5211</v>
      </c>
      <c r="E1107" s="40" t="s">
        <v>18376</v>
      </c>
      <c r="F1107" s="41">
        <v>45825</v>
      </c>
      <c r="G1107" s="38">
        <v>1</v>
      </c>
      <c r="H1107" s="40">
        <v>0</v>
      </c>
      <c r="I1107" s="38">
        <v>4</v>
      </c>
      <c r="J1107" s="41">
        <v>45825</v>
      </c>
      <c r="K1107" s="38" t="s">
        <v>10768</v>
      </c>
      <c r="L1107" s="42">
        <v>50000000</v>
      </c>
      <c r="O1107"/>
    </row>
    <row r="1108" spans="1:15" x14ac:dyDescent="0.3">
      <c r="A1108" s="37">
        <v>156431</v>
      </c>
      <c r="B1108" s="38">
        <v>1102</v>
      </c>
      <c r="C1108" s="39" t="s">
        <v>14440</v>
      </c>
      <c r="D1108" s="10" t="str">
        <f>VLOOKUP(C1108,'Data Angt'!$A$5:$B$5809,2,FALSE)</f>
        <v>A5211</v>
      </c>
      <c r="E1108" s="40" t="s">
        <v>18377</v>
      </c>
      <c r="F1108" s="41">
        <v>45825</v>
      </c>
      <c r="G1108" s="38">
        <v>1</v>
      </c>
      <c r="H1108" s="40">
        <v>0</v>
      </c>
      <c r="I1108" s="38">
        <v>4</v>
      </c>
      <c r="J1108" s="41">
        <v>45825</v>
      </c>
      <c r="K1108" s="38" t="s">
        <v>10768</v>
      </c>
      <c r="L1108" s="42">
        <v>50000000</v>
      </c>
      <c r="O1108"/>
    </row>
    <row r="1109" spans="1:15" x14ac:dyDescent="0.3">
      <c r="A1109" s="37">
        <v>156432</v>
      </c>
      <c r="B1109" s="38">
        <v>1103</v>
      </c>
      <c r="C1109" s="39" t="s">
        <v>14440</v>
      </c>
      <c r="D1109" s="10" t="str">
        <f>VLOOKUP(C1109,'Data Angt'!$A$5:$B$5809,2,FALSE)</f>
        <v>A5211</v>
      </c>
      <c r="E1109" s="40" t="s">
        <v>18378</v>
      </c>
      <c r="F1109" s="41">
        <v>45825</v>
      </c>
      <c r="G1109" s="38">
        <v>1</v>
      </c>
      <c r="H1109" s="40">
        <v>0</v>
      </c>
      <c r="I1109" s="38">
        <v>4</v>
      </c>
      <c r="J1109" s="41">
        <v>45825</v>
      </c>
      <c r="K1109" s="38" t="s">
        <v>10768</v>
      </c>
      <c r="L1109" s="42">
        <v>50000000</v>
      </c>
      <c r="O1109"/>
    </row>
    <row r="1110" spans="1:15" x14ac:dyDescent="0.3">
      <c r="A1110" s="37">
        <v>156433</v>
      </c>
      <c r="B1110" s="38">
        <v>1104</v>
      </c>
      <c r="C1110" s="39" t="s">
        <v>14440</v>
      </c>
      <c r="D1110" s="10" t="str">
        <f>VLOOKUP(C1110,'Data Angt'!$A$5:$B$5809,2,FALSE)</f>
        <v>A5211</v>
      </c>
      <c r="E1110" s="40" t="s">
        <v>18379</v>
      </c>
      <c r="F1110" s="41">
        <v>45825</v>
      </c>
      <c r="G1110" s="38">
        <v>1</v>
      </c>
      <c r="H1110" s="40">
        <v>0</v>
      </c>
      <c r="I1110" s="38">
        <v>4</v>
      </c>
      <c r="J1110" s="41">
        <v>45825</v>
      </c>
      <c r="K1110" s="38" t="s">
        <v>10768</v>
      </c>
      <c r="L1110" s="42">
        <v>50000000</v>
      </c>
      <c r="O1110"/>
    </row>
    <row r="1111" spans="1:15" x14ac:dyDescent="0.3">
      <c r="A1111" s="37">
        <v>156454</v>
      </c>
      <c r="B1111" s="38">
        <v>1105</v>
      </c>
      <c r="C1111" s="39" t="s">
        <v>14459</v>
      </c>
      <c r="D1111" s="10" t="str">
        <f>VLOOKUP(C1111,'Data Angt'!$A$5:$B$5809,2,FALSE)</f>
        <v>A5218</v>
      </c>
      <c r="E1111" s="40" t="s">
        <v>18381</v>
      </c>
      <c r="F1111" s="41">
        <v>45826</v>
      </c>
      <c r="G1111" s="38">
        <v>1</v>
      </c>
      <c r="H1111" s="40">
        <v>0</v>
      </c>
      <c r="I1111" s="38">
        <v>4</v>
      </c>
      <c r="J1111" s="41">
        <v>45826</v>
      </c>
      <c r="K1111" s="38" t="s">
        <v>10768</v>
      </c>
      <c r="L1111" s="42">
        <v>2000000</v>
      </c>
      <c r="O1111"/>
    </row>
    <row r="1112" spans="1:15" x14ac:dyDescent="0.3">
      <c r="A1112" s="37">
        <v>157294</v>
      </c>
      <c r="B1112" s="38">
        <v>1106</v>
      </c>
      <c r="C1112" s="39" t="s">
        <v>14459</v>
      </c>
      <c r="D1112" s="10" t="str">
        <f>VLOOKUP(C1112,'Data Angt'!$A$5:$B$5809,2,FALSE)</f>
        <v>A5218</v>
      </c>
      <c r="E1112" s="40" t="s">
        <v>24107</v>
      </c>
      <c r="F1112" s="41">
        <v>45862</v>
      </c>
      <c r="G1112" s="38">
        <v>1</v>
      </c>
      <c r="H1112" s="40">
        <v>0</v>
      </c>
      <c r="I1112" s="38">
        <v>4</v>
      </c>
      <c r="J1112" s="41">
        <v>45862</v>
      </c>
      <c r="K1112" s="38" t="s">
        <v>10768</v>
      </c>
      <c r="L1112" s="42">
        <v>1000000</v>
      </c>
      <c r="O1112"/>
    </row>
    <row r="1113" spans="1:15" x14ac:dyDescent="0.3">
      <c r="A1113" s="37">
        <v>158581</v>
      </c>
      <c r="B1113" s="38">
        <v>1107</v>
      </c>
      <c r="C1113" s="39" t="s">
        <v>14459</v>
      </c>
      <c r="D1113" s="10" t="str">
        <f>VLOOKUP(C1113,'Data Angt'!$A$5:$B$5809,2,FALSE)</f>
        <v>A5218</v>
      </c>
      <c r="E1113" s="40" t="s">
        <v>24108</v>
      </c>
      <c r="F1113" s="41">
        <v>45915</v>
      </c>
      <c r="G1113" s="38">
        <v>1</v>
      </c>
      <c r="H1113" s="40">
        <v>0</v>
      </c>
      <c r="I1113" s="38">
        <v>4</v>
      </c>
      <c r="J1113" s="41">
        <v>45915</v>
      </c>
      <c r="K1113" s="38" t="s">
        <v>10768</v>
      </c>
      <c r="L1113" s="42">
        <v>1000000</v>
      </c>
      <c r="O1113"/>
    </row>
    <row r="1114" spans="1:15" x14ac:dyDescent="0.3">
      <c r="A1114" s="37">
        <v>155360</v>
      </c>
      <c r="B1114" s="38">
        <v>1108</v>
      </c>
      <c r="C1114" s="39" t="s">
        <v>14459</v>
      </c>
      <c r="D1114" s="10" t="str">
        <f>VLOOKUP(C1114,'Data Angt'!$A$5:$B$5809,2,FALSE)</f>
        <v>A5218</v>
      </c>
      <c r="E1114" s="40" t="s">
        <v>18380</v>
      </c>
      <c r="F1114" s="41">
        <v>45779</v>
      </c>
      <c r="G1114" s="38">
        <v>1</v>
      </c>
      <c r="H1114" s="40">
        <v>0</v>
      </c>
      <c r="I1114" s="38">
        <v>4</v>
      </c>
      <c r="J1114" s="41">
        <v>45779</v>
      </c>
      <c r="K1114" s="38" t="s">
        <v>10768</v>
      </c>
      <c r="L1114" s="42">
        <v>1000000</v>
      </c>
      <c r="O1114"/>
    </row>
    <row r="1115" spans="1:15" x14ac:dyDescent="0.3">
      <c r="A1115" s="37">
        <v>152401</v>
      </c>
      <c r="B1115" s="38">
        <v>1109</v>
      </c>
      <c r="C1115" s="39" t="s">
        <v>14476</v>
      </c>
      <c r="D1115" s="10" t="str">
        <f>VLOOKUP(C1115,'Data Angt'!$A$5:$B$5809,2,FALSE)</f>
        <v>A5226</v>
      </c>
      <c r="E1115" s="40" t="s">
        <v>18382</v>
      </c>
      <c r="F1115" s="41">
        <v>45679</v>
      </c>
      <c r="G1115" s="38">
        <v>1</v>
      </c>
      <c r="H1115" s="40">
        <v>0</v>
      </c>
      <c r="I1115" s="38">
        <v>4</v>
      </c>
      <c r="J1115" s="41">
        <v>45679</v>
      </c>
      <c r="K1115" s="38" t="s">
        <v>10768</v>
      </c>
      <c r="L1115" s="42">
        <v>1500000</v>
      </c>
      <c r="O1115"/>
    </row>
    <row r="1116" spans="1:15" x14ac:dyDescent="0.3">
      <c r="A1116" s="37">
        <v>153787</v>
      </c>
      <c r="B1116" s="38">
        <v>1110</v>
      </c>
      <c r="C1116" s="39" t="s">
        <v>14753</v>
      </c>
      <c r="D1116" s="10" t="str">
        <f>VLOOKUP(C1116,'Data Angt'!$A$5:$B$5809,2,FALSE)</f>
        <v>A5344</v>
      </c>
      <c r="E1116" s="40" t="s">
        <v>18383</v>
      </c>
      <c r="F1116" s="41">
        <v>45710</v>
      </c>
      <c r="G1116" s="38">
        <v>1</v>
      </c>
      <c r="H1116" s="40">
        <v>0</v>
      </c>
      <c r="I1116" s="38">
        <v>4</v>
      </c>
      <c r="J1116" s="41">
        <v>45710</v>
      </c>
      <c r="K1116" s="38" t="s">
        <v>10768</v>
      </c>
      <c r="L1116" s="42">
        <v>1000000</v>
      </c>
      <c r="O1116"/>
    </row>
    <row r="1117" spans="1:15" x14ac:dyDescent="0.3">
      <c r="A1117" s="37">
        <v>157239</v>
      </c>
      <c r="B1117" s="38">
        <v>1111</v>
      </c>
      <c r="C1117" s="39" t="s">
        <v>14753</v>
      </c>
      <c r="D1117" s="10" t="str">
        <f>VLOOKUP(C1117,'Data Angt'!$A$5:$B$5809,2,FALSE)</f>
        <v>A5344</v>
      </c>
      <c r="E1117" s="40" t="s">
        <v>24109</v>
      </c>
      <c r="F1117" s="41">
        <v>45860</v>
      </c>
      <c r="G1117" s="38">
        <v>1</v>
      </c>
      <c r="H1117" s="40">
        <v>0</v>
      </c>
      <c r="I1117" s="38">
        <v>4</v>
      </c>
      <c r="J1117" s="41">
        <v>45860</v>
      </c>
      <c r="K1117" s="38" t="s">
        <v>10768</v>
      </c>
      <c r="L1117" s="42">
        <v>1000000</v>
      </c>
      <c r="O1117"/>
    </row>
    <row r="1118" spans="1:15" x14ac:dyDescent="0.3">
      <c r="A1118" s="37">
        <v>156992</v>
      </c>
      <c r="B1118" s="38">
        <v>1112</v>
      </c>
      <c r="C1118" s="39" t="s">
        <v>14762</v>
      </c>
      <c r="D1118" s="10" t="str">
        <f>VLOOKUP(C1118,'Data Angt'!$A$5:$B$5809,2,FALSE)</f>
        <v>A5349</v>
      </c>
      <c r="E1118" s="40" t="s">
        <v>24110</v>
      </c>
      <c r="F1118" s="41">
        <v>45852</v>
      </c>
      <c r="G1118" s="38">
        <v>1</v>
      </c>
      <c r="H1118" s="40">
        <v>0</v>
      </c>
      <c r="I1118" s="38">
        <v>4</v>
      </c>
      <c r="J1118" s="41">
        <v>45852</v>
      </c>
      <c r="K1118" s="38" t="s">
        <v>10768</v>
      </c>
      <c r="L1118" s="42">
        <v>1000000</v>
      </c>
      <c r="O1118"/>
    </row>
    <row r="1119" spans="1:15" x14ac:dyDescent="0.3">
      <c r="A1119" s="37">
        <v>158680</v>
      </c>
      <c r="B1119" s="38">
        <v>1113</v>
      </c>
      <c r="C1119" s="39" t="s">
        <v>14762</v>
      </c>
      <c r="D1119" s="10" t="str">
        <f>VLOOKUP(C1119,'Data Angt'!$A$5:$B$5809,2,FALSE)</f>
        <v>A5349</v>
      </c>
      <c r="E1119" s="40" t="s">
        <v>24111</v>
      </c>
      <c r="F1119" s="41">
        <v>45920</v>
      </c>
      <c r="G1119" s="38">
        <v>1</v>
      </c>
      <c r="H1119" s="40">
        <v>0</v>
      </c>
      <c r="I1119" s="38">
        <v>4</v>
      </c>
      <c r="J1119" s="41">
        <v>45920</v>
      </c>
      <c r="K1119" s="38" t="s">
        <v>10768</v>
      </c>
      <c r="L1119" s="42">
        <v>1000000</v>
      </c>
      <c r="O1119"/>
    </row>
    <row r="1120" spans="1:15" x14ac:dyDescent="0.3">
      <c r="A1120" s="37">
        <v>154101</v>
      </c>
      <c r="B1120" s="38">
        <v>1114</v>
      </c>
      <c r="C1120" s="39" t="s">
        <v>14871</v>
      </c>
      <c r="D1120" s="10" t="str">
        <f>VLOOKUP(C1120,'Data Angt'!$A$5:$B$5809,2,FALSE)</f>
        <v>A5400</v>
      </c>
      <c r="E1120" s="40" t="s">
        <v>18384</v>
      </c>
      <c r="F1120" s="41">
        <v>45716</v>
      </c>
      <c r="G1120" s="38">
        <v>1</v>
      </c>
      <c r="H1120" s="40">
        <v>0</v>
      </c>
      <c r="I1120" s="38">
        <v>4</v>
      </c>
      <c r="J1120" s="41">
        <v>45716</v>
      </c>
      <c r="K1120" s="38" t="s">
        <v>10768</v>
      </c>
      <c r="L1120" s="42">
        <v>20000000</v>
      </c>
      <c r="O1120"/>
    </row>
    <row r="1121" spans="1:15" x14ac:dyDescent="0.3">
      <c r="A1121" s="37">
        <v>156696</v>
      </c>
      <c r="B1121" s="38">
        <v>1115</v>
      </c>
      <c r="C1121" s="39" t="s">
        <v>14876</v>
      </c>
      <c r="D1121" s="10" t="str">
        <f>VLOOKUP(C1121,'Data Angt'!$A$5:$B$5809,2,FALSE)</f>
        <v>A5402</v>
      </c>
      <c r="E1121" s="40" t="s">
        <v>24112</v>
      </c>
      <c r="F1121" s="41">
        <v>45840</v>
      </c>
      <c r="G1121" s="38">
        <v>1</v>
      </c>
      <c r="H1121" s="40">
        <v>0</v>
      </c>
      <c r="I1121" s="38">
        <v>4</v>
      </c>
      <c r="J1121" s="41">
        <v>45840</v>
      </c>
      <c r="K1121" s="38" t="s">
        <v>10768</v>
      </c>
      <c r="L1121" s="42">
        <v>1500000</v>
      </c>
      <c r="O1121"/>
    </row>
    <row r="1122" spans="1:15" x14ac:dyDescent="0.3">
      <c r="A1122" s="37">
        <v>157551</v>
      </c>
      <c r="B1122" s="38">
        <v>1116</v>
      </c>
      <c r="C1122" s="39" t="s">
        <v>14876</v>
      </c>
      <c r="D1122" s="10" t="str">
        <f>VLOOKUP(C1122,'Data Angt'!$A$5:$B$5809,2,FALSE)</f>
        <v>A5402</v>
      </c>
      <c r="E1122" s="40" t="s">
        <v>24113</v>
      </c>
      <c r="F1122" s="41">
        <v>45871</v>
      </c>
      <c r="G1122" s="38">
        <v>1</v>
      </c>
      <c r="H1122" s="40">
        <v>0</v>
      </c>
      <c r="I1122" s="38">
        <v>4</v>
      </c>
      <c r="J1122" s="41">
        <v>45871</v>
      </c>
      <c r="K1122" s="38" t="s">
        <v>10768</v>
      </c>
      <c r="L1122" s="42">
        <v>1000000</v>
      </c>
      <c r="O1122"/>
    </row>
    <row r="1123" spans="1:15" x14ac:dyDescent="0.3">
      <c r="A1123" s="37">
        <v>158189</v>
      </c>
      <c r="B1123" s="38">
        <v>1117</v>
      </c>
      <c r="C1123" s="39" t="s">
        <v>14876</v>
      </c>
      <c r="D1123" s="10" t="str">
        <f>VLOOKUP(C1123,'Data Angt'!$A$5:$B$5809,2,FALSE)</f>
        <v>A5402</v>
      </c>
      <c r="E1123" s="40" t="s">
        <v>24114</v>
      </c>
      <c r="F1123" s="41">
        <v>45897</v>
      </c>
      <c r="G1123" s="38">
        <v>1</v>
      </c>
      <c r="H1123" s="40">
        <v>0</v>
      </c>
      <c r="I1123" s="38">
        <v>4</v>
      </c>
      <c r="J1123" s="41">
        <v>45897</v>
      </c>
      <c r="K1123" s="38" t="s">
        <v>10768</v>
      </c>
      <c r="L1123" s="42">
        <v>1000000</v>
      </c>
      <c r="O1123"/>
    </row>
    <row r="1124" spans="1:15" x14ac:dyDescent="0.3">
      <c r="A1124" s="37">
        <v>154480</v>
      </c>
      <c r="B1124" s="38">
        <v>1118</v>
      </c>
      <c r="C1124" s="39" t="s">
        <v>14940</v>
      </c>
      <c r="D1124" s="10" t="str">
        <f>VLOOKUP(C1124,'Data Angt'!$A$5:$B$5809,2,FALSE)</f>
        <v>A5430</v>
      </c>
      <c r="E1124" s="40" t="s">
        <v>18385</v>
      </c>
      <c r="F1124" s="41">
        <v>45728</v>
      </c>
      <c r="G1124" s="38">
        <v>1</v>
      </c>
      <c r="H1124" s="40">
        <v>0</v>
      </c>
      <c r="I1124" s="38">
        <v>4</v>
      </c>
      <c r="J1124" s="41">
        <v>45728</v>
      </c>
      <c r="K1124" s="38" t="s">
        <v>10768</v>
      </c>
      <c r="L1124" s="42">
        <v>3000000</v>
      </c>
      <c r="O1124"/>
    </row>
    <row r="1125" spans="1:15" x14ac:dyDescent="0.3">
      <c r="A1125" s="37">
        <v>154663</v>
      </c>
      <c r="B1125" s="38">
        <v>1119</v>
      </c>
      <c r="C1125" s="39" t="s">
        <v>14963</v>
      </c>
      <c r="D1125" s="10" t="str">
        <f>VLOOKUP(C1125,'Data Angt'!$A$5:$B$5809,2,FALSE)</f>
        <v>A5442</v>
      </c>
      <c r="E1125" s="40" t="s">
        <v>18386</v>
      </c>
      <c r="F1125" s="41">
        <v>45736</v>
      </c>
      <c r="G1125" s="38">
        <v>1</v>
      </c>
      <c r="H1125" s="40">
        <v>0</v>
      </c>
      <c r="I1125" s="38">
        <v>4</v>
      </c>
      <c r="J1125" s="41">
        <v>45736</v>
      </c>
      <c r="K1125" s="38" t="s">
        <v>10768</v>
      </c>
      <c r="L1125" s="42">
        <v>2000000</v>
      </c>
      <c r="O1125"/>
    </row>
    <row r="1126" spans="1:15" x14ac:dyDescent="0.3">
      <c r="A1126" s="37">
        <v>156207</v>
      </c>
      <c r="B1126" s="38">
        <v>1120</v>
      </c>
      <c r="C1126" s="39" t="s">
        <v>14963</v>
      </c>
      <c r="D1126" s="10" t="str">
        <f>VLOOKUP(C1126,'Data Angt'!$A$5:$B$5809,2,FALSE)</f>
        <v>A5442</v>
      </c>
      <c r="E1126" s="40" t="s">
        <v>18387</v>
      </c>
      <c r="F1126" s="41">
        <v>45812</v>
      </c>
      <c r="G1126" s="38">
        <v>1</v>
      </c>
      <c r="H1126" s="40">
        <v>0</v>
      </c>
      <c r="I1126" s="38">
        <v>4</v>
      </c>
      <c r="J1126" s="41">
        <v>45812</v>
      </c>
      <c r="K1126" s="38" t="s">
        <v>10768</v>
      </c>
      <c r="L1126" s="42">
        <v>5000000</v>
      </c>
      <c r="O1126"/>
    </row>
    <row r="1127" spans="1:15" x14ac:dyDescent="0.3">
      <c r="A1127" s="37">
        <v>154804</v>
      </c>
      <c r="B1127" s="38">
        <v>1121</v>
      </c>
      <c r="C1127" s="39" t="s">
        <v>14988</v>
      </c>
      <c r="D1127" s="10" t="str">
        <f>VLOOKUP(C1127,'Data Angt'!$A$5:$B$5809,2,FALSE)</f>
        <v>A5453</v>
      </c>
      <c r="E1127" s="40" t="s">
        <v>18388</v>
      </c>
      <c r="F1127" s="41">
        <v>45742</v>
      </c>
      <c r="G1127" s="38">
        <v>1</v>
      </c>
      <c r="H1127" s="40">
        <v>0</v>
      </c>
      <c r="I1127" s="38">
        <v>4</v>
      </c>
      <c r="J1127" s="41">
        <v>45742</v>
      </c>
      <c r="K1127" s="38" t="s">
        <v>10768</v>
      </c>
      <c r="L1127" s="42">
        <v>30000000</v>
      </c>
      <c r="O1127"/>
    </row>
    <row r="1128" spans="1:15" x14ac:dyDescent="0.3">
      <c r="A1128" s="37">
        <v>155966</v>
      </c>
      <c r="B1128" s="38">
        <v>1122</v>
      </c>
      <c r="C1128" s="39" t="s">
        <v>14988</v>
      </c>
      <c r="D1128" s="10" t="str">
        <f>VLOOKUP(C1128,'Data Angt'!$A$5:$B$5809,2,FALSE)</f>
        <v>A5453</v>
      </c>
      <c r="E1128" s="40" t="s">
        <v>18389</v>
      </c>
      <c r="F1128" s="41">
        <v>45803</v>
      </c>
      <c r="G1128" s="38">
        <v>1</v>
      </c>
      <c r="H1128" s="40">
        <v>0</v>
      </c>
      <c r="I1128" s="38">
        <v>4</v>
      </c>
      <c r="J1128" s="41">
        <v>45803</v>
      </c>
      <c r="K1128" s="38" t="s">
        <v>10768</v>
      </c>
      <c r="L1128" s="42">
        <v>20000000</v>
      </c>
      <c r="O1128"/>
    </row>
    <row r="1129" spans="1:15" x14ac:dyDescent="0.3">
      <c r="A1129" s="37">
        <v>155955</v>
      </c>
      <c r="B1129" s="38">
        <v>1123</v>
      </c>
      <c r="C1129" s="39" t="s">
        <v>15070</v>
      </c>
      <c r="D1129" s="10" t="str">
        <f>VLOOKUP(C1129,'Data Angt'!$A$5:$B$5809,2,FALSE)</f>
        <v>A5491</v>
      </c>
      <c r="E1129" s="40" t="s">
        <v>18391</v>
      </c>
      <c r="F1129" s="41">
        <v>45803</v>
      </c>
      <c r="G1129" s="38">
        <v>6</v>
      </c>
      <c r="H1129" s="40">
        <v>0</v>
      </c>
      <c r="I1129" s="38">
        <v>4</v>
      </c>
      <c r="J1129" s="41">
        <v>45803</v>
      </c>
      <c r="K1129" s="38" t="s">
        <v>10768</v>
      </c>
      <c r="L1129" s="42">
        <v>23000000</v>
      </c>
      <c r="O1129"/>
    </row>
    <row r="1130" spans="1:15" x14ac:dyDescent="0.3">
      <c r="A1130" s="37">
        <v>156448</v>
      </c>
      <c r="B1130" s="38">
        <v>1124</v>
      </c>
      <c r="C1130" s="39" t="s">
        <v>15070</v>
      </c>
      <c r="D1130" s="10" t="str">
        <f>VLOOKUP(C1130,'Data Angt'!$A$5:$B$5809,2,FALSE)</f>
        <v>A5491</v>
      </c>
      <c r="E1130" s="40" t="s">
        <v>18390</v>
      </c>
      <c r="F1130" s="41">
        <v>45826</v>
      </c>
      <c r="G1130" s="38">
        <v>1</v>
      </c>
      <c r="H1130" s="40">
        <v>0</v>
      </c>
      <c r="I1130" s="38">
        <v>4</v>
      </c>
      <c r="J1130" s="41">
        <v>45826</v>
      </c>
      <c r="K1130" s="38" t="s">
        <v>10768</v>
      </c>
      <c r="L1130" s="42">
        <v>10000000</v>
      </c>
      <c r="O1130"/>
    </row>
    <row r="1131" spans="1:15" x14ac:dyDescent="0.3">
      <c r="A1131" s="37">
        <v>155838</v>
      </c>
      <c r="B1131" s="38">
        <v>1125</v>
      </c>
      <c r="C1131" s="39" t="s">
        <v>15142</v>
      </c>
      <c r="D1131" s="10" t="str">
        <f>VLOOKUP(C1131,'Data Angt'!$A$5:$B$5809,2,FALSE)</f>
        <v>A5524</v>
      </c>
      <c r="E1131" s="40" t="s">
        <v>18392</v>
      </c>
      <c r="F1131" s="41">
        <v>45798</v>
      </c>
      <c r="G1131" s="38">
        <v>1</v>
      </c>
      <c r="H1131" s="40">
        <v>0</v>
      </c>
      <c r="I1131" s="38">
        <v>4</v>
      </c>
      <c r="J1131" s="41">
        <v>45798</v>
      </c>
      <c r="K1131" s="38" t="s">
        <v>10768</v>
      </c>
      <c r="L1131" s="42">
        <v>2500000</v>
      </c>
      <c r="O1131"/>
    </row>
    <row r="1132" spans="1:15" x14ac:dyDescent="0.3">
      <c r="A1132" s="37">
        <v>158731</v>
      </c>
      <c r="B1132" s="38">
        <v>1126</v>
      </c>
      <c r="C1132" s="39" t="s">
        <v>15176</v>
      </c>
      <c r="D1132" s="10" t="str">
        <f>VLOOKUP(C1132,'Data Angt'!$A$5:$B$5809,2,FALSE)</f>
        <v>A5539</v>
      </c>
      <c r="E1132" s="40" t="s">
        <v>24115</v>
      </c>
      <c r="F1132" s="41">
        <v>45922</v>
      </c>
      <c r="G1132" s="38">
        <v>1</v>
      </c>
      <c r="H1132" s="40">
        <v>0</v>
      </c>
      <c r="I1132" s="38">
        <v>4</v>
      </c>
      <c r="J1132" s="41">
        <v>45922</v>
      </c>
      <c r="K1132" s="38" t="s">
        <v>10768</v>
      </c>
      <c r="L1132" s="42">
        <v>1000000</v>
      </c>
      <c r="O1132"/>
    </row>
    <row r="1133" spans="1:15" x14ac:dyDescent="0.3">
      <c r="A1133" s="37">
        <v>158413</v>
      </c>
      <c r="B1133" s="38">
        <v>1127</v>
      </c>
      <c r="C1133" s="39" t="s">
        <v>18872</v>
      </c>
      <c r="D1133" s="10" t="str">
        <f>VLOOKUP(C1133,'Data Angt'!$A$5:$B$5809,2,FALSE)</f>
        <v>A5615</v>
      </c>
      <c r="E1133" s="40" t="s">
        <v>24116</v>
      </c>
      <c r="F1133" s="41">
        <v>45909</v>
      </c>
      <c r="G1133" s="38">
        <v>1</v>
      </c>
      <c r="H1133" s="40">
        <v>0</v>
      </c>
      <c r="I1133" s="38">
        <v>4</v>
      </c>
      <c r="J1133" s="41">
        <v>45909</v>
      </c>
      <c r="K1133" s="38" t="s">
        <v>10768</v>
      </c>
      <c r="L1133" s="42">
        <v>1000000</v>
      </c>
      <c r="O1133"/>
    </row>
    <row r="1134" spans="1:15" x14ac:dyDescent="0.3">
      <c r="A1134" s="37">
        <v>156939</v>
      </c>
      <c r="B1134" s="38">
        <v>1128</v>
      </c>
      <c r="C1134" s="39" t="s">
        <v>18898</v>
      </c>
      <c r="D1134" s="10" t="str">
        <f>VLOOKUP(C1134,'Data Angt'!$A$5:$B$5809,2,FALSE)</f>
        <v>A5625</v>
      </c>
      <c r="E1134" s="40" t="s">
        <v>24117</v>
      </c>
      <c r="F1134" s="41">
        <v>45849</v>
      </c>
      <c r="G1134" s="38">
        <v>1</v>
      </c>
      <c r="H1134" s="40">
        <v>0</v>
      </c>
      <c r="I1134" s="38">
        <v>4</v>
      </c>
      <c r="J1134" s="41">
        <v>45849</v>
      </c>
      <c r="K1134" s="38" t="s">
        <v>10768</v>
      </c>
      <c r="L1134" s="42">
        <v>6000000</v>
      </c>
      <c r="O1134"/>
    </row>
    <row r="1135" spans="1:15" x14ac:dyDescent="0.3">
      <c r="A1135" s="37">
        <v>157059</v>
      </c>
      <c r="B1135" s="38">
        <v>1129</v>
      </c>
      <c r="C1135" s="39" t="s">
        <v>18924</v>
      </c>
      <c r="D1135" s="10" t="str">
        <f>VLOOKUP(C1135,'Data Angt'!$A$5:$B$5809,2,FALSE)</f>
        <v>A5636</v>
      </c>
      <c r="E1135" s="40" t="s">
        <v>24118</v>
      </c>
      <c r="F1135" s="41">
        <v>45854</v>
      </c>
      <c r="G1135" s="38">
        <v>1</v>
      </c>
      <c r="H1135" s="40">
        <v>0</v>
      </c>
      <c r="I1135" s="38">
        <v>4</v>
      </c>
      <c r="J1135" s="41">
        <v>45854</v>
      </c>
      <c r="K1135" s="38" t="s">
        <v>10768</v>
      </c>
      <c r="L1135" s="42">
        <v>3000000</v>
      </c>
      <c r="O1135"/>
    </row>
    <row r="1136" spans="1:15" x14ac:dyDescent="0.3">
      <c r="A1136" s="37">
        <v>158142</v>
      </c>
      <c r="B1136" s="38">
        <v>1130</v>
      </c>
      <c r="C1136" s="39" t="s">
        <v>19000</v>
      </c>
      <c r="D1136" s="10" t="str">
        <f>VLOOKUP(C1136,'Data Angt'!$A$5:$B$5809,2,FALSE)</f>
        <v>A5672</v>
      </c>
      <c r="E1136" s="40" t="s">
        <v>24119</v>
      </c>
      <c r="F1136" s="41">
        <v>45895</v>
      </c>
      <c r="G1136" s="38">
        <v>1</v>
      </c>
      <c r="H1136" s="40">
        <v>0</v>
      </c>
      <c r="I1136" s="38">
        <v>4</v>
      </c>
      <c r="J1136" s="41">
        <v>45895</v>
      </c>
      <c r="K1136" s="38" t="s">
        <v>10768</v>
      </c>
      <c r="L1136" s="42">
        <v>1000000</v>
      </c>
      <c r="O1136"/>
    </row>
    <row r="1137" spans="1:15" x14ac:dyDescent="0.3">
      <c r="A1137" s="37">
        <v>158201</v>
      </c>
      <c r="B1137" s="38">
        <v>1131</v>
      </c>
      <c r="C1137" s="39" t="s">
        <v>19153</v>
      </c>
      <c r="D1137" s="10" t="str">
        <f>VLOOKUP(C1137,'Data Angt'!$A$5:$B$5809,2,FALSE)</f>
        <v>A5743</v>
      </c>
      <c r="E1137" s="40" t="s">
        <v>24120</v>
      </c>
      <c r="F1137" s="41">
        <v>45897</v>
      </c>
      <c r="G1137" s="38">
        <v>1</v>
      </c>
      <c r="H1137" s="40">
        <v>0</v>
      </c>
      <c r="I1137" s="38">
        <v>4</v>
      </c>
      <c r="J1137" s="41">
        <v>45897</v>
      </c>
      <c r="K1137" s="38" t="s">
        <v>10768</v>
      </c>
      <c r="L1137" s="42">
        <v>1000000</v>
      </c>
      <c r="O1137"/>
    </row>
    <row r="1138" spans="1:15" x14ac:dyDescent="0.3">
      <c r="A1138" s="37">
        <v>158768</v>
      </c>
      <c r="B1138" s="38">
        <v>1132</v>
      </c>
      <c r="C1138" s="39" t="s">
        <v>22161</v>
      </c>
      <c r="D1138" s="10" t="str">
        <f>VLOOKUP(C1138,'Data Angt'!$A$5:$B$5809,2,FALSE)</f>
        <v>A5795</v>
      </c>
      <c r="E1138" s="40" t="s">
        <v>24121</v>
      </c>
      <c r="F1138" s="41">
        <v>45924</v>
      </c>
      <c r="G1138" s="38">
        <v>1</v>
      </c>
      <c r="H1138" s="40">
        <v>0</v>
      </c>
      <c r="I1138" s="38">
        <v>4</v>
      </c>
      <c r="J1138" s="41">
        <v>45924</v>
      </c>
      <c r="K1138" s="38" t="s">
        <v>10768</v>
      </c>
      <c r="L1138" s="42">
        <v>20000000</v>
      </c>
      <c r="O1138"/>
    </row>
    <row r="1139" spans="1:15" x14ac:dyDescent="0.3">
      <c r="A1139" s="37">
        <v>78425</v>
      </c>
      <c r="B1139" s="38">
        <v>1133</v>
      </c>
      <c r="C1139" s="39" t="s">
        <v>11402</v>
      </c>
      <c r="D1139" s="10" t="e">
        <f>VLOOKUP(C1139,'Data Angt'!$A$5:$B$5809,2,FALSE)</f>
        <v>#N/A</v>
      </c>
      <c r="E1139" s="40" t="s">
        <v>11414</v>
      </c>
      <c r="F1139" s="41">
        <v>37457</v>
      </c>
      <c r="G1139" s="38">
        <v>1</v>
      </c>
      <c r="H1139" s="40">
        <v>0</v>
      </c>
      <c r="I1139" s="38">
        <v>4</v>
      </c>
      <c r="J1139" s="41">
        <v>37457</v>
      </c>
      <c r="K1139" s="38" t="s">
        <v>10768</v>
      </c>
      <c r="L1139" s="42">
        <v>2000000</v>
      </c>
      <c r="O1139"/>
    </row>
    <row r="1140" spans="1:15" x14ac:dyDescent="0.3">
      <c r="A1140" s="37">
        <v>78945</v>
      </c>
      <c r="B1140" s="38">
        <v>1134</v>
      </c>
      <c r="C1140" s="39" t="s">
        <v>11413</v>
      </c>
      <c r="D1140" s="10" t="e">
        <f>VLOOKUP(C1140,'Data Angt'!$A$5:$B$5809,2,FALSE)</f>
        <v>#N/A</v>
      </c>
      <c r="E1140" s="40" t="s">
        <v>11412</v>
      </c>
      <c r="F1140" s="41">
        <v>41223</v>
      </c>
      <c r="G1140" s="38">
        <v>1</v>
      </c>
      <c r="H1140" s="40">
        <v>0</v>
      </c>
      <c r="I1140" s="38">
        <v>4</v>
      </c>
      <c r="J1140" s="41">
        <v>41193</v>
      </c>
      <c r="K1140" s="38" t="s">
        <v>10768</v>
      </c>
      <c r="L1140" s="42">
        <v>1000000</v>
      </c>
      <c r="O1140"/>
    </row>
    <row r="1141" spans="1:15" x14ac:dyDescent="0.3">
      <c r="A1141" s="37">
        <v>78955</v>
      </c>
      <c r="B1141" s="38">
        <v>1135</v>
      </c>
      <c r="C1141" s="39" t="s">
        <v>11411</v>
      </c>
      <c r="D1141" s="10" t="e">
        <f>VLOOKUP(C1141,'Data Angt'!$A$5:$B$5809,2,FALSE)</f>
        <v>#N/A</v>
      </c>
      <c r="E1141" s="40" t="s">
        <v>11410</v>
      </c>
      <c r="F1141" s="41">
        <v>42277</v>
      </c>
      <c r="G1141" s="38">
        <v>1</v>
      </c>
      <c r="H1141" s="40">
        <v>0</v>
      </c>
      <c r="I1141" s="38">
        <v>0</v>
      </c>
      <c r="J1141" s="41">
        <v>42277</v>
      </c>
      <c r="K1141" s="38" t="s">
        <v>10768</v>
      </c>
      <c r="L1141" s="42">
        <v>22500000</v>
      </c>
      <c r="O1141"/>
    </row>
    <row r="1142" spans="1:15" x14ac:dyDescent="0.3">
      <c r="A1142" s="37">
        <v>78956</v>
      </c>
      <c r="B1142" s="38">
        <v>1136</v>
      </c>
      <c r="C1142" s="39" t="s">
        <v>11409</v>
      </c>
      <c r="D1142" s="10" t="e">
        <f>VLOOKUP(C1142,'Data Angt'!$A$5:$B$5809,2,FALSE)</f>
        <v>#N/A</v>
      </c>
      <c r="E1142" s="40" t="s">
        <v>11408</v>
      </c>
      <c r="F1142" s="41">
        <v>42308</v>
      </c>
      <c r="G1142" s="38">
        <v>1</v>
      </c>
      <c r="H1142" s="40">
        <v>0</v>
      </c>
      <c r="I1142" s="38">
        <v>0</v>
      </c>
      <c r="J1142" s="41">
        <v>42308</v>
      </c>
      <c r="K1142" s="38" t="s">
        <v>10768</v>
      </c>
      <c r="L1142" s="42">
        <v>1000000</v>
      </c>
      <c r="O1142"/>
    </row>
    <row r="1143" spans="1:15" x14ac:dyDescent="0.3">
      <c r="A1143" s="37">
        <v>78951</v>
      </c>
      <c r="B1143" s="38">
        <v>1137</v>
      </c>
      <c r="C1143" s="39" t="s">
        <v>11404</v>
      </c>
      <c r="D1143" s="10" t="e">
        <f>VLOOKUP(C1143,'Data Angt'!$A$5:$B$5809,2,FALSE)</f>
        <v>#N/A</v>
      </c>
      <c r="E1143" s="40" t="s">
        <v>11407</v>
      </c>
      <c r="F1143" s="41">
        <v>42423</v>
      </c>
      <c r="G1143" s="38">
        <v>1</v>
      </c>
      <c r="H1143" s="40">
        <v>0</v>
      </c>
      <c r="I1143" s="38">
        <v>4</v>
      </c>
      <c r="J1143" s="41">
        <v>42423</v>
      </c>
      <c r="K1143" s="38" t="s">
        <v>10768</v>
      </c>
      <c r="L1143" s="42">
        <v>15000000</v>
      </c>
      <c r="O1143"/>
    </row>
    <row r="1144" spans="1:15" ht="15" thickBot="1" x14ac:dyDescent="0.35">
      <c r="A1144" s="348" t="s">
        <v>11406</v>
      </c>
      <c r="B1144" s="349"/>
      <c r="C1144" s="349"/>
      <c r="D1144" s="349"/>
      <c r="E1144" s="349"/>
      <c r="F1144" s="349"/>
      <c r="G1144" s="349"/>
      <c r="H1144" s="349"/>
      <c r="I1144" s="349"/>
      <c r="J1144" s="349"/>
      <c r="K1144" s="350"/>
      <c r="L1144" s="43">
        <v>24854000000</v>
      </c>
      <c r="O1144"/>
    </row>
    <row r="1145" spans="1:15" x14ac:dyDescent="0.3">
      <c r="O1145"/>
    </row>
    <row r="1187" ht="18.75" customHeight="1" x14ac:dyDescent="0.3"/>
  </sheetData>
  <autoFilter ref="O5:S474" xr:uid="{F560AC21-AB91-4CAA-A684-7D8C22D59C97}"/>
  <mergeCells count="16">
    <mergeCell ref="A1144:K1144"/>
    <mergeCell ref="A1:L1"/>
    <mergeCell ref="A2:L2"/>
    <mergeCell ref="A3:L3"/>
    <mergeCell ref="A4:L4"/>
    <mergeCell ref="G5:G6"/>
    <mergeCell ref="H5:H6"/>
    <mergeCell ref="I5:I6"/>
    <mergeCell ref="J5:J6"/>
    <mergeCell ref="L5:L6"/>
    <mergeCell ref="A5:A6"/>
    <mergeCell ref="B5:B6"/>
    <mergeCell ref="C5:C6"/>
    <mergeCell ref="D5:D6"/>
    <mergeCell ref="E5:E6"/>
    <mergeCell ref="F5:F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AE5B6-7961-4BA1-8405-9B35B12DB384}">
  <dimension ref="A1:Q29"/>
  <sheetViews>
    <sheetView showGridLines="0" workbookViewId="0">
      <selection activeCell="G19" sqref="G19"/>
    </sheetView>
  </sheetViews>
  <sheetFormatPr defaultColWidth="9.109375" defaultRowHeight="14.4" x14ac:dyDescent="0.3"/>
  <cols>
    <col min="1" max="1" width="7" style="19" bestFit="1" customWidth="1"/>
    <col min="2" max="2" width="3.5546875" style="19" bestFit="1" customWidth="1"/>
    <col min="3" max="3" width="18" style="19" bestFit="1" customWidth="1"/>
    <col min="4" max="4" width="29.88671875" style="19" bestFit="1" customWidth="1"/>
    <col min="5" max="5" width="7.88671875" style="19" bestFit="1" customWidth="1"/>
    <col min="6" max="6" width="10.6640625" style="19" bestFit="1" customWidth="1"/>
    <col min="7" max="7" width="13.33203125" style="19" bestFit="1" customWidth="1"/>
    <col min="8" max="8" width="15.109375" style="19" bestFit="1" customWidth="1"/>
    <col min="9" max="9" width="6.44140625" style="19" bestFit="1" customWidth="1"/>
    <col min="10" max="10" width="17" style="19" bestFit="1" customWidth="1"/>
    <col min="11" max="11" width="19.6640625" style="19" bestFit="1" customWidth="1"/>
    <col min="12" max="12" width="21.44140625" style="19" customWidth="1"/>
    <col min="13" max="13" width="18" style="44" bestFit="1" customWidth="1"/>
    <col min="14" max="14" width="9" style="45" bestFit="1" customWidth="1"/>
    <col min="15" max="15" width="9.109375" style="44"/>
    <col min="16" max="16" width="18" style="44" bestFit="1" customWidth="1"/>
    <col min="17" max="16384" width="9.109375" style="44"/>
  </cols>
  <sheetData>
    <row r="1" spans="1:17" ht="15" customHeight="1" x14ac:dyDescent="0.3">
      <c r="A1" s="360" t="s">
        <v>10757</v>
      </c>
      <c r="B1" s="361"/>
      <c r="C1" s="361"/>
      <c r="D1" s="361"/>
      <c r="E1" s="361"/>
      <c r="F1" s="361"/>
      <c r="G1" s="361"/>
      <c r="H1" s="361"/>
      <c r="I1" s="361"/>
      <c r="J1" s="361"/>
      <c r="K1" s="361"/>
      <c r="L1" s="361"/>
    </row>
    <row r="2" spans="1:17" ht="15" customHeight="1" x14ac:dyDescent="0.3">
      <c r="A2" s="362" t="s">
        <v>22185</v>
      </c>
      <c r="B2" s="361"/>
      <c r="C2" s="361"/>
      <c r="D2" s="361"/>
      <c r="E2" s="361"/>
      <c r="F2" s="361"/>
      <c r="G2" s="361"/>
      <c r="H2" s="361"/>
      <c r="I2" s="361"/>
      <c r="J2" s="361"/>
      <c r="K2" s="361"/>
      <c r="L2" s="361"/>
    </row>
    <row r="3" spans="1:17" ht="15" customHeight="1" x14ac:dyDescent="0.3">
      <c r="A3" s="362" t="s">
        <v>11980</v>
      </c>
      <c r="B3" s="361"/>
      <c r="C3" s="361"/>
      <c r="D3" s="361"/>
      <c r="E3" s="361"/>
      <c r="F3" s="361"/>
      <c r="G3" s="361"/>
      <c r="H3" s="361"/>
      <c r="I3" s="361"/>
      <c r="J3" s="361"/>
      <c r="K3" s="361"/>
      <c r="L3" s="361"/>
    </row>
    <row r="4" spans="1:17" ht="15" thickBot="1" x14ac:dyDescent="0.35">
      <c r="A4" s="362" t="s">
        <v>9809</v>
      </c>
      <c r="B4" s="361"/>
      <c r="C4" s="361"/>
      <c r="D4" s="361"/>
      <c r="E4" s="361"/>
      <c r="F4" s="361"/>
      <c r="G4" s="361"/>
      <c r="H4" s="361"/>
      <c r="I4" s="361"/>
      <c r="J4" s="361"/>
      <c r="K4" s="361"/>
      <c r="L4" s="361"/>
    </row>
    <row r="5" spans="1:17" ht="18.75" customHeight="1" x14ac:dyDescent="0.3">
      <c r="A5" s="160" t="s">
        <v>10759</v>
      </c>
      <c r="B5" s="161" t="s">
        <v>9810</v>
      </c>
      <c r="C5" s="161" t="s">
        <v>10760</v>
      </c>
      <c r="D5" s="161" t="s">
        <v>30029</v>
      </c>
      <c r="E5" s="161" t="s">
        <v>10761</v>
      </c>
      <c r="F5" s="161" t="s">
        <v>10762</v>
      </c>
      <c r="G5" s="161" t="s">
        <v>10763</v>
      </c>
      <c r="H5" s="161" t="s">
        <v>10764</v>
      </c>
      <c r="I5" s="161" t="s">
        <v>10765</v>
      </c>
      <c r="J5" s="161" t="s">
        <v>10766</v>
      </c>
      <c r="K5" s="162" t="s">
        <v>23974</v>
      </c>
      <c r="L5" s="163"/>
      <c r="M5" s="164" t="s">
        <v>10760</v>
      </c>
      <c r="N5" s="165" t="s">
        <v>12055</v>
      </c>
      <c r="O5" s="50" t="s">
        <v>9786</v>
      </c>
      <c r="P5" s="50" t="s">
        <v>9792</v>
      </c>
      <c r="Q5" s="19" t="s">
        <v>24218</v>
      </c>
    </row>
    <row r="6" spans="1:17" x14ac:dyDescent="0.3">
      <c r="A6" s="166">
        <v>145953</v>
      </c>
      <c r="B6" s="167">
        <v>1</v>
      </c>
      <c r="C6" s="168" t="s">
        <v>567</v>
      </c>
      <c r="D6" s="10" t="str">
        <f>VLOOKUP(C6,'Data Angt'!$A$5:$B$5809,2,FALSE)</f>
        <v>A205</v>
      </c>
      <c r="E6" s="169" t="s">
        <v>18699</v>
      </c>
      <c r="F6" s="170">
        <v>45455</v>
      </c>
      <c r="G6" s="167">
        <v>60</v>
      </c>
      <c r="H6" s="169">
        <v>0</v>
      </c>
      <c r="I6" s="167">
        <v>6</v>
      </c>
      <c r="J6" s="170">
        <v>45912</v>
      </c>
      <c r="K6" s="171">
        <v>817090</v>
      </c>
      <c r="L6" s="159"/>
      <c r="M6" s="172" t="s">
        <v>567</v>
      </c>
      <c r="N6" s="173">
        <f t="shared" ref="N6:N27" si="0">VLOOKUP(M6,$C$6:$H$26,6,FALSE)</f>
        <v>0</v>
      </c>
      <c r="O6" s="2">
        <f>VLOOKUP(M6,'Data Angt'!$A$5:$F$5810,6,FALSE)</f>
        <v>65</v>
      </c>
      <c r="P6" s="174" t="str">
        <f>VLOOKUP(M6,'Data Angt'!$A$5:$H$5710,8,FALSE)</f>
        <v>Pensiunan</v>
      </c>
      <c r="Q6" s="44" t="str">
        <f>VLOOKUP(M6,'Data Angt'!$A$5:$C$5809,3,FALSE)</f>
        <v>JBR</v>
      </c>
    </row>
    <row r="7" spans="1:17" x14ac:dyDescent="0.3">
      <c r="A7" s="166">
        <v>137964</v>
      </c>
      <c r="B7" s="167">
        <v>2</v>
      </c>
      <c r="C7" s="168" t="s">
        <v>1131</v>
      </c>
      <c r="D7" s="10" t="str">
        <f>VLOOKUP(C7,'Data Angt'!$A$5:$B$5809,2,FALSE)</f>
        <v>A441</v>
      </c>
      <c r="E7" s="169" t="s">
        <v>11979</v>
      </c>
      <c r="F7" s="170">
        <v>45108</v>
      </c>
      <c r="G7" s="167">
        <v>60</v>
      </c>
      <c r="H7" s="169">
        <v>0</v>
      </c>
      <c r="I7" s="167">
        <v>7</v>
      </c>
      <c r="J7" s="170">
        <v>45901</v>
      </c>
      <c r="K7" s="171">
        <v>1406249</v>
      </c>
      <c r="L7" s="159"/>
      <c r="M7" s="172" t="s">
        <v>1131</v>
      </c>
      <c r="N7" s="173">
        <f t="shared" si="0"/>
        <v>0</v>
      </c>
      <c r="O7" s="2">
        <f>VLOOKUP(M7,'Data Angt'!$A$5:$F$5810,6,FALSE)</f>
        <v>32</v>
      </c>
      <c r="P7" s="174" t="str">
        <f>VLOOKUP(M7,'Data Angt'!$A$5:$H$5710,8,FALSE)</f>
        <v>Karyawan</v>
      </c>
      <c r="Q7" s="44" t="str">
        <f>VLOOKUP(M7,'Data Angt'!$A$5:$C$5809,3,FALSE)</f>
        <v>PBL</v>
      </c>
    </row>
    <row r="8" spans="1:17" x14ac:dyDescent="0.3">
      <c r="A8" s="166">
        <v>137966</v>
      </c>
      <c r="B8" s="167">
        <v>3</v>
      </c>
      <c r="C8" s="168" t="s">
        <v>1131</v>
      </c>
      <c r="D8" s="10" t="str">
        <f>VLOOKUP(C8,'Data Angt'!$A$5:$B$5809,2,FALSE)</f>
        <v>A441</v>
      </c>
      <c r="E8" s="169" t="s">
        <v>11978</v>
      </c>
      <c r="F8" s="170">
        <v>45108</v>
      </c>
      <c r="G8" s="167">
        <v>60</v>
      </c>
      <c r="H8" s="169">
        <v>0</v>
      </c>
      <c r="I8" s="167">
        <v>7</v>
      </c>
      <c r="J8" s="170">
        <v>45901</v>
      </c>
      <c r="K8" s="171">
        <v>1406249</v>
      </c>
      <c r="L8" s="159"/>
      <c r="M8" s="172" t="s">
        <v>1332</v>
      </c>
      <c r="N8" s="173">
        <f t="shared" si="0"/>
        <v>0</v>
      </c>
      <c r="O8" s="2">
        <f>VLOOKUP(M8,'Data Angt'!$A$5:$F$5810,6,FALSE)</f>
        <v>45</v>
      </c>
      <c r="P8" s="174" t="str">
        <f>VLOOKUP(M8,'Data Angt'!$A$5:$H$5710,8,FALSE)</f>
        <v>Wiraswasta</v>
      </c>
      <c r="Q8" s="44" t="str">
        <f>VLOOKUP(M8,'Data Angt'!$A$5:$C$5809,3,FALSE)</f>
        <v>PBL</v>
      </c>
    </row>
    <row r="9" spans="1:17" x14ac:dyDescent="0.3">
      <c r="A9" s="166">
        <v>146210</v>
      </c>
      <c r="B9" s="167">
        <v>4</v>
      </c>
      <c r="C9" s="168" t="s">
        <v>1332</v>
      </c>
      <c r="D9" s="10" t="str">
        <f>VLOOKUP(C9,'Data Angt'!$A$5:$B$5809,2,FALSE)</f>
        <v>A520</v>
      </c>
      <c r="E9" s="169" t="s">
        <v>18700</v>
      </c>
      <c r="F9" s="170">
        <v>45471</v>
      </c>
      <c r="G9" s="167">
        <v>60</v>
      </c>
      <c r="H9" s="169">
        <v>0</v>
      </c>
      <c r="I9" s="167">
        <v>6</v>
      </c>
      <c r="J9" s="170">
        <v>45929</v>
      </c>
      <c r="K9" s="171">
        <v>1634172</v>
      </c>
      <c r="L9" s="159"/>
      <c r="M9" s="172" t="s">
        <v>4963</v>
      </c>
      <c r="N9" s="173">
        <f t="shared" si="0"/>
        <v>0</v>
      </c>
      <c r="O9" s="2">
        <f>VLOOKUP(M9,'Data Angt'!$A$5:$F$5810,6,FALSE)</f>
        <v>35</v>
      </c>
      <c r="P9" s="174" t="str">
        <f>VLOOKUP(M9,'Data Angt'!$A$5:$H$5710,8,FALSE)</f>
        <v>Wiraswasta</v>
      </c>
      <c r="Q9" s="44" t="str">
        <f>VLOOKUP(M9,'Data Angt'!$A$5:$C$5809,3,FALSE)</f>
        <v>MGL</v>
      </c>
    </row>
    <row r="10" spans="1:17" x14ac:dyDescent="0.3">
      <c r="A10" s="166">
        <v>155073</v>
      </c>
      <c r="B10" s="167">
        <v>5</v>
      </c>
      <c r="C10" s="168" t="s">
        <v>4963</v>
      </c>
      <c r="D10" s="10" t="str">
        <f>VLOOKUP(C10,'Data Angt'!$A$5:$B$5809,2,FALSE)</f>
        <v>A2173</v>
      </c>
      <c r="E10" s="169" t="s">
        <v>18701</v>
      </c>
      <c r="F10" s="170">
        <v>45763</v>
      </c>
      <c r="G10" s="167">
        <v>60</v>
      </c>
      <c r="H10" s="169">
        <v>0</v>
      </c>
      <c r="I10" s="167">
        <v>6</v>
      </c>
      <c r="J10" s="170">
        <v>45918</v>
      </c>
      <c r="K10" s="171">
        <v>302260</v>
      </c>
      <c r="L10" s="159"/>
      <c r="M10" s="172" t="s">
        <v>5953</v>
      </c>
      <c r="N10" s="173">
        <f t="shared" si="0"/>
        <v>0</v>
      </c>
      <c r="O10" s="2">
        <f>VLOOKUP(M10,'Data Angt'!$A$5:$F$5810,6,FALSE)</f>
        <v>42</v>
      </c>
      <c r="P10" s="174" t="str">
        <f>VLOOKUP(M10,'Data Angt'!$A$5:$H$5710,8,FALSE)</f>
        <v>Aparatur/Pejabat Negara</v>
      </c>
      <c r="Q10" s="44" t="str">
        <f>VLOOKUP(M10,'Data Angt'!$A$5:$C$5809,3,FALSE)</f>
        <v>KRK</v>
      </c>
    </row>
    <row r="11" spans="1:17" x14ac:dyDescent="0.3">
      <c r="A11" s="166">
        <v>149640</v>
      </c>
      <c r="B11" s="167">
        <v>6</v>
      </c>
      <c r="C11" s="168" t="s">
        <v>5953</v>
      </c>
      <c r="D11" s="10" t="str">
        <f>VLOOKUP(C11,'Data Angt'!$A$5:$B$5809,2,FALSE)</f>
        <v>A2627</v>
      </c>
      <c r="E11" s="169" t="s">
        <v>18702</v>
      </c>
      <c r="F11" s="170">
        <v>45575</v>
      </c>
      <c r="G11" s="167">
        <v>60</v>
      </c>
      <c r="H11" s="169">
        <v>0</v>
      </c>
      <c r="I11" s="167">
        <v>6</v>
      </c>
      <c r="J11" s="170">
        <v>45913</v>
      </c>
      <c r="K11" s="171">
        <v>3657521</v>
      </c>
      <c r="L11" s="159"/>
      <c r="M11" s="172" t="s">
        <v>7337</v>
      </c>
      <c r="N11" s="173">
        <f t="shared" si="0"/>
        <v>0</v>
      </c>
      <c r="O11" s="2">
        <f>VLOOKUP(M11,'Data Angt'!$A$5:$F$5810,6,FALSE)</f>
        <v>51</v>
      </c>
      <c r="P11" s="174" t="str">
        <f>VLOOKUP(M11,'Data Angt'!$A$5:$H$5710,8,FALSE)</f>
        <v>Karyawan</v>
      </c>
      <c r="Q11" s="44" t="str">
        <f>VLOOKUP(M11,'Data Angt'!$A$5:$C$5809,3,FALSE)</f>
        <v>PBL</v>
      </c>
    </row>
    <row r="12" spans="1:17" x14ac:dyDescent="0.3">
      <c r="A12" s="166">
        <v>123589</v>
      </c>
      <c r="B12" s="167">
        <v>7</v>
      </c>
      <c r="C12" s="168" t="s">
        <v>7337</v>
      </c>
      <c r="D12" s="10" t="str">
        <f>VLOOKUP(C12,'Data Angt'!$A$5:$B$5809,2,FALSE)</f>
        <v>A3282</v>
      </c>
      <c r="E12" s="169" t="s">
        <v>11977</v>
      </c>
      <c r="F12" s="170">
        <v>43987</v>
      </c>
      <c r="G12" s="167">
        <v>60</v>
      </c>
      <c r="H12" s="169">
        <v>0</v>
      </c>
      <c r="I12" s="167">
        <v>7</v>
      </c>
      <c r="J12" s="170">
        <v>45901</v>
      </c>
      <c r="K12" s="171">
        <v>35783186</v>
      </c>
      <c r="L12" s="159"/>
      <c r="M12" s="172" t="s">
        <v>7617</v>
      </c>
      <c r="N12" s="173">
        <f t="shared" si="0"/>
        <v>0</v>
      </c>
      <c r="O12" s="2">
        <f>VLOOKUP(M12,'Data Angt'!$A$5:$F$5810,6,FALSE)</f>
        <v>55</v>
      </c>
      <c r="P12" s="174" t="str">
        <f>VLOOKUP(M12,'Data Angt'!$A$5:$H$5710,8,FALSE)</f>
        <v>Tenaga Pengajar</v>
      </c>
      <c r="Q12" s="44" t="str">
        <f>VLOOKUP(M12,'Data Angt'!$A$5:$C$5809,3,FALSE)</f>
        <v>BWI</v>
      </c>
    </row>
    <row r="13" spans="1:17" x14ac:dyDescent="0.3">
      <c r="A13" s="166">
        <v>145800</v>
      </c>
      <c r="B13" s="167">
        <v>8</v>
      </c>
      <c r="C13" s="168" t="s">
        <v>7617</v>
      </c>
      <c r="D13" s="10" t="str">
        <f>VLOOKUP(C13,'Data Angt'!$A$5:$B$5809,2,FALSE)</f>
        <v>A3412</v>
      </c>
      <c r="E13" s="169" t="s">
        <v>18703</v>
      </c>
      <c r="F13" s="170">
        <v>45446</v>
      </c>
      <c r="G13" s="167">
        <v>60</v>
      </c>
      <c r="H13" s="169">
        <v>0</v>
      </c>
      <c r="I13" s="167">
        <v>6</v>
      </c>
      <c r="J13" s="170">
        <v>45909</v>
      </c>
      <c r="K13" s="171">
        <v>1532667</v>
      </c>
      <c r="L13" s="159"/>
      <c r="M13" s="172" t="s">
        <v>7646</v>
      </c>
      <c r="N13" s="173">
        <f t="shared" si="0"/>
        <v>0</v>
      </c>
      <c r="O13" s="2">
        <f>VLOOKUP(M13,'Data Angt'!$A$5:$F$5810,6,FALSE)</f>
        <v>63</v>
      </c>
      <c r="P13" s="174" t="str">
        <f>VLOOKUP(M13,'Data Angt'!$A$5:$H$5710,8,FALSE)</f>
        <v>Aparatur/Pejabat Negara</v>
      </c>
      <c r="Q13" s="44" t="str">
        <f>VLOOKUP(M13,'Data Angt'!$A$5:$C$5809,3,FALSE)</f>
        <v>PBL</v>
      </c>
    </row>
    <row r="14" spans="1:17" x14ac:dyDescent="0.3">
      <c r="A14" s="166">
        <v>135123</v>
      </c>
      <c r="B14" s="167">
        <v>9</v>
      </c>
      <c r="C14" s="168" t="s">
        <v>7646</v>
      </c>
      <c r="D14" s="10" t="str">
        <f>VLOOKUP(C14,'Data Angt'!$A$5:$B$5809,2,FALSE)</f>
        <v>A3425</v>
      </c>
      <c r="E14" s="169" t="s">
        <v>11976</v>
      </c>
      <c r="F14" s="170">
        <v>44869</v>
      </c>
      <c r="G14" s="167">
        <v>60</v>
      </c>
      <c r="H14" s="169">
        <v>0</v>
      </c>
      <c r="I14" s="167">
        <v>7</v>
      </c>
      <c r="J14" s="170">
        <v>45904</v>
      </c>
      <c r="K14" s="171">
        <v>2857652</v>
      </c>
      <c r="L14" s="159"/>
      <c r="M14" s="172" t="s">
        <v>7981</v>
      </c>
      <c r="N14" s="173">
        <f t="shared" si="0"/>
        <v>0</v>
      </c>
      <c r="O14" s="2">
        <f>VLOOKUP(M14,'Data Angt'!$A$5:$F$5810,6,FALSE)</f>
        <v>29</v>
      </c>
      <c r="P14" s="174" t="str">
        <f>VLOOKUP(M14,'Data Angt'!$A$5:$H$5710,8,FALSE)</f>
        <v>Karyawan</v>
      </c>
      <c r="Q14" s="44" t="str">
        <f>VLOOKUP(M14,'Data Angt'!$A$5:$C$5809,3,FALSE)</f>
        <v>BWI</v>
      </c>
    </row>
    <row r="15" spans="1:17" x14ac:dyDescent="0.3">
      <c r="A15" s="166">
        <v>118584</v>
      </c>
      <c r="B15" s="167">
        <v>10</v>
      </c>
      <c r="C15" s="168" t="s">
        <v>7981</v>
      </c>
      <c r="D15" s="10" t="str">
        <f>VLOOKUP(C15,'Data Angt'!$A$5:$B$5809,2,FALSE)</f>
        <v>A3598</v>
      </c>
      <c r="E15" s="169" t="s">
        <v>11975</v>
      </c>
      <c r="F15" s="170">
        <v>43792</v>
      </c>
      <c r="G15" s="167">
        <v>60</v>
      </c>
      <c r="H15" s="169">
        <v>0</v>
      </c>
      <c r="I15" s="167">
        <v>7</v>
      </c>
      <c r="J15" s="170">
        <v>45596</v>
      </c>
      <c r="K15" s="171">
        <v>1825992</v>
      </c>
      <c r="L15" s="159"/>
      <c r="M15" s="172" t="s">
        <v>9391</v>
      </c>
      <c r="N15" s="173">
        <f t="shared" si="0"/>
        <v>0</v>
      </c>
      <c r="O15" s="2">
        <f>VLOOKUP(M15,'Data Angt'!$A$5:$F$5810,6,FALSE)</f>
        <v>26</v>
      </c>
      <c r="P15" s="174" t="str">
        <f>VLOOKUP(M15,'Data Angt'!$A$5:$H$5710,8,FALSE)</f>
        <v>Karyawan</v>
      </c>
      <c r="Q15" s="44" t="str">
        <f>VLOOKUP(M15,'Data Angt'!$A$5:$C$5809,3,FALSE)</f>
        <v>BWI</v>
      </c>
    </row>
    <row r="16" spans="1:17" x14ac:dyDescent="0.3">
      <c r="A16" s="166">
        <v>141860</v>
      </c>
      <c r="B16" s="167">
        <v>11</v>
      </c>
      <c r="C16" s="168" t="s">
        <v>9391</v>
      </c>
      <c r="D16" s="10" t="str">
        <f>VLOOKUP(C16,'Data Angt'!$A$5:$B$5809,2,FALSE)</f>
        <v>A4272</v>
      </c>
      <c r="E16" s="169" t="s">
        <v>18710</v>
      </c>
      <c r="F16" s="170">
        <v>45307</v>
      </c>
      <c r="G16" s="167">
        <v>60</v>
      </c>
      <c r="H16" s="169">
        <v>0</v>
      </c>
      <c r="I16" s="167">
        <v>7</v>
      </c>
      <c r="J16" s="170">
        <v>45916</v>
      </c>
      <c r="K16" s="171">
        <v>2168400</v>
      </c>
      <c r="L16" s="159"/>
      <c r="M16" s="172" t="s">
        <v>9485</v>
      </c>
      <c r="N16" s="173">
        <f t="shared" si="0"/>
        <v>0</v>
      </c>
      <c r="O16" s="2">
        <f>VLOOKUP(M16,'Data Angt'!$A$5:$F$5810,6,FALSE)</f>
        <v>26</v>
      </c>
      <c r="P16" s="174" t="str">
        <f>VLOOKUP(M16,'Data Angt'!$A$5:$H$5710,8,FALSE)</f>
        <v>Karyawan</v>
      </c>
      <c r="Q16" s="44" t="str">
        <f>VLOOKUP(M16,'Data Angt'!$A$5:$C$5809,3,FALSE)</f>
        <v>BWI</v>
      </c>
    </row>
    <row r="17" spans="1:17" ht="18.75" customHeight="1" x14ac:dyDescent="0.3">
      <c r="A17" s="166">
        <v>154116</v>
      </c>
      <c r="B17" s="167">
        <v>12</v>
      </c>
      <c r="C17" s="168" t="s">
        <v>9485</v>
      </c>
      <c r="D17" s="10" t="str">
        <f>VLOOKUP(C17,'Data Angt'!$A$5:$B$5809,2,FALSE)</f>
        <v>A4315</v>
      </c>
      <c r="E17" s="169" t="s">
        <v>18704</v>
      </c>
      <c r="F17" s="170">
        <v>45717</v>
      </c>
      <c r="G17" s="167">
        <v>60</v>
      </c>
      <c r="H17" s="169">
        <v>0</v>
      </c>
      <c r="I17" s="167">
        <v>6</v>
      </c>
      <c r="J17" s="170">
        <v>45903</v>
      </c>
      <c r="K17" s="171">
        <v>504020</v>
      </c>
      <c r="L17" s="159"/>
      <c r="M17" s="172" t="s">
        <v>9557</v>
      </c>
      <c r="N17" s="173">
        <f t="shared" si="0"/>
        <v>0</v>
      </c>
      <c r="O17" s="2">
        <f>VLOOKUP(M17,'Data Angt'!$A$5:$F$5810,6,FALSE)</f>
        <v>27</v>
      </c>
      <c r="P17" s="174" t="str">
        <f>VLOOKUP(M17,'Data Angt'!$A$5:$H$5710,8,FALSE)</f>
        <v>Karyawan</v>
      </c>
      <c r="Q17" s="44" t="str">
        <f>VLOOKUP(M17,'Data Angt'!$A$5:$C$5809,3,FALSE)</f>
        <v>BWI</v>
      </c>
    </row>
    <row r="18" spans="1:17" x14ac:dyDescent="0.3">
      <c r="A18" s="166">
        <v>141261</v>
      </c>
      <c r="B18" s="167">
        <v>13</v>
      </c>
      <c r="C18" s="168" t="s">
        <v>9557</v>
      </c>
      <c r="D18" s="10" t="str">
        <f>VLOOKUP(C18,'Data Angt'!$A$5:$B$5809,2,FALSE)</f>
        <v>A4343</v>
      </c>
      <c r="E18" s="169" t="s">
        <v>11974</v>
      </c>
      <c r="F18" s="170">
        <v>45282</v>
      </c>
      <c r="G18" s="167">
        <v>60</v>
      </c>
      <c r="H18" s="169">
        <v>0</v>
      </c>
      <c r="I18" s="167">
        <v>7</v>
      </c>
      <c r="J18" s="170">
        <v>45922</v>
      </c>
      <c r="K18" s="171">
        <v>1035294</v>
      </c>
      <c r="L18" s="159"/>
      <c r="M18" s="172" t="s">
        <v>12651</v>
      </c>
      <c r="N18" s="173">
        <f t="shared" si="0"/>
        <v>0</v>
      </c>
      <c r="O18" s="2">
        <f>VLOOKUP(M18,'Data Angt'!$A$5:$F$5810,6,FALSE)</f>
        <v>32</v>
      </c>
      <c r="P18" s="174" t="str">
        <f>VLOOKUP(M18,'Data Angt'!$A$5:$H$5710,8,FALSE)</f>
        <v>Mengurus Rumah Tangga</v>
      </c>
      <c r="Q18" s="44" t="str">
        <f>VLOOKUP(M18,'Data Angt'!$A$5:$C$5809,3,FALSE)</f>
        <v>MJK</v>
      </c>
    </row>
    <row r="19" spans="1:17" x14ac:dyDescent="0.3">
      <c r="A19" s="166">
        <v>155444</v>
      </c>
      <c r="B19" s="167">
        <v>14</v>
      </c>
      <c r="C19" s="168" t="s">
        <v>12651</v>
      </c>
      <c r="D19" s="10" t="str">
        <f>VLOOKUP(C19,'Data Angt'!$A$5:$B$5809,2,FALSE)</f>
        <v>A4379</v>
      </c>
      <c r="E19" s="169" t="s">
        <v>18705</v>
      </c>
      <c r="F19" s="170">
        <v>45783</v>
      </c>
      <c r="G19" s="167">
        <v>60</v>
      </c>
      <c r="H19" s="169">
        <v>0</v>
      </c>
      <c r="I19" s="167">
        <v>6</v>
      </c>
      <c r="J19" s="170">
        <v>45912</v>
      </c>
      <c r="K19" s="171">
        <v>1006020</v>
      </c>
      <c r="L19" s="159"/>
      <c r="M19" s="172" t="s">
        <v>12859</v>
      </c>
      <c r="N19" s="173">
        <f t="shared" si="0"/>
        <v>0</v>
      </c>
      <c r="O19" s="2">
        <f>VLOOKUP(M19,'Data Angt'!$A$5:$F$5810,6,FALSE)</f>
        <v>58</v>
      </c>
      <c r="P19" s="174" t="str">
        <f>VLOOKUP(M19,'Data Angt'!$A$5:$H$5710,8,FALSE)</f>
        <v>Wiraswasta</v>
      </c>
      <c r="Q19" s="44" t="str">
        <f>VLOOKUP(M19,'Data Angt'!$A$5:$C$5809,3,FALSE)</f>
        <v>MJK</v>
      </c>
    </row>
    <row r="20" spans="1:17" x14ac:dyDescent="0.3">
      <c r="A20" s="166">
        <v>158204</v>
      </c>
      <c r="B20" s="167">
        <v>15</v>
      </c>
      <c r="C20" s="168" t="s">
        <v>12859</v>
      </c>
      <c r="D20" s="10" t="str">
        <f>VLOOKUP(C20,'Data Angt'!$A$5:$B$5809,2,FALSE)</f>
        <v>A4469</v>
      </c>
      <c r="E20" s="169" t="s">
        <v>24191</v>
      </c>
      <c r="F20" s="170">
        <v>45898</v>
      </c>
      <c r="G20" s="167">
        <v>60</v>
      </c>
      <c r="H20" s="169">
        <v>0</v>
      </c>
      <c r="I20" s="167">
        <v>6</v>
      </c>
      <c r="J20" s="170">
        <v>45929</v>
      </c>
      <c r="K20" s="171">
        <v>50125</v>
      </c>
      <c r="L20" s="159"/>
      <c r="M20" s="172" t="s">
        <v>12982</v>
      </c>
      <c r="N20" s="173">
        <f t="shared" si="0"/>
        <v>0</v>
      </c>
      <c r="O20" s="2">
        <f>VLOOKUP(M20,'Data Angt'!$A$5:$F$5810,6,FALSE)</f>
        <v>54</v>
      </c>
      <c r="P20" s="174" t="str">
        <f>VLOOKUP(M20,'Data Angt'!$A$5:$H$5710,8,FALSE)</f>
        <v>Wiraswasta</v>
      </c>
      <c r="Q20" s="44" t="str">
        <f>VLOOKUP(M20,'Data Angt'!$A$5:$C$5809,3,FALSE)</f>
        <v>MJK</v>
      </c>
    </row>
    <row r="21" spans="1:17" x14ac:dyDescent="0.3">
      <c r="A21" s="166">
        <v>158304</v>
      </c>
      <c r="B21" s="167">
        <v>16</v>
      </c>
      <c r="C21" s="168" t="s">
        <v>12982</v>
      </c>
      <c r="D21" s="10" t="str">
        <f>VLOOKUP(C21,'Data Angt'!$A$5:$B$5809,2,FALSE)</f>
        <v>A4527</v>
      </c>
      <c r="E21" s="169" t="s">
        <v>24192</v>
      </c>
      <c r="F21" s="170">
        <v>45902</v>
      </c>
      <c r="G21" s="167">
        <v>60</v>
      </c>
      <c r="H21" s="169">
        <v>0</v>
      </c>
      <c r="I21" s="167">
        <v>6</v>
      </c>
      <c r="J21" s="170">
        <v>45902</v>
      </c>
      <c r="K21" s="171">
        <v>100000</v>
      </c>
      <c r="L21" s="159"/>
      <c r="M21" s="172" t="s">
        <v>13028</v>
      </c>
      <c r="N21" s="173">
        <f t="shared" si="0"/>
        <v>0</v>
      </c>
      <c r="O21" s="2">
        <f>VLOOKUP(M21,'Data Angt'!$A$5:$F$5810,6,FALSE)</f>
        <v>28</v>
      </c>
      <c r="P21" s="174" t="str">
        <f>VLOOKUP(M21,'Data Angt'!$A$5:$H$5710,8,FALSE)</f>
        <v>Karyawan</v>
      </c>
      <c r="Q21" s="44" t="str">
        <f>VLOOKUP(M21,'Data Angt'!$A$5:$C$5809,3,FALSE)</f>
        <v>PBL</v>
      </c>
    </row>
    <row r="22" spans="1:17" x14ac:dyDescent="0.3">
      <c r="A22" s="166">
        <v>151546</v>
      </c>
      <c r="B22" s="167">
        <v>17</v>
      </c>
      <c r="C22" s="168" t="s">
        <v>13028</v>
      </c>
      <c r="D22" s="10" t="str">
        <f>VLOOKUP(C22,'Data Angt'!$A$5:$B$5809,2,FALSE)</f>
        <v>A4547</v>
      </c>
      <c r="E22" s="169" t="s">
        <v>18706</v>
      </c>
      <c r="F22" s="170">
        <v>45645</v>
      </c>
      <c r="G22" s="167">
        <v>60</v>
      </c>
      <c r="H22" s="169">
        <v>0</v>
      </c>
      <c r="I22" s="167">
        <v>6</v>
      </c>
      <c r="J22" s="170">
        <v>45925</v>
      </c>
      <c r="K22" s="171">
        <v>1421175</v>
      </c>
      <c r="L22" s="159"/>
      <c r="M22" s="172" t="s">
        <v>13081</v>
      </c>
      <c r="N22" s="173">
        <f t="shared" si="0"/>
        <v>0</v>
      </c>
      <c r="O22" s="2">
        <f>VLOOKUP(M22,'Data Angt'!$A$5:$F$5810,6,FALSE)</f>
        <v>20</v>
      </c>
      <c r="P22" s="174" t="str">
        <f>VLOOKUP(M22,'Data Angt'!$A$5:$H$5710,8,FALSE)</f>
        <v>Karyawan</v>
      </c>
      <c r="Q22" s="44" t="str">
        <f>VLOOKUP(M22,'Data Angt'!$A$5:$C$5809,3,FALSE)</f>
        <v>PBL</v>
      </c>
    </row>
    <row r="23" spans="1:17" x14ac:dyDescent="0.3">
      <c r="A23" s="166">
        <v>157692</v>
      </c>
      <c r="B23" s="167">
        <v>18</v>
      </c>
      <c r="C23" s="168" t="s">
        <v>13081</v>
      </c>
      <c r="D23" s="10" t="str">
        <f>VLOOKUP(C23,'Data Angt'!$A$5:$B$5809,2,FALSE)</f>
        <v>A4576</v>
      </c>
      <c r="E23" s="169" t="s">
        <v>24193</v>
      </c>
      <c r="F23" s="170">
        <v>45878</v>
      </c>
      <c r="G23" s="167">
        <v>60</v>
      </c>
      <c r="H23" s="169">
        <v>0</v>
      </c>
      <c r="I23" s="167">
        <v>6</v>
      </c>
      <c r="J23" s="170">
        <v>45909</v>
      </c>
      <c r="K23" s="171">
        <v>50125</v>
      </c>
      <c r="L23" s="159"/>
      <c r="M23" s="158" t="s">
        <v>13802</v>
      </c>
      <c r="N23" s="173">
        <f t="shared" si="0"/>
        <v>0</v>
      </c>
      <c r="O23" s="2">
        <f>VLOOKUP(M23,'Data Angt'!$A$5:$F$5810,6,FALSE)</f>
        <v>55</v>
      </c>
      <c r="P23" s="174" t="str">
        <f>VLOOKUP(M23,'Data Angt'!$A$5:$H$5710,8,FALSE)</f>
        <v>Wiraswasta</v>
      </c>
      <c r="Q23" s="44" t="str">
        <f>VLOOKUP(M23,'Data Angt'!$A$5:$C$5809,3,FALSE)</f>
        <v>MJK</v>
      </c>
    </row>
    <row r="24" spans="1:17" x14ac:dyDescent="0.3">
      <c r="A24" s="166">
        <v>157306</v>
      </c>
      <c r="B24" s="167">
        <v>19</v>
      </c>
      <c r="C24" s="168" t="s">
        <v>13802</v>
      </c>
      <c r="D24" s="10" t="str">
        <f>VLOOKUP(C24,'Data Angt'!$A$5:$B$5809,2,FALSE)</f>
        <v>A4952</v>
      </c>
      <c r="E24" s="169" t="s">
        <v>24194</v>
      </c>
      <c r="F24" s="170">
        <v>45862</v>
      </c>
      <c r="G24" s="167">
        <v>60</v>
      </c>
      <c r="H24" s="169">
        <v>0</v>
      </c>
      <c r="I24" s="167">
        <v>6</v>
      </c>
      <c r="J24" s="170">
        <v>45924</v>
      </c>
      <c r="K24" s="171">
        <v>150501</v>
      </c>
      <c r="L24" s="159"/>
      <c r="M24" s="176" t="s">
        <v>13864</v>
      </c>
      <c r="N24" s="173">
        <f t="shared" si="0"/>
        <v>0</v>
      </c>
      <c r="O24" s="2">
        <f>VLOOKUP(M24,'Data Angt'!$A$5:$F$5810,6,FALSE)</f>
        <v>48</v>
      </c>
      <c r="P24" s="174" t="str">
        <f>VLOOKUP(M24,'Data Angt'!$A$5:$H$5710,8,FALSE)</f>
        <v>Wiraswasta</v>
      </c>
      <c r="Q24" s="44" t="str">
        <f>VLOOKUP(M24,'Data Angt'!$A$5:$C$5809,3,FALSE)</f>
        <v>KRK</v>
      </c>
    </row>
    <row r="25" spans="1:17" x14ac:dyDescent="0.3">
      <c r="A25" s="166">
        <v>149617</v>
      </c>
      <c r="B25" s="167">
        <v>20</v>
      </c>
      <c r="C25" s="168" t="s">
        <v>13864</v>
      </c>
      <c r="D25" s="10" t="str">
        <f>VLOOKUP(C25,'Data Angt'!$A$5:$B$5809,2,FALSE)</f>
        <v>A4983</v>
      </c>
      <c r="E25" s="169" t="s">
        <v>18707</v>
      </c>
      <c r="F25" s="170">
        <v>45574</v>
      </c>
      <c r="G25" s="167">
        <v>60</v>
      </c>
      <c r="H25" s="169">
        <v>0</v>
      </c>
      <c r="I25" s="167">
        <v>6</v>
      </c>
      <c r="J25" s="170">
        <v>45909</v>
      </c>
      <c r="K25" s="171">
        <v>307333</v>
      </c>
      <c r="L25" s="159"/>
      <c r="M25" s="44" t="s">
        <v>14207</v>
      </c>
      <c r="N25" s="173">
        <f t="shared" si="0"/>
        <v>0</v>
      </c>
      <c r="O25" s="2">
        <f>VLOOKUP(M25,'Data Angt'!$A$5:$F$5810,6,FALSE)</f>
        <v>51</v>
      </c>
      <c r="P25" s="174" t="str">
        <f>VLOOKUP(M25,'Data Angt'!$A$5:$H$5710,8,FALSE)</f>
        <v>Wiraswasta</v>
      </c>
      <c r="Q25" s="44" t="str">
        <f>VLOOKUP(M25,'Data Angt'!$A$5:$C$5809,3,FALSE)</f>
        <v>BWI</v>
      </c>
    </row>
    <row r="26" spans="1:17" x14ac:dyDescent="0.3">
      <c r="A26" s="166">
        <v>154631</v>
      </c>
      <c r="B26" s="167">
        <v>21</v>
      </c>
      <c r="C26" s="168" t="s">
        <v>14207</v>
      </c>
      <c r="D26" s="10" t="str">
        <f>VLOOKUP(C26,'Data Angt'!$A$5:$B$5809,2,FALSE)</f>
        <v>A5138</v>
      </c>
      <c r="E26" s="169" t="s">
        <v>18708</v>
      </c>
      <c r="F26" s="170">
        <v>45734</v>
      </c>
      <c r="G26" s="167">
        <v>60</v>
      </c>
      <c r="H26" s="169">
        <v>0</v>
      </c>
      <c r="I26" s="167">
        <v>6</v>
      </c>
      <c r="J26" s="170">
        <v>45926</v>
      </c>
      <c r="K26" s="171">
        <v>403266</v>
      </c>
      <c r="L26" s="159"/>
      <c r="M26" s="44" t="s">
        <v>14246</v>
      </c>
      <c r="N26" s="173" t="e">
        <f t="shared" si="0"/>
        <v>#N/A</v>
      </c>
      <c r="O26" s="2">
        <f>VLOOKUP(M26,'Data Angt'!$A$5:$F$5810,6,FALSE)</f>
        <v>49</v>
      </c>
      <c r="P26" s="174" t="str">
        <f>VLOOKUP(M26,'Data Angt'!$A$5:$H$5710,8,FALSE)</f>
        <v>Mengurus Rumah Tangga</v>
      </c>
      <c r="Q26" s="44" t="str">
        <f>VLOOKUP(M26,'Data Angt'!$A$5:$C$5809,3,FALSE)</f>
        <v>BWI</v>
      </c>
    </row>
    <row r="27" spans="1:17" x14ac:dyDescent="0.3">
      <c r="A27" s="166">
        <v>152091</v>
      </c>
      <c r="B27" s="167">
        <v>22</v>
      </c>
      <c r="C27" s="168" t="s">
        <v>14246</v>
      </c>
      <c r="D27" s="10" t="str">
        <f>VLOOKUP(C27,'Data Angt'!$A$5:$B$5809,2,FALSE)</f>
        <v>A5156</v>
      </c>
      <c r="E27" s="169" t="s">
        <v>18709</v>
      </c>
      <c r="F27" s="170">
        <v>45668</v>
      </c>
      <c r="G27" s="167">
        <v>60</v>
      </c>
      <c r="H27" s="169">
        <v>0</v>
      </c>
      <c r="I27" s="167">
        <v>6</v>
      </c>
      <c r="J27" s="170">
        <v>45911</v>
      </c>
      <c r="K27" s="171">
        <v>403275</v>
      </c>
      <c r="L27" s="159"/>
      <c r="M27" t="s">
        <v>15288</v>
      </c>
      <c r="N27" s="173" t="e">
        <f t="shared" si="0"/>
        <v>#N/A</v>
      </c>
      <c r="O27" s="2">
        <f>VLOOKUP(M27,'Data Angt'!$A$5:$F$5810,6,FALSE)</f>
        <v>38</v>
      </c>
      <c r="P27" s="174" t="str">
        <f>VLOOKUP(M27,'Data Angt'!$A$5:$H$5710,8,FALSE)</f>
        <v>Karyawan</v>
      </c>
      <c r="Q27" s="44" t="str">
        <f>VLOOKUP(M27,'Data Angt'!$A$5:$C$5809,3,FALSE)</f>
        <v>PBL</v>
      </c>
    </row>
    <row r="28" spans="1:17" x14ac:dyDescent="0.3">
      <c r="A28" s="166">
        <v>157045</v>
      </c>
      <c r="B28" s="167">
        <v>23</v>
      </c>
      <c r="C28" s="168" t="s">
        <v>15288</v>
      </c>
      <c r="D28" s="10" t="str">
        <f>VLOOKUP(C28,'Data Angt'!$A$5:$B$5809,2,FALSE)</f>
        <v>A5592</v>
      </c>
      <c r="E28" s="169" t="s">
        <v>24195</v>
      </c>
      <c r="F28" s="170">
        <v>45854</v>
      </c>
      <c r="G28" s="167">
        <v>60</v>
      </c>
      <c r="H28" s="169">
        <v>0</v>
      </c>
      <c r="I28" s="167">
        <v>6</v>
      </c>
      <c r="J28" s="170">
        <v>45916</v>
      </c>
      <c r="K28" s="171">
        <v>602503</v>
      </c>
      <c r="L28" s="159"/>
      <c r="M28"/>
    </row>
    <row r="29" spans="1:17" ht="15" thickBot="1" x14ac:dyDescent="0.35">
      <c r="A29" s="357" t="s">
        <v>11406</v>
      </c>
      <c r="B29" s="358"/>
      <c r="C29" s="358"/>
      <c r="D29" s="358"/>
      <c r="E29" s="358"/>
      <c r="F29" s="358"/>
      <c r="G29" s="358"/>
      <c r="H29" s="358"/>
      <c r="I29" s="358"/>
      <c r="J29" s="359"/>
      <c r="K29" s="175">
        <v>59425075</v>
      </c>
    </row>
  </sheetData>
  <mergeCells count="5">
    <mergeCell ref="A29:J29"/>
    <mergeCell ref="A1:L1"/>
    <mergeCell ref="A2:L2"/>
    <mergeCell ref="A3:L3"/>
    <mergeCell ref="A4:L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A17F-A7CF-4C15-B418-3AF09E0137EE}">
  <dimension ref="A1:Q182"/>
  <sheetViews>
    <sheetView showGridLines="0" workbookViewId="0">
      <selection activeCell="D10" sqref="D10"/>
    </sheetView>
  </sheetViews>
  <sheetFormatPr defaultColWidth="9.109375" defaultRowHeight="14.4" x14ac:dyDescent="0.3"/>
  <cols>
    <col min="1" max="1" width="7" style="5" bestFit="1" customWidth="1"/>
    <col min="2" max="2" width="4" style="5" bestFit="1" customWidth="1"/>
    <col min="3" max="3" width="18" style="5" bestFit="1" customWidth="1"/>
    <col min="4" max="4" width="27.33203125" style="5" customWidth="1"/>
    <col min="5" max="5" width="12.6640625" style="5" bestFit="1" customWidth="1"/>
    <col min="6" max="6" width="10.6640625" style="5" bestFit="1" customWidth="1"/>
    <col min="7" max="7" width="13.33203125" style="5" bestFit="1" customWidth="1"/>
    <col min="8" max="8" width="15.109375" style="5" bestFit="1" customWidth="1"/>
    <col min="9" max="9" width="6.44140625" style="5" bestFit="1" customWidth="1"/>
    <col min="10" max="10" width="17" style="5" bestFit="1" customWidth="1"/>
    <col min="11" max="11" width="19.6640625" style="5" bestFit="1" customWidth="1"/>
    <col min="12" max="12" width="9.109375" style="44"/>
    <col min="13" max="13" width="18" style="44" bestFit="1" customWidth="1"/>
    <col min="14" max="14" width="11.5546875" style="44" bestFit="1" customWidth="1"/>
    <col min="15" max="15" width="9.109375" style="44"/>
    <col min="16" max="16" width="18" style="44" bestFit="1" customWidth="1"/>
    <col min="17" max="16384" width="9.109375" style="44"/>
  </cols>
  <sheetData>
    <row r="1" spans="1:17" ht="15" customHeight="1" x14ac:dyDescent="0.3">
      <c r="A1" s="91" t="s">
        <v>10757</v>
      </c>
      <c r="B1" s="44"/>
      <c r="C1" s="44"/>
      <c r="D1" s="44"/>
      <c r="E1" s="44"/>
      <c r="F1" s="44"/>
      <c r="G1" s="44"/>
      <c r="H1" s="44"/>
      <c r="I1" s="44"/>
      <c r="J1" s="44"/>
      <c r="K1" s="44"/>
    </row>
    <row r="2" spans="1:17" ht="15" customHeight="1" x14ac:dyDescent="0.3">
      <c r="A2" s="45" t="s">
        <v>9807</v>
      </c>
      <c r="B2" s="44"/>
      <c r="C2" s="44"/>
      <c r="D2" s="44"/>
      <c r="E2" s="44"/>
      <c r="F2" s="44"/>
      <c r="G2" s="44"/>
      <c r="H2" s="44"/>
      <c r="I2" s="44"/>
      <c r="J2" s="44"/>
      <c r="K2" s="44"/>
    </row>
    <row r="3" spans="1:17" ht="15" customHeight="1" x14ac:dyDescent="0.3">
      <c r="A3" s="45" t="s">
        <v>11981</v>
      </c>
      <c r="B3" s="44"/>
      <c r="C3" s="44"/>
      <c r="D3" s="44"/>
      <c r="E3" s="44"/>
      <c r="F3" s="44"/>
      <c r="G3" s="44"/>
      <c r="H3" s="44"/>
      <c r="I3" s="44"/>
      <c r="J3" s="44"/>
      <c r="K3" s="44"/>
    </row>
    <row r="4" spans="1:17" ht="15" thickBot="1" x14ac:dyDescent="0.35">
      <c r="A4" s="45" t="s">
        <v>9809</v>
      </c>
      <c r="B4" s="44"/>
      <c r="C4" s="44"/>
      <c r="D4" s="44"/>
      <c r="E4" s="44"/>
      <c r="F4" s="44"/>
      <c r="G4" s="44"/>
      <c r="H4" s="44"/>
      <c r="I4" s="44"/>
      <c r="J4" s="44"/>
      <c r="K4" s="44"/>
      <c r="M4" s="48" t="s">
        <v>10760</v>
      </c>
      <c r="N4" s="51" t="s">
        <v>12056</v>
      </c>
      <c r="O4" s="49" t="s">
        <v>9786</v>
      </c>
      <c r="P4" s="50" t="s">
        <v>9792</v>
      </c>
      <c r="Q4" s="19" t="s">
        <v>24218</v>
      </c>
    </row>
    <row r="5" spans="1:17" ht="18.75" customHeight="1" x14ac:dyDescent="0.3">
      <c r="A5" s="93" t="s">
        <v>10759</v>
      </c>
      <c r="B5" s="94" t="s">
        <v>9810</v>
      </c>
      <c r="C5" s="94" t="s">
        <v>10760</v>
      </c>
      <c r="D5" s="94" t="s">
        <v>30029</v>
      </c>
      <c r="E5" s="94" t="s">
        <v>10761</v>
      </c>
      <c r="F5" s="94" t="s">
        <v>10762</v>
      </c>
      <c r="G5" s="94" t="s">
        <v>10763</v>
      </c>
      <c r="H5" s="94" t="s">
        <v>10764</v>
      </c>
      <c r="I5" s="94" t="s">
        <v>10765</v>
      </c>
      <c r="J5" s="94" t="s">
        <v>10766</v>
      </c>
      <c r="K5" s="94" t="s">
        <v>23974</v>
      </c>
      <c r="M5" s="39" t="s">
        <v>91</v>
      </c>
      <c r="N5" s="52">
        <f>VLOOKUP(M5,$C$6:$H$183,6,FALSE)</f>
        <v>0</v>
      </c>
      <c r="O5" s="2">
        <f>VLOOKUP(M5,'Data Angt'!$A$5:$F$5810,6,FALSE)</f>
        <v>61</v>
      </c>
      <c r="P5" s="47" t="str">
        <f>VLOOKUP(M5,'Data Angt'!$A$5:$H$5810,8,FALSE)</f>
        <v>Pensiunan</v>
      </c>
      <c r="Q5" s="44" t="str">
        <f>VLOOKUP(M5,'Data Angt'!$A$5:$C$5809,3,FALSE)</f>
        <v>PBL</v>
      </c>
    </row>
    <row r="6" spans="1:17" x14ac:dyDescent="0.3">
      <c r="A6" s="37">
        <v>144817</v>
      </c>
      <c r="B6" s="38">
        <v>1</v>
      </c>
      <c r="C6" s="39" t="s">
        <v>91</v>
      </c>
      <c r="D6" s="10" t="str">
        <f>VLOOKUP(C6,'Data Angt'!$A$5:$B$5809,2,FALSE)</f>
        <v>A27</v>
      </c>
      <c r="E6" s="40" t="s">
        <v>18711</v>
      </c>
      <c r="F6" s="41">
        <v>45422</v>
      </c>
      <c r="G6" s="38">
        <v>60</v>
      </c>
      <c r="H6" s="40">
        <v>0</v>
      </c>
      <c r="I6" s="38">
        <v>6</v>
      </c>
      <c r="J6" s="41">
        <v>45929</v>
      </c>
      <c r="K6" s="40">
        <v>867840</v>
      </c>
      <c r="M6" s="39" t="s">
        <v>262</v>
      </c>
      <c r="N6" s="52">
        <f t="shared" ref="N6:N69" si="0">VLOOKUP(M6,$C$6:$H$183,6,FALSE)</f>
        <v>0</v>
      </c>
      <c r="O6" s="2">
        <f>VLOOKUP(M6,'Data Angt'!$A$5:$F$5810,6,FALSE)</f>
        <v>51</v>
      </c>
      <c r="P6" s="47" t="str">
        <f>VLOOKUP(M6,'Data Angt'!$A$5:$H$5810,8,FALSE)</f>
        <v>Wiraswasta</v>
      </c>
      <c r="Q6" s="44" t="str">
        <f>VLOOKUP(M6,'Data Angt'!$A$5:$C$5809,3,FALSE)</f>
        <v>PBL</v>
      </c>
    </row>
    <row r="7" spans="1:17" x14ac:dyDescent="0.3">
      <c r="A7" s="37">
        <v>156860</v>
      </c>
      <c r="B7" s="38">
        <v>2</v>
      </c>
      <c r="C7" s="39" t="s">
        <v>262</v>
      </c>
      <c r="D7" s="10" t="str">
        <f>VLOOKUP(C7,'Data Angt'!$A$5:$B$5809,2,FALSE)</f>
        <v>A83</v>
      </c>
      <c r="E7" s="40" t="s">
        <v>24196</v>
      </c>
      <c r="F7" s="41">
        <v>45846</v>
      </c>
      <c r="G7" s="38">
        <v>60</v>
      </c>
      <c r="H7" s="40">
        <v>0</v>
      </c>
      <c r="I7" s="38">
        <v>6</v>
      </c>
      <c r="J7" s="41">
        <v>45908</v>
      </c>
      <c r="K7" s="40">
        <v>301001</v>
      </c>
      <c r="M7" s="39" t="s">
        <v>301</v>
      </c>
      <c r="N7" s="52">
        <f t="shared" si="0"/>
        <v>0</v>
      </c>
      <c r="O7" s="2">
        <f>VLOOKUP(M7,'Data Angt'!$A$5:$F$5810,6,FALSE)</f>
        <v>38</v>
      </c>
      <c r="P7" s="47" t="str">
        <f>VLOOKUP(M7,'Data Angt'!$A$5:$H$5810,8,FALSE)</f>
        <v>Karyawan</v>
      </c>
      <c r="Q7" s="44" t="str">
        <f>VLOOKUP(M7,'Data Angt'!$A$5:$C$5809,3,FALSE)</f>
        <v>PBL</v>
      </c>
    </row>
    <row r="8" spans="1:17" x14ac:dyDescent="0.3">
      <c r="A8" s="37">
        <v>126221</v>
      </c>
      <c r="B8" s="38">
        <v>3</v>
      </c>
      <c r="C8" s="39" t="s">
        <v>301</v>
      </c>
      <c r="D8" s="10" t="str">
        <f>VLOOKUP(C8,'Data Angt'!$A$5:$B$5809,2,FALSE)</f>
        <v>A103</v>
      </c>
      <c r="E8" s="40" t="s">
        <v>12033</v>
      </c>
      <c r="F8" s="41">
        <v>44186</v>
      </c>
      <c r="G8" s="38">
        <v>60</v>
      </c>
      <c r="H8" s="40">
        <v>0</v>
      </c>
      <c r="I8" s="38">
        <v>7</v>
      </c>
      <c r="J8" s="41">
        <v>45921</v>
      </c>
      <c r="K8" s="40">
        <v>2986058</v>
      </c>
      <c r="M8" s="39" t="s">
        <v>303</v>
      </c>
      <c r="N8" s="52">
        <f t="shared" si="0"/>
        <v>0</v>
      </c>
      <c r="O8" s="2">
        <f>VLOOKUP(M8,'Data Angt'!$A$5:$F$5810,6,FALSE)</f>
        <v>33</v>
      </c>
      <c r="P8" s="47" t="str">
        <f>VLOOKUP(M8,'Data Angt'!$A$5:$H$5810,8,FALSE)</f>
        <v>Wiraswasta</v>
      </c>
      <c r="Q8" s="44" t="str">
        <f>VLOOKUP(M8,'Data Angt'!$A$5:$C$5809,3,FALSE)</f>
        <v>PBL</v>
      </c>
    </row>
    <row r="9" spans="1:17" x14ac:dyDescent="0.3">
      <c r="A9" s="37">
        <v>142758</v>
      </c>
      <c r="B9" s="38">
        <v>4</v>
      </c>
      <c r="C9" s="39" t="s">
        <v>301</v>
      </c>
      <c r="D9" s="10" t="str">
        <f>VLOOKUP(C9,'Data Angt'!$A$5:$B$5809,2,FALSE)</f>
        <v>A103</v>
      </c>
      <c r="E9" s="40" t="s">
        <v>18712</v>
      </c>
      <c r="F9" s="41">
        <v>45344</v>
      </c>
      <c r="G9" s="38">
        <v>60</v>
      </c>
      <c r="H9" s="40">
        <v>0</v>
      </c>
      <c r="I9" s="38">
        <v>7</v>
      </c>
      <c r="J9" s="41">
        <v>45922</v>
      </c>
      <c r="K9" s="40">
        <v>2325175</v>
      </c>
      <c r="M9" s="39" t="s">
        <v>305</v>
      </c>
      <c r="N9" s="52">
        <f t="shared" si="0"/>
        <v>0</v>
      </c>
      <c r="O9" s="2">
        <f>VLOOKUP(M9,'Data Angt'!$A$5:$F$5810,6,FALSE)</f>
        <v>30</v>
      </c>
      <c r="P9" s="47" t="str">
        <f>VLOOKUP(M9,'Data Angt'!$A$5:$H$5810,8,FALSE)</f>
        <v>Aparatur/Pejabat Negara</v>
      </c>
      <c r="Q9" s="44" t="str">
        <f>VLOOKUP(M9,'Data Angt'!$A$5:$C$5809,3,FALSE)</f>
        <v>PBL</v>
      </c>
    </row>
    <row r="10" spans="1:17" x14ac:dyDescent="0.3">
      <c r="A10" s="37">
        <v>142760</v>
      </c>
      <c r="B10" s="38">
        <v>5</v>
      </c>
      <c r="C10" s="39" t="s">
        <v>301</v>
      </c>
      <c r="D10" s="10" t="str">
        <f>VLOOKUP(C10,'Data Angt'!$A$5:$B$5809,2,FALSE)</f>
        <v>A103</v>
      </c>
      <c r="E10" s="40" t="s">
        <v>18713</v>
      </c>
      <c r="F10" s="41">
        <v>45344</v>
      </c>
      <c r="G10" s="38">
        <v>60</v>
      </c>
      <c r="H10" s="40">
        <v>0</v>
      </c>
      <c r="I10" s="38">
        <v>7</v>
      </c>
      <c r="J10" s="41">
        <v>45922</v>
      </c>
      <c r="K10" s="40">
        <v>5812931</v>
      </c>
      <c r="M10" s="39" t="s">
        <v>473</v>
      </c>
      <c r="N10" s="52">
        <f t="shared" si="0"/>
        <v>0</v>
      </c>
      <c r="O10" s="2">
        <f>VLOOKUP(M10,'Data Angt'!$A$5:$F$5810,6,FALSE)</f>
        <v>44</v>
      </c>
      <c r="P10" s="47" t="str">
        <f>VLOOKUP(M10,'Data Angt'!$A$5:$H$5810,8,FALSE)</f>
        <v>Wiraswasta</v>
      </c>
      <c r="Q10" s="44" t="str">
        <f>VLOOKUP(M10,'Data Angt'!$A$5:$C$5809,3,FALSE)</f>
        <v>PBL</v>
      </c>
    </row>
    <row r="11" spans="1:17" x14ac:dyDescent="0.3">
      <c r="A11" s="37">
        <v>142755</v>
      </c>
      <c r="B11" s="38">
        <v>6</v>
      </c>
      <c r="C11" s="39" t="s">
        <v>303</v>
      </c>
      <c r="D11" s="10" t="str">
        <f>VLOOKUP(C11,'Data Angt'!$A$5:$B$5809,2,FALSE)</f>
        <v>A104</v>
      </c>
      <c r="E11" s="40" t="s">
        <v>18714</v>
      </c>
      <c r="F11" s="41">
        <v>45344</v>
      </c>
      <c r="G11" s="38">
        <v>60</v>
      </c>
      <c r="H11" s="40">
        <v>0</v>
      </c>
      <c r="I11" s="38">
        <v>7</v>
      </c>
      <c r="J11" s="41">
        <v>45922</v>
      </c>
      <c r="K11" s="40">
        <v>2325175</v>
      </c>
      <c r="M11" s="39" t="s">
        <v>691</v>
      </c>
      <c r="N11" s="52">
        <f t="shared" si="0"/>
        <v>0</v>
      </c>
      <c r="O11" s="2">
        <f>VLOOKUP(M11,'Data Angt'!$A$5:$F$5810,6,FALSE)</f>
        <v>62</v>
      </c>
      <c r="P11" s="47" t="str">
        <f>VLOOKUP(M11,'Data Angt'!$A$5:$H$5810,8,FALSE)</f>
        <v>Pensiunan</v>
      </c>
      <c r="Q11" s="44" t="str">
        <f>VLOOKUP(M11,'Data Angt'!$A$5:$C$5809,3,FALSE)</f>
        <v>KRK</v>
      </c>
    </row>
    <row r="12" spans="1:17" x14ac:dyDescent="0.3">
      <c r="A12" s="37">
        <v>131412</v>
      </c>
      <c r="B12" s="38">
        <v>7</v>
      </c>
      <c r="C12" s="39" t="s">
        <v>303</v>
      </c>
      <c r="D12" s="10" t="str">
        <f>VLOOKUP(C12,'Data Angt'!$A$5:$B$5809,2,FALSE)</f>
        <v>A104</v>
      </c>
      <c r="E12" s="40" t="s">
        <v>12038</v>
      </c>
      <c r="F12" s="41">
        <v>44579</v>
      </c>
      <c r="G12" s="38">
        <v>60</v>
      </c>
      <c r="H12" s="40">
        <v>0</v>
      </c>
      <c r="I12" s="38">
        <v>7</v>
      </c>
      <c r="J12" s="41">
        <v>45918</v>
      </c>
      <c r="K12" s="40">
        <v>3631432</v>
      </c>
      <c r="M12" s="39" t="s">
        <v>711</v>
      </c>
      <c r="N12" s="52">
        <f t="shared" si="0"/>
        <v>0</v>
      </c>
      <c r="O12" s="2">
        <f>VLOOKUP(M12,'Data Angt'!$A$5:$F$5810,6,FALSE)</f>
        <v>52</v>
      </c>
      <c r="P12" s="47" t="str">
        <f>VLOOKUP(M12,'Data Angt'!$A$5:$H$5810,8,FALSE)</f>
        <v>Aparatur/Pejabat Negara</v>
      </c>
      <c r="Q12" s="44" t="str">
        <f>VLOOKUP(M12,'Data Angt'!$A$5:$C$5809,3,FALSE)</f>
        <v>PBL</v>
      </c>
    </row>
    <row r="13" spans="1:17" x14ac:dyDescent="0.3">
      <c r="A13" s="37">
        <v>144521</v>
      </c>
      <c r="B13" s="38">
        <v>8</v>
      </c>
      <c r="C13" s="39" t="s">
        <v>305</v>
      </c>
      <c r="D13" s="10" t="str">
        <f>VLOOKUP(C13,'Data Angt'!$A$5:$B$5809,2,FALSE)</f>
        <v>A105</v>
      </c>
      <c r="E13" s="40" t="s">
        <v>18715</v>
      </c>
      <c r="F13" s="41">
        <v>45412</v>
      </c>
      <c r="G13" s="38">
        <v>60</v>
      </c>
      <c r="H13" s="40">
        <v>0</v>
      </c>
      <c r="I13" s="38">
        <v>6</v>
      </c>
      <c r="J13" s="41">
        <v>45930</v>
      </c>
      <c r="K13" s="40">
        <v>9214207</v>
      </c>
      <c r="M13" s="39" t="s">
        <v>12119</v>
      </c>
      <c r="N13" s="52">
        <f t="shared" si="0"/>
        <v>0</v>
      </c>
      <c r="O13" s="2">
        <f>VLOOKUP(M13,'Data Angt'!$A$5:$F$5810,6,FALSE)</f>
        <v>24</v>
      </c>
      <c r="P13" s="47" t="str">
        <f>VLOOKUP(M13,'Data Angt'!$A$5:$H$5810,8,FALSE)</f>
        <v>Pelajar/Mahasiswa</v>
      </c>
      <c r="Q13" s="44" t="str">
        <f>VLOOKUP(M13,'Data Angt'!$A$5:$C$5809,3,FALSE)</f>
        <v>PBL</v>
      </c>
    </row>
    <row r="14" spans="1:17" x14ac:dyDescent="0.3">
      <c r="A14" s="37">
        <v>149329</v>
      </c>
      <c r="B14" s="38">
        <v>9</v>
      </c>
      <c r="C14" s="39" t="s">
        <v>473</v>
      </c>
      <c r="D14" s="10" t="str">
        <f>VLOOKUP(C14,'Data Angt'!$A$5:$B$5809,2,FALSE)</f>
        <v>A167</v>
      </c>
      <c r="E14" s="40" t="s">
        <v>18716</v>
      </c>
      <c r="F14" s="41">
        <v>45560</v>
      </c>
      <c r="G14" s="38">
        <v>60</v>
      </c>
      <c r="H14" s="40">
        <v>0</v>
      </c>
      <c r="I14" s="38">
        <v>6</v>
      </c>
      <c r="J14" s="41">
        <v>45925</v>
      </c>
      <c r="K14" s="40">
        <v>13222213</v>
      </c>
      <c r="M14" s="39" t="s">
        <v>966</v>
      </c>
      <c r="N14" s="52">
        <f t="shared" si="0"/>
        <v>0</v>
      </c>
      <c r="O14" s="2">
        <f>VLOOKUP(M14,'Data Angt'!$A$5:$F$5810,6,FALSE)</f>
        <v>47</v>
      </c>
      <c r="P14" s="47" t="str">
        <f>VLOOKUP(M14,'Data Angt'!$A$5:$H$5810,8,FALSE)</f>
        <v>Karyawan</v>
      </c>
      <c r="Q14" s="44" t="str">
        <f>VLOOKUP(M14,'Data Angt'!$A$5:$C$5809,3,FALSE)</f>
        <v>PBL</v>
      </c>
    </row>
    <row r="15" spans="1:17" x14ac:dyDescent="0.3">
      <c r="A15" s="37">
        <v>146299</v>
      </c>
      <c r="B15" s="38">
        <v>10</v>
      </c>
      <c r="C15" s="39" t="s">
        <v>691</v>
      </c>
      <c r="D15" s="10" t="str">
        <f>VLOOKUP(C15,'Data Angt'!$A$5:$B$5809,2,FALSE)</f>
        <v>A256</v>
      </c>
      <c r="E15" s="40" t="s">
        <v>18717</v>
      </c>
      <c r="F15" s="41">
        <v>45476</v>
      </c>
      <c r="G15" s="38">
        <v>60</v>
      </c>
      <c r="H15" s="40">
        <v>0</v>
      </c>
      <c r="I15" s="38">
        <v>6</v>
      </c>
      <c r="J15" s="41">
        <v>45903</v>
      </c>
      <c r="K15" s="40">
        <v>764415</v>
      </c>
      <c r="M15" s="39" t="s">
        <v>1237</v>
      </c>
      <c r="N15" s="52">
        <f t="shared" si="0"/>
        <v>0</v>
      </c>
      <c r="O15" s="2">
        <f>VLOOKUP(M15,'Data Angt'!$A$5:$F$5810,6,FALSE)</f>
        <v>51</v>
      </c>
      <c r="P15" s="47" t="str">
        <f>VLOOKUP(M15,'Data Angt'!$A$5:$H$5810,8,FALSE)</f>
        <v>Karyawan</v>
      </c>
      <c r="Q15" s="44" t="str">
        <f>VLOOKUP(M15,'Data Angt'!$A$5:$C$5809,3,FALSE)</f>
        <v>KRK</v>
      </c>
    </row>
    <row r="16" spans="1:17" x14ac:dyDescent="0.3">
      <c r="A16" s="37">
        <v>149651</v>
      </c>
      <c r="B16" s="38">
        <v>11</v>
      </c>
      <c r="C16" s="39" t="s">
        <v>711</v>
      </c>
      <c r="D16" s="10" t="str">
        <f>VLOOKUP(C16,'Data Angt'!$A$5:$B$5809,2,FALSE)</f>
        <v>A264</v>
      </c>
      <c r="E16" s="40" t="s">
        <v>18718</v>
      </c>
      <c r="F16" s="41">
        <v>45576</v>
      </c>
      <c r="G16" s="38">
        <v>60</v>
      </c>
      <c r="H16" s="40">
        <v>0</v>
      </c>
      <c r="I16" s="38">
        <v>6</v>
      </c>
      <c r="J16" s="41">
        <v>45911</v>
      </c>
      <c r="K16" s="40">
        <v>1219425</v>
      </c>
      <c r="M16" s="39" t="s">
        <v>1581</v>
      </c>
      <c r="N16" s="52">
        <f t="shared" si="0"/>
        <v>0</v>
      </c>
      <c r="O16" s="2">
        <f>VLOOKUP(M16,'Data Angt'!$A$5:$F$5810,6,FALSE)</f>
        <v>52</v>
      </c>
      <c r="P16" s="47" t="str">
        <f>VLOOKUP(M16,'Data Angt'!$A$5:$H$5810,8,FALSE)</f>
        <v>Aparatur/Pejabat Negara</v>
      </c>
      <c r="Q16" s="44" t="str">
        <f>VLOOKUP(M16,'Data Angt'!$A$5:$C$5809,3,FALSE)</f>
        <v>PBL</v>
      </c>
    </row>
    <row r="17" spans="1:17" x14ac:dyDescent="0.3">
      <c r="A17" s="37">
        <v>127657</v>
      </c>
      <c r="B17" s="38">
        <v>12</v>
      </c>
      <c r="C17" s="39" t="s">
        <v>12119</v>
      </c>
      <c r="D17" s="10" t="str">
        <f>VLOOKUP(C17,'Data Angt'!$A$5:$B$5809,2,FALSE)</f>
        <v>A316</v>
      </c>
      <c r="E17" s="40" t="s">
        <v>11991</v>
      </c>
      <c r="F17" s="41">
        <v>44285</v>
      </c>
      <c r="G17" s="38">
        <v>60</v>
      </c>
      <c r="H17" s="40">
        <v>0</v>
      </c>
      <c r="I17" s="38">
        <v>7</v>
      </c>
      <c r="J17" s="41">
        <v>45930</v>
      </c>
      <c r="K17" s="40">
        <v>11987176</v>
      </c>
      <c r="M17" s="39" t="s">
        <v>1608</v>
      </c>
      <c r="N17" s="52">
        <f t="shared" si="0"/>
        <v>0</v>
      </c>
      <c r="O17" s="2">
        <f>VLOOKUP(M17,'Data Angt'!$A$5:$F$5810,6,FALSE)</f>
        <v>56</v>
      </c>
      <c r="P17" s="47" t="str">
        <f>VLOOKUP(M17,'Data Angt'!$A$5:$H$5810,8,FALSE)</f>
        <v>Pensiunan</v>
      </c>
      <c r="Q17" s="44" t="str">
        <f>VLOOKUP(M17,'Data Angt'!$A$5:$C$5809,3,FALSE)</f>
        <v>MJK</v>
      </c>
    </row>
    <row r="18" spans="1:17" x14ac:dyDescent="0.3">
      <c r="A18" s="37">
        <v>130641</v>
      </c>
      <c r="B18" s="38">
        <v>13</v>
      </c>
      <c r="C18" s="39" t="s">
        <v>966</v>
      </c>
      <c r="D18" s="10" t="str">
        <f>VLOOKUP(C18,'Data Angt'!$A$5:$B$5809,2,FALSE)</f>
        <v>A368</v>
      </c>
      <c r="E18" s="40" t="s">
        <v>12004</v>
      </c>
      <c r="F18" s="41">
        <v>44511</v>
      </c>
      <c r="G18" s="38">
        <v>60</v>
      </c>
      <c r="H18" s="40">
        <v>0</v>
      </c>
      <c r="I18" s="38">
        <v>7</v>
      </c>
      <c r="J18" s="41">
        <v>45911</v>
      </c>
      <c r="K18" s="40">
        <v>3847410</v>
      </c>
      <c r="M18" s="39" t="s">
        <v>12165</v>
      </c>
      <c r="N18" s="52">
        <f t="shared" si="0"/>
        <v>0</v>
      </c>
      <c r="O18" s="2">
        <f>VLOOKUP(M18,'Data Angt'!$A$5:$F$5810,6,FALSE)</f>
        <v>24</v>
      </c>
      <c r="P18" s="47" t="str">
        <f>VLOOKUP(M18,'Data Angt'!$A$5:$H$5810,8,FALSE)</f>
        <v>Pelajar/Mahasiswa</v>
      </c>
      <c r="Q18" s="44" t="str">
        <f>VLOOKUP(M18,'Data Angt'!$A$5:$C$5809,3,FALSE)</f>
        <v>JBR</v>
      </c>
    </row>
    <row r="19" spans="1:17" x14ac:dyDescent="0.3">
      <c r="A19" s="37">
        <v>125564</v>
      </c>
      <c r="B19" s="38">
        <v>14</v>
      </c>
      <c r="C19" s="39" t="s">
        <v>1237</v>
      </c>
      <c r="D19" s="10" t="str">
        <f>VLOOKUP(C19,'Data Angt'!$A$5:$B$5809,2,FALSE)</f>
        <v>A481</v>
      </c>
      <c r="E19" s="40" t="s">
        <v>11996</v>
      </c>
      <c r="F19" s="41">
        <v>44137</v>
      </c>
      <c r="G19" s="38">
        <v>60</v>
      </c>
      <c r="H19" s="40">
        <v>0</v>
      </c>
      <c r="I19" s="38">
        <v>7</v>
      </c>
      <c r="J19" s="41">
        <v>45902</v>
      </c>
      <c r="K19" s="40">
        <v>2373414</v>
      </c>
      <c r="M19" s="39" t="s">
        <v>1721</v>
      </c>
      <c r="N19" s="52">
        <f t="shared" si="0"/>
        <v>0</v>
      </c>
      <c r="O19" s="2">
        <f>VLOOKUP(M19,'Data Angt'!$A$5:$F$5810,6,FALSE)</f>
        <v>54</v>
      </c>
      <c r="P19" s="47" t="str">
        <f>VLOOKUP(M19,'Data Angt'!$A$5:$H$5810,8,FALSE)</f>
        <v>Mengurus Rumah Tangga</v>
      </c>
      <c r="Q19" s="44" t="str">
        <f>VLOOKUP(M19,'Data Angt'!$A$5:$C$5809,3,FALSE)</f>
        <v>JBR</v>
      </c>
    </row>
    <row r="20" spans="1:17" x14ac:dyDescent="0.3">
      <c r="A20" s="37">
        <v>138522</v>
      </c>
      <c r="B20" s="38">
        <v>15</v>
      </c>
      <c r="C20" s="39" t="s">
        <v>1581</v>
      </c>
      <c r="D20" s="10" t="str">
        <f>VLOOKUP(C20,'Data Angt'!$A$5:$B$5809,2,FALSE)</f>
        <v>A626</v>
      </c>
      <c r="E20" s="40" t="s">
        <v>11992</v>
      </c>
      <c r="F20" s="41">
        <v>45142</v>
      </c>
      <c r="G20" s="38">
        <v>60</v>
      </c>
      <c r="H20" s="40">
        <v>0</v>
      </c>
      <c r="I20" s="38">
        <v>7</v>
      </c>
      <c r="J20" s="41">
        <v>45904</v>
      </c>
      <c r="K20" s="40">
        <v>5404382</v>
      </c>
      <c r="M20" s="39" t="s">
        <v>2233</v>
      </c>
      <c r="N20" s="52">
        <f t="shared" si="0"/>
        <v>0</v>
      </c>
      <c r="O20" s="2">
        <f>VLOOKUP(M20,'Data Angt'!$A$5:$F$5810,6,FALSE)</f>
        <v>53</v>
      </c>
      <c r="P20" s="47" t="str">
        <f>VLOOKUP(M20,'Data Angt'!$A$5:$H$5810,8,FALSE)</f>
        <v>Karyawan</v>
      </c>
      <c r="Q20" s="44" t="str">
        <f>VLOOKUP(M20,'Data Angt'!$A$5:$C$5809,3,FALSE)</f>
        <v>PBL</v>
      </c>
    </row>
    <row r="21" spans="1:17" x14ac:dyDescent="0.3">
      <c r="A21" s="37">
        <v>154038</v>
      </c>
      <c r="B21" s="38">
        <v>16</v>
      </c>
      <c r="C21" s="39" t="s">
        <v>1608</v>
      </c>
      <c r="D21" s="10" t="str">
        <f>VLOOKUP(C21,'Data Angt'!$A$5:$B$5809,2,FALSE)</f>
        <v>A638</v>
      </c>
      <c r="E21" s="40" t="s">
        <v>18719</v>
      </c>
      <c r="F21" s="41">
        <v>45715</v>
      </c>
      <c r="G21" s="38">
        <v>60</v>
      </c>
      <c r="H21" s="40">
        <v>0</v>
      </c>
      <c r="I21" s="38">
        <v>6</v>
      </c>
      <c r="J21" s="41">
        <v>45927</v>
      </c>
      <c r="K21" s="40">
        <v>555912</v>
      </c>
      <c r="M21" s="39" t="s">
        <v>2280</v>
      </c>
      <c r="N21" s="52">
        <f t="shared" si="0"/>
        <v>0</v>
      </c>
      <c r="O21" s="2">
        <f>VLOOKUP(M21,'Data Angt'!$A$5:$F$5810,6,FALSE)</f>
        <v>56</v>
      </c>
      <c r="P21" s="47" t="str">
        <f>VLOOKUP(M21,'Data Angt'!$A$5:$H$5810,8,FALSE)</f>
        <v>Pensiunan</v>
      </c>
      <c r="Q21" s="44" t="str">
        <f>VLOOKUP(M21,'Data Angt'!$A$5:$C$5809,3,FALSE)</f>
        <v>PBL</v>
      </c>
    </row>
    <row r="22" spans="1:17" x14ac:dyDescent="0.3">
      <c r="A22" s="37">
        <v>139639</v>
      </c>
      <c r="B22" s="38">
        <v>17</v>
      </c>
      <c r="C22" s="39" t="s">
        <v>12165</v>
      </c>
      <c r="D22" s="10" t="str">
        <f>VLOOKUP(C22,'Data Angt'!$A$5:$B$5809,2,FALSE)</f>
        <v>A679</v>
      </c>
      <c r="E22" s="40" t="s">
        <v>11993</v>
      </c>
      <c r="F22" s="41">
        <v>45202</v>
      </c>
      <c r="G22" s="38">
        <v>60</v>
      </c>
      <c r="H22" s="40">
        <v>0</v>
      </c>
      <c r="I22" s="38">
        <v>7</v>
      </c>
      <c r="J22" s="41">
        <v>45903</v>
      </c>
      <c r="K22" s="40">
        <v>7467536</v>
      </c>
      <c r="M22" s="39" t="s">
        <v>12213</v>
      </c>
      <c r="N22" s="52">
        <f t="shared" si="0"/>
        <v>0</v>
      </c>
      <c r="O22" s="2">
        <f>VLOOKUP(M22,'Data Angt'!$A$5:$F$5810,6,FALSE)</f>
        <v>45</v>
      </c>
      <c r="P22" s="47" t="str">
        <f>VLOOKUP(M22,'Data Angt'!$A$5:$H$5810,8,FALSE)</f>
        <v>Karyawan</v>
      </c>
      <c r="Q22" s="44" t="str">
        <f>VLOOKUP(M22,'Data Angt'!$A$5:$C$5809,3,FALSE)</f>
        <v>JBR</v>
      </c>
    </row>
    <row r="23" spans="1:17" x14ac:dyDescent="0.3">
      <c r="A23" s="37">
        <v>128449</v>
      </c>
      <c r="B23" s="38">
        <v>18</v>
      </c>
      <c r="C23" s="39" t="s">
        <v>1721</v>
      </c>
      <c r="D23" s="10" t="str">
        <f>VLOOKUP(C23,'Data Angt'!$A$5:$B$5809,2,FALSE)</f>
        <v>A691</v>
      </c>
      <c r="E23" s="40" t="s">
        <v>12010</v>
      </c>
      <c r="F23" s="41">
        <v>44349</v>
      </c>
      <c r="G23" s="38">
        <v>60</v>
      </c>
      <c r="H23" s="40">
        <v>0</v>
      </c>
      <c r="I23" s="38">
        <v>7</v>
      </c>
      <c r="J23" s="41">
        <v>45926</v>
      </c>
      <c r="K23" s="40">
        <v>5708982</v>
      </c>
      <c r="M23" s="39" t="s">
        <v>2574</v>
      </c>
      <c r="N23" s="52">
        <f t="shared" si="0"/>
        <v>0</v>
      </c>
      <c r="O23" s="2">
        <f>VLOOKUP(M23,'Data Angt'!$A$5:$F$5810,6,FALSE)</f>
        <v>39</v>
      </c>
      <c r="P23" s="47" t="str">
        <f>VLOOKUP(M23,'Data Angt'!$A$5:$H$5810,8,FALSE)</f>
        <v>Tenaga Pengajar</v>
      </c>
      <c r="Q23" s="44" t="str">
        <f>VLOOKUP(M23,'Data Angt'!$A$5:$C$5809,3,FALSE)</f>
        <v>PBL</v>
      </c>
    </row>
    <row r="24" spans="1:17" x14ac:dyDescent="0.3">
      <c r="A24" s="37">
        <v>112125</v>
      </c>
      <c r="B24" s="38">
        <v>19</v>
      </c>
      <c r="C24" s="39" t="s">
        <v>2233</v>
      </c>
      <c r="D24" s="10" t="str">
        <f>VLOOKUP(C24,'Data Angt'!$A$5:$B$5809,2,FALSE)</f>
        <v>A930</v>
      </c>
      <c r="E24" s="40" t="s">
        <v>12016</v>
      </c>
      <c r="F24" s="41">
        <v>43595</v>
      </c>
      <c r="G24" s="38">
        <v>60</v>
      </c>
      <c r="H24" s="40">
        <v>0</v>
      </c>
      <c r="I24" s="38">
        <v>7</v>
      </c>
      <c r="J24" s="41">
        <v>45412</v>
      </c>
      <c r="K24" s="40">
        <v>370527</v>
      </c>
      <c r="M24" s="39" t="s">
        <v>2607</v>
      </c>
      <c r="N24" s="52">
        <f t="shared" si="0"/>
        <v>0</v>
      </c>
      <c r="O24" s="2">
        <f>VLOOKUP(M24,'Data Angt'!$A$5:$F$5810,6,FALSE)</f>
        <v>47</v>
      </c>
      <c r="P24" s="47" t="str">
        <f>VLOOKUP(M24,'Data Angt'!$A$5:$H$5810,8,FALSE)</f>
        <v>Mengurus Rumah Tangga</v>
      </c>
      <c r="Q24" s="44" t="str">
        <f>VLOOKUP(M24,'Data Angt'!$A$5:$C$5809,3,FALSE)</f>
        <v>PBL</v>
      </c>
    </row>
    <row r="25" spans="1:17" x14ac:dyDescent="0.3">
      <c r="A25" s="37">
        <v>149259</v>
      </c>
      <c r="B25" s="38">
        <v>20</v>
      </c>
      <c r="C25" s="39" t="s">
        <v>2280</v>
      </c>
      <c r="D25" s="10" t="str">
        <f>VLOOKUP(C25,'Data Angt'!$A$5:$B$5809,2,FALSE)</f>
        <v>A948</v>
      </c>
      <c r="E25" s="40" t="s">
        <v>18720</v>
      </c>
      <c r="F25" s="41">
        <v>45555</v>
      </c>
      <c r="G25" s="38">
        <v>60</v>
      </c>
      <c r="H25" s="40">
        <v>0</v>
      </c>
      <c r="I25" s="38">
        <v>6</v>
      </c>
      <c r="J25" s="41">
        <v>45920</v>
      </c>
      <c r="K25" s="40">
        <v>1321954</v>
      </c>
      <c r="M25" s="39" t="s">
        <v>2609</v>
      </c>
      <c r="N25" s="52">
        <f t="shared" si="0"/>
        <v>0</v>
      </c>
      <c r="O25" s="2">
        <f>VLOOKUP(M25,'Data Angt'!$A$5:$F$5810,6,FALSE)</f>
        <v>53</v>
      </c>
      <c r="P25" s="47" t="str">
        <f>VLOOKUP(M25,'Data Angt'!$A$5:$H$5810,8,FALSE)</f>
        <v>Wiraswasta</v>
      </c>
      <c r="Q25" s="44" t="str">
        <f>VLOOKUP(M25,'Data Angt'!$A$5:$C$5809,3,FALSE)</f>
        <v>PBL</v>
      </c>
    </row>
    <row r="26" spans="1:17" x14ac:dyDescent="0.3">
      <c r="A26" s="37">
        <v>136557</v>
      </c>
      <c r="B26" s="38">
        <v>21</v>
      </c>
      <c r="C26" s="39" t="s">
        <v>12213</v>
      </c>
      <c r="D26" s="10" t="str">
        <f>VLOOKUP(C26,'Data Angt'!$A$5:$B$5809,2,FALSE)</f>
        <v>A1062</v>
      </c>
      <c r="E26" s="40" t="s">
        <v>11995</v>
      </c>
      <c r="F26" s="41">
        <v>44979</v>
      </c>
      <c r="G26" s="38">
        <v>60</v>
      </c>
      <c r="H26" s="40">
        <v>0</v>
      </c>
      <c r="I26" s="38">
        <v>7</v>
      </c>
      <c r="J26" s="41">
        <v>45922</v>
      </c>
      <c r="K26" s="40">
        <v>5037644</v>
      </c>
      <c r="M26" s="39" t="s">
        <v>2654</v>
      </c>
      <c r="N26" s="52">
        <f t="shared" si="0"/>
        <v>0</v>
      </c>
      <c r="O26" s="2">
        <f>VLOOKUP(M26,'Data Angt'!$A$5:$F$5810,6,FALSE)</f>
        <v>42</v>
      </c>
      <c r="P26" s="47" t="str">
        <f>VLOOKUP(M26,'Data Angt'!$A$5:$H$5810,8,FALSE)</f>
        <v>Tenaga Pengajar</v>
      </c>
      <c r="Q26" s="44" t="str">
        <f>VLOOKUP(M26,'Data Angt'!$A$5:$C$5809,3,FALSE)</f>
        <v>KRK</v>
      </c>
    </row>
    <row r="27" spans="1:17" x14ac:dyDescent="0.3">
      <c r="A27" s="37">
        <v>150639</v>
      </c>
      <c r="B27" s="38">
        <v>22</v>
      </c>
      <c r="C27" s="39" t="s">
        <v>2574</v>
      </c>
      <c r="D27" s="10" t="str">
        <f>VLOOKUP(C27,'Data Angt'!$A$5:$B$5809,2,FALSE)</f>
        <v>A1071</v>
      </c>
      <c r="E27" s="40" t="s">
        <v>18721</v>
      </c>
      <c r="F27" s="41">
        <v>45611</v>
      </c>
      <c r="G27" s="38">
        <v>60</v>
      </c>
      <c r="H27" s="40">
        <v>0</v>
      </c>
      <c r="I27" s="38">
        <v>6</v>
      </c>
      <c r="J27" s="41">
        <v>45915</v>
      </c>
      <c r="K27" s="40">
        <v>558194</v>
      </c>
      <c r="M27" s="39" t="s">
        <v>12249</v>
      </c>
      <c r="N27" s="52">
        <f t="shared" si="0"/>
        <v>0</v>
      </c>
      <c r="O27" s="2">
        <f>VLOOKUP(M27,'Data Angt'!$A$5:$F$5810,6,FALSE)</f>
        <v>21</v>
      </c>
      <c r="P27" s="47" t="str">
        <f>VLOOKUP(M27,'Data Angt'!$A$5:$H$5810,8,FALSE)</f>
        <v>Pelajar/Mahasiswa</v>
      </c>
      <c r="Q27" s="44" t="str">
        <f>VLOOKUP(M27,'Data Angt'!$A$5:$C$5809,3,FALSE)</f>
        <v>JBR</v>
      </c>
    </row>
    <row r="28" spans="1:17" x14ac:dyDescent="0.3">
      <c r="A28" s="37">
        <v>133826</v>
      </c>
      <c r="B28" s="38">
        <v>23</v>
      </c>
      <c r="C28" s="39" t="s">
        <v>2574</v>
      </c>
      <c r="D28" s="10" t="str">
        <f>VLOOKUP(C28,'Data Angt'!$A$5:$B$5809,2,FALSE)</f>
        <v>A1071</v>
      </c>
      <c r="E28" s="40" t="s">
        <v>12006</v>
      </c>
      <c r="F28" s="41">
        <v>44771</v>
      </c>
      <c r="G28" s="38">
        <v>60</v>
      </c>
      <c r="H28" s="40">
        <v>0</v>
      </c>
      <c r="I28" s="38">
        <v>7</v>
      </c>
      <c r="J28" s="41">
        <v>45929</v>
      </c>
      <c r="K28" s="40">
        <v>2127347</v>
      </c>
      <c r="M28" s="39" t="s">
        <v>3279</v>
      </c>
      <c r="N28" s="52">
        <f t="shared" si="0"/>
        <v>0</v>
      </c>
      <c r="O28" s="2">
        <f>VLOOKUP(M28,'Data Angt'!$A$5:$F$5810,6,FALSE)</f>
        <v>43</v>
      </c>
      <c r="P28" s="47" t="str">
        <f>VLOOKUP(M28,'Data Angt'!$A$5:$H$5810,8,FALSE)</f>
        <v>Aparatur/Pejabat Negara</v>
      </c>
      <c r="Q28" s="44" t="str">
        <f>VLOOKUP(M28,'Data Angt'!$A$5:$C$5809,3,FALSE)</f>
        <v>PBL</v>
      </c>
    </row>
    <row r="29" spans="1:17" x14ac:dyDescent="0.3">
      <c r="A29" s="37">
        <v>145521</v>
      </c>
      <c r="B29" s="38">
        <v>24</v>
      </c>
      <c r="C29" s="39" t="s">
        <v>2607</v>
      </c>
      <c r="D29" s="10" t="str">
        <f>VLOOKUP(C29,'Data Angt'!$A$5:$B$5809,2,FALSE)</f>
        <v>A1091</v>
      </c>
      <c r="E29" s="40" t="s">
        <v>18722</v>
      </c>
      <c r="F29" s="41">
        <v>45434</v>
      </c>
      <c r="G29" s="38">
        <v>60</v>
      </c>
      <c r="H29" s="40">
        <v>0</v>
      </c>
      <c r="I29" s="38">
        <v>6</v>
      </c>
      <c r="J29" s="41">
        <v>45922</v>
      </c>
      <c r="K29" s="40">
        <v>2756447</v>
      </c>
      <c r="M29" s="39" t="s">
        <v>3363</v>
      </c>
      <c r="N29" s="52">
        <f t="shared" si="0"/>
        <v>0</v>
      </c>
      <c r="O29" s="2">
        <f>VLOOKUP(M29,'Data Angt'!$A$5:$F$5810,6,FALSE)</f>
        <v>38</v>
      </c>
      <c r="P29" s="47" t="str">
        <f>VLOOKUP(M29,'Data Angt'!$A$5:$H$5810,8,FALSE)</f>
        <v>Tenaga Pengajar</v>
      </c>
      <c r="Q29" s="44" t="str">
        <f>VLOOKUP(M29,'Data Angt'!$A$5:$C$5809,3,FALSE)</f>
        <v>MJK</v>
      </c>
    </row>
    <row r="30" spans="1:17" x14ac:dyDescent="0.3">
      <c r="A30" s="37">
        <v>143611</v>
      </c>
      <c r="B30" s="38">
        <v>25</v>
      </c>
      <c r="C30" s="39" t="s">
        <v>2609</v>
      </c>
      <c r="D30" s="10" t="str">
        <f>VLOOKUP(C30,'Data Angt'!$A$5:$B$5809,2,FALSE)</f>
        <v>A1092</v>
      </c>
      <c r="E30" s="40" t="s">
        <v>18723</v>
      </c>
      <c r="F30" s="41">
        <v>45370</v>
      </c>
      <c r="G30" s="38">
        <v>60</v>
      </c>
      <c r="H30" s="40">
        <v>0</v>
      </c>
      <c r="I30" s="38">
        <v>7</v>
      </c>
      <c r="J30" s="41">
        <v>45919</v>
      </c>
      <c r="K30" s="40">
        <v>3933510</v>
      </c>
      <c r="M30" s="39" t="s">
        <v>12260</v>
      </c>
      <c r="N30" s="52">
        <f t="shared" si="0"/>
        <v>0</v>
      </c>
      <c r="O30" s="2">
        <f>VLOOKUP(M30,'Data Angt'!$A$5:$F$5810,6,FALSE)</f>
        <v>19</v>
      </c>
      <c r="P30" s="47" t="str">
        <f>VLOOKUP(M30,'Data Angt'!$A$5:$H$5810,8,FALSE)</f>
        <v>Pelajar/Mahasiswa</v>
      </c>
      <c r="Q30" s="44" t="str">
        <f>VLOOKUP(M30,'Data Angt'!$A$5:$C$5809,3,FALSE)</f>
        <v>JBR</v>
      </c>
    </row>
    <row r="31" spans="1:17" x14ac:dyDescent="0.3">
      <c r="A31" s="37">
        <v>143618</v>
      </c>
      <c r="B31" s="38">
        <v>26</v>
      </c>
      <c r="C31" s="39" t="s">
        <v>2654</v>
      </c>
      <c r="D31" s="10" t="str">
        <f>VLOOKUP(C31,'Data Angt'!$A$5:$B$5809,2,FALSE)</f>
        <v>A1110</v>
      </c>
      <c r="E31" s="40" t="s">
        <v>18724</v>
      </c>
      <c r="F31" s="41">
        <v>45370</v>
      </c>
      <c r="G31" s="38">
        <v>60</v>
      </c>
      <c r="H31" s="40">
        <v>0</v>
      </c>
      <c r="I31" s="38">
        <v>7</v>
      </c>
      <c r="J31" s="41">
        <v>45919</v>
      </c>
      <c r="K31" s="40">
        <v>1955789</v>
      </c>
      <c r="M31" s="39" t="s">
        <v>3504</v>
      </c>
      <c r="N31" s="52">
        <f t="shared" si="0"/>
        <v>0</v>
      </c>
      <c r="O31" s="2">
        <f>VLOOKUP(M31,'Data Angt'!$A$5:$F$5810,6,FALSE)</f>
        <v>43</v>
      </c>
      <c r="P31" s="47" t="str">
        <f>VLOOKUP(M31,'Data Angt'!$A$5:$H$5810,8,FALSE)</f>
        <v>Aparatur/Pejabat Negara</v>
      </c>
      <c r="Q31" s="44" t="str">
        <f>VLOOKUP(M31,'Data Angt'!$A$5:$C$5809,3,FALSE)</f>
        <v>PBL</v>
      </c>
    </row>
    <row r="32" spans="1:17" x14ac:dyDescent="0.3">
      <c r="A32" s="37">
        <v>143620</v>
      </c>
      <c r="B32" s="38">
        <v>27</v>
      </c>
      <c r="C32" s="39" t="s">
        <v>2654</v>
      </c>
      <c r="D32" s="10" t="str">
        <f>VLOOKUP(C32,'Data Angt'!$A$5:$B$5809,2,FALSE)</f>
        <v>A1110</v>
      </c>
      <c r="E32" s="40" t="s">
        <v>18725</v>
      </c>
      <c r="F32" s="41">
        <v>45370</v>
      </c>
      <c r="G32" s="38">
        <v>60</v>
      </c>
      <c r="H32" s="40">
        <v>0</v>
      </c>
      <c r="I32" s="38">
        <v>7</v>
      </c>
      <c r="J32" s="41">
        <v>45919</v>
      </c>
      <c r="K32" s="40">
        <v>1955789</v>
      </c>
      <c r="M32" s="39" t="s">
        <v>3702</v>
      </c>
      <c r="N32" s="52">
        <f t="shared" si="0"/>
        <v>0</v>
      </c>
      <c r="O32" s="2">
        <f>VLOOKUP(M32,'Data Angt'!$A$5:$F$5810,6,FALSE)</f>
        <v>35</v>
      </c>
      <c r="P32" s="47" t="str">
        <f>VLOOKUP(M32,'Data Angt'!$A$5:$H$5810,8,FALSE)</f>
        <v>Tenaga Medis</v>
      </c>
      <c r="Q32" s="44" t="str">
        <f>VLOOKUP(M32,'Data Angt'!$A$5:$C$5809,3,FALSE)</f>
        <v>PBL</v>
      </c>
    </row>
    <row r="33" spans="1:17" x14ac:dyDescent="0.3">
      <c r="A33" s="37">
        <v>51766</v>
      </c>
      <c r="B33" s="38">
        <v>28</v>
      </c>
      <c r="C33" s="39" t="s">
        <v>12249</v>
      </c>
      <c r="D33" s="10" t="str">
        <f>VLOOKUP(C33,'Data Angt'!$A$5:$B$5809,2,FALSE)</f>
        <v>A1336</v>
      </c>
      <c r="E33" s="40" t="s">
        <v>11997</v>
      </c>
      <c r="F33" s="41">
        <v>43112</v>
      </c>
      <c r="G33" s="38">
        <v>60</v>
      </c>
      <c r="H33" s="40">
        <v>0</v>
      </c>
      <c r="I33" s="38">
        <v>7</v>
      </c>
      <c r="J33" s="41">
        <v>45378</v>
      </c>
      <c r="K33" s="40">
        <v>674824</v>
      </c>
      <c r="M33" s="39" t="s">
        <v>3813</v>
      </c>
      <c r="N33" s="52">
        <f t="shared" si="0"/>
        <v>0</v>
      </c>
      <c r="O33" s="2">
        <f>VLOOKUP(M33,'Data Angt'!$A$5:$F$5810,6,FALSE)</f>
        <v>34</v>
      </c>
      <c r="P33" s="47" t="str">
        <f>VLOOKUP(M33,'Data Angt'!$A$5:$H$5810,8,FALSE)</f>
        <v>Karyawan</v>
      </c>
      <c r="Q33" s="44" t="str">
        <f>VLOOKUP(M33,'Data Angt'!$A$5:$C$5809,3,FALSE)</f>
        <v>JBR</v>
      </c>
    </row>
    <row r="34" spans="1:17" x14ac:dyDescent="0.3">
      <c r="A34" s="37">
        <v>118444</v>
      </c>
      <c r="B34" s="38">
        <v>29</v>
      </c>
      <c r="C34" s="39" t="s">
        <v>3279</v>
      </c>
      <c r="D34" s="10" t="str">
        <f>VLOOKUP(C34,'Data Angt'!$A$5:$B$5809,2,FALSE)</f>
        <v>A1392</v>
      </c>
      <c r="E34" s="40" t="s">
        <v>11994</v>
      </c>
      <c r="F34" s="41">
        <v>43787</v>
      </c>
      <c r="G34" s="38">
        <v>60</v>
      </c>
      <c r="H34" s="40">
        <v>0</v>
      </c>
      <c r="I34" s="38">
        <v>7</v>
      </c>
      <c r="J34" s="41">
        <v>45596</v>
      </c>
      <c r="K34" s="40">
        <v>2469277</v>
      </c>
      <c r="M34" s="39" t="s">
        <v>3932</v>
      </c>
      <c r="N34" s="52">
        <f t="shared" si="0"/>
        <v>0</v>
      </c>
      <c r="O34" s="2">
        <f>VLOOKUP(M34,'Data Angt'!$A$5:$F$5810,6,FALSE)</f>
        <v>35</v>
      </c>
      <c r="P34" s="47" t="str">
        <f>VLOOKUP(M34,'Data Angt'!$A$5:$H$5810,8,FALSE)</f>
        <v>Mengurus Rumah Tangga</v>
      </c>
      <c r="Q34" s="44" t="str">
        <f>VLOOKUP(M34,'Data Angt'!$A$5:$C$5809,3,FALSE)</f>
        <v>PBL</v>
      </c>
    </row>
    <row r="35" spans="1:17" x14ac:dyDescent="0.3">
      <c r="A35" s="37">
        <v>142362</v>
      </c>
      <c r="B35" s="38">
        <v>30</v>
      </c>
      <c r="C35" s="39" t="s">
        <v>3279</v>
      </c>
      <c r="D35" s="10" t="str">
        <f>VLOOKUP(C35,'Data Angt'!$A$5:$B$5809,2,FALSE)</f>
        <v>A1392</v>
      </c>
      <c r="E35" s="40" t="s">
        <v>18726</v>
      </c>
      <c r="F35" s="41">
        <v>45327</v>
      </c>
      <c r="G35" s="38">
        <v>60</v>
      </c>
      <c r="H35" s="40">
        <v>0</v>
      </c>
      <c r="I35" s="38">
        <v>7</v>
      </c>
      <c r="J35" s="41">
        <v>45905</v>
      </c>
      <c r="K35" s="40">
        <v>158231</v>
      </c>
      <c r="M35" s="39" t="s">
        <v>3964</v>
      </c>
      <c r="N35" s="52">
        <f t="shared" si="0"/>
        <v>0</v>
      </c>
      <c r="O35" s="2">
        <f>VLOOKUP(M35,'Data Angt'!$A$5:$F$5810,6,FALSE)</f>
        <v>39</v>
      </c>
      <c r="P35" s="47" t="str">
        <f>VLOOKUP(M35,'Data Angt'!$A$5:$H$5810,8,FALSE)</f>
        <v>Mengurus Rumah Tangga</v>
      </c>
      <c r="Q35" s="44" t="str">
        <f>VLOOKUP(M35,'Data Angt'!$A$5:$C$5809,3,FALSE)</f>
        <v>PBL</v>
      </c>
    </row>
    <row r="36" spans="1:17" x14ac:dyDescent="0.3">
      <c r="A36" s="37">
        <v>137456</v>
      </c>
      <c r="B36" s="38">
        <v>31</v>
      </c>
      <c r="C36" s="39" t="s">
        <v>3363</v>
      </c>
      <c r="D36" s="10" t="str">
        <f>VLOOKUP(C36,'Data Angt'!$A$5:$B$5809,2,FALSE)</f>
        <v>A1429</v>
      </c>
      <c r="E36" s="40" t="s">
        <v>11998</v>
      </c>
      <c r="F36" s="41">
        <v>45058</v>
      </c>
      <c r="G36" s="38">
        <v>60</v>
      </c>
      <c r="H36" s="40">
        <v>0</v>
      </c>
      <c r="I36" s="38">
        <v>7</v>
      </c>
      <c r="J36" s="41">
        <v>45912</v>
      </c>
      <c r="K36" s="40">
        <v>6060169</v>
      </c>
      <c r="M36" s="39" t="s">
        <v>4045</v>
      </c>
      <c r="N36" s="52">
        <f t="shared" si="0"/>
        <v>0</v>
      </c>
      <c r="O36" s="2">
        <f>VLOOKUP(M36,'Data Angt'!$A$5:$F$5810,6,FALSE)</f>
        <v>34</v>
      </c>
      <c r="P36" s="47" t="str">
        <f>VLOOKUP(M36,'Data Angt'!$A$5:$H$5810,8,FALSE)</f>
        <v>Karyawan</v>
      </c>
      <c r="Q36" s="44" t="str">
        <f>VLOOKUP(M36,'Data Angt'!$A$5:$C$5809,3,FALSE)</f>
        <v>PBL</v>
      </c>
    </row>
    <row r="37" spans="1:17" x14ac:dyDescent="0.3">
      <c r="A37" s="37">
        <v>155022</v>
      </c>
      <c r="B37" s="38">
        <v>32</v>
      </c>
      <c r="C37" s="39" t="s">
        <v>3363</v>
      </c>
      <c r="D37" s="10" t="str">
        <f>VLOOKUP(C37,'Data Angt'!$A$5:$B$5809,2,FALSE)</f>
        <v>A1429</v>
      </c>
      <c r="E37" s="40" t="s">
        <v>18727</v>
      </c>
      <c r="F37" s="41">
        <v>45759</v>
      </c>
      <c r="G37" s="38">
        <v>60</v>
      </c>
      <c r="H37" s="40">
        <v>0</v>
      </c>
      <c r="I37" s="38">
        <v>6</v>
      </c>
      <c r="J37" s="41">
        <v>45912</v>
      </c>
      <c r="K37" s="40">
        <v>1210040</v>
      </c>
      <c r="M37" s="39" t="s">
        <v>12295</v>
      </c>
      <c r="N37" s="52">
        <f t="shared" si="0"/>
        <v>0</v>
      </c>
      <c r="O37" s="2">
        <f>VLOOKUP(M37,'Data Angt'!$A$5:$F$5810,6,FALSE)</f>
        <v>35</v>
      </c>
      <c r="P37" s="47" t="str">
        <f>VLOOKUP(M37,'Data Angt'!$A$5:$H$5810,8,FALSE)</f>
        <v>Karyawan</v>
      </c>
      <c r="Q37" s="44" t="str">
        <f>VLOOKUP(M37,'Data Angt'!$A$5:$C$5809,3,FALSE)</f>
        <v>PBL</v>
      </c>
    </row>
    <row r="38" spans="1:17" x14ac:dyDescent="0.3">
      <c r="A38" s="37">
        <v>136555</v>
      </c>
      <c r="B38" s="38">
        <v>33</v>
      </c>
      <c r="C38" s="39" t="s">
        <v>12260</v>
      </c>
      <c r="D38" s="10" t="str">
        <f>VLOOKUP(C38,'Data Angt'!$A$5:$B$5809,2,FALSE)</f>
        <v>A1484</v>
      </c>
      <c r="E38" s="40" t="s">
        <v>12000</v>
      </c>
      <c r="F38" s="41">
        <v>44979</v>
      </c>
      <c r="G38" s="38">
        <v>60</v>
      </c>
      <c r="H38" s="40">
        <v>0</v>
      </c>
      <c r="I38" s="38">
        <v>7</v>
      </c>
      <c r="J38" s="41">
        <v>45922</v>
      </c>
      <c r="K38" s="40">
        <v>5037644</v>
      </c>
      <c r="M38" s="39" t="s">
        <v>4068</v>
      </c>
      <c r="N38" s="52">
        <f t="shared" si="0"/>
        <v>0</v>
      </c>
      <c r="O38" s="2">
        <f>VLOOKUP(M38,'Data Angt'!$A$5:$F$5810,6,FALSE)</f>
        <v>43</v>
      </c>
      <c r="P38" s="47" t="str">
        <f>VLOOKUP(M38,'Data Angt'!$A$5:$H$5810,8,FALSE)</f>
        <v>Mengurus Rumah Tangga</v>
      </c>
      <c r="Q38" s="44" t="str">
        <f>VLOOKUP(M38,'Data Angt'!$A$5:$C$5809,3,FALSE)</f>
        <v>PBL</v>
      </c>
    </row>
    <row r="39" spans="1:17" x14ac:dyDescent="0.3">
      <c r="A39" s="37">
        <v>158649</v>
      </c>
      <c r="B39" s="38">
        <v>34</v>
      </c>
      <c r="C39" s="39" t="s">
        <v>3504</v>
      </c>
      <c r="D39" s="10" t="str">
        <f>VLOOKUP(C39,'Data Angt'!$A$5:$B$5809,2,FALSE)</f>
        <v>A1496</v>
      </c>
      <c r="E39" s="40" t="s">
        <v>24197</v>
      </c>
      <c r="F39" s="41">
        <v>45918</v>
      </c>
      <c r="G39" s="38">
        <v>60</v>
      </c>
      <c r="H39" s="40">
        <v>0</v>
      </c>
      <c r="I39" s="38">
        <v>6</v>
      </c>
      <c r="J39" s="41">
        <v>45918</v>
      </c>
      <c r="K39" s="40">
        <v>100000</v>
      </c>
      <c r="M39" s="39" t="s">
        <v>12309</v>
      </c>
      <c r="N39" s="52">
        <f t="shared" si="0"/>
        <v>0</v>
      </c>
      <c r="O39" s="2">
        <f>VLOOKUP(M39,'Data Angt'!$A$5:$F$5810,6,FALSE)</f>
        <v>23</v>
      </c>
      <c r="P39" s="47" t="str">
        <f>VLOOKUP(M39,'Data Angt'!$A$5:$H$5810,8,FALSE)</f>
        <v>Pelajar/Mahasiswa</v>
      </c>
      <c r="Q39" s="44" t="str">
        <f>VLOOKUP(M39,'Data Angt'!$A$5:$C$5809,3,FALSE)</f>
        <v>PBL</v>
      </c>
    </row>
    <row r="40" spans="1:17" x14ac:dyDescent="0.3">
      <c r="A40" s="37">
        <v>142081</v>
      </c>
      <c r="B40" s="38">
        <v>35</v>
      </c>
      <c r="C40" s="39" t="s">
        <v>3702</v>
      </c>
      <c r="D40" s="10" t="str">
        <f>VLOOKUP(C40,'Data Angt'!$A$5:$B$5809,2,FALSE)</f>
        <v>A1591</v>
      </c>
      <c r="E40" s="40" t="s">
        <v>18728</v>
      </c>
      <c r="F40" s="41">
        <v>45314</v>
      </c>
      <c r="G40" s="38">
        <v>60</v>
      </c>
      <c r="H40" s="40">
        <v>0</v>
      </c>
      <c r="I40" s="38">
        <v>7</v>
      </c>
      <c r="J40" s="41">
        <v>45923</v>
      </c>
      <c r="K40" s="40">
        <v>2160874</v>
      </c>
      <c r="M40" s="39" t="s">
        <v>12310</v>
      </c>
      <c r="N40" s="52">
        <f t="shared" si="0"/>
        <v>0</v>
      </c>
      <c r="O40" s="2">
        <f>VLOOKUP(M40,'Data Angt'!$A$5:$F$5810,6,FALSE)</f>
        <v>25</v>
      </c>
      <c r="P40" s="47" t="str">
        <f>VLOOKUP(M40,'Data Angt'!$A$5:$H$5810,8,FALSE)</f>
        <v>Karyawan</v>
      </c>
      <c r="Q40" s="44" t="str">
        <f>VLOOKUP(M40,'Data Angt'!$A$5:$C$5809,3,FALSE)</f>
        <v>PBL</v>
      </c>
    </row>
    <row r="41" spans="1:17" x14ac:dyDescent="0.3">
      <c r="A41" s="37">
        <v>154060</v>
      </c>
      <c r="B41" s="38">
        <v>36</v>
      </c>
      <c r="C41" s="39" t="s">
        <v>3702</v>
      </c>
      <c r="D41" s="10" t="str">
        <f>VLOOKUP(C41,'Data Angt'!$A$5:$B$5809,2,FALSE)</f>
        <v>A1591</v>
      </c>
      <c r="E41" s="40" t="s">
        <v>18729</v>
      </c>
      <c r="F41" s="41">
        <v>45716</v>
      </c>
      <c r="G41" s="38">
        <v>60</v>
      </c>
      <c r="H41" s="40">
        <v>0</v>
      </c>
      <c r="I41" s="38">
        <v>6</v>
      </c>
      <c r="J41" s="41">
        <v>45929</v>
      </c>
      <c r="K41" s="40">
        <v>808800</v>
      </c>
      <c r="M41" s="39" t="s">
        <v>12313</v>
      </c>
      <c r="N41" s="52">
        <f t="shared" si="0"/>
        <v>0</v>
      </c>
      <c r="O41" s="2">
        <f>VLOOKUP(M41,'Data Angt'!$A$5:$F$5810,6,FALSE)</f>
        <v>17</v>
      </c>
      <c r="P41" s="47" t="str">
        <f>VLOOKUP(M41,'Data Angt'!$A$5:$H$5810,8,FALSE)</f>
        <v>Pelajar/Mahasiswa</v>
      </c>
      <c r="Q41" s="44" t="str">
        <f>VLOOKUP(M41,'Data Angt'!$A$5:$C$5809,3,FALSE)</f>
        <v>PBL</v>
      </c>
    </row>
    <row r="42" spans="1:17" x14ac:dyDescent="0.3">
      <c r="A42" s="37">
        <v>154062</v>
      </c>
      <c r="B42" s="38">
        <v>37</v>
      </c>
      <c r="C42" s="39" t="s">
        <v>3702</v>
      </c>
      <c r="D42" s="10" t="str">
        <f>VLOOKUP(C42,'Data Angt'!$A$5:$B$5809,2,FALSE)</f>
        <v>A1591</v>
      </c>
      <c r="E42" s="40" t="s">
        <v>18730</v>
      </c>
      <c r="F42" s="41">
        <v>45716</v>
      </c>
      <c r="G42" s="38">
        <v>60</v>
      </c>
      <c r="H42" s="40">
        <v>0</v>
      </c>
      <c r="I42" s="38">
        <v>6</v>
      </c>
      <c r="J42" s="41">
        <v>45929</v>
      </c>
      <c r="K42" s="40">
        <v>808800</v>
      </c>
      <c r="M42" s="39" t="s">
        <v>4435</v>
      </c>
      <c r="N42" s="52">
        <f t="shared" si="0"/>
        <v>0</v>
      </c>
      <c r="O42" s="2">
        <f>VLOOKUP(M42,'Data Angt'!$A$5:$F$5810,6,FALSE)</f>
        <v>38</v>
      </c>
      <c r="P42" s="47" t="str">
        <f>VLOOKUP(M42,'Data Angt'!$A$5:$H$5810,8,FALSE)</f>
        <v>Tenaga Pengajar</v>
      </c>
      <c r="Q42" s="44" t="str">
        <f>VLOOKUP(M42,'Data Angt'!$A$5:$C$5809,3,FALSE)</f>
        <v>JBR</v>
      </c>
    </row>
    <row r="43" spans="1:17" x14ac:dyDescent="0.3">
      <c r="A43" s="37">
        <v>144042</v>
      </c>
      <c r="B43" s="38">
        <v>38</v>
      </c>
      <c r="C43" s="39" t="s">
        <v>3813</v>
      </c>
      <c r="D43" s="10" t="str">
        <f>VLOOKUP(C43,'Data Angt'!$A$5:$B$5809,2,FALSE)</f>
        <v>A1643</v>
      </c>
      <c r="E43" s="40" t="s">
        <v>18731</v>
      </c>
      <c r="F43" s="41">
        <v>45383</v>
      </c>
      <c r="G43" s="38">
        <v>60</v>
      </c>
      <c r="H43" s="40">
        <v>0</v>
      </c>
      <c r="I43" s="38">
        <v>7</v>
      </c>
      <c r="J43" s="41">
        <v>45912</v>
      </c>
      <c r="K43" s="40">
        <v>3699642</v>
      </c>
      <c r="M43" s="39" t="s">
        <v>4564</v>
      </c>
      <c r="N43" s="52">
        <f t="shared" si="0"/>
        <v>0</v>
      </c>
      <c r="O43" s="2">
        <f>VLOOKUP(M43,'Data Angt'!$A$5:$F$5810,6,FALSE)</f>
        <v>34</v>
      </c>
      <c r="P43" s="47" t="str">
        <f>VLOOKUP(M43,'Data Angt'!$A$5:$H$5810,8,FALSE)</f>
        <v>Lain-Lain</v>
      </c>
      <c r="Q43" s="44" t="str">
        <f>VLOOKUP(M43,'Data Angt'!$A$5:$C$5809,3,FALSE)</f>
        <v>PBL</v>
      </c>
    </row>
    <row r="44" spans="1:17" x14ac:dyDescent="0.3">
      <c r="A44" s="37">
        <v>132830</v>
      </c>
      <c r="B44" s="38">
        <v>39</v>
      </c>
      <c r="C44" s="39" t="s">
        <v>3932</v>
      </c>
      <c r="D44" s="10" t="str">
        <f>VLOOKUP(C44,'Data Angt'!$A$5:$B$5809,2,FALSE)</f>
        <v>A1700</v>
      </c>
      <c r="E44" s="40" t="s">
        <v>12040</v>
      </c>
      <c r="F44" s="41">
        <v>44691</v>
      </c>
      <c r="G44" s="38">
        <v>60</v>
      </c>
      <c r="H44" s="40">
        <v>0</v>
      </c>
      <c r="I44" s="38">
        <v>7</v>
      </c>
      <c r="J44" s="41">
        <v>45910</v>
      </c>
      <c r="K44" s="40">
        <v>9382235</v>
      </c>
      <c r="M44" s="39" t="s">
        <v>4643</v>
      </c>
      <c r="N44" s="52">
        <f t="shared" si="0"/>
        <v>0</v>
      </c>
      <c r="O44" s="2">
        <f>VLOOKUP(M44,'Data Angt'!$A$5:$F$5810,6,FALSE)</f>
        <v>30</v>
      </c>
      <c r="P44" s="47" t="str">
        <f>VLOOKUP(M44,'Data Angt'!$A$5:$H$5810,8,FALSE)</f>
        <v>Karyawan</v>
      </c>
      <c r="Q44" s="44" t="str">
        <f>VLOOKUP(M44,'Data Angt'!$A$5:$C$5809,3,FALSE)</f>
        <v>PBL</v>
      </c>
    </row>
    <row r="45" spans="1:17" x14ac:dyDescent="0.3">
      <c r="A45" s="37">
        <v>114627</v>
      </c>
      <c r="B45" s="38">
        <v>40</v>
      </c>
      <c r="C45" s="39" t="s">
        <v>3964</v>
      </c>
      <c r="D45" s="10" t="str">
        <f>VLOOKUP(C45,'Data Angt'!$A$5:$B$5809,2,FALSE)</f>
        <v>A1712</v>
      </c>
      <c r="E45" s="40" t="s">
        <v>12022</v>
      </c>
      <c r="F45" s="41">
        <v>43673</v>
      </c>
      <c r="G45" s="38">
        <v>60</v>
      </c>
      <c r="H45" s="40">
        <v>0</v>
      </c>
      <c r="I45" s="38">
        <v>7</v>
      </c>
      <c r="J45" s="41">
        <v>45780</v>
      </c>
      <c r="K45" s="40">
        <v>15110383</v>
      </c>
      <c r="M45" s="39" t="s">
        <v>12348</v>
      </c>
      <c r="N45" s="52">
        <f t="shared" si="0"/>
        <v>0</v>
      </c>
      <c r="O45" s="2">
        <f>VLOOKUP(M45,'Data Angt'!$A$5:$F$5810,6,FALSE)</f>
        <v>31</v>
      </c>
      <c r="P45" s="47" t="str">
        <f>VLOOKUP(M45,'Data Angt'!$A$5:$H$5810,8,FALSE)</f>
        <v>Wiraswasta</v>
      </c>
      <c r="Q45" s="44" t="str">
        <f>VLOOKUP(M45,'Data Angt'!$A$5:$C$5809,3,FALSE)</f>
        <v>PBL</v>
      </c>
    </row>
    <row r="46" spans="1:17" x14ac:dyDescent="0.3">
      <c r="A46" s="37">
        <v>127177</v>
      </c>
      <c r="B46" s="38">
        <v>41</v>
      </c>
      <c r="C46" s="39" t="s">
        <v>3964</v>
      </c>
      <c r="D46" s="10" t="str">
        <f>VLOOKUP(C46,'Data Angt'!$A$5:$B$5809,2,FALSE)</f>
        <v>A1712</v>
      </c>
      <c r="E46" s="40" t="s">
        <v>12034</v>
      </c>
      <c r="F46" s="41">
        <v>44254</v>
      </c>
      <c r="G46" s="38">
        <v>60</v>
      </c>
      <c r="H46" s="40">
        <v>0</v>
      </c>
      <c r="I46" s="38">
        <v>7</v>
      </c>
      <c r="J46" s="41">
        <v>45927</v>
      </c>
      <c r="K46" s="40">
        <v>11818137</v>
      </c>
      <c r="M46" s="39" t="s">
        <v>5036</v>
      </c>
      <c r="N46" s="52">
        <f t="shared" si="0"/>
        <v>0</v>
      </c>
      <c r="O46" s="2">
        <f>VLOOKUP(M46,'Data Angt'!$A$5:$F$5810,6,FALSE)</f>
        <v>41</v>
      </c>
      <c r="P46" s="47" t="str">
        <f>VLOOKUP(M46,'Data Angt'!$A$5:$H$5810,8,FALSE)</f>
        <v>Mengurus Rumah Tangga</v>
      </c>
      <c r="Q46" s="44" t="str">
        <f>VLOOKUP(M46,'Data Angt'!$A$5:$C$5809,3,FALSE)</f>
        <v>PBL</v>
      </c>
    </row>
    <row r="47" spans="1:17" x14ac:dyDescent="0.3">
      <c r="A47" s="37">
        <v>156372</v>
      </c>
      <c r="B47" s="38">
        <v>42</v>
      </c>
      <c r="C47" s="39" t="s">
        <v>3964</v>
      </c>
      <c r="D47" s="10" t="str">
        <f>VLOOKUP(C47,'Data Angt'!$A$5:$B$5809,2,FALSE)</f>
        <v>A1712</v>
      </c>
      <c r="E47" s="40" t="s">
        <v>18732</v>
      </c>
      <c r="F47" s="41">
        <v>45822</v>
      </c>
      <c r="G47" s="38">
        <v>60</v>
      </c>
      <c r="H47" s="40">
        <v>0</v>
      </c>
      <c r="I47" s="38">
        <v>6</v>
      </c>
      <c r="J47" s="41">
        <v>45914</v>
      </c>
      <c r="K47" s="40">
        <v>2011273</v>
      </c>
      <c r="M47" s="39" t="s">
        <v>12353</v>
      </c>
      <c r="N47" s="52">
        <f t="shared" si="0"/>
        <v>0</v>
      </c>
      <c r="O47" s="2">
        <f>VLOOKUP(M47,'Data Angt'!$A$5:$F$5810,6,FALSE)</f>
        <v>38</v>
      </c>
      <c r="P47" s="47" t="str">
        <f>VLOOKUP(M47,'Data Angt'!$A$5:$H$5810,8,FALSE)</f>
        <v>Karyawan</v>
      </c>
      <c r="Q47" s="44" t="str">
        <f>VLOOKUP(M47,'Data Angt'!$A$5:$C$5809,3,FALSE)</f>
        <v>KRK</v>
      </c>
    </row>
    <row r="48" spans="1:17" x14ac:dyDescent="0.3">
      <c r="A48" s="37">
        <v>134953</v>
      </c>
      <c r="B48" s="38">
        <v>43</v>
      </c>
      <c r="C48" s="39" t="s">
        <v>4045</v>
      </c>
      <c r="D48" s="10" t="str">
        <f>VLOOKUP(C48,'Data Angt'!$A$5:$B$5809,2,FALSE)</f>
        <v>A1752</v>
      </c>
      <c r="E48" s="40" t="s">
        <v>12029</v>
      </c>
      <c r="F48" s="41">
        <v>44849</v>
      </c>
      <c r="G48" s="38">
        <v>60</v>
      </c>
      <c r="H48" s="40">
        <v>0</v>
      </c>
      <c r="I48" s="38">
        <v>7</v>
      </c>
      <c r="J48" s="41">
        <v>45915</v>
      </c>
      <c r="K48" s="40">
        <v>1900210</v>
      </c>
      <c r="M48" s="39" t="s">
        <v>12364</v>
      </c>
      <c r="N48" s="52">
        <f t="shared" si="0"/>
        <v>0</v>
      </c>
      <c r="O48" s="2">
        <f>VLOOKUP(M48,'Data Angt'!$A$5:$F$5810,6,FALSE)</f>
        <v>17</v>
      </c>
      <c r="P48" s="47" t="str">
        <f>VLOOKUP(M48,'Data Angt'!$A$5:$H$5810,8,FALSE)</f>
        <v>Pelajar/Mahasiswa</v>
      </c>
      <c r="Q48" s="44" t="str">
        <f>VLOOKUP(M48,'Data Angt'!$A$5:$C$5809,3,FALSE)</f>
        <v>PBL</v>
      </c>
    </row>
    <row r="49" spans="1:17" x14ac:dyDescent="0.3">
      <c r="A49" s="37">
        <v>151787</v>
      </c>
      <c r="B49" s="38">
        <v>44</v>
      </c>
      <c r="C49" s="39" t="s">
        <v>4045</v>
      </c>
      <c r="D49" s="10" t="str">
        <f>VLOOKUP(C49,'Data Angt'!$A$5:$B$5809,2,FALSE)</f>
        <v>A1752</v>
      </c>
      <c r="E49" s="40" t="s">
        <v>18733</v>
      </c>
      <c r="F49" s="41">
        <v>45663</v>
      </c>
      <c r="G49" s="38">
        <v>60</v>
      </c>
      <c r="H49" s="40">
        <v>0</v>
      </c>
      <c r="I49" s="38">
        <v>6</v>
      </c>
      <c r="J49" s="41">
        <v>45910</v>
      </c>
      <c r="K49" s="40">
        <v>404025</v>
      </c>
      <c r="M49" s="39" t="s">
        <v>5218</v>
      </c>
      <c r="N49" s="52">
        <f t="shared" si="0"/>
        <v>0</v>
      </c>
      <c r="O49" s="2">
        <f>VLOOKUP(M49,'Data Angt'!$A$5:$F$5810,6,FALSE)</f>
        <v>36</v>
      </c>
      <c r="P49" s="47" t="str">
        <f>VLOOKUP(M49,'Data Angt'!$A$5:$H$5810,8,FALSE)</f>
        <v>Tenaga Pengajar</v>
      </c>
      <c r="Q49" s="44" t="str">
        <f>VLOOKUP(M49,'Data Angt'!$A$5:$C$5809,3,FALSE)</f>
        <v>BWI</v>
      </c>
    </row>
    <row r="50" spans="1:17" x14ac:dyDescent="0.3">
      <c r="A50" s="37">
        <v>149575</v>
      </c>
      <c r="B50" s="38">
        <v>45</v>
      </c>
      <c r="C50" s="39" t="s">
        <v>12295</v>
      </c>
      <c r="D50" s="10" t="str">
        <f>VLOOKUP(C50,'Data Angt'!$A$5:$B$5809,2,FALSE)</f>
        <v>A1753</v>
      </c>
      <c r="E50" s="40" t="s">
        <v>18734</v>
      </c>
      <c r="F50" s="41">
        <v>45573</v>
      </c>
      <c r="G50" s="38">
        <v>60</v>
      </c>
      <c r="H50" s="40">
        <v>0</v>
      </c>
      <c r="I50" s="38">
        <v>6</v>
      </c>
      <c r="J50" s="41">
        <v>45908</v>
      </c>
      <c r="K50" s="40">
        <v>819718</v>
      </c>
      <c r="M50" s="39" t="s">
        <v>5235</v>
      </c>
      <c r="N50" s="52">
        <f t="shared" si="0"/>
        <v>0</v>
      </c>
      <c r="O50" s="2">
        <f>VLOOKUP(M50,'Data Angt'!$A$5:$F$5810,6,FALSE)</f>
        <v>18</v>
      </c>
      <c r="P50" s="47" t="str">
        <f>VLOOKUP(M50,'Data Angt'!$A$5:$H$5810,8,FALSE)</f>
        <v>Pelajar/Mahasiswa</v>
      </c>
      <c r="Q50" s="44" t="str">
        <f>VLOOKUP(M50,'Data Angt'!$A$5:$C$5809,3,FALSE)</f>
        <v>JBR</v>
      </c>
    </row>
    <row r="51" spans="1:17" x14ac:dyDescent="0.3">
      <c r="A51" s="37">
        <v>118404</v>
      </c>
      <c r="B51" s="38">
        <v>46</v>
      </c>
      <c r="C51" s="39" t="s">
        <v>4068</v>
      </c>
      <c r="D51" s="10" t="str">
        <f>VLOOKUP(C51,'Data Angt'!$A$5:$B$5809,2,FALSE)</f>
        <v>A1764</v>
      </c>
      <c r="E51" s="40" t="s">
        <v>12024</v>
      </c>
      <c r="F51" s="41">
        <v>43785</v>
      </c>
      <c r="G51" s="38">
        <v>60</v>
      </c>
      <c r="H51" s="40">
        <v>0</v>
      </c>
      <c r="I51" s="38">
        <v>7</v>
      </c>
      <c r="J51" s="41">
        <v>45901</v>
      </c>
      <c r="K51" s="40">
        <v>1352008</v>
      </c>
      <c r="M51" s="39" t="s">
        <v>5237</v>
      </c>
      <c r="N51" s="52">
        <f t="shared" si="0"/>
        <v>0</v>
      </c>
      <c r="O51" s="2">
        <f>VLOOKUP(M51,'Data Angt'!$A$5:$F$5810,6,FALSE)</f>
        <v>19</v>
      </c>
      <c r="P51" s="47" t="str">
        <f>VLOOKUP(M51,'Data Angt'!$A$5:$H$5810,8,FALSE)</f>
        <v>Pelajar/Mahasiswa</v>
      </c>
      <c r="Q51" s="44" t="str">
        <f>VLOOKUP(M51,'Data Angt'!$A$5:$C$5809,3,FALSE)</f>
        <v>JBR</v>
      </c>
    </row>
    <row r="52" spans="1:17" x14ac:dyDescent="0.3">
      <c r="A52" s="37">
        <v>128664</v>
      </c>
      <c r="B52" s="38">
        <v>47</v>
      </c>
      <c r="C52" s="39" t="s">
        <v>12309</v>
      </c>
      <c r="D52" s="10" t="str">
        <f>VLOOKUP(C52,'Data Angt'!$A$5:$B$5809,2,FALSE)</f>
        <v>A1884</v>
      </c>
      <c r="E52" s="40" t="s">
        <v>12001</v>
      </c>
      <c r="F52" s="41">
        <v>44368</v>
      </c>
      <c r="G52" s="38">
        <v>60</v>
      </c>
      <c r="H52" s="40">
        <v>0</v>
      </c>
      <c r="I52" s="38">
        <v>7</v>
      </c>
      <c r="J52" s="41">
        <v>45921</v>
      </c>
      <c r="K52" s="40">
        <v>11422198</v>
      </c>
      <c r="M52" s="39" t="s">
        <v>5431</v>
      </c>
      <c r="N52" s="52">
        <f t="shared" si="0"/>
        <v>0</v>
      </c>
      <c r="O52" s="2">
        <f>VLOOKUP(M52,'Data Angt'!$A$5:$F$5810,6,FALSE)</f>
        <v>42</v>
      </c>
      <c r="P52" s="47" t="str">
        <f>VLOOKUP(M52,'Data Angt'!$A$5:$H$5810,8,FALSE)</f>
        <v>Tenaga Pengajar</v>
      </c>
      <c r="Q52" s="44" t="str">
        <f>VLOOKUP(M52,'Data Angt'!$A$5:$C$5809,3,FALSE)</f>
        <v>PBL</v>
      </c>
    </row>
    <row r="53" spans="1:17" x14ac:dyDescent="0.3">
      <c r="A53" s="37">
        <v>128668</v>
      </c>
      <c r="B53" s="38">
        <v>48</v>
      </c>
      <c r="C53" s="39" t="s">
        <v>12310</v>
      </c>
      <c r="D53" s="10" t="str">
        <f>VLOOKUP(C53,'Data Angt'!$A$5:$B$5809,2,FALSE)</f>
        <v>A1885</v>
      </c>
      <c r="E53" s="40" t="s">
        <v>12002</v>
      </c>
      <c r="F53" s="41">
        <v>44368</v>
      </c>
      <c r="G53" s="38">
        <v>60</v>
      </c>
      <c r="H53" s="40">
        <v>0</v>
      </c>
      <c r="I53" s="38">
        <v>7</v>
      </c>
      <c r="J53" s="41">
        <v>45921</v>
      </c>
      <c r="K53" s="40">
        <v>11421569</v>
      </c>
      <c r="M53" s="39" t="s">
        <v>5545</v>
      </c>
      <c r="N53" s="52">
        <f t="shared" si="0"/>
        <v>0</v>
      </c>
      <c r="O53" s="2">
        <f>VLOOKUP(M53,'Data Angt'!$A$5:$F$5810,6,FALSE)</f>
        <v>52</v>
      </c>
      <c r="P53" s="47" t="str">
        <f>VLOOKUP(M53,'Data Angt'!$A$5:$H$5810,8,FALSE)</f>
        <v>Lain-Lain</v>
      </c>
      <c r="Q53" s="44" t="str">
        <f>VLOOKUP(M53,'Data Angt'!$A$5:$C$5809,3,FALSE)</f>
        <v>PBL</v>
      </c>
    </row>
    <row r="54" spans="1:17" x14ac:dyDescent="0.3">
      <c r="A54" s="37">
        <v>128376</v>
      </c>
      <c r="B54" s="38">
        <v>49</v>
      </c>
      <c r="C54" s="39" t="s">
        <v>12313</v>
      </c>
      <c r="D54" s="10" t="str">
        <f>VLOOKUP(C54,'Data Angt'!$A$5:$B$5809,2,FALSE)</f>
        <v>A1913</v>
      </c>
      <c r="E54" s="40" t="s">
        <v>12003</v>
      </c>
      <c r="F54" s="41">
        <v>44344</v>
      </c>
      <c r="G54" s="38">
        <v>60</v>
      </c>
      <c r="H54" s="40">
        <v>0</v>
      </c>
      <c r="I54" s="38">
        <v>7</v>
      </c>
      <c r="J54" s="41">
        <v>45929</v>
      </c>
      <c r="K54" s="40">
        <v>5661365</v>
      </c>
      <c r="M54" s="39" t="s">
        <v>5554</v>
      </c>
      <c r="N54" s="52">
        <f t="shared" si="0"/>
        <v>0</v>
      </c>
      <c r="O54" s="2">
        <f>VLOOKUP(M54,'Data Angt'!$A$5:$F$5810,6,FALSE)</f>
        <v>35</v>
      </c>
      <c r="P54" s="47" t="str">
        <f>VLOOKUP(M54,'Data Angt'!$A$5:$H$5810,8,FALSE)</f>
        <v>Wiraswasta</v>
      </c>
      <c r="Q54" s="44" t="str">
        <f>VLOOKUP(M54,'Data Angt'!$A$5:$C$5809,3,FALSE)</f>
        <v>PBL</v>
      </c>
    </row>
    <row r="55" spans="1:17" x14ac:dyDescent="0.3">
      <c r="A55" s="37">
        <v>131646</v>
      </c>
      <c r="B55" s="38">
        <v>50</v>
      </c>
      <c r="C55" s="39" t="s">
        <v>4435</v>
      </c>
      <c r="D55" s="10" t="str">
        <f>VLOOKUP(C55,'Data Angt'!$A$5:$B$5809,2,FALSE)</f>
        <v>A1930</v>
      </c>
      <c r="E55" s="40" t="s">
        <v>12039</v>
      </c>
      <c r="F55" s="41">
        <v>44595</v>
      </c>
      <c r="G55" s="38">
        <v>60</v>
      </c>
      <c r="H55" s="40">
        <v>0</v>
      </c>
      <c r="I55" s="38">
        <v>7</v>
      </c>
      <c r="J55" s="41">
        <v>45903</v>
      </c>
      <c r="K55" s="40">
        <v>4824342</v>
      </c>
      <c r="M55" s="39" t="s">
        <v>5780</v>
      </c>
      <c r="N55" s="52">
        <f t="shared" si="0"/>
        <v>0</v>
      </c>
      <c r="O55" s="2">
        <f>VLOOKUP(M55,'Data Angt'!$A$5:$F$5810,6,FALSE)</f>
        <v>40</v>
      </c>
      <c r="P55" s="47" t="str">
        <f>VLOOKUP(M55,'Data Angt'!$A$5:$H$5810,8,FALSE)</f>
        <v>Wiraswasta</v>
      </c>
      <c r="Q55" s="44" t="str">
        <f>VLOOKUP(M55,'Data Angt'!$A$5:$C$5809,3,FALSE)</f>
        <v>BWI</v>
      </c>
    </row>
    <row r="56" spans="1:17" x14ac:dyDescent="0.3">
      <c r="A56" s="37">
        <v>130491</v>
      </c>
      <c r="B56" s="38">
        <v>51</v>
      </c>
      <c r="C56" s="39" t="s">
        <v>4564</v>
      </c>
      <c r="D56" s="10" t="str">
        <f>VLOOKUP(C56,'Data Angt'!$A$5:$B$5809,2,FALSE)</f>
        <v>A1988</v>
      </c>
      <c r="E56" s="40" t="s">
        <v>12015</v>
      </c>
      <c r="F56" s="41">
        <v>44501</v>
      </c>
      <c r="G56" s="38">
        <v>60</v>
      </c>
      <c r="H56" s="40">
        <v>0</v>
      </c>
      <c r="I56" s="38">
        <v>7</v>
      </c>
      <c r="J56" s="41">
        <v>45929</v>
      </c>
      <c r="K56" s="40">
        <v>5088450</v>
      </c>
      <c r="M56" s="39" t="s">
        <v>5943</v>
      </c>
      <c r="N56" s="52">
        <f t="shared" si="0"/>
        <v>0</v>
      </c>
      <c r="O56" s="2">
        <f>VLOOKUP(M56,'Data Angt'!$A$5:$F$5810,6,FALSE)</f>
        <v>39</v>
      </c>
      <c r="P56" s="47" t="str">
        <f>VLOOKUP(M56,'Data Angt'!$A$5:$H$5810,8,FALSE)</f>
        <v>Wiraswasta</v>
      </c>
      <c r="Q56" s="44" t="str">
        <f>VLOOKUP(M56,'Data Angt'!$A$5:$C$5809,3,FALSE)</f>
        <v>PBL</v>
      </c>
    </row>
    <row r="57" spans="1:17" x14ac:dyDescent="0.3">
      <c r="A57" s="37">
        <v>132465</v>
      </c>
      <c r="B57" s="38">
        <v>52</v>
      </c>
      <c r="C57" s="39" t="s">
        <v>4564</v>
      </c>
      <c r="D57" s="10" t="str">
        <f>VLOOKUP(C57,'Data Angt'!$A$5:$B$5809,2,FALSE)</f>
        <v>A1988</v>
      </c>
      <c r="E57" s="40" t="s">
        <v>12041</v>
      </c>
      <c r="F57" s="41">
        <v>44657</v>
      </c>
      <c r="G57" s="38">
        <v>60</v>
      </c>
      <c r="H57" s="40">
        <v>0</v>
      </c>
      <c r="I57" s="38">
        <v>7</v>
      </c>
      <c r="J57" s="41">
        <v>45929</v>
      </c>
      <c r="K57" s="40">
        <v>4493834</v>
      </c>
      <c r="M57" s="39" t="s">
        <v>5953</v>
      </c>
      <c r="N57" s="52">
        <f t="shared" si="0"/>
        <v>0</v>
      </c>
      <c r="O57" s="2">
        <f>VLOOKUP(M57,'Data Angt'!$A$5:$F$5810,6,FALSE)</f>
        <v>42</v>
      </c>
      <c r="P57" s="47" t="str">
        <f>VLOOKUP(M57,'Data Angt'!$A$5:$H$5810,8,FALSE)</f>
        <v>Aparatur/Pejabat Negara</v>
      </c>
      <c r="Q57" s="44" t="str">
        <f>VLOOKUP(M57,'Data Angt'!$A$5:$C$5809,3,FALSE)</f>
        <v>KRK</v>
      </c>
    </row>
    <row r="58" spans="1:17" x14ac:dyDescent="0.3">
      <c r="A58" s="37">
        <v>158827</v>
      </c>
      <c r="B58" s="38">
        <v>53</v>
      </c>
      <c r="C58" s="39" t="s">
        <v>4564</v>
      </c>
      <c r="D58" s="10" t="str">
        <f>VLOOKUP(C58,'Data Angt'!$A$5:$B$5809,2,FALSE)</f>
        <v>A1988</v>
      </c>
      <c r="E58" s="40" t="s">
        <v>24198</v>
      </c>
      <c r="F58" s="41">
        <v>45929</v>
      </c>
      <c r="G58" s="38">
        <v>60</v>
      </c>
      <c r="H58" s="40">
        <v>0</v>
      </c>
      <c r="I58" s="38">
        <v>6</v>
      </c>
      <c r="J58" s="41">
        <v>45929</v>
      </c>
      <c r="K58" s="40">
        <v>100000</v>
      </c>
      <c r="M58" s="39" t="s">
        <v>12409</v>
      </c>
      <c r="N58" s="52">
        <f t="shared" si="0"/>
        <v>0</v>
      </c>
      <c r="O58" s="2">
        <f>VLOOKUP(M58,'Data Angt'!$A$5:$F$5810,6,FALSE)</f>
        <v>56</v>
      </c>
      <c r="P58" s="47" t="str">
        <f>VLOOKUP(M58,'Data Angt'!$A$5:$H$5810,8,FALSE)</f>
        <v>Karyawan</v>
      </c>
      <c r="Q58" s="44" t="str">
        <f>VLOOKUP(M58,'Data Angt'!$A$5:$C$5809,3,FALSE)</f>
        <v>KRK</v>
      </c>
    </row>
    <row r="59" spans="1:17" x14ac:dyDescent="0.3">
      <c r="A59" s="37">
        <v>158829</v>
      </c>
      <c r="B59" s="38">
        <v>54</v>
      </c>
      <c r="C59" s="39" t="s">
        <v>4564</v>
      </c>
      <c r="D59" s="10" t="str">
        <f>VLOOKUP(C59,'Data Angt'!$A$5:$B$5809,2,FALSE)</f>
        <v>A1988</v>
      </c>
      <c r="E59" s="40" t="s">
        <v>24199</v>
      </c>
      <c r="F59" s="41">
        <v>45929</v>
      </c>
      <c r="G59" s="38">
        <v>60</v>
      </c>
      <c r="H59" s="40">
        <v>0</v>
      </c>
      <c r="I59" s="38">
        <v>6</v>
      </c>
      <c r="J59" s="41">
        <v>45929</v>
      </c>
      <c r="K59" s="40">
        <v>100000</v>
      </c>
      <c r="M59" s="39" t="s">
        <v>6067</v>
      </c>
      <c r="N59" s="52">
        <f t="shared" si="0"/>
        <v>0</v>
      </c>
      <c r="O59" s="2">
        <f>VLOOKUP(M59,'Data Angt'!$A$5:$F$5810,6,FALSE)</f>
        <v>40</v>
      </c>
      <c r="P59" s="47" t="str">
        <f>VLOOKUP(M59,'Data Angt'!$A$5:$H$5810,8,FALSE)</f>
        <v>Lain-Lain</v>
      </c>
      <c r="Q59" s="44" t="str">
        <f>VLOOKUP(M59,'Data Angt'!$A$5:$C$5809,3,FALSE)</f>
        <v>PBL</v>
      </c>
    </row>
    <row r="60" spans="1:17" x14ac:dyDescent="0.3">
      <c r="A60" s="37">
        <v>142750</v>
      </c>
      <c r="B60" s="38">
        <v>55</v>
      </c>
      <c r="C60" s="39" t="s">
        <v>4643</v>
      </c>
      <c r="D60" s="10" t="str">
        <f>VLOOKUP(C60,'Data Angt'!$A$5:$B$5809,2,FALSE)</f>
        <v>A2027</v>
      </c>
      <c r="E60" s="40" t="s">
        <v>18735</v>
      </c>
      <c r="F60" s="41">
        <v>45344</v>
      </c>
      <c r="G60" s="38">
        <v>60</v>
      </c>
      <c r="H60" s="40">
        <v>0</v>
      </c>
      <c r="I60" s="38">
        <v>7</v>
      </c>
      <c r="J60" s="41">
        <v>45926</v>
      </c>
      <c r="K60" s="40">
        <v>2064746</v>
      </c>
      <c r="M60" s="39" t="s">
        <v>6145</v>
      </c>
      <c r="N60" s="52">
        <f t="shared" si="0"/>
        <v>0</v>
      </c>
      <c r="O60" s="2">
        <f>VLOOKUP(M60,'Data Angt'!$A$5:$F$5810,6,FALSE)</f>
        <v>35</v>
      </c>
      <c r="P60" s="47" t="str">
        <f>VLOOKUP(M60,'Data Angt'!$A$5:$H$5810,8,FALSE)</f>
        <v>Wiraswasta</v>
      </c>
      <c r="Q60" s="44" t="str">
        <f>VLOOKUP(M60,'Data Angt'!$A$5:$C$5809,3,FALSE)</f>
        <v>PBL</v>
      </c>
    </row>
    <row r="61" spans="1:17" x14ac:dyDescent="0.3">
      <c r="A61" s="37">
        <v>123178</v>
      </c>
      <c r="B61" s="38">
        <v>56</v>
      </c>
      <c r="C61" s="39" t="s">
        <v>12348</v>
      </c>
      <c r="D61" s="10" t="str">
        <f>VLOOKUP(C61,'Data Angt'!$A$5:$B$5809,2,FALSE)</f>
        <v>A2175</v>
      </c>
      <c r="E61" s="40" t="s">
        <v>12031</v>
      </c>
      <c r="F61" s="41">
        <v>43960</v>
      </c>
      <c r="G61" s="38">
        <v>60</v>
      </c>
      <c r="H61" s="40">
        <v>0</v>
      </c>
      <c r="I61" s="38">
        <v>7</v>
      </c>
      <c r="J61" s="41">
        <v>45929</v>
      </c>
      <c r="K61" s="40">
        <v>7267791</v>
      </c>
      <c r="M61" s="39" t="s">
        <v>6577</v>
      </c>
      <c r="N61" s="52">
        <f t="shared" si="0"/>
        <v>0</v>
      </c>
      <c r="O61" s="2">
        <f>VLOOKUP(M61,'Data Angt'!$A$5:$F$5810,6,FALSE)</f>
        <v>39</v>
      </c>
      <c r="P61" s="47" t="str">
        <f>VLOOKUP(M61,'Data Angt'!$A$5:$H$5810,8,FALSE)</f>
        <v>Tenaga Pengajar</v>
      </c>
      <c r="Q61" s="44" t="str">
        <f>VLOOKUP(M61,'Data Angt'!$A$5:$C$5809,3,FALSE)</f>
        <v>JBR</v>
      </c>
    </row>
    <row r="62" spans="1:17" x14ac:dyDescent="0.3">
      <c r="A62" s="37">
        <v>155374</v>
      </c>
      <c r="B62" s="38">
        <v>57</v>
      </c>
      <c r="C62" s="39" t="s">
        <v>12348</v>
      </c>
      <c r="D62" s="10" t="str">
        <f>VLOOKUP(C62,'Data Angt'!$A$5:$B$5809,2,FALSE)</f>
        <v>A2175</v>
      </c>
      <c r="E62" s="40" t="s">
        <v>18736</v>
      </c>
      <c r="F62" s="41">
        <v>45779</v>
      </c>
      <c r="G62" s="38">
        <v>60</v>
      </c>
      <c r="H62" s="40">
        <v>0</v>
      </c>
      <c r="I62" s="38">
        <v>6</v>
      </c>
      <c r="J62" s="41">
        <v>45929</v>
      </c>
      <c r="K62" s="40">
        <v>503010</v>
      </c>
      <c r="M62" s="39" t="s">
        <v>6706</v>
      </c>
      <c r="N62" s="52">
        <f t="shared" si="0"/>
        <v>0</v>
      </c>
      <c r="O62" s="2">
        <f>VLOOKUP(M62,'Data Angt'!$A$5:$F$5810,6,FALSE)</f>
        <v>32</v>
      </c>
      <c r="P62" s="47" t="str">
        <f>VLOOKUP(M62,'Data Angt'!$A$5:$H$5810,8,FALSE)</f>
        <v>Wiraswasta</v>
      </c>
      <c r="Q62" s="44" t="str">
        <f>VLOOKUP(M62,'Data Angt'!$A$5:$C$5809,3,FALSE)</f>
        <v>JBR</v>
      </c>
    </row>
    <row r="63" spans="1:17" x14ac:dyDescent="0.3">
      <c r="A63" s="37">
        <v>123171</v>
      </c>
      <c r="B63" s="38">
        <v>58</v>
      </c>
      <c r="C63" s="39" t="s">
        <v>12348</v>
      </c>
      <c r="D63" s="10" t="str">
        <f>VLOOKUP(C63,'Data Angt'!$A$5:$B$5809,2,FALSE)</f>
        <v>A2175</v>
      </c>
      <c r="E63" s="40" t="s">
        <v>12032</v>
      </c>
      <c r="F63" s="41">
        <v>43960</v>
      </c>
      <c r="G63" s="38">
        <v>60</v>
      </c>
      <c r="H63" s="40">
        <v>0</v>
      </c>
      <c r="I63" s="38">
        <v>7</v>
      </c>
      <c r="J63" s="41">
        <v>45929</v>
      </c>
      <c r="K63" s="40">
        <v>7267791</v>
      </c>
      <c r="M63" s="39" t="s">
        <v>6729</v>
      </c>
      <c r="N63" s="52">
        <f t="shared" si="0"/>
        <v>0</v>
      </c>
      <c r="O63" s="2">
        <f>VLOOKUP(M63,'Data Angt'!$A$5:$F$5810,6,FALSE)</f>
        <v>36</v>
      </c>
      <c r="P63" s="47" t="str">
        <f>VLOOKUP(M63,'Data Angt'!$A$5:$H$5810,8,FALSE)</f>
        <v>Mengurus Rumah Tangga</v>
      </c>
      <c r="Q63" s="44" t="str">
        <f>VLOOKUP(M63,'Data Angt'!$A$5:$C$5809,3,FALSE)</f>
        <v>KRK</v>
      </c>
    </row>
    <row r="64" spans="1:17" x14ac:dyDescent="0.3">
      <c r="A64" s="37">
        <v>135274</v>
      </c>
      <c r="B64" s="38">
        <v>59</v>
      </c>
      <c r="C64" s="39" t="s">
        <v>5036</v>
      </c>
      <c r="D64" s="10" t="str">
        <f>VLOOKUP(C64,'Data Angt'!$A$5:$B$5809,2,FALSE)</f>
        <v>A2208</v>
      </c>
      <c r="E64" s="40" t="s">
        <v>12005</v>
      </c>
      <c r="F64" s="41">
        <v>44881</v>
      </c>
      <c r="G64" s="38">
        <v>60</v>
      </c>
      <c r="H64" s="40">
        <v>0</v>
      </c>
      <c r="I64" s="38">
        <v>7</v>
      </c>
      <c r="J64" s="41">
        <v>45916</v>
      </c>
      <c r="K64" s="40">
        <v>5533561</v>
      </c>
      <c r="M64" s="39" t="s">
        <v>6731</v>
      </c>
      <c r="N64" s="52">
        <f t="shared" si="0"/>
        <v>0</v>
      </c>
      <c r="O64" s="2">
        <f>VLOOKUP(M64,'Data Angt'!$A$5:$F$5810,6,FALSE)</f>
        <v>35</v>
      </c>
      <c r="P64" s="47" t="str">
        <f>VLOOKUP(M64,'Data Angt'!$A$5:$H$5810,8,FALSE)</f>
        <v>Mengurus Rumah Tangga</v>
      </c>
      <c r="Q64" s="44" t="str">
        <f>VLOOKUP(M64,'Data Angt'!$A$5:$C$5809,3,FALSE)</f>
        <v>KRK</v>
      </c>
    </row>
    <row r="65" spans="1:17" x14ac:dyDescent="0.3">
      <c r="A65" s="37">
        <v>128953</v>
      </c>
      <c r="B65" s="38">
        <v>60</v>
      </c>
      <c r="C65" s="39" t="s">
        <v>12353</v>
      </c>
      <c r="D65" s="10" t="str">
        <f>VLOOKUP(C65,'Data Angt'!$A$5:$B$5809,2,FALSE)</f>
        <v>A2219</v>
      </c>
      <c r="E65" s="40" t="s">
        <v>12028</v>
      </c>
      <c r="F65" s="41">
        <v>44385</v>
      </c>
      <c r="G65" s="38">
        <v>60</v>
      </c>
      <c r="H65" s="40">
        <v>0</v>
      </c>
      <c r="I65" s="38">
        <v>7</v>
      </c>
      <c r="J65" s="41">
        <v>45924</v>
      </c>
      <c r="K65" s="40">
        <v>2056302</v>
      </c>
      <c r="M65" s="39" t="s">
        <v>6932</v>
      </c>
      <c r="N65" s="52">
        <f t="shared" si="0"/>
        <v>0</v>
      </c>
      <c r="O65" s="2">
        <f>VLOOKUP(M65,'Data Angt'!$A$5:$F$5810,6,FALSE)</f>
        <v>34</v>
      </c>
      <c r="P65" s="47" t="str">
        <f>VLOOKUP(M65,'Data Angt'!$A$5:$H$5810,8,FALSE)</f>
        <v>Aparatur/Pejabat Negara</v>
      </c>
      <c r="Q65" s="44" t="str">
        <f>VLOOKUP(M65,'Data Angt'!$A$5:$C$5809,3,FALSE)</f>
        <v>PBL</v>
      </c>
    </row>
    <row r="66" spans="1:17" x14ac:dyDescent="0.3">
      <c r="A66" s="37">
        <v>128993</v>
      </c>
      <c r="B66" s="38">
        <v>61</v>
      </c>
      <c r="C66" s="39" t="s">
        <v>12353</v>
      </c>
      <c r="D66" s="10" t="str">
        <f>VLOOKUP(C66,'Data Angt'!$A$5:$B$5809,2,FALSE)</f>
        <v>A2219</v>
      </c>
      <c r="E66" s="40" t="s">
        <v>11999</v>
      </c>
      <c r="F66" s="41">
        <v>44386</v>
      </c>
      <c r="G66" s="38">
        <v>60</v>
      </c>
      <c r="H66" s="40">
        <v>0</v>
      </c>
      <c r="I66" s="38">
        <v>7</v>
      </c>
      <c r="J66" s="41">
        <v>45924</v>
      </c>
      <c r="K66" s="40">
        <v>2733040</v>
      </c>
      <c r="M66" s="39" t="s">
        <v>12479</v>
      </c>
      <c r="N66" s="52">
        <f t="shared" si="0"/>
        <v>0</v>
      </c>
      <c r="O66" s="2">
        <f>VLOOKUP(M66,'Data Angt'!$A$5:$F$5810,6,FALSE)</f>
        <v>21</v>
      </c>
      <c r="P66" s="47" t="str">
        <f>VLOOKUP(M66,'Data Angt'!$A$5:$H$5810,8,FALSE)</f>
        <v>Pelajar/Mahasiswa</v>
      </c>
      <c r="Q66" s="44" t="str">
        <f>VLOOKUP(M66,'Data Angt'!$A$5:$C$5809,3,FALSE)</f>
        <v>JBR</v>
      </c>
    </row>
    <row r="67" spans="1:17" x14ac:dyDescent="0.3">
      <c r="A67" s="37">
        <v>143393</v>
      </c>
      <c r="B67" s="38">
        <v>62</v>
      </c>
      <c r="C67" s="39" t="s">
        <v>12353</v>
      </c>
      <c r="D67" s="10" t="str">
        <f>VLOOKUP(C67,'Data Angt'!$A$5:$B$5809,2,FALSE)</f>
        <v>A2219</v>
      </c>
      <c r="E67" s="40" t="s">
        <v>18737</v>
      </c>
      <c r="F67" s="41">
        <v>45364</v>
      </c>
      <c r="G67" s="38">
        <v>60</v>
      </c>
      <c r="H67" s="40">
        <v>0</v>
      </c>
      <c r="I67" s="38">
        <v>7</v>
      </c>
      <c r="J67" s="41">
        <v>45924</v>
      </c>
      <c r="K67" s="40">
        <v>977759</v>
      </c>
      <c r="M67" s="39" t="s">
        <v>7084</v>
      </c>
      <c r="N67" s="52">
        <f t="shared" si="0"/>
        <v>0</v>
      </c>
      <c r="O67" s="2">
        <f>VLOOKUP(M67,'Data Angt'!$A$5:$F$5810,6,FALSE)</f>
        <v>31</v>
      </c>
      <c r="P67" s="47" t="str">
        <f>VLOOKUP(M67,'Data Angt'!$A$5:$H$5810,8,FALSE)</f>
        <v>Wiraswasta</v>
      </c>
      <c r="Q67" s="44" t="str">
        <f>VLOOKUP(M67,'Data Angt'!$A$5:$C$5809,3,FALSE)</f>
        <v>PBL</v>
      </c>
    </row>
    <row r="68" spans="1:17" x14ac:dyDescent="0.3">
      <c r="A68" s="37">
        <v>128666</v>
      </c>
      <c r="B68" s="38">
        <v>63</v>
      </c>
      <c r="C68" s="39" t="s">
        <v>12364</v>
      </c>
      <c r="D68" s="10" t="str">
        <f>VLOOKUP(C68,'Data Angt'!$A$5:$B$5809,2,FALSE)</f>
        <v>A2289</v>
      </c>
      <c r="E68" s="40" t="s">
        <v>12007</v>
      </c>
      <c r="F68" s="41">
        <v>44368</v>
      </c>
      <c r="G68" s="38">
        <v>60</v>
      </c>
      <c r="H68" s="40">
        <v>0</v>
      </c>
      <c r="I68" s="38">
        <v>7</v>
      </c>
      <c r="J68" s="41">
        <v>45921</v>
      </c>
      <c r="K68" s="40">
        <v>11422198</v>
      </c>
      <c r="M68" s="39" t="s">
        <v>12483</v>
      </c>
      <c r="N68" s="52">
        <f t="shared" si="0"/>
        <v>0</v>
      </c>
      <c r="O68" s="2">
        <f>VLOOKUP(M68,'Data Angt'!$A$5:$F$5810,6,FALSE)</f>
        <v>33</v>
      </c>
      <c r="P68" s="47" t="str">
        <f>VLOOKUP(M68,'Data Angt'!$A$5:$H$5810,8,FALSE)</f>
        <v>Wiraswasta</v>
      </c>
      <c r="Q68" s="44" t="str">
        <f>VLOOKUP(M68,'Data Angt'!$A$5:$C$5809,3,FALSE)</f>
        <v>JBR</v>
      </c>
    </row>
    <row r="69" spans="1:17" x14ac:dyDescent="0.3">
      <c r="A69" s="37">
        <v>144976</v>
      </c>
      <c r="B69" s="38">
        <v>64</v>
      </c>
      <c r="C69" s="39" t="s">
        <v>5218</v>
      </c>
      <c r="D69" s="10" t="str">
        <f>VLOOKUP(C69,'Data Angt'!$A$5:$B$5809,2,FALSE)</f>
        <v>A2295</v>
      </c>
      <c r="E69" s="40" t="s">
        <v>18738</v>
      </c>
      <c r="F69" s="41">
        <v>45426</v>
      </c>
      <c r="G69" s="38">
        <v>60</v>
      </c>
      <c r="H69" s="40">
        <v>0</v>
      </c>
      <c r="I69" s="38">
        <v>6</v>
      </c>
      <c r="J69" s="41">
        <v>45917</v>
      </c>
      <c r="K69" s="40">
        <v>3965355</v>
      </c>
      <c r="M69" s="39" t="s">
        <v>7228</v>
      </c>
      <c r="N69" s="52">
        <f t="shared" si="0"/>
        <v>0</v>
      </c>
      <c r="O69" s="2">
        <f>VLOOKUP(M69,'Data Angt'!$A$5:$F$5810,6,FALSE)</f>
        <v>37</v>
      </c>
      <c r="P69" s="47" t="str">
        <f>VLOOKUP(M69,'Data Angt'!$A$5:$H$5810,8,FALSE)</f>
        <v>Mengurus Rumah Tangga</v>
      </c>
      <c r="Q69" s="44" t="str">
        <f>VLOOKUP(M69,'Data Angt'!$A$5:$C$5809,3,FALSE)</f>
        <v>PBL</v>
      </c>
    </row>
    <row r="70" spans="1:17" x14ac:dyDescent="0.3">
      <c r="A70" s="37">
        <v>134793</v>
      </c>
      <c r="B70" s="38">
        <v>65</v>
      </c>
      <c r="C70" s="39" t="s">
        <v>5235</v>
      </c>
      <c r="D70" s="10" t="str">
        <f>VLOOKUP(C70,'Data Angt'!$A$5:$B$5809,2,FALSE)</f>
        <v>A2302</v>
      </c>
      <c r="E70" s="40" t="s">
        <v>12008</v>
      </c>
      <c r="F70" s="41">
        <v>44840</v>
      </c>
      <c r="G70" s="38">
        <v>60</v>
      </c>
      <c r="H70" s="40">
        <v>0</v>
      </c>
      <c r="I70" s="38">
        <v>7</v>
      </c>
      <c r="J70" s="41">
        <v>45922</v>
      </c>
      <c r="K70" s="40">
        <v>4290294</v>
      </c>
      <c r="M70" s="39" t="s">
        <v>7313</v>
      </c>
      <c r="N70" s="52">
        <f t="shared" ref="N70:N133" si="1">VLOOKUP(M70,$C$6:$H$183,6,FALSE)</f>
        <v>0</v>
      </c>
      <c r="O70" s="2">
        <f>VLOOKUP(M70,'Data Angt'!$A$5:$F$5810,6,FALSE)</f>
        <v>37</v>
      </c>
      <c r="P70" s="47" t="str">
        <f>VLOOKUP(M70,'Data Angt'!$A$5:$H$5810,8,FALSE)</f>
        <v>Karyawan</v>
      </c>
      <c r="Q70" s="44" t="str">
        <f>VLOOKUP(M70,'Data Angt'!$A$5:$C$5809,3,FALSE)</f>
        <v>PBL</v>
      </c>
    </row>
    <row r="71" spans="1:17" x14ac:dyDescent="0.3">
      <c r="A71" s="37">
        <v>134795</v>
      </c>
      <c r="B71" s="38">
        <v>66</v>
      </c>
      <c r="C71" s="39" t="s">
        <v>5237</v>
      </c>
      <c r="D71" s="10" t="str">
        <f>VLOOKUP(C71,'Data Angt'!$A$5:$B$5809,2,FALSE)</f>
        <v>A2303</v>
      </c>
      <c r="E71" s="40" t="s">
        <v>12009</v>
      </c>
      <c r="F71" s="41">
        <v>44840</v>
      </c>
      <c r="G71" s="38">
        <v>60</v>
      </c>
      <c r="H71" s="40">
        <v>0</v>
      </c>
      <c r="I71" s="38">
        <v>7</v>
      </c>
      <c r="J71" s="41">
        <v>45922</v>
      </c>
      <c r="K71" s="40">
        <v>4398478</v>
      </c>
      <c r="M71" s="39" t="s">
        <v>12490</v>
      </c>
      <c r="N71" s="52">
        <f t="shared" si="1"/>
        <v>0</v>
      </c>
      <c r="O71" s="2">
        <f>VLOOKUP(M71,'Data Angt'!$A$5:$F$5810,6,FALSE)</f>
        <v>40</v>
      </c>
      <c r="P71" s="47" t="str">
        <f>VLOOKUP(M71,'Data Angt'!$A$5:$H$5810,8,FALSE)</f>
        <v>Wiraswasta</v>
      </c>
      <c r="Q71" s="44" t="str">
        <f>VLOOKUP(M71,'Data Angt'!$A$5:$C$5809,3,FALSE)</f>
        <v>BWI</v>
      </c>
    </row>
    <row r="72" spans="1:17" x14ac:dyDescent="0.3">
      <c r="A72" s="37">
        <v>112610</v>
      </c>
      <c r="B72" s="38">
        <v>67</v>
      </c>
      <c r="C72" s="39" t="s">
        <v>5431</v>
      </c>
      <c r="D72" s="10" t="str">
        <f>VLOOKUP(C72,'Data Angt'!$A$5:$B$5809,2,FALSE)</f>
        <v>A2397</v>
      </c>
      <c r="E72" s="40" t="s">
        <v>12020</v>
      </c>
      <c r="F72" s="41">
        <v>43614</v>
      </c>
      <c r="G72" s="38">
        <v>60</v>
      </c>
      <c r="H72" s="40">
        <v>0</v>
      </c>
      <c r="I72" s="38">
        <v>7</v>
      </c>
      <c r="J72" s="41">
        <v>45491</v>
      </c>
      <c r="K72" s="40">
        <v>71</v>
      </c>
      <c r="M72" s="39" t="s">
        <v>7410</v>
      </c>
      <c r="N72" s="52">
        <f t="shared" si="1"/>
        <v>0</v>
      </c>
      <c r="O72" s="2">
        <f>VLOOKUP(M72,'Data Angt'!$A$5:$F$5810,6,FALSE)</f>
        <v>43</v>
      </c>
      <c r="P72" s="47" t="str">
        <f>VLOOKUP(M72,'Data Angt'!$A$5:$H$5810,8,FALSE)</f>
        <v>Wiraswasta</v>
      </c>
      <c r="Q72" s="44" t="str">
        <f>VLOOKUP(M72,'Data Angt'!$A$5:$C$5809,3,FALSE)</f>
        <v>PBL</v>
      </c>
    </row>
    <row r="73" spans="1:17" x14ac:dyDescent="0.3">
      <c r="A73" s="37">
        <v>114891</v>
      </c>
      <c r="B73" s="38">
        <v>68</v>
      </c>
      <c r="C73" s="39" t="s">
        <v>5545</v>
      </c>
      <c r="D73" s="10" t="str">
        <f>VLOOKUP(C73,'Data Angt'!$A$5:$B$5809,2,FALSE)</f>
        <v>A2448</v>
      </c>
      <c r="E73" s="40" t="s">
        <v>12023</v>
      </c>
      <c r="F73" s="41">
        <v>43680</v>
      </c>
      <c r="G73" s="38">
        <v>60</v>
      </c>
      <c r="H73" s="40">
        <v>0</v>
      </c>
      <c r="I73" s="38">
        <v>7</v>
      </c>
      <c r="J73" s="41">
        <v>45504</v>
      </c>
      <c r="K73" s="40">
        <v>1088989</v>
      </c>
      <c r="M73" s="39" t="s">
        <v>7448</v>
      </c>
      <c r="N73" s="52">
        <f t="shared" si="1"/>
        <v>0</v>
      </c>
      <c r="O73" s="2">
        <f>VLOOKUP(M73,'Data Angt'!$A$5:$F$5810,6,FALSE)</f>
        <v>40</v>
      </c>
      <c r="P73" s="47" t="str">
        <f>VLOOKUP(M73,'Data Angt'!$A$5:$H$5810,8,FALSE)</f>
        <v>Mengurus Rumah Tangga</v>
      </c>
      <c r="Q73" s="44" t="str">
        <f>VLOOKUP(M73,'Data Angt'!$A$5:$C$5809,3,FALSE)</f>
        <v>BWI</v>
      </c>
    </row>
    <row r="74" spans="1:17" x14ac:dyDescent="0.3">
      <c r="A74" s="37">
        <v>141652</v>
      </c>
      <c r="B74" s="38">
        <v>69</v>
      </c>
      <c r="C74" s="39" t="s">
        <v>5554</v>
      </c>
      <c r="D74" s="10" t="str">
        <f>VLOOKUP(C74,'Data Angt'!$A$5:$B$5809,2,FALSE)</f>
        <v>A2451</v>
      </c>
      <c r="E74" s="40" t="s">
        <v>18739</v>
      </c>
      <c r="F74" s="41">
        <v>45303</v>
      </c>
      <c r="G74" s="38">
        <v>60</v>
      </c>
      <c r="H74" s="40">
        <v>0</v>
      </c>
      <c r="I74" s="38">
        <v>7</v>
      </c>
      <c r="J74" s="41">
        <v>45912</v>
      </c>
      <c r="K74" s="40">
        <v>1031203</v>
      </c>
      <c r="M74" s="39" t="s">
        <v>7564</v>
      </c>
      <c r="N74" s="52">
        <f t="shared" si="1"/>
        <v>0</v>
      </c>
      <c r="O74" s="2">
        <f>VLOOKUP(M74,'Data Angt'!$A$5:$F$5810,6,FALSE)</f>
        <v>33</v>
      </c>
      <c r="P74" s="47" t="str">
        <f>VLOOKUP(M74,'Data Angt'!$A$5:$H$5810,8,FALSE)</f>
        <v>Tenaga Pengajar</v>
      </c>
      <c r="Q74" s="44" t="str">
        <f>VLOOKUP(M74,'Data Angt'!$A$5:$C$5809,3,FALSE)</f>
        <v>MJK</v>
      </c>
    </row>
    <row r="75" spans="1:17" x14ac:dyDescent="0.3">
      <c r="A75" s="37">
        <v>154961</v>
      </c>
      <c r="B75" s="38">
        <v>70</v>
      </c>
      <c r="C75" s="39" t="s">
        <v>5780</v>
      </c>
      <c r="D75" s="10" t="str">
        <f>VLOOKUP(C75,'Data Angt'!$A$5:$B$5809,2,FALSE)</f>
        <v>A2548</v>
      </c>
      <c r="E75" s="40" t="s">
        <v>18740</v>
      </c>
      <c r="F75" s="41">
        <v>45757</v>
      </c>
      <c r="G75" s="38">
        <v>60</v>
      </c>
      <c r="H75" s="40">
        <v>0</v>
      </c>
      <c r="I75" s="38">
        <v>6</v>
      </c>
      <c r="J75" s="41">
        <v>45910</v>
      </c>
      <c r="K75" s="40">
        <v>604769</v>
      </c>
      <c r="M75" s="39" t="s">
        <v>7572</v>
      </c>
      <c r="N75" s="52">
        <f t="shared" si="1"/>
        <v>0</v>
      </c>
      <c r="O75" s="2">
        <f>VLOOKUP(M75,'Data Angt'!$A$5:$F$5810,6,FALSE)</f>
        <v>44</v>
      </c>
      <c r="P75" s="47" t="str">
        <f>VLOOKUP(M75,'Data Angt'!$A$5:$H$5810,8,FALSE)</f>
        <v>Mengurus Rumah Tangga</v>
      </c>
      <c r="Q75" s="44" t="str">
        <f>VLOOKUP(M75,'Data Angt'!$A$5:$C$5809,3,FALSE)</f>
        <v>PBL</v>
      </c>
    </row>
    <row r="76" spans="1:17" x14ac:dyDescent="0.3">
      <c r="A76" s="37">
        <v>154854</v>
      </c>
      <c r="B76" s="38">
        <v>71</v>
      </c>
      <c r="C76" s="39" t="s">
        <v>5943</v>
      </c>
      <c r="D76" s="10" t="str">
        <f>VLOOKUP(C76,'Data Angt'!$A$5:$B$5809,2,FALSE)</f>
        <v>A2623</v>
      </c>
      <c r="E76" s="40" t="s">
        <v>18741</v>
      </c>
      <c r="F76" s="41">
        <v>45744</v>
      </c>
      <c r="G76" s="38">
        <v>60</v>
      </c>
      <c r="H76" s="40">
        <v>0</v>
      </c>
      <c r="I76" s="38">
        <v>6</v>
      </c>
      <c r="J76" s="41">
        <v>45929</v>
      </c>
      <c r="K76" s="40">
        <v>303142</v>
      </c>
      <c r="M76" s="39" t="s">
        <v>7797</v>
      </c>
      <c r="N76" s="52">
        <f t="shared" si="1"/>
        <v>0</v>
      </c>
      <c r="O76" s="2">
        <f>VLOOKUP(M76,'Data Angt'!$A$5:$F$5810,6,FALSE)</f>
        <v>32</v>
      </c>
      <c r="P76" s="47" t="str">
        <f>VLOOKUP(M76,'Data Angt'!$A$5:$H$5810,8,FALSE)</f>
        <v>Karyawan</v>
      </c>
      <c r="Q76" s="44" t="str">
        <f>VLOOKUP(M76,'Data Angt'!$A$5:$C$5809,3,FALSE)</f>
        <v>PBL</v>
      </c>
    </row>
    <row r="77" spans="1:17" x14ac:dyDescent="0.3">
      <c r="A77" s="37">
        <v>154856</v>
      </c>
      <c r="B77" s="38">
        <v>72</v>
      </c>
      <c r="C77" s="39" t="s">
        <v>5943</v>
      </c>
      <c r="D77" s="10" t="str">
        <f>VLOOKUP(C77,'Data Angt'!$A$5:$B$5809,2,FALSE)</f>
        <v>A2623</v>
      </c>
      <c r="E77" s="40" t="s">
        <v>18742</v>
      </c>
      <c r="F77" s="41">
        <v>45744</v>
      </c>
      <c r="G77" s="38">
        <v>60</v>
      </c>
      <c r="H77" s="40">
        <v>0</v>
      </c>
      <c r="I77" s="38">
        <v>6</v>
      </c>
      <c r="J77" s="41">
        <v>45929</v>
      </c>
      <c r="K77" s="40">
        <v>303142</v>
      </c>
      <c r="M77" s="39" t="s">
        <v>12530</v>
      </c>
      <c r="N77" s="52">
        <f t="shared" si="1"/>
        <v>0</v>
      </c>
      <c r="O77" s="2">
        <f>VLOOKUP(M77,'Data Angt'!$A$5:$F$5810,6,FALSE)</f>
        <v>36</v>
      </c>
      <c r="P77" s="47" t="str">
        <f>VLOOKUP(M77,'Data Angt'!$A$5:$H$5810,8,FALSE)</f>
        <v>Wiraswasta</v>
      </c>
      <c r="Q77" s="44" t="str">
        <f>VLOOKUP(M77,'Data Angt'!$A$5:$C$5809,3,FALSE)</f>
        <v>JBR</v>
      </c>
    </row>
    <row r="78" spans="1:17" x14ac:dyDescent="0.3">
      <c r="A78" s="37">
        <v>155338</v>
      </c>
      <c r="B78" s="38">
        <v>73</v>
      </c>
      <c r="C78" s="39" t="s">
        <v>5943</v>
      </c>
      <c r="D78" s="10" t="str">
        <f>VLOOKUP(C78,'Data Angt'!$A$5:$B$5809,2,FALSE)</f>
        <v>A2623</v>
      </c>
      <c r="E78" s="40" t="s">
        <v>18743</v>
      </c>
      <c r="F78" s="41">
        <v>45777</v>
      </c>
      <c r="G78" s="38">
        <v>60</v>
      </c>
      <c r="H78" s="40">
        <v>0</v>
      </c>
      <c r="I78" s="38">
        <v>6</v>
      </c>
      <c r="J78" s="41">
        <v>45930</v>
      </c>
      <c r="K78" s="40">
        <v>252260</v>
      </c>
      <c r="M78" s="39" t="s">
        <v>12532</v>
      </c>
      <c r="N78" s="52">
        <f t="shared" si="1"/>
        <v>0</v>
      </c>
      <c r="O78" s="2">
        <f>VLOOKUP(M78,'Data Angt'!$A$5:$F$5810,6,FALSE)</f>
        <v>38</v>
      </c>
      <c r="P78" s="47" t="str">
        <f>VLOOKUP(M78,'Data Angt'!$A$5:$H$5810,8,FALSE)</f>
        <v>Karyawan</v>
      </c>
      <c r="Q78" s="44" t="str">
        <f>VLOOKUP(M78,'Data Angt'!$A$5:$C$5809,3,FALSE)</f>
        <v>BWI</v>
      </c>
    </row>
    <row r="79" spans="1:17" x14ac:dyDescent="0.3">
      <c r="A79" s="37">
        <v>137711</v>
      </c>
      <c r="B79" s="38">
        <v>74</v>
      </c>
      <c r="C79" s="39" t="s">
        <v>5953</v>
      </c>
      <c r="D79" s="10" t="str">
        <f>VLOOKUP(C79,'Data Angt'!$A$5:$B$5809,2,FALSE)</f>
        <v>A2627</v>
      </c>
      <c r="E79" s="40" t="s">
        <v>12014</v>
      </c>
      <c r="F79" s="41">
        <v>45085</v>
      </c>
      <c r="G79" s="38">
        <v>60</v>
      </c>
      <c r="H79" s="40">
        <v>0</v>
      </c>
      <c r="I79" s="38">
        <v>7</v>
      </c>
      <c r="J79" s="41">
        <v>45918</v>
      </c>
      <c r="K79" s="40">
        <v>14603434</v>
      </c>
      <c r="M79" s="39" t="s">
        <v>8204</v>
      </c>
      <c r="N79" s="52">
        <f t="shared" si="1"/>
        <v>0</v>
      </c>
      <c r="O79" s="2">
        <f>VLOOKUP(M79,'Data Angt'!$A$5:$F$5810,6,FALSE)</f>
        <v>37</v>
      </c>
      <c r="P79" s="47" t="str">
        <f>VLOOKUP(M79,'Data Angt'!$A$5:$H$5810,8,FALSE)</f>
        <v>Karyawan</v>
      </c>
      <c r="Q79" s="44" t="str">
        <f>VLOOKUP(M79,'Data Angt'!$A$5:$C$5809,3,FALSE)</f>
        <v>PBL</v>
      </c>
    </row>
    <row r="80" spans="1:17" x14ac:dyDescent="0.3">
      <c r="A80" s="37">
        <v>144550</v>
      </c>
      <c r="B80" s="38">
        <v>75</v>
      </c>
      <c r="C80" s="39" t="s">
        <v>12409</v>
      </c>
      <c r="D80" s="10" t="str">
        <f>VLOOKUP(C80,'Data Angt'!$A$5:$B$5809,2,FALSE)</f>
        <v>A2644</v>
      </c>
      <c r="E80" s="40" t="s">
        <v>18744</v>
      </c>
      <c r="F80" s="41">
        <v>45414</v>
      </c>
      <c r="G80" s="38">
        <v>60</v>
      </c>
      <c r="H80" s="40">
        <v>0</v>
      </c>
      <c r="I80" s="38">
        <v>6</v>
      </c>
      <c r="J80" s="41">
        <v>45909</v>
      </c>
      <c r="K80" s="40">
        <v>869008</v>
      </c>
      <c r="M80" s="39" t="s">
        <v>8354</v>
      </c>
      <c r="N80" s="52">
        <f t="shared" si="1"/>
        <v>0</v>
      </c>
      <c r="O80" s="2">
        <f>VLOOKUP(M80,'Data Angt'!$A$5:$F$5810,6,FALSE)</f>
        <v>39</v>
      </c>
      <c r="P80" s="47" t="str">
        <f>VLOOKUP(M80,'Data Angt'!$A$5:$H$5810,8,FALSE)</f>
        <v>Karyawan</v>
      </c>
      <c r="Q80" s="44" t="str">
        <f>VLOOKUP(M80,'Data Angt'!$A$5:$C$5809,3,FALSE)</f>
        <v>PBL</v>
      </c>
    </row>
    <row r="81" spans="1:17" x14ac:dyDescent="0.3">
      <c r="A81" s="37">
        <v>113443</v>
      </c>
      <c r="B81" s="38">
        <v>76</v>
      </c>
      <c r="C81" s="39" t="s">
        <v>6067</v>
      </c>
      <c r="D81" s="10" t="str">
        <f>VLOOKUP(C81,'Data Angt'!$A$5:$B$5809,2,FALSE)</f>
        <v>A2682</v>
      </c>
      <c r="E81" s="40" t="s">
        <v>12021</v>
      </c>
      <c r="F81" s="41">
        <v>43644</v>
      </c>
      <c r="G81" s="38">
        <v>60</v>
      </c>
      <c r="H81" s="40">
        <v>0</v>
      </c>
      <c r="I81" s="38">
        <v>7</v>
      </c>
      <c r="J81" s="41">
        <v>45443</v>
      </c>
      <c r="K81" s="40">
        <v>1775685</v>
      </c>
      <c r="M81" s="39" t="s">
        <v>12559</v>
      </c>
      <c r="N81" s="52">
        <f t="shared" si="1"/>
        <v>0</v>
      </c>
      <c r="O81" s="2">
        <f>VLOOKUP(M81,'Data Angt'!$A$5:$F$5810,6,FALSE)</f>
        <v>36</v>
      </c>
      <c r="P81" s="47" t="str">
        <f>VLOOKUP(M81,'Data Angt'!$A$5:$H$5810,8,FALSE)</f>
        <v>Karyawan</v>
      </c>
      <c r="Q81" s="44" t="str">
        <f>VLOOKUP(M81,'Data Angt'!$A$5:$C$5809,3,FALSE)</f>
        <v>JBR</v>
      </c>
    </row>
    <row r="82" spans="1:17" x14ac:dyDescent="0.3">
      <c r="A82" s="37">
        <v>131577</v>
      </c>
      <c r="B82" s="38">
        <v>77</v>
      </c>
      <c r="C82" s="39" t="s">
        <v>6145</v>
      </c>
      <c r="D82" s="10" t="str">
        <f>VLOOKUP(C82,'Data Angt'!$A$5:$B$5809,2,FALSE)</f>
        <v>A2722</v>
      </c>
      <c r="E82" s="40" t="s">
        <v>12011</v>
      </c>
      <c r="F82" s="41">
        <v>44590</v>
      </c>
      <c r="G82" s="38">
        <v>60</v>
      </c>
      <c r="H82" s="40">
        <v>0</v>
      </c>
      <c r="I82" s="38">
        <v>7</v>
      </c>
      <c r="J82" s="41">
        <v>45929</v>
      </c>
      <c r="K82" s="40">
        <v>2250918</v>
      </c>
      <c r="M82" s="39" t="s">
        <v>12562</v>
      </c>
      <c r="N82" s="52">
        <f t="shared" si="1"/>
        <v>0</v>
      </c>
      <c r="O82" s="2">
        <f>VLOOKUP(M82,'Data Angt'!$A$5:$F$5810,6,FALSE)</f>
        <v>29</v>
      </c>
      <c r="P82" s="47" t="str">
        <f>VLOOKUP(M82,'Data Angt'!$A$5:$H$5810,8,FALSE)</f>
        <v>Wiraswasta</v>
      </c>
      <c r="Q82" s="44" t="str">
        <f>VLOOKUP(M82,'Data Angt'!$A$5:$C$5809,3,FALSE)</f>
        <v>PBL</v>
      </c>
    </row>
    <row r="83" spans="1:17" x14ac:dyDescent="0.3">
      <c r="A83" s="37">
        <v>136107</v>
      </c>
      <c r="B83" s="38">
        <v>78</v>
      </c>
      <c r="C83" s="39" t="s">
        <v>6145</v>
      </c>
      <c r="D83" s="10" t="str">
        <f>VLOOKUP(C83,'Data Angt'!$A$5:$B$5809,2,FALSE)</f>
        <v>A2722</v>
      </c>
      <c r="E83" s="40" t="s">
        <v>12012</v>
      </c>
      <c r="F83" s="41">
        <v>44952</v>
      </c>
      <c r="G83" s="38">
        <v>60</v>
      </c>
      <c r="H83" s="40">
        <v>0</v>
      </c>
      <c r="I83" s="38">
        <v>7</v>
      </c>
      <c r="J83" s="41">
        <v>45926</v>
      </c>
      <c r="K83" s="40">
        <v>1731806</v>
      </c>
      <c r="M83" s="39" t="s">
        <v>8476</v>
      </c>
      <c r="N83" s="52">
        <f t="shared" si="1"/>
        <v>0</v>
      </c>
      <c r="O83" s="2">
        <f>VLOOKUP(M83,'Data Angt'!$A$5:$F$5810,6,FALSE)</f>
        <v>26</v>
      </c>
      <c r="P83" s="47" t="str">
        <f>VLOOKUP(M83,'Data Angt'!$A$5:$H$5810,8,FALSE)</f>
        <v>Pelajar/Mahasiswa</v>
      </c>
      <c r="Q83" s="44" t="str">
        <f>VLOOKUP(M83,'Data Angt'!$A$5:$C$5809,3,FALSE)</f>
        <v>PBL</v>
      </c>
    </row>
    <row r="84" spans="1:17" x14ac:dyDescent="0.3">
      <c r="A84" s="37">
        <v>128133</v>
      </c>
      <c r="B84" s="38">
        <v>79</v>
      </c>
      <c r="C84" s="39" t="s">
        <v>6577</v>
      </c>
      <c r="D84" s="10" t="str">
        <f>VLOOKUP(C84,'Data Angt'!$A$5:$B$5809,2,FALSE)</f>
        <v>A2922</v>
      </c>
      <c r="E84" s="40" t="s">
        <v>12013</v>
      </c>
      <c r="F84" s="41">
        <v>44319</v>
      </c>
      <c r="G84" s="38">
        <v>60</v>
      </c>
      <c r="H84" s="40">
        <v>0</v>
      </c>
      <c r="I84" s="38">
        <v>7</v>
      </c>
      <c r="J84" s="41">
        <v>45903</v>
      </c>
      <c r="K84" s="40">
        <v>10893646</v>
      </c>
      <c r="M84" s="39" t="s">
        <v>8519</v>
      </c>
      <c r="N84" s="52">
        <f t="shared" si="1"/>
        <v>0</v>
      </c>
      <c r="O84" s="2">
        <f>VLOOKUP(M84,'Data Angt'!$A$5:$F$5810,6,FALSE)</f>
        <v>31</v>
      </c>
      <c r="P84" s="47" t="str">
        <f>VLOOKUP(M84,'Data Angt'!$A$5:$H$5810,8,FALSE)</f>
        <v>Karyawan</v>
      </c>
      <c r="Q84" s="44" t="str">
        <f>VLOOKUP(M84,'Data Angt'!$A$5:$C$5809,3,FALSE)</f>
        <v>JBR</v>
      </c>
    </row>
    <row r="85" spans="1:17" x14ac:dyDescent="0.3">
      <c r="A85" s="37">
        <v>151677</v>
      </c>
      <c r="B85" s="38">
        <v>80</v>
      </c>
      <c r="C85" s="39" t="s">
        <v>6706</v>
      </c>
      <c r="D85" s="10" t="str">
        <f>VLOOKUP(C85,'Data Angt'!$A$5:$B$5809,2,FALSE)</f>
        <v>A2984</v>
      </c>
      <c r="E85" s="40" t="s">
        <v>18745</v>
      </c>
      <c r="F85" s="41">
        <v>45647</v>
      </c>
      <c r="G85" s="38">
        <v>60</v>
      </c>
      <c r="H85" s="40">
        <v>0</v>
      </c>
      <c r="I85" s="38">
        <v>6</v>
      </c>
      <c r="J85" s="41">
        <v>45921</v>
      </c>
      <c r="K85" s="40">
        <v>506802</v>
      </c>
      <c r="M85" s="39" t="s">
        <v>8584</v>
      </c>
      <c r="N85" s="52">
        <f t="shared" si="1"/>
        <v>0</v>
      </c>
      <c r="O85" s="2">
        <f>VLOOKUP(M85,'Data Angt'!$A$5:$F$5810,6,FALSE)</f>
        <v>57</v>
      </c>
      <c r="P85" s="47" t="str">
        <f>VLOOKUP(M85,'Data Angt'!$A$5:$H$5810,8,FALSE)</f>
        <v>Wiraswasta</v>
      </c>
      <c r="Q85" s="44" t="str">
        <f>VLOOKUP(M85,'Data Angt'!$A$5:$C$5809,3,FALSE)</f>
        <v>JBR</v>
      </c>
    </row>
    <row r="86" spans="1:17" x14ac:dyDescent="0.3">
      <c r="A86" s="37">
        <v>147907</v>
      </c>
      <c r="B86" s="38">
        <v>81</v>
      </c>
      <c r="C86" s="39" t="s">
        <v>6729</v>
      </c>
      <c r="D86" s="10" t="str">
        <f>VLOOKUP(C86,'Data Angt'!$A$5:$B$5809,2,FALSE)</f>
        <v>A2993</v>
      </c>
      <c r="E86" s="40" t="s">
        <v>18746</v>
      </c>
      <c r="F86" s="41">
        <v>45509</v>
      </c>
      <c r="G86" s="38">
        <v>60</v>
      </c>
      <c r="H86" s="40">
        <v>0</v>
      </c>
      <c r="I86" s="38">
        <v>6</v>
      </c>
      <c r="J86" s="41">
        <v>45905</v>
      </c>
      <c r="K86" s="40">
        <v>1426281</v>
      </c>
      <c r="M86" s="39" t="s">
        <v>8746</v>
      </c>
      <c r="N86" s="52">
        <f t="shared" si="1"/>
        <v>0</v>
      </c>
      <c r="O86" s="2">
        <f>VLOOKUP(M86,'Data Angt'!$A$5:$F$5810,6,FALSE)</f>
        <v>49</v>
      </c>
      <c r="P86" s="47" t="str">
        <f>VLOOKUP(M86,'Data Angt'!$A$5:$H$5810,8,FALSE)</f>
        <v>Tenaga Pengajar</v>
      </c>
      <c r="Q86" s="44" t="str">
        <f>VLOOKUP(M86,'Data Angt'!$A$5:$C$5809,3,FALSE)</f>
        <v>JBR</v>
      </c>
    </row>
    <row r="87" spans="1:17" x14ac:dyDescent="0.3">
      <c r="A87" s="37">
        <v>148873</v>
      </c>
      <c r="B87" s="38">
        <v>82</v>
      </c>
      <c r="C87" s="39" t="s">
        <v>6731</v>
      </c>
      <c r="D87" s="10" t="str">
        <f>VLOOKUP(C87,'Data Angt'!$A$5:$B$5809,2,FALSE)</f>
        <v>A2994</v>
      </c>
      <c r="E87" s="40" t="s">
        <v>18748</v>
      </c>
      <c r="F87" s="41">
        <v>45540</v>
      </c>
      <c r="G87" s="38">
        <v>60</v>
      </c>
      <c r="H87" s="40">
        <v>0</v>
      </c>
      <c r="I87" s="38">
        <v>6</v>
      </c>
      <c r="J87" s="41">
        <v>45905</v>
      </c>
      <c r="K87" s="40">
        <v>661365</v>
      </c>
      <c r="M87" s="39" t="s">
        <v>8780</v>
      </c>
      <c r="N87" s="52">
        <f t="shared" si="1"/>
        <v>0</v>
      </c>
      <c r="O87" s="2">
        <f>VLOOKUP(M87,'Data Angt'!$A$5:$F$5810,6,FALSE)</f>
        <v>32</v>
      </c>
      <c r="P87" s="47" t="str">
        <f>VLOOKUP(M87,'Data Angt'!$A$5:$H$5810,8,FALSE)</f>
        <v>Karyawan</v>
      </c>
      <c r="Q87" s="44" t="str">
        <f>VLOOKUP(M87,'Data Angt'!$A$5:$C$5809,3,FALSE)</f>
        <v>JBR</v>
      </c>
    </row>
    <row r="88" spans="1:17" x14ac:dyDescent="0.3">
      <c r="A88" s="37">
        <v>148875</v>
      </c>
      <c r="B88" s="38">
        <v>83</v>
      </c>
      <c r="C88" s="39" t="s">
        <v>6731</v>
      </c>
      <c r="D88" s="10" t="str">
        <f>VLOOKUP(C88,'Data Angt'!$A$5:$B$5809,2,FALSE)</f>
        <v>A2994</v>
      </c>
      <c r="E88" s="40" t="s">
        <v>18747</v>
      </c>
      <c r="F88" s="41">
        <v>45540</v>
      </c>
      <c r="G88" s="38">
        <v>60</v>
      </c>
      <c r="H88" s="40">
        <v>0</v>
      </c>
      <c r="I88" s="38">
        <v>6</v>
      </c>
      <c r="J88" s="41">
        <v>45905</v>
      </c>
      <c r="K88" s="40">
        <v>1322724</v>
      </c>
      <c r="M88" s="39" t="s">
        <v>8820</v>
      </c>
      <c r="N88" s="52">
        <f t="shared" si="1"/>
        <v>0</v>
      </c>
      <c r="O88" s="2">
        <f>VLOOKUP(M88,'Data Angt'!$A$5:$F$5810,6,FALSE)</f>
        <v>49</v>
      </c>
      <c r="P88" s="47" t="str">
        <f>VLOOKUP(M88,'Data Angt'!$A$5:$H$5810,8,FALSE)</f>
        <v>Wiraswasta</v>
      </c>
      <c r="Q88" s="44" t="str">
        <f>VLOOKUP(M88,'Data Angt'!$A$5:$C$5809,3,FALSE)</f>
        <v>BWI</v>
      </c>
    </row>
    <row r="89" spans="1:17" x14ac:dyDescent="0.3">
      <c r="A89" s="37">
        <v>142018</v>
      </c>
      <c r="B89" s="38">
        <v>84</v>
      </c>
      <c r="C89" s="39" t="s">
        <v>6932</v>
      </c>
      <c r="D89" s="10" t="str">
        <f>VLOOKUP(C89,'Data Angt'!$A$5:$B$5809,2,FALSE)</f>
        <v>A3099</v>
      </c>
      <c r="E89" s="40" t="s">
        <v>18749</v>
      </c>
      <c r="F89" s="41">
        <v>45311</v>
      </c>
      <c r="G89" s="38">
        <v>60</v>
      </c>
      <c r="H89" s="40">
        <v>0</v>
      </c>
      <c r="I89" s="38">
        <v>7</v>
      </c>
      <c r="J89" s="41">
        <v>45920</v>
      </c>
      <c r="K89" s="40">
        <v>2059200</v>
      </c>
      <c r="M89" s="39" t="s">
        <v>8920</v>
      </c>
      <c r="N89" s="52">
        <f t="shared" si="1"/>
        <v>0</v>
      </c>
      <c r="O89" s="2">
        <f>VLOOKUP(M89,'Data Angt'!$A$5:$F$5810,6,FALSE)</f>
        <v>43</v>
      </c>
      <c r="P89" s="47" t="str">
        <f>VLOOKUP(M89,'Data Angt'!$A$5:$H$5810,8,FALSE)</f>
        <v>Mengurus Rumah Tangga</v>
      </c>
      <c r="Q89" s="44" t="str">
        <f>VLOOKUP(M89,'Data Angt'!$A$5:$C$5809,3,FALSE)</f>
        <v>PBL</v>
      </c>
    </row>
    <row r="90" spans="1:17" x14ac:dyDescent="0.3">
      <c r="A90" s="37">
        <v>143076</v>
      </c>
      <c r="B90" s="38">
        <v>85</v>
      </c>
      <c r="C90" s="39" t="s">
        <v>12479</v>
      </c>
      <c r="D90" s="10" t="str">
        <f>VLOOKUP(C90,'Data Angt'!$A$5:$B$5809,2,FALSE)</f>
        <v>A3164</v>
      </c>
      <c r="E90" s="40" t="s">
        <v>18750</v>
      </c>
      <c r="F90" s="41">
        <v>45353</v>
      </c>
      <c r="G90" s="38">
        <v>60</v>
      </c>
      <c r="H90" s="40">
        <v>0</v>
      </c>
      <c r="I90" s="38">
        <v>7</v>
      </c>
      <c r="J90" s="41">
        <v>45902</v>
      </c>
      <c r="K90" s="40">
        <v>977759</v>
      </c>
      <c r="M90" s="39" t="s">
        <v>12589</v>
      </c>
      <c r="N90" s="52">
        <f t="shared" si="1"/>
        <v>0</v>
      </c>
      <c r="O90" s="2">
        <f>VLOOKUP(M90,'Data Angt'!$A$5:$F$5810,6,FALSE)</f>
        <v>35</v>
      </c>
      <c r="P90" s="47" t="str">
        <f>VLOOKUP(M90,'Data Angt'!$A$5:$H$5810,8,FALSE)</f>
        <v>Mengurus Rumah Tangga</v>
      </c>
      <c r="Q90" s="44" t="str">
        <f>VLOOKUP(M90,'Data Angt'!$A$5:$C$5809,3,FALSE)</f>
        <v>BWI</v>
      </c>
    </row>
    <row r="91" spans="1:17" x14ac:dyDescent="0.3">
      <c r="A91" s="37">
        <v>150911</v>
      </c>
      <c r="B91" s="38">
        <v>86</v>
      </c>
      <c r="C91" s="39" t="s">
        <v>7084</v>
      </c>
      <c r="D91" s="10" t="str">
        <f>VLOOKUP(C91,'Data Angt'!$A$5:$B$5809,2,FALSE)</f>
        <v>A3169</v>
      </c>
      <c r="E91" s="40" t="s">
        <v>18751</v>
      </c>
      <c r="F91" s="41">
        <v>45621</v>
      </c>
      <c r="G91" s="38">
        <v>60</v>
      </c>
      <c r="H91" s="40">
        <v>0</v>
      </c>
      <c r="I91" s="38">
        <v>6</v>
      </c>
      <c r="J91" s="41">
        <v>45929</v>
      </c>
      <c r="K91" s="40">
        <v>1115884</v>
      </c>
      <c r="M91" s="39" t="s">
        <v>9078</v>
      </c>
      <c r="N91" s="52">
        <f t="shared" si="1"/>
        <v>0</v>
      </c>
      <c r="O91" s="2">
        <f>VLOOKUP(M91,'Data Angt'!$A$5:$F$5810,6,FALSE)</f>
        <v>17</v>
      </c>
      <c r="P91" s="47" t="str">
        <f>VLOOKUP(M91,'Data Angt'!$A$5:$H$5810,8,FALSE)</f>
        <v>Pelajar/Mahasiswa</v>
      </c>
      <c r="Q91" s="44" t="str">
        <f>VLOOKUP(M91,'Data Angt'!$A$5:$C$5809,3,FALSE)</f>
        <v>JBR</v>
      </c>
    </row>
    <row r="92" spans="1:17" x14ac:dyDescent="0.3">
      <c r="A92" s="37">
        <v>120443</v>
      </c>
      <c r="B92" s="38">
        <v>87</v>
      </c>
      <c r="C92" s="39" t="s">
        <v>12483</v>
      </c>
      <c r="D92" s="10" t="str">
        <f>VLOOKUP(C92,'Data Angt'!$A$5:$B$5809,2,FALSE)</f>
        <v>A3229</v>
      </c>
      <c r="E92" s="40" t="s">
        <v>12017</v>
      </c>
      <c r="F92" s="41">
        <v>43866</v>
      </c>
      <c r="G92" s="38">
        <v>60</v>
      </c>
      <c r="H92" s="40">
        <v>0</v>
      </c>
      <c r="I92" s="38">
        <v>7</v>
      </c>
      <c r="J92" s="41">
        <v>45896</v>
      </c>
      <c r="K92" s="40">
        <v>3447309</v>
      </c>
      <c r="M92" s="39" t="s">
        <v>9092</v>
      </c>
      <c r="N92" s="52">
        <f t="shared" si="1"/>
        <v>0</v>
      </c>
      <c r="O92" s="2">
        <f>VLOOKUP(M92,'Data Angt'!$A$5:$F$5810,6,FALSE)</f>
        <v>40</v>
      </c>
      <c r="P92" s="47" t="str">
        <f>VLOOKUP(M92,'Data Angt'!$A$5:$H$5810,8,FALSE)</f>
        <v>Belum/Tidak Bekerja</v>
      </c>
      <c r="Q92" s="44" t="str">
        <f>VLOOKUP(M92,'Data Angt'!$A$5:$C$5809,3,FALSE)</f>
        <v>PBL</v>
      </c>
    </row>
    <row r="93" spans="1:17" x14ac:dyDescent="0.3">
      <c r="A93" s="37">
        <v>120204</v>
      </c>
      <c r="B93" s="38">
        <v>88</v>
      </c>
      <c r="C93" s="39" t="s">
        <v>7228</v>
      </c>
      <c r="D93" s="10" t="str">
        <f>VLOOKUP(C93,'Data Angt'!$A$5:$B$5809,2,FALSE)</f>
        <v>A3231</v>
      </c>
      <c r="E93" s="40" t="s">
        <v>12027</v>
      </c>
      <c r="F93" s="41">
        <v>43859</v>
      </c>
      <c r="G93" s="38">
        <v>60</v>
      </c>
      <c r="H93" s="40">
        <v>0</v>
      </c>
      <c r="I93" s="38">
        <v>7</v>
      </c>
      <c r="J93" s="41">
        <v>45657</v>
      </c>
      <c r="K93" s="40">
        <v>969032</v>
      </c>
      <c r="M93" s="39" t="s">
        <v>9094</v>
      </c>
      <c r="N93" s="52">
        <f t="shared" si="1"/>
        <v>0</v>
      </c>
      <c r="O93" s="2">
        <f>VLOOKUP(M93,'Data Angt'!$A$5:$F$5810,6,FALSE)</f>
        <v>37</v>
      </c>
      <c r="P93" s="47" t="str">
        <f>VLOOKUP(M93,'Data Angt'!$A$5:$H$5810,8,FALSE)</f>
        <v>Karyawan</v>
      </c>
      <c r="Q93" s="44" t="str">
        <f>VLOOKUP(M93,'Data Angt'!$A$5:$C$5809,3,FALSE)</f>
        <v>PBL</v>
      </c>
    </row>
    <row r="94" spans="1:17" x14ac:dyDescent="0.3">
      <c r="A94" s="37">
        <v>93466</v>
      </c>
      <c r="B94" s="38">
        <v>89</v>
      </c>
      <c r="C94" s="39" t="s">
        <v>7313</v>
      </c>
      <c r="D94" s="10" t="str">
        <f>VLOOKUP(C94,'Data Angt'!$A$5:$B$5809,2,FALSE)</f>
        <v>A3272</v>
      </c>
      <c r="E94" s="40" t="s">
        <v>12019</v>
      </c>
      <c r="F94" s="41">
        <v>43493</v>
      </c>
      <c r="G94" s="38">
        <v>60</v>
      </c>
      <c r="H94" s="40">
        <v>0</v>
      </c>
      <c r="I94" s="38">
        <v>7</v>
      </c>
      <c r="J94" s="41">
        <v>45291</v>
      </c>
      <c r="K94" s="40">
        <v>742908</v>
      </c>
      <c r="M94" s="39" t="s">
        <v>9110</v>
      </c>
      <c r="N94" s="52">
        <f t="shared" si="1"/>
        <v>0</v>
      </c>
      <c r="O94" s="2">
        <f>VLOOKUP(M94,'Data Angt'!$A$5:$F$5810,6,FALSE)</f>
        <v>31</v>
      </c>
      <c r="P94" s="47" t="str">
        <f>VLOOKUP(M94,'Data Angt'!$A$5:$H$5810,8,FALSE)</f>
        <v>Wiraswasta</v>
      </c>
      <c r="Q94" s="44" t="str">
        <f>VLOOKUP(M94,'Data Angt'!$A$5:$C$5809,3,FALSE)</f>
        <v>PBL</v>
      </c>
    </row>
    <row r="95" spans="1:17" x14ac:dyDescent="0.3">
      <c r="A95" s="37">
        <v>137673</v>
      </c>
      <c r="B95" s="38">
        <v>90</v>
      </c>
      <c r="C95" s="39" t="s">
        <v>12490</v>
      </c>
      <c r="D95" s="10" t="str">
        <f>VLOOKUP(C95,'Data Angt'!$A$5:$B$5809,2,FALSE)</f>
        <v>A3313</v>
      </c>
      <c r="E95" s="40" t="s">
        <v>12018</v>
      </c>
      <c r="F95" s="41">
        <v>45082</v>
      </c>
      <c r="G95" s="38">
        <v>60</v>
      </c>
      <c r="H95" s="40">
        <v>0</v>
      </c>
      <c r="I95" s="38">
        <v>7</v>
      </c>
      <c r="J95" s="41">
        <v>45905</v>
      </c>
      <c r="K95" s="40">
        <v>6301796</v>
      </c>
      <c r="M95" s="39" t="s">
        <v>9260</v>
      </c>
      <c r="N95" s="52">
        <f t="shared" si="1"/>
        <v>0</v>
      </c>
      <c r="O95" s="2">
        <f>VLOOKUP(M95,'Data Angt'!$A$5:$F$5810,6,FALSE)</f>
        <v>39</v>
      </c>
      <c r="P95" s="47" t="str">
        <f>VLOOKUP(M95,'Data Angt'!$A$5:$H$5810,8,FALSE)</f>
        <v>Mengurus Rumah Tangga</v>
      </c>
      <c r="Q95" s="44" t="str">
        <f>VLOOKUP(M95,'Data Angt'!$A$5:$C$5809,3,FALSE)</f>
        <v>PBL</v>
      </c>
    </row>
    <row r="96" spans="1:17" x14ac:dyDescent="0.3">
      <c r="A96" s="37">
        <v>145863</v>
      </c>
      <c r="B96" s="38">
        <v>91</v>
      </c>
      <c r="C96" s="39" t="s">
        <v>7410</v>
      </c>
      <c r="D96" s="10" t="str">
        <f>VLOOKUP(C96,'Data Angt'!$A$5:$B$5809,2,FALSE)</f>
        <v>A3314</v>
      </c>
      <c r="E96" s="40" t="s">
        <v>18752</v>
      </c>
      <c r="F96" s="41">
        <v>45449</v>
      </c>
      <c r="G96" s="38">
        <v>60</v>
      </c>
      <c r="H96" s="40">
        <v>0</v>
      </c>
      <c r="I96" s="38">
        <v>6</v>
      </c>
      <c r="J96" s="41">
        <v>45906</v>
      </c>
      <c r="K96" s="40">
        <v>2451257</v>
      </c>
      <c r="M96" s="39" t="s">
        <v>9281</v>
      </c>
      <c r="N96" s="52">
        <f t="shared" si="1"/>
        <v>0</v>
      </c>
      <c r="O96" s="2">
        <f>VLOOKUP(M96,'Data Angt'!$A$5:$F$5810,6,FALSE)</f>
        <v>39</v>
      </c>
      <c r="P96" s="47" t="str">
        <f>VLOOKUP(M96,'Data Angt'!$A$5:$H$5810,8,FALSE)</f>
        <v>Tenaga Pengajar</v>
      </c>
      <c r="Q96" s="44" t="str">
        <f>VLOOKUP(M96,'Data Angt'!$A$5:$C$5809,3,FALSE)</f>
        <v>BWI</v>
      </c>
    </row>
    <row r="97" spans="1:17" x14ac:dyDescent="0.3">
      <c r="A97" s="37">
        <v>144368</v>
      </c>
      <c r="B97" s="38">
        <v>92</v>
      </c>
      <c r="C97" s="39" t="s">
        <v>7448</v>
      </c>
      <c r="D97" s="10" t="str">
        <f>VLOOKUP(C97,'Data Angt'!$A$5:$B$5809,2,FALSE)</f>
        <v>A3332</v>
      </c>
      <c r="E97" s="40" t="s">
        <v>18753</v>
      </c>
      <c r="F97" s="41">
        <v>45404</v>
      </c>
      <c r="G97" s="38">
        <v>60</v>
      </c>
      <c r="H97" s="40">
        <v>0</v>
      </c>
      <c r="I97" s="38">
        <v>7</v>
      </c>
      <c r="J97" s="41">
        <v>45922</v>
      </c>
      <c r="K97" s="40">
        <v>4365550</v>
      </c>
      <c r="M97" s="39" t="s">
        <v>9352</v>
      </c>
      <c r="N97" s="52">
        <f t="shared" si="1"/>
        <v>0</v>
      </c>
      <c r="O97" s="2">
        <f>VLOOKUP(M97,'Data Angt'!$A$5:$F$5810,6,FALSE)</f>
        <v>38</v>
      </c>
      <c r="P97" s="47" t="str">
        <f>VLOOKUP(M97,'Data Angt'!$A$5:$H$5810,8,FALSE)</f>
        <v>Wiraswasta</v>
      </c>
      <c r="Q97" s="44" t="str">
        <f>VLOOKUP(M97,'Data Angt'!$A$5:$C$5809,3,FALSE)</f>
        <v>PBL</v>
      </c>
    </row>
    <row r="98" spans="1:17" x14ac:dyDescent="0.3">
      <c r="A98" s="37">
        <v>155351</v>
      </c>
      <c r="B98" s="38">
        <v>93</v>
      </c>
      <c r="C98" s="39" t="s">
        <v>7564</v>
      </c>
      <c r="D98" s="10" t="str">
        <f>VLOOKUP(C98,'Data Angt'!$A$5:$B$5809,2,FALSE)</f>
        <v>A3389</v>
      </c>
      <c r="E98" s="40" t="s">
        <v>18754</v>
      </c>
      <c r="F98" s="41">
        <v>45777</v>
      </c>
      <c r="G98" s="38">
        <v>60</v>
      </c>
      <c r="H98" s="40">
        <v>0</v>
      </c>
      <c r="I98" s="38">
        <v>6</v>
      </c>
      <c r="J98" s="41">
        <v>45930</v>
      </c>
      <c r="K98" s="40">
        <v>1009039</v>
      </c>
      <c r="M98" s="39" t="s">
        <v>9388</v>
      </c>
      <c r="N98" s="52">
        <f t="shared" si="1"/>
        <v>0</v>
      </c>
      <c r="O98" s="2">
        <f>VLOOKUP(M98,'Data Angt'!$A$5:$F$5810,6,FALSE)</f>
        <v>39</v>
      </c>
      <c r="P98" s="47" t="str">
        <f>VLOOKUP(M98,'Data Angt'!$A$5:$H$5810,8,FALSE)</f>
        <v>Lain-Lain</v>
      </c>
      <c r="Q98" s="44" t="str">
        <f>VLOOKUP(M98,'Data Angt'!$A$5:$C$5809,3,FALSE)</f>
        <v>PBL</v>
      </c>
    </row>
    <row r="99" spans="1:17" x14ac:dyDescent="0.3">
      <c r="A99" s="37">
        <v>122305</v>
      </c>
      <c r="B99" s="38">
        <v>94</v>
      </c>
      <c r="C99" s="39" t="s">
        <v>7572</v>
      </c>
      <c r="D99" s="10" t="str">
        <f>VLOOKUP(C99,'Data Angt'!$A$5:$B$5809,2,FALSE)</f>
        <v>A3392</v>
      </c>
      <c r="E99" s="40" t="s">
        <v>12030</v>
      </c>
      <c r="F99" s="41">
        <v>43910</v>
      </c>
      <c r="G99" s="38">
        <v>60</v>
      </c>
      <c r="H99" s="40">
        <v>0</v>
      </c>
      <c r="I99" s="38">
        <v>7</v>
      </c>
      <c r="J99" s="41">
        <v>45716</v>
      </c>
      <c r="K99" s="40">
        <v>3320163</v>
      </c>
      <c r="M99" s="39" t="s">
        <v>12624</v>
      </c>
      <c r="N99" s="52">
        <f t="shared" si="1"/>
        <v>0</v>
      </c>
      <c r="O99" s="2">
        <f>VLOOKUP(M99,'Data Angt'!$A$5:$F$5810,6,FALSE)</f>
        <v>59</v>
      </c>
      <c r="P99" s="47" t="str">
        <f>VLOOKUP(M99,'Data Angt'!$A$5:$H$5810,8,FALSE)</f>
        <v>Mengurus Rumah Tangga</v>
      </c>
      <c r="Q99" s="44" t="str">
        <f>VLOOKUP(M99,'Data Angt'!$A$5:$C$5809,3,FALSE)</f>
        <v>PBL</v>
      </c>
    </row>
    <row r="100" spans="1:17" x14ac:dyDescent="0.3">
      <c r="A100" s="37">
        <v>155111</v>
      </c>
      <c r="B100" s="38">
        <v>95</v>
      </c>
      <c r="C100" s="39" t="s">
        <v>7797</v>
      </c>
      <c r="D100" s="10" t="str">
        <f>VLOOKUP(C100,'Data Angt'!$A$5:$B$5809,2,FALSE)</f>
        <v>A3505</v>
      </c>
      <c r="E100" s="40" t="s">
        <v>18755</v>
      </c>
      <c r="F100" s="41">
        <v>45768</v>
      </c>
      <c r="G100" s="38">
        <v>60</v>
      </c>
      <c r="H100" s="40">
        <v>0</v>
      </c>
      <c r="I100" s="38">
        <v>6</v>
      </c>
      <c r="J100" s="41">
        <v>45921</v>
      </c>
      <c r="K100" s="40">
        <v>1210040</v>
      </c>
      <c r="M100" s="39" t="s">
        <v>12642</v>
      </c>
      <c r="N100" s="52">
        <f t="shared" si="1"/>
        <v>0</v>
      </c>
      <c r="O100" s="2">
        <f>VLOOKUP(M100,'Data Angt'!$A$5:$F$5810,6,FALSE)</f>
        <v>25</v>
      </c>
      <c r="P100" s="47" t="str">
        <f>VLOOKUP(M100,'Data Angt'!$A$5:$H$5810,8,FALSE)</f>
        <v>Karyawan</v>
      </c>
      <c r="Q100" s="44" t="str">
        <f>VLOOKUP(M100,'Data Angt'!$A$5:$C$5809,3,FALSE)</f>
        <v>BWI</v>
      </c>
    </row>
    <row r="101" spans="1:17" x14ac:dyDescent="0.3">
      <c r="A101" s="37">
        <v>120425</v>
      </c>
      <c r="B101" s="38">
        <v>96</v>
      </c>
      <c r="C101" s="39" t="s">
        <v>12530</v>
      </c>
      <c r="D101" s="10" t="str">
        <f>VLOOKUP(C101,'Data Angt'!$A$5:$B$5809,2,FALSE)</f>
        <v>A3625</v>
      </c>
      <c r="E101" s="40" t="s">
        <v>12025</v>
      </c>
      <c r="F101" s="41">
        <v>43866</v>
      </c>
      <c r="G101" s="38">
        <v>60</v>
      </c>
      <c r="H101" s="40">
        <v>0</v>
      </c>
      <c r="I101" s="38">
        <v>7</v>
      </c>
      <c r="J101" s="41">
        <v>45688</v>
      </c>
      <c r="K101" s="40">
        <v>1486066</v>
      </c>
      <c r="M101" s="39" t="s">
        <v>12651</v>
      </c>
      <c r="N101" s="52">
        <f t="shared" si="1"/>
        <v>0</v>
      </c>
      <c r="O101" s="2">
        <f>VLOOKUP(M101,'Data Angt'!$A$5:$F$5810,6,FALSE)</f>
        <v>32</v>
      </c>
      <c r="P101" s="47" t="str">
        <f>VLOOKUP(M101,'Data Angt'!$A$5:$H$5810,8,FALSE)</f>
        <v>Mengurus Rumah Tangga</v>
      </c>
      <c r="Q101" s="44" t="str">
        <f>VLOOKUP(M101,'Data Angt'!$A$5:$C$5809,3,FALSE)</f>
        <v>MJK</v>
      </c>
    </row>
    <row r="102" spans="1:17" x14ac:dyDescent="0.3">
      <c r="A102" s="37">
        <v>119370</v>
      </c>
      <c r="B102" s="38">
        <v>97</v>
      </c>
      <c r="C102" s="39" t="s">
        <v>12532</v>
      </c>
      <c r="D102" s="10" t="str">
        <f>VLOOKUP(C102,'Data Angt'!$A$5:$B$5809,2,FALSE)</f>
        <v>A3626</v>
      </c>
      <c r="E102" s="40" t="s">
        <v>12026</v>
      </c>
      <c r="F102" s="41">
        <v>43836</v>
      </c>
      <c r="G102" s="38">
        <v>60</v>
      </c>
      <c r="H102" s="40">
        <v>0</v>
      </c>
      <c r="I102" s="38">
        <v>7</v>
      </c>
      <c r="J102" s="41">
        <v>45784</v>
      </c>
      <c r="K102" s="40">
        <v>6832431</v>
      </c>
      <c r="M102" s="39" t="s">
        <v>12723</v>
      </c>
      <c r="N102" s="52">
        <f t="shared" si="1"/>
        <v>0</v>
      </c>
      <c r="O102" s="2">
        <f>VLOOKUP(M102,'Data Angt'!$A$5:$F$5810,6,FALSE)</f>
        <v>32</v>
      </c>
      <c r="P102" s="47" t="str">
        <f>VLOOKUP(M102,'Data Angt'!$A$5:$H$5810,8,FALSE)</f>
        <v>Wiraswasta</v>
      </c>
      <c r="Q102" s="44" t="str">
        <f>VLOOKUP(M102,'Data Angt'!$A$5:$C$5809,3,FALSE)</f>
        <v>JBR</v>
      </c>
    </row>
    <row r="103" spans="1:17" x14ac:dyDescent="0.3">
      <c r="A103" s="37">
        <v>144116</v>
      </c>
      <c r="B103" s="38">
        <v>98</v>
      </c>
      <c r="C103" s="39" t="s">
        <v>8204</v>
      </c>
      <c r="D103" s="10" t="str">
        <f>VLOOKUP(C103,'Data Angt'!$A$5:$B$5809,2,FALSE)</f>
        <v>A3715</v>
      </c>
      <c r="E103" s="40" t="s">
        <v>18756</v>
      </c>
      <c r="F103" s="41">
        <v>45385</v>
      </c>
      <c r="G103" s="38">
        <v>60</v>
      </c>
      <c r="H103" s="40">
        <v>0</v>
      </c>
      <c r="I103" s="38">
        <v>7</v>
      </c>
      <c r="J103" s="41">
        <v>45906</v>
      </c>
      <c r="K103" s="40">
        <v>873135</v>
      </c>
      <c r="M103" s="39" t="s">
        <v>12743</v>
      </c>
      <c r="N103" s="52">
        <f t="shared" si="1"/>
        <v>0</v>
      </c>
      <c r="O103" s="2">
        <f>VLOOKUP(M103,'Data Angt'!$A$5:$F$5810,6,FALSE)</f>
        <v>41</v>
      </c>
      <c r="P103" s="47" t="str">
        <f>VLOOKUP(M103,'Data Angt'!$A$5:$H$5810,8,FALSE)</f>
        <v>Aparatur/Pejabat Negara</v>
      </c>
      <c r="Q103" s="44" t="str">
        <f>VLOOKUP(M103,'Data Angt'!$A$5:$C$5809,3,FALSE)</f>
        <v>PBL</v>
      </c>
    </row>
    <row r="104" spans="1:17" x14ac:dyDescent="0.3">
      <c r="A104" s="37">
        <v>137061</v>
      </c>
      <c r="B104" s="38">
        <v>99</v>
      </c>
      <c r="C104" s="39" t="s">
        <v>8354</v>
      </c>
      <c r="D104" s="10" t="str">
        <f>VLOOKUP(C104,'Data Angt'!$A$5:$B$5809,2,FALSE)</f>
        <v>A3787</v>
      </c>
      <c r="E104" s="40" t="s">
        <v>12045</v>
      </c>
      <c r="F104" s="41">
        <v>45021</v>
      </c>
      <c r="G104" s="38">
        <v>60</v>
      </c>
      <c r="H104" s="40">
        <v>0</v>
      </c>
      <c r="I104" s="38">
        <v>7</v>
      </c>
      <c r="J104" s="41">
        <v>45920</v>
      </c>
      <c r="K104" s="40">
        <v>1569322</v>
      </c>
      <c r="M104" s="39" t="s">
        <v>12863</v>
      </c>
      <c r="N104" s="52">
        <f t="shared" si="1"/>
        <v>0</v>
      </c>
      <c r="O104" s="2">
        <f>VLOOKUP(M104,'Data Angt'!$A$5:$F$5810,6,FALSE)</f>
        <v>27</v>
      </c>
      <c r="P104" s="47" t="str">
        <f>VLOOKUP(M104,'Data Angt'!$A$5:$H$5810,8,FALSE)</f>
        <v>Mengurus Rumah Tangga</v>
      </c>
      <c r="Q104" s="44" t="str">
        <f>VLOOKUP(M104,'Data Angt'!$A$5:$C$5809,3,FALSE)</f>
        <v>PBL</v>
      </c>
    </row>
    <row r="105" spans="1:17" x14ac:dyDescent="0.3">
      <c r="A105" s="37">
        <v>127212</v>
      </c>
      <c r="B105" s="38">
        <v>100</v>
      </c>
      <c r="C105" s="39" t="s">
        <v>12559</v>
      </c>
      <c r="D105" s="10" t="str">
        <f>VLOOKUP(C105,'Data Angt'!$A$5:$B$5809,2,FALSE)</f>
        <v>A3791</v>
      </c>
      <c r="E105" s="40" t="s">
        <v>12035</v>
      </c>
      <c r="F105" s="41">
        <v>44256</v>
      </c>
      <c r="G105" s="38">
        <v>60</v>
      </c>
      <c r="H105" s="40">
        <v>0</v>
      </c>
      <c r="I105" s="38">
        <v>7</v>
      </c>
      <c r="J105" s="41">
        <v>45909</v>
      </c>
      <c r="K105" s="40">
        <v>3167107</v>
      </c>
      <c r="M105" s="39" t="s">
        <v>13031</v>
      </c>
      <c r="N105" s="52">
        <f t="shared" si="1"/>
        <v>0</v>
      </c>
      <c r="O105" s="2">
        <f>VLOOKUP(M105,'Data Angt'!$A$5:$F$5810,6,FALSE)</f>
        <v>48</v>
      </c>
      <c r="P105" s="47" t="str">
        <f>VLOOKUP(M105,'Data Angt'!$A$5:$H$5810,8,FALSE)</f>
        <v>Tenaga Pengajar</v>
      </c>
      <c r="Q105" s="44" t="str">
        <f>VLOOKUP(M105,'Data Angt'!$A$5:$C$5809,3,FALSE)</f>
        <v>PBL</v>
      </c>
    </row>
    <row r="106" spans="1:17" x14ac:dyDescent="0.3">
      <c r="A106" s="37">
        <v>128727</v>
      </c>
      <c r="B106" s="38">
        <v>101</v>
      </c>
      <c r="C106" s="39" t="s">
        <v>12562</v>
      </c>
      <c r="D106" s="10" t="str">
        <f>VLOOKUP(C106,'Data Angt'!$A$5:$B$5809,2,FALSE)</f>
        <v>A3823</v>
      </c>
      <c r="E106" s="40" t="s">
        <v>12036</v>
      </c>
      <c r="F106" s="41">
        <v>44373</v>
      </c>
      <c r="G106" s="38">
        <v>60</v>
      </c>
      <c r="H106" s="40">
        <v>0</v>
      </c>
      <c r="I106" s="38">
        <v>7</v>
      </c>
      <c r="J106" s="41">
        <v>45926</v>
      </c>
      <c r="K106" s="40">
        <v>5270202</v>
      </c>
      <c r="M106" s="39" t="s">
        <v>13080</v>
      </c>
      <c r="N106" s="52">
        <f t="shared" si="1"/>
        <v>0</v>
      </c>
      <c r="O106" s="2">
        <f>VLOOKUP(M106,'Data Angt'!$A$5:$F$5810,6,FALSE)</f>
        <v>28</v>
      </c>
      <c r="P106" s="47" t="str">
        <f>VLOOKUP(M106,'Data Angt'!$A$5:$H$5810,8,FALSE)</f>
        <v>Karyawan</v>
      </c>
      <c r="Q106" s="44" t="str">
        <f>VLOOKUP(M106,'Data Angt'!$A$5:$C$5809,3,FALSE)</f>
        <v>MJK</v>
      </c>
    </row>
    <row r="107" spans="1:17" x14ac:dyDescent="0.3">
      <c r="A107" s="37">
        <v>138531</v>
      </c>
      <c r="B107" s="38">
        <v>102</v>
      </c>
      <c r="C107" s="39" t="s">
        <v>8476</v>
      </c>
      <c r="D107" s="10" t="str">
        <f>VLOOKUP(C107,'Data Angt'!$A$5:$B$5809,2,FALSE)</f>
        <v>A3844</v>
      </c>
      <c r="E107" s="40" t="s">
        <v>12037</v>
      </c>
      <c r="F107" s="41">
        <v>45142</v>
      </c>
      <c r="G107" s="38">
        <v>60</v>
      </c>
      <c r="H107" s="40">
        <v>0</v>
      </c>
      <c r="I107" s="38">
        <v>7</v>
      </c>
      <c r="J107" s="41">
        <v>45904</v>
      </c>
      <c r="K107" s="40">
        <v>1443968</v>
      </c>
      <c r="M107" s="39" t="s">
        <v>13134</v>
      </c>
      <c r="N107" s="52">
        <f t="shared" si="1"/>
        <v>0</v>
      </c>
      <c r="O107" s="2">
        <f>VLOOKUP(M107,'Data Angt'!$A$5:$F$5810,6,FALSE)</f>
        <v>45</v>
      </c>
      <c r="P107" s="47" t="str">
        <f>VLOOKUP(M107,'Data Angt'!$A$5:$H$5810,8,FALSE)</f>
        <v>Mengurus Rumah Tangga</v>
      </c>
      <c r="Q107" s="44" t="str">
        <f>VLOOKUP(M107,'Data Angt'!$A$5:$C$5809,3,FALSE)</f>
        <v>PBL</v>
      </c>
    </row>
    <row r="108" spans="1:17" x14ac:dyDescent="0.3">
      <c r="A108" s="37">
        <v>151304</v>
      </c>
      <c r="B108" s="38">
        <v>103</v>
      </c>
      <c r="C108" s="39" t="s">
        <v>8519</v>
      </c>
      <c r="D108" s="10" t="str">
        <f>VLOOKUP(C108,'Data Angt'!$A$5:$B$5809,2,FALSE)</f>
        <v>A3865</v>
      </c>
      <c r="E108" s="40" t="s">
        <v>18757</v>
      </c>
      <c r="F108" s="41">
        <v>45631</v>
      </c>
      <c r="G108" s="38">
        <v>60</v>
      </c>
      <c r="H108" s="40">
        <v>0</v>
      </c>
      <c r="I108" s="38">
        <v>6</v>
      </c>
      <c r="J108" s="41">
        <v>45906</v>
      </c>
      <c r="K108" s="40">
        <v>5065489</v>
      </c>
      <c r="M108" s="39" t="s">
        <v>13172</v>
      </c>
      <c r="N108" s="52">
        <f t="shared" si="1"/>
        <v>0</v>
      </c>
      <c r="O108" s="2">
        <f>VLOOKUP(M108,'Data Angt'!$A$5:$F$5810,6,FALSE)</f>
        <v>32</v>
      </c>
      <c r="P108" s="47" t="str">
        <f>VLOOKUP(M108,'Data Angt'!$A$5:$H$5810,8,FALSE)</f>
        <v>Mengurus Rumah Tangga</v>
      </c>
      <c r="Q108" s="44" t="str">
        <f>VLOOKUP(M108,'Data Angt'!$A$5:$C$5809,3,FALSE)</f>
        <v>PBL</v>
      </c>
    </row>
    <row r="109" spans="1:17" x14ac:dyDescent="0.3">
      <c r="A109" s="37">
        <v>154120</v>
      </c>
      <c r="B109" s="38">
        <v>104</v>
      </c>
      <c r="C109" s="39" t="s">
        <v>8584</v>
      </c>
      <c r="D109" s="10" t="str">
        <f>VLOOKUP(C109,'Data Angt'!$A$5:$B$5809,2,FALSE)</f>
        <v>A3893</v>
      </c>
      <c r="E109" s="40" t="s">
        <v>18758</v>
      </c>
      <c r="F109" s="41">
        <v>45717</v>
      </c>
      <c r="G109" s="38">
        <v>60</v>
      </c>
      <c r="H109" s="40">
        <v>0</v>
      </c>
      <c r="I109" s="38">
        <v>6</v>
      </c>
      <c r="J109" s="41">
        <v>45930</v>
      </c>
      <c r="K109" s="40">
        <v>1617851</v>
      </c>
      <c r="M109" s="155" t="s">
        <v>13658</v>
      </c>
      <c r="N109" s="52">
        <f t="shared" si="1"/>
        <v>0</v>
      </c>
      <c r="O109" s="2">
        <f>VLOOKUP(M109,'Data Angt'!$A$5:$F$5810,6,FALSE)</f>
        <v>37</v>
      </c>
      <c r="P109" s="47" t="str">
        <f>VLOOKUP(M109,'Data Angt'!$A$5:$H$5810,8,FALSE)</f>
        <v>Karyawan</v>
      </c>
      <c r="Q109" s="44" t="str">
        <f>VLOOKUP(M109,'Data Angt'!$A$5:$C$5809,3,FALSE)</f>
        <v>BWI</v>
      </c>
    </row>
    <row r="110" spans="1:17" x14ac:dyDescent="0.3">
      <c r="A110" s="37">
        <v>141026</v>
      </c>
      <c r="B110" s="38">
        <v>105</v>
      </c>
      <c r="C110" s="39" t="s">
        <v>8746</v>
      </c>
      <c r="D110" s="10" t="str">
        <f>VLOOKUP(C110,'Data Angt'!$A$5:$B$5809,2,FALSE)</f>
        <v>A3972</v>
      </c>
      <c r="E110" s="40" t="s">
        <v>12043</v>
      </c>
      <c r="F110" s="41">
        <v>45274</v>
      </c>
      <c r="G110" s="38">
        <v>60</v>
      </c>
      <c r="H110" s="40">
        <v>0</v>
      </c>
      <c r="I110" s="38">
        <v>7</v>
      </c>
      <c r="J110" s="41">
        <v>45914</v>
      </c>
      <c r="K110" s="40">
        <v>1350720</v>
      </c>
      <c r="M110" s="155" t="s">
        <v>13676</v>
      </c>
      <c r="N110" s="52">
        <f t="shared" si="1"/>
        <v>0</v>
      </c>
      <c r="O110" s="2">
        <f>VLOOKUP(M110,'Data Angt'!$A$5:$F$5810,6,FALSE)</f>
        <v>47</v>
      </c>
      <c r="P110" s="47" t="str">
        <f>VLOOKUP(M110,'Data Angt'!$A$5:$H$5810,8,FALSE)</f>
        <v>Aparatur/Pejabat Negara</v>
      </c>
      <c r="Q110" s="44" t="str">
        <f>VLOOKUP(M110,'Data Angt'!$A$5:$C$5809,3,FALSE)</f>
        <v>PBL</v>
      </c>
    </row>
    <row r="111" spans="1:17" x14ac:dyDescent="0.3">
      <c r="A111" s="37">
        <v>141034</v>
      </c>
      <c r="B111" s="38">
        <v>106</v>
      </c>
      <c r="C111" s="39" t="s">
        <v>8746</v>
      </c>
      <c r="D111" s="10" t="str">
        <f>VLOOKUP(C111,'Data Angt'!$A$5:$B$5809,2,FALSE)</f>
        <v>A3972</v>
      </c>
      <c r="E111" s="40" t="s">
        <v>12042</v>
      </c>
      <c r="F111" s="41">
        <v>45274</v>
      </c>
      <c r="G111" s="38">
        <v>60</v>
      </c>
      <c r="H111" s="40">
        <v>0</v>
      </c>
      <c r="I111" s="38">
        <v>7</v>
      </c>
      <c r="J111" s="41">
        <v>45914</v>
      </c>
      <c r="K111" s="40">
        <v>1350720</v>
      </c>
      <c r="M111" s="155" t="s">
        <v>13713</v>
      </c>
      <c r="N111" s="52">
        <f t="shared" si="1"/>
        <v>0</v>
      </c>
      <c r="O111" s="2">
        <f>VLOOKUP(M111,'Data Angt'!$A$5:$F$5810,6,FALSE)</f>
        <v>31</v>
      </c>
      <c r="P111" s="47" t="str">
        <f>VLOOKUP(M111,'Data Angt'!$A$5:$H$5810,8,FALSE)</f>
        <v>Karyawan</v>
      </c>
      <c r="Q111" s="44" t="str">
        <f>VLOOKUP(M111,'Data Angt'!$A$5:$C$5809,3,FALSE)</f>
        <v>PBL</v>
      </c>
    </row>
    <row r="112" spans="1:17" x14ac:dyDescent="0.3">
      <c r="A112" s="37">
        <v>154758</v>
      </c>
      <c r="B112" s="38">
        <v>107</v>
      </c>
      <c r="C112" s="39" t="s">
        <v>8780</v>
      </c>
      <c r="D112" s="10" t="str">
        <f>VLOOKUP(C112,'Data Angt'!$A$5:$B$5809,2,FALSE)</f>
        <v>A3986</v>
      </c>
      <c r="E112" s="40" t="s">
        <v>18759</v>
      </c>
      <c r="F112" s="41">
        <v>45740</v>
      </c>
      <c r="G112" s="38">
        <v>60</v>
      </c>
      <c r="H112" s="40">
        <v>0</v>
      </c>
      <c r="I112" s="38">
        <v>6</v>
      </c>
      <c r="J112" s="41">
        <v>45929</v>
      </c>
      <c r="K112" s="40">
        <v>403267</v>
      </c>
      <c r="M112" s="155" t="s">
        <v>13729</v>
      </c>
      <c r="N112" s="52">
        <f t="shared" si="1"/>
        <v>0</v>
      </c>
      <c r="O112" s="2">
        <f>VLOOKUP(M112,'Data Angt'!$A$5:$F$5810,6,FALSE)</f>
        <v>29</v>
      </c>
      <c r="P112" s="47" t="str">
        <f>VLOOKUP(M112,'Data Angt'!$A$5:$H$5810,8,FALSE)</f>
        <v>Karyawan</v>
      </c>
      <c r="Q112" s="44" t="str">
        <f>VLOOKUP(M112,'Data Angt'!$A$5:$C$5809,3,FALSE)</f>
        <v>PBL</v>
      </c>
    </row>
    <row r="113" spans="1:17" x14ac:dyDescent="0.3">
      <c r="A113" s="37">
        <v>154759</v>
      </c>
      <c r="B113" s="38">
        <v>108</v>
      </c>
      <c r="C113" s="39" t="s">
        <v>8780</v>
      </c>
      <c r="D113" s="10" t="str">
        <f>VLOOKUP(C113,'Data Angt'!$A$5:$B$5809,2,FALSE)</f>
        <v>A3986</v>
      </c>
      <c r="E113" s="40" t="s">
        <v>18760</v>
      </c>
      <c r="F113" s="41">
        <v>45740</v>
      </c>
      <c r="G113" s="38">
        <v>60</v>
      </c>
      <c r="H113" s="40">
        <v>0</v>
      </c>
      <c r="I113" s="38">
        <v>6</v>
      </c>
      <c r="J113" s="41">
        <v>45929</v>
      </c>
      <c r="K113" s="40">
        <v>403267</v>
      </c>
      <c r="M113" s="155" t="s">
        <v>13800</v>
      </c>
      <c r="N113" s="52">
        <f t="shared" si="1"/>
        <v>0</v>
      </c>
      <c r="O113" s="2">
        <f>VLOOKUP(M113,'Data Angt'!$A$5:$F$5810,6,FALSE)</f>
        <v>35</v>
      </c>
      <c r="P113" s="47" t="str">
        <f>VLOOKUP(M113,'Data Angt'!$A$5:$H$5810,8,FALSE)</f>
        <v>Mengurus Rumah Tangga</v>
      </c>
      <c r="Q113" s="44" t="str">
        <f>VLOOKUP(M113,'Data Angt'!$A$5:$C$5809,3,FALSE)</f>
        <v>JBR</v>
      </c>
    </row>
    <row r="114" spans="1:17" x14ac:dyDescent="0.3">
      <c r="A114" s="37">
        <v>145835</v>
      </c>
      <c r="B114" s="38">
        <v>109</v>
      </c>
      <c r="C114" s="39" t="s">
        <v>8820</v>
      </c>
      <c r="D114" s="10" t="str">
        <f>VLOOKUP(C114,'Data Angt'!$A$5:$B$5809,2,FALSE)</f>
        <v>A4004</v>
      </c>
      <c r="E114" s="40" t="s">
        <v>18761</v>
      </c>
      <c r="F114" s="41">
        <v>45448</v>
      </c>
      <c r="G114" s="38">
        <v>60</v>
      </c>
      <c r="H114" s="40">
        <v>0</v>
      </c>
      <c r="I114" s="38">
        <v>6</v>
      </c>
      <c r="J114" s="41">
        <v>45919</v>
      </c>
      <c r="K114" s="40">
        <v>1988073</v>
      </c>
      <c r="M114" s="155" t="s">
        <v>13957</v>
      </c>
      <c r="N114" s="52">
        <f t="shared" si="1"/>
        <v>0</v>
      </c>
      <c r="O114" s="2">
        <f>VLOOKUP(M114,'Data Angt'!$A$5:$F$5810,6,FALSE)</f>
        <v>42</v>
      </c>
      <c r="P114" s="47" t="str">
        <f>VLOOKUP(M114,'Data Angt'!$A$5:$H$5810,8,FALSE)</f>
        <v>Wiraswasta</v>
      </c>
      <c r="Q114" s="44" t="str">
        <f>VLOOKUP(M114,'Data Angt'!$A$5:$C$5809,3,FALSE)</f>
        <v>PBL</v>
      </c>
    </row>
    <row r="115" spans="1:17" x14ac:dyDescent="0.3">
      <c r="A115" s="37">
        <v>134832</v>
      </c>
      <c r="B115" s="38">
        <v>110</v>
      </c>
      <c r="C115" s="39" t="s">
        <v>8920</v>
      </c>
      <c r="D115" s="10" t="str">
        <f>VLOOKUP(C115,'Data Angt'!$A$5:$B$5809,2,FALSE)</f>
        <v>A4054</v>
      </c>
      <c r="E115" s="40" t="s">
        <v>12044</v>
      </c>
      <c r="F115" s="41">
        <v>44841</v>
      </c>
      <c r="G115" s="38">
        <v>60</v>
      </c>
      <c r="H115" s="40">
        <v>0</v>
      </c>
      <c r="I115" s="38">
        <v>7</v>
      </c>
      <c r="J115" s="41">
        <v>45919</v>
      </c>
      <c r="K115" s="40">
        <v>3589647</v>
      </c>
      <c r="M115" s="155" t="s">
        <v>13978</v>
      </c>
      <c r="N115" s="52">
        <f t="shared" si="1"/>
        <v>0</v>
      </c>
      <c r="O115" s="2">
        <f>VLOOKUP(M115,'Data Angt'!$A$5:$F$5810,6,FALSE)</f>
        <v>48</v>
      </c>
      <c r="P115" s="47" t="str">
        <f>VLOOKUP(M115,'Data Angt'!$A$5:$H$5810,8,FALSE)</f>
        <v>Karyawan</v>
      </c>
      <c r="Q115" s="44" t="str">
        <f>VLOOKUP(M115,'Data Angt'!$A$5:$C$5809,3,FALSE)</f>
        <v>PBL</v>
      </c>
    </row>
    <row r="116" spans="1:17" x14ac:dyDescent="0.3">
      <c r="A116" s="37">
        <v>155359</v>
      </c>
      <c r="B116" s="38">
        <v>111</v>
      </c>
      <c r="C116" s="39" t="s">
        <v>12589</v>
      </c>
      <c r="D116" s="10" t="str">
        <f>VLOOKUP(C116,'Data Angt'!$A$5:$B$5809,2,FALSE)</f>
        <v>A4108</v>
      </c>
      <c r="E116" s="40" t="s">
        <v>18762</v>
      </c>
      <c r="F116" s="41">
        <v>45779</v>
      </c>
      <c r="G116" s="38">
        <v>60</v>
      </c>
      <c r="H116" s="40">
        <v>0</v>
      </c>
      <c r="I116" s="38">
        <v>6</v>
      </c>
      <c r="J116" s="41">
        <v>45902</v>
      </c>
      <c r="K116" s="40">
        <v>503261</v>
      </c>
      <c r="M116" s="155" t="s">
        <v>13980</v>
      </c>
      <c r="N116" s="52">
        <f t="shared" si="1"/>
        <v>0</v>
      </c>
      <c r="O116" s="2">
        <f>VLOOKUP(M116,'Data Angt'!$A$5:$F$5810,6,FALSE)</f>
        <v>32</v>
      </c>
      <c r="P116" s="47" t="str">
        <f>VLOOKUP(M116,'Data Angt'!$A$5:$H$5810,8,FALSE)</f>
        <v>Aparatur/Pejabat Negara</v>
      </c>
      <c r="Q116" s="44" t="str">
        <f>VLOOKUP(M116,'Data Angt'!$A$5:$C$5809,3,FALSE)</f>
        <v>PBL</v>
      </c>
    </row>
    <row r="117" spans="1:17" x14ac:dyDescent="0.3">
      <c r="A117" s="37">
        <v>154851</v>
      </c>
      <c r="B117" s="38">
        <v>112</v>
      </c>
      <c r="C117" s="39" t="s">
        <v>9078</v>
      </c>
      <c r="D117" s="10" t="str">
        <f>VLOOKUP(C117,'Data Angt'!$A$5:$B$5809,2,FALSE)</f>
        <v>A4129</v>
      </c>
      <c r="E117" s="40" t="s">
        <v>18763</v>
      </c>
      <c r="F117" s="41">
        <v>45744</v>
      </c>
      <c r="G117" s="38">
        <v>60</v>
      </c>
      <c r="H117" s="40">
        <v>0</v>
      </c>
      <c r="I117" s="38">
        <v>6</v>
      </c>
      <c r="J117" s="41">
        <v>45929</v>
      </c>
      <c r="K117" s="40">
        <v>1513193</v>
      </c>
      <c r="M117" s="155" t="s">
        <v>14048</v>
      </c>
      <c r="N117" s="52">
        <f t="shared" si="1"/>
        <v>0</v>
      </c>
      <c r="O117" s="2">
        <f>VLOOKUP(M117,'Data Angt'!$A$5:$F$5810,6,FALSE)</f>
        <v>34</v>
      </c>
      <c r="P117" s="47" t="str">
        <f>VLOOKUP(M117,'Data Angt'!$A$5:$H$5810,8,FALSE)</f>
        <v>Wiraswasta</v>
      </c>
      <c r="Q117" s="44" t="str">
        <f>VLOOKUP(M117,'Data Angt'!$A$5:$C$5809,3,FALSE)</f>
        <v>JBR</v>
      </c>
    </row>
    <row r="118" spans="1:17" x14ac:dyDescent="0.3">
      <c r="A118" s="37">
        <v>137832</v>
      </c>
      <c r="B118" s="38">
        <v>113</v>
      </c>
      <c r="C118" s="39" t="s">
        <v>9092</v>
      </c>
      <c r="D118" s="10" t="str">
        <f>VLOOKUP(C118,'Data Angt'!$A$5:$B$5809,2,FALSE)</f>
        <v>A4137</v>
      </c>
      <c r="E118" s="40" t="s">
        <v>12046</v>
      </c>
      <c r="F118" s="41">
        <v>45092</v>
      </c>
      <c r="G118" s="38">
        <v>60</v>
      </c>
      <c r="H118" s="40">
        <v>0</v>
      </c>
      <c r="I118" s="38">
        <v>7</v>
      </c>
      <c r="J118" s="41">
        <v>45915</v>
      </c>
      <c r="K118" s="40">
        <v>4697163</v>
      </c>
      <c r="M118" s="155" t="s">
        <v>14143</v>
      </c>
      <c r="N118" s="52">
        <f t="shared" si="1"/>
        <v>0</v>
      </c>
      <c r="O118" s="2">
        <f>VLOOKUP(M118,'Data Angt'!$A$5:$F$5810,6,FALSE)</f>
        <v>40</v>
      </c>
      <c r="P118" s="47" t="str">
        <f>VLOOKUP(M118,'Data Angt'!$A$5:$H$5810,8,FALSE)</f>
        <v>Mengurus Rumah Tangga</v>
      </c>
      <c r="Q118" s="44" t="str">
        <f>VLOOKUP(M118,'Data Angt'!$A$5:$C$5809,3,FALSE)</f>
        <v>JBR</v>
      </c>
    </row>
    <row r="119" spans="1:17" x14ac:dyDescent="0.3">
      <c r="A119" s="37">
        <v>138997</v>
      </c>
      <c r="B119" s="38">
        <v>114</v>
      </c>
      <c r="C119" s="39" t="s">
        <v>9094</v>
      </c>
      <c r="D119" s="10" t="str">
        <f>VLOOKUP(C119,'Data Angt'!$A$5:$B$5809,2,FALSE)</f>
        <v>A4138</v>
      </c>
      <c r="E119" s="40" t="s">
        <v>12047</v>
      </c>
      <c r="F119" s="41">
        <v>45164</v>
      </c>
      <c r="G119" s="38">
        <v>60</v>
      </c>
      <c r="H119" s="40">
        <v>0</v>
      </c>
      <c r="I119" s="38">
        <v>7</v>
      </c>
      <c r="J119" s="41">
        <v>45926</v>
      </c>
      <c r="K119" s="40">
        <v>1455866</v>
      </c>
      <c r="M119" s="155" t="s">
        <v>14145</v>
      </c>
      <c r="N119" s="52">
        <f t="shared" si="1"/>
        <v>0</v>
      </c>
      <c r="O119" s="2">
        <f>VLOOKUP(M119,'Data Angt'!$A$5:$F$5810,6,FALSE)</f>
        <v>44</v>
      </c>
      <c r="P119" s="47" t="str">
        <f>VLOOKUP(M119,'Data Angt'!$A$5:$H$5810,8,FALSE)</f>
        <v>Karyawan</v>
      </c>
      <c r="Q119" s="44" t="str">
        <f>VLOOKUP(M119,'Data Angt'!$A$5:$C$5809,3,FALSE)</f>
        <v>MJK</v>
      </c>
    </row>
    <row r="120" spans="1:17" x14ac:dyDescent="0.3">
      <c r="A120" s="37">
        <v>138999</v>
      </c>
      <c r="B120" s="38">
        <v>115</v>
      </c>
      <c r="C120" s="39" t="s">
        <v>9094</v>
      </c>
      <c r="D120" s="10" t="str">
        <f>VLOOKUP(C120,'Data Angt'!$A$5:$B$5809,2,FALSE)</f>
        <v>A4138</v>
      </c>
      <c r="E120" s="40" t="s">
        <v>12048</v>
      </c>
      <c r="F120" s="41">
        <v>45164</v>
      </c>
      <c r="G120" s="38">
        <v>60</v>
      </c>
      <c r="H120" s="40">
        <v>0</v>
      </c>
      <c r="I120" s="38">
        <v>7</v>
      </c>
      <c r="J120" s="41">
        <v>45926</v>
      </c>
      <c r="K120" s="40">
        <v>1455866</v>
      </c>
      <c r="M120" s="155" t="s">
        <v>14162</v>
      </c>
      <c r="N120" s="52">
        <f t="shared" si="1"/>
        <v>0</v>
      </c>
      <c r="O120" s="2">
        <f>VLOOKUP(M120,'Data Angt'!$A$5:$F$5810,6,FALSE)</f>
        <v>32</v>
      </c>
      <c r="P120" s="47">
        <f>VLOOKUP(M120,'Data Angt'!$A$5:$H$5810,8,FALSE)</f>
        <v>0</v>
      </c>
      <c r="Q120" s="44" t="str">
        <f>VLOOKUP(M120,'Data Angt'!$A$5:$C$5809,3,FALSE)</f>
        <v>PBL</v>
      </c>
    </row>
    <row r="121" spans="1:17" x14ac:dyDescent="0.3">
      <c r="A121" s="37">
        <v>144731</v>
      </c>
      <c r="B121" s="38">
        <v>116</v>
      </c>
      <c r="C121" s="39" t="s">
        <v>9110</v>
      </c>
      <c r="D121" s="10" t="str">
        <f>VLOOKUP(C121,'Data Angt'!$A$5:$B$5809,2,FALSE)</f>
        <v>A4144</v>
      </c>
      <c r="E121" s="40" t="s">
        <v>18764</v>
      </c>
      <c r="F121" s="41">
        <v>45419</v>
      </c>
      <c r="G121" s="38">
        <v>60</v>
      </c>
      <c r="H121" s="40">
        <v>0</v>
      </c>
      <c r="I121" s="38">
        <v>6</v>
      </c>
      <c r="J121" s="41">
        <v>45910</v>
      </c>
      <c r="K121" s="40">
        <v>869008</v>
      </c>
      <c r="M121" s="155" t="s">
        <v>14185</v>
      </c>
      <c r="N121" s="52">
        <f t="shared" si="1"/>
        <v>0</v>
      </c>
      <c r="O121" s="2">
        <f>VLOOKUP(M121,'Data Angt'!$A$5:$F$5810,6,FALSE)</f>
        <v>45</v>
      </c>
      <c r="P121" s="47" t="str">
        <f>VLOOKUP(M121,'Data Angt'!$A$5:$H$5810,8,FALSE)</f>
        <v>Karyawan</v>
      </c>
      <c r="Q121" s="44" t="str">
        <f>VLOOKUP(M121,'Data Angt'!$A$5:$C$5809,3,FALSE)</f>
        <v>PBL</v>
      </c>
    </row>
    <row r="122" spans="1:17" x14ac:dyDescent="0.3">
      <c r="A122" s="37">
        <v>153524</v>
      </c>
      <c r="B122" s="38">
        <v>117</v>
      </c>
      <c r="C122" s="39" t="s">
        <v>9260</v>
      </c>
      <c r="D122" s="10" t="str">
        <f>VLOOKUP(C122,'Data Angt'!$A$5:$B$5809,2,FALSE)</f>
        <v>A4209</v>
      </c>
      <c r="E122" s="40" t="s">
        <v>18766</v>
      </c>
      <c r="F122" s="41">
        <v>45707</v>
      </c>
      <c r="G122" s="38">
        <v>60</v>
      </c>
      <c r="H122" s="40">
        <v>0</v>
      </c>
      <c r="I122" s="38">
        <v>6</v>
      </c>
      <c r="J122" s="41">
        <v>45919</v>
      </c>
      <c r="K122" s="40">
        <v>2424116</v>
      </c>
      <c r="M122" s="155" t="s">
        <v>14486</v>
      </c>
      <c r="N122" s="52">
        <f t="shared" si="1"/>
        <v>0</v>
      </c>
      <c r="O122" s="2">
        <f>VLOOKUP(M122,'Data Angt'!$A$5:$F$5810,6,FALSE)</f>
        <v>36</v>
      </c>
      <c r="P122" s="47" t="str">
        <f>VLOOKUP(M122,'Data Angt'!$A$5:$H$5810,8,FALSE)</f>
        <v>Karyawan</v>
      </c>
      <c r="Q122" s="44" t="str">
        <f>VLOOKUP(M122,'Data Angt'!$A$5:$C$5809,3,FALSE)</f>
        <v>BWI</v>
      </c>
    </row>
    <row r="123" spans="1:17" x14ac:dyDescent="0.3">
      <c r="A123" s="37">
        <v>153527</v>
      </c>
      <c r="B123" s="38">
        <v>118</v>
      </c>
      <c r="C123" s="39" t="s">
        <v>9260</v>
      </c>
      <c r="D123" s="10" t="str">
        <f>VLOOKUP(C123,'Data Angt'!$A$5:$B$5809,2,FALSE)</f>
        <v>A4209</v>
      </c>
      <c r="E123" s="40" t="s">
        <v>18765</v>
      </c>
      <c r="F123" s="41">
        <v>45707</v>
      </c>
      <c r="G123" s="38">
        <v>60</v>
      </c>
      <c r="H123" s="40">
        <v>0</v>
      </c>
      <c r="I123" s="38">
        <v>6</v>
      </c>
      <c r="J123" s="41">
        <v>45919</v>
      </c>
      <c r="K123" s="40">
        <v>2424116</v>
      </c>
      <c r="M123" s="155" t="s">
        <v>14492</v>
      </c>
      <c r="N123" s="52">
        <f t="shared" si="1"/>
        <v>0</v>
      </c>
      <c r="O123" s="2">
        <f>VLOOKUP(M123,'Data Angt'!$A$5:$F$5810,6,FALSE)</f>
        <v>48</v>
      </c>
      <c r="P123" s="47" t="str">
        <f>VLOOKUP(M123,'Data Angt'!$A$5:$H$5810,8,FALSE)</f>
        <v>Karyawan</v>
      </c>
      <c r="Q123" s="44" t="str">
        <f>VLOOKUP(M123,'Data Angt'!$A$5:$C$5809,3,FALSE)</f>
        <v>PBL</v>
      </c>
    </row>
    <row r="124" spans="1:17" x14ac:dyDescent="0.3">
      <c r="A124" s="37">
        <v>139068</v>
      </c>
      <c r="B124" s="38">
        <v>119</v>
      </c>
      <c r="C124" s="39" t="s">
        <v>9281</v>
      </c>
      <c r="D124" s="10" t="str">
        <f>VLOOKUP(C124,'Data Angt'!$A$5:$B$5809,2,FALSE)</f>
        <v>A4220</v>
      </c>
      <c r="E124" s="40" t="s">
        <v>12049</v>
      </c>
      <c r="F124" s="41">
        <v>45170</v>
      </c>
      <c r="G124" s="38">
        <v>60</v>
      </c>
      <c r="H124" s="40">
        <v>0</v>
      </c>
      <c r="I124" s="38">
        <v>7</v>
      </c>
      <c r="J124" s="41">
        <v>45908</v>
      </c>
      <c r="K124" s="40">
        <v>1297477</v>
      </c>
      <c r="M124" s="155" t="s">
        <v>14753</v>
      </c>
      <c r="N124" s="52">
        <f t="shared" si="1"/>
        <v>0</v>
      </c>
      <c r="O124" s="2">
        <f>VLOOKUP(M124,'Data Angt'!$A$5:$F$5810,6,FALSE)</f>
        <v>39</v>
      </c>
      <c r="P124" s="47" t="str">
        <f>VLOOKUP(M124,'Data Angt'!$A$5:$H$5810,8,FALSE)</f>
        <v>Tenaga Pengajar</v>
      </c>
      <c r="Q124" s="44" t="str">
        <f>VLOOKUP(M124,'Data Angt'!$A$5:$C$5809,3,FALSE)</f>
        <v>JBR</v>
      </c>
    </row>
    <row r="125" spans="1:17" x14ac:dyDescent="0.3">
      <c r="A125" s="37">
        <v>150073</v>
      </c>
      <c r="B125" s="38">
        <v>120</v>
      </c>
      <c r="C125" s="39" t="s">
        <v>9352</v>
      </c>
      <c r="D125" s="10" t="str">
        <f>VLOOKUP(C125,'Data Angt'!$A$5:$B$5809,2,FALSE)</f>
        <v>A4254</v>
      </c>
      <c r="E125" s="40" t="s">
        <v>18767</v>
      </c>
      <c r="F125" s="41">
        <v>45598</v>
      </c>
      <c r="G125" s="38">
        <v>60</v>
      </c>
      <c r="H125" s="40">
        <v>0</v>
      </c>
      <c r="I125" s="38">
        <v>6</v>
      </c>
      <c r="J125" s="41">
        <v>45906</v>
      </c>
      <c r="K125" s="40">
        <v>1218413</v>
      </c>
      <c r="M125" s="155" t="s">
        <v>14890</v>
      </c>
      <c r="N125" s="52">
        <f t="shared" si="1"/>
        <v>0</v>
      </c>
      <c r="O125" s="2">
        <f>VLOOKUP(M125,'Data Angt'!$A$5:$F$5810,6,FALSE)</f>
        <v>54</v>
      </c>
      <c r="P125" s="47" t="str">
        <f>VLOOKUP(M125,'Data Angt'!$A$5:$H$5810,8,FALSE)</f>
        <v>Aparatur/Pejabat Negara</v>
      </c>
      <c r="Q125" s="44" t="str">
        <f>VLOOKUP(M125,'Data Angt'!$A$5:$C$5809,3,FALSE)</f>
        <v>PBL</v>
      </c>
    </row>
    <row r="126" spans="1:17" x14ac:dyDescent="0.3">
      <c r="A126" s="37">
        <v>156775</v>
      </c>
      <c r="B126" s="38">
        <v>121</v>
      </c>
      <c r="C126" s="39" t="s">
        <v>9388</v>
      </c>
      <c r="D126" s="10" t="str">
        <f>VLOOKUP(C126,'Data Angt'!$A$5:$B$5809,2,FALSE)</f>
        <v>A4270</v>
      </c>
      <c r="E126" s="40" t="s">
        <v>24200</v>
      </c>
      <c r="F126" s="41">
        <v>45843</v>
      </c>
      <c r="G126" s="38">
        <v>60</v>
      </c>
      <c r="H126" s="40">
        <v>0</v>
      </c>
      <c r="I126" s="38">
        <v>6</v>
      </c>
      <c r="J126" s="41">
        <v>45905</v>
      </c>
      <c r="K126" s="40">
        <v>200751</v>
      </c>
      <c r="M126" s="155" t="s">
        <v>14923</v>
      </c>
      <c r="N126" s="52">
        <f t="shared" si="1"/>
        <v>0</v>
      </c>
      <c r="O126" s="2">
        <f>VLOOKUP(M126,'Data Angt'!$A$5:$F$5810,6,FALSE)</f>
        <v>42</v>
      </c>
      <c r="P126" s="47" t="str">
        <f>VLOOKUP(M126,'Data Angt'!$A$5:$H$5810,8,FALSE)</f>
        <v>Wiraswasta</v>
      </c>
      <c r="Q126" s="44" t="str">
        <f>VLOOKUP(M126,'Data Angt'!$A$5:$C$5809,3,FALSE)</f>
        <v>PBL</v>
      </c>
    </row>
    <row r="127" spans="1:17" x14ac:dyDescent="0.3">
      <c r="A127" s="37">
        <v>156777</v>
      </c>
      <c r="B127" s="38">
        <v>122</v>
      </c>
      <c r="C127" s="39" t="s">
        <v>9388</v>
      </c>
      <c r="D127" s="10" t="str">
        <f>VLOOKUP(C127,'Data Angt'!$A$5:$B$5809,2,FALSE)</f>
        <v>A4270</v>
      </c>
      <c r="E127" s="40" t="s">
        <v>24201</v>
      </c>
      <c r="F127" s="41">
        <v>45843</v>
      </c>
      <c r="G127" s="38">
        <v>60</v>
      </c>
      <c r="H127" s="40">
        <v>0</v>
      </c>
      <c r="I127" s="38">
        <v>6</v>
      </c>
      <c r="J127" s="41">
        <v>45905</v>
      </c>
      <c r="K127" s="40">
        <v>200751</v>
      </c>
      <c r="M127" s="155" t="s">
        <v>15018</v>
      </c>
      <c r="N127" s="52">
        <f t="shared" si="1"/>
        <v>0</v>
      </c>
      <c r="O127" s="2">
        <f>VLOOKUP(M127,'Data Angt'!$A$5:$F$5810,6,FALSE)</f>
        <v>41</v>
      </c>
      <c r="P127" s="47" t="str">
        <f>VLOOKUP(M127,'Data Angt'!$A$5:$H$5810,8,FALSE)</f>
        <v>Aparatur/Pejabat Negara</v>
      </c>
      <c r="Q127" s="44" t="str">
        <f>VLOOKUP(M127,'Data Angt'!$A$5:$C$5809,3,FALSE)</f>
        <v>JBR</v>
      </c>
    </row>
    <row r="128" spans="1:17" x14ac:dyDescent="0.3">
      <c r="A128" s="37">
        <v>155922</v>
      </c>
      <c r="B128" s="38">
        <v>123</v>
      </c>
      <c r="C128" s="39" t="s">
        <v>12624</v>
      </c>
      <c r="D128" s="10" t="str">
        <f>VLOOKUP(C128,'Data Angt'!$A$5:$B$5809,2,FALSE)</f>
        <v>A4364</v>
      </c>
      <c r="E128" s="40" t="s">
        <v>18768</v>
      </c>
      <c r="F128" s="41">
        <v>45801</v>
      </c>
      <c r="G128" s="38">
        <v>60</v>
      </c>
      <c r="H128" s="40">
        <v>0</v>
      </c>
      <c r="I128" s="38">
        <v>6</v>
      </c>
      <c r="J128" s="41">
        <v>45924</v>
      </c>
      <c r="K128" s="40">
        <v>302509</v>
      </c>
      <c r="M128" s="155" t="s">
        <v>15070</v>
      </c>
      <c r="N128" s="52">
        <f t="shared" si="1"/>
        <v>0</v>
      </c>
      <c r="O128" s="2">
        <f>VLOOKUP(M128,'Data Angt'!$A$5:$F$5810,6,FALSE)</f>
        <v>26</v>
      </c>
      <c r="P128" s="47" t="str">
        <f>VLOOKUP(M128,'Data Angt'!$A$5:$H$5810,8,FALSE)</f>
        <v>Wiraswasta</v>
      </c>
      <c r="Q128" s="44" t="str">
        <f>VLOOKUP(M128,'Data Angt'!$A$5:$C$5809,3,FALSE)</f>
        <v>MJK</v>
      </c>
    </row>
    <row r="129" spans="1:17" x14ac:dyDescent="0.3">
      <c r="A129" s="37">
        <v>141591</v>
      </c>
      <c r="B129" s="38">
        <v>124</v>
      </c>
      <c r="C129" s="39" t="s">
        <v>12642</v>
      </c>
      <c r="D129" s="10" t="str">
        <f>VLOOKUP(C129,'Data Angt'!$A$5:$B$5809,2,FALSE)</f>
        <v>A4374</v>
      </c>
      <c r="E129" s="40" t="s">
        <v>18769</v>
      </c>
      <c r="F129" s="41">
        <v>45302</v>
      </c>
      <c r="G129" s="38">
        <v>60</v>
      </c>
      <c r="H129" s="40">
        <v>0</v>
      </c>
      <c r="I129" s="38">
        <v>7</v>
      </c>
      <c r="J129" s="41">
        <v>45911</v>
      </c>
      <c r="K129" s="40">
        <v>933026</v>
      </c>
      <c r="M129" s="155" t="s">
        <v>15082</v>
      </c>
      <c r="N129" s="52">
        <f t="shared" si="1"/>
        <v>0</v>
      </c>
      <c r="O129" s="2">
        <f>VLOOKUP(M129,'Data Angt'!$A$5:$F$5810,6,FALSE)</f>
        <v>33</v>
      </c>
      <c r="P129" s="47" t="str">
        <f>VLOOKUP(M129,'Data Angt'!$A$5:$H$5810,8,FALSE)</f>
        <v>Mengurus Rumah Tangga</v>
      </c>
      <c r="Q129" s="44" t="str">
        <f>VLOOKUP(M129,'Data Angt'!$A$5:$C$5809,3,FALSE)</f>
        <v>PBL</v>
      </c>
    </row>
    <row r="130" spans="1:17" x14ac:dyDescent="0.3">
      <c r="A130" s="37">
        <v>148289</v>
      </c>
      <c r="B130" s="38">
        <v>125</v>
      </c>
      <c r="C130" s="39" t="s">
        <v>12651</v>
      </c>
      <c r="D130" s="10" t="str">
        <f>VLOOKUP(C130,'Data Angt'!$A$5:$B$5809,2,FALSE)</f>
        <v>A4379</v>
      </c>
      <c r="E130" s="40" t="s">
        <v>18770</v>
      </c>
      <c r="F130" s="41">
        <v>45523</v>
      </c>
      <c r="G130" s="38">
        <v>60</v>
      </c>
      <c r="H130" s="40">
        <v>0</v>
      </c>
      <c r="I130" s="38">
        <v>6</v>
      </c>
      <c r="J130" s="41">
        <v>45919</v>
      </c>
      <c r="K130" s="40">
        <v>1425771</v>
      </c>
      <c r="M130" s="155" t="s">
        <v>15180</v>
      </c>
      <c r="N130" s="52">
        <f t="shared" si="1"/>
        <v>0</v>
      </c>
      <c r="O130" s="2">
        <f>VLOOKUP(M130,'Data Angt'!$A$5:$F$5810,6,FALSE)</f>
        <v>31</v>
      </c>
      <c r="P130" s="47" t="str">
        <f>VLOOKUP(M130,'Data Angt'!$A$5:$H$5810,8,FALSE)</f>
        <v>Karyawan</v>
      </c>
      <c r="Q130" s="44" t="str">
        <f>VLOOKUP(M130,'Data Angt'!$A$5:$C$5809,3,FALSE)</f>
        <v>PBL</v>
      </c>
    </row>
    <row r="131" spans="1:17" x14ac:dyDescent="0.3">
      <c r="A131" s="37">
        <v>142527</v>
      </c>
      <c r="B131" s="38">
        <v>126</v>
      </c>
      <c r="C131" s="39" t="s">
        <v>12723</v>
      </c>
      <c r="D131" s="10" t="str">
        <f>VLOOKUP(C131,'Data Angt'!$A$5:$B$5809,2,FALSE)</f>
        <v>A4410</v>
      </c>
      <c r="E131" s="40" t="s">
        <v>18771</v>
      </c>
      <c r="F131" s="41">
        <v>45335</v>
      </c>
      <c r="G131" s="38">
        <v>60</v>
      </c>
      <c r="H131" s="40">
        <v>0</v>
      </c>
      <c r="I131" s="38">
        <v>7</v>
      </c>
      <c r="J131" s="41">
        <v>45913</v>
      </c>
      <c r="K131" s="40">
        <v>1031051</v>
      </c>
      <c r="M131" s="155" t="s">
        <v>15184</v>
      </c>
      <c r="N131" s="52">
        <f t="shared" si="1"/>
        <v>0</v>
      </c>
      <c r="O131" s="2">
        <f>VLOOKUP(M131,'Data Angt'!$A$5:$F$5810,6,FALSE)</f>
        <v>47</v>
      </c>
      <c r="P131" s="47" t="str">
        <f>VLOOKUP(M131,'Data Angt'!$A$5:$H$5810,8,FALSE)</f>
        <v>Tenaga Pengajar</v>
      </c>
      <c r="Q131" s="44" t="str">
        <f>VLOOKUP(M131,'Data Angt'!$A$5:$C$5809,3,FALSE)</f>
        <v>JBR</v>
      </c>
    </row>
    <row r="132" spans="1:17" x14ac:dyDescent="0.3">
      <c r="A132" s="37">
        <v>142320</v>
      </c>
      <c r="B132" s="38">
        <v>127</v>
      </c>
      <c r="C132" s="39" t="s">
        <v>12743</v>
      </c>
      <c r="D132" s="10" t="str">
        <f>VLOOKUP(C132,'Data Angt'!$A$5:$B$5809,2,FALSE)</f>
        <v>A4418</v>
      </c>
      <c r="E132" s="40" t="s">
        <v>18772</v>
      </c>
      <c r="F132" s="41">
        <v>45324</v>
      </c>
      <c r="G132" s="38">
        <v>60</v>
      </c>
      <c r="H132" s="40">
        <v>0</v>
      </c>
      <c r="I132" s="38">
        <v>7</v>
      </c>
      <c r="J132" s="41">
        <v>45915</v>
      </c>
      <c r="K132" s="40">
        <v>1030918</v>
      </c>
      <c r="M132" s="155" t="s">
        <v>18900</v>
      </c>
      <c r="N132" s="52">
        <f t="shared" si="1"/>
        <v>0</v>
      </c>
      <c r="O132" s="2">
        <f>VLOOKUP(M132,'Data Angt'!$A$5:$F$5810,6,FALSE)</f>
        <v>33</v>
      </c>
      <c r="P132" s="47" t="str">
        <f>VLOOKUP(M132,'Data Angt'!$A$5:$H$5810,8,FALSE)</f>
        <v>Wiraswasta</v>
      </c>
      <c r="Q132" s="44" t="str">
        <f>VLOOKUP(M132,'Data Angt'!$A$5:$C$5809,3,FALSE)</f>
        <v>PBL</v>
      </c>
    </row>
    <row r="133" spans="1:17" x14ac:dyDescent="0.3">
      <c r="A133" s="37">
        <v>143116</v>
      </c>
      <c r="B133" s="38">
        <v>128</v>
      </c>
      <c r="C133" s="39" t="s">
        <v>12863</v>
      </c>
      <c r="D133" s="10" t="str">
        <f>VLOOKUP(C133,'Data Angt'!$A$5:$B$5809,2,FALSE)</f>
        <v>A4470</v>
      </c>
      <c r="E133" s="40" t="s">
        <v>18773</v>
      </c>
      <c r="F133" s="41">
        <v>45355</v>
      </c>
      <c r="G133" s="38">
        <v>60</v>
      </c>
      <c r="H133" s="40">
        <v>0</v>
      </c>
      <c r="I133" s="38">
        <v>7</v>
      </c>
      <c r="J133" s="41">
        <v>45908</v>
      </c>
      <c r="K133" s="40">
        <v>2247800</v>
      </c>
      <c r="M133" s="155" t="s">
        <v>18924</v>
      </c>
      <c r="N133" s="52">
        <f t="shared" si="1"/>
        <v>0</v>
      </c>
      <c r="O133" s="2">
        <f>VLOOKUP(M133,'Data Angt'!$A$5:$F$5810,6,FALSE)</f>
        <v>45</v>
      </c>
      <c r="P133" s="47" t="str">
        <f>VLOOKUP(M133,'Data Angt'!$A$5:$H$5810,8,FALSE)</f>
        <v>Tenaga Pengajar</v>
      </c>
      <c r="Q133" s="44" t="str">
        <f>VLOOKUP(M133,'Data Angt'!$A$5:$C$5809,3,FALSE)</f>
        <v>JBR</v>
      </c>
    </row>
    <row r="134" spans="1:17" x14ac:dyDescent="0.3">
      <c r="A134" s="37">
        <v>146167</v>
      </c>
      <c r="B134" s="38">
        <v>129</v>
      </c>
      <c r="C134" s="39" t="s">
        <v>13031</v>
      </c>
      <c r="D134" s="10" t="str">
        <f>VLOOKUP(C134,'Data Angt'!$A$5:$B$5809,2,FALSE)</f>
        <v>A4548</v>
      </c>
      <c r="E134" s="40" t="s">
        <v>18774</v>
      </c>
      <c r="F134" s="41">
        <v>45469</v>
      </c>
      <c r="G134" s="38">
        <v>60</v>
      </c>
      <c r="H134" s="40">
        <v>0</v>
      </c>
      <c r="I134" s="38">
        <v>6</v>
      </c>
      <c r="J134" s="41">
        <v>45926</v>
      </c>
      <c r="K134" s="40">
        <v>1634433</v>
      </c>
      <c r="M134" s="155" t="s">
        <v>18929</v>
      </c>
      <c r="N134" s="52">
        <f t="shared" ref="N134:N136" si="2">VLOOKUP(M134,$C$6:$H$183,6,FALSE)</f>
        <v>0</v>
      </c>
      <c r="O134" s="2">
        <f>VLOOKUP(M134,'Data Angt'!$A$5:$F$5810,6,FALSE)</f>
        <v>47</v>
      </c>
      <c r="P134" s="47" t="str">
        <f>VLOOKUP(M134,'Data Angt'!$A$5:$H$5810,8,FALSE)</f>
        <v>Wiraswasta</v>
      </c>
      <c r="Q134" s="44" t="str">
        <f>VLOOKUP(M134,'Data Angt'!$A$5:$C$5809,3,FALSE)</f>
        <v>PBL</v>
      </c>
    </row>
    <row r="135" spans="1:17" x14ac:dyDescent="0.3">
      <c r="A135" s="37">
        <v>146684</v>
      </c>
      <c r="B135" s="38">
        <v>130</v>
      </c>
      <c r="C135" s="39" t="s">
        <v>13080</v>
      </c>
      <c r="D135" s="10" t="str">
        <f>VLOOKUP(C135,'Data Angt'!$A$5:$B$5809,2,FALSE)</f>
        <v>A4575</v>
      </c>
      <c r="E135" s="40" t="s">
        <v>18775</v>
      </c>
      <c r="F135" s="41">
        <v>45490</v>
      </c>
      <c r="G135" s="38">
        <v>60</v>
      </c>
      <c r="H135" s="40">
        <v>0</v>
      </c>
      <c r="I135" s="38">
        <v>6</v>
      </c>
      <c r="J135" s="41">
        <v>45917</v>
      </c>
      <c r="K135" s="40">
        <v>1529586</v>
      </c>
      <c r="M135" s="155" t="s">
        <v>19048</v>
      </c>
      <c r="N135" s="52">
        <f t="shared" si="2"/>
        <v>0</v>
      </c>
      <c r="O135" s="2">
        <f>VLOOKUP(M135,'Data Angt'!$A$5:$F$5810,6,FALSE)</f>
        <v>46</v>
      </c>
      <c r="P135" s="47" t="str">
        <f>VLOOKUP(M135,'Data Angt'!$A$5:$H$5810,8,FALSE)</f>
        <v>Karyawan</v>
      </c>
      <c r="Q135" s="44" t="str">
        <f>VLOOKUP(M135,'Data Angt'!$A$5:$C$5809,3,FALSE)</f>
        <v>MGL</v>
      </c>
    </row>
    <row r="136" spans="1:17" x14ac:dyDescent="0.3">
      <c r="A136" s="37">
        <v>146330</v>
      </c>
      <c r="B136" s="38">
        <v>131</v>
      </c>
      <c r="C136" s="39" t="s">
        <v>13134</v>
      </c>
      <c r="D136" s="10" t="str">
        <f>VLOOKUP(C136,'Data Angt'!$A$5:$B$5809,2,FALSE)</f>
        <v>A4598</v>
      </c>
      <c r="E136" s="40" t="s">
        <v>18776</v>
      </c>
      <c r="F136" s="41">
        <v>45477</v>
      </c>
      <c r="G136" s="38">
        <v>60</v>
      </c>
      <c r="H136" s="40">
        <v>0</v>
      </c>
      <c r="I136" s="38">
        <v>6</v>
      </c>
      <c r="J136" s="41">
        <v>45930</v>
      </c>
      <c r="K136" s="40">
        <v>764418</v>
      </c>
      <c r="M136" s="156" t="s">
        <v>19111</v>
      </c>
      <c r="N136" s="52">
        <f t="shared" si="2"/>
        <v>0</v>
      </c>
      <c r="O136" s="2">
        <f>VLOOKUP(M136,'Data Angt'!$A$5:$F$5810,6,FALSE)</f>
        <v>31</v>
      </c>
      <c r="P136" s="47" t="str">
        <f>VLOOKUP(M136,'Data Angt'!$A$5:$H$5810,8,FALSE)</f>
        <v>Wiraswasta</v>
      </c>
      <c r="Q136" s="44" t="str">
        <f>VLOOKUP(M136,'Data Angt'!$A$5:$C$5809,3,FALSE)</f>
        <v>PBL</v>
      </c>
    </row>
    <row r="137" spans="1:17" x14ac:dyDescent="0.3">
      <c r="A137" s="37">
        <v>146538</v>
      </c>
      <c r="B137" s="38">
        <v>132</v>
      </c>
      <c r="C137" s="39" t="s">
        <v>13172</v>
      </c>
      <c r="D137" s="10" t="str">
        <f>VLOOKUP(C137,'Data Angt'!$A$5:$B$5809,2,FALSE)</f>
        <v>A4614</v>
      </c>
      <c r="E137" s="40" t="s">
        <v>18777</v>
      </c>
      <c r="F137" s="41">
        <v>45486</v>
      </c>
      <c r="G137" s="38">
        <v>60</v>
      </c>
      <c r="H137" s="40">
        <v>0</v>
      </c>
      <c r="I137" s="38">
        <v>6</v>
      </c>
      <c r="J137" s="41">
        <v>45913</v>
      </c>
      <c r="K137" s="40">
        <v>764802</v>
      </c>
      <c r="M137" s="157" t="s">
        <v>1423</v>
      </c>
      <c r="N137" s="52">
        <f t="shared" ref="N137:N143" si="3">VLOOKUP(M137,$C$6:$H$183,6,FALSE)</f>
        <v>0</v>
      </c>
      <c r="O137" s="2">
        <f>VLOOKUP(M137,'Data Angt'!$A$5:$F$5810,6,FALSE)</f>
        <v>48</v>
      </c>
      <c r="P137" s="47" t="str">
        <f>VLOOKUP(M137,'Data Angt'!$A$5:$H$5810,8,FALSE)</f>
        <v>Karyawan</v>
      </c>
      <c r="Q137" s="44" t="str">
        <f>VLOOKUP(M137,'Data Angt'!$A$5:$C$5809,3,FALSE)</f>
        <v>PBL</v>
      </c>
    </row>
    <row r="138" spans="1:17" x14ac:dyDescent="0.3">
      <c r="A138" s="37">
        <v>148928</v>
      </c>
      <c r="B138" s="38">
        <v>133</v>
      </c>
      <c r="C138" s="39" t="s">
        <v>13658</v>
      </c>
      <c r="D138" s="10" t="str">
        <f>VLOOKUP(C138,'Data Angt'!$A$5:$B$5809,2,FALSE)</f>
        <v>A4887</v>
      </c>
      <c r="E138" s="40" t="s">
        <v>18778</v>
      </c>
      <c r="F138" s="41">
        <v>45541</v>
      </c>
      <c r="G138" s="38">
        <v>60</v>
      </c>
      <c r="H138" s="40">
        <v>0</v>
      </c>
      <c r="I138" s="38">
        <v>6</v>
      </c>
      <c r="J138" s="41">
        <v>45906</v>
      </c>
      <c r="K138" s="40">
        <v>457435</v>
      </c>
      <c r="M138" s="157" t="s">
        <v>2479</v>
      </c>
      <c r="N138" s="52">
        <f t="shared" si="3"/>
        <v>0</v>
      </c>
      <c r="O138" s="2">
        <f>VLOOKUP(M138,'Data Angt'!$A$5:$F$5810,6,FALSE)</f>
        <v>37</v>
      </c>
      <c r="P138" s="47" t="str">
        <f>VLOOKUP(M138,'Data Angt'!$A$5:$H$5810,8,FALSE)</f>
        <v>Lain-Lain</v>
      </c>
      <c r="Q138" s="44" t="str">
        <f>VLOOKUP(M138,'Data Angt'!$A$5:$C$5809,3,FALSE)</f>
        <v>PBL</v>
      </c>
    </row>
    <row r="139" spans="1:17" x14ac:dyDescent="0.3">
      <c r="A139" s="37">
        <v>148930</v>
      </c>
      <c r="B139" s="38">
        <v>134</v>
      </c>
      <c r="C139" s="39" t="s">
        <v>13658</v>
      </c>
      <c r="D139" s="10" t="str">
        <f>VLOOKUP(C139,'Data Angt'!$A$5:$B$5809,2,FALSE)</f>
        <v>A4887</v>
      </c>
      <c r="E139" s="40" t="s">
        <v>18779</v>
      </c>
      <c r="F139" s="41">
        <v>45541</v>
      </c>
      <c r="G139" s="38">
        <v>60</v>
      </c>
      <c r="H139" s="40">
        <v>0</v>
      </c>
      <c r="I139" s="38">
        <v>6</v>
      </c>
      <c r="J139" s="41">
        <v>45906</v>
      </c>
      <c r="K139" s="40">
        <v>457435</v>
      </c>
      <c r="M139" s="157" t="s">
        <v>12288</v>
      </c>
      <c r="N139" s="52">
        <f t="shared" si="3"/>
        <v>0</v>
      </c>
      <c r="O139" s="2">
        <f>VLOOKUP(M139,'Data Angt'!$A$5:$F$5810,6,FALSE)</f>
        <v>26</v>
      </c>
      <c r="P139" s="47">
        <f>VLOOKUP(M139,'Data Angt'!$A$5:$H$5810,8,FALSE)</f>
        <v>0</v>
      </c>
      <c r="Q139" s="44" t="str">
        <f>VLOOKUP(M139,'Data Angt'!$A$5:$C$5809,3,FALSE)</f>
        <v>PBL</v>
      </c>
    </row>
    <row r="140" spans="1:17" x14ac:dyDescent="0.3">
      <c r="A140" s="37">
        <v>149299</v>
      </c>
      <c r="B140" s="38">
        <v>135</v>
      </c>
      <c r="C140" s="39" t="s">
        <v>13676</v>
      </c>
      <c r="D140" s="10" t="str">
        <f>VLOOKUP(C140,'Data Angt'!$A$5:$B$5809,2,FALSE)</f>
        <v>A4894</v>
      </c>
      <c r="E140" s="40" t="s">
        <v>18780</v>
      </c>
      <c r="F140" s="41">
        <v>45558</v>
      </c>
      <c r="G140" s="38">
        <v>60</v>
      </c>
      <c r="H140" s="40">
        <v>0</v>
      </c>
      <c r="I140" s="38">
        <v>6</v>
      </c>
      <c r="J140" s="41">
        <v>45923</v>
      </c>
      <c r="K140" s="40">
        <v>1322724</v>
      </c>
      <c r="M140" s="157" t="s">
        <v>12298</v>
      </c>
      <c r="N140" s="52">
        <f t="shared" si="3"/>
        <v>0</v>
      </c>
      <c r="O140" s="2">
        <f>VLOOKUP(M140,'Data Angt'!$A$5:$F$5810,6,FALSE)</f>
        <v>17</v>
      </c>
      <c r="P140" s="47" t="str">
        <f>VLOOKUP(M140,'Data Angt'!$A$5:$H$5810,8,FALSE)</f>
        <v>Pelajar/Mahasiswa</v>
      </c>
      <c r="Q140" s="44" t="str">
        <f>VLOOKUP(M140,'Data Angt'!$A$5:$C$5809,3,FALSE)</f>
        <v>PBL</v>
      </c>
    </row>
    <row r="141" spans="1:17" x14ac:dyDescent="0.3">
      <c r="A141" s="37">
        <v>149400</v>
      </c>
      <c r="B141" s="38">
        <v>136</v>
      </c>
      <c r="C141" s="39" t="s">
        <v>13713</v>
      </c>
      <c r="D141" s="10" t="str">
        <f>VLOOKUP(C141,'Data Angt'!$A$5:$B$5809,2,FALSE)</f>
        <v>A4911</v>
      </c>
      <c r="E141" s="40" t="s">
        <v>18781</v>
      </c>
      <c r="F141" s="41">
        <v>45565</v>
      </c>
      <c r="G141" s="38">
        <v>60</v>
      </c>
      <c r="H141" s="40">
        <v>0</v>
      </c>
      <c r="I141" s="38">
        <v>6</v>
      </c>
      <c r="J141" s="41">
        <v>45930</v>
      </c>
      <c r="K141" s="40">
        <v>1986370</v>
      </c>
      <c r="M141" s="2" t="s">
        <v>4613</v>
      </c>
      <c r="N141" s="52">
        <f t="shared" si="3"/>
        <v>0</v>
      </c>
      <c r="O141" s="2">
        <f>VLOOKUP(M141,'Data Angt'!$A$5:$F$5810,6,FALSE)</f>
        <v>39</v>
      </c>
      <c r="P141" s="47" t="str">
        <f>VLOOKUP(M141,'Data Angt'!$A$5:$H$5810,8,FALSE)</f>
        <v>Wiraswasta</v>
      </c>
      <c r="Q141" s="44" t="str">
        <f>VLOOKUP(M141,'Data Angt'!$A$5:$C$5809,3,FALSE)</f>
        <v>PBL</v>
      </c>
    </row>
    <row r="142" spans="1:17" x14ac:dyDescent="0.3">
      <c r="A142" s="37">
        <v>158131</v>
      </c>
      <c r="B142" s="38">
        <v>137</v>
      </c>
      <c r="C142" s="39" t="s">
        <v>13729</v>
      </c>
      <c r="D142" s="10" t="str">
        <f>VLOOKUP(C142,'Data Angt'!$A$5:$B$5809,2,FALSE)</f>
        <v>A4919</v>
      </c>
      <c r="E142" s="40" t="s">
        <v>24202</v>
      </c>
      <c r="F142" s="41">
        <v>45895</v>
      </c>
      <c r="G142" s="38">
        <v>60</v>
      </c>
      <c r="H142" s="40">
        <v>0</v>
      </c>
      <c r="I142" s="38">
        <v>6</v>
      </c>
      <c r="J142" s="41">
        <v>45926</v>
      </c>
      <c r="K142" s="40">
        <v>100250</v>
      </c>
      <c r="M142" s="2" t="s">
        <v>12349</v>
      </c>
      <c r="N142" s="52">
        <f t="shared" si="3"/>
        <v>0</v>
      </c>
      <c r="O142" s="2">
        <f>VLOOKUP(M142,'Data Angt'!$A$5:$F$5810,6,FALSE)</f>
        <v>20</v>
      </c>
      <c r="P142" s="47">
        <f>VLOOKUP(M142,'Data Angt'!$A$5:$H$5810,8,FALSE)</f>
        <v>0</v>
      </c>
      <c r="Q142" s="44" t="str">
        <f>VLOOKUP(M142,'Data Angt'!$A$5:$C$5809,3,FALSE)</f>
        <v>PBL</v>
      </c>
    </row>
    <row r="143" spans="1:17" x14ac:dyDescent="0.3">
      <c r="A143" s="37">
        <v>158133</v>
      </c>
      <c r="B143" s="38">
        <v>138</v>
      </c>
      <c r="C143" s="39" t="s">
        <v>13729</v>
      </c>
      <c r="D143" s="10" t="str">
        <f>VLOOKUP(C143,'Data Angt'!$A$5:$B$5809,2,FALSE)</f>
        <v>A4919</v>
      </c>
      <c r="E143" s="40" t="s">
        <v>24203</v>
      </c>
      <c r="F143" s="41">
        <v>45895</v>
      </c>
      <c r="G143" s="38">
        <v>60</v>
      </c>
      <c r="H143" s="40">
        <v>0</v>
      </c>
      <c r="I143" s="38">
        <v>6</v>
      </c>
      <c r="J143" s="41">
        <v>45926</v>
      </c>
      <c r="K143" s="40">
        <v>100250</v>
      </c>
      <c r="M143" s="2" t="s">
        <v>6571</v>
      </c>
      <c r="N143" s="52">
        <f t="shared" si="3"/>
        <v>0</v>
      </c>
      <c r="O143" s="2">
        <f>VLOOKUP(M143,'Data Angt'!$A$5:$F$5810,6,FALSE)</f>
        <v>42</v>
      </c>
      <c r="P143" s="47" t="str">
        <f>VLOOKUP(M143,'Data Angt'!$A$5:$H$5810,8,FALSE)</f>
        <v>Lain-Lain</v>
      </c>
      <c r="Q143" s="44" t="str">
        <f>VLOOKUP(M143,'Data Angt'!$A$5:$C$5809,3,FALSE)</f>
        <v>PBL</v>
      </c>
    </row>
    <row r="144" spans="1:17" x14ac:dyDescent="0.3">
      <c r="A144" s="37">
        <v>149218</v>
      </c>
      <c r="B144" s="38">
        <v>139</v>
      </c>
      <c r="C144" s="39" t="s">
        <v>13800</v>
      </c>
      <c r="D144" s="10" t="str">
        <f>VLOOKUP(C144,'Data Angt'!$A$5:$B$5809,2,FALSE)</f>
        <v>A4951</v>
      </c>
      <c r="E144" s="40" t="s">
        <v>18782</v>
      </c>
      <c r="F144" s="41">
        <v>45553</v>
      </c>
      <c r="G144" s="38">
        <v>60</v>
      </c>
      <c r="H144" s="40">
        <v>0</v>
      </c>
      <c r="I144" s="38">
        <v>6</v>
      </c>
      <c r="J144" s="41">
        <v>45918</v>
      </c>
      <c r="K144" s="40">
        <v>103045</v>
      </c>
      <c r="M144"/>
    </row>
    <row r="145" spans="1:13" x14ac:dyDescent="0.3">
      <c r="A145" s="37">
        <v>156102</v>
      </c>
      <c r="B145" s="38">
        <v>140</v>
      </c>
      <c r="C145" s="39" t="s">
        <v>13957</v>
      </c>
      <c r="D145" s="10" t="str">
        <f>VLOOKUP(C145,'Data Angt'!$A$5:$B$5809,2,FALSE)</f>
        <v>A5025</v>
      </c>
      <c r="E145" s="40" t="s">
        <v>18783</v>
      </c>
      <c r="F145" s="41">
        <v>45807</v>
      </c>
      <c r="G145" s="38">
        <v>60</v>
      </c>
      <c r="H145" s="40">
        <v>0</v>
      </c>
      <c r="I145" s="38">
        <v>6</v>
      </c>
      <c r="J145" s="41">
        <v>45930</v>
      </c>
      <c r="K145" s="40">
        <v>251504</v>
      </c>
      <c r="M145"/>
    </row>
    <row r="146" spans="1:13" x14ac:dyDescent="0.3">
      <c r="A146" s="37">
        <v>152980</v>
      </c>
      <c r="B146" s="38">
        <v>141</v>
      </c>
      <c r="C146" s="39" t="s">
        <v>13978</v>
      </c>
      <c r="D146" s="10" t="str">
        <f>VLOOKUP(C146,'Data Angt'!$A$5:$B$5809,2,FALSE)</f>
        <v>A5032</v>
      </c>
      <c r="E146" s="40" t="s">
        <v>18784</v>
      </c>
      <c r="F146" s="41">
        <v>45696</v>
      </c>
      <c r="G146" s="38">
        <v>60</v>
      </c>
      <c r="H146" s="40">
        <v>0</v>
      </c>
      <c r="I146" s="38">
        <v>6</v>
      </c>
      <c r="J146" s="41">
        <v>45908</v>
      </c>
      <c r="K146" s="40">
        <v>808550</v>
      </c>
      <c r="M146"/>
    </row>
    <row r="147" spans="1:13" x14ac:dyDescent="0.3">
      <c r="A147" s="37">
        <v>151244</v>
      </c>
      <c r="B147" s="38">
        <v>142</v>
      </c>
      <c r="C147" s="39" t="s">
        <v>13980</v>
      </c>
      <c r="D147" s="10" t="str">
        <f>VLOOKUP(C147,'Data Angt'!$A$5:$B$5809,2,FALSE)</f>
        <v>A5033</v>
      </c>
      <c r="E147" s="40" t="s">
        <v>18785</v>
      </c>
      <c r="F147" s="41">
        <v>45629</v>
      </c>
      <c r="G147" s="38">
        <v>60</v>
      </c>
      <c r="H147" s="40">
        <v>0</v>
      </c>
      <c r="I147" s="38">
        <v>6</v>
      </c>
      <c r="J147" s="41">
        <v>45906</v>
      </c>
      <c r="K147" s="40">
        <v>404661</v>
      </c>
      <c r="M147"/>
    </row>
    <row r="148" spans="1:13" x14ac:dyDescent="0.3">
      <c r="A148" s="37">
        <v>152144</v>
      </c>
      <c r="B148" s="38">
        <v>143</v>
      </c>
      <c r="C148" s="39" t="s">
        <v>14048</v>
      </c>
      <c r="D148" s="10" t="str">
        <f>VLOOKUP(C148,'Data Angt'!$A$5:$B$5809,2,FALSE)</f>
        <v>A5064</v>
      </c>
      <c r="E148" s="40" t="s">
        <v>18786</v>
      </c>
      <c r="F148" s="41">
        <v>45671</v>
      </c>
      <c r="G148" s="38">
        <v>60</v>
      </c>
      <c r="H148" s="40">
        <v>0</v>
      </c>
      <c r="I148" s="38">
        <v>6</v>
      </c>
      <c r="J148" s="41">
        <v>45915</v>
      </c>
      <c r="K148" s="40">
        <v>1012590</v>
      </c>
      <c r="M148"/>
    </row>
    <row r="149" spans="1:13" x14ac:dyDescent="0.3">
      <c r="A149" s="37">
        <v>151001</v>
      </c>
      <c r="B149" s="38">
        <v>144</v>
      </c>
      <c r="C149" s="39" t="s">
        <v>14143</v>
      </c>
      <c r="D149" s="10" t="str">
        <f>VLOOKUP(C149,'Data Angt'!$A$5:$B$5809,2,FALSE)</f>
        <v>A5107</v>
      </c>
      <c r="E149" s="40" t="s">
        <v>18787</v>
      </c>
      <c r="F149" s="41">
        <v>45624</v>
      </c>
      <c r="G149" s="38">
        <v>60</v>
      </c>
      <c r="H149" s="40">
        <v>0</v>
      </c>
      <c r="I149" s="38">
        <v>6</v>
      </c>
      <c r="J149" s="41">
        <v>45929</v>
      </c>
      <c r="K149" s="40">
        <v>51267</v>
      </c>
      <c r="M149"/>
    </row>
    <row r="150" spans="1:13" x14ac:dyDescent="0.3">
      <c r="A150" s="37">
        <v>158377</v>
      </c>
      <c r="B150" s="38">
        <v>145</v>
      </c>
      <c r="C150" s="39" t="s">
        <v>14145</v>
      </c>
      <c r="D150" s="10" t="str">
        <f>VLOOKUP(C150,'Data Angt'!$A$5:$B$5809,2,FALSE)</f>
        <v>A5108</v>
      </c>
      <c r="E150" s="40" t="s">
        <v>24204</v>
      </c>
      <c r="F150" s="41">
        <v>45908</v>
      </c>
      <c r="G150" s="38">
        <v>60</v>
      </c>
      <c r="H150" s="40">
        <v>0</v>
      </c>
      <c r="I150" s="38">
        <v>6</v>
      </c>
      <c r="J150" s="41">
        <v>45908</v>
      </c>
      <c r="K150" s="40">
        <v>200000</v>
      </c>
      <c r="M150"/>
    </row>
    <row r="151" spans="1:13" x14ac:dyDescent="0.3">
      <c r="A151" s="37">
        <v>151031</v>
      </c>
      <c r="B151" s="38">
        <v>146</v>
      </c>
      <c r="C151" s="39" t="s">
        <v>14162</v>
      </c>
      <c r="D151" s="10" t="str">
        <f>VLOOKUP(C151,'Data Angt'!$A$5:$B$5809,2,FALSE)</f>
        <v>A5117</v>
      </c>
      <c r="E151" s="40" t="s">
        <v>18788</v>
      </c>
      <c r="F151" s="41">
        <v>45624</v>
      </c>
      <c r="G151" s="38">
        <v>60</v>
      </c>
      <c r="H151" s="40">
        <v>0</v>
      </c>
      <c r="I151" s="38">
        <v>6</v>
      </c>
      <c r="J151" s="41">
        <v>45929</v>
      </c>
      <c r="K151" s="40">
        <v>713116</v>
      </c>
      <c r="M151"/>
    </row>
    <row r="152" spans="1:13" x14ac:dyDescent="0.3">
      <c r="A152" s="37">
        <v>151146</v>
      </c>
      <c r="B152" s="38">
        <v>147</v>
      </c>
      <c r="C152" s="39" t="s">
        <v>14185</v>
      </c>
      <c r="D152" s="10" t="str">
        <f>VLOOKUP(C152,'Data Angt'!$A$5:$B$5809,2,FALSE)</f>
        <v>A5129</v>
      </c>
      <c r="E152" s="40" t="s">
        <v>18789</v>
      </c>
      <c r="F152" s="41">
        <v>45625</v>
      </c>
      <c r="G152" s="38">
        <v>60</v>
      </c>
      <c r="H152" s="40">
        <v>0</v>
      </c>
      <c r="I152" s="38">
        <v>6</v>
      </c>
      <c r="J152" s="41">
        <v>45929</v>
      </c>
      <c r="K152" s="40">
        <v>51267</v>
      </c>
      <c r="M152"/>
    </row>
    <row r="153" spans="1:13" x14ac:dyDescent="0.3">
      <c r="A153" s="37">
        <v>153189</v>
      </c>
      <c r="B153" s="38">
        <v>148</v>
      </c>
      <c r="C153" s="39" t="s">
        <v>14486</v>
      </c>
      <c r="D153" s="10" t="str">
        <f>VLOOKUP(C153,'Data Angt'!$A$5:$B$5809,2,FALSE)</f>
        <v>A5231</v>
      </c>
      <c r="E153" s="40" t="s">
        <v>18790</v>
      </c>
      <c r="F153" s="41">
        <v>45700</v>
      </c>
      <c r="G153" s="38">
        <v>60</v>
      </c>
      <c r="H153" s="40">
        <v>0</v>
      </c>
      <c r="I153" s="38">
        <v>6</v>
      </c>
      <c r="J153" s="41">
        <v>45912</v>
      </c>
      <c r="K153" s="40">
        <v>704779</v>
      </c>
      <c r="M153"/>
    </row>
    <row r="154" spans="1:13" x14ac:dyDescent="0.3">
      <c r="A154" s="37">
        <v>158600</v>
      </c>
      <c r="B154" s="38">
        <v>149</v>
      </c>
      <c r="C154" s="39" t="s">
        <v>14492</v>
      </c>
      <c r="D154" s="10" t="str">
        <f>VLOOKUP(C154,'Data Angt'!$A$5:$B$5809,2,FALSE)</f>
        <v>A5233</v>
      </c>
      <c r="E154" s="40" t="s">
        <v>24205</v>
      </c>
      <c r="F154" s="41">
        <v>45916</v>
      </c>
      <c r="G154" s="38">
        <v>60</v>
      </c>
      <c r="H154" s="40">
        <v>0</v>
      </c>
      <c r="I154" s="38">
        <v>6</v>
      </c>
      <c r="J154" s="41">
        <v>45916</v>
      </c>
      <c r="K154" s="40">
        <v>50000</v>
      </c>
      <c r="M154"/>
    </row>
    <row r="155" spans="1:13" x14ac:dyDescent="0.3">
      <c r="A155" s="37">
        <v>154040</v>
      </c>
      <c r="B155" s="38">
        <v>150</v>
      </c>
      <c r="C155" s="39" t="s">
        <v>14753</v>
      </c>
      <c r="D155" s="10" t="str">
        <f>VLOOKUP(C155,'Data Angt'!$A$5:$B$5809,2,FALSE)</f>
        <v>A5344</v>
      </c>
      <c r="E155" s="40" t="s">
        <v>18792</v>
      </c>
      <c r="F155" s="41">
        <v>45715</v>
      </c>
      <c r="G155" s="38">
        <v>60</v>
      </c>
      <c r="H155" s="40">
        <v>0</v>
      </c>
      <c r="I155" s="38">
        <v>6</v>
      </c>
      <c r="J155" s="41">
        <v>45927</v>
      </c>
      <c r="K155" s="40">
        <v>808800</v>
      </c>
      <c r="M155"/>
    </row>
    <row r="156" spans="1:13" x14ac:dyDescent="0.3">
      <c r="A156" s="37">
        <v>154042</v>
      </c>
      <c r="B156" s="38">
        <v>151</v>
      </c>
      <c r="C156" s="39" t="s">
        <v>14753</v>
      </c>
      <c r="D156" s="10" t="str">
        <f>VLOOKUP(C156,'Data Angt'!$A$5:$B$5809,2,FALSE)</f>
        <v>A5344</v>
      </c>
      <c r="E156" s="40" t="s">
        <v>18791</v>
      </c>
      <c r="F156" s="41">
        <v>45715</v>
      </c>
      <c r="G156" s="38">
        <v>60</v>
      </c>
      <c r="H156" s="40">
        <v>0</v>
      </c>
      <c r="I156" s="38">
        <v>6</v>
      </c>
      <c r="J156" s="41">
        <v>45927</v>
      </c>
      <c r="K156" s="40">
        <v>808800</v>
      </c>
      <c r="M156"/>
    </row>
    <row r="157" spans="1:13" x14ac:dyDescent="0.3">
      <c r="A157" s="37">
        <v>155268</v>
      </c>
      <c r="B157" s="38">
        <v>152</v>
      </c>
      <c r="C157" s="39" t="s">
        <v>14890</v>
      </c>
      <c r="D157" s="10" t="str">
        <f>VLOOKUP(C157,'Data Angt'!$A$5:$B$5809,2,FALSE)</f>
        <v>A5408</v>
      </c>
      <c r="E157" s="40" t="s">
        <v>18793</v>
      </c>
      <c r="F157" s="41">
        <v>45773</v>
      </c>
      <c r="G157" s="38">
        <v>60</v>
      </c>
      <c r="H157" s="40">
        <v>0</v>
      </c>
      <c r="I157" s="38">
        <v>6</v>
      </c>
      <c r="J157" s="41">
        <v>45926</v>
      </c>
      <c r="K157" s="40">
        <v>252133</v>
      </c>
      <c r="M157"/>
    </row>
    <row r="158" spans="1:13" x14ac:dyDescent="0.3">
      <c r="A158" s="37">
        <v>154373</v>
      </c>
      <c r="B158" s="38">
        <v>153</v>
      </c>
      <c r="C158" s="39" t="s">
        <v>14923</v>
      </c>
      <c r="D158" s="10" t="str">
        <f>VLOOKUP(C158,'Data Angt'!$A$5:$B$5809,2,FALSE)</f>
        <v>A5421</v>
      </c>
      <c r="E158" s="40" t="s">
        <v>18794</v>
      </c>
      <c r="F158" s="41">
        <v>45726</v>
      </c>
      <c r="G158" s="38">
        <v>60</v>
      </c>
      <c r="H158" s="40">
        <v>0</v>
      </c>
      <c r="I158" s="38">
        <v>6</v>
      </c>
      <c r="J158" s="41">
        <v>45925</v>
      </c>
      <c r="K158" s="40">
        <v>1412057</v>
      </c>
      <c r="M158"/>
    </row>
    <row r="159" spans="1:13" x14ac:dyDescent="0.3">
      <c r="A159" s="37">
        <v>157550</v>
      </c>
      <c r="B159" s="38">
        <v>154</v>
      </c>
      <c r="C159" s="39" t="s">
        <v>15018</v>
      </c>
      <c r="D159" s="10" t="str">
        <f>VLOOKUP(C159,'Data Angt'!$A$5:$B$5809,2,FALSE)</f>
        <v>A5468</v>
      </c>
      <c r="E159" s="40" t="s">
        <v>24206</v>
      </c>
      <c r="F159" s="41">
        <v>45871</v>
      </c>
      <c r="G159" s="38">
        <v>60</v>
      </c>
      <c r="H159" s="40">
        <v>0</v>
      </c>
      <c r="I159" s="38">
        <v>6</v>
      </c>
      <c r="J159" s="41">
        <v>45902</v>
      </c>
      <c r="K159" s="40">
        <v>200250</v>
      </c>
      <c r="M159"/>
    </row>
    <row r="160" spans="1:13" x14ac:dyDescent="0.3">
      <c r="A160" s="37">
        <v>155295</v>
      </c>
      <c r="B160" s="38">
        <v>155</v>
      </c>
      <c r="C160" s="39" t="s">
        <v>15070</v>
      </c>
      <c r="D160" s="10" t="str">
        <f>VLOOKUP(C160,'Data Angt'!$A$5:$B$5809,2,FALSE)</f>
        <v>A5491</v>
      </c>
      <c r="E160" s="40" t="s">
        <v>18795</v>
      </c>
      <c r="F160" s="41">
        <v>45775</v>
      </c>
      <c r="G160" s="38">
        <v>60</v>
      </c>
      <c r="H160" s="40">
        <v>0</v>
      </c>
      <c r="I160" s="38">
        <v>6</v>
      </c>
      <c r="J160" s="41">
        <v>45929</v>
      </c>
      <c r="K160" s="40">
        <v>3526345</v>
      </c>
      <c r="M160"/>
    </row>
    <row r="161" spans="1:13" x14ac:dyDescent="0.3">
      <c r="A161" s="37">
        <v>155296</v>
      </c>
      <c r="B161" s="38">
        <v>156</v>
      </c>
      <c r="C161" s="39" t="s">
        <v>15070</v>
      </c>
      <c r="D161" s="10" t="str">
        <f>VLOOKUP(C161,'Data Angt'!$A$5:$B$5809,2,FALSE)</f>
        <v>A5491</v>
      </c>
      <c r="E161" s="40" t="s">
        <v>18796</v>
      </c>
      <c r="F161" s="41">
        <v>45775</v>
      </c>
      <c r="G161" s="38">
        <v>60</v>
      </c>
      <c r="H161" s="40">
        <v>0</v>
      </c>
      <c r="I161" s="38">
        <v>6</v>
      </c>
      <c r="J161" s="41">
        <v>45929</v>
      </c>
      <c r="K161" s="40">
        <v>3526345</v>
      </c>
      <c r="M161"/>
    </row>
    <row r="162" spans="1:13" x14ac:dyDescent="0.3">
      <c r="A162" s="37">
        <v>155345</v>
      </c>
      <c r="B162" s="38">
        <v>157</v>
      </c>
      <c r="C162" s="39" t="s">
        <v>15082</v>
      </c>
      <c r="D162" s="10" t="str">
        <f>VLOOKUP(C162,'Data Angt'!$A$5:$B$5809,2,FALSE)</f>
        <v>A5495</v>
      </c>
      <c r="E162" s="40" t="s">
        <v>18797</v>
      </c>
      <c r="F162" s="41">
        <v>45777</v>
      </c>
      <c r="G162" s="38">
        <v>60</v>
      </c>
      <c r="H162" s="40">
        <v>0</v>
      </c>
      <c r="I162" s="38">
        <v>6</v>
      </c>
      <c r="J162" s="41">
        <v>45930</v>
      </c>
      <c r="K162" s="40">
        <v>604015</v>
      </c>
      <c r="M162"/>
    </row>
    <row r="163" spans="1:13" x14ac:dyDescent="0.3">
      <c r="A163" s="37">
        <v>155948</v>
      </c>
      <c r="B163" s="38">
        <v>158</v>
      </c>
      <c r="C163" s="39" t="s">
        <v>15180</v>
      </c>
      <c r="D163" s="10" t="str">
        <f>VLOOKUP(C163,'Data Angt'!$A$5:$B$5809,2,FALSE)</f>
        <v>A5541</v>
      </c>
      <c r="E163" s="40" t="s">
        <v>18798</v>
      </c>
      <c r="F163" s="41">
        <v>45801</v>
      </c>
      <c r="G163" s="38">
        <v>60</v>
      </c>
      <c r="H163" s="40">
        <v>0</v>
      </c>
      <c r="I163" s="38">
        <v>6</v>
      </c>
      <c r="J163" s="41">
        <v>45924</v>
      </c>
      <c r="K163" s="40">
        <v>402006</v>
      </c>
      <c r="M163"/>
    </row>
    <row r="164" spans="1:13" x14ac:dyDescent="0.3">
      <c r="A164" s="37">
        <v>155950</v>
      </c>
      <c r="B164" s="38">
        <v>159</v>
      </c>
      <c r="C164" s="39" t="s">
        <v>15180</v>
      </c>
      <c r="D164" s="10" t="str">
        <f>VLOOKUP(C164,'Data Angt'!$A$5:$B$5809,2,FALSE)</f>
        <v>A5541</v>
      </c>
      <c r="E164" s="40" t="s">
        <v>18799</v>
      </c>
      <c r="F164" s="41">
        <v>45801</v>
      </c>
      <c r="G164" s="38">
        <v>60</v>
      </c>
      <c r="H164" s="40">
        <v>0</v>
      </c>
      <c r="I164" s="38">
        <v>6</v>
      </c>
      <c r="J164" s="41">
        <v>45924</v>
      </c>
      <c r="K164" s="40">
        <v>402006</v>
      </c>
      <c r="M164"/>
    </row>
    <row r="165" spans="1:13" x14ac:dyDescent="0.3">
      <c r="A165" s="37">
        <v>155851</v>
      </c>
      <c r="B165" s="38">
        <v>160</v>
      </c>
      <c r="C165" s="39" t="s">
        <v>15184</v>
      </c>
      <c r="D165" s="10" t="str">
        <f>VLOOKUP(C165,'Data Angt'!$A$5:$B$5809,2,FALSE)</f>
        <v>A5542</v>
      </c>
      <c r="E165" s="40" t="s">
        <v>18800</v>
      </c>
      <c r="F165" s="41">
        <v>45798</v>
      </c>
      <c r="G165" s="38">
        <v>60</v>
      </c>
      <c r="H165" s="40">
        <v>0</v>
      </c>
      <c r="I165" s="38">
        <v>6</v>
      </c>
      <c r="J165" s="41">
        <v>45921</v>
      </c>
      <c r="K165" s="40">
        <v>503511</v>
      </c>
      <c r="M165"/>
    </row>
    <row r="166" spans="1:13" x14ac:dyDescent="0.3">
      <c r="A166" s="37">
        <v>156951</v>
      </c>
      <c r="B166" s="38">
        <v>161</v>
      </c>
      <c r="C166" s="39" t="s">
        <v>18900</v>
      </c>
      <c r="D166" s="10" t="str">
        <f>VLOOKUP(C166,'Data Angt'!$A$5:$B$5809,2,FALSE)</f>
        <v>A5626</v>
      </c>
      <c r="E166" s="40" t="s">
        <v>24207</v>
      </c>
      <c r="F166" s="41">
        <v>45849</v>
      </c>
      <c r="G166" s="38">
        <v>60</v>
      </c>
      <c r="H166" s="40">
        <v>0</v>
      </c>
      <c r="I166" s="38">
        <v>6</v>
      </c>
      <c r="J166" s="41">
        <v>45911</v>
      </c>
      <c r="K166" s="40">
        <v>100501</v>
      </c>
      <c r="M166"/>
    </row>
    <row r="167" spans="1:13" x14ac:dyDescent="0.3">
      <c r="A167" s="37">
        <v>156952</v>
      </c>
      <c r="B167" s="38">
        <v>162</v>
      </c>
      <c r="C167" s="39" t="s">
        <v>18900</v>
      </c>
      <c r="D167" s="10" t="str">
        <f>VLOOKUP(C167,'Data Angt'!$A$5:$B$5809,2,FALSE)</f>
        <v>A5626</v>
      </c>
      <c r="E167" s="40" t="s">
        <v>24208</v>
      </c>
      <c r="F167" s="41">
        <v>45849</v>
      </c>
      <c r="G167" s="38">
        <v>60</v>
      </c>
      <c r="H167" s="40">
        <v>0</v>
      </c>
      <c r="I167" s="38">
        <v>6</v>
      </c>
      <c r="J167" s="41">
        <v>45911</v>
      </c>
      <c r="K167" s="40">
        <v>100501</v>
      </c>
      <c r="M167"/>
    </row>
    <row r="168" spans="1:13" x14ac:dyDescent="0.3">
      <c r="A168" s="37">
        <v>156954</v>
      </c>
      <c r="B168" s="38">
        <v>163</v>
      </c>
      <c r="C168" s="39" t="s">
        <v>18900</v>
      </c>
      <c r="D168" s="10" t="str">
        <f>VLOOKUP(C168,'Data Angt'!$A$5:$B$5809,2,FALSE)</f>
        <v>A5626</v>
      </c>
      <c r="E168" s="40" t="s">
        <v>24209</v>
      </c>
      <c r="F168" s="41">
        <v>45849</v>
      </c>
      <c r="G168" s="38">
        <v>60</v>
      </c>
      <c r="H168" s="40">
        <v>0</v>
      </c>
      <c r="I168" s="38">
        <v>6</v>
      </c>
      <c r="J168" s="41">
        <v>45911</v>
      </c>
      <c r="K168" s="40">
        <v>100501</v>
      </c>
      <c r="M168"/>
    </row>
    <row r="169" spans="1:13" x14ac:dyDescent="0.3">
      <c r="A169" s="37">
        <v>156955</v>
      </c>
      <c r="B169" s="38">
        <v>164</v>
      </c>
      <c r="C169" s="39" t="s">
        <v>18900</v>
      </c>
      <c r="D169" s="10" t="str">
        <f>VLOOKUP(C169,'Data Angt'!$A$5:$B$5809,2,FALSE)</f>
        <v>A5626</v>
      </c>
      <c r="E169" s="40" t="s">
        <v>24210</v>
      </c>
      <c r="F169" s="41">
        <v>45849</v>
      </c>
      <c r="G169" s="38">
        <v>60</v>
      </c>
      <c r="H169" s="40">
        <v>0</v>
      </c>
      <c r="I169" s="38">
        <v>6</v>
      </c>
      <c r="J169" s="41">
        <v>45911</v>
      </c>
      <c r="K169" s="40">
        <v>100501</v>
      </c>
      <c r="M169"/>
    </row>
    <row r="170" spans="1:13" x14ac:dyDescent="0.3">
      <c r="A170" s="37">
        <v>157502</v>
      </c>
      <c r="B170" s="38">
        <v>165</v>
      </c>
      <c r="C170" s="39" t="s">
        <v>18924</v>
      </c>
      <c r="D170" s="10" t="str">
        <f>VLOOKUP(C170,'Data Angt'!$A$5:$B$5809,2,FALSE)</f>
        <v>A5636</v>
      </c>
      <c r="E170" s="40" t="s">
        <v>24211</v>
      </c>
      <c r="F170" s="41">
        <v>45869</v>
      </c>
      <c r="G170" s="38">
        <v>60</v>
      </c>
      <c r="H170" s="40">
        <v>0</v>
      </c>
      <c r="I170" s="38">
        <v>6</v>
      </c>
      <c r="J170" s="41">
        <v>45930</v>
      </c>
      <c r="K170" s="40">
        <v>200376</v>
      </c>
      <c r="M170"/>
    </row>
    <row r="171" spans="1:13" x14ac:dyDescent="0.3">
      <c r="A171" s="37">
        <v>157180</v>
      </c>
      <c r="B171" s="38">
        <v>166</v>
      </c>
      <c r="C171" s="39" t="s">
        <v>18929</v>
      </c>
      <c r="D171" s="10" t="str">
        <f>VLOOKUP(C171,'Data Angt'!$A$5:$B$5809,2,FALSE)</f>
        <v>A5638</v>
      </c>
      <c r="E171" s="40" t="s">
        <v>24212</v>
      </c>
      <c r="F171" s="41">
        <v>45857</v>
      </c>
      <c r="G171" s="38">
        <v>60</v>
      </c>
      <c r="H171" s="40">
        <v>0</v>
      </c>
      <c r="I171" s="38">
        <v>6</v>
      </c>
      <c r="J171" s="41">
        <v>45919</v>
      </c>
      <c r="K171" s="40">
        <v>602002</v>
      </c>
      <c r="M171"/>
    </row>
    <row r="172" spans="1:13" x14ac:dyDescent="0.3">
      <c r="A172" s="37">
        <v>157863</v>
      </c>
      <c r="B172" s="38">
        <v>167</v>
      </c>
      <c r="C172" s="39" t="s">
        <v>19048</v>
      </c>
      <c r="D172" s="10" t="str">
        <f>VLOOKUP(C172,'Data Angt'!$A$5:$B$5809,2,FALSE)</f>
        <v>A5694</v>
      </c>
      <c r="E172" s="40" t="s">
        <v>24213</v>
      </c>
      <c r="F172" s="41">
        <v>45885</v>
      </c>
      <c r="G172" s="38">
        <v>60</v>
      </c>
      <c r="H172" s="40">
        <v>0</v>
      </c>
      <c r="I172" s="38">
        <v>6</v>
      </c>
      <c r="J172" s="41">
        <v>45919</v>
      </c>
      <c r="K172" s="40">
        <v>200250</v>
      </c>
      <c r="M172"/>
    </row>
    <row r="173" spans="1:13" x14ac:dyDescent="0.3">
      <c r="A173" s="37">
        <v>157958</v>
      </c>
      <c r="B173" s="38">
        <v>168</v>
      </c>
      <c r="C173" s="39" t="s">
        <v>19111</v>
      </c>
      <c r="D173" s="10" t="str">
        <f>VLOOKUP(C173,'Data Angt'!$A$5:$B$5809,2,FALSE)</f>
        <v>A5723</v>
      </c>
      <c r="E173" s="40" t="s">
        <v>24214</v>
      </c>
      <c r="F173" s="41">
        <v>45887</v>
      </c>
      <c r="G173" s="38">
        <v>60</v>
      </c>
      <c r="H173" s="40">
        <v>0</v>
      </c>
      <c r="I173" s="38">
        <v>6</v>
      </c>
      <c r="J173" s="41">
        <v>45924</v>
      </c>
      <c r="K173" s="40">
        <v>2002500</v>
      </c>
      <c r="M173"/>
    </row>
    <row r="174" spans="1:13" x14ac:dyDescent="0.3">
      <c r="A174" s="37">
        <v>51691</v>
      </c>
      <c r="B174" s="38">
        <v>1</v>
      </c>
      <c r="C174" s="39" t="s">
        <v>1423</v>
      </c>
      <c r="D174" s="10" t="str">
        <f>VLOOKUP(C174,'Data Angt'!$A$5:$B$5809,2,FALSE)</f>
        <v>A559</v>
      </c>
      <c r="E174" s="40" t="s">
        <v>11988</v>
      </c>
      <c r="F174" s="41">
        <v>42697</v>
      </c>
      <c r="G174" s="38">
        <v>84</v>
      </c>
      <c r="H174" s="40">
        <v>0</v>
      </c>
      <c r="I174" s="38">
        <v>7</v>
      </c>
      <c r="J174" s="41">
        <v>45862</v>
      </c>
      <c r="K174" s="40">
        <v>12385669</v>
      </c>
      <c r="M174"/>
    </row>
    <row r="175" spans="1:13" x14ac:dyDescent="0.3">
      <c r="A175" s="37">
        <v>51690</v>
      </c>
      <c r="B175" s="38">
        <v>2</v>
      </c>
      <c r="C175" s="39" t="s">
        <v>1423</v>
      </c>
      <c r="D175" s="10" t="str">
        <f>VLOOKUP(C175,'Data Angt'!$A$5:$B$5809,2,FALSE)</f>
        <v>A559</v>
      </c>
      <c r="E175" s="40" t="s">
        <v>11987</v>
      </c>
      <c r="F175" s="41">
        <v>42697</v>
      </c>
      <c r="G175" s="38">
        <v>84</v>
      </c>
      <c r="H175" s="40">
        <v>0</v>
      </c>
      <c r="I175" s="38">
        <v>7</v>
      </c>
      <c r="J175" s="41">
        <v>45862</v>
      </c>
      <c r="K175" s="40">
        <v>6192832</v>
      </c>
      <c r="M175"/>
    </row>
    <row r="176" spans="1:13" x14ac:dyDescent="0.3">
      <c r="A176" s="37">
        <v>51597</v>
      </c>
      <c r="B176" s="38">
        <v>3</v>
      </c>
      <c r="C176" s="39" t="s">
        <v>2479</v>
      </c>
      <c r="D176" s="10" t="str">
        <f>VLOOKUP(C176,'Data Angt'!$A$5:$B$5809,2,FALSE)</f>
        <v>A1032</v>
      </c>
      <c r="E176" s="40" t="s">
        <v>11983</v>
      </c>
      <c r="F176" s="41">
        <v>41477</v>
      </c>
      <c r="G176" s="38">
        <v>84</v>
      </c>
      <c r="H176" s="40">
        <v>0</v>
      </c>
      <c r="I176" s="38">
        <v>7</v>
      </c>
      <c r="J176" s="41">
        <v>44012</v>
      </c>
      <c r="K176" s="40">
        <v>1134749</v>
      </c>
      <c r="M176"/>
    </row>
    <row r="177" spans="1:13" x14ac:dyDescent="0.3">
      <c r="A177" s="37">
        <v>51596</v>
      </c>
      <c r="B177" s="38">
        <v>4</v>
      </c>
      <c r="C177" s="39" t="s">
        <v>12288</v>
      </c>
      <c r="D177" s="10" t="str">
        <f>VLOOKUP(C177,'Data Angt'!$A$5:$B$5809,2,FALSE)</f>
        <v>A1681</v>
      </c>
      <c r="E177" s="40" t="s">
        <v>11982</v>
      </c>
      <c r="F177" s="41">
        <v>41447</v>
      </c>
      <c r="G177" s="38">
        <v>84</v>
      </c>
      <c r="H177" s="40">
        <v>0</v>
      </c>
      <c r="I177" s="38">
        <v>7</v>
      </c>
      <c r="J177" s="41">
        <v>43982</v>
      </c>
      <c r="K177" s="40">
        <v>1073539</v>
      </c>
      <c r="M177"/>
    </row>
    <row r="178" spans="1:13" x14ac:dyDescent="0.3">
      <c r="A178" s="37">
        <v>51616</v>
      </c>
      <c r="B178" s="38">
        <v>5</v>
      </c>
      <c r="C178" s="39" t="s">
        <v>12298</v>
      </c>
      <c r="D178" s="10" t="str">
        <f>VLOOKUP(C178,'Data Angt'!$A$5:$B$5809,2,FALSE)</f>
        <v>A1767</v>
      </c>
      <c r="E178" s="40" t="s">
        <v>11984</v>
      </c>
      <c r="F178" s="41">
        <v>41596</v>
      </c>
      <c r="G178" s="38">
        <v>84</v>
      </c>
      <c r="H178" s="40">
        <v>0</v>
      </c>
      <c r="I178" s="38">
        <v>7</v>
      </c>
      <c r="J178" s="41">
        <v>44135</v>
      </c>
      <c r="K178" s="40">
        <v>3095113</v>
      </c>
      <c r="M178"/>
    </row>
    <row r="179" spans="1:13" x14ac:dyDescent="0.3">
      <c r="A179" s="37">
        <v>86928</v>
      </c>
      <c r="B179" s="38">
        <v>6</v>
      </c>
      <c r="C179" s="39" t="s">
        <v>4613</v>
      </c>
      <c r="D179" s="10" t="str">
        <f>VLOOKUP(C179,'Data Angt'!$A$5:$B$5809,2,FALSE)</f>
        <v>A2015</v>
      </c>
      <c r="E179" s="40" t="s">
        <v>11989</v>
      </c>
      <c r="F179" s="41">
        <v>43271</v>
      </c>
      <c r="G179" s="38">
        <v>84</v>
      </c>
      <c r="H179" s="40">
        <v>0</v>
      </c>
      <c r="I179" s="38">
        <v>7</v>
      </c>
      <c r="J179" s="41">
        <v>45808</v>
      </c>
      <c r="K179" s="40">
        <v>548743</v>
      </c>
      <c r="M179"/>
    </row>
    <row r="180" spans="1:13" x14ac:dyDescent="0.3">
      <c r="A180" s="37">
        <v>51649</v>
      </c>
      <c r="B180" s="38">
        <v>7</v>
      </c>
      <c r="C180" s="39" t="s">
        <v>12349</v>
      </c>
      <c r="D180" s="10" t="str">
        <f>VLOOKUP(C180,'Data Angt'!$A$5:$B$5809,2,FALSE)</f>
        <v>A2177</v>
      </c>
      <c r="E180" s="40" t="s">
        <v>11986</v>
      </c>
      <c r="F180" s="41">
        <v>42705</v>
      </c>
      <c r="G180" s="38">
        <v>84</v>
      </c>
      <c r="H180" s="40">
        <v>0</v>
      </c>
      <c r="I180" s="38">
        <v>7</v>
      </c>
      <c r="J180" s="41">
        <v>45901</v>
      </c>
      <c r="K180" s="40">
        <v>6460634</v>
      </c>
      <c r="M180"/>
    </row>
    <row r="181" spans="1:13" x14ac:dyDescent="0.3">
      <c r="A181" s="37">
        <v>51643</v>
      </c>
      <c r="B181" s="38">
        <v>8</v>
      </c>
      <c r="C181" s="39" t="s">
        <v>6571</v>
      </c>
      <c r="D181" s="10" t="str">
        <f>VLOOKUP(C181,'Data Angt'!$A$5:$B$5809,2,FALSE)</f>
        <v>A2919</v>
      </c>
      <c r="E181" s="40" t="s">
        <v>11985</v>
      </c>
      <c r="F181" s="41">
        <v>42702</v>
      </c>
      <c r="G181" s="38">
        <v>84</v>
      </c>
      <c r="H181" s="40">
        <v>0</v>
      </c>
      <c r="I181" s="38">
        <v>7</v>
      </c>
      <c r="J181" s="41">
        <v>45230</v>
      </c>
      <c r="K181" s="40">
        <v>3048035</v>
      </c>
      <c r="M181"/>
    </row>
    <row r="182" spans="1:13" x14ac:dyDescent="0.3">
      <c r="A182" s="37">
        <v>92563</v>
      </c>
      <c r="B182" s="38">
        <v>9</v>
      </c>
      <c r="C182" s="39" t="s">
        <v>6571</v>
      </c>
      <c r="D182" s="10" t="str">
        <f>VLOOKUP(C182,'Data Angt'!$A$5:$B$5809,2,FALSE)</f>
        <v>A2919</v>
      </c>
      <c r="E182" s="40" t="s">
        <v>11990</v>
      </c>
      <c r="F182" s="41">
        <v>43451</v>
      </c>
      <c r="G182" s="38">
        <v>84</v>
      </c>
      <c r="H182" s="40">
        <v>0</v>
      </c>
      <c r="I182" s="38">
        <v>7</v>
      </c>
      <c r="J182" s="41">
        <v>45917</v>
      </c>
      <c r="K182" s="40">
        <v>1421207</v>
      </c>
      <c r="M182"/>
    </row>
  </sheetData>
  <autoFilter ref="M4:P176" xr:uid="{B9F5A17F-A7CF-4C15-B418-3AF09E0137EE}"/>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1B29A-9A20-40DC-A0CF-BB9F6E0E812F}">
  <dimension ref="A1:P1870"/>
  <sheetViews>
    <sheetView topLeftCell="A5" zoomScaleNormal="100" workbookViewId="0">
      <selection activeCell="F29" sqref="F29"/>
    </sheetView>
  </sheetViews>
  <sheetFormatPr defaultColWidth="9.109375" defaultRowHeight="14.4" x14ac:dyDescent="0.3"/>
  <cols>
    <col min="1" max="1" width="5" style="5" bestFit="1" customWidth="1"/>
    <col min="2" max="2" width="18" style="5" bestFit="1" customWidth="1"/>
    <col min="3" max="3" width="9.33203125" style="5" customWidth="1"/>
    <col min="4" max="4" width="12.6640625" style="5" bestFit="1" customWidth="1"/>
    <col min="5" max="6" width="10.6640625" style="5" bestFit="1" customWidth="1"/>
    <col min="7" max="7" width="14" style="5" bestFit="1" customWidth="1"/>
    <col min="8" max="8" width="6.88671875" style="5" bestFit="1" customWidth="1"/>
    <col min="9" max="10" width="14.6640625" style="5" bestFit="1" customWidth="1"/>
    <col min="11" max="11" width="12" style="5" bestFit="1" customWidth="1"/>
    <col min="12" max="12" width="12" style="5" customWidth="1"/>
    <col min="13" max="13" width="9.109375" style="5"/>
    <col min="14" max="14" width="15.6640625" style="55" bestFit="1" customWidth="1"/>
    <col min="15" max="15" width="5.5546875" style="55" bestFit="1" customWidth="1"/>
    <col min="16" max="16" width="23.5546875" style="55" customWidth="1"/>
    <col min="17" max="16384" width="9.109375" style="55"/>
  </cols>
  <sheetData>
    <row r="1" spans="1:16" x14ac:dyDescent="0.3">
      <c r="A1" s="331" t="s">
        <v>9806</v>
      </c>
      <c r="B1" s="332"/>
      <c r="C1" s="332"/>
      <c r="D1" s="332"/>
      <c r="E1" s="332"/>
      <c r="F1" s="332"/>
      <c r="G1" s="332"/>
      <c r="H1" s="332"/>
      <c r="I1" s="332"/>
      <c r="J1" s="332"/>
    </row>
    <row r="2" spans="1:16" x14ac:dyDescent="0.3">
      <c r="A2" s="333" t="s">
        <v>22185</v>
      </c>
      <c r="B2" s="332"/>
      <c r="C2" s="332"/>
      <c r="D2" s="332"/>
      <c r="E2" s="332"/>
      <c r="F2" s="332"/>
      <c r="G2" s="332"/>
      <c r="H2" s="332"/>
      <c r="I2" s="332"/>
      <c r="J2" s="332"/>
    </row>
    <row r="3" spans="1:16" x14ac:dyDescent="0.3">
      <c r="A3" s="333" t="s">
        <v>9808</v>
      </c>
      <c r="B3" s="332"/>
      <c r="C3" s="332"/>
      <c r="D3" s="332"/>
      <c r="E3" s="332"/>
      <c r="F3" s="332"/>
      <c r="G3" s="332"/>
      <c r="H3" s="332"/>
      <c r="I3" s="332"/>
      <c r="J3" s="332"/>
    </row>
    <row r="4" spans="1:16" x14ac:dyDescent="0.3">
      <c r="A4" s="333" t="s">
        <v>9809</v>
      </c>
      <c r="B4" s="332"/>
      <c r="C4" s="332"/>
      <c r="D4" s="332"/>
      <c r="E4" s="332"/>
      <c r="F4" s="332"/>
      <c r="G4" s="332"/>
      <c r="H4" s="332"/>
      <c r="I4" s="332"/>
      <c r="J4" s="332"/>
    </row>
    <row r="5" spans="1:16" ht="15" thickBot="1" x14ac:dyDescent="0.35">
      <c r="A5" s="144"/>
      <c r="M5" s="177"/>
    </row>
    <row r="6" spans="1:16" x14ac:dyDescent="0.3">
      <c r="A6" s="346" t="s">
        <v>9810</v>
      </c>
      <c r="B6" s="336" t="s">
        <v>9811</v>
      </c>
      <c r="C6" s="334" t="s">
        <v>2</v>
      </c>
      <c r="D6" s="334" t="s">
        <v>9813</v>
      </c>
      <c r="E6" s="336" t="s">
        <v>9814</v>
      </c>
      <c r="F6" s="6" t="s">
        <v>9815</v>
      </c>
      <c r="G6" s="336" t="s">
        <v>9816</v>
      </c>
      <c r="H6" s="6" t="s">
        <v>9817</v>
      </c>
      <c r="I6" s="336" t="s">
        <v>9818</v>
      </c>
      <c r="J6" s="336" t="s">
        <v>9823</v>
      </c>
      <c r="K6" s="96">
        <v>45930</v>
      </c>
      <c r="L6" s="96" t="s">
        <v>9822</v>
      </c>
    </row>
    <row r="7" spans="1:16" x14ac:dyDescent="0.3">
      <c r="A7" s="347"/>
      <c r="B7" s="337"/>
      <c r="C7" s="335"/>
      <c r="D7" s="335"/>
      <c r="E7" s="337"/>
      <c r="F7" s="7" t="s">
        <v>9824</v>
      </c>
      <c r="G7" s="337"/>
      <c r="H7" s="7" t="s">
        <v>9825</v>
      </c>
      <c r="I7" s="337"/>
      <c r="J7" s="337"/>
      <c r="K7" s="97" t="s">
        <v>12062</v>
      </c>
      <c r="L7" s="178"/>
      <c r="M7" s="5" t="s">
        <v>3</v>
      </c>
      <c r="N7" s="57" t="s">
        <v>10747</v>
      </c>
      <c r="O7" s="55" t="s">
        <v>9786</v>
      </c>
      <c r="P7" s="55" t="s">
        <v>9792</v>
      </c>
    </row>
    <row r="8" spans="1:16" x14ac:dyDescent="0.3">
      <c r="A8" s="8">
        <v>1</v>
      </c>
      <c r="B8" s="9" t="s">
        <v>26</v>
      </c>
      <c r="C8" s="10" t="str">
        <f>VLOOKUP(B8,'Data Angt'!$A$5:$B$5809,2,FALSE)</f>
        <v>A5</v>
      </c>
      <c r="D8" s="12" t="s">
        <v>15335</v>
      </c>
      <c r="E8" s="13">
        <v>45638</v>
      </c>
      <c r="F8" s="14">
        <v>45910</v>
      </c>
      <c r="G8" s="15">
        <v>20000000</v>
      </c>
      <c r="H8" s="16">
        <v>10</v>
      </c>
      <c r="I8" s="17">
        <v>24</v>
      </c>
      <c r="J8" s="15">
        <v>2182600</v>
      </c>
      <c r="K8" s="98">
        <f>DATEDIF(F8,$K$6,"m")</f>
        <v>0</v>
      </c>
      <c r="L8" s="98" t="str">
        <f>IF(K8&lt;=3,"Lancar",IF(K8&lt;=6,"Kurang lancar",IF(K8&lt;=12,"Diragukan","Macet")))</f>
        <v>Lancar</v>
      </c>
      <c r="M8" s="5" t="str">
        <f>MID(B8,7,3)</f>
        <v>001</v>
      </c>
      <c r="N8" s="55" t="str">
        <f>VLOOKUP(D8,Pinjaman!$E$7:$N$1900,10,FALSE)</f>
        <v>PRODUKTIF</v>
      </c>
      <c r="O8" s="55">
        <f>VLOOKUP(B8,'Data Angt'!$A$5:$H$5810,6,FALSE)</f>
        <v>58</v>
      </c>
      <c r="P8" s="55" t="str">
        <f>VLOOKUP(B8,'Data Angt'!$A$5:$H$5810,8,FALSE)</f>
        <v>Lain-Lain</v>
      </c>
    </row>
    <row r="9" spans="1:16" x14ac:dyDescent="0.3">
      <c r="A9" s="8">
        <v>2</v>
      </c>
      <c r="B9" s="9" t="s">
        <v>29</v>
      </c>
      <c r="C9" s="10" t="str">
        <f>VLOOKUP(B9,'Data Angt'!$A$5:$B$5809,2,FALSE)</f>
        <v>A6</v>
      </c>
      <c r="D9" s="12" t="s">
        <v>15338</v>
      </c>
      <c r="E9" s="13">
        <v>45594</v>
      </c>
      <c r="F9" s="14">
        <v>45909</v>
      </c>
      <c r="G9" s="15">
        <v>6000000</v>
      </c>
      <c r="H9" s="16">
        <v>18</v>
      </c>
      <c r="I9" s="17">
        <v>24</v>
      </c>
      <c r="J9" s="15">
        <v>2332600</v>
      </c>
      <c r="K9" s="98">
        <f t="shared" ref="K9:K72" si="0">DATEDIF(F9,$K$6,"m")</f>
        <v>0</v>
      </c>
      <c r="L9" s="98" t="str">
        <f t="shared" ref="L9:L72" si="1">IF(K9&lt;=3,"Lancar",IF(K9&lt;=6,"Kurang lancar",IF(K9&lt;=12,"Diragukan","Macet")))</f>
        <v>Lancar</v>
      </c>
      <c r="M9" s="5" t="str">
        <f t="shared" ref="M9:M72" si="2">MID(B9,7,3)</f>
        <v>001</v>
      </c>
      <c r="N9" s="55" t="str">
        <f>VLOOKUP(D9,Pinjaman!$E$7:$N$1900,10,FALSE)</f>
        <v>KONSUMTIF</v>
      </c>
      <c r="O9" s="55">
        <f>VLOOKUP(B9,'Data Angt'!$A$5:$H$5810,6,FALSE)</f>
        <v>58</v>
      </c>
      <c r="P9" s="55" t="str">
        <f>VLOOKUP(B9,'Data Angt'!$A$5:$H$5810,8,FALSE)</f>
        <v>Mengurus Rumah Tangga</v>
      </c>
    </row>
    <row r="10" spans="1:16" x14ac:dyDescent="0.3">
      <c r="A10" s="8">
        <v>3</v>
      </c>
      <c r="B10" s="9" t="s">
        <v>38</v>
      </c>
      <c r="C10" s="10" t="str">
        <f>VLOOKUP(B10,'Data Angt'!$A$5:$B$5809,2,FALSE)</f>
        <v>A9</v>
      </c>
      <c r="D10" s="12" t="s">
        <v>15341</v>
      </c>
      <c r="E10" s="13">
        <v>45681</v>
      </c>
      <c r="F10" s="14">
        <v>45920</v>
      </c>
      <c r="G10" s="15">
        <v>11000000</v>
      </c>
      <c r="H10" s="16">
        <v>12</v>
      </c>
      <c r="I10" s="17">
        <v>11.88</v>
      </c>
      <c r="J10" s="15">
        <v>3811800</v>
      </c>
      <c r="K10" s="98">
        <f t="shared" si="0"/>
        <v>0</v>
      </c>
      <c r="L10" s="98" t="str">
        <f t="shared" si="1"/>
        <v>Lancar</v>
      </c>
      <c r="M10" s="5" t="str">
        <f t="shared" si="2"/>
        <v>001</v>
      </c>
      <c r="N10" s="55" t="str">
        <f>VLOOKUP(D10,Pinjaman!$E$7:$N$1900,10,FALSE)</f>
        <v>KESEJAHTERAAN</v>
      </c>
      <c r="O10" s="55">
        <f>VLOOKUP(B10,'Data Angt'!$A$5:$H$5810,6,FALSE)</f>
        <v>60</v>
      </c>
      <c r="P10" s="55" t="str">
        <f>VLOOKUP(B10,'Data Angt'!$A$5:$H$5810,8,FALSE)</f>
        <v>Pensiunan</v>
      </c>
    </row>
    <row r="11" spans="1:16" x14ac:dyDescent="0.3">
      <c r="A11" s="8">
        <v>4</v>
      </c>
      <c r="B11" s="9" t="s">
        <v>49</v>
      </c>
      <c r="C11" s="10" t="str">
        <f>VLOOKUP(B11,'Data Angt'!$A$5:$B$5809,2,FALSE)</f>
        <v>A13</v>
      </c>
      <c r="D11" s="12" t="s">
        <v>15344</v>
      </c>
      <c r="E11" s="13">
        <v>45370</v>
      </c>
      <c r="F11" s="14">
        <v>45919</v>
      </c>
      <c r="G11" s="15">
        <v>11000000</v>
      </c>
      <c r="H11" s="16">
        <v>24</v>
      </c>
      <c r="I11" s="17">
        <v>11.64</v>
      </c>
      <c r="J11" s="15">
        <v>2993400</v>
      </c>
      <c r="K11" s="98">
        <f t="shared" si="0"/>
        <v>0</v>
      </c>
      <c r="L11" s="98" t="str">
        <f t="shared" si="1"/>
        <v>Lancar</v>
      </c>
      <c r="M11" s="5" t="str">
        <f t="shared" si="2"/>
        <v>001</v>
      </c>
      <c r="N11" s="55" t="str">
        <f>VLOOKUP(D11,Pinjaman!$E$7:$N$1900,10,FALSE)</f>
        <v>PRODUKTIF</v>
      </c>
      <c r="O11" s="55">
        <f>VLOOKUP(B11,'Data Angt'!$A$5:$H$5810,6,FALSE)</f>
        <v>62</v>
      </c>
      <c r="P11" s="55" t="str">
        <f>VLOOKUP(B11,'Data Angt'!$A$5:$H$5810,8,FALSE)</f>
        <v>Wiraswasta</v>
      </c>
    </row>
    <row r="12" spans="1:16" x14ac:dyDescent="0.3">
      <c r="A12" s="8">
        <v>5</v>
      </c>
      <c r="B12" s="9" t="s">
        <v>49</v>
      </c>
      <c r="C12" s="10" t="str">
        <f>VLOOKUP(B12,'Data Angt'!$A$5:$B$5809,2,FALSE)</f>
        <v>A13</v>
      </c>
      <c r="D12" s="12" t="s">
        <v>15347</v>
      </c>
      <c r="E12" s="13">
        <v>45511</v>
      </c>
      <c r="F12" s="14">
        <v>45908</v>
      </c>
      <c r="G12" s="15">
        <v>40000000</v>
      </c>
      <c r="H12" s="16">
        <v>24</v>
      </c>
      <c r="I12" s="17">
        <v>21</v>
      </c>
      <c r="J12" s="15">
        <v>20404600</v>
      </c>
      <c r="K12" s="98">
        <f t="shared" si="0"/>
        <v>0</v>
      </c>
      <c r="L12" s="98" t="str">
        <f t="shared" si="1"/>
        <v>Lancar</v>
      </c>
      <c r="M12" s="5" t="str">
        <f t="shared" si="2"/>
        <v>001</v>
      </c>
      <c r="N12" s="55" t="str">
        <f>VLOOKUP(D12,Pinjaman!$E$7:$N$1900,10,FALSE)</f>
        <v>KONSUMTIF</v>
      </c>
      <c r="O12" s="55">
        <f>VLOOKUP(B12,'Data Angt'!$A$5:$H$5810,6,FALSE)</f>
        <v>62</v>
      </c>
      <c r="P12" s="55" t="str">
        <f>VLOOKUP(B12,'Data Angt'!$A$5:$H$5810,8,FALSE)</f>
        <v>Wiraswasta</v>
      </c>
    </row>
    <row r="13" spans="1:16" x14ac:dyDescent="0.3">
      <c r="A13" s="8">
        <v>6</v>
      </c>
      <c r="B13" s="9" t="s">
        <v>55</v>
      </c>
      <c r="C13" s="10" t="str">
        <f>VLOOKUP(B13,'Data Angt'!$A$5:$B$5809,2,FALSE)</f>
        <v>A15</v>
      </c>
      <c r="D13" s="12" t="s">
        <v>15350</v>
      </c>
      <c r="E13" s="13">
        <v>45355</v>
      </c>
      <c r="F13" s="14">
        <v>45904</v>
      </c>
      <c r="G13" s="15">
        <v>50000000</v>
      </c>
      <c r="H13" s="16">
        <v>60</v>
      </c>
      <c r="I13" s="17">
        <v>21</v>
      </c>
      <c r="J13" s="15">
        <v>39995600</v>
      </c>
      <c r="K13" s="98">
        <f t="shared" si="0"/>
        <v>0</v>
      </c>
      <c r="L13" s="98" t="str">
        <f t="shared" si="1"/>
        <v>Lancar</v>
      </c>
      <c r="M13" s="5" t="str">
        <f t="shared" si="2"/>
        <v>001</v>
      </c>
      <c r="N13" s="55" t="str">
        <f>VLOOKUP(D13,Pinjaman!$E$7:$N$1900,10,FALSE)</f>
        <v>PRODUKTIF</v>
      </c>
      <c r="O13" s="55">
        <f>VLOOKUP(B13,'Data Angt'!$A$5:$H$5810,6,FALSE)</f>
        <v>55</v>
      </c>
      <c r="P13" s="55" t="str">
        <f>VLOOKUP(B13,'Data Angt'!$A$5:$H$5810,8,FALSE)</f>
        <v>Tenaga Pengajar</v>
      </c>
    </row>
    <row r="14" spans="1:16" x14ac:dyDescent="0.3">
      <c r="A14" s="8">
        <v>7</v>
      </c>
      <c r="B14" s="9" t="s">
        <v>57</v>
      </c>
      <c r="C14" s="10" t="str">
        <f>VLOOKUP(B14,'Data Angt'!$A$5:$B$5809,2,FALSE)</f>
        <v>A16</v>
      </c>
      <c r="D14" s="12" t="s">
        <v>15353</v>
      </c>
      <c r="E14" s="13">
        <v>45365</v>
      </c>
      <c r="F14" s="14">
        <v>45916</v>
      </c>
      <c r="G14" s="15">
        <v>14000000</v>
      </c>
      <c r="H14" s="16">
        <v>24</v>
      </c>
      <c r="I14" s="17">
        <v>11.64</v>
      </c>
      <c r="J14" s="15">
        <v>3810200</v>
      </c>
      <c r="K14" s="98">
        <f t="shared" si="0"/>
        <v>0</v>
      </c>
      <c r="L14" s="98" t="str">
        <f t="shared" si="1"/>
        <v>Lancar</v>
      </c>
      <c r="M14" s="5" t="str">
        <f t="shared" si="2"/>
        <v>001</v>
      </c>
      <c r="N14" s="55" t="str">
        <f>VLOOKUP(D14,Pinjaman!$E$7:$N$1900,10,FALSE)</f>
        <v>KESEJAHTERAAN</v>
      </c>
      <c r="O14" s="55">
        <f>VLOOKUP(B14,'Data Angt'!$A$5:$H$5810,6,FALSE)</f>
        <v>55</v>
      </c>
      <c r="P14" s="55" t="str">
        <f>VLOOKUP(B14,'Data Angt'!$A$5:$H$5810,8,FALSE)</f>
        <v>Tenaga Pengajar</v>
      </c>
    </row>
    <row r="15" spans="1:16" x14ac:dyDescent="0.3">
      <c r="A15" s="8">
        <v>8</v>
      </c>
      <c r="B15" s="9" t="s">
        <v>75</v>
      </c>
      <c r="C15" s="10" t="str">
        <f>VLOOKUP(B15,'Data Angt'!$A$5:$B$5809,2,FALSE)</f>
        <v>A23</v>
      </c>
      <c r="D15" s="12" t="s">
        <v>22195</v>
      </c>
      <c r="E15" s="13">
        <v>45919</v>
      </c>
      <c r="F15" s="14">
        <v>45919</v>
      </c>
      <c r="G15" s="15">
        <v>5000000</v>
      </c>
      <c r="H15" s="16">
        <v>10</v>
      </c>
      <c r="I15" s="17">
        <v>24</v>
      </c>
      <c r="J15" s="15">
        <v>5000000</v>
      </c>
      <c r="K15" s="98">
        <f t="shared" si="0"/>
        <v>0</v>
      </c>
      <c r="L15" s="98" t="str">
        <f t="shared" si="1"/>
        <v>Lancar</v>
      </c>
      <c r="M15" s="5" t="str">
        <f t="shared" si="2"/>
        <v>001</v>
      </c>
      <c r="N15" s="55" t="str">
        <f>VLOOKUP(D15,Pinjaman!$E$7:$N$1900,10,FALSE)</f>
        <v>PENDIDIKAN</v>
      </c>
      <c r="O15" s="55">
        <f>VLOOKUP(B15,'Data Angt'!$A$5:$H$5810,6,FALSE)</f>
        <v>53</v>
      </c>
      <c r="P15" s="55" t="str">
        <f>VLOOKUP(B15,'Data Angt'!$A$5:$H$5810,8,FALSE)</f>
        <v>Tenaga Pengajar</v>
      </c>
    </row>
    <row r="16" spans="1:16" x14ac:dyDescent="0.3">
      <c r="A16" s="8">
        <v>9</v>
      </c>
      <c r="B16" s="9" t="s">
        <v>75</v>
      </c>
      <c r="C16" s="10" t="str">
        <f>VLOOKUP(B16,'Data Angt'!$A$5:$B$5809,2,FALSE)</f>
        <v>A23</v>
      </c>
      <c r="D16" s="12" t="s">
        <v>9836</v>
      </c>
      <c r="E16" s="13">
        <v>45226</v>
      </c>
      <c r="F16" s="14">
        <v>45920</v>
      </c>
      <c r="G16" s="15">
        <v>48000000</v>
      </c>
      <c r="H16" s="16">
        <v>48</v>
      </c>
      <c r="I16" s="17">
        <v>21</v>
      </c>
      <c r="J16" s="15">
        <v>29888700</v>
      </c>
      <c r="K16" s="98">
        <f t="shared" si="0"/>
        <v>0</v>
      </c>
      <c r="L16" s="98" t="str">
        <f t="shared" si="1"/>
        <v>Lancar</v>
      </c>
      <c r="M16" s="5" t="str">
        <f t="shared" si="2"/>
        <v>001</v>
      </c>
      <c r="N16" s="55" t="str">
        <f>VLOOKUP(D16,Pinjaman!$E$7:$N$1900,10,FALSE)</f>
        <v>KESEJAHTERAAN</v>
      </c>
      <c r="O16" s="55">
        <f>VLOOKUP(B16,'Data Angt'!$A$5:$H$5810,6,FALSE)</f>
        <v>53</v>
      </c>
      <c r="P16" s="55" t="str">
        <f>VLOOKUP(B16,'Data Angt'!$A$5:$H$5810,8,FALSE)</f>
        <v>Tenaga Pengajar</v>
      </c>
    </row>
    <row r="17" spans="1:16" x14ac:dyDescent="0.3">
      <c r="A17" s="8">
        <v>10</v>
      </c>
      <c r="B17" s="9" t="s">
        <v>104</v>
      </c>
      <c r="C17" s="10" t="str">
        <f>VLOOKUP(B17,'Data Angt'!$A$5:$B$5809,2,FALSE)</f>
        <v>A33</v>
      </c>
      <c r="D17" s="12" t="s">
        <v>15356</v>
      </c>
      <c r="E17" s="13">
        <v>45721</v>
      </c>
      <c r="F17" s="14">
        <v>45903</v>
      </c>
      <c r="G17" s="15">
        <v>5000000</v>
      </c>
      <c r="H17" s="16">
        <v>12</v>
      </c>
      <c r="I17" s="17">
        <v>11.88</v>
      </c>
      <c r="J17" s="15">
        <v>2573800</v>
      </c>
      <c r="K17" s="98">
        <f t="shared" si="0"/>
        <v>0</v>
      </c>
      <c r="L17" s="98" t="str">
        <f t="shared" si="1"/>
        <v>Lancar</v>
      </c>
      <c r="M17" s="5" t="str">
        <f t="shared" si="2"/>
        <v>001</v>
      </c>
      <c r="N17" s="55" t="str">
        <f>VLOOKUP(D17,Pinjaman!$E$7:$N$1900,10,FALSE)</f>
        <v>PENDIDIKAN</v>
      </c>
      <c r="O17" s="55">
        <f>VLOOKUP(B17,'Data Angt'!$A$5:$H$5810,6,FALSE)</f>
        <v>54</v>
      </c>
      <c r="P17" s="55" t="str">
        <f>VLOOKUP(B17,'Data Angt'!$A$5:$H$5810,8,FALSE)</f>
        <v>Tenaga Pengajar</v>
      </c>
    </row>
    <row r="18" spans="1:16" x14ac:dyDescent="0.3">
      <c r="A18" s="8">
        <v>11</v>
      </c>
      <c r="B18" s="9" t="s">
        <v>107</v>
      </c>
      <c r="C18" s="10" t="str">
        <f>VLOOKUP(B18,'Data Angt'!$A$5:$B$5809,2,FALSE)</f>
        <v>A34</v>
      </c>
      <c r="D18" s="12" t="s">
        <v>15358</v>
      </c>
      <c r="E18" s="13">
        <v>45568</v>
      </c>
      <c r="F18" s="14">
        <v>45902</v>
      </c>
      <c r="G18" s="15">
        <v>20000000</v>
      </c>
      <c r="H18" s="16">
        <v>25</v>
      </c>
      <c r="I18" s="17">
        <v>24</v>
      </c>
      <c r="J18" s="15">
        <v>11200000</v>
      </c>
      <c r="K18" s="98">
        <f t="shared" si="0"/>
        <v>0</v>
      </c>
      <c r="L18" s="98" t="str">
        <f t="shared" si="1"/>
        <v>Lancar</v>
      </c>
      <c r="M18" s="5" t="str">
        <f t="shared" si="2"/>
        <v>001</v>
      </c>
      <c r="N18" s="55" t="str">
        <f>VLOOKUP(D18,Pinjaman!$E$7:$N$1900,10,FALSE)</f>
        <v>KONSUMTIF</v>
      </c>
      <c r="O18" s="55">
        <f>VLOOKUP(B18,'Data Angt'!$A$5:$H$5810,6,FALSE)</f>
        <v>62</v>
      </c>
      <c r="P18" s="55" t="str">
        <f>VLOOKUP(B18,'Data Angt'!$A$5:$H$5810,8,FALSE)</f>
        <v>Karyawan</v>
      </c>
    </row>
    <row r="19" spans="1:16" x14ac:dyDescent="0.3">
      <c r="A19" s="8">
        <v>12</v>
      </c>
      <c r="B19" s="9" t="s">
        <v>121</v>
      </c>
      <c r="C19" s="10" t="str">
        <f>VLOOKUP(B19,'Data Angt'!$A$5:$B$5809,2,FALSE)</f>
        <v>A39</v>
      </c>
      <c r="D19" s="12" t="s">
        <v>9844</v>
      </c>
      <c r="E19" s="13">
        <v>40897</v>
      </c>
      <c r="F19" s="14">
        <v>45902</v>
      </c>
      <c r="G19" s="15">
        <v>70000000</v>
      </c>
      <c r="H19" s="16">
        <v>180</v>
      </c>
      <c r="I19" s="17">
        <v>14.5</v>
      </c>
      <c r="J19" s="15">
        <v>12006650</v>
      </c>
      <c r="K19" s="98">
        <f t="shared" si="0"/>
        <v>0</v>
      </c>
      <c r="L19" s="98" t="str">
        <f t="shared" si="1"/>
        <v>Lancar</v>
      </c>
      <c r="M19" s="5" t="str">
        <f t="shared" si="2"/>
        <v>001</v>
      </c>
      <c r="N19" s="55">
        <f>VLOOKUP(D19,Pinjaman!$E$7:$N$1900,10,FALSE)</f>
        <v>0</v>
      </c>
      <c r="O19" s="55">
        <f>VLOOKUP(B19,'Data Angt'!$A$5:$H$5810,6,FALSE)</f>
        <v>49</v>
      </c>
      <c r="P19" s="55" t="str">
        <f>VLOOKUP(B19,'Data Angt'!$A$5:$H$5810,8,FALSE)</f>
        <v>Karyawan</v>
      </c>
    </row>
    <row r="20" spans="1:16" x14ac:dyDescent="0.3">
      <c r="A20" s="8">
        <v>13</v>
      </c>
      <c r="B20" s="9" t="s">
        <v>127</v>
      </c>
      <c r="C20" s="10" t="str">
        <f>VLOOKUP(B20,'Data Angt'!$A$5:$B$5809,2,FALSE)</f>
        <v>A41</v>
      </c>
      <c r="D20" s="12" t="s">
        <v>9848</v>
      </c>
      <c r="E20" s="13">
        <v>42940</v>
      </c>
      <c r="F20" s="14">
        <v>45920</v>
      </c>
      <c r="G20" s="15">
        <v>150000000</v>
      </c>
      <c r="H20" s="16">
        <v>120</v>
      </c>
      <c r="I20" s="17">
        <v>11.4</v>
      </c>
      <c r="J20" s="15">
        <v>41522800</v>
      </c>
      <c r="K20" s="98">
        <f t="shared" si="0"/>
        <v>0</v>
      </c>
      <c r="L20" s="98" t="str">
        <f t="shared" si="1"/>
        <v>Lancar</v>
      </c>
      <c r="M20" s="5" t="str">
        <f t="shared" si="2"/>
        <v>001</v>
      </c>
      <c r="N20" s="55">
        <f>VLOOKUP(D20,Pinjaman!$E$7:$N$1900,10,FALSE)</f>
        <v>0</v>
      </c>
      <c r="O20" s="55">
        <f>VLOOKUP(B20,'Data Angt'!$A$5:$H$5810,6,FALSE)</f>
        <v>56</v>
      </c>
      <c r="P20" s="55" t="str">
        <f>VLOOKUP(B20,'Data Angt'!$A$5:$H$5810,8,FALSE)</f>
        <v>Tenaga Pengajar</v>
      </c>
    </row>
    <row r="21" spans="1:16" x14ac:dyDescent="0.3">
      <c r="A21" s="8">
        <v>14</v>
      </c>
      <c r="B21" s="9" t="s">
        <v>137</v>
      </c>
      <c r="C21" s="10" t="str">
        <f>VLOOKUP(B21,'Data Angt'!$A$5:$B$5809,2,FALSE)</f>
        <v>A44</v>
      </c>
      <c r="D21" s="12" t="s">
        <v>9850</v>
      </c>
      <c r="E21" s="13">
        <v>44597</v>
      </c>
      <c r="F21" s="14">
        <v>45910</v>
      </c>
      <c r="G21" s="15">
        <v>145000000</v>
      </c>
      <c r="H21" s="16">
        <v>60</v>
      </c>
      <c r="I21" s="17">
        <v>21</v>
      </c>
      <c r="J21" s="15">
        <v>134668400</v>
      </c>
      <c r="K21" s="98">
        <f t="shared" si="0"/>
        <v>0</v>
      </c>
      <c r="L21" s="98" t="str">
        <f t="shared" si="1"/>
        <v>Lancar</v>
      </c>
      <c r="M21" s="5" t="str">
        <f t="shared" si="2"/>
        <v>001</v>
      </c>
      <c r="N21" s="55">
        <f>VLOOKUP(D21,Pinjaman!$E$7:$N$1900,10,FALSE)</f>
        <v>0</v>
      </c>
      <c r="O21" s="55">
        <f>VLOOKUP(B21,'Data Angt'!$A$5:$H$5810,6,FALSE)</f>
        <v>67</v>
      </c>
      <c r="P21" s="55" t="str">
        <f>VLOOKUP(B21,'Data Angt'!$A$5:$H$5810,8,FALSE)</f>
        <v>Wiraswasta</v>
      </c>
    </row>
    <row r="22" spans="1:16" x14ac:dyDescent="0.3">
      <c r="A22" s="8">
        <v>15</v>
      </c>
      <c r="B22" s="9" t="s">
        <v>137</v>
      </c>
      <c r="C22" s="10" t="str">
        <f>VLOOKUP(B22,'Data Angt'!$A$5:$B$5809,2,FALSE)</f>
        <v>A44</v>
      </c>
      <c r="D22" s="12" t="s">
        <v>15360</v>
      </c>
      <c r="E22" s="13">
        <v>45797</v>
      </c>
      <c r="F22" s="14">
        <v>45920</v>
      </c>
      <c r="G22" s="15">
        <v>5000000</v>
      </c>
      <c r="H22" s="16">
        <v>12</v>
      </c>
      <c r="I22" s="17">
        <v>24</v>
      </c>
      <c r="J22" s="15">
        <v>3333200</v>
      </c>
      <c r="K22" s="98">
        <f t="shared" si="0"/>
        <v>0</v>
      </c>
      <c r="L22" s="98" t="str">
        <f t="shared" si="1"/>
        <v>Lancar</v>
      </c>
      <c r="M22" s="5" t="str">
        <f t="shared" si="2"/>
        <v>001</v>
      </c>
      <c r="N22" s="55" t="str">
        <f>VLOOKUP(D22,Pinjaman!$E$7:$N$1900,10,FALSE)</f>
        <v>PRODUKTIF</v>
      </c>
      <c r="O22" s="55">
        <f>VLOOKUP(B22,'Data Angt'!$A$5:$H$5810,6,FALSE)</f>
        <v>67</v>
      </c>
      <c r="P22" s="55" t="str">
        <f>VLOOKUP(B22,'Data Angt'!$A$5:$H$5810,8,FALSE)</f>
        <v>Wiraswasta</v>
      </c>
    </row>
    <row r="23" spans="1:16" x14ac:dyDescent="0.3">
      <c r="A23" s="8">
        <v>16</v>
      </c>
      <c r="B23" s="9" t="s">
        <v>141</v>
      </c>
      <c r="C23" s="10" t="str">
        <f>VLOOKUP(B23,'Data Angt'!$A$5:$B$5809,2,FALSE)</f>
        <v>A45</v>
      </c>
      <c r="D23" s="12" t="s">
        <v>15362</v>
      </c>
      <c r="E23" s="13">
        <v>45738</v>
      </c>
      <c r="F23" s="14">
        <v>45902</v>
      </c>
      <c r="G23" s="15">
        <v>8000000</v>
      </c>
      <c r="H23" s="16">
        <v>12</v>
      </c>
      <c r="I23" s="17">
        <v>11.9</v>
      </c>
      <c r="J23" s="15">
        <v>4118200</v>
      </c>
      <c r="K23" s="98">
        <f t="shared" si="0"/>
        <v>0</v>
      </c>
      <c r="L23" s="98" t="str">
        <f t="shared" si="1"/>
        <v>Lancar</v>
      </c>
      <c r="M23" s="5" t="str">
        <f t="shared" si="2"/>
        <v>001</v>
      </c>
      <c r="N23" s="55" t="str">
        <f>VLOOKUP(D23,Pinjaman!$E$7:$N$1900,10,FALSE)</f>
        <v>KONSUMTIF</v>
      </c>
      <c r="O23" s="55">
        <f>VLOOKUP(B23,'Data Angt'!$A$5:$H$5810,6,FALSE)</f>
        <v>54</v>
      </c>
      <c r="P23" s="55" t="str">
        <f>VLOOKUP(B23,'Data Angt'!$A$5:$H$5810,8,FALSE)</f>
        <v>Tenaga Pengajar</v>
      </c>
    </row>
    <row r="24" spans="1:16" x14ac:dyDescent="0.3">
      <c r="A24" s="8">
        <v>17</v>
      </c>
      <c r="B24" s="9" t="s">
        <v>145</v>
      </c>
      <c r="C24" s="10" t="str">
        <f>VLOOKUP(B24,'Data Angt'!$A$5:$B$5809,2,FALSE)</f>
        <v>A47</v>
      </c>
      <c r="D24" s="12" t="s">
        <v>9852</v>
      </c>
      <c r="E24" s="13">
        <v>43916</v>
      </c>
      <c r="F24" s="14">
        <v>45832</v>
      </c>
      <c r="G24" s="15">
        <v>80000000</v>
      </c>
      <c r="H24" s="16">
        <v>60</v>
      </c>
      <c r="I24" s="17">
        <v>21</v>
      </c>
      <c r="J24" s="15">
        <v>60823200</v>
      </c>
      <c r="K24" s="98">
        <f t="shared" si="0"/>
        <v>3</v>
      </c>
      <c r="L24" s="98" t="str">
        <f t="shared" si="1"/>
        <v>Lancar</v>
      </c>
      <c r="M24" s="5" t="str">
        <f t="shared" si="2"/>
        <v>001</v>
      </c>
      <c r="N24" s="55" t="str">
        <f>VLOOKUP(D24,Pinjaman!$E$7:$N$1900,10,FALSE)</f>
        <v>KONSUMTIF</v>
      </c>
      <c r="O24" s="55">
        <f>VLOOKUP(B24,'Data Angt'!$A$5:$H$5810,6,FALSE)</f>
        <v>65</v>
      </c>
      <c r="P24" s="55" t="str">
        <f>VLOOKUP(B24,'Data Angt'!$A$5:$H$5810,8,FALSE)</f>
        <v>Pensiunan</v>
      </c>
    </row>
    <row r="25" spans="1:16" x14ac:dyDescent="0.3">
      <c r="A25" s="8">
        <v>18</v>
      </c>
      <c r="B25" s="9" t="s">
        <v>160</v>
      </c>
      <c r="C25" s="10" t="str">
        <f>VLOOKUP(B25,'Data Angt'!$A$5:$B$5809,2,FALSE)</f>
        <v>A52</v>
      </c>
      <c r="D25" s="12" t="s">
        <v>15364</v>
      </c>
      <c r="E25" s="13">
        <v>45334</v>
      </c>
      <c r="F25" s="14">
        <v>45912</v>
      </c>
      <c r="G25" s="15">
        <v>15000000</v>
      </c>
      <c r="H25" s="16">
        <v>20</v>
      </c>
      <c r="I25" s="17">
        <v>24</v>
      </c>
      <c r="J25" s="15">
        <v>899600</v>
      </c>
      <c r="K25" s="98">
        <f t="shared" si="0"/>
        <v>0</v>
      </c>
      <c r="L25" s="98" t="str">
        <f t="shared" si="1"/>
        <v>Lancar</v>
      </c>
      <c r="M25" s="5" t="str">
        <f t="shared" si="2"/>
        <v>001</v>
      </c>
      <c r="N25" s="55" t="str">
        <f>VLOOKUP(D25,Pinjaman!$E$7:$N$1900,10,FALSE)</f>
        <v>KESEJAHTERAAN</v>
      </c>
      <c r="O25" s="55">
        <f>VLOOKUP(B25,'Data Angt'!$A$5:$H$5810,6,FALSE)</f>
        <v>64</v>
      </c>
      <c r="P25" s="55" t="str">
        <f>VLOOKUP(B25,'Data Angt'!$A$5:$H$5810,8,FALSE)</f>
        <v>Lain-Lain</v>
      </c>
    </row>
    <row r="26" spans="1:16" x14ac:dyDescent="0.3">
      <c r="A26" s="8">
        <v>19</v>
      </c>
      <c r="B26" s="9" t="s">
        <v>167</v>
      </c>
      <c r="C26" s="10" t="str">
        <f>VLOOKUP(B26,'Data Angt'!$A$5:$B$5809,2,FALSE)</f>
        <v>A54</v>
      </c>
      <c r="D26" s="12" t="s">
        <v>22203</v>
      </c>
      <c r="E26" s="13">
        <v>45859</v>
      </c>
      <c r="F26" s="14">
        <v>45916</v>
      </c>
      <c r="G26" s="15">
        <v>7000000</v>
      </c>
      <c r="H26" s="16">
        <v>24</v>
      </c>
      <c r="I26" s="17">
        <v>24</v>
      </c>
      <c r="J26" s="15">
        <v>6535200</v>
      </c>
      <c r="K26" s="98">
        <f t="shared" si="0"/>
        <v>0</v>
      </c>
      <c r="L26" s="98" t="str">
        <f t="shared" si="1"/>
        <v>Lancar</v>
      </c>
      <c r="M26" s="5" t="str">
        <f t="shared" si="2"/>
        <v>001</v>
      </c>
      <c r="N26" s="55" t="str">
        <f>VLOOKUP(D26,Pinjaman!$E$7:$N$1900,10,FALSE)</f>
        <v>PENDIDIKAN</v>
      </c>
      <c r="O26" s="55">
        <f>VLOOKUP(B26,'Data Angt'!$A$5:$H$5810,6,FALSE)</f>
        <v>54</v>
      </c>
      <c r="P26" s="55" t="str">
        <f>VLOOKUP(B26,'Data Angt'!$A$5:$H$5810,8,FALSE)</f>
        <v>Lain-Lain</v>
      </c>
    </row>
    <row r="27" spans="1:16" x14ac:dyDescent="0.3">
      <c r="A27" s="8">
        <v>20</v>
      </c>
      <c r="B27" s="9" t="s">
        <v>182</v>
      </c>
      <c r="C27" s="10" t="str">
        <f>VLOOKUP(B27,'Data Angt'!$A$5:$B$5809,2,FALSE)</f>
        <v>A58</v>
      </c>
      <c r="D27" s="12" t="s">
        <v>22205</v>
      </c>
      <c r="E27" s="13">
        <v>45847</v>
      </c>
      <c r="F27" s="14">
        <v>45911</v>
      </c>
      <c r="G27" s="15">
        <v>5000000</v>
      </c>
      <c r="H27" s="16">
        <v>12</v>
      </c>
      <c r="I27" s="17">
        <v>24</v>
      </c>
      <c r="J27" s="15">
        <v>3866800</v>
      </c>
      <c r="K27" s="98">
        <f t="shared" si="0"/>
        <v>0</v>
      </c>
      <c r="L27" s="98" t="str">
        <f t="shared" si="1"/>
        <v>Lancar</v>
      </c>
      <c r="M27" s="5" t="str">
        <f t="shared" si="2"/>
        <v>001</v>
      </c>
      <c r="N27" s="55" t="str">
        <f>VLOOKUP(D27,Pinjaman!$E$7:$N$1900,10,FALSE)</f>
        <v>KONSUMTIF</v>
      </c>
      <c r="O27" s="55">
        <f>VLOOKUP(B27,'Data Angt'!$A$5:$H$5810,6,FALSE)</f>
        <v>56</v>
      </c>
      <c r="P27" s="55" t="str">
        <f>VLOOKUP(B27,'Data Angt'!$A$5:$H$5810,8,FALSE)</f>
        <v>Tenaga Pengajar</v>
      </c>
    </row>
    <row r="28" spans="1:16" x14ac:dyDescent="0.3">
      <c r="A28" s="8">
        <v>21</v>
      </c>
      <c r="B28" s="9" t="s">
        <v>182</v>
      </c>
      <c r="C28" s="10" t="str">
        <f>VLOOKUP(B28,'Data Angt'!$A$5:$B$5809,2,FALSE)</f>
        <v>A58</v>
      </c>
      <c r="D28" s="12" t="s">
        <v>15366</v>
      </c>
      <c r="E28" s="13">
        <v>45629</v>
      </c>
      <c r="F28" s="14">
        <v>45903</v>
      </c>
      <c r="G28" s="15">
        <v>40000000</v>
      </c>
      <c r="H28" s="16">
        <v>48</v>
      </c>
      <c r="I28" s="17">
        <v>21</v>
      </c>
      <c r="J28" s="15">
        <v>34798500</v>
      </c>
      <c r="K28" s="98">
        <f t="shared" si="0"/>
        <v>0</v>
      </c>
      <c r="L28" s="98" t="str">
        <f t="shared" si="1"/>
        <v>Lancar</v>
      </c>
      <c r="M28" s="5" t="str">
        <f t="shared" si="2"/>
        <v>001</v>
      </c>
      <c r="N28" s="55" t="str">
        <f>VLOOKUP(D28,Pinjaman!$E$7:$N$1900,10,FALSE)</f>
        <v>PENDIDIKAN</v>
      </c>
      <c r="O28" s="55">
        <f>VLOOKUP(B28,'Data Angt'!$A$5:$H$5810,6,FALSE)</f>
        <v>56</v>
      </c>
      <c r="P28" s="55" t="str">
        <f>VLOOKUP(B28,'Data Angt'!$A$5:$H$5810,8,FALSE)</f>
        <v>Tenaga Pengajar</v>
      </c>
    </row>
    <row r="29" spans="1:16" x14ac:dyDescent="0.3">
      <c r="A29" s="8">
        <v>22</v>
      </c>
      <c r="B29" s="9" t="s">
        <v>221</v>
      </c>
      <c r="C29" s="10" t="str">
        <f>VLOOKUP(B29,'Data Angt'!$A$5:$B$5809,2,FALSE)</f>
        <v>A70</v>
      </c>
      <c r="D29" s="12" t="s">
        <v>22207</v>
      </c>
      <c r="E29" s="13">
        <v>45849</v>
      </c>
      <c r="F29" s="14">
        <v>45925</v>
      </c>
      <c r="G29" s="15">
        <v>5200000</v>
      </c>
      <c r="H29" s="16">
        <v>18</v>
      </c>
      <c r="I29" s="17">
        <v>12</v>
      </c>
      <c r="J29" s="15">
        <v>4667000</v>
      </c>
      <c r="K29" s="98">
        <f t="shared" si="0"/>
        <v>0</v>
      </c>
      <c r="L29" s="98" t="str">
        <f t="shared" si="1"/>
        <v>Lancar</v>
      </c>
      <c r="M29" s="5" t="str">
        <f t="shared" si="2"/>
        <v>001</v>
      </c>
      <c r="N29" s="55" t="str">
        <f>VLOOKUP(D29,Pinjaman!$E$7:$N$1900,10,FALSE)</f>
        <v>KONSUMTIF</v>
      </c>
      <c r="O29" s="55">
        <f>VLOOKUP(B29,'Data Angt'!$A$5:$H$5810,6,FALSE)</f>
        <v>49</v>
      </c>
      <c r="P29" s="55" t="str">
        <f>VLOOKUP(B29,'Data Angt'!$A$5:$H$5810,8,FALSE)</f>
        <v>Karyawan</v>
      </c>
    </row>
    <row r="30" spans="1:16" x14ac:dyDescent="0.3">
      <c r="A30" s="8">
        <v>23</v>
      </c>
      <c r="B30" s="9" t="s">
        <v>221</v>
      </c>
      <c r="C30" s="10" t="str">
        <f>VLOOKUP(B30,'Data Angt'!$A$5:$B$5809,2,FALSE)</f>
        <v>A70</v>
      </c>
      <c r="D30" s="12" t="s">
        <v>9857</v>
      </c>
      <c r="E30" s="13">
        <v>43757</v>
      </c>
      <c r="F30" s="14">
        <v>45925</v>
      </c>
      <c r="G30" s="15">
        <v>125000000</v>
      </c>
      <c r="H30" s="16">
        <v>84</v>
      </c>
      <c r="I30" s="17">
        <v>2.4</v>
      </c>
      <c r="J30" s="15">
        <v>20745200</v>
      </c>
      <c r="K30" s="98">
        <f t="shared" si="0"/>
        <v>0</v>
      </c>
      <c r="L30" s="98" t="str">
        <f t="shared" si="1"/>
        <v>Lancar</v>
      </c>
      <c r="M30" s="5" t="str">
        <f t="shared" si="2"/>
        <v>001</v>
      </c>
      <c r="N30" s="55" t="str">
        <f>VLOOKUP(D30,Pinjaman!$E$7:$N$1900,10,FALSE)</f>
        <v>KESEJAHTERAAN</v>
      </c>
      <c r="O30" s="55">
        <f>VLOOKUP(B30,'Data Angt'!$A$5:$H$5810,6,FALSE)</f>
        <v>49</v>
      </c>
      <c r="P30" s="55" t="str">
        <f>VLOOKUP(B30,'Data Angt'!$A$5:$H$5810,8,FALSE)</f>
        <v>Karyawan</v>
      </c>
    </row>
    <row r="31" spans="1:16" x14ac:dyDescent="0.3">
      <c r="A31" s="8">
        <v>24</v>
      </c>
      <c r="B31" s="9" t="s">
        <v>226</v>
      </c>
      <c r="C31" s="10" t="str">
        <f>VLOOKUP(B31,'Data Angt'!$A$5:$B$5809,2,FALSE)</f>
        <v>A71</v>
      </c>
      <c r="D31" s="12" t="s">
        <v>15368</v>
      </c>
      <c r="E31" s="13">
        <v>45805</v>
      </c>
      <c r="F31" s="14">
        <v>45920</v>
      </c>
      <c r="G31" s="15">
        <v>25000000</v>
      </c>
      <c r="H31" s="16">
        <v>30</v>
      </c>
      <c r="I31" s="17">
        <v>21</v>
      </c>
      <c r="J31" s="15">
        <v>22368800</v>
      </c>
      <c r="K31" s="98">
        <f t="shared" si="0"/>
        <v>0</v>
      </c>
      <c r="L31" s="98" t="str">
        <f t="shared" si="1"/>
        <v>Lancar</v>
      </c>
      <c r="M31" s="5" t="str">
        <f t="shared" si="2"/>
        <v>001</v>
      </c>
      <c r="N31" s="55" t="str">
        <f>VLOOKUP(D31,Pinjaman!$E$7:$N$1900,10,FALSE)</f>
        <v>KESEHATAN</v>
      </c>
      <c r="O31" s="55">
        <f>VLOOKUP(B31,'Data Angt'!$A$5:$H$5810,6,FALSE)</f>
        <v>60</v>
      </c>
      <c r="P31" s="55" t="str">
        <f>VLOOKUP(B31,'Data Angt'!$A$5:$H$5810,8,FALSE)</f>
        <v>Wiraswasta</v>
      </c>
    </row>
    <row r="32" spans="1:16" x14ac:dyDescent="0.3">
      <c r="A32" s="8">
        <v>25</v>
      </c>
      <c r="B32" s="9" t="s">
        <v>232</v>
      </c>
      <c r="C32" s="10" t="str">
        <f>VLOOKUP(B32,'Data Angt'!$A$5:$B$5809,2,FALSE)</f>
        <v>A73</v>
      </c>
      <c r="D32" s="12" t="s">
        <v>15371</v>
      </c>
      <c r="E32" s="13">
        <v>45742</v>
      </c>
      <c r="F32" s="14">
        <v>45926</v>
      </c>
      <c r="G32" s="15">
        <v>35000000</v>
      </c>
      <c r="H32" s="16">
        <v>36</v>
      </c>
      <c r="I32" s="17">
        <v>21</v>
      </c>
      <c r="J32" s="15">
        <v>32083100</v>
      </c>
      <c r="K32" s="98">
        <f t="shared" si="0"/>
        <v>0</v>
      </c>
      <c r="L32" s="98" t="str">
        <f t="shared" si="1"/>
        <v>Lancar</v>
      </c>
      <c r="M32" s="5" t="str">
        <f t="shared" si="2"/>
        <v>001</v>
      </c>
      <c r="N32" s="55" t="str">
        <f>VLOOKUP(D32,Pinjaman!$E$7:$N$1900,10,FALSE)</f>
        <v>PENDIDIKAN</v>
      </c>
      <c r="O32" s="55">
        <f>VLOOKUP(B32,'Data Angt'!$A$5:$H$5810,6,FALSE)</f>
        <v>62</v>
      </c>
      <c r="P32" s="55" t="str">
        <f>VLOOKUP(B32,'Data Angt'!$A$5:$H$5810,8,FALSE)</f>
        <v>Pensiunan</v>
      </c>
    </row>
    <row r="33" spans="1:16" x14ac:dyDescent="0.3">
      <c r="A33" s="8">
        <v>26</v>
      </c>
      <c r="B33" s="9" t="s">
        <v>245</v>
      </c>
      <c r="C33" s="10" t="str">
        <f>VLOOKUP(B33,'Data Angt'!$A$5:$B$5809,2,FALSE)</f>
        <v>A77</v>
      </c>
      <c r="D33" s="12" t="s">
        <v>22211</v>
      </c>
      <c r="E33" s="13">
        <v>45915</v>
      </c>
      <c r="F33" s="14">
        <v>45915</v>
      </c>
      <c r="G33" s="15">
        <v>10000000</v>
      </c>
      <c r="H33" s="16">
        <v>10</v>
      </c>
      <c r="I33" s="17">
        <v>24</v>
      </c>
      <c r="J33" s="15">
        <v>10000000</v>
      </c>
      <c r="K33" s="98">
        <f t="shared" si="0"/>
        <v>0</v>
      </c>
      <c r="L33" s="98" t="str">
        <f t="shared" si="1"/>
        <v>Lancar</v>
      </c>
      <c r="M33" s="5" t="str">
        <f t="shared" si="2"/>
        <v>001</v>
      </c>
      <c r="N33" s="55" t="str">
        <f>VLOOKUP(D33,Pinjaman!$E$7:$N$1900,10,FALSE)</f>
        <v>PRODUKTIF</v>
      </c>
      <c r="O33" s="55">
        <f>VLOOKUP(B33,'Data Angt'!$A$5:$H$5810,6,FALSE)</f>
        <v>60</v>
      </c>
      <c r="P33" s="55" t="str">
        <f>VLOOKUP(B33,'Data Angt'!$A$5:$H$5810,8,FALSE)</f>
        <v>Karyawan</v>
      </c>
    </row>
    <row r="34" spans="1:16" x14ac:dyDescent="0.3">
      <c r="A34" s="8">
        <v>27</v>
      </c>
      <c r="B34" s="9" t="s">
        <v>248</v>
      </c>
      <c r="C34" s="10" t="str">
        <f>VLOOKUP(B34,'Data Angt'!$A$5:$B$5809,2,FALSE)</f>
        <v>A78</v>
      </c>
      <c r="D34" s="12" t="s">
        <v>9860</v>
      </c>
      <c r="E34" s="13">
        <v>39854</v>
      </c>
      <c r="F34" s="14">
        <v>45027</v>
      </c>
      <c r="G34" s="15">
        <v>131000000</v>
      </c>
      <c r="H34" s="16">
        <v>60</v>
      </c>
      <c r="I34" s="17">
        <v>0</v>
      </c>
      <c r="J34" s="15">
        <v>101725000</v>
      </c>
      <c r="K34" s="98">
        <f t="shared" si="0"/>
        <v>29</v>
      </c>
      <c r="L34" s="98" t="str">
        <f t="shared" si="1"/>
        <v>Macet</v>
      </c>
      <c r="M34" s="5" t="str">
        <f t="shared" si="2"/>
        <v>001</v>
      </c>
      <c r="N34" s="55">
        <f>VLOOKUP(D34,Pinjaman!$E$7:$N$1900,10,FALSE)</f>
        <v>0</v>
      </c>
      <c r="O34" s="55">
        <f>VLOOKUP(B34,'Data Angt'!$A$5:$H$5810,6,FALSE)</f>
        <v>43</v>
      </c>
      <c r="P34" s="55" t="str">
        <f>VLOOKUP(B34,'Data Angt'!$A$5:$H$5810,8,FALSE)</f>
        <v>Wiraswasta</v>
      </c>
    </row>
    <row r="35" spans="1:16" x14ac:dyDescent="0.3">
      <c r="A35" s="8">
        <v>28</v>
      </c>
      <c r="B35" s="9" t="s">
        <v>262</v>
      </c>
      <c r="C35" s="10" t="str">
        <f>VLOOKUP(B35,'Data Angt'!$A$5:$B$5809,2,FALSE)</f>
        <v>A83</v>
      </c>
      <c r="D35" s="12" t="s">
        <v>22213</v>
      </c>
      <c r="E35" s="13">
        <v>45894</v>
      </c>
      <c r="F35" s="14">
        <v>45919</v>
      </c>
      <c r="G35" s="15">
        <v>2500000</v>
      </c>
      <c r="H35" s="16">
        <v>12</v>
      </c>
      <c r="I35" s="17">
        <v>24</v>
      </c>
      <c r="J35" s="15">
        <v>2313600</v>
      </c>
      <c r="K35" s="98">
        <f t="shared" si="0"/>
        <v>0</v>
      </c>
      <c r="L35" s="98" t="str">
        <f t="shared" si="1"/>
        <v>Lancar</v>
      </c>
      <c r="M35" s="5" t="str">
        <f t="shared" si="2"/>
        <v>001</v>
      </c>
      <c r="N35" s="55" t="str">
        <f>VLOOKUP(D35,Pinjaman!$E$7:$N$1900,10,FALSE)</f>
        <v>PRODUKTIF</v>
      </c>
      <c r="O35" s="55">
        <f>VLOOKUP(B35,'Data Angt'!$A$5:$H$5810,6,FALSE)</f>
        <v>51</v>
      </c>
      <c r="P35" s="55" t="str">
        <f>VLOOKUP(B35,'Data Angt'!$A$5:$H$5810,8,FALSE)</f>
        <v>Wiraswasta</v>
      </c>
    </row>
    <row r="36" spans="1:16" x14ac:dyDescent="0.3">
      <c r="A36" s="8">
        <v>29</v>
      </c>
      <c r="B36" s="9" t="s">
        <v>262</v>
      </c>
      <c r="C36" s="10" t="str">
        <f>VLOOKUP(B36,'Data Angt'!$A$5:$B$5809,2,FALSE)</f>
        <v>A83</v>
      </c>
      <c r="D36" s="12" t="s">
        <v>15373</v>
      </c>
      <c r="E36" s="13">
        <v>45520</v>
      </c>
      <c r="F36" s="14">
        <v>45911</v>
      </c>
      <c r="G36" s="15">
        <v>6000000</v>
      </c>
      <c r="H36" s="16">
        <v>36</v>
      </c>
      <c r="I36" s="17">
        <v>11.88</v>
      </c>
      <c r="J36" s="15">
        <v>4074100</v>
      </c>
      <c r="K36" s="98">
        <f t="shared" si="0"/>
        <v>0</v>
      </c>
      <c r="L36" s="98" t="str">
        <f t="shared" si="1"/>
        <v>Lancar</v>
      </c>
      <c r="M36" s="5" t="str">
        <f t="shared" si="2"/>
        <v>001</v>
      </c>
      <c r="N36" s="55" t="str">
        <f>VLOOKUP(D36,Pinjaman!$E$7:$N$1900,10,FALSE)</f>
        <v>KESEJAHTERAAN</v>
      </c>
      <c r="O36" s="55">
        <f>VLOOKUP(B36,'Data Angt'!$A$5:$H$5810,6,FALSE)</f>
        <v>51</v>
      </c>
      <c r="P36" s="55" t="str">
        <f>VLOOKUP(B36,'Data Angt'!$A$5:$H$5810,8,FALSE)</f>
        <v>Wiraswasta</v>
      </c>
    </row>
    <row r="37" spans="1:16" x14ac:dyDescent="0.3">
      <c r="A37" s="8">
        <v>30</v>
      </c>
      <c r="B37" s="9" t="s">
        <v>270</v>
      </c>
      <c r="C37" s="10" t="str">
        <f>VLOOKUP(B37,'Data Angt'!$A$5:$B$5809,2,FALSE)</f>
        <v>A87</v>
      </c>
      <c r="D37" s="12" t="s">
        <v>22215</v>
      </c>
      <c r="E37" s="13">
        <v>45849</v>
      </c>
      <c r="F37" s="14">
        <v>45909</v>
      </c>
      <c r="G37" s="15">
        <v>49000000</v>
      </c>
      <c r="H37" s="16">
        <v>10</v>
      </c>
      <c r="I37" s="17">
        <v>21</v>
      </c>
      <c r="J37" s="15">
        <v>39200000</v>
      </c>
      <c r="K37" s="98">
        <f t="shared" si="0"/>
        <v>0</v>
      </c>
      <c r="L37" s="98" t="str">
        <f t="shared" si="1"/>
        <v>Lancar</v>
      </c>
      <c r="M37" s="5" t="str">
        <f t="shared" si="2"/>
        <v>001</v>
      </c>
      <c r="N37" s="55" t="str">
        <f>VLOOKUP(D37,Pinjaman!$E$7:$N$1900,10,FALSE)</f>
        <v>PENDIDIKAN</v>
      </c>
      <c r="O37" s="55">
        <f>VLOOKUP(B37,'Data Angt'!$A$5:$H$5810,6,FALSE)</f>
        <v>77</v>
      </c>
      <c r="P37" s="55" t="str">
        <f>VLOOKUP(B37,'Data Angt'!$A$5:$H$5810,8,FALSE)</f>
        <v>Pensiunan</v>
      </c>
    </row>
    <row r="38" spans="1:16" x14ac:dyDescent="0.3">
      <c r="A38" s="8">
        <v>31</v>
      </c>
      <c r="B38" s="9" t="s">
        <v>321</v>
      </c>
      <c r="C38" s="10" t="str">
        <f>VLOOKUP(B38,'Data Angt'!$A$5:$B$5809,2,FALSE)</f>
        <v>A112</v>
      </c>
      <c r="D38" s="12" t="s">
        <v>15375</v>
      </c>
      <c r="E38" s="13">
        <v>45612</v>
      </c>
      <c r="F38" s="14">
        <v>45916</v>
      </c>
      <c r="G38" s="15">
        <v>55000000</v>
      </c>
      <c r="H38" s="16">
        <v>60</v>
      </c>
      <c r="I38" s="17">
        <v>21</v>
      </c>
      <c r="J38" s="15">
        <v>49311800</v>
      </c>
      <c r="K38" s="98">
        <f t="shared" si="0"/>
        <v>0</v>
      </c>
      <c r="L38" s="98" t="str">
        <f t="shared" si="1"/>
        <v>Lancar</v>
      </c>
      <c r="M38" s="5" t="str">
        <f t="shared" si="2"/>
        <v>001</v>
      </c>
      <c r="N38" s="55" t="str">
        <f>VLOOKUP(D38,Pinjaman!$E$7:$N$1900,10,FALSE)</f>
        <v>PENDIDIKAN</v>
      </c>
      <c r="O38" s="55">
        <f>VLOOKUP(B38,'Data Angt'!$A$5:$H$5810,6,FALSE)</f>
        <v>56</v>
      </c>
      <c r="P38" s="55" t="str">
        <f>VLOOKUP(B38,'Data Angt'!$A$5:$H$5810,8,FALSE)</f>
        <v>Karyawan</v>
      </c>
    </row>
    <row r="39" spans="1:16" x14ac:dyDescent="0.3">
      <c r="A39" s="8">
        <v>32</v>
      </c>
      <c r="B39" s="9" t="s">
        <v>331</v>
      </c>
      <c r="C39" s="10" t="str">
        <f>VLOOKUP(B39,'Data Angt'!$A$5:$B$5809,2,FALSE)</f>
        <v>A115</v>
      </c>
      <c r="D39" s="12" t="s">
        <v>15377</v>
      </c>
      <c r="E39" s="13">
        <v>45679</v>
      </c>
      <c r="F39" s="14">
        <v>45920</v>
      </c>
      <c r="G39" s="15">
        <v>2000000000</v>
      </c>
      <c r="H39" s="16">
        <v>36</v>
      </c>
      <c r="I39" s="17">
        <v>12</v>
      </c>
      <c r="J39" s="15">
        <v>1615307500</v>
      </c>
      <c r="K39" s="98">
        <f t="shared" si="0"/>
        <v>0</v>
      </c>
      <c r="L39" s="98" t="str">
        <f t="shared" si="1"/>
        <v>Lancar</v>
      </c>
      <c r="M39" s="5" t="str">
        <f t="shared" si="2"/>
        <v>001</v>
      </c>
      <c r="N39" s="55" t="str">
        <f>VLOOKUP(D39,Pinjaman!$E$7:$N$1900,10,FALSE)</f>
        <v>PRODUKTIF</v>
      </c>
      <c r="O39" s="55">
        <f>VLOOKUP(B39,'Data Angt'!$A$5:$H$5810,6,FALSE)</f>
        <v>67</v>
      </c>
      <c r="P39" s="55" t="str">
        <f>VLOOKUP(B39,'Data Angt'!$A$5:$H$5810,8,FALSE)</f>
        <v>Pemuka Agama</v>
      </c>
    </row>
    <row r="40" spans="1:16" x14ac:dyDescent="0.3">
      <c r="A40" s="8">
        <v>33</v>
      </c>
      <c r="B40" s="9" t="s">
        <v>344</v>
      </c>
      <c r="C40" s="10" t="str">
        <f>VLOOKUP(B40,'Data Angt'!$A$5:$B$5809,2,FALSE)</f>
        <v>A119</v>
      </c>
      <c r="D40" s="12" t="s">
        <v>15380</v>
      </c>
      <c r="E40" s="13">
        <v>45670</v>
      </c>
      <c r="F40" s="14">
        <v>45916</v>
      </c>
      <c r="G40" s="15">
        <v>2000000</v>
      </c>
      <c r="H40" s="16">
        <v>12</v>
      </c>
      <c r="I40" s="17">
        <v>11.9</v>
      </c>
      <c r="J40" s="15">
        <v>523600</v>
      </c>
      <c r="K40" s="98">
        <f t="shared" si="0"/>
        <v>0</v>
      </c>
      <c r="L40" s="98" t="str">
        <f t="shared" si="1"/>
        <v>Lancar</v>
      </c>
      <c r="M40" s="5" t="str">
        <f t="shared" si="2"/>
        <v>001</v>
      </c>
      <c r="N40" s="55" t="str">
        <f>VLOOKUP(D40,Pinjaman!$E$7:$N$1900,10,FALSE)</f>
        <v>KONSUMTIF</v>
      </c>
      <c r="O40" s="55">
        <f>VLOOKUP(B40,'Data Angt'!$A$5:$H$5810,6,FALSE)</f>
        <v>76</v>
      </c>
      <c r="P40" s="55" t="str">
        <f>VLOOKUP(B40,'Data Angt'!$A$5:$H$5810,8,FALSE)</f>
        <v>Wiraswasta</v>
      </c>
    </row>
    <row r="41" spans="1:16" x14ac:dyDescent="0.3">
      <c r="A41" s="8">
        <v>34</v>
      </c>
      <c r="B41" s="9" t="s">
        <v>358</v>
      </c>
      <c r="C41" s="10" t="str">
        <f>VLOOKUP(B41,'Data Angt'!$A$5:$B$5809,2,FALSE)</f>
        <v>A123</v>
      </c>
      <c r="D41" s="12" t="s">
        <v>9863</v>
      </c>
      <c r="E41" s="13">
        <v>45152</v>
      </c>
      <c r="F41" s="14">
        <v>45916</v>
      </c>
      <c r="G41" s="15">
        <v>100000000</v>
      </c>
      <c r="H41" s="16">
        <v>60</v>
      </c>
      <c r="I41" s="17">
        <v>11.4</v>
      </c>
      <c r="J41" s="15">
        <v>63514000</v>
      </c>
      <c r="K41" s="98">
        <f t="shared" si="0"/>
        <v>0</v>
      </c>
      <c r="L41" s="98" t="str">
        <f t="shared" si="1"/>
        <v>Lancar</v>
      </c>
      <c r="M41" s="5" t="str">
        <f t="shared" si="2"/>
        <v>001</v>
      </c>
      <c r="N41" s="55" t="str">
        <f>VLOOKUP(D41,Pinjaman!$E$7:$N$1900,10,FALSE)</f>
        <v>KESEJAHTERAAN</v>
      </c>
      <c r="O41" s="55">
        <f>VLOOKUP(B41,'Data Angt'!$A$5:$H$5810,6,FALSE)</f>
        <v>31</v>
      </c>
      <c r="P41" s="55" t="str">
        <f>VLOOKUP(B41,'Data Angt'!$A$5:$H$5810,8,FALSE)</f>
        <v>Karyawan</v>
      </c>
    </row>
    <row r="42" spans="1:16" x14ac:dyDescent="0.3">
      <c r="A42" s="8">
        <v>35</v>
      </c>
      <c r="B42" s="9" t="s">
        <v>389</v>
      </c>
      <c r="C42" s="10" t="str">
        <f>VLOOKUP(B42,'Data Angt'!$A$5:$B$5809,2,FALSE)</f>
        <v>A133</v>
      </c>
      <c r="D42" s="12" t="s">
        <v>15383</v>
      </c>
      <c r="E42" s="13">
        <v>45401</v>
      </c>
      <c r="F42" s="14">
        <v>45919</v>
      </c>
      <c r="G42" s="15">
        <v>10000000</v>
      </c>
      <c r="H42" s="16">
        <v>24</v>
      </c>
      <c r="I42" s="17">
        <v>11.88</v>
      </c>
      <c r="J42" s="15">
        <v>3165000</v>
      </c>
      <c r="K42" s="98">
        <f t="shared" si="0"/>
        <v>0</v>
      </c>
      <c r="L42" s="98" t="str">
        <f t="shared" si="1"/>
        <v>Lancar</v>
      </c>
      <c r="M42" s="5" t="str">
        <f t="shared" si="2"/>
        <v>001</v>
      </c>
      <c r="N42" s="55" t="str">
        <f>VLOOKUP(D42,Pinjaman!$E$7:$N$1900,10,FALSE)</f>
        <v>KESEJAHTERAAN</v>
      </c>
      <c r="O42" s="55">
        <f>VLOOKUP(B42,'Data Angt'!$A$5:$H$5810,6,FALSE)</f>
        <v>63</v>
      </c>
      <c r="P42" s="55" t="str">
        <f>VLOOKUP(B42,'Data Angt'!$A$5:$H$5810,8,FALSE)</f>
        <v>Pensiunan</v>
      </c>
    </row>
    <row r="43" spans="1:16" x14ac:dyDescent="0.3">
      <c r="A43" s="8">
        <v>36</v>
      </c>
      <c r="B43" s="9" t="s">
        <v>396</v>
      </c>
      <c r="C43" s="10" t="str">
        <f>VLOOKUP(B43,'Data Angt'!$A$5:$B$5809,2,FALSE)</f>
        <v>A136</v>
      </c>
      <c r="D43" s="12" t="s">
        <v>15385</v>
      </c>
      <c r="E43" s="13">
        <v>45565</v>
      </c>
      <c r="F43" s="14">
        <v>45930</v>
      </c>
      <c r="G43" s="15">
        <v>150000000</v>
      </c>
      <c r="H43" s="16">
        <v>60</v>
      </c>
      <c r="I43" s="17">
        <v>21</v>
      </c>
      <c r="J43" s="15">
        <v>131077700</v>
      </c>
      <c r="K43" s="98">
        <f t="shared" si="0"/>
        <v>0</v>
      </c>
      <c r="L43" s="98" t="str">
        <f t="shared" si="1"/>
        <v>Lancar</v>
      </c>
      <c r="M43" s="5" t="str">
        <f t="shared" si="2"/>
        <v>001</v>
      </c>
      <c r="N43" s="55" t="str">
        <f>VLOOKUP(D43,Pinjaman!$E$7:$N$1900,10,FALSE)</f>
        <v>PRODUKTIF</v>
      </c>
      <c r="O43" s="55">
        <f>VLOOKUP(B43,'Data Angt'!$A$5:$H$5810,6,FALSE)</f>
        <v>59</v>
      </c>
      <c r="P43" s="55" t="str">
        <f>VLOOKUP(B43,'Data Angt'!$A$5:$H$5810,8,FALSE)</f>
        <v>Wiraswasta</v>
      </c>
    </row>
    <row r="44" spans="1:16" x14ac:dyDescent="0.3">
      <c r="A44" s="8">
        <v>37</v>
      </c>
      <c r="B44" s="9" t="s">
        <v>417</v>
      </c>
      <c r="C44" s="10" t="str">
        <f>VLOOKUP(B44,'Data Angt'!$A$5:$B$5809,2,FALSE)</f>
        <v>A145</v>
      </c>
      <c r="D44" s="12" t="s">
        <v>15388</v>
      </c>
      <c r="E44" s="13">
        <v>45762</v>
      </c>
      <c r="F44" s="14">
        <v>45918</v>
      </c>
      <c r="G44" s="15">
        <v>35000000</v>
      </c>
      <c r="H44" s="16">
        <v>36</v>
      </c>
      <c r="I44" s="17">
        <v>21</v>
      </c>
      <c r="J44" s="15">
        <v>31343400</v>
      </c>
      <c r="K44" s="98">
        <f t="shared" si="0"/>
        <v>0</v>
      </c>
      <c r="L44" s="98" t="str">
        <f t="shared" si="1"/>
        <v>Lancar</v>
      </c>
      <c r="M44" s="5" t="str">
        <f t="shared" si="2"/>
        <v>001</v>
      </c>
      <c r="N44" s="55" t="str">
        <f>VLOOKUP(D44,Pinjaman!$E$7:$N$1900,10,FALSE)</f>
        <v>KESEJAHTERAAN</v>
      </c>
      <c r="O44" s="55">
        <f>VLOOKUP(B44,'Data Angt'!$A$5:$H$5810,6,FALSE)</f>
        <v>44</v>
      </c>
      <c r="P44" s="55" t="str">
        <f>VLOOKUP(B44,'Data Angt'!$A$5:$H$5810,8,FALSE)</f>
        <v>Mengurus Rumah Tangga</v>
      </c>
    </row>
    <row r="45" spans="1:16" x14ac:dyDescent="0.3">
      <c r="A45" s="8">
        <v>38</v>
      </c>
      <c r="B45" s="9" t="s">
        <v>419</v>
      </c>
      <c r="C45" s="10" t="str">
        <f>VLOOKUP(B45,'Data Angt'!$A$5:$B$5809,2,FALSE)</f>
        <v>A146</v>
      </c>
      <c r="D45" s="12" t="s">
        <v>15390</v>
      </c>
      <c r="E45" s="13">
        <v>45430</v>
      </c>
      <c r="F45" s="14">
        <v>45920</v>
      </c>
      <c r="G45" s="15">
        <v>35000000</v>
      </c>
      <c r="H45" s="16">
        <v>36</v>
      </c>
      <c r="I45" s="17">
        <v>21</v>
      </c>
      <c r="J45" s="15">
        <v>22090400</v>
      </c>
      <c r="K45" s="98">
        <f t="shared" si="0"/>
        <v>0</v>
      </c>
      <c r="L45" s="98" t="str">
        <f t="shared" si="1"/>
        <v>Lancar</v>
      </c>
      <c r="M45" s="5" t="str">
        <f t="shared" si="2"/>
        <v>001</v>
      </c>
      <c r="N45" s="55" t="str">
        <f>VLOOKUP(D45,Pinjaman!$E$7:$N$1900,10,FALSE)</f>
        <v>KONSUMTIF</v>
      </c>
      <c r="O45" s="55">
        <f>VLOOKUP(B45,'Data Angt'!$A$5:$H$5810,6,FALSE)</f>
        <v>49</v>
      </c>
      <c r="P45" s="55" t="str">
        <f>VLOOKUP(B45,'Data Angt'!$A$5:$H$5810,8,FALSE)</f>
        <v>Aparatur/Pejabat Negara</v>
      </c>
    </row>
    <row r="46" spans="1:16" x14ac:dyDescent="0.3">
      <c r="A46" s="8">
        <v>39</v>
      </c>
      <c r="B46" s="9" t="s">
        <v>423</v>
      </c>
      <c r="C46" s="10" t="str">
        <f>VLOOKUP(B46,'Data Angt'!$A$5:$B$5809,2,FALSE)</f>
        <v>A147</v>
      </c>
      <c r="D46" s="12" t="s">
        <v>15393</v>
      </c>
      <c r="E46" s="13">
        <v>45302</v>
      </c>
      <c r="F46" s="14">
        <v>45911</v>
      </c>
      <c r="G46" s="15">
        <v>31000000</v>
      </c>
      <c r="H46" s="16">
        <v>48</v>
      </c>
      <c r="I46" s="17">
        <v>11.04</v>
      </c>
      <c r="J46" s="15">
        <v>19712100</v>
      </c>
      <c r="K46" s="98">
        <f t="shared" si="0"/>
        <v>0</v>
      </c>
      <c r="L46" s="98" t="str">
        <f t="shared" si="1"/>
        <v>Lancar</v>
      </c>
      <c r="M46" s="5" t="str">
        <f t="shared" si="2"/>
        <v>001</v>
      </c>
      <c r="N46" s="55" t="str">
        <f>VLOOKUP(D46,Pinjaman!$E$7:$N$1900,10,FALSE)</f>
        <v>PRODUKTIF</v>
      </c>
      <c r="O46" s="55">
        <f>VLOOKUP(B46,'Data Angt'!$A$5:$H$5810,6,FALSE)</f>
        <v>71</v>
      </c>
      <c r="P46" s="55" t="str">
        <f>VLOOKUP(B46,'Data Angt'!$A$5:$H$5810,8,FALSE)</f>
        <v>Wiraswasta</v>
      </c>
    </row>
    <row r="47" spans="1:16" x14ac:dyDescent="0.3">
      <c r="A47" s="8">
        <v>40</v>
      </c>
      <c r="B47" s="9" t="s">
        <v>442</v>
      </c>
      <c r="C47" s="10" t="str">
        <f>VLOOKUP(B47,'Data Angt'!$A$5:$B$5809,2,FALSE)</f>
        <v>A155</v>
      </c>
      <c r="D47" s="12" t="s">
        <v>15396</v>
      </c>
      <c r="E47" s="13">
        <v>45743</v>
      </c>
      <c r="F47" s="14">
        <v>45908</v>
      </c>
      <c r="G47" s="15">
        <v>2000000</v>
      </c>
      <c r="H47" s="16">
        <v>12</v>
      </c>
      <c r="I47" s="17">
        <v>24</v>
      </c>
      <c r="J47" s="15">
        <v>1059100</v>
      </c>
      <c r="K47" s="98">
        <f t="shared" si="0"/>
        <v>0</v>
      </c>
      <c r="L47" s="98" t="str">
        <f t="shared" si="1"/>
        <v>Lancar</v>
      </c>
      <c r="M47" s="5" t="str">
        <f t="shared" si="2"/>
        <v>001</v>
      </c>
      <c r="N47" s="55" t="str">
        <f>VLOOKUP(D47,Pinjaman!$E$7:$N$1900,10,FALSE)</f>
        <v>KONSUMTIF</v>
      </c>
      <c r="O47" s="55">
        <f>VLOOKUP(B47,'Data Angt'!$A$5:$H$5810,6,FALSE)</f>
        <v>65</v>
      </c>
      <c r="P47" s="55" t="str">
        <f>VLOOKUP(B47,'Data Angt'!$A$5:$H$5810,8,FALSE)</f>
        <v>Pensiunan</v>
      </c>
    </row>
    <row r="48" spans="1:16" x14ac:dyDescent="0.3">
      <c r="A48" s="8">
        <v>41</v>
      </c>
      <c r="B48" s="9" t="s">
        <v>476</v>
      </c>
      <c r="C48" s="10" t="str">
        <f>VLOOKUP(B48,'Data Angt'!$A$5:$B$5809,2,FALSE)</f>
        <v>A168</v>
      </c>
      <c r="D48" s="12" t="s">
        <v>15399</v>
      </c>
      <c r="E48" s="13">
        <v>45722</v>
      </c>
      <c r="F48" s="14">
        <v>45908</v>
      </c>
      <c r="G48" s="15">
        <v>25000000</v>
      </c>
      <c r="H48" s="16">
        <v>24</v>
      </c>
      <c r="I48" s="17">
        <v>21</v>
      </c>
      <c r="J48" s="15">
        <v>19689400</v>
      </c>
      <c r="K48" s="98">
        <f t="shared" si="0"/>
        <v>0</v>
      </c>
      <c r="L48" s="98" t="str">
        <f t="shared" si="1"/>
        <v>Lancar</v>
      </c>
      <c r="M48" s="5" t="str">
        <f t="shared" si="2"/>
        <v>001</v>
      </c>
      <c r="N48" s="55" t="str">
        <f>VLOOKUP(D48,Pinjaman!$E$7:$N$1900,10,FALSE)</f>
        <v>PRODUKTIF</v>
      </c>
      <c r="O48" s="55">
        <f>VLOOKUP(B48,'Data Angt'!$A$5:$H$5810,6,FALSE)</f>
        <v>58</v>
      </c>
      <c r="P48" s="55" t="str">
        <f>VLOOKUP(B48,'Data Angt'!$A$5:$H$5810,8,FALSE)</f>
        <v>Pensiunan</v>
      </c>
    </row>
    <row r="49" spans="1:16" x14ac:dyDescent="0.3">
      <c r="A49" s="8">
        <v>42</v>
      </c>
      <c r="B49" s="9" t="s">
        <v>494</v>
      </c>
      <c r="C49" s="10" t="str">
        <f>VLOOKUP(B49,'Data Angt'!$A$5:$B$5809,2,FALSE)</f>
        <v>A174</v>
      </c>
      <c r="D49" s="12" t="s">
        <v>22227</v>
      </c>
      <c r="E49" s="13">
        <v>45842</v>
      </c>
      <c r="F49" s="14">
        <v>45909</v>
      </c>
      <c r="G49" s="15">
        <v>10000000</v>
      </c>
      <c r="H49" s="16">
        <v>15</v>
      </c>
      <c r="I49" s="17">
        <v>24</v>
      </c>
      <c r="J49" s="15">
        <v>8666600</v>
      </c>
      <c r="K49" s="98">
        <f t="shared" si="0"/>
        <v>0</v>
      </c>
      <c r="L49" s="98" t="str">
        <f t="shared" si="1"/>
        <v>Lancar</v>
      </c>
      <c r="M49" s="5" t="str">
        <f t="shared" si="2"/>
        <v>001</v>
      </c>
      <c r="N49" s="55" t="str">
        <f>VLOOKUP(D49,Pinjaman!$E$7:$N$1900,10,FALSE)</f>
        <v>PENDIDIKAN</v>
      </c>
      <c r="O49" s="55">
        <f>VLOOKUP(B49,'Data Angt'!$A$5:$H$5810,6,FALSE)</f>
        <v>45</v>
      </c>
      <c r="P49" s="55" t="str">
        <f>VLOOKUP(B49,'Data Angt'!$A$5:$H$5810,8,FALSE)</f>
        <v>Karyawan</v>
      </c>
    </row>
    <row r="50" spans="1:16" x14ac:dyDescent="0.3">
      <c r="A50" s="8">
        <v>43</v>
      </c>
      <c r="B50" s="9" t="s">
        <v>518</v>
      </c>
      <c r="C50" s="10" t="str">
        <f>VLOOKUP(B50,'Data Angt'!$A$5:$B$5809,2,FALSE)</f>
        <v>A186</v>
      </c>
      <c r="D50" s="12" t="s">
        <v>15402</v>
      </c>
      <c r="E50" s="13">
        <v>45342</v>
      </c>
      <c r="F50" s="14">
        <v>45919</v>
      </c>
      <c r="G50" s="15">
        <v>16000000</v>
      </c>
      <c r="H50" s="16">
        <v>30</v>
      </c>
      <c r="I50" s="17">
        <v>24</v>
      </c>
      <c r="J50" s="15">
        <v>6992900</v>
      </c>
      <c r="K50" s="98">
        <f t="shared" si="0"/>
        <v>0</v>
      </c>
      <c r="L50" s="98" t="str">
        <f t="shared" si="1"/>
        <v>Lancar</v>
      </c>
      <c r="M50" s="5" t="str">
        <f t="shared" si="2"/>
        <v>001</v>
      </c>
      <c r="N50" s="55" t="str">
        <f>VLOOKUP(D50,Pinjaman!$E$7:$N$1900,10,FALSE)</f>
        <v>PRODUKTIF</v>
      </c>
      <c r="O50" s="55">
        <f>VLOOKUP(B50,'Data Angt'!$A$5:$H$5810,6,FALSE)</f>
        <v>69</v>
      </c>
      <c r="P50" s="55" t="str">
        <f>VLOOKUP(B50,'Data Angt'!$A$5:$H$5810,8,FALSE)</f>
        <v>Pensiunan</v>
      </c>
    </row>
    <row r="51" spans="1:16" x14ac:dyDescent="0.3">
      <c r="A51" s="8">
        <v>44</v>
      </c>
      <c r="B51" s="9" t="s">
        <v>518</v>
      </c>
      <c r="C51" s="10" t="str">
        <f>VLOOKUP(B51,'Data Angt'!$A$5:$B$5809,2,FALSE)</f>
        <v>A186</v>
      </c>
      <c r="D51" s="12" t="s">
        <v>22231</v>
      </c>
      <c r="E51" s="13">
        <v>45877</v>
      </c>
      <c r="F51" s="14">
        <v>45908</v>
      </c>
      <c r="G51" s="15">
        <v>5000000</v>
      </c>
      <c r="H51" s="16">
        <v>12</v>
      </c>
      <c r="I51" s="17">
        <v>24</v>
      </c>
      <c r="J51" s="15">
        <v>4627200</v>
      </c>
      <c r="K51" s="98">
        <f t="shared" si="0"/>
        <v>0</v>
      </c>
      <c r="L51" s="98" t="str">
        <f t="shared" si="1"/>
        <v>Lancar</v>
      </c>
      <c r="M51" s="5" t="str">
        <f t="shared" si="2"/>
        <v>001</v>
      </c>
      <c r="N51" s="55" t="str">
        <f>VLOOKUP(D51,Pinjaman!$E$7:$N$1900,10,FALSE)</f>
        <v>PRODUKTIF</v>
      </c>
      <c r="O51" s="55">
        <f>VLOOKUP(B51,'Data Angt'!$A$5:$H$5810,6,FALSE)</f>
        <v>69</v>
      </c>
      <c r="P51" s="55" t="str">
        <f>VLOOKUP(B51,'Data Angt'!$A$5:$H$5810,8,FALSE)</f>
        <v>Pensiunan</v>
      </c>
    </row>
    <row r="52" spans="1:16" x14ac:dyDescent="0.3">
      <c r="A52" s="8">
        <v>45</v>
      </c>
      <c r="B52" s="9" t="s">
        <v>527</v>
      </c>
      <c r="C52" s="10" t="str">
        <f>VLOOKUP(B52,'Data Angt'!$A$5:$B$5809,2,FALSE)</f>
        <v>A190</v>
      </c>
      <c r="D52" s="12" t="s">
        <v>15404</v>
      </c>
      <c r="E52" s="13">
        <v>45800</v>
      </c>
      <c r="F52" s="14">
        <v>45920</v>
      </c>
      <c r="G52" s="15">
        <v>3000000</v>
      </c>
      <c r="H52" s="16">
        <v>12</v>
      </c>
      <c r="I52" s="17">
        <v>11.88</v>
      </c>
      <c r="J52" s="15">
        <v>2039200</v>
      </c>
      <c r="K52" s="98">
        <f t="shared" si="0"/>
        <v>0</v>
      </c>
      <c r="L52" s="98" t="str">
        <f t="shared" si="1"/>
        <v>Lancar</v>
      </c>
      <c r="M52" s="5" t="str">
        <f t="shared" si="2"/>
        <v>001</v>
      </c>
      <c r="N52" s="55" t="str">
        <f>VLOOKUP(D52,Pinjaman!$E$7:$N$1900,10,FALSE)</f>
        <v>PRODUKTIF</v>
      </c>
      <c r="O52" s="55">
        <f>VLOOKUP(B52,'Data Angt'!$A$5:$H$5810,6,FALSE)</f>
        <v>62</v>
      </c>
      <c r="P52" s="55" t="str">
        <f>VLOOKUP(B52,'Data Angt'!$A$5:$H$5810,8,FALSE)</f>
        <v>Wiraswasta</v>
      </c>
    </row>
    <row r="53" spans="1:16" x14ac:dyDescent="0.3">
      <c r="A53" s="8">
        <v>46</v>
      </c>
      <c r="B53" s="9" t="s">
        <v>529</v>
      </c>
      <c r="C53" s="10" t="str">
        <f>VLOOKUP(B53,'Data Angt'!$A$5:$B$5809,2,FALSE)</f>
        <v>A191</v>
      </c>
      <c r="D53" s="12" t="s">
        <v>15406</v>
      </c>
      <c r="E53" s="13">
        <v>45709</v>
      </c>
      <c r="F53" s="14">
        <v>45922</v>
      </c>
      <c r="G53" s="15">
        <v>5000000</v>
      </c>
      <c r="H53" s="16">
        <v>10</v>
      </c>
      <c r="I53" s="17">
        <v>24</v>
      </c>
      <c r="J53" s="15">
        <v>1605000</v>
      </c>
      <c r="K53" s="98">
        <f t="shared" si="0"/>
        <v>0</v>
      </c>
      <c r="L53" s="98" t="str">
        <f t="shared" si="1"/>
        <v>Lancar</v>
      </c>
      <c r="M53" s="5" t="str">
        <f t="shared" si="2"/>
        <v>001</v>
      </c>
      <c r="N53" s="55" t="str">
        <f>VLOOKUP(D53,Pinjaman!$E$7:$N$1900,10,FALSE)</f>
        <v>KESEJAHTERAAN</v>
      </c>
      <c r="O53" s="55">
        <f>VLOOKUP(B53,'Data Angt'!$A$5:$H$5810,6,FALSE)</f>
        <v>68</v>
      </c>
      <c r="P53" s="55" t="str">
        <f>VLOOKUP(B53,'Data Angt'!$A$5:$H$5810,8,FALSE)</f>
        <v>Wiraswasta</v>
      </c>
    </row>
    <row r="54" spans="1:16" x14ac:dyDescent="0.3">
      <c r="A54" s="8">
        <v>47</v>
      </c>
      <c r="B54" s="9" t="s">
        <v>554</v>
      </c>
      <c r="C54" s="10" t="str">
        <f>VLOOKUP(B54,'Data Angt'!$A$5:$B$5809,2,FALSE)</f>
        <v>A200</v>
      </c>
      <c r="D54" s="12" t="s">
        <v>15408</v>
      </c>
      <c r="E54" s="13">
        <v>45663</v>
      </c>
      <c r="F54" s="14">
        <v>45908</v>
      </c>
      <c r="G54" s="15">
        <v>10000000</v>
      </c>
      <c r="H54" s="16">
        <v>18</v>
      </c>
      <c r="I54" s="17">
        <v>24</v>
      </c>
      <c r="J54" s="15">
        <v>5991200</v>
      </c>
      <c r="K54" s="98">
        <f t="shared" si="0"/>
        <v>0</v>
      </c>
      <c r="L54" s="98" t="str">
        <f t="shared" si="1"/>
        <v>Lancar</v>
      </c>
      <c r="M54" s="5" t="str">
        <f t="shared" si="2"/>
        <v>001</v>
      </c>
      <c r="N54" s="55" t="str">
        <f>VLOOKUP(D54,Pinjaman!$E$7:$N$1900,10,FALSE)</f>
        <v>PRODUKTIF</v>
      </c>
      <c r="O54" s="55">
        <f>VLOOKUP(B54,'Data Angt'!$A$5:$H$5810,6,FALSE)</f>
        <v>73</v>
      </c>
      <c r="P54" s="55" t="str">
        <f>VLOOKUP(B54,'Data Angt'!$A$5:$H$5810,8,FALSE)</f>
        <v>pensiunan</v>
      </c>
    </row>
    <row r="55" spans="1:16" x14ac:dyDescent="0.3">
      <c r="A55" s="8">
        <v>48</v>
      </c>
      <c r="B55" s="9" t="s">
        <v>561</v>
      </c>
      <c r="C55" s="10" t="str">
        <f>VLOOKUP(B55,'Data Angt'!$A$5:$B$5809,2,FALSE)</f>
        <v>A202</v>
      </c>
      <c r="D55" s="12" t="s">
        <v>15411</v>
      </c>
      <c r="E55" s="13">
        <v>45680</v>
      </c>
      <c r="F55" s="14">
        <v>45910</v>
      </c>
      <c r="G55" s="15">
        <v>8000000</v>
      </c>
      <c r="H55" s="16">
        <v>24</v>
      </c>
      <c r="I55" s="17">
        <v>24</v>
      </c>
      <c r="J55" s="15">
        <v>5743200</v>
      </c>
      <c r="K55" s="98">
        <f t="shared" si="0"/>
        <v>0</v>
      </c>
      <c r="L55" s="98" t="str">
        <f t="shared" si="1"/>
        <v>Lancar</v>
      </c>
      <c r="M55" s="5" t="str">
        <f t="shared" si="2"/>
        <v>001</v>
      </c>
      <c r="N55" s="55" t="str">
        <f>VLOOKUP(D55,Pinjaman!$E$7:$N$1900,10,FALSE)</f>
        <v>KONSUMTIF</v>
      </c>
      <c r="O55" s="55">
        <f>VLOOKUP(B55,'Data Angt'!$A$5:$H$5810,6,FALSE)</f>
        <v>51</v>
      </c>
      <c r="P55" s="55" t="str">
        <f>VLOOKUP(B55,'Data Angt'!$A$5:$H$5810,8,FALSE)</f>
        <v>Karyawan</v>
      </c>
    </row>
    <row r="56" spans="1:16" x14ac:dyDescent="0.3">
      <c r="A56" s="8">
        <v>49</v>
      </c>
      <c r="B56" s="9" t="s">
        <v>596</v>
      </c>
      <c r="C56" s="10" t="str">
        <f>VLOOKUP(B56,'Data Angt'!$A$5:$B$5809,2,FALSE)</f>
        <v>A216</v>
      </c>
      <c r="D56" s="12" t="s">
        <v>15413</v>
      </c>
      <c r="E56" s="13">
        <v>45621</v>
      </c>
      <c r="F56" s="14">
        <v>45919</v>
      </c>
      <c r="G56" s="15">
        <v>5000000</v>
      </c>
      <c r="H56" s="16">
        <v>12</v>
      </c>
      <c r="I56" s="17">
        <v>11.88</v>
      </c>
      <c r="J56" s="15">
        <v>874900</v>
      </c>
      <c r="K56" s="98">
        <f t="shared" si="0"/>
        <v>0</v>
      </c>
      <c r="L56" s="98" t="str">
        <f t="shared" si="1"/>
        <v>Lancar</v>
      </c>
      <c r="M56" s="5" t="str">
        <f t="shared" si="2"/>
        <v>001</v>
      </c>
      <c r="N56" s="55" t="str">
        <f>VLOOKUP(D56,Pinjaman!$E$7:$N$1900,10,FALSE)</f>
        <v>PRODUKTIF</v>
      </c>
      <c r="O56" s="55">
        <f>VLOOKUP(B56,'Data Angt'!$A$5:$H$5810,6,FALSE)</f>
        <v>68</v>
      </c>
      <c r="P56" s="55" t="str">
        <f>VLOOKUP(B56,'Data Angt'!$A$5:$H$5810,8,FALSE)</f>
        <v>Pensiunan</v>
      </c>
    </row>
    <row r="57" spans="1:16" x14ac:dyDescent="0.3">
      <c r="A57" s="8">
        <v>50</v>
      </c>
      <c r="B57" s="9" t="s">
        <v>624</v>
      </c>
      <c r="C57" s="10" t="str">
        <f>VLOOKUP(B57,'Data Angt'!$A$5:$B$5809,2,FALSE)</f>
        <v>A228</v>
      </c>
      <c r="D57" s="12" t="s">
        <v>15416</v>
      </c>
      <c r="E57" s="13">
        <v>45579</v>
      </c>
      <c r="F57" s="14">
        <v>45915</v>
      </c>
      <c r="G57" s="15">
        <v>5000000</v>
      </c>
      <c r="H57" s="16">
        <v>12</v>
      </c>
      <c r="I57" s="17">
        <v>18</v>
      </c>
      <c r="J57" s="15">
        <v>452100</v>
      </c>
      <c r="K57" s="98">
        <f t="shared" si="0"/>
        <v>0</v>
      </c>
      <c r="L57" s="98" t="str">
        <f t="shared" si="1"/>
        <v>Lancar</v>
      </c>
      <c r="M57" s="5" t="str">
        <f t="shared" si="2"/>
        <v>001</v>
      </c>
      <c r="N57" s="55" t="str">
        <f>VLOOKUP(D57,Pinjaman!$E$7:$N$1900,10,FALSE)</f>
        <v>PRODUKTIF</v>
      </c>
      <c r="O57" s="55">
        <f>VLOOKUP(B57,'Data Angt'!$A$5:$H$5810,6,FALSE)</f>
        <v>40</v>
      </c>
      <c r="P57" s="55" t="str">
        <f>VLOOKUP(B57,'Data Angt'!$A$5:$H$5810,8,FALSE)</f>
        <v>Karyawan</v>
      </c>
    </row>
    <row r="58" spans="1:16" x14ac:dyDescent="0.3">
      <c r="A58" s="8">
        <v>51</v>
      </c>
      <c r="B58" s="9" t="s">
        <v>624</v>
      </c>
      <c r="C58" s="10" t="str">
        <f>VLOOKUP(B58,'Data Angt'!$A$5:$B$5809,2,FALSE)</f>
        <v>A228</v>
      </c>
      <c r="D58" s="12" t="s">
        <v>9869</v>
      </c>
      <c r="E58" s="13">
        <v>44677</v>
      </c>
      <c r="F58" s="14">
        <v>45926</v>
      </c>
      <c r="G58" s="15">
        <v>160000000</v>
      </c>
      <c r="H58" s="16">
        <v>84</v>
      </c>
      <c r="I58" s="17">
        <v>2.4</v>
      </c>
      <c r="J58" s="15">
        <v>218044200</v>
      </c>
      <c r="K58" s="98">
        <f t="shared" si="0"/>
        <v>0</v>
      </c>
      <c r="L58" s="98" t="str">
        <f t="shared" si="1"/>
        <v>Lancar</v>
      </c>
      <c r="M58" s="5" t="str">
        <f t="shared" si="2"/>
        <v>001</v>
      </c>
      <c r="N58" s="55" t="str">
        <f>VLOOKUP(D58,Pinjaman!$E$7:$N$1900,10,FALSE)</f>
        <v>KONSUMTIF</v>
      </c>
      <c r="O58" s="55">
        <f>VLOOKUP(B58,'Data Angt'!$A$5:$H$5810,6,FALSE)</f>
        <v>40</v>
      </c>
      <c r="P58" s="55" t="str">
        <f>VLOOKUP(B58,'Data Angt'!$A$5:$H$5810,8,FALSE)</f>
        <v>Karyawan</v>
      </c>
    </row>
    <row r="59" spans="1:16" x14ac:dyDescent="0.3">
      <c r="A59" s="8">
        <v>52</v>
      </c>
      <c r="B59" s="9" t="s">
        <v>664</v>
      </c>
      <c r="C59" s="10" t="str">
        <f>VLOOKUP(B59,'Data Angt'!$A$5:$B$5809,2,FALSE)</f>
        <v>A245</v>
      </c>
      <c r="D59" s="12" t="s">
        <v>15418</v>
      </c>
      <c r="E59" s="13">
        <v>45442</v>
      </c>
      <c r="F59" s="14">
        <v>45903</v>
      </c>
      <c r="G59" s="15">
        <v>12000000</v>
      </c>
      <c r="H59" s="16">
        <v>24</v>
      </c>
      <c r="I59" s="17">
        <v>24</v>
      </c>
      <c r="J59" s="15">
        <v>4647500</v>
      </c>
      <c r="K59" s="98">
        <f t="shared" si="0"/>
        <v>0</v>
      </c>
      <c r="L59" s="98" t="str">
        <f t="shared" si="1"/>
        <v>Lancar</v>
      </c>
      <c r="M59" s="5" t="str">
        <f t="shared" si="2"/>
        <v>001</v>
      </c>
      <c r="N59" s="55" t="str">
        <f>VLOOKUP(D59,Pinjaman!$E$7:$N$1900,10,FALSE)</f>
        <v>KONSUMTIF</v>
      </c>
      <c r="O59" s="55">
        <f>VLOOKUP(B59,'Data Angt'!$A$5:$H$5810,6,FALSE)</f>
        <v>55</v>
      </c>
      <c r="P59" s="55" t="str">
        <f>VLOOKUP(B59,'Data Angt'!$A$5:$H$5810,8,FALSE)</f>
        <v>Mengurus Rumah Tangga</v>
      </c>
    </row>
    <row r="60" spans="1:16" x14ac:dyDescent="0.3">
      <c r="A60" s="8">
        <v>53</v>
      </c>
      <c r="B60" s="9" t="s">
        <v>674</v>
      </c>
      <c r="C60" s="10" t="str">
        <f>VLOOKUP(B60,'Data Angt'!$A$5:$B$5809,2,FALSE)</f>
        <v>A248</v>
      </c>
      <c r="D60" s="12" t="s">
        <v>15420</v>
      </c>
      <c r="E60" s="13">
        <v>45782</v>
      </c>
      <c r="F60" s="14">
        <v>45905</v>
      </c>
      <c r="G60" s="15">
        <v>40000000</v>
      </c>
      <c r="H60" s="16">
        <v>24</v>
      </c>
      <c r="I60" s="17">
        <v>21</v>
      </c>
      <c r="J60" s="15">
        <v>34434100</v>
      </c>
      <c r="K60" s="98">
        <f t="shared" si="0"/>
        <v>0</v>
      </c>
      <c r="L60" s="98" t="str">
        <f t="shared" si="1"/>
        <v>Lancar</v>
      </c>
      <c r="M60" s="5" t="str">
        <f t="shared" si="2"/>
        <v>001</v>
      </c>
      <c r="N60" s="55" t="str">
        <f>VLOOKUP(D60,Pinjaman!$E$7:$N$1900,10,FALSE)</f>
        <v>KESEJAHTERAAN</v>
      </c>
      <c r="O60" s="55">
        <f>VLOOKUP(B60,'Data Angt'!$A$5:$H$5810,6,FALSE)</f>
        <v>53</v>
      </c>
      <c r="P60" s="55" t="str">
        <f>VLOOKUP(B60,'Data Angt'!$A$5:$H$5810,8,FALSE)</f>
        <v>Wiraswasta</v>
      </c>
    </row>
    <row r="61" spans="1:16" x14ac:dyDescent="0.3">
      <c r="A61" s="8">
        <v>54</v>
      </c>
      <c r="B61" s="9" t="s">
        <v>701</v>
      </c>
      <c r="C61" s="10" t="str">
        <f>VLOOKUP(B61,'Data Angt'!$A$5:$B$5809,2,FALSE)</f>
        <v>A260</v>
      </c>
      <c r="D61" s="12" t="s">
        <v>9873</v>
      </c>
      <c r="E61" s="13">
        <v>45182</v>
      </c>
      <c r="F61" s="14">
        <v>45926</v>
      </c>
      <c r="G61" s="15">
        <v>22000000</v>
      </c>
      <c r="H61" s="16">
        <v>30</v>
      </c>
      <c r="I61" s="17">
        <v>24</v>
      </c>
      <c r="J61" s="15">
        <v>5131800</v>
      </c>
      <c r="K61" s="98">
        <f t="shared" si="0"/>
        <v>0</v>
      </c>
      <c r="L61" s="98" t="str">
        <f t="shared" si="1"/>
        <v>Lancar</v>
      </c>
      <c r="M61" s="5" t="str">
        <f t="shared" si="2"/>
        <v>001</v>
      </c>
      <c r="N61" s="55" t="str">
        <f>VLOOKUP(D61,Pinjaman!$E$7:$N$1900,10,FALSE)</f>
        <v>PENDIDIKAN</v>
      </c>
      <c r="O61" s="55">
        <f>VLOOKUP(B61,'Data Angt'!$A$5:$H$5810,6,FALSE)</f>
        <v>48</v>
      </c>
      <c r="P61" s="55" t="str">
        <f>VLOOKUP(B61,'Data Angt'!$A$5:$H$5810,8,FALSE)</f>
        <v>Karyawan</v>
      </c>
    </row>
    <row r="62" spans="1:16" x14ac:dyDescent="0.3">
      <c r="A62" s="8">
        <v>55</v>
      </c>
      <c r="B62" s="9" t="s">
        <v>706</v>
      </c>
      <c r="C62" s="10" t="str">
        <f>VLOOKUP(B62,'Data Angt'!$A$5:$B$5809,2,FALSE)</f>
        <v>A262</v>
      </c>
      <c r="D62" s="12" t="s">
        <v>15423</v>
      </c>
      <c r="E62" s="13">
        <v>45617</v>
      </c>
      <c r="F62" s="14">
        <v>45920</v>
      </c>
      <c r="G62" s="15">
        <v>10000000</v>
      </c>
      <c r="H62" s="16">
        <v>24</v>
      </c>
      <c r="I62" s="17">
        <v>24</v>
      </c>
      <c r="J62" s="15">
        <v>6400200</v>
      </c>
      <c r="K62" s="98">
        <f t="shared" si="0"/>
        <v>0</v>
      </c>
      <c r="L62" s="98" t="str">
        <f t="shared" si="1"/>
        <v>Lancar</v>
      </c>
      <c r="M62" s="5" t="str">
        <f t="shared" si="2"/>
        <v>001</v>
      </c>
      <c r="N62" s="55" t="str">
        <f>VLOOKUP(D62,Pinjaman!$E$7:$N$1900,10,FALSE)</f>
        <v>KESEJAHTERAAN</v>
      </c>
      <c r="O62" s="55">
        <f>VLOOKUP(B62,'Data Angt'!$A$5:$H$5810,6,FALSE)</f>
        <v>68</v>
      </c>
      <c r="P62" s="55" t="str">
        <f>VLOOKUP(B62,'Data Angt'!$A$5:$H$5810,8,FALSE)</f>
        <v>Aparatur/Pejabat Negara</v>
      </c>
    </row>
    <row r="63" spans="1:16" x14ac:dyDescent="0.3">
      <c r="A63" s="8">
        <v>56</v>
      </c>
      <c r="B63" s="9" t="s">
        <v>749</v>
      </c>
      <c r="C63" s="10" t="str">
        <f>VLOOKUP(B63,'Data Angt'!$A$5:$B$5809,2,FALSE)</f>
        <v>A278</v>
      </c>
      <c r="D63" s="12" t="s">
        <v>15425</v>
      </c>
      <c r="E63" s="13">
        <v>45763</v>
      </c>
      <c r="F63" s="14">
        <v>45917</v>
      </c>
      <c r="G63" s="15">
        <v>5000000</v>
      </c>
      <c r="H63" s="16">
        <v>10</v>
      </c>
      <c r="I63" s="17">
        <v>24</v>
      </c>
      <c r="J63" s="15">
        <v>2129200</v>
      </c>
      <c r="K63" s="98">
        <f t="shared" si="0"/>
        <v>0</v>
      </c>
      <c r="L63" s="98" t="str">
        <f t="shared" si="1"/>
        <v>Lancar</v>
      </c>
      <c r="M63" s="5" t="str">
        <f t="shared" si="2"/>
        <v>001</v>
      </c>
      <c r="N63" s="55" t="str">
        <f>VLOOKUP(D63,Pinjaman!$E$7:$N$1900,10,FALSE)</f>
        <v>KONSUMTIF</v>
      </c>
      <c r="O63" s="55">
        <f>VLOOKUP(B63,'Data Angt'!$A$5:$H$5810,6,FALSE)</f>
        <v>59</v>
      </c>
      <c r="P63" s="55" t="str">
        <f>VLOOKUP(B63,'Data Angt'!$A$5:$H$5810,8,FALSE)</f>
        <v>Mengurus Rumah Tangga</v>
      </c>
    </row>
    <row r="64" spans="1:16" x14ac:dyDescent="0.3">
      <c r="A64" s="8">
        <v>57</v>
      </c>
      <c r="B64" s="9" t="s">
        <v>777</v>
      </c>
      <c r="C64" s="10" t="str">
        <f>VLOOKUP(B64,'Data Angt'!$A$5:$B$5809,2,FALSE)</f>
        <v>A288</v>
      </c>
      <c r="D64" s="12" t="s">
        <v>9875</v>
      </c>
      <c r="E64" s="13">
        <v>45000</v>
      </c>
      <c r="F64" s="14">
        <v>45930</v>
      </c>
      <c r="G64" s="15">
        <v>30000000</v>
      </c>
      <c r="H64" s="16">
        <v>48</v>
      </c>
      <c r="I64" s="17">
        <v>21</v>
      </c>
      <c r="J64" s="15">
        <v>14284900</v>
      </c>
      <c r="K64" s="98">
        <f t="shared" si="0"/>
        <v>0</v>
      </c>
      <c r="L64" s="98" t="str">
        <f t="shared" si="1"/>
        <v>Lancar</v>
      </c>
      <c r="M64" s="5" t="str">
        <f t="shared" si="2"/>
        <v>001</v>
      </c>
      <c r="N64" s="55" t="str">
        <f>VLOOKUP(D64,Pinjaman!$E$7:$N$1900,10,FALSE)</f>
        <v>PRODUKTIF</v>
      </c>
      <c r="O64" s="55">
        <f>VLOOKUP(B64,'Data Angt'!$A$5:$H$5810,6,FALSE)</f>
        <v>44</v>
      </c>
      <c r="P64" s="55" t="str">
        <f>VLOOKUP(B64,'Data Angt'!$A$5:$H$5810,8,FALSE)</f>
        <v>Karyawan</v>
      </c>
    </row>
    <row r="65" spans="1:16" x14ac:dyDescent="0.3">
      <c r="A65" s="8">
        <v>58</v>
      </c>
      <c r="B65" s="9" t="s">
        <v>841</v>
      </c>
      <c r="C65" s="10" t="str">
        <f>VLOOKUP(B65,'Data Angt'!$A$5:$B$5809,2,FALSE)</f>
        <v>A314</v>
      </c>
      <c r="D65" s="12" t="s">
        <v>22242</v>
      </c>
      <c r="E65" s="13">
        <v>45862</v>
      </c>
      <c r="F65" s="14">
        <v>45920</v>
      </c>
      <c r="G65" s="15">
        <v>120000000</v>
      </c>
      <c r="H65" s="16">
        <v>60</v>
      </c>
      <c r="I65" s="17">
        <v>11.4</v>
      </c>
      <c r="J65" s="15">
        <v>116999700</v>
      </c>
      <c r="K65" s="98">
        <f t="shared" si="0"/>
        <v>0</v>
      </c>
      <c r="L65" s="98" t="str">
        <f t="shared" si="1"/>
        <v>Lancar</v>
      </c>
      <c r="M65" s="5" t="str">
        <f t="shared" si="2"/>
        <v>001</v>
      </c>
      <c r="N65" s="55" t="str">
        <f>VLOOKUP(D65,Pinjaman!$E$7:$N$1900,10,FALSE)</f>
        <v>KESEJAHTERAAN</v>
      </c>
      <c r="O65" s="55">
        <f>VLOOKUP(B65,'Data Angt'!$A$5:$H$5810,6,FALSE)</f>
        <v>45</v>
      </c>
      <c r="P65" s="55" t="str">
        <f>VLOOKUP(B65,'Data Angt'!$A$5:$H$5810,8,FALSE)</f>
        <v>Tenaga Pengajar</v>
      </c>
    </row>
    <row r="66" spans="1:16" x14ac:dyDescent="0.3">
      <c r="A66" s="8">
        <v>59</v>
      </c>
      <c r="B66" s="9" t="s">
        <v>841</v>
      </c>
      <c r="C66" s="10" t="str">
        <f>VLOOKUP(B66,'Data Angt'!$A$5:$B$5809,2,FALSE)</f>
        <v>A314</v>
      </c>
      <c r="D66" s="12" t="s">
        <v>15428</v>
      </c>
      <c r="E66" s="13">
        <v>45636</v>
      </c>
      <c r="F66" s="14">
        <v>45912</v>
      </c>
      <c r="G66" s="15">
        <v>5000000</v>
      </c>
      <c r="H66" s="16">
        <v>12</v>
      </c>
      <c r="I66" s="17">
        <v>11.88</v>
      </c>
      <c r="J66" s="15">
        <v>879100</v>
      </c>
      <c r="K66" s="98">
        <f t="shared" si="0"/>
        <v>0</v>
      </c>
      <c r="L66" s="98" t="str">
        <f t="shared" si="1"/>
        <v>Lancar</v>
      </c>
      <c r="M66" s="5" t="str">
        <f t="shared" si="2"/>
        <v>001</v>
      </c>
      <c r="N66" s="55" t="str">
        <f>VLOOKUP(D66,Pinjaman!$E$7:$N$1900,10,FALSE)</f>
        <v>KONSUMTIF</v>
      </c>
      <c r="O66" s="55">
        <f>VLOOKUP(B66,'Data Angt'!$A$5:$H$5810,6,FALSE)</f>
        <v>45</v>
      </c>
      <c r="P66" s="55" t="str">
        <f>VLOOKUP(B66,'Data Angt'!$A$5:$H$5810,8,FALSE)</f>
        <v>Tenaga Pengajar</v>
      </c>
    </row>
    <row r="67" spans="1:16" x14ac:dyDescent="0.3">
      <c r="A67" s="8">
        <v>60</v>
      </c>
      <c r="B67" s="9" t="s">
        <v>884</v>
      </c>
      <c r="C67" s="10" t="str">
        <f>VLOOKUP(B67,'Data Angt'!$A$5:$B$5809,2,FALSE)</f>
        <v>A336</v>
      </c>
      <c r="D67" s="12" t="s">
        <v>15431</v>
      </c>
      <c r="E67" s="13">
        <v>45455</v>
      </c>
      <c r="F67" s="14">
        <v>45908</v>
      </c>
      <c r="G67" s="15">
        <v>4000000</v>
      </c>
      <c r="H67" s="16">
        <v>24</v>
      </c>
      <c r="I67" s="17">
        <v>24</v>
      </c>
      <c r="J67" s="15">
        <v>1726900</v>
      </c>
      <c r="K67" s="98">
        <f t="shared" si="0"/>
        <v>0</v>
      </c>
      <c r="L67" s="98" t="str">
        <f t="shared" si="1"/>
        <v>Lancar</v>
      </c>
      <c r="M67" s="5" t="str">
        <f t="shared" si="2"/>
        <v>001</v>
      </c>
      <c r="N67" s="55" t="str">
        <f>VLOOKUP(D67,Pinjaman!$E$7:$N$1900,10,FALSE)</f>
        <v>KONSUMTIF</v>
      </c>
      <c r="O67" s="55">
        <f>VLOOKUP(B67,'Data Angt'!$A$5:$H$5810,6,FALSE)</f>
        <v>57</v>
      </c>
      <c r="P67" s="55" t="str">
        <f>VLOOKUP(B67,'Data Angt'!$A$5:$H$5810,8,FALSE)</f>
        <v>Wiraswasta</v>
      </c>
    </row>
    <row r="68" spans="1:16" x14ac:dyDescent="0.3">
      <c r="A68" s="8">
        <v>61</v>
      </c>
      <c r="B68" s="9" t="s">
        <v>915</v>
      </c>
      <c r="C68" s="10" t="str">
        <f>VLOOKUP(B68,'Data Angt'!$A$5:$B$5809,2,FALSE)</f>
        <v>A350</v>
      </c>
      <c r="D68" s="12" t="s">
        <v>22245</v>
      </c>
      <c r="E68" s="13">
        <v>45866</v>
      </c>
      <c r="F68" s="14">
        <v>45919</v>
      </c>
      <c r="G68" s="15">
        <v>11000000</v>
      </c>
      <c r="H68" s="16">
        <v>12</v>
      </c>
      <c r="I68" s="17">
        <v>24</v>
      </c>
      <c r="J68" s="15">
        <v>9343200</v>
      </c>
      <c r="K68" s="98">
        <f t="shared" si="0"/>
        <v>0</v>
      </c>
      <c r="L68" s="98" t="str">
        <f t="shared" si="1"/>
        <v>Lancar</v>
      </c>
      <c r="M68" s="5" t="str">
        <f t="shared" si="2"/>
        <v>001</v>
      </c>
      <c r="N68" s="55" t="str">
        <f>VLOOKUP(D68,Pinjaman!$E$7:$N$1900,10,FALSE)</f>
        <v>KONSUMTIF</v>
      </c>
      <c r="O68" s="55">
        <f>VLOOKUP(B68,'Data Angt'!$A$5:$H$5810,6,FALSE)</f>
        <v>35</v>
      </c>
      <c r="P68" s="55" t="str">
        <f>VLOOKUP(B68,'Data Angt'!$A$5:$H$5810,8,FALSE)</f>
        <v>Wiraswasta</v>
      </c>
    </row>
    <row r="69" spans="1:16" x14ac:dyDescent="0.3">
      <c r="A69" s="8">
        <v>62</v>
      </c>
      <c r="B69" s="9" t="s">
        <v>924</v>
      </c>
      <c r="C69" s="10" t="str">
        <f>VLOOKUP(B69,'Data Angt'!$A$5:$B$5809,2,FALSE)</f>
        <v>A353</v>
      </c>
      <c r="D69" s="12" t="s">
        <v>15434</v>
      </c>
      <c r="E69" s="13">
        <v>45836</v>
      </c>
      <c r="F69" s="14">
        <v>45922</v>
      </c>
      <c r="G69" s="15">
        <v>30000000</v>
      </c>
      <c r="H69" s="16">
        <v>36</v>
      </c>
      <c r="I69" s="17">
        <v>21</v>
      </c>
      <c r="J69" s="15">
        <v>27499800</v>
      </c>
      <c r="K69" s="98">
        <f t="shared" si="0"/>
        <v>0</v>
      </c>
      <c r="L69" s="98" t="str">
        <f t="shared" si="1"/>
        <v>Lancar</v>
      </c>
      <c r="M69" s="5" t="str">
        <f t="shared" si="2"/>
        <v>001</v>
      </c>
      <c r="N69" s="55" t="str">
        <f>VLOOKUP(D69,Pinjaman!$E$7:$N$1900,10,FALSE)</f>
        <v>KONSUMTIF</v>
      </c>
      <c r="O69" s="55">
        <f>VLOOKUP(B69,'Data Angt'!$A$5:$H$5810,6,FALSE)</f>
        <v>59</v>
      </c>
      <c r="P69" s="55" t="str">
        <f>VLOOKUP(B69,'Data Angt'!$A$5:$H$5810,8,FALSE)</f>
        <v>Wiraswasta</v>
      </c>
    </row>
    <row r="70" spans="1:16" x14ac:dyDescent="0.3">
      <c r="A70" s="8">
        <v>63</v>
      </c>
      <c r="B70" s="9" t="s">
        <v>930</v>
      </c>
      <c r="C70" s="10" t="str">
        <f>VLOOKUP(B70,'Data Angt'!$A$5:$B$5809,2,FALSE)</f>
        <v>A355</v>
      </c>
      <c r="D70" s="12" t="s">
        <v>9879</v>
      </c>
      <c r="E70" s="13">
        <v>41575</v>
      </c>
      <c r="F70" s="14">
        <v>45930</v>
      </c>
      <c r="G70" s="15">
        <v>150000000</v>
      </c>
      <c r="H70" s="16">
        <v>84</v>
      </c>
      <c r="I70" s="17">
        <v>7.77</v>
      </c>
      <c r="J70" s="15">
        <v>27825700</v>
      </c>
      <c r="K70" s="98">
        <f t="shared" si="0"/>
        <v>0</v>
      </c>
      <c r="L70" s="98" t="str">
        <f t="shared" si="1"/>
        <v>Lancar</v>
      </c>
      <c r="M70" s="5" t="str">
        <f t="shared" si="2"/>
        <v>001</v>
      </c>
      <c r="N70" s="55">
        <f>VLOOKUP(D70,Pinjaman!$E$7:$N$1900,10,FALSE)</f>
        <v>0</v>
      </c>
      <c r="O70" s="55">
        <f>VLOOKUP(B70,'Data Angt'!$A$5:$H$5810,6,FALSE)</f>
        <v>41</v>
      </c>
      <c r="P70" s="55" t="str">
        <f>VLOOKUP(B70,'Data Angt'!$A$5:$H$5810,8,FALSE)</f>
        <v>Karyawan</v>
      </c>
    </row>
    <row r="71" spans="1:16" x14ac:dyDescent="0.3">
      <c r="A71" s="8">
        <v>64</v>
      </c>
      <c r="B71" s="9" t="s">
        <v>933</v>
      </c>
      <c r="C71" s="10" t="str">
        <f>VLOOKUP(B71,'Data Angt'!$A$5:$B$5809,2,FALSE)</f>
        <v>A356</v>
      </c>
      <c r="D71" s="12" t="s">
        <v>22250</v>
      </c>
      <c r="E71" s="13">
        <v>45875</v>
      </c>
      <c r="F71" s="14">
        <v>45904</v>
      </c>
      <c r="G71" s="15">
        <v>15000000</v>
      </c>
      <c r="H71" s="16">
        <v>12</v>
      </c>
      <c r="I71" s="17">
        <v>24</v>
      </c>
      <c r="J71" s="15">
        <v>13881600</v>
      </c>
      <c r="K71" s="98">
        <f t="shared" si="0"/>
        <v>0</v>
      </c>
      <c r="L71" s="98" t="str">
        <f t="shared" si="1"/>
        <v>Lancar</v>
      </c>
      <c r="M71" s="5" t="str">
        <f t="shared" si="2"/>
        <v>001</v>
      </c>
      <c r="N71" s="55" t="str">
        <f>VLOOKUP(D71,Pinjaman!$E$7:$N$1900,10,FALSE)</f>
        <v>KESEJAHTERAAN</v>
      </c>
      <c r="O71" s="55">
        <f>VLOOKUP(B71,'Data Angt'!$A$5:$H$5810,6,FALSE)</f>
        <v>33</v>
      </c>
      <c r="P71" s="55" t="str">
        <f>VLOOKUP(B71,'Data Angt'!$A$5:$H$5810,8,FALSE)</f>
        <v>Karyawan</v>
      </c>
    </row>
    <row r="72" spans="1:16" x14ac:dyDescent="0.3">
      <c r="A72" s="8">
        <v>65</v>
      </c>
      <c r="B72" s="9" t="s">
        <v>937</v>
      </c>
      <c r="C72" s="10" t="str">
        <f>VLOOKUP(B72,'Data Angt'!$A$5:$B$5809,2,FALSE)</f>
        <v>A357</v>
      </c>
      <c r="D72" s="12" t="s">
        <v>15437</v>
      </c>
      <c r="E72" s="13">
        <v>45455</v>
      </c>
      <c r="F72" s="14">
        <v>45913</v>
      </c>
      <c r="G72" s="15">
        <v>200000000</v>
      </c>
      <c r="H72" s="16">
        <v>120</v>
      </c>
      <c r="I72" s="17">
        <v>11.4</v>
      </c>
      <c r="J72" s="15">
        <v>184529200</v>
      </c>
      <c r="K72" s="98">
        <f t="shared" si="0"/>
        <v>0</v>
      </c>
      <c r="L72" s="98" t="str">
        <f t="shared" si="1"/>
        <v>Lancar</v>
      </c>
      <c r="M72" s="5" t="str">
        <f t="shared" si="2"/>
        <v>001</v>
      </c>
      <c r="N72" s="55" t="str">
        <f>VLOOKUP(D72,Pinjaman!$E$7:$N$1900,10,FALSE)</f>
        <v>KESEJAHTERAAN</v>
      </c>
      <c r="O72" s="55">
        <f>VLOOKUP(B72,'Data Angt'!$A$5:$H$5810,6,FALSE)</f>
        <v>31</v>
      </c>
      <c r="P72" s="55" t="str">
        <f>VLOOKUP(B72,'Data Angt'!$A$5:$H$5810,8,FALSE)</f>
        <v>Karyawan</v>
      </c>
    </row>
    <row r="73" spans="1:16" x14ac:dyDescent="0.3">
      <c r="A73" s="8">
        <v>66</v>
      </c>
      <c r="B73" s="9" t="s">
        <v>939</v>
      </c>
      <c r="C73" s="10" t="str">
        <f>VLOOKUP(B73,'Data Angt'!$A$5:$B$5809,2,FALSE)</f>
        <v>A358</v>
      </c>
      <c r="D73" s="12" t="s">
        <v>15439</v>
      </c>
      <c r="E73" s="13">
        <v>45453</v>
      </c>
      <c r="F73" s="14">
        <v>45926</v>
      </c>
      <c r="G73" s="15">
        <v>7000000</v>
      </c>
      <c r="H73" s="16">
        <v>20</v>
      </c>
      <c r="I73" s="17">
        <v>24</v>
      </c>
      <c r="J73" s="15">
        <v>2413200</v>
      </c>
      <c r="K73" s="98">
        <f t="shared" ref="K73:K136" si="3">DATEDIF(F73,$K$6,"m")</f>
        <v>0</v>
      </c>
      <c r="L73" s="98" t="str">
        <f t="shared" ref="L73:L136" si="4">IF(K73&lt;=3,"Lancar",IF(K73&lt;=6,"Kurang lancar",IF(K73&lt;=12,"Diragukan","Macet")))</f>
        <v>Lancar</v>
      </c>
      <c r="M73" s="5" t="str">
        <f t="shared" ref="M73:M136" si="5">MID(B73,7,3)</f>
        <v>001</v>
      </c>
      <c r="N73" s="55" t="str">
        <f>VLOOKUP(D73,Pinjaman!$E$7:$N$1900,10,FALSE)</f>
        <v>PRODUKTIF</v>
      </c>
      <c r="O73" s="55">
        <f>VLOOKUP(B73,'Data Angt'!$A$5:$H$5810,6,FALSE)</f>
        <v>53</v>
      </c>
      <c r="P73" s="55" t="str">
        <f>VLOOKUP(B73,'Data Angt'!$A$5:$H$5810,8,FALSE)</f>
        <v>Karyawan</v>
      </c>
    </row>
    <row r="74" spans="1:16" x14ac:dyDescent="0.3">
      <c r="A74" s="8">
        <v>67</v>
      </c>
      <c r="B74" s="9" t="s">
        <v>944</v>
      </c>
      <c r="C74" s="10" t="str">
        <f>VLOOKUP(B74,'Data Angt'!$A$5:$B$5809,2,FALSE)</f>
        <v>A360</v>
      </c>
      <c r="D74" s="12" t="s">
        <v>15441</v>
      </c>
      <c r="E74" s="13">
        <v>45419</v>
      </c>
      <c r="F74" s="14">
        <v>45915</v>
      </c>
      <c r="G74" s="15">
        <v>15000000</v>
      </c>
      <c r="H74" s="16">
        <v>24</v>
      </c>
      <c r="I74" s="17">
        <v>24</v>
      </c>
      <c r="J74" s="15">
        <v>5835900</v>
      </c>
      <c r="K74" s="98">
        <f t="shared" si="3"/>
        <v>0</v>
      </c>
      <c r="L74" s="98" t="str">
        <f t="shared" si="4"/>
        <v>Lancar</v>
      </c>
      <c r="M74" s="5" t="str">
        <f t="shared" si="5"/>
        <v>001</v>
      </c>
      <c r="N74" s="55" t="str">
        <f>VLOOKUP(D74,Pinjaman!$E$7:$N$1900,10,FALSE)</f>
        <v>KESEJAHTERAAN</v>
      </c>
      <c r="O74" s="55">
        <f>VLOOKUP(B74,'Data Angt'!$A$5:$H$5810,6,FALSE)</f>
        <v>52</v>
      </c>
      <c r="P74" s="55" t="str">
        <f>VLOOKUP(B74,'Data Angt'!$A$5:$H$5810,8,FALSE)</f>
        <v>Lain-Lain</v>
      </c>
    </row>
    <row r="75" spans="1:16" x14ac:dyDescent="0.3">
      <c r="A75" s="8">
        <v>68</v>
      </c>
      <c r="B75" s="9" t="s">
        <v>966</v>
      </c>
      <c r="C75" s="10" t="str">
        <f>VLOOKUP(B75,'Data Angt'!$A$5:$B$5809,2,FALSE)</f>
        <v>A368</v>
      </c>
      <c r="D75" s="12" t="s">
        <v>15444</v>
      </c>
      <c r="E75" s="13">
        <v>45810</v>
      </c>
      <c r="F75" s="14">
        <v>45902</v>
      </c>
      <c r="G75" s="15">
        <v>120000000</v>
      </c>
      <c r="H75" s="16">
        <v>60</v>
      </c>
      <c r="I75" s="17">
        <v>21</v>
      </c>
      <c r="J75" s="15">
        <v>116500100</v>
      </c>
      <c r="K75" s="98">
        <f t="shared" si="3"/>
        <v>0</v>
      </c>
      <c r="L75" s="98" t="str">
        <f t="shared" si="4"/>
        <v>Lancar</v>
      </c>
      <c r="M75" s="5" t="str">
        <f t="shared" si="5"/>
        <v>001</v>
      </c>
      <c r="N75" s="55" t="str">
        <f>VLOOKUP(D75,Pinjaman!$E$7:$N$1900,10,FALSE)</f>
        <v>KESEJAHTERAAN</v>
      </c>
      <c r="O75" s="55">
        <f>VLOOKUP(B75,'Data Angt'!$A$5:$H$5810,6,FALSE)</f>
        <v>47</v>
      </c>
      <c r="P75" s="55" t="str">
        <f>VLOOKUP(B75,'Data Angt'!$A$5:$H$5810,8,FALSE)</f>
        <v>Karyawan</v>
      </c>
    </row>
    <row r="76" spans="1:16" x14ac:dyDescent="0.3">
      <c r="A76" s="8">
        <v>69</v>
      </c>
      <c r="B76" s="9" t="s">
        <v>969</v>
      </c>
      <c r="C76" s="10" t="str">
        <f>VLOOKUP(B76,'Data Angt'!$A$5:$B$5809,2,FALSE)</f>
        <v>A369</v>
      </c>
      <c r="D76" s="12" t="s">
        <v>15446</v>
      </c>
      <c r="E76" s="13">
        <v>45813</v>
      </c>
      <c r="F76" s="14">
        <v>45926</v>
      </c>
      <c r="G76" s="15">
        <v>1500000</v>
      </c>
      <c r="H76" s="16">
        <v>7</v>
      </c>
      <c r="I76" s="17">
        <v>18</v>
      </c>
      <c r="J76" s="15">
        <v>876200</v>
      </c>
      <c r="K76" s="98">
        <f t="shared" si="3"/>
        <v>0</v>
      </c>
      <c r="L76" s="98" t="str">
        <f t="shared" si="4"/>
        <v>Lancar</v>
      </c>
      <c r="M76" s="5" t="str">
        <f t="shared" si="5"/>
        <v>001</v>
      </c>
      <c r="N76" s="55" t="str">
        <f>VLOOKUP(D76,Pinjaman!$E$7:$N$1900,10,FALSE)</f>
        <v>KONSUMTIF</v>
      </c>
      <c r="O76" s="55">
        <f>VLOOKUP(B76,'Data Angt'!$A$5:$H$5810,6,FALSE)</f>
        <v>51</v>
      </c>
      <c r="P76" s="55" t="str">
        <f>VLOOKUP(B76,'Data Angt'!$A$5:$H$5810,8,FALSE)</f>
        <v>Karyawan</v>
      </c>
    </row>
    <row r="77" spans="1:16" x14ac:dyDescent="0.3">
      <c r="A77" s="8">
        <v>70</v>
      </c>
      <c r="B77" s="9" t="s">
        <v>969</v>
      </c>
      <c r="C77" s="10" t="str">
        <f>VLOOKUP(B77,'Data Angt'!$A$5:$B$5809,2,FALSE)</f>
        <v>A369</v>
      </c>
      <c r="D77" s="12" t="s">
        <v>9882</v>
      </c>
      <c r="E77" s="13">
        <v>43993</v>
      </c>
      <c r="F77" s="14">
        <v>45926</v>
      </c>
      <c r="G77" s="15">
        <v>212116700</v>
      </c>
      <c r="H77" s="16">
        <v>60</v>
      </c>
      <c r="I77" s="17">
        <v>2.4</v>
      </c>
      <c r="J77" s="15">
        <v>193386100</v>
      </c>
      <c r="K77" s="98">
        <f t="shared" si="3"/>
        <v>0</v>
      </c>
      <c r="L77" s="98" t="str">
        <f t="shared" si="4"/>
        <v>Lancar</v>
      </c>
      <c r="M77" s="5" t="str">
        <f t="shared" si="5"/>
        <v>001</v>
      </c>
      <c r="N77" s="55" t="str">
        <f>VLOOKUP(D77,Pinjaman!$E$7:$N$1900,10,FALSE)</f>
        <v>KESEJAHTERAAN</v>
      </c>
      <c r="O77" s="55">
        <f>VLOOKUP(B77,'Data Angt'!$A$5:$H$5810,6,FALSE)</f>
        <v>51</v>
      </c>
      <c r="P77" s="55" t="str">
        <f>VLOOKUP(B77,'Data Angt'!$A$5:$H$5810,8,FALSE)</f>
        <v>Karyawan</v>
      </c>
    </row>
    <row r="78" spans="1:16" x14ac:dyDescent="0.3">
      <c r="A78" s="8">
        <v>71</v>
      </c>
      <c r="B78" s="9" t="s">
        <v>984</v>
      </c>
      <c r="C78" s="10" t="str">
        <f>VLOOKUP(B78,'Data Angt'!$A$5:$B$5809,2,FALSE)</f>
        <v>A374</v>
      </c>
      <c r="D78" s="12" t="s">
        <v>15448</v>
      </c>
      <c r="E78" s="13">
        <v>45677</v>
      </c>
      <c r="F78" s="14">
        <v>45919</v>
      </c>
      <c r="G78" s="15">
        <v>400000000</v>
      </c>
      <c r="H78" s="16">
        <v>120</v>
      </c>
      <c r="I78" s="17">
        <v>15</v>
      </c>
      <c r="J78" s="15">
        <v>387851600</v>
      </c>
      <c r="K78" s="98">
        <f t="shared" si="3"/>
        <v>0</v>
      </c>
      <c r="L78" s="98" t="str">
        <f t="shared" si="4"/>
        <v>Lancar</v>
      </c>
      <c r="M78" s="5" t="str">
        <f t="shared" si="5"/>
        <v>001</v>
      </c>
      <c r="N78" s="55" t="str">
        <f>VLOOKUP(D78,Pinjaman!$E$7:$N$1900,10,FALSE)</f>
        <v>PRODUKTIF</v>
      </c>
      <c r="O78" s="55">
        <f>VLOOKUP(B78,'Data Angt'!$A$5:$H$5810,6,FALSE)</f>
        <v>44</v>
      </c>
      <c r="P78" s="55" t="str">
        <f>VLOOKUP(B78,'Data Angt'!$A$5:$H$5810,8,FALSE)</f>
        <v>Aparatur/Pejabat Negara</v>
      </c>
    </row>
    <row r="79" spans="1:16" x14ac:dyDescent="0.3">
      <c r="A79" s="8">
        <v>72</v>
      </c>
      <c r="B79" s="9" t="s">
        <v>987</v>
      </c>
      <c r="C79" s="10" t="str">
        <f>VLOOKUP(B79,'Data Angt'!$A$5:$B$5809,2,FALSE)</f>
        <v>A375</v>
      </c>
      <c r="D79" s="12" t="s">
        <v>15451</v>
      </c>
      <c r="E79" s="13">
        <v>45527</v>
      </c>
      <c r="F79" s="14">
        <v>45925</v>
      </c>
      <c r="G79" s="15">
        <v>100000000</v>
      </c>
      <c r="H79" s="16">
        <v>24</v>
      </c>
      <c r="I79" s="17">
        <v>21</v>
      </c>
      <c r="J79" s="15">
        <v>45832900</v>
      </c>
      <c r="K79" s="98">
        <f t="shared" si="3"/>
        <v>0</v>
      </c>
      <c r="L79" s="98" t="str">
        <f t="shared" si="4"/>
        <v>Lancar</v>
      </c>
      <c r="M79" s="5" t="str">
        <f t="shared" si="5"/>
        <v>001</v>
      </c>
      <c r="N79" s="55" t="str">
        <f>VLOOKUP(D79,Pinjaman!$E$7:$N$1900,10,FALSE)</f>
        <v>KONSUMTIF</v>
      </c>
      <c r="O79" s="55">
        <f>VLOOKUP(B79,'Data Angt'!$A$5:$H$5810,6,FALSE)</f>
        <v>53</v>
      </c>
      <c r="P79" s="55" t="str">
        <f>VLOOKUP(B79,'Data Angt'!$A$5:$H$5810,8,FALSE)</f>
        <v>Mengurus Rumah Tangga</v>
      </c>
    </row>
    <row r="80" spans="1:16" x14ac:dyDescent="0.3">
      <c r="A80" s="8">
        <v>73</v>
      </c>
      <c r="B80" s="9" t="s">
        <v>1004</v>
      </c>
      <c r="C80" s="10" t="str">
        <f>VLOOKUP(B80,'Data Angt'!$A$5:$B$5809,2,FALSE)</f>
        <v>A383</v>
      </c>
      <c r="D80" s="12" t="s">
        <v>15454</v>
      </c>
      <c r="E80" s="13">
        <v>45656</v>
      </c>
      <c r="F80" s="14">
        <v>45915</v>
      </c>
      <c r="G80" s="15">
        <v>10000000</v>
      </c>
      <c r="H80" s="16">
        <v>12</v>
      </c>
      <c r="I80" s="17">
        <v>11.9</v>
      </c>
      <c r="J80" s="15">
        <v>2611800</v>
      </c>
      <c r="K80" s="98">
        <f t="shared" si="3"/>
        <v>0</v>
      </c>
      <c r="L80" s="98" t="str">
        <f t="shared" si="4"/>
        <v>Lancar</v>
      </c>
      <c r="M80" s="5" t="str">
        <f t="shared" si="5"/>
        <v>001</v>
      </c>
      <c r="N80" s="55" t="str">
        <f>VLOOKUP(D80,Pinjaman!$E$7:$N$1900,10,FALSE)</f>
        <v>KONSUMTIF</v>
      </c>
      <c r="O80" s="55">
        <f>VLOOKUP(B80,'Data Angt'!$A$5:$H$5810,6,FALSE)</f>
        <v>50</v>
      </c>
      <c r="P80" s="55" t="str">
        <f>VLOOKUP(B80,'Data Angt'!$A$5:$H$5810,8,FALSE)</f>
        <v>Aparatur/Pejabat Negara</v>
      </c>
    </row>
    <row r="81" spans="1:16" x14ac:dyDescent="0.3">
      <c r="A81" s="8">
        <v>74</v>
      </c>
      <c r="B81" s="9" t="s">
        <v>1016</v>
      </c>
      <c r="C81" s="10" t="str">
        <f>VLOOKUP(B81,'Data Angt'!$A$5:$B$5809,2,FALSE)</f>
        <v>A388</v>
      </c>
      <c r="D81" s="12" t="s">
        <v>15456</v>
      </c>
      <c r="E81" s="13">
        <v>45457</v>
      </c>
      <c r="F81" s="14">
        <v>45910</v>
      </c>
      <c r="G81" s="15">
        <v>17000000</v>
      </c>
      <c r="H81" s="16">
        <v>20</v>
      </c>
      <c r="I81" s="17">
        <v>24</v>
      </c>
      <c r="J81" s="15">
        <v>4900600</v>
      </c>
      <c r="K81" s="98">
        <f t="shared" si="3"/>
        <v>0</v>
      </c>
      <c r="L81" s="98" t="str">
        <f t="shared" si="4"/>
        <v>Lancar</v>
      </c>
      <c r="M81" s="5" t="str">
        <f t="shared" si="5"/>
        <v>001</v>
      </c>
      <c r="N81" s="55" t="str">
        <f>VLOOKUP(D81,Pinjaman!$E$7:$N$1900,10,FALSE)</f>
        <v>PRODUKTIF</v>
      </c>
      <c r="O81" s="55">
        <f>VLOOKUP(B81,'Data Angt'!$A$5:$H$5810,6,FALSE)</f>
        <v>54</v>
      </c>
      <c r="P81" s="55" t="str">
        <f>VLOOKUP(B81,'Data Angt'!$A$5:$H$5810,8,FALSE)</f>
        <v>Wiraswasta</v>
      </c>
    </row>
    <row r="82" spans="1:16" x14ac:dyDescent="0.3">
      <c r="A82" s="8">
        <v>75</v>
      </c>
      <c r="B82" s="9" t="s">
        <v>1072</v>
      </c>
      <c r="C82" s="10" t="str">
        <f>VLOOKUP(B82,'Data Angt'!$A$5:$B$5809,2,FALSE)</f>
        <v>A414</v>
      </c>
      <c r="D82" s="12" t="s">
        <v>15458</v>
      </c>
      <c r="E82" s="13">
        <v>45642</v>
      </c>
      <c r="F82" s="14">
        <v>45908</v>
      </c>
      <c r="G82" s="15">
        <v>10000000</v>
      </c>
      <c r="H82" s="16">
        <v>24</v>
      </c>
      <c r="I82" s="17">
        <v>24</v>
      </c>
      <c r="J82" s="15">
        <v>6793100</v>
      </c>
      <c r="K82" s="98">
        <f t="shared" si="3"/>
        <v>0</v>
      </c>
      <c r="L82" s="98" t="str">
        <f t="shared" si="4"/>
        <v>Lancar</v>
      </c>
      <c r="M82" s="5" t="str">
        <f t="shared" si="5"/>
        <v>001</v>
      </c>
      <c r="N82" s="55" t="str">
        <f>VLOOKUP(D82,Pinjaman!$E$7:$N$1900,10,FALSE)</f>
        <v>KONSUMTIF</v>
      </c>
      <c r="O82" s="55">
        <f>VLOOKUP(B82,'Data Angt'!$A$5:$H$5810,6,FALSE)</f>
        <v>52</v>
      </c>
      <c r="P82" s="55" t="str">
        <f>VLOOKUP(B82,'Data Angt'!$A$5:$H$5810,8,FALSE)</f>
        <v>Lain-Lain</v>
      </c>
    </row>
    <row r="83" spans="1:16" x14ac:dyDescent="0.3">
      <c r="A83" s="8">
        <v>76</v>
      </c>
      <c r="B83" s="9" t="s">
        <v>1098</v>
      </c>
      <c r="C83" s="10" t="str">
        <f>VLOOKUP(B83,'Data Angt'!$A$5:$B$5809,2,FALSE)</f>
        <v>A425</v>
      </c>
      <c r="D83" s="12" t="s">
        <v>15460</v>
      </c>
      <c r="E83" s="13">
        <v>45570</v>
      </c>
      <c r="F83" s="14">
        <v>45930</v>
      </c>
      <c r="G83" s="15">
        <v>10000000</v>
      </c>
      <c r="H83" s="16">
        <v>36</v>
      </c>
      <c r="I83" s="17">
        <v>24</v>
      </c>
      <c r="J83" s="15">
        <v>7663900</v>
      </c>
      <c r="K83" s="98">
        <f t="shared" si="3"/>
        <v>0</v>
      </c>
      <c r="L83" s="98" t="str">
        <f t="shared" si="4"/>
        <v>Lancar</v>
      </c>
      <c r="M83" s="5" t="str">
        <f t="shared" si="5"/>
        <v>001</v>
      </c>
      <c r="N83" s="55" t="str">
        <f>VLOOKUP(D83,Pinjaman!$E$7:$N$1900,10,FALSE)</f>
        <v>PRODUKTIF</v>
      </c>
      <c r="O83" s="55">
        <f>VLOOKUP(B83,'Data Angt'!$A$5:$H$5810,6,FALSE)</f>
        <v>57</v>
      </c>
      <c r="P83" s="55" t="str">
        <f>VLOOKUP(B83,'Data Angt'!$A$5:$H$5810,8,FALSE)</f>
        <v>Mengurus Rumah Tangga</v>
      </c>
    </row>
    <row r="84" spans="1:16" x14ac:dyDescent="0.3">
      <c r="A84" s="8">
        <v>77</v>
      </c>
      <c r="B84" s="9" t="s">
        <v>1116</v>
      </c>
      <c r="C84" s="10" t="str">
        <f>VLOOKUP(B84,'Data Angt'!$A$5:$B$5809,2,FALSE)</f>
        <v>A434</v>
      </c>
      <c r="D84" s="12" t="s">
        <v>15462</v>
      </c>
      <c r="E84" s="13">
        <v>45733</v>
      </c>
      <c r="F84" s="14">
        <v>45916</v>
      </c>
      <c r="G84" s="15">
        <v>75000000</v>
      </c>
      <c r="H84" s="16">
        <v>36</v>
      </c>
      <c r="I84" s="17">
        <v>21</v>
      </c>
      <c r="J84" s="15">
        <v>65514400</v>
      </c>
      <c r="K84" s="98">
        <f t="shared" si="3"/>
        <v>0</v>
      </c>
      <c r="L84" s="98" t="str">
        <f t="shared" si="4"/>
        <v>Lancar</v>
      </c>
      <c r="M84" s="5" t="str">
        <f t="shared" si="5"/>
        <v>001</v>
      </c>
      <c r="N84" s="55" t="str">
        <f>VLOOKUP(D84,Pinjaman!$E$7:$N$1900,10,FALSE)</f>
        <v>PRODUKTIF</v>
      </c>
      <c r="O84" s="55">
        <f>VLOOKUP(B84,'Data Angt'!$A$5:$H$5810,6,FALSE)</f>
        <v>60</v>
      </c>
      <c r="P84" s="55" t="str">
        <f>VLOOKUP(B84,'Data Angt'!$A$5:$H$5810,8,FALSE)</f>
        <v>Tenaga Pengajar</v>
      </c>
    </row>
    <row r="85" spans="1:16" x14ac:dyDescent="0.3">
      <c r="A85" s="8">
        <v>78</v>
      </c>
      <c r="B85" s="9" t="s">
        <v>1128</v>
      </c>
      <c r="C85" s="10" t="str">
        <f>VLOOKUP(B85,'Data Angt'!$A$5:$B$5809,2,FALSE)</f>
        <v>A440</v>
      </c>
      <c r="D85" s="12" t="s">
        <v>15465</v>
      </c>
      <c r="E85" s="13">
        <v>45757</v>
      </c>
      <c r="F85" s="14">
        <v>45929</v>
      </c>
      <c r="G85" s="15">
        <v>8730000</v>
      </c>
      <c r="H85" s="16">
        <v>18</v>
      </c>
      <c r="I85" s="17">
        <v>24</v>
      </c>
      <c r="J85" s="15">
        <v>6608000</v>
      </c>
      <c r="K85" s="98">
        <f t="shared" si="3"/>
        <v>0</v>
      </c>
      <c r="L85" s="98" t="str">
        <f t="shared" si="4"/>
        <v>Lancar</v>
      </c>
      <c r="M85" s="5" t="str">
        <f t="shared" si="5"/>
        <v>001</v>
      </c>
      <c r="N85" s="55" t="str">
        <f>VLOOKUP(D85,Pinjaman!$E$7:$N$1900,10,FALSE)</f>
        <v>KONSUMTIF</v>
      </c>
      <c r="O85" s="55">
        <f>VLOOKUP(B85,'Data Angt'!$A$5:$H$5810,6,FALSE)</f>
        <v>72</v>
      </c>
      <c r="P85" s="55" t="str">
        <f>VLOOKUP(B85,'Data Angt'!$A$5:$H$5810,8,FALSE)</f>
        <v>Lain-Lain</v>
      </c>
    </row>
    <row r="86" spans="1:16" x14ac:dyDescent="0.3">
      <c r="A86" s="8">
        <v>79</v>
      </c>
      <c r="B86" s="9" t="s">
        <v>1131</v>
      </c>
      <c r="C86" s="10" t="str">
        <f>VLOOKUP(B86,'Data Angt'!$A$5:$B$5809,2,FALSE)</f>
        <v>A441</v>
      </c>
      <c r="D86" s="12" t="s">
        <v>9887</v>
      </c>
      <c r="E86" s="13">
        <v>45241</v>
      </c>
      <c r="F86" s="14">
        <v>45901</v>
      </c>
      <c r="G86" s="15">
        <v>14000000</v>
      </c>
      <c r="H86" s="16">
        <v>24</v>
      </c>
      <c r="I86" s="17">
        <v>11.64</v>
      </c>
      <c r="J86" s="15">
        <v>1295100</v>
      </c>
      <c r="K86" s="98">
        <f t="shared" si="3"/>
        <v>0</v>
      </c>
      <c r="L86" s="98" t="str">
        <f t="shared" si="4"/>
        <v>Lancar</v>
      </c>
      <c r="M86" s="5" t="str">
        <f t="shared" si="5"/>
        <v>001</v>
      </c>
      <c r="N86" s="55" t="str">
        <f>VLOOKUP(D86,Pinjaman!$E$7:$N$1900,10,FALSE)</f>
        <v>KONSUMTIF</v>
      </c>
      <c r="O86" s="55">
        <f>VLOOKUP(B86,'Data Angt'!$A$5:$H$5810,6,FALSE)</f>
        <v>32</v>
      </c>
      <c r="P86" s="55" t="str">
        <f>VLOOKUP(B86,'Data Angt'!$A$5:$H$5810,8,FALSE)</f>
        <v>Karyawan</v>
      </c>
    </row>
    <row r="87" spans="1:16" x14ac:dyDescent="0.3">
      <c r="A87" s="8">
        <v>80</v>
      </c>
      <c r="B87" s="9" t="s">
        <v>1135</v>
      </c>
      <c r="C87" s="10" t="str">
        <f>VLOOKUP(B87,'Data Angt'!$A$5:$B$5809,2,FALSE)</f>
        <v>A443</v>
      </c>
      <c r="D87" s="12" t="s">
        <v>15467</v>
      </c>
      <c r="E87" s="13">
        <v>45812</v>
      </c>
      <c r="F87" s="14">
        <v>45904</v>
      </c>
      <c r="G87" s="15">
        <v>10000000</v>
      </c>
      <c r="H87" s="16">
        <v>12</v>
      </c>
      <c r="I87" s="17">
        <v>11.9</v>
      </c>
      <c r="J87" s="15">
        <v>7609800</v>
      </c>
      <c r="K87" s="98">
        <f t="shared" si="3"/>
        <v>0</v>
      </c>
      <c r="L87" s="98" t="str">
        <f t="shared" si="4"/>
        <v>Lancar</v>
      </c>
      <c r="M87" s="5" t="str">
        <f t="shared" si="5"/>
        <v>001</v>
      </c>
      <c r="N87" s="55" t="str">
        <f>VLOOKUP(D87,Pinjaman!$E$7:$N$1900,10,FALSE)</f>
        <v>PRODUKTIF</v>
      </c>
      <c r="O87" s="55">
        <f>VLOOKUP(B87,'Data Angt'!$A$5:$H$5810,6,FALSE)</f>
        <v>45</v>
      </c>
      <c r="P87" s="55" t="str">
        <f>VLOOKUP(B87,'Data Angt'!$A$5:$H$5810,8,FALSE)</f>
        <v>Wiraswasta</v>
      </c>
    </row>
    <row r="88" spans="1:16" x14ac:dyDescent="0.3">
      <c r="A88" s="8">
        <v>81</v>
      </c>
      <c r="B88" s="9" t="s">
        <v>1138</v>
      </c>
      <c r="C88" s="10" t="str">
        <f>VLOOKUP(B88,'Data Angt'!$A$5:$B$5809,2,FALSE)</f>
        <v>A444</v>
      </c>
      <c r="D88" s="12" t="s">
        <v>22265</v>
      </c>
      <c r="E88" s="13">
        <v>45896</v>
      </c>
      <c r="F88" s="14">
        <v>45923</v>
      </c>
      <c r="G88" s="15">
        <v>7000000</v>
      </c>
      <c r="H88" s="16">
        <v>12</v>
      </c>
      <c r="I88" s="17">
        <v>24</v>
      </c>
      <c r="J88" s="15">
        <v>6478000</v>
      </c>
      <c r="K88" s="98">
        <f t="shared" si="3"/>
        <v>0</v>
      </c>
      <c r="L88" s="98" t="str">
        <f t="shared" si="4"/>
        <v>Lancar</v>
      </c>
      <c r="M88" s="5" t="str">
        <f t="shared" si="5"/>
        <v>001</v>
      </c>
      <c r="N88" s="55" t="str">
        <f>VLOOKUP(D88,Pinjaman!$E$7:$N$1900,10,FALSE)</f>
        <v>KONSUMTIF</v>
      </c>
      <c r="O88" s="55">
        <f>VLOOKUP(B88,'Data Angt'!$A$5:$H$5810,6,FALSE)</f>
        <v>67</v>
      </c>
      <c r="P88" s="55" t="str">
        <f>VLOOKUP(B88,'Data Angt'!$A$5:$H$5810,8,FALSE)</f>
        <v>Mengurus Rumah Tangga</v>
      </c>
    </row>
    <row r="89" spans="1:16" x14ac:dyDescent="0.3">
      <c r="A89" s="8">
        <v>82</v>
      </c>
      <c r="B89" s="9" t="s">
        <v>1153</v>
      </c>
      <c r="C89" s="10" t="str">
        <f>VLOOKUP(B89,'Data Angt'!$A$5:$B$5809,2,FALSE)</f>
        <v>A450</v>
      </c>
      <c r="D89" s="12" t="s">
        <v>15469</v>
      </c>
      <c r="E89" s="13">
        <v>45742</v>
      </c>
      <c r="F89" s="14">
        <v>45926</v>
      </c>
      <c r="G89" s="15">
        <v>60000000</v>
      </c>
      <c r="H89" s="16">
        <v>48</v>
      </c>
      <c r="I89" s="17">
        <v>21</v>
      </c>
      <c r="J89" s="15">
        <v>55816300</v>
      </c>
      <c r="K89" s="98">
        <f t="shared" si="3"/>
        <v>0</v>
      </c>
      <c r="L89" s="98" t="str">
        <f t="shared" si="4"/>
        <v>Lancar</v>
      </c>
      <c r="M89" s="5" t="str">
        <f t="shared" si="5"/>
        <v>001</v>
      </c>
      <c r="N89" s="55" t="str">
        <f>VLOOKUP(D89,Pinjaman!$E$7:$N$1900,10,FALSE)</f>
        <v>PRODUKTIF</v>
      </c>
      <c r="O89" s="55">
        <f>VLOOKUP(B89,'Data Angt'!$A$5:$H$5810,6,FALSE)</f>
        <v>57</v>
      </c>
      <c r="P89" s="55" t="str">
        <f>VLOOKUP(B89,'Data Angt'!$A$5:$H$5810,8,FALSE)</f>
        <v>Karyawan</v>
      </c>
    </row>
    <row r="90" spans="1:16" x14ac:dyDescent="0.3">
      <c r="A90" s="8">
        <v>83</v>
      </c>
      <c r="B90" s="9" t="s">
        <v>1157</v>
      </c>
      <c r="C90" s="10" t="str">
        <f>VLOOKUP(B90,'Data Angt'!$A$5:$B$5809,2,FALSE)</f>
        <v>A452</v>
      </c>
      <c r="D90" s="12" t="s">
        <v>15471</v>
      </c>
      <c r="E90" s="13">
        <v>45646</v>
      </c>
      <c r="F90" s="14">
        <v>45920</v>
      </c>
      <c r="G90" s="15">
        <v>12000000</v>
      </c>
      <c r="H90" s="16">
        <v>30</v>
      </c>
      <c r="I90" s="17">
        <v>24</v>
      </c>
      <c r="J90" s="15">
        <v>9115000</v>
      </c>
      <c r="K90" s="98">
        <f t="shared" si="3"/>
        <v>0</v>
      </c>
      <c r="L90" s="98" t="str">
        <f t="shared" si="4"/>
        <v>Lancar</v>
      </c>
      <c r="M90" s="5" t="str">
        <f t="shared" si="5"/>
        <v>001</v>
      </c>
      <c r="N90" s="55" t="str">
        <f>VLOOKUP(D90,Pinjaman!$E$7:$N$1900,10,FALSE)</f>
        <v>KONSUMTIF</v>
      </c>
      <c r="O90" s="55">
        <f>VLOOKUP(B90,'Data Angt'!$A$5:$H$5810,6,FALSE)</f>
        <v>47</v>
      </c>
      <c r="P90" s="55" t="str">
        <f>VLOOKUP(B90,'Data Angt'!$A$5:$H$5810,8,FALSE)</f>
        <v>Karyawan</v>
      </c>
    </row>
    <row r="91" spans="1:16" x14ac:dyDescent="0.3">
      <c r="A91" s="8">
        <v>84</v>
      </c>
      <c r="B91" s="9" t="s">
        <v>1159</v>
      </c>
      <c r="C91" s="10" t="str">
        <f>VLOOKUP(B91,'Data Angt'!$A$5:$B$5809,2,FALSE)</f>
        <v>A453</v>
      </c>
      <c r="D91" s="12" t="s">
        <v>15474</v>
      </c>
      <c r="E91" s="13">
        <v>45579</v>
      </c>
      <c r="F91" s="14">
        <v>45915</v>
      </c>
      <c r="G91" s="15">
        <v>5000000</v>
      </c>
      <c r="H91" s="16">
        <v>24</v>
      </c>
      <c r="I91" s="17">
        <v>24</v>
      </c>
      <c r="J91" s="15">
        <v>2707600</v>
      </c>
      <c r="K91" s="98">
        <f t="shared" si="3"/>
        <v>0</v>
      </c>
      <c r="L91" s="98" t="str">
        <f t="shared" si="4"/>
        <v>Lancar</v>
      </c>
      <c r="M91" s="5" t="str">
        <f t="shared" si="5"/>
        <v>001</v>
      </c>
      <c r="N91" s="55" t="str">
        <f>VLOOKUP(D91,Pinjaman!$E$7:$N$1900,10,FALSE)</f>
        <v>KESEJAHTERAAN</v>
      </c>
      <c r="O91" s="55">
        <f>VLOOKUP(B91,'Data Angt'!$A$5:$H$5810,6,FALSE)</f>
        <v>56</v>
      </c>
      <c r="P91" s="55" t="str">
        <f>VLOOKUP(B91,'Data Angt'!$A$5:$H$5810,8,FALSE)</f>
        <v>Lain-Lain</v>
      </c>
    </row>
    <row r="92" spans="1:16" x14ac:dyDescent="0.3">
      <c r="A92" s="8">
        <v>85</v>
      </c>
      <c r="B92" s="9" t="s">
        <v>1179</v>
      </c>
      <c r="C92" s="10" t="str">
        <f>VLOOKUP(B92,'Data Angt'!$A$5:$B$5809,2,FALSE)</f>
        <v>A461</v>
      </c>
      <c r="D92" s="12" t="s">
        <v>15476</v>
      </c>
      <c r="E92" s="13">
        <v>45490</v>
      </c>
      <c r="F92" s="14">
        <v>45917</v>
      </c>
      <c r="G92" s="15">
        <v>12000000</v>
      </c>
      <c r="H92" s="16">
        <v>36</v>
      </c>
      <c r="I92" s="17">
        <v>24</v>
      </c>
      <c r="J92" s="15">
        <v>8313600</v>
      </c>
      <c r="K92" s="98">
        <f t="shared" si="3"/>
        <v>0</v>
      </c>
      <c r="L92" s="98" t="str">
        <f t="shared" si="4"/>
        <v>Lancar</v>
      </c>
      <c r="M92" s="5" t="str">
        <f t="shared" si="5"/>
        <v>001</v>
      </c>
      <c r="N92" s="55" t="str">
        <f>VLOOKUP(D92,Pinjaman!$E$7:$N$1900,10,FALSE)</f>
        <v>PENDIDIKAN</v>
      </c>
      <c r="O92" s="55">
        <f>VLOOKUP(B92,'Data Angt'!$A$5:$H$5810,6,FALSE)</f>
        <v>47</v>
      </c>
      <c r="P92" s="55" t="str">
        <f>VLOOKUP(B92,'Data Angt'!$A$5:$H$5810,8,FALSE)</f>
        <v>Wiraswasta</v>
      </c>
    </row>
    <row r="93" spans="1:16" x14ac:dyDescent="0.3">
      <c r="A93" s="8">
        <v>86</v>
      </c>
      <c r="B93" s="9" t="s">
        <v>1194</v>
      </c>
      <c r="C93" s="10" t="str">
        <f>VLOOKUP(B93,'Data Angt'!$A$5:$B$5809,2,FALSE)</f>
        <v>A467</v>
      </c>
      <c r="D93" s="12" t="s">
        <v>9892</v>
      </c>
      <c r="E93" s="13">
        <v>43173</v>
      </c>
      <c r="F93" s="14">
        <v>44924</v>
      </c>
      <c r="G93" s="15">
        <v>60000000</v>
      </c>
      <c r="H93" s="16">
        <v>60</v>
      </c>
      <c r="I93" s="17">
        <v>21</v>
      </c>
      <c r="J93" s="15">
        <v>43447200</v>
      </c>
      <c r="K93" s="98">
        <f t="shared" si="3"/>
        <v>33</v>
      </c>
      <c r="L93" s="98" t="str">
        <f t="shared" si="4"/>
        <v>Macet</v>
      </c>
      <c r="M93" s="5" t="str">
        <f t="shared" si="5"/>
        <v>001</v>
      </c>
      <c r="N93" s="55">
        <f>VLOOKUP(D93,Pinjaman!$E$7:$N$1900,10,FALSE)</f>
        <v>0</v>
      </c>
      <c r="O93" s="55">
        <f>VLOOKUP(B93,'Data Angt'!$A$5:$H$5810,6,FALSE)</f>
        <v>57</v>
      </c>
      <c r="P93" s="55" t="str">
        <f>VLOOKUP(B93,'Data Angt'!$A$5:$H$5810,8,FALSE)</f>
        <v>Tenaga Pengajar</v>
      </c>
    </row>
    <row r="94" spans="1:16" x14ac:dyDescent="0.3">
      <c r="A94" s="8">
        <v>87</v>
      </c>
      <c r="B94" s="9" t="s">
        <v>1198</v>
      </c>
      <c r="C94" s="10" t="str">
        <f>VLOOKUP(B94,'Data Angt'!$A$5:$B$5809,2,FALSE)</f>
        <v>A468</v>
      </c>
      <c r="D94" s="12" t="s">
        <v>9893</v>
      </c>
      <c r="E94" s="13">
        <v>44979</v>
      </c>
      <c r="F94" s="14">
        <v>45920</v>
      </c>
      <c r="G94" s="15">
        <v>40000000</v>
      </c>
      <c r="H94" s="16">
        <v>48</v>
      </c>
      <c r="I94" s="17">
        <v>21</v>
      </c>
      <c r="J94" s="15">
        <v>18076800</v>
      </c>
      <c r="K94" s="98">
        <f t="shared" si="3"/>
        <v>0</v>
      </c>
      <c r="L94" s="98" t="str">
        <f t="shared" si="4"/>
        <v>Lancar</v>
      </c>
      <c r="M94" s="5" t="str">
        <f t="shared" si="5"/>
        <v>001</v>
      </c>
      <c r="N94" s="55" t="str">
        <f>VLOOKUP(D94,Pinjaman!$E$7:$N$1900,10,FALSE)</f>
        <v>KESEJAHTERAAN</v>
      </c>
      <c r="O94" s="55">
        <f>VLOOKUP(B94,'Data Angt'!$A$5:$H$5810,6,FALSE)</f>
        <v>40</v>
      </c>
      <c r="P94" s="55" t="str">
        <f>VLOOKUP(B94,'Data Angt'!$A$5:$H$5810,8,FALSE)</f>
        <v>Karyawan</v>
      </c>
    </row>
    <row r="95" spans="1:16" x14ac:dyDescent="0.3">
      <c r="A95" s="8">
        <v>88</v>
      </c>
      <c r="B95" s="9" t="s">
        <v>1202</v>
      </c>
      <c r="C95" s="10" t="str">
        <f>VLOOKUP(B95,'Data Angt'!$A$5:$B$5809,2,FALSE)</f>
        <v>A469</v>
      </c>
      <c r="D95" s="12" t="s">
        <v>15478</v>
      </c>
      <c r="E95" s="13">
        <v>45519</v>
      </c>
      <c r="F95" s="14">
        <v>45909</v>
      </c>
      <c r="G95" s="15">
        <v>200000000</v>
      </c>
      <c r="H95" s="16">
        <v>60</v>
      </c>
      <c r="I95" s="17">
        <v>21</v>
      </c>
      <c r="J95" s="15">
        <v>172378500</v>
      </c>
      <c r="K95" s="98">
        <f t="shared" si="3"/>
        <v>0</v>
      </c>
      <c r="L95" s="98" t="str">
        <f t="shared" si="4"/>
        <v>Lancar</v>
      </c>
      <c r="M95" s="5" t="str">
        <f t="shared" si="5"/>
        <v>001</v>
      </c>
      <c r="N95" s="55" t="str">
        <f>VLOOKUP(D95,Pinjaman!$E$7:$N$1900,10,FALSE)</f>
        <v>PRODUKTIF</v>
      </c>
      <c r="O95" s="55">
        <f>VLOOKUP(B95,'Data Angt'!$A$5:$H$5810,6,FALSE)</f>
        <v>47</v>
      </c>
      <c r="P95" s="55" t="str">
        <f>VLOOKUP(B95,'Data Angt'!$A$5:$H$5810,8,FALSE)</f>
        <v>Aparatur/Pejabat Negara</v>
      </c>
    </row>
    <row r="96" spans="1:16" x14ac:dyDescent="0.3">
      <c r="A96" s="8">
        <v>89</v>
      </c>
      <c r="B96" s="9" t="s">
        <v>1214</v>
      </c>
      <c r="C96" s="10" t="str">
        <f>VLOOKUP(B96,'Data Angt'!$A$5:$B$5809,2,FALSE)</f>
        <v>A473</v>
      </c>
      <c r="D96" s="12" t="s">
        <v>22273</v>
      </c>
      <c r="E96" s="13">
        <v>45880</v>
      </c>
      <c r="F96" s="14">
        <v>45904</v>
      </c>
      <c r="G96" s="15">
        <v>25000000</v>
      </c>
      <c r="H96" s="16">
        <v>60</v>
      </c>
      <c r="I96" s="17">
        <v>21</v>
      </c>
      <c r="J96" s="15">
        <v>24583300</v>
      </c>
      <c r="K96" s="98">
        <f t="shared" si="3"/>
        <v>0</v>
      </c>
      <c r="L96" s="98" t="str">
        <f t="shared" si="4"/>
        <v>Lancar</v>
      </c>
      <c r="M96" s="5" t="str">
        <f t="shared" si="5"/>
        <v>001</v>
      </c>
      <c r="N96" s="55" t="str">
        <f>VLOOKUP(D96,Pinjaman!$E$7:$N$1900,10,FALSE)</f>
        <v>KONSUMTIF</v>
      </c>
      <c r="O96" s="55">
        <f>VLOOKUP(B96,'Data Angt'!$A$5:$H$5810,6,FALSE)</f>
        <v>63</v>
      </c>
      <c r="P96" s="55" t="str">
        <f>VLOOKUP(B96,'Data Angt'!$A$5:$H$5810,8,FALSE)</f>
        <v>Aparatur/Pejabat Negara</v>
      </c>
    </row>
    <row r="97" spans="1:16" x14ac:dyDescent="0.3">
      <c r="A97" s="8">
        <v>90</v>
      </c>
      <c r="B97" s="9" t="s">
        <v>1239</v>
      </c>
      <c r="C97" s="10" t="str">
        <f>VLOOKUP(B97,'Data Angt'!$A$5:$B$5809,2,FALSE)</f>
        <v>A482</v>
      </c>
      <c r="D97" s="12" t="s">
        <v>15481</v>
      </c>
      <c r="E97" s="13">
        <v>45674</v>
      </c>
      <c r="F97" s="14">
        <v>45901</v>
      </c>
      <c r="G97" s="15">
        <v>3000000</v>
      </c>
      <c r="H97" s="16">
        <v>10</v>
      </c>
      <c r="I97" s="17">
        <v>24</v>
      </c>
      <c r="J97" s="15">
        <v>648700</v>
      </c>
      <c r="K97" s="98">
        <f t="shared" si="3"/>
        <v>0</v>
      </c>
      <c r="L97" s="98" t="str">
        <f t="shared" si="4"/>
        <v>Lancar</v>
      </c>
      <c r="M97" s="5" t="str">
        <f t="shared" si="5"/>
        <v>001</v>
      </c>
      <c r="N97" s="55" t="str">
        <f>VLOOKUP(D97,Pinjaman!$E$7:$N$1900,10,FALSE)</f>
        <v>KONSUMTIF</v>
      </c>
      <c r="O97" s="55">
        <f>VLOOKUP(B97,'Data Angt'!$A$5:$H$5810,6,FALSE)</f>
        <v>58</v>
      </c>
      <c r="P97" s="55" t="str">
        <f>VLOOKUP(B97,'Data Angt'!$A$5:$H$5810,8,FALSE)</f>
        <v>Aparatur/Pejabat Negara</v>
      </c>
    </row>
    <row r="98" spans="1:16" x14ac:dyDescent="0.3">
      <c r="A98" s="8">
        <v>91</v>
      </c>
      <c r="B98" s="9" t="s">
        <v>1329</v>
      </c>
      <c r="C98" s="10" t="str">
        <f>VLOOKUP(B98,'Data Angt'!$A$5:$B$5809,2,FALSE)</f>
        <v>A519</v>
      </c>
      <c r="D98" s="12" t="s">
        <v>15484</v>
      </c>
      <c r="E98" s="13">
        <v>45695</v>
      </c>
      <c r="F98" s="14">
        <v>45908</v>
      </c>
      <c r="G98" s="15">
        <v>15000000</v>
      </c>
      <c r="H98" s="16">
        <v>30</v>
      </c>
      <c r="I98" s="17">
        <v>24</v>
      </c>
      <c r="J98" s="15">
        <v>12251200</v>
      </c>
      <c r="K98" s="98">
        <f t="shared" si="3"/>
        <v>0</v>
      </c>
      <c r="L98" s="98" t="str">
        <f t="shared" si="4"/>
        <v>Lancar</v>
      </c>
      <c r="M98" s="5" t="str">
        <f t="shared" si="5"/>
        <v>001</v>
      </c>
      <c r="N98" s="55" t="str">
        <f>VLOOKUP(D98,Pinjaman!$E$7:$N$1900,10,FALSE)</f>
        <v>PRODUKTIF</v>
      </c>
      <c r="O98" s="55">
        <f>VLOOKUP(B98,'Data Angt'!$A$5:$H$5810,6,FALSE)</f>
        <v>49</v>
      </c>
      <c r="P98" s="55" t="str">
        <f>VLOOKUP(B98,'Data Angt'!$A$5:$H$5810,8,FALSE)</f>
        <v>Karyawan</v>
      </c>
    </row>
    <row r="99" spans="1:16" x14ac:dyDescent="0.3">
      <c r="A99" s="8">
        <v>92</v>
      </c>
      <c r="B99" s="9" t="s">
        <v>1329</v>
      </c>
      <c r="C99" s="10" t="str">
        <f>VLOOKUP(B99,'Data Angt'!$A$5:$B$5809,2,FALSE)</f>
        <v>A519</v>
      </c>
      <c r="D99" s="12" t="s">
        <v>22278</v>
      </c>
      <c r="E99" s="13">
        <v>45862</v>
      </c>
      <c r="F99" s="14">
        <v>45922</v>
      </c>
      <c r="G99" s="15">
        <v>3100000</v>
      </c>
      <c r="H99" s="16">
        <v>10</v>
      </c>
      <c r="I99" s="17">
        <v>12</v>
      </c>
      <c r="J99" s="15">
        <v>2504300</v>
      </c>
      <c r="K99" s="98">
        <f t="shared" si="3"/>
        <v>0</v>
      </c>
      <c r="L99" s="98" t="str">
        <f t="shared" si="4"/>
        <v>Lancar</v>
      </c>
      <c r="M99" s="5" t="str">
        <f t="shared" si="5"/>
        <v>001</v>
      </c>
      <c r="N99" s="55" t="str">
        <f>VLOOKUP(D99,Pinjaman!$E$7:$N$1900,10,FALSE)</f>
        <v>KONSUMTIF</v>
      </c>
      <c r="O99" s="55">
        <f>VLOOKUP(B99,'Data Angt'!$A$5:$H$5810,6,FALSE)</f>
        <v>49</v>
      </c>
      <c r="P99" s="55" t="str">
        <f>VLOOKUP(B99,'Data Angt'!$A$5:$H$5810,8,FALSE)</f>
        <v>Karyawan</v>
      </c>
    </row>
    <row r="100" spans="1:16" x14ac:dyDescent="0.3">
      <c r="A100" s="8">
        <v>93</v>
      </c>
      <c r="B100" s="9" t="s">
        <v>1332</v>
      </c>
      <c r="C100" s="10" t="str">
        <f>VLOOKUP(B100,'Data Angt'!$A$5:$B$5809,2,FALSE)</f>
        <v>A520</v>
      </c>
      <c r="D100" s="12" t="s">
        <v>22280</v>
      </c>
      <c r="E100" s="13">
        <v>45910</v>
      </c>
      <c r="F100" s="14">
        <v>45910</v>
      </c>
      <c r="G100" s="15">
        <v>5000000</v>
      </c>
      <c r="H100" s="16">
        <v>6</v>
      </c>
      <c r="I100" s="17">
        <v>24</v>
      </c>
      <c r="J100" s="15">
        <v>5000000</v>
      </c>
      <c r="K100" s="98">
        <f t="shared" si="3"/>
        <v>0</v>
      </c>
      <c r="L100" s="98" t="str">
        <f t="shared" si="4"/>
        <v>Lancar</v>
      </c>
      <c r="M100" s="5" t="str">
        <f t="shared" si="5"/>
        <v>001</v>
      </c>
      <c r="N100" s="55" t="str">
        <f>VLOOKUP(D100,Pinjaman!$E$7:$N$1900,10,FALSE)</f>
        <v>PENDIDIKAN</v>
      </c>
      <c r="O100" s="55">
        <f>VLOOKUP(B100,'Data Angt'!$A$5:$H$5810,6,FALSE)</f>
        <v>45</v>
      </c>
      <c r="P100" s="55" t="str">
        <f>VLOOKUP(B100,'Data Angt'!$A$5:$H$5810,8,FALSE)</f>
        <v>Wiraswasta</v>
      </c>
    </row>
    <row r="101" spans="1:16" x14ac:dyDescent="0.3">
      <c r="A101" s="8">
        <v>94</v>
      </c>
      <c r="B101" s="9" t="s">
        <v>1332</v>
      </c>
      <c r="C101" s="10" t="str">
        <f>VLOOKUP(B101,'Data Angt'!$A$5:$B$5809,2,FALSE)</f>
        <v>A520</v>
      </c>
      <c r="D101" s="12" t="s">
        <v>15487</v>
      </c>
      <c r="E101" s="13">
        <v>45708</v>
      </c>
      <c r="F101" s="14">
        <v>45920</v>
      </c>
      <c r="G101" s="15">
        <v>10000000</v>
      </c>
      <c r="H101" s="16">
        <v>24</v>
      </c>
      <c r="I101" s="17">
        <v>24</v>
      </c>
      <c r="J101" s="15">
        <v>7555900</v>
      </c>
      <c r="K101" s="98">
        <f t="shared" si="3"/>
        <v>0</v>
      </c>
      <c r="L101" s="98" t="str">
        <f t="shared" si="4"/>
        <v>Lancar</v>
      </c>
      <c r="M101" s="5" t="str">
        <f t="shared" si="5"/>
        <v>001</v>
      </c>
      <c r="N101" s="55" t="str">
        <f>VLOOKUP(D101,Pinjaman!$E$7:$N$1900,10,FALSE)</f>
        <v>KONSUMTIF</v>
      </c>
      <c r="O101" s="55">
        <f>VLOOKUP(B101,'Data Angt'!$A$5:$H$5810,6,FALSE)</f>
        <v>45</v>
      </c>
      <c r="P101" s="55" t="str">
        <f>VLOOKUP(B101,'Data Angt'!$A$5:$H$5810,8,FALSE)</f>
        <v>Wiraswasta</v>
      </c>
    </row>
    <row r="102" spans="1:16" x14ac:dyDescent="0.3">
      <c r="A102" s="8">
        <v>95</v>
      </c>
      <c r="B102" s="9" t="s">
        <v>1349</v>
      </c>
      <c r="C102" s="10" t="str">
        <f>VLOOKUP(B102,'Data Angt'!$A$5:$B$5809,2,FALSE)</f>
        <v>A527</v>
      </c>
      <c r="D102" s="12" t="s">
        <v>22284</v>
      </c>
      <c r="E102" s="13">
        <v>45908</v>
      </c>
      <c r="F102" s="14">
        <v>45908</v>
      </c>
      <c r="G102" s="15">
        <v>3000000</v>
      </c>
      <c r="H102" s="16">
        <v>12</v>
      </c>
      <c r="I102" s="17">
        <v>11.8</v>
      </c>
      <c r="J102" s="15">
        <v>3000000</v>
      </c>
      <c r="K102" s="98">
        <f t="shared" si="3"/>
        <v>0</v>
      </c>
      <c r="L102" s="98" t="str">
        <f t="shared" si="4"/>
        <v>Lancar</v>
      </c>
      <c r="M102" s="5" t="str">
        <f t="shared" si="5"/>
        <v>001</v>
      </c>
      <c r="N102" s="55">
        <f>VLOOKUP(D102,Pinjaman!$E$7:$N$1900,10,FALSE)</f>
        <v>0</v>
      </c>
      <c r="O102" s="55">
        <f>VLOOKUP(B102,'Data Angt'!$A$5:$H$5810,6,FALSE)</f>
        <v>45</v>
      </c>
      <c r="P102" s="55" t="str">
        <f>VLOOKUP(B102,'Data Angt'!$A$5:$H$5810,8,FALSE)</f>
        <v>Mengurus Rumah Tangga</v>
      </c>
    </row>
    <row r="103" spans="1:16" x14ac:dyDescent="0.3">
      <c r="A103" s="8">
        <v>96</v>
      </c>
      <c r="B103" s="9" t="s">
        <v>1375</v>
      </c>
      <c r="C103" s="10" t="str">
        <f>VLOOKUP(B103,'Data Angt'!$A$5:$B$5809,2,FALSE)</f>
        <v>A539</v>
      </c>
      <c r="D103" s="12" t="s">
        <v>15489</v>
      </c>
      <c r="E103" s="13">
        <v>45646</v>
      </c>
      <c r="F103" s="14">
        <v>45922</v>
      </c>
      <c r="G103" s="15">
        <v>9000000</v>
      </c>
      <c r="H103" s="16">
        <v>12</v>
      </c>
      <c r="I103" s="17">
        <v>24</v>
      </c>
      <c r="J103" s="15">
        <v>2250000</v>
      </c>
      <c r="K103" s="98">
        <f t="shared" si="3"/>
        <v>0</v>
      </c>
      <c r="L103" s="98" t="str">
        <f t="shared" si="4"/>
        <v>Lancar</v>
      </c>
      <c r="M103" s="5" t="str">
        <f t="shared" si="5"/>
        <v>001</v>
      </c>
      <c r="N103" s="55" t="str">
        <f>VLOOKUP(D103,Pinjaman!$E$7:$N$1900,10,FALSE)</f>
        <v>PENDIDIKAN</v>
      </c>
      <c r="O103" s="55">
        <f>VLOOKUP(B103,'Data Angt'!$A$5:$H$5810,6,FALSE)</f>
        <v>41</v>
      </c>
      <c r="P103" s="55" t="str">
        <f>VLOOKUP(B103,'Data Angt'!$A$5:$H$5810,8,FALSE)</f>
        <v>Karyawan</v>
      </c>
    </row>
    <row r="104" spans="1:16" x14ac:dyDescent="0.3">
      <c r="A104" s="8">
        <v>97</v>
      </c>
      <c r="B104" s="9" t="s">
        <v>1397</v>
      </c>
      <c r="C104" s="10" t="str">
        <f>VLOOKUP(B104,'Data Angt'!$A$5:$B$5809,2,FALSE)</f>
        <v>A547</v>
      </c>
      <c r="D104" s="12" t="s">
        <v>15491</v>
      </c>
      <c r="E104" s="13">
        <v>45372</v>
      </c>
      <c r="F104" s="14">
        <v>45930</v>
      </c>
      <c r="G104" s="15">
        <v>80000000</v>
      </c>
      <c r="H104" s="16">
        <v>36</v>
      </c>
      <c r="I104" s="17">
        <v>21</v>
      </c>
      <c r="J104" s="15">
        <v>46231500</v>
      </c>
      <c r="K104" s="98">
        <f t="shared" si="3"/>
        <v>0</v>
      </c>
      <c r="L104" s="98" t="str">
        <f t="shared" si="4"/>
        <v>Lancar</v>
      </c>
      <c r="M104" s="5" t="str">
        <f t="shared" si="5"/>
        <v>001</v>
      </c>
      <c r="N104" s="55" t="str">
        <f>VLOOKUP(D104,Pinjaman!$E$7:$N$1900,10,FALSE)</f>
        <v>PENDIDIKAN</v>
      </c>
      <c r="O104" s="55">
        <f>VLOOKUP(B104,'Data Angt'!$A$5:$H$5810,6,FALSE)</f>
        <v>59</v>
      </c>
      <c r="P104" s="55" t="str">
        <f>VLOOKUP(B104,'Data Angt'!$A$5:$H$5810,8,FALSE)</f>
        <v>Tenaga Medis</v>
      </c>
    </row>
    <row r="105" spans="1:16" x14ac:dyDescent="0.3">
      <c r="A105" s="8">
        <v>98</v>
      </c>
      <c r="B105" s="9" t="s">
        <v>1401</v>
      </c>
      <c r="C105" s="10" t="str">
        <f>VLOOKUP(B105,'Data Angt'!$A$5:$B$5809,2,FALSE)</f>
        <v>A548</v>
      </c>
      <c r="D105" s="12" t="s">
        <v>15493</v>
      </c>
      <c r="E105" s="13">
        <v>45775</v>
      </c>
      <c r="F105" s="14">
        <v>45908</v>
      </c>
      <c r="G105" s="15">
        <v>2000000</v>
      </c>
      <c r="H105" s="16">
        <v>10</v>
      </c>
      <c r="I105" s="17">
        <v>24</v>
      </c>
      <c r="J105" s="15">
        <v>1049500</v>
      </c>
      <c r="K105" s="98">
        <f t="shared" si="3"/>
        <v>0</v>
      </c>
      <c r="L105" s="98" t="str">
        <f t="shared" si="4"/>
        <v>Lancar</v>
      </c>
      <c r="M105" s="5" t="str">
        <f t="shared" si="5"/>
        <v>001</v>
      </c>
      <c r="N105" s="55" t="str">
        <f>VLOOKUP(D105,Pinjaman!$E$7:$N$1900,10,FALSE)</f>
        <v>PRODUKTIF</v>
      </c>
      <c r="O105" s="55">
        <f>VLOOKUP(B105,'Data Angt'!$A$5:$H$5810,6,FALSE)</f>
        <v>53</v>
      </c>
      <c r="P105" s="55" t="str">
        <f>VLOOKUP(B105,'Data Angt'!$A$5:$H$5810,8,FALSE)</f>
        <v>Lain-Lain</v>
      </c>
    </row>
    <row r="106" spans="1:16" x14ac:dyDescent="0.3">
      <c r="A106" s="8">
        <v>99</v>
      </c>
      <c r="B106" s="9" t="s">
        <v>1405</v>
      </c>
      <c r="C106" s="10" t="str">
        <f>VLOOKUP(B106,'Data Angt'!$A$5:$B$5809,2,FALSE)</f>
        <v>A550</v>
      </c>
      <c r="D106" s="12" t="s">
        <v>9897</v>
      </c>
      <c r="E106" s="13">
        <v>44283</v>
      </c>
      <c r="F106" s="14">
        <v>45929</v>
      </c>
      <c r="G106" s="15">
        <v>170000000</v>
      </c>
      <c r="H106" s="16">
        <v>120</v>
      </c>
      <c r="I106" s="17">
        <v>11.4</v>
      </c>
      <c r="J106" s="15">
        <v>130385600</v>
      </c>
      <c r="K106" s="98">
        <f t="shared" si="3"/>
        <v>0</v>
      </c>
      <c r="L106" s="98" t="str">
        <f t="shared" si="4"/>
        <v>Lancar</v>
      </c>
      <c r="M106" s="5" t="str">
        <f t="shared" si="5"/>
        <v>001</v>
      </c>
      <c r="N106" s="55" t="str">
        <f>VLOOKUP(D106,Pinjaman!$E$7:$N$1900,10,FALSE)</f>
        <v>KESEJAHTERAAN</v>
      </c>
      <c r="O106" s="55">
        <f>VLOOKUP(B106,'Data Angt'!$A$5:$H$5810,6,FALSE)</f>
        <v>33</v>
      </c>
      <c r="P106" s="55" t="str">
        <f>VLOOKUP(B106,'Data Angt'!$A$5:$H$5810,8,FALSE)</f>
        <v>Tenaga Pengajar</v>
      </c>
    </row>
    <row r="107" spans="1:16" x14ac:dyDescent="0.3">
      <c r="A107" s="8">
        <v>100</v>
      </c>
      <c r="B107" s="9" t="s">
        <v>1442</v>
      </c>
      <c r="C107" s="10" t="str">
        <f>VLOOKUP(B107,'Data Angt'!$A$5:$B$5809,2,FALSE)</f>
        <v>A566</v>
      </c>
      <c r="D107" s="12" t="s">
        <v>9899</v>
      </c>
      <c r="E107" s="13">
        <v>44284</v>
      </c>
      <c r="F107" s="14">
        <v>45926</v>
      </c>
      <c r="G107" s="15">
        <v>250000000</v>
      </c>
      <c r="H107" s="16">
        <v>84</v>
      </c>
      <c r="I107" s="17">
        <v>2.4</v>
      </c>
      <c r="J107" s="15">
        <v>186748200</v>
      </c>
      <c r="K107" s="98">
        <f t="shared" si="3"/>
        <v>0</v>
      </c>
      <c r="L107" s="98" t="str">
        <f t="shared" si="4"/>
        <v>Lancar</v>
      </c>
      <c r="M107" s="5" t="str">
        <f t="shared" si="5"/>
        <v>001</v>
      </c>
      <c r="N107" s="55" t="str">
        <f>VLOOKUP(D107,Pinjaman!$E$7:$N$1900,10,FALSE)</f>
        <v>KESEJAHTERAAN</v>
      </c>
      <c r="O107" s="55">
        <f>VLOOKUP(B107,'Data Angt'!$A$5:$H$5810,6,FALSE)</f>
        <v>41</v>
      </c>
      <c r="P107" s="55" t="str">
        <f>VLOOKUP(B107,'Data Angt'!$A$5:$H$5810,8,FALSE)</f>
        <v>Karyawan</v>
      </c>
    </row>
    <row r="108" spans="1:16" x14ac:dyDescent="0.3">
      <c r="A108" s="8">
        <v>101</v>
      </c>
      <c r="B108" s="9" t="s">
        <v>1450</v>
      </c>
      <c r="C108" s="10" t="str">
        <f>VLOOKUP(B108,'Data Angt'!$A$5:$B$5809,2,FALSE)</f>
        <v>A569</v>
      </c>
      <c r="D108" s="12" t="s">
        <v>9901</v>
      </c>
      <c r="E108" s="13">
        <v>43873</v>
      </c>
      <c r="F108" s="14">
        <v>45693</v>
      </c>
      <c r="G108" s="15">
        <v>110000000</v>
      </c>
      <c r="H108" s="16">
        <v>60</v>
      </c>
      <c r="I108" s="17">
        <v>21</v>
      </c>
      <c r="J108" s="15">
        <v>74236200</v>
      </c>
      <c r="K108" s="98">
        <f t="shared" si="3"/>
        <v>7</v>
      </c>
      <c r="L108" s="98" t="str">
        <f t="shared" si="4"/>
        <v>Diragukan</v>
      </c>
      <c r="M108" s="5" t="str">
        <f t="shared" si="5"/>
        <v>001</v>
      </c>
      <c r="N108" s="55" t="str">
        <f>VLOOKUP(D108,Pinjaman!$E$7:$N$1900,10,FALSE)</f>
        <v>KESEJAHTERAAN</v>
      </c>
      <c r="O108" s="55">
        <f>VLOOKUP(B108,'Data Angt'!$A$5:$H$5810,6,FALSE)</f>
        <v>60</v>
      </c>
      <c r="P108" s="55" t="str">
        <f>VLOOKUP(B108,'Data Angt'!$A$5:$H$5810,8,FALSE)</f>
        <v>Aparatur/Pejabat Negara</v>
      </c>
    </row>
    <row r="109" spans="1:16" x14ac:dyDescent="0.3">
      <c r="A109" s="8">
        <v>102</v>
      </c>
      <c r="B109" s="9" t="s">
        <v>1460</v>
      </c>
      <c r="C109" s="10" t="str">
        <f>VLOOKUP(B109,'Data Angt'!$A$5:$B$5809,2,FALSE)</f>
        <v>A573</v>
      </c>
      <c r="D109" s="12" t="s">
        <v>15496</v>
      </c>
      <c r="E109" s="13">
        <v>45700</v>
      </c>
      <c r="F109" s="14">
        <v>45908</v>
      </c>
      <c r="G109" s="15">
        <v>8000000</v>
      </c>
      <c r="H109" s="16">
        <v>18</v>
      </c>
      <c r="I109" s="17">
        <v>24</v>
      </c>
      <c r="J109" s="15">
        <v>5222200</v>
      </c>
      <c r="K109" s="98">
        <f t="shared" si="3"/>
        <v>0</v>
      </c>
      <c r="L109" s="98" t="str">
        <f t="shared" si="4"/>
        <v>Lancar</v>
      </c>
      <c r="M109" s="5" t="str">
        <f t="shared" si="5"/>
        <v>001</v>
      </c>
      <c r="N109" s="55" t="str">
        <f>VLOOKUP(D109,Pinjaman!$E$7:$N$1900,10,FALSE)</f>
        <v>KESEJAHTERAAN</v>
      </c>
      <c r="O109" s="55">
        <f>VLOOKUP(B109,'Data Angt'!$A$5:$H$5810,6,FALSE)</f>
        <v>52</v>
      </c>
      <c r="P109" s="55" t="str">
        <f>VLOOKUP(B109,'Data Angt'!$A$5:$H$5810,8,FALSE)</f>
        <v>Karyawan</v>
      </c>
    </row>
    <row r="110" spans="1:16" x14ac:dyDescent="0.3">
      <c r="A110" s="8">
        <v>103</v>
      </c>
      <c r="B110" s="9" t="s">
        <v>1488</v>
      </c>
      <c r="C110" s="10" t="str">
        <f>VLOOKUP(B110,'Data Angt'!$A$5:$B$5809,2,FALSE)</f>
        <v>A585</v>
      </c>
      <c r="D110" s="12" t="s">
        <v>15498</v>
      </c>
      <c r="E110" s="13">
        <v>45773</v>
      </c>
      <c r="F110" s="14">
        <v>45926</v>
      </c>
      <c r="G110" s="15">
        <v>6000000</v>
      </c>
      <c r="H110" s="16">
        <v>12</v>
      </c>
      <c r="I110" s="17">
        <v>11.88</v>
      </c>
      <c r="J110" s="15">
        <v>3585900</v>
      </c>
      <c r="K110" s="98">
        <f t="shared" si="3"/>
        <v>0</v>
      </c>
      <c r="L110" s="98" t="str">
        <f t="shared" si="4"/>
        <v>Lancar</v>
      </c>
      <c r="M110" s="5" t="str">
        <f t="shared" si="5"/>
        <v>001</v>
      </c>
      <c r="N110" s="55" t="str">
        <f>VLOOKUP(D110,Pinjaman!$E$7:$N$1900,10,FALSE)</f>
        <v>PRODUKTIF</v>
      </c>
      <c r="O110" s="55">
        <f>VLOOKUP(B110,'Data Angt'!$A$5:$H$5810,6,FALSE)</f>
        <v>41</v>
      </c>
      <c r="P110" s="55" t="str">
        <f>VLOOKUP(B110,'Data Angt'!$A$5:$H$5810,8,FALSE)</f>
        <v>Karyawan</v>
      </c>
    </row>
    <row r="111" spans="1:16" x14ac:dyDescent="0.3">
      <c r="A111" s="8">
        <v>104</v>
      </c>
      <c r="B111" s="9" t="s">
        <v>1539</v>
      </c>
      <c r="C111" s="10" t="str">
        <f>VLOOKUP(B111,'Data Angt'!$A$5:$B$5809,2,FALSE)</f>
        <v>A608</v>
      </c>
      <c r="D111" s="12" t="s">
        <v>9904</v>
      </c>
      <c r="E111" s="13">
        <v>45069</v>
      </c>
      <c r="F111" s="14">
        <v>45896</v>
      </c>
      <c r="G111" s="15">
        <v>28000000</v>
      </c>
      <c r="H111" s="16">
        <v>48</v>
      </c>
      <c r="I111" s="17">
        <v>21</v>
      </c>
      <c r="J111" s="15">
        <v>21604100</v>
      </c>
      <c r="K111" s="98">
        <f t="shared" si="3"/>
        <v>1</v>
      </c>
      <c r="L111" s="98" t="str">
        <f t="shared" si="4"/>
        <v>Lancar</v>
      </c>
      <c r="M111" s="5" t="str">
        <f t="shared" si="5"/>
        <v>001</v>
      </c>
      <c r="N111" s="55" t="str">
        <f>VLOOKUP(D111,Pinjaman!$E$7:$N$1900,10,FALSE)</f>
        <v>PRODUKTIF</v>
      </c>
      <c r="O111" s="55">
        <f>VLOOKUP(B111,'Data Angt'!$A$5:$H$5810,6,FALSE)</f>
        <v>57</v>
      </c>
      <c r="P111" s="55" t="str">
        <f>VLOOKUP(B111,'Data Angt'!$A$5:$H$5810,8,FALSE)</f>
        <v>Tenaga Pengajar</v>
      </c>
    </row>
    <row r="112" spans="1:16" x14ac:dyDescent="0.3">
      <c r="A112" s="8">
        <v>105</v>
      </c>
      <c r="B112" s="9" t="s">
        <v>1548</v>
      </c>
      <c r="C112" s="10" t="str">
        <f>VLOOKUP(B112,'Data Angt'!$A$5:$B$5809,2,FALSE)</f>
        <v>A611</v>
      </c>
      <c r="D112" s="12" t="s">
        <v>9907</v>
      </c>
      <c r="E112" s="13">
        <v>43441</v>
      </c>
      <c r="F112" s="14">
        <v>45922</v>
      </c>
      <c r="G112" s="15">
        <v>75000000</v>
      </c>
      <c r="H112" s="16">
        <v>60</v>
      </c>
      <c r="I112" s="17">
        <v>21</v>
      </c>
      <c r="J112" s="15">
        <v>25776800</v>
      </c>
      <c r="K112" s="98">
        <f t="shared" si="3"/>
        <v>0</v>
      </c>
      <c r="L112" s="98" t="str">
        <f t="shared" si="4"/>
        <v>Lancar</v>
      </c>
      <c r="M112" s="5" t="str">
        <f t="shared" si="5"/>
        <v>001</v>
      </c>
      <c r="N112" s="55" t="str">
        <f>VLOOKUP(D112,Pinjaman!$E$7:$N$1900,10,FALSE)</f>
        <v>KONSUMTIF</v>
      </c>
      <c r="O112" s="55">
        <f>VLOOKUP(B112,'Data Angt'!$A$5:$H$5810,6,FALSE)</f>
        <v>69</v>
      </c>
      <c r="P112" s="55" t="str">
        <f>VLOOKUP(B112,'Data Angt'!$A$5:$H$5810,8,FALSE)</f>
        <v>Pensiunan</v>
      </c>
    </row>
    <row r="113" spans="1:16" x14ac:dyDescent="0.3">
      <c r="A113" s="8">
        <v>106</v>
      </c>
      <c r="B113" s="9" t="s">
        <v>1552</v>
      </c>
      <c r="C113" s="10" t="str">
        <f>VLOOKUP(B113,'Data Angt'!$A$5:$B$5809,2,FALSE)</f>
        <v>A613</v>
      </c>
      <c r="D113" s="12" t="s">
        <v>15501</v>
      </c>
      <c r="E113" s="13">
        <v>45705</v>
      </c>
      <c r="F113" s="14">
        <v>45916</v>
      </c>
      <c r="G113" s="15">
        <v>6000000</v>
      </c>
      <c r="H113" s="16">
        <v>24</v>
      </c>
      <c r="I113" s="17">
        <v>24</v>
      </c>
      <c r="J113" s="15">
        <v>4250000</v>
      </c>
      <c r="K113" s="98">
        <f t="shared" si="3"/>
        <v>0</v>
      </c>
      <c r="L113" s="98" t="str">
        <f t="shared" si="4"/>
        <v>Lancar</v>
      </c>
      <c r="M113" s="5" t="str">
        <f t="shared" si="5"/>
        <v>001</v>
      </c>
      <c r="N113" s="55" t="str">
        <f>VLOOKUP(D113,Pinjaman!$E$7:$N$1900,10,FALSE)</f>
        <v>PENDIDIKAN</v>
      </c>
      <c r="O113" s="55">
        <f>VLOOKUP(B113,'Data Angt'!$A$5:$H$5810,6,FALSE)</f>
        <v>73</v>
      </c>
      <c r="P113" s="55" t="str">
        <f>VLOOKUP(B113,'Data Angt'!$A$5:$H$5810,8,FALSE)</f>
        <v>Mengurus Rumah Tangga</v>
      </c>
    </row>
    <row r="114" spans="1:16" x14ac:dyDescent="0.3">
      <c r="A114" s="8">
        <v>107</v>
      </c>
      <c r="B114" s="9" t="s">
        <v>1568</v>
      </c>
      <c r="C114" s="10" t="str">
        <f>VLOOKUP(B114,'Data Angt'!$A$5:$B$5809,2,FALSE)</f>
        <v>A621</v>
      </c>
      <c r="D114" s="12" t="s">
        <v>15503</v>
      </c>
      <c r="E114" s="13">
        <v>45637</v>
      </c>
      <c r="F114" s="14">
        <v>45700</v>
      </c>
      <c r="G114" s="15">
        <v>35000000</v>
      </c>
      <c r="H114" s="16">
        <v>35</v>
      </c>
      <c r="I114" s="17">
        <v>21</v>
      </c>
      <c r="J114" s="15">
        <v>33520600</v>
      </c>
      <c r="K114" s="98">
        <f t="shared" si="3"/>
        <v>7</v>
      </c>
      <c r="L114" s="98" t="str">
        <f t="shared" si="4"/>
        <v>Diragukan</v>
      </c>
      <c r="M114" s="5" t="str">
        <f t="shared" si="5"/>
        <v>001</v>
      </c>
      <c r="N114" s="55" t="str">
        <f>VLOOKUP(D114,Pinjaman!$E$7:$N$1900,10,FALSE)</f>
        <v>KESEJAHTERAAN</v>
      </c>
      <c r="O114" s="55">
        <f>VLOOKUP(B114,'Data Angt'!$A$5:$H$5810,6,FALSE)</f>
        <v>69</v>
      </c>
      <c r="P114" s="55" t="str">
        <f>VLOOKUP(B114,'Data Angt'!$A$5:$H$5810,8,FALSE)</f>
        <v>Mengurus Rumah Tangga</v>
      </c>
    </row>
    <row r="115" spans="1:16" x14ac:dyDescent="0.3">
      <c r="A115" s="8">
        <v>108</v>
      </c>
      <c r="B115" s="9" t="s">
        <v>1576</v>
      </c>
      <c r="C115" s="10" t="str">
        <f>VLOOKUP(B115,'Data Angt'!$A$5:$B$5809,2,FALSE)</f>
        <v>A624</v>
      </c>
      <c r="D115" s="12" t="s">
        <v>9910</v>
      </c>
      <c r="E115" s="13">
        <v>44954</v>
      </c>
      <c r="F115" s="14">
        <v>45916</v>
      </c>
      <c r="G115" s="15">
        <v>91500000</v>
      </c>
      <c r="H115" s="16">
        <v>120</v>
      </c>
      <c r="I115" s="17">
        <v>21</v>
      </c>
      <c r="J115" s="15">
        <v>81825300</v>
      </c>
      <c r="K115" s="98">
        <f t="shared" si="3"/>
        <v>0</v>
      </c>
      <c r="L115" s="98" t="str">
        <f t="shared" si="4"/>
        <v>Lancar</v>
      </c>
      <c r="M115" s="5" t="str">
        <f t="shared" si="5"/>
        <v>001</v>
      </c>
      <c r="N115" s="55" t="str">
        <f>VLOOKUP(D115,Pinjaman!$E$7:$N$1900,10,FALSE)</f>
        <v>KONSUMTIF</v>
      </c>
      <c r="O115" s="55">
        <f>VLOOKUP(B115,'Data Angt'!$A$5:$H$5810,6,FALSE)</f>
        <v>39</v>
      </c>
      <c r="P115" s="55" t="str">
        <f>VLOOKUP(B115,'Data Angt'!$A$5:$H$5810,8,FALSE)</f>
        <v>Karyawan</v>
      </c>
    </row>
    <row r="116" spans="1:16" x14ac:dyDescent="0.3">
      <c r="A116" s="8">
        <v>109</v>
      </c>
      <c r="B116" s="9" t="s">
        <v>1581</v>
      </c>
      <c r="C116" s="10" t="str">
        <f>VLOOKUP(B116,'Data Angt'!$A$5:$B$5809,2,FALSE)</f>
        <v>A626</v>
      </c>
      <c r="D116" s="12" t="s">
        <v>22291</v>
      </c>
      <c r="E116" s="13">
        <v>45876</v>
      </c>
      <c r="F116" s="14">
        <v>45903</v>
      </c>
      <c r="G116" s="15">
        <v>19000000</v>
      </c>
      <c r="H116" s="16">
        <v>36</v>
      </c>
      <c r="I116" s="17">
        <v>11.4</v>
      </c>
      <c r="J116" s="15">
        <v>18554800</v>
      </c>
      <c r="K116" s="98">
        <f t="shared" si="3"/>
        <v>0</v>
      </c>
      <c r="L116" s="98" t="str">
        <f t="shared" si="4"/>
        <v>Lancar</v>
      </c>
      <c r="M116" s="5" t="str">
        <f t="shared" si="5"/>
        <v>001</v>
      </c>
      <c r="N116" s="55" t="str">
        <f>VLOOKUP(D116,Pinjaman!$E$7:$N$1900,10,FALSE)</f>
        <v>PENDIDIKAN</v>
      </c>
      <c r="O116" s="55">
        <f>VLOOKUP(B116,'Data Angt'!$A$5:$H$5810,6,FALSE)</f>
        <v>52</v>
      </c>
      <c r="P116" s="55" t="str">
        <f>VLOOKUP(B116,'Data Angt'!$A$5:$H$5810,8,FALSE)</f>
        <v>Aparatur/Pejabat Negara</v>
      </c>
    </row>
    <row r="117" spans="1:16" x14ac:dyDescent="0.3">
      <c r="A117" s="8">
        <v>110</v>
      </c>
      <c r="B117" s="9" t="s">
        <v>1611</v>
      </c>
      <c r="C117" s="10" t="str">
        <f>VLOOKUP(B117,'Data Angt'!$A$5:$B$5809,2,FALSE)</f>
        <v>A639</v>
      </c>
      <c r="D117" s="12" t="s">
        <v>9913</v>
      </c>
      <c r="E117" s="13">
        <v>44267</v>
      </c>
      <c r="F117" s="14">
        <v>44594</v>
      </c>
      <c r="G117" s="15">
        <v>80000000</v>
      </c>
      <c r="H117" s="16">
        <v>48</v>
      </c>
      <c r="I117" s="17">
        <v>21</v>
      </c>
      <c r="J117" s="15">
        <v>66666400</v>
      </c>
      <c r="K117" s="98">
        <f t="shared" si="3"/>
        <v>43</v>
      </c>
      <c r="L117" s="98" t="str">
        <f t="shared" si="4"/>
        <v>Macet</v>
      </c>
      <c r="M117" s="5" t="str">
        <f t="shared" si="5"/>
        <v>001</v>
      </c>
      <c r="N117" s="55" t="str">
        <f>VLOOKUP(D117,Pinjaman!$E$7:$N$1900,10,FALSE)</f>
        <v>KESEJAHTERAAN</v>
      </c>
      <c r="O117" s="55">
        <f>VLOOKUP(B117,'Data Angt'!$A$5:$H$5810,6,FALSE)</f>
        <v>52</v>
      </c>
      <c r="P117" s="55" t="str">
        <f>VLOOKUP(B117,'Data Angt'!$A$5:$H$5810,8,FALSE)</f>
        <v>Karyawan</v>
      </c>
    </row>
    <row r="118" spans="1:16" x14ac:dyDescent="0.3">
      <c r="A118" s="8">
        <v>111</v>
      </c>
      <c r="B118" s="9" t="s">
        <v>1625</v>
      </c>
      <c r="C118" s="10" t="str">
        <f>VLOOKUP(B118,'Data Angt'!$A$5:$B$5809,2,FALSE)</f>
        <v>A647</v>
      </c>
      <c r="D118" s="12" t="s">
        <v>15505</v>
      </c>
      <c r="E118" s="13">
        <v>45785</v>
      </c>
      <c r="F118" s="14">
        <v>45908</v>
      </c>
      <c r="G118" s="15">
        <v>25000000</v>
      </c>
      <c r="H118" s="16">
        <v>24</v>
      </c>
      <c r="I118" s="17">
        <v>21</v>
      </c>
      <c r="J118" s="15">
        <v>20833200</v>
      </c>
      <c r="K118" s="98">
        <f t="shared" si="3"/>
        <v>0</v>
      </c>
      <c r="L118" s="98" t="str">
        <f t="shared" si="4"/>
        <v>Lancar</v>
      </c>
      <c r="M118" s="5" t="str">
        <f t="shared" si="5"/>
        <v>001</v>
      </c>
      <c r="N118" s="55" t="str">
        <f>VLOOKUP(D118,Pinjaman!$E$7:$N$1900,10,FALSE)</f>
        <v>PRODUKTIF</v>
      </c>
      <c r="O118" s="55">
        <f>VLOOKUP(B118,'Data Angt'!$A$5:$H$5810,6,FALSE)</f>
        <v>56</v>
      </c>
      <c r="P118" s="55" t="str">
        <f>VLOOKUP(B118,'Data Angt'!$A$5:$H$5810,8,FALSE)</f>
        <v>Wiraswasta</v>
      </c>
    </row>
    <row r="119" spans="1:16" x14ac:dyDescent="0.3">
      <c r="A119" s="8">
        <v>112</v>
      </c>
      <c r="B119" s="9" t="s">
        <v>1641</v>
      </c>
      <c r="C119" s="10" t="str">
        <f>VLOOKUP(B119,'Data Angt'!$A$5:$B$5809,2,FALSE)</f>
        <v>A652</v>
      </c>
      <c r="D119" s="12" t="s">
        <v>15507</v>
      </c>
      <c r="E119" s="13">
        <v>45813</v>
      </c>
      <c r="F119" s="14">
        <v>45905</v>
      </c>
      <c r="G119" s="15">
        <v>12000000</v>
      </c>
      <c r="H119" s="16">
        <v>30</v>
      </c>
      <c r="I119" s="17">
        <v>24</v>
      </c>
      <c r="J119" s="15">
        <v>11094800</v>
      </c>
      <c r="K119" s="98">
        <f t="shared" si="3"/>
        <v>0</v>
      </c>
      <c r="L119" s="98" t="str">
        <f t="shared" si="4"/>
        <v>Lancar</v>
      </c>
      <c r="M119" s="5" t="str">
        <f t="shared" si="5"/>
        <v>001</v>
      </c>
      <c r="N119" s="55" t="str">
        <f>VLOOKUP(D119,Pinjaman!$E$7:$N$1900,10,FALSE)</f>
        <v>PENDIDIKAN</v>
      </c>
      <c r="O119" s="55">
        <f>VLOOKUP(B119,'Data Angt'!$A$5:$H$5810,6,FALSE)</f>
        <v>52</v>
      </c>
      <c r="P119" s="55" t="str">
        <f>VLOOKUP(B119,'Data Angt'!$A$5:$H$5810,8,FALSE)</f>
        <v>Karyawan</v>
      </c>
    </row>
    <row r="120" spans="1:16" x14ac:dyDescent="0.3">
      <c r="A120" s="8">
        <v>113</v>
      </c>
      <c r="B120" s="9" t="s">
        <v>1654</v>
      </c>
      <c r="C120" s="10" t="str">
        <f>VLOOKUP(B120,'Data Angt'!$A$5:$B$5809,2,FALSE)</f>
        <v>A657</v>
      </c>
      <c r="D120" s="12" t="s">
        <v>15509</v>
      </c>
      <c r="E120" s="13">
        <v>45799</v>
      </c>
      <c r="F120" s="14">
        <v>45922</v>
      </c>
      <c r="G120" s="15">
        <v>3000000</v>
      </c>
      <c r="H120" s="16">
        <v>10</v>
      </c>
      <c r="I120" s="17">
        <v>24</v>
      </c>
      <c r="J120" s="15">
        <v>1870900</v>
      </c>
      <c r="K120" s="98">
        <f t="shared" si="3"/>
        <v>0</v>
      </c>
      <c r="L120" s="98" t="str">
        <f t="shared" si="4"/>
        <v>Lancar</v>
      </c>
      <c r="M120" s="5" t="str">
        <f t="shared" si="5"/>
        <v>001</v>
      </c>
      <c r="N120" s="55" t="str">
        <f>VLOOKUP(D120,Pinjaman!$E$7:$N$1900,10,FALSE)</f>
        <v>PRODUKTIF</v>
      </c>
      <c r="O120" s="55">
        <f>VLOOKUP(B120,'Data Angt'!$A$5:$H$5810,6,FALSE)</f>
        <v>38</v>
      </c>
      <c r="P120" s="55" t="str">
        <f>VLOOKUP(B120,'Data Angt'!$A$5:$H$5810,8,FALSE)</f>
        <v>Karyawan</v>
      </c>
    </row>
    <row r="121" spans="1:16" x14ac:dyDescent="0.3">
      <c r="A121" s="8">
        <v>114</v>
      </c>
      <c r="B121" s="9" t="s">
        <v>1654</v>
      </c>
      <c r="C121" s="10" t="str">
        <f>VLOOKUP(B121,'Data Angt'!$A$5:$B$5809,2,FALSE)</f>
        <v>A657</v>
      </c>
      <c r="D121" s="12" t="s">
        <v>15511</v>
      </c>
      <c r="E121" s="13">
        <v>45358</v>
      </c>
      <c r="F121" s="14">
        <v>45913</v>
      </c>
      <c r="G121" s="15">
        <v>11000000</v>
      </c>
      <c r="H121" s="16">
        <v>36</v>
      </c>
      <c r="I121" s="17">
        <v>24</v>
      </c>
      <c r="J121" s="15">
        <v>6470200</v>
      </c>
      <c r="K121" s="98">
        <f t="shared" si="3"/>
        <v>0</v>
      </c>
      <c r="L121" s="98" t="str">
        <f t="shared" si="4"/>
        <v>Lancar</v>
      </c>
      <c r="M121" s="5" t="str">
        <f t="shared" si="5"/>
        <v>001</v>
      </c>
      <c r="N121" s="55" t="str">
        <f>VLOOKUP(D121,Pinjaman!$E$7:$N$1900,10,FALSE)</f>
        <v>PENDIDIKAN</v>
      </c>
      <c r="O121" s="55">
        <f>VLOOKUP(B121,'Data Angt'!$A$5:$H$5810,6,FALSE)</f>
        <v>38</v>
      </c>
      <c r="P121" s="55" t="str">
        <f>VLOOKUP(B121,'Data Angt'!$A$5:$H$5810,8,FALSE)</f>
        <v>Karyawan</v>
      </c>
    </row>
    <row r="122" spans="1:16" x14ac:dyDescent="0.3">
      <c r="A122" s="8">
        <v>115</v>
      </c>
      <c r="B122" s="9" t="s">
        <v>1672</v>
      </c>
      <c r="C122" s="10" t="str">
        <f>VLOOKUP(B122,'Data Angt'!$A$5:$B$5809,2,FALSE)</f>
        <v>A666</v>
      </c>
      <c r="D122" s="12" t="s">
        <v>15513</v>
      </c>
      <c r="E122" s="13">
        <v>45600</v>
      </c>
      <c r="F122" s="14">
        <v>45904</v>
      </c>
      <c r="G122" s="15">
        <v>2000000</v>
      </c>
      <c r="H122" s="16">
        <v>12</v>
      </c>
      <c r="I122" s="17">
        <v>11.88</v>
      </c>
      <c r="J122" s="15">
        <v>350200</v>
      </c>
      <c r="K122" s="98">
        <f t="shared" si="3"/>
        <v>0</v>
      </c>
      <c r="L122" s="98" t="str">
        <f t="shared" si="4"/>
        <v>Lancar</v>
      </c>
      <c r="M122" s="5" t="str">
        <f t="shared" si="5"/>
        <v>001</v>
      </c>
      <c r="N122" s="55" t="str">
        <f>VLOOKUP(D122,Pinjaman!$E$7:$N$1900,10,FALSE)</f>
        <v>PRODUKTIF</v>
      </c>
      <c r="O122" s="55">
        <f>VLOOKUP(B122,'Data Angt'!$A$5:$H$5810,6,FALSE)</f>
        <v>58</v>
      </c>
      <c r="P122" s="55" t="str">
        <f>VLOOKUP(B122,'Data Angt'!$A$5:$H$5810,8,FALSE)</f>
        <v>Wiraswasta</v>
      </c>
    </row>
    <row r="123" spans="1:16" x14ac:dyDescent="0.3">
      <c r="A123" s="8">
        <v>116</v>
      </c>
      <c r="B123" s="9" t="s">
        <v>1704</v>
      </c>
      <c r="C123" s="10" t="str">
        <f>VLOOKUP(B123,'Data Angt'!$A$5:$B$5809,2,FALSE)</f>
        <v>A682</v>
      </c>
      <c r="D123" s="12" t="s">
        <v>22295</v>
      </c>
      <c r="E123" s="13">
        <v>45867</v>
      </c>
      <c r="F123" s="14">
        <v>45929</v>
      </c>
      <c r="G123" s="15">
        <v>10000000</v>
      </c>
      <c r="H123" s="16">
        <v>24</v>
      </c>
      <c r="I123" s="17">
        <v>24</v>
      </c>
      <c r="J123" s="15">
        <v>9335900</v>
      </c>
      <c r="K123" s="98">
        <f t="shared" si="3"/>
        <v>0</v>
      </c>
      <c r="L123" s="98" t="str">
        <f t="shared" si="4"/>
        <v>Lancar</v>
      </c>
      <c r="M123" s="5" t="str">
        <f t="shared" si="5"/>
        <v>001</v>
      </c>
      <c r="N123" s="55" t="str">
        <f>VLOOKUP(D123,Pinjaman!$E$7:$N$1900,10,FALSE)</f>
        <v>KESEJAHTERAAN</v>
      </c>
      <c r="O123" s="55">
        <f>VLOOKUP(B123,'Data Angt'!$A$5:$H$5810,6,FALSE)</f>
        <v>70</v>
      </c>
      <c r="P123" s="55" t="str">
        <f>VLOOKUP(B123,'Data Angt'!$A$5:$H$5810,8,FALSE)</f>
        <v>Mengurus Rumah Tangga</v>
      </c>
    </row>
    <row r="124" spans="1:16" x14ac:dyDescent="0.3">
      <c r="A124" s="8">
        <v>117</v>
      </c>
      <c r="B124" s="9" t="s">
        <v>1760</v>
      </c>
      <c r="C124" s="10" t="str">
        <f>VLOOKUP(B124,'Data Angt'!$A$5:$B$5809,2,FALSE)</f>
        <v>A710</v>
      </c>
      <c r="D124" s="12" t="s">
        <v>22298</v>
      </c>
      <c r="E124" s="13">
        <v>45843</v>
      </c>
      <c r="F124" s="14">
        <v>45905</v>
      </c>
      <c r="G124" s="15">
        <v>11000000</v>
      </c>
      <c r="H124" s="16">
        <v>24</v>
      </c>
      <c r="I124" s="17">
        <v>24</v>
      </c>
      <c r="J124" s="15">
        <v>10269600</v>
      </c>
      <c r="K124" s="98">
        <f t="shared" si="3"/>
        <v>0</v>
      </c>
      <c r="L124" s="98" t="str">
        <f t="shared" si="4"/>
        <v>Lancar</v>
      </c>
      <c r="M124" s="5" t="str">
        <f t="shared" si="5"/>
        <v>001</v>
      </c>
      <c r="N124" s="55" t="str">
        <f>VLOOKUP(D124,Pinjaman!$E$7:$N$1900,10,FALSE)</f>
        <v>KESEJAHTERAAN</v>
      </c>
      <c r="O124" s="55">
        <f>VLOOKUP(B124,'Data Angt'!$A$5:$H$5810,6,FALSE)</f>
        <v>69</v>
      </c>
      <c r="P124" s="55" t="str">
        <f>VLOOKUP(B124,'Data Angt'!$A$5:$H$5810,8,FALSE)</f>
        <v>Pensiunan</v>
      </c>
    </row>
    <row r="125" spans="1:16" x14ac:dyDescent="0.3">
      <c r="A125" s="8">
        <v>118</v>
      </c>
      <c r="B125" s="9" t="s">
        <v>1766</v>
      </c>
      <c r="C125" s="10" t="str">
        <f>VLOOKUP(B125,'Data Angt'!$A$5:$B$5809,2,FALSE)</f>
        <v>A712</v>
      </c>
      <c r="D125" s="12" t="s">
        <v>15515</v>
      </c>
      <c r="E125" s="13">
        <v>45824</v>
      </c>
      <c r="F125" s="14">
        <v>45915</v>
      </c>
      <c r="G125" s="15">
        <v>5000000</v>
      </c>
      <c r="H125" s="16">
        <v>12</v>
      </c>
      <c r="I125" s="17">
        <v>24</v>
      </c>
      <c r="J125" s="15">
        <v>3859200</v>
      </c>
      <c r="K125" s="98">
        <f t="shared" si="3"/>
        <v>0</v>
      </c>
      <c r="L125" s="98" t="str">
        <f t="shared" si="4"/>
        <v>Lancar</v>
      </c>
      <c r="M125" s="5" t="str">
        <f t="shared" si="5"/>
        <v>001</v>
      </c>
      <c r="N125" s="55" t="str">
        <f>VLOOKUP(D125,Pinjaman!$E$7:$N$1900,10,FALSE)</f>
        <v>PRODUKTIF</v>
      </c>
      <c r="O125" s="55">
        <f>VLOOKUP(B125,'Data Angt'!$A$5:$H$5810,6,FALSE)</f>
        <v>56</v>
      </c>
      <c r="P125" s="55" t="str">
        <f>VLOOKUP(B125,'Data Angt'!$A$5:$H$5810,8,FALSE)</f>
        <v>Wiraswasta</v>
      </c>
    </row>
    <row r="126" spans="1:16" x14ac:dyDescent="0.3">
      <c r="A126" s="8">
        <v>119</v>
      </c>
      <c r="B126" s="9" t="s">
        <v>1766</v>
      </c>
      <c r="C126" s="10" t="str">
        <f>VLOOKUP(B126,'Data Angt'!$A$5:$B$5809,2,FALSE)</f>
        <v>A712</v>
      </c>
      <c r="D126" s="12" t="s">
        <v>9916</v>
      </c>
      <c r="E126" s="13">
        <v>45251</v>
      </c>
      <c r="F126" s="14">
        <v>45915</v>
      </c>
      <c r="G126" s="15">
        <v>25000000</v>
      </c>
      <c r="H126" s="16">
        <v>48</v>
      </c>
      <c r="I126" s="17">
        <v>21</v>
      </c>
      <c r="J126" s="15">
        <v>16060100</v>
      </c>
      <c r="K126" s="98">
        <f t="shared" si="3"/>
        <v>0</v>
      </c>
      <c r="L126" s="98" t="str">
        <f t="shared" si="4"/>
        <v>Lancar</v>
      </c>
      <c r="M126" s="5" t="str">
        <f t="shared" si="5"/>
        <v>001</v>
      </c>
      <c r="N126" s="55" t="str">
        <f>VLOOKUP(D126,Pinjaman!$E$7:$N$1900,10,FALSE)</f>
        <v>PRODUKTIF</v>
      </c>
      <c r="O126" s="55">
        <f>VLOOKUP(B126,'Data Angt'!$A$5:$H$5810,6,FALSE)</f>
        <v>56</v>
      </c>
      <c r="P126" s="55" t="str">
        <f>VLOOKUP(B126,'Data Angt'!$A$5:$H$5810,8,FALSE)</f>
        <v>Wiraswasta</v>
      </c>
    </row>
    <row r="127" spans="1:16" x14ac:dyDescent="0.3">
      <c r="A127" s="8">
        <v>120</v>
      </c>
      <c r="B127" s="9" t="s">
        <v>1769</v>
      </c>
      <c r="C127" s="10" t="str">
        <f>VLOOKUP(B127,'Data Angt'!$A$5:$B$5809,2,FALSE)</f>
        <v>A713</v>
      </c>
      <c r="D127" s="12" t="s">
        <v>9919</v>
      </c>
      <c r="E127" s="13">
        <v>43679</v>
      </c>
      <c r="F127" s="14">
        <v>45926</v>
      </c>
      <c r="G127" s="15">
        <v>175000000</v>
      </c>
      <c r="H127" s="16">
        <v>120</v>
      </c>
      <c r="I127" s="17">
        <v>2.4</v>
      </c>
      <c r="J127" s="15">
        <v>73579900</v>
      </c>
      <c r="K127" s="98">
        <f t="shared" si="3"/>
        <v>0</v>
      </c>
      <c r="L127" s="98" t="str">
        <f t="shared" si="4"/>
        <v>Lancar</v>
      </c>
      <c r="M127" s="5" t="str">
        <f t="shared" si="5"/>
        <v>001</v>
      </c>
      <c r="N127" s="55" t="str">
        <f>VLOOKUP(D127,Pinjaman!$E$7:$N$1900,10,FALSE)</f>
        <v>KESEJAHTERAAN</v>
      </c>
      <c r="O127" s="55">
        <f>VLOOKUP(B127,'Data Angt'!$A$5:$H$5810,6,FALSE)</f>
        <v>43</v>
      </c>
      <c r="P127" s="55" t="str">
        <f>VLOOKUP(B127,'Data Angt'!$A$5:$H$5810,8,FALSE)</f>
        <v>Karyawan</v>
      </c>
    </row>
    <row r="128" spans="1:16" x14ac:dyDescent="0.3">
      <c r="A128" s="8">
        <v>121</v>
      </c>
      <c r="B128" s="9" t="s">
        <v>1895</v>
      </c>
      <c r="C128" s="10" t="str">
        <f>VLOOKUP(B128,'Data Angt'!$A$5:$B$5809,2,FALSE)</f>
        <v>A766</v>
      </c>
      <c r="D128" s="12" t="s">
        <v>9921</v>
      </c>
      <c r="E128" s="13">
        <v>42377</v>
      </c>
      <c r="F128" s="14">
        <v>45887</v>
      </c>
      <c r="G128" s="15">
        <v>100000000</v>
      </c>
      <c r="H128" s="16">
        <v>60</v>
      </c>
      <c r="I128" s="17">
        <v>0</v>
      </c>
      <c r="J128" s="15">
        <v>34857400</v>
      </c>
      <c r="K128" s="98">
        <f t="shared" si="3"/>
        <v>1</v>
      </c>
      <c r="L128" s="98" t="str">
        <f t="shared" si="4"/>
        <v>Lancar</v>
      </c>
      <c r="M128" s="5" t="str">
        <f t="shared" si="5"/>
        <v>001</v>
      </c>
      <c r="N128" s="55">
        <f>VLOOKUP(D128,Pinjaman!$E$7:$N$1900,10,FALSE)</f>
        <v>0</v>
      </c>
      <c r="O128" s="55">
        <f>VLOOKUP(B128,'Data Angt'!$A$5:$H$5810,6,FALSE)</f>
        <v>66</v>
      </c>
      <c r="P128" s="55" t="str">
        <f>VLOOKUP(B128,'Data Angt'!$A$5:$H$5810,8,FALSE)</f>
        <v>Wiraswasta</v>
      </c>
    </row>
    <row r="129" spans="1:16" x14ac:dyDescent="0.3">
      <c r="A129" s="8">
        <v>122</v>
      </c>
      <c r="B129" s="9" t="s">
        <v>1944</v>
      </c>
      <c r="C129" s="10" t="str">
        <f>VLOOKUP(B129,'Data Angt'!$A$5:$B$5809,2,FALSE)</f>
        <v>A788</v>
      </c>
      <c r="D129" s="12" t="s">
        <v>15517</v>
      </c>
      <c r="E129" s="13">
        <v>45632</v>
      </c>
      <c r="F129" s="14">
        <v>45908</v>
      </c>
      <c r="G129" s="15">
        <v>40000000</v>
      </c>
      <c r="H129" s="16">
        <v>48</v>
      </c>
      <c r="I129" s="17">
        <v>21</v>
      </c>
      <c r="J129" s="15">
        <v>34798500</v>
      </c>
      <c r="K129" s="98">
        <f t="shared" si="3"/>
        <v>0</v>
      </c>
      <c r="L129" s="98" t="str">
        <f t="shared" si="4"/>
        <v>Lancar</v>
      </c>
      <c r="M129" s="5" t="str">
        <f t="shared" si="5"/>
        <v>001</v>
      </c>
      <c r="N129" s="55" t="str">
        <f>VLOOKUP(D129,Pinjaman!$E$7:$N$1900,10,FALSE)</f>
        <v>PRODUKTIF</v>
      </c>
      <c r="O129" s="55">
        <f>VLOOKUP(B129,'Data Angt'!$A$5:$H$5810,6,FALSE)</f>
        <v>49</v>
      </c>
      <c r="P129" s="55" t="str">
        <f>VLOOKUP(B129,'Data Angt'!$A$5:$H$5810,8,FALSE)</f>
        <v>Wiraswasta</v>
      </c>
    </row>
    <row r="130" spans="1:16" x14ac:dyDescent="0.3">
      <c r="A130" s="8">
        <v>123</v>
      </c>
      <c r="B130" s="9" t="s">
        <v>1966</v>
      </c>
      <c r="C130" s="10" t="str">
        <f>VLOOKUP(B130,'Data Angt'!$A$5:$B$5809,2,FALSE)</f>
        <v>A800</v>
      </c>
      <c r="D130" s="12" t="s">
        <v>15519</v>
      </c>
      <c r="E130" s="13">
        <v>45401</v>
      </c>
      <c r="F130" s="14">
        <v>45922</v>
      </c>
      <c r="G130" s="15">
        <v>20000000</v>
      </c>
      <c r="H130" s="16">
        <v>36</v>
      </c>
      <c r="I130" s="17">
        <v>11.4</v>
      </c>
      <c r="J130" s="15">
        <v>11399600</v>
      </c>
      <c r="K130" s="98">
        <f t="shared" si="3"/>
        <v>0</v>
      </c>
      <c r="L130" s="98" t="str">
        <f t="shared" si="4"/>
        <v>Lancar</v>
      </c>
      <c r="M130" s="5" t="str">
        <f t="shared" si="5"/>
        <v>001</v>
      </c>
      <c r="N130" s="55" t="str">
        <f>VLOOKUP(D130,Pinjaman!$E$7:$N$1900,10,FALSE)</f>
        <v>PRODUKTIF</v>
      </c>
      <c r="O130" s="55">
        <f>VLOOKUP(B130,'Data Angt'!$A$5:$H$5810,6,FALSE)</f>
        <v>57</v>
      </c>
      <c r="P130" s="55" t="str">
        <f>VLOOKUP(B130,'Data Angt'!$A$5:$H$5810,8,FALSE)</f>
        <v>Karyawan</v>
      </c>
    </row>
    <row r="131" spans="1:16" x14ac:dyDescent="0.3">
      <c r="A131" s="8">
        <v>124</v>
      </c>
      <c r="B131" s="9" t="s">
        <v>2009</v>
      </c>
      <c r="C131" s="10" t="str">
        <f>VLOOKUP(B131,'Data Angt'!$A$5:$B$5809,2,FALSE)</f>
        <v>A822</v>
      </c>
      <c r="D131" s="12" t="s">
        <v>9924</v>
      </c>
      <c r="E131" s="13">
        <v>44580</v>
      </c>
      <c r="F131" s="14">
        <v>45353</v>
      </c>
      <c r="G131" s="15">
        <v>45000000</v>
      </c>
      <c r="H131" s="16">
        <v>24</v>
      </c>
      <c r="I131" s="17">
        <v>21</v>
      </c>
      <c r="J131" s="15">
        <v>29967200</v>
      </c>
      <c r="K131" s="98">
        <f t="shared" si="3"/>
        <v>18</v>
      </c>
      <c r="L131" s="98" t="str">
        <f t="shared" si="4"/>
        <v>Macet</v>
      </c>
      <c r="M131" s="5" t="str">
        <f t="shared" si="5"/>
        <v>001</v>
      </c>
      <c r="N131" s="55" t="str">
        <f>VLOOKUP(D131,Pinjaman!$E$7:$N$1900,10,FALSE)</f>
        <v>PRODUKTIF</v>
      </c>
      <c r="O131" s="55">
        <f>VLOOKUP(B131,'Data Angt'!$A$5:$H$5810,6,FALSE)</f>
        <v>29</v>
      </c>
      <c r="P131" s="55" t="str">
        <f>VLOOKUP(B131,'Data Angt'!$A$5:$H$5810,8,FALSE)</f>
        <v>Lain-Lain</v>
      </c>
    </row>
    <row r="132" spans="1:16" x14ac:dyDescent="0.3">
      <c r="A132" s="8">
        <v>125</v>
      </c>
      <c r="B132" s="9" t="s">
        <v>2012</v>
      </c>
      <c r="C132" s="10" t="str">
        <f>VLOOKUP(B132,'Data Angt'!$A$5:$B$5809,2,FALSE)</f>
        <v>A823</v>
      </c>
      <c r="D132" s="12" t="s">
        <v>22304</v>
      </c>
      <c r="E132" s="13">
        <v>45899</v>
      </c>
      <c r="F132" s="14">
        <v>45926</v>
      </c>
      <c r="G132" s="15">
        <v>7000000</v>
      </c>
      <c r="H132" s="16">
        <v>24</v>
      </c>
      <c r="I132" s="17">
        <v>24</v>
      </c>
      <c r="J132" s="15">
        <v>6769900</v>
      </c>
      <c r="K132" s="98">
        <f t="shared" si="3"/>
        <v>0</v>
      </c>
      <c r="L132" s="98" t="str">
        <f t="shared" si="4"/>
        <v>Lancar</v>
      </c>
      <c r="M132" s="5" t="str">
        <f t="shared" si="5"/>
        <v>001</v>
      </c>
      <c r="N132" s="55" t="str">
        <f>VLOOKUP(D132,Pinjaman!$E$7:$N$1900,10,FALSE)</f>
        <v>PENDIDIKAN</v>
      </c>
      <c r="O132" s="55">
        <f>VLOOKUP(B132,'Data Angt'!$A$5:$H$5810,6,FALSE)</f>
        <v>48</v>
      </c>
      <c r="P132" s="55" t="str">
        <f>VLOOKUP(B132,'Data Angt'!$A$5:$H$5810,8,FALSE)</f>
        <v>Karyawan</v>
      </c>
    </row>
    <row r="133" spans="1:16" x14ac:dyDescent="0.3">
      <c r="A133" s="8">
        <v>126</v>
      </c>
      <c r="B133" s="9" t="s">
        <v>2028</v>
      </c>
      <c r="C133" s="10" t="str">
        <f>VLOOKUP(B133,'Data Angt'!$A$5:$B$5809,2,FALSE)</f>
        <v>A832</v>
      </c>
      <c r="D133" s="12" t="s">
        <v>9927</v>
      </c>
      <c r="E133" s="13">
        <v>43818</v>
      </c>
      <c r="F133" s="14">
        <v>45926</v>
      </c>
      <c r="G133" s="15">
        <v>140000000</v>
      </c>
      <c r="H133" s="16">
        <v>120</v>
      </c>
      <c r="I133" s="17">
        <v>11.4</v>
      </c>
      <c r="J133" s="15">
        <v>80377200</v>
      </c>
      <c r="K133" s="98">
        <f t="shared" si="3"/>
        <v>0</v>
      </c>
      <c r="L133" s="98" t="str">
        <f t="shared" si="4"/>
        <v>Lancar</v>
      </c>
      <c r="M133" s="5" t="str">
        <f t="shared" si="5"/>
        <v>001</v>
      </c>
      <c r="N133" s="55" t="str">
        <f>VLOOKUP(D133,Pinjaman!$E$7:$N$1900,10,FALSE)</f>
        <v>KESEJAHTERAAN</v>
      </c>
      <c r="O133" s="55">
        <f>VLOOKUP(B133,'Data Angt'!$A$5:$H$5810,6,FALSE)</f>
        <v>40</v>
      </c>
      <c r="P133" s="55" t="str">
        <f>VLOOKUP(B133,'Data Angt'!$A$5:$H$5810,8,FALSE)</f>
        <v>Aparatur/Pejabat Negara</v>
      </c>
    </row>
    <row r="134" spans="1:16" x14ac:dyDescent="0.3">
      <c r="A134" s="8">
        <v>127</v>
      </c>
      <c r="B134" s="9" t="s">
        <v>2032</v>
      </c>
      <c r="C134" s="10" t="str">
        <f>VLOOKUP(B134,'Data Angt'!$A$5:$B$5809,2,FALSE)</f>
        <v>A834</v>
      </c>
      <c r="D134" s="12" t="s">
        <v>9930</v>
      </c>
      <c r="E134" s="13">
        <v>44110</v>
      </c>
      <c r="F134" s="14">
        <v>45925</v>
      </c>
      <c r="G134" s="15">
        <v>175000000</v>
      </c>
      <c r="H134" s="16">
        <v>120</v>
      </c>
      <c r="I134" s="17">
        <v>2.4</v>
      </c>
      <c r="J134" s="15">
        <v>197582100</v>
      </c>
      <c r="K134" s="98">
        <f t="shared" si="3"/>
        <v>0</v>
      </c>
      <c r="L134" s="98" t="str">
        <f t="shared" si="4"/>
        <v>Lancar</v>
      </c>
      <c r="M134" s="5" t="str">
        <f t="shared" si="5"/>
        <v>001</v>
      </c>
      <c r="N134" s="55" t="str">
        <f>VLOOKUP(D134,Pinjaman!$E$7:$N$1900,10,FALSE)</f>
        <v>KESEJAHTERAAN</v>
      </c>
      <c r="O134" s="55">
        <f>VLOOKUP(B134,'Data Angt'!$A$5:$H$5810,6,FALSE)</f>
        <v>38</v>
      </c>
      <c r="P134" s="55" t="str">
        <f>VLOOKUP(B134,'Data Angt'!$A$5:$H$5810,8,FALSE)</f>
        <v>Karyawan</v>
      </c>
    </row>
    <row r="135" spans="1:16" x14ac:dyDescent="0.3">
      <c r="A135" s="8">
        <v>128</v>
      </c>
      <c r="B135" s="9" t="s">
        <v>2032</v>
      </c>
      <c r="C135" s="10" t="str">
        <f>VLOOKUP(B135,'Data Angt'!$A$5:$B$5809,2,FALSE)</f>
        <v>A834</v>
      </c>
      <c r="D135" s="12" t="s">
        <v>15522</v>
      </c>
      <c r="E135" s="13">
        <v>45616</v>
      </c>
      <c r="F135" s="14">
        <v>45925</v>
      </c>
      <c r="G135" s="15">
        <v>5000000</v>
      </c>
      <c r="H135" s="16">
        <v>24</v>
      </c>
      <c r="I135" s="17">
        <v>11.9</v>
      </c>
      <c r="J135" s="15">
        <v>3059300</v>
      </c>
      <c r="K135" s="98">
        <f t="shared" si="3"/>
        <v>0</v>
      </c>
      <c r="L135" s="98" t="str">
        <f t="shared" si="4"/>
        <v>Lancar</v>
      </c>
      <c r="M135" s="5" t="str">
        <f t="shared" si="5"/>
        <v>001</v>
      </c>
      <c r="N135" s="55" t="str">
        <f>VLOOKUP(D135,Pinjaman!$E$7:$N$1900,10,FALSE)</f>
        <v>KONSUMTIF</v>
      </c>
      <c r="O135" s="55">
        <f>VLOOKUP(B135,'Data Angt'!$A$5:$H$5810,6,FALSE)</f>
        <v>38</v>
      </c>
      <c r="P135" s="55" t="str">
        <f>VLOOKUP(B135,'Data Angt'!$A$5:$H$5810,8,FALSE)</f>
        <v>Karyawan</v>
      </c>
    </row>
    <row r="136" spans="1:16" x14ac:dyDescent="0.3">
      <c r="A136" s="8">
        <v>129</v>
      </c>
      <c r="B136" s="9" t="s">
        <v>2045</v>
      </c>
      <c r="C136" s="10" t="str">
        <f>VLOOKUP(B136,'Data Angt'!$A$5:$B$5809,2,FALSE)</f>
        <v>A841</v>
      </c>
      <c r="D136" s="12" t="s">
        <v>9933</v>
      </c>
      <c r="E136" s="13">
        <v>44200</v>
      </c>
      <c r="F136" s="14">
        <v>45904</v>
      </c>
      <c r="G136" s="15">
        <v>163000000</v>
      </c>
      <c r="H136" s="16">
        <v>120</v>
      </c>
      <c r="I136" s="17">
        <v>11.4</v>
      </c>
      <c r="J136" s="15">
        <v>109076300</v>
      </c>
      <c r="K136" s="98">
        <f t="shared" si="3"/>
        <v>0</v>
      </c>
      <c r="L136" s="98" t="str">
        <f t="shared" si="4"/>
        <v>Lancar</v>
      </c>
      <c r="M136" s="5" t="str">
        <f t="shared" si="5"/>
        <v>001</v>
      </c>
      <c r="N136" s="55" t="str">
        <f>VLOOKUP(D136,Pinjaman!$E$7:$N$1900,10,FALSE)</f>
        <v>KESEJAHTERAAN</v>
      </c>
      <c r="O136" s="55">
        <f>VLOOKUP(B136,'Data Angt'!$A$5:$H$5810,6,FALSE)</f>
        <v>36</v>
      </c>
      <c r="P136" s="55" t="str">
        <f>VLOOKUP(B136,'Data Angt'!$A$5:$H$5810,8,FALSE)</f>
        <v>Karyawan</v>
      </c>
    </row>
    <row r="137" spans="1:16" x14ac:dyDescent="0.3">
      <c r="A137" s="8">
        <v>130</v>
      </c>
      <c r="B137" s="9" t="s">
        <v>2051</v>
      </c>
      <c r="C137" s="10" t="str">
        <f>VLOOKUP(B137,'Data Angt'!$A$5:$B$5809,2,FALSE)</f>
        <v>A843</v>
      </c>
      <c r="D137" s="12" t="s">
        <v>9936</v>
      </c>
      <c r="E137" s="13">
        <v>45119</v>
      </c>
      <c r="F137" s="14">
        <v>45902</v>
      </c>
      <c r="G137" s="15">
        <v>15000000</v>
      </c>
      <c r="H137" s="16">
        <v>30</v>
      </c>
      <c r="I137" s="17">
        <v>24</v>
      </c>
      <c r="J137" s="15">
        <v>2000000</v>
      </c>
      <c r="K137" s="98">
        <f t="shared" ref="K137:K200" si="6">DATEDIF(F137,$K$6,"m")</f>
        <v>0</v>
      </c>
      <c r="L137" s="98" t="str">
        <f t="shared" ref="L137:L200" si="7">IF(K137&lt;=3,"Lancar",IF(K137&lt;=6,"Kurang lancar",IF(K137&lt;=12,"Diragukan","Macet")))</f>
        <v>Lancar</v>
      </c>
      <c r="M137" s="5" t="str">
        <f t="shared" ref="M137:M200" si="8">MID(B137,7,3)</f>
        <v>001</v>
      </c>
      <c r="N137" s="55" t="str">
        <f>VLOOKUP(D137,Pinjaman!$E$7:$N$1900,10,FALSE)</f>
        <v>PENDIDIKAN</v>
      </c>
      <c r="O137" s="55">
        <f>VLOOKUP(B137,'Data Angt'!$A$5:$H$5810,6,FALSE)</f>
        <v>43</v>
      </c>
      <c r="P137" s="55" t="str">
        <f>VLOOKUP(B137,'Data Angt'!$A$5:$H$5810,8,FALSE)</f>
        <v>Karyawan</v>
      </c>
    </row>
    <row r="138" spans="1:16" x14ac:dyDescent="0.3">
      <c r="A138" s="8">
        <v>131</v>
      </c>
      <c r="B138" s="9" t="s">
        <v>2051</v>
      </c>
      <c r="C138" s="10" t="str">
        <f>VLOOKUP(B138,'Data Angt'!$A$5:$B$5809,2,FALSE)</f>
        <v>A843</v>
      </c>
      <c r="D138" s="12" t="s">
        <v>22308</v>
      </c>
      <c r="E138" s="13">
        <v>45904</v>
      </c>
      <c r="F138" s="14">
        <v>45904</v>
      </c>
      <c r="G138" s="15">
        <v>5000000</v>
      </c>
      <c r="H138" s="16">
        <v>10</v>
      </c>
      <c r="I138" s="17">
        <v>24</v>
      </c>
      <c r="J138" s="15">
        <v>5000000</v>
      </c>
      <c r="K138" s="98">
        <f t="shared" si="6"/>
        <v>0</v>
      </c>
      <c r="L138" s="98" t="str">
        <f t="shared" si="7"/>
        <v>Lancar</v>
      </c>
      <c r="M138" s="5" t="str">
        <f t="shared" si="8"/>
        <v>001</v>
      </c>
      <c r="N138" s="55" t="str">
        <f>VLOOKUP(D138,Pinjaman!$E$7:$N$1900,10,FALSE)</f>
        <v>PRODUKTIF</v>
      </c>
      <c r="O138" s="55">
        <f>VLOOKUP(B138,'Data Angt'!$A$5:$H$5810,6,FALSE)</f>
        <v>43</v>
      </c>
      <c r="P138" s="55" t="str">
        <f>VLOOKUP(B138,'Data Angt'!$A$5:$H$5810,8,FALSE)</f>
        <v>Karyawan</v>
      </c>
    </row>
    <row r="139" spans="1:16" x14ac:dyDescent="0.3">
      <c r="A139" s="8">
        <v>132</v>
      </c>
      <c r="B139" s="9" t="s">
        <v>2067</v>
      </c>
      <c r="C139" s="10" t="str">
        <f>VLOOKUP(B139,'Data Angt'!$A$5:$B$5809,2,FALSE)</f>
        <v>A849</v>
      </c>
      <c r="D139" s="12" t="s">
        <v>22311</v>
      </c>
      <c r="E139" s="13">
        <v>45892</v>
      </c>
      <c r="F139" s="14">
        <v>45920</v>
      </c>
      <c r="G139" s="15">
        <v>16000000</v>
      </c>
      <c r="H139" s="16">
        <v>12</v>
      </c>
      <c r="I139" s="17">
        <v>24</v>
      </c>
      <c r="J139" s="15">
        <v>14807000</v>
      </c>
      <c r="K139" s="98">
        <f t="shared" si="6"/>
        <v>0</v>
      </c>
      <c r="L139" s="98" t="str">
        <f t="shared" si="7"/>
        <v>Lancar</v>
      </c>
      <c r="M139" s="5" t="str">
        <f t="shared" si="8"/>
        <v>001</v>
      </c>
      <c r="N139" s="55" t="str">
        <f>VLOOKUP(D139,Pinjaman!$E$7:$N$1900,10,FALSE)</f>
        <v>KONSUMTIF</v>
      </c>
      <c r="O139" s="55">
        <f>VLOOKUP(B139,'Data Angt'!$A$5:$H$5810,6,FALSE)</f>
        <v>54</v>
      </c>
      <c r="P139" s="55" t="str">
        <f>VLOOKUP(B139,'Data Angt'!$A$5:$H$5810,8,FALSE)</f>
        <v>Karyawan</v>
      </c>
    </row>
    <row r="140" spans="1:16" x14ac:dyDescent="0.3">
      <c r="A140" s="8">
        <v>133</v>
      </c>
      <c r="B140" s="9" t="s">
        <v>2155</v>
      </c>
      <c r="C140" s="10" t="str">
        <f>VLOOKUP(B140,'Data Angt'!$A$5:$B$5809,2,FALSE)</f>
        <v>A889</v>
      </c>
      <c r="D140" s="12" t="s">
        <v>15525</v>
      </c>
      <c r="E140" s="13">
        <v>45688</v>
      </c>
      <c r="F140" s="14">
        <v>45920</v>
      </c>
      <c r="G140" s="15">
        <v>45000000</v>
      </c>
      <c r="H140" s="16">
        <v>24</v>
      </c>
      <c r="I140" s="17">
        <v>21</v>
      </c>
      <c r="J140" s="15">
        <v>32027400</v>
      </c>
      <c r="K140" s="98">
        <f t="shared" si="6"/>
        <v>0</v>
      </c>
      <c r="L140" s="98" t="str">
        <f t="shared" si="7"/>
        <v>Lancar</v>
      </c>
      <c r="M140" s="5" t="str">
        <f t="shared" si="8"/>
        <v>001</v>
      </c>
      <c r="N140" s="55" t="str">
        <f>VLOOKUP(D140,Pinjaman!$E$7:$N$1900,10,FALSE)</f>
        <v>KONSUMTIF</v>
      </c>
      <c r="O140" s="55">
        <f>VLOOKUP(B140,'Data Angt'!$A$5:$H$5810,6,FALSE)</f>
        <v>47</v>
      </c>
      <c r="P140" s="55" t="str">
        <f>VLOOKUP(B140,'Data Angt'!$A$5:$H$5810,8,FALSE)</f>
        <v>Aparatur/Pejabat Negara</v>
      </c>
    </row>
    <row r="141" spans="1:16" x14ac:dyDescent="0.3">
      <c r="A141" s="8">
        <v>134</v>
      </c>
      <c r="B141" s="9" t="s">
        <v>2159</v>
      </c>
      <c r="C141" s="10" t="str">
        <f>VLOOKUP(B141,'Data Angt'!$A$5:$B$5809,2,FALSE)</f>
        <v>A895</v>
      </c>
      <c r="D141" s="12" t="s">
        <v>15528</v>
      </c>
      <c r="E141" s="13">
        <v>45520</v>
      </c>
      <c r="F141" s="14">
        <v>45916</v>
      </c>
      <c r="G141" s="15">
        <v>7000000</v>
      </c>
      <c r="H141" s="16">
        <v>15</v>
      </c>
      <c r="I141" s="17">
        <v>24</v>
      </c>
      <c r="J141" s="15">
        <v>1058200</v>
      </c>
      <c r="K141" s="98">
        <f t="shared" si="6"/>
        <v>0</v>
      </c>
      <c r="L141" s="98" t="str">
        <f t="shared" si="7"/>
        <v>Lancar</v>
      </c>
      <c r="M141" s="5" t="str">
        <f t="shared" si="8"/>
        <v>001</v>
      </c>
      <c r="N141" s="55" t="str">
        <f>VLOOKUP(D141,Pinjaman!$E$7:$N$1900,10,FALSE)</f>
        <v>KESEJAHTERAAN</v>
      </c>
      <c r="O141" s="55">
        <f>VLOOKUP(B141,'Data Angt'!$A$5:$H$5810,6,FALSE)</f>
        <v>59</v>
      </c>
      <c r="P141" s="55" t="str">
        <f>VLOOKUP(B141,'Data Angt'!$A$5:$H$5810,8,FALSE)</f>
        <v>Wiraswasta</v>
      </c>
    </row>
    <row r="142" spans="1:16" x14ac:dyDescent="0.3">
      <c r="A142" s="8">
        <v>135</v>
      </c>
      <c r="B142" s="9" t="s">
        <v>2172</v>
      </c>
      <c r="C142" s="10" t="str">
        <f>VLOOKUP(B142,'Data Angt'!$A$5:$B$5809,2,FALSE)</f>
        <v>A901</v>
      </c>
      <c r="D142" s="12" t="s">
        <v>22316</v>
      </c>
      <c r="E142" s="13">
        <v>45898</v>
      </c>
      <c r="F142" s="14">
        <v>45926</v>
      </c>
      <c r="G142" s="15">
        <v>5400000</v>
      </c>
      <c r="H142" s="16">
        <v>12</v>
      </c>
      <c r="I142" s="17">
        <v>11.9</v>
      </c>
      <c r="J142" s="15">
        <v>4974000</v>
      </c>
      <c r="K142" s="98">
        <f t="shared" si="6"/>
        <v>0</v>
      </c>
      <c r="L142" s="98" t="str">
        <f t="shared" si="7"/>
        <v>Lancar</v>
      </c>
      <c r="M142" s="5" t="str">
        <f t="shared" si="8"/>
        <v>001</v>
      </c>
      <c r="N142" s="55" t="str">
        <f>VLOOKUP(D142,Pinjaman!$E$7:$N$1900,10,FALSE)</f>
        <v>KESEJAHTERAAN</v>
      </c>
      <c r="O142" s="55">
        <f>VLOOKUP(B142,'Data Angt'!$A$5:$H$5810,6,FALSE)</f>
        <v>31</v>
      </c>
      <c r="P142" s="55" t="str">
        <f>VLOOKUP(B142,'Data Angt'!$A$5:$H$5810,8,FALSE)</f>
        <v>Karyawan</v>
      </c>
    </row>
    <row r="143" spans="1:16" x14ac:dyDescent="0.3">
      <c r="A143" s="8">
        <v>136</v>
      </c>
      <c r="B143" s="9" t="s">
        <v>2208</v>
      </c>
      <c r="C143" s="10" t="str">
        <f>VLOOKUP(B143,'Data Angt'!$A$5:$B$5809,2,FALSE)</f>
        <v>A920</v>
      </c>
      <c r="D143" s="12" t="s">
        <v>9939</v>
      </c>
      <c r="E143" s="13">
        <v>43321</v>
      </c>
      <c r="F143" s="14">
        <v>45425</v>
      </c>
      <c r="G143" s="15">
        <v>28566000</v>
      </c>
      <c r="H143" s="16">
        <v>60</v>
      </c>
      <c r="I143" s="17">
        <v>21</v>
      </c>
      <c r="J143" s="15">
        <v>25946300</v>
      </c>
      <c r="K143" s="98">
        <f t="shared" si="6"/>
        <v>16</v>
      </c>
      <c r="L143" s="98" t="str">
        <f t="shared" si="7"/>
        <v>Macet</v>
      </c>
      <c r="M143" s="5" t="str">
        <f t="shared" si="8"/>
        <v>001</v>
      </c>
      <c r="N143" s="55" t="str">
        <f>VLOOKUP(D143,Pinjaman!$E$7:$N$1900,10,FALSE)</f>
        <v>KONSUMTIF</v>
      </c>
      <c r="O143" s="55">
        <f>VLOOKUP(B143,'Data Angt'!$A$5:$H$5810,6,FALSE)</f>
        <v>54</v>
      </c>
      <c r="P143" s="55" t="str">
        <f>VLOOKUP(B143,'Data Angt'!$A$5:$H$5810,8,FALSE)</f>
        <v>Karyawan</v>
      </c>
    </row>
    <row r="144" spans="1:16" x14ac:dyDescent="0.3">
      <c r="A144" s="8">
        <v>137</v>
      </c>
      <c r="B144" s="9" t="s">
        <v>2209</v>
      </c>
      <c r="C144" s="10" t="str">
        <f>VLOOKUP(B144,'Data Angt'!$A$5:$B$5809,2,FALSE)</f>
        <v>A921</v>
      </c>
      <c r="D144" s="12" t="s">
        <v>15530</v>
      </c>
      <c r="E144" s="13">
        <v>45645</v>
      </c>
      <c r="F144" s="14">
        <v>45908</v>
      </c>
      <c r="G144" s="15">
        <v>11000000</v>
      </c>
      <c r="H144" s="16">
        <v>18</v>
      </c>
      <c r="I144" s="17">
        <v>24</v>
      </c>
      <c r="J144" s="15">
        <v>5988600</v>
      </c>
      <c r="K144" s="98">
        <f t="shared" si="6"/>
        <v>0</v>
      </c>
      <c r="L144" s="98" t="str">
        <f t="shared" si="7"/>
        <v>Lancar</v>
      </c>
      <c r="M144" s="5" t="str">
        <f t="shared" si="8"/>
        <v>001</v>
      </c>
      <c r="N144" s="55" t="str">
        <f>VLOOKUP(D144,Pinjaman!$E$7:$N$1900,10,FALSE)</f>
        <v>KESEJAHTERAAN</v>
      </c>
      <c r="O144" s="55">
        <f>VLOOKUP(B144,'Data Angt'!$A$5:$H$5810,6,FALSE)</f>
        <v>50</v>
      </c>
      <c r="P144" s="55" t="str">
        <f>VLOOKUP(B144,'Data Angt'!$A$5:$H$5810,8,FALSE)</f>
        <v>Karyawan</v>
      </c>
    </row>
    <row r="145" spans="1:16" x14ac:dyDescent="0.3">
      <c r="A145" s="8">
        <v>138</v>
      </c>
      <c r="B145" s="9" t="s">
        <v>2225</v>
      </c>
      <c r="C145" s="10" t="str">
        <f>VLOOKUP(B145,'Data Angt'!$A$5:$B$5809,2,FALSE)</f>
        <v>A927</v>
      </c>
      <c r="D145" s="12" t="s">
        <v>15533</v>
      </c>
      <c r="E145" s="13">
        <v>45471</v>
      </c>
      <c r="F145" s="14">
        <v>45916</v>
      </c>
      <c r="G145" s="15">
        <v>28000000</v>
      </c>
      <c r="H145" s="16">
        <v>36</v>
      </c>
      <c r="I145" s="17">
        <v>21</v>
      </c>
      <c r="J145" s="15">
        <v>18417000</v>
      </c>
      <c r="K145" s="98">
        <f t="shared" si="6"/>
        <v>0</v>
      </c>
      <c r="L145" s="98" t="str">
        <f t="shared" si="7"/>
        <v>Lancar</v>
      </c>
      <c r="M145" s="5" t="str">
        <f t="shared" si="8"/>
        <v>001</v>
      </c>
      <c r="N145" s="55" t="str">
        <f>VLOOKUP(D145,Pinjaman!$E$7:$N$1900,10,FALSE)</f>
        <v>PRODUKTIF</v>
      </c>
      <c r="O145" s="55">
        <f>VLOOKUP(B145,'Data Angt'!$A$5:$H$5810,6,FALSE)</f>
        <v>47</v>
      </c>
      <c r="P145" s="55" t="str">
        <f>VLOOKUP(B145,'Data Angt'!$A$5:$H$5810,8,FALSE)</f>
        <v>Aparatur/Pejabat Negara</v>
      </c>
    </row>
    <row r="146" spans="1:16" x14ac:dyDescent="0.3">
      <c r="A146" s="8">
        <v>139</v>
      </c>
      <c r="B146" s="9" t="s">
        <v>2233</v>
      </c>
      <c r="C146" s="10" t="str">
        <f>VLOOKUP(B146,'Data Angt'!$A$5:$B$5809,2,FALSE)</f>
        <v>A930</v>
      </c>
      <c r="D146" s="12" t="s">
        <v>9942</v>
      </c>
      <c r="E146" s="13">
        <v>44995</v>
      </c>
      <c r="F146" s="14">
        <v>45911</v>
      </c>
      <c r="G146" s="15">
        <v>100000000</v>
      </c>
      <c r="H146" s="16">
        <v>36</v>
      </c>
      <c r="I146" s="17">
        <v>21</v>
      </c>
      <c r="J146" s="15">
        <v>16666000</v>
      </c>
      <c r="K146" s="98">
        <f t="shared" si="6"/>
        <v>0</v>
      </c>
      <c r="L146" s="98" t="str">
        <f t="shared" si="7"/>
        <v>Lancar</v>
      </c>
      <c r="M146" s="5" t="str">
        <f t="shared" si="8"/>
        <v>001</v>
      </c>
      <c r="N146" s="55" t="str">
        <f>VLOOKUP(D146,Pinjaman!$E$7:$N$1900,10,FALSE)</f>
        <v>PRODUKTIF</v>
      </c>
      <c r="O146" s="55">
        <f>VLOOKUP(B146,'Data Angt'!$A$5:$H$5810,6,FALSE)</f>
        <v>53</v>
      </c>
      <c r="P146" s="55" t="str">
        <f>VLOOKUP(B146,'Data Angt'!$A$5:$H$5810,8,FALSE)</f>
        <v>Karyawan</v>
      </c>
    </row>
    <row r="147" spans="1:16" x14ac:dyDescent="0.3">
      <c r="A147" s="8">
        <v>140</v>
      </c>
      <c r="B147" s="9" t="s">
        <v>2264</v>
      </c>
      <c r="C147" s="10" t="str">
        <f>VLOOKUP(B147,'Data Angt'!$A$5:$B$5809,2,FALSE)</f>
        <v>A942</v>
      </c>
      <c r="D147" s="12" t="s">
        <v>22321</v>
      </c>
      <c r="E147" s="13">
        <v>45850</v>
      </c>
      <c r="F147" s="14">
        <v>45904</v>
      </c>
      <c r="G147" s="15">
        <v>3000000</v>
      </c>
      <c r="H147" s="16">
        <v>12</v>
      </c>
      <c r="I147" s="17">
        <v>24</v>
      </c>
      <c r="J147" s="15">
        <v>2548200</v>
      </c>
      <c r="K147" s="98">
        <f t="shared" si="6"/>
        <v>0</v>
      </c>
      <c r="L147" s="98" t="str">
        <f t="shared" si="7"/>
        <v>Lancar</v>
      </c>
      <c r="M147" s="5" t="str">
        <f t="shared" si="8"/>
        <v>001</v>
      </c>
      <c r="N147" s="55" t="str">
        <f>VLOOKUP(D147,Pinjaman!$E$7:$N$1900,10,FALSE)</f>
        <v>KESEHATAN</v>
      </c>
      <c r="O147" s="55">
        <f>VLOOKUP(B147,'Data Angt'!$A$5:$H$5810,6,FALSE)</f>
        <v>56</v>
      </c>
      <c r="P147" s="55" t="str">
        <f>VLOOKUP(B147,'Data Angt'!$A$5:$H$5810,8,FALSE)</f>
        <v>Mengurus Rumah Tangga</v>
      </c>
    </row>
    <row r="148" spans="1:16" x14ac:dyDescent="0.3">
      <c r="A148" s="8">
        <v>141</v>
      </c>
      <c r="B148" s="9" t="s">
        <v>2266</v>
      </c>
      <c r="C148" s="10" t="str">
        <f>VLOOKUP(B148,'Data Angt'!$A$5:$B$5809,2,FALSE)</f>
        <v>A943</v>
      </c>
      <c r="D148" s="12" t="s">
        <v>15535</v>
      </c>
      <c r="E148" s="13">
        <v>45738</v>
      </c>
      <c r="F148" s="14">
        <v>45918</v>
      </c>
      <c r="G148" s="15">
        <v>50000000</v>
      </c>
      <c r="H148" s="16">
        <v>36</v>
      </c>
      <c r="I148" s="17">
        <v>21</v>
      </c>
      <c r="J148" s="15">
        <v>41666600</v>
      </c>
      <c r="K148" s="98">
        <f t="shared" si="6"/>
        <v>0</v>
      </c>
      <c r="L148" s="98" t="str">
        <f t="shared" si="7"/>
        <v>Lancar</v>
      </c>
      <c r="M148" s="5" t="str">
        <f t="shared" si="8"/>
        <v>001</v>
      </c>
      <c r="N148" s="55" t="str">
        <f>VLOOKUP(D148,Pinjaman!$E$7:$N$1900,10,FALSE)</f>
        <v>KESEJAHTERAAN</v>
      </c>
      <c r="O148" s="55">
        <f>VLOOKUP(B148,'Data Angt'!$A$5:$H$5810,6,FALSE)</f>
        <v>46</v>
      </c>
      <c r="P148" s="55" t="str">
        <f>VLOOKUP(B148,'Data Angt'!$A$5:$H$5810,8,FALSE)</f>
        <v>Aparatur/Pejabat Negara</v>
      </c>
    </row>
    <row r="149" spans="1:16" x14ac:dyDescent="0.3">
      <c r="A149" s="8">
        <v>142</v>
      </c>
      <c r="B149" s="9" t="s">
        <v>2280</v>
      </c>
      <c r="C149" s="10" t="str">
        <f>VLOOKUP(B149,'Data Angt'!$A$5:$B$5809,2,FALSE)</f>
        <v>A948</v>
      </c>
      <c r="D149" s="12" t="s">
        <v>15537</v>
      </c>
      <c r="E149" s="13">
        <v>45638</v>
      </c>
      <c r="F149" s="14">
        <v>45912</v>
      </c>
      <c r="G149" s="15">
        <v>10000000</v>
      </c>
      <c r="H149" s="16">
        <v>18</v>
      </c>
      <c r="I149" s="17">
        <v>24</v>
      </c>
      <c r="J149" s="15">
        <v>5444000</v>
      </c>
      <c r="K149" s="98">
        <f t="shared" si="6"/>
        <v>0</v>
      </c>
      <c r="L149" s="98" t="str">
        <f t="shared" si="7"/>
        <v>Lancar</v>
      </c>
      <c r="M149" s="5" t="str">
        <f t="shared" si="8"/>
        <v>001</v>
      </c>
      <c r="N149" s="55" t="str">
        <f>VLOOKUP(D149,Pinjaman!$E$7:$N$1900,10,FALSE)</f>
        <v>KONSUMTIF</v>
      </c>
      <c r="O149" s="55">
        <f>VLOOKUP(B149,'Data Angt'!$A$5:$H$5810,6,FALSE)</f>
        <v>56</v>
      </c>
      <c r="P149" s="55" t="str">
        <f>VLOOKUP(B149,'Data Angt'!$A$5:$H$5810,8,FALSE)</f>
        <v>Pensiunan</v>
      </c>
    </row>
    <row r="150" spans="1:16" x14ac:dyDescent="0.3">
      <c r="A150" s="8">
        <v>143</v>
      </c>
      <c r="B150" s="9" t="s">
        <v>2283</v>
      </c>
      <c r="C150" s="10" t="str">
        <f>VLOOKUP(B150,'Data Angt'!$A$5:$B$5809,2,FALSE)</f>
        <v>A949</v>
      </c>
      <c r="D150" s="12" t="s">
        <v>15540</v>
      </c>
      <c r="E150" s="13">
        <v>45786</v>
      </c>
      <c r="F150" s="14">
        <v>45909</v>
      </c>
      <c r="G150" s="15">
        <v>25000000</v>
      </c>
      <c r="H150" s="16">
        <v>36</v>
      </c>
      <c r="I150" s="17">
        <v>21</v>
      </c>
      <c r="J150" s="15">
        <v>22222000</v>
      </c>
      <c r="K150" s="98">
        <f t="shared" si="6"/>
        <v>0</v>
      </c>
      <c r="L150" s="98" t="str">
        <f t="shared" si="7"/>
        <v>Lancar</v>
      </c>
      <c r="M150" s="5" t="str">
        <f t="shared" si="8"/>
        <v>001</v>
      </c>
      <c r="N150" s="55" t="str">
        <f>VLOOKUP(D150,Pinjaman!$E$7:$N$1900,10,FALSE)</f>
        <v>PENDIDIKAN</v>
      </c>
      <c r="O150" s="55">
        <f>VLOOKUP(B150,'Data Angt'!$A$5:$H$5810,6,FALSE)</f>
        <v>39</v>
      </c>
      <c r="P150" s="55" t="str">
        <f>VLOOKUP(B150,'Data Angt'!$A$5:$H$5810,8,FALSE)</f>
        <v>Mengurus Rumah Tangga</v>
      </c>
    </row>
    <row r="151" spans="1:16" x14ac:dyDescent="0.3">
      <c r="A151" s="8">
        <v>144</v>
      </c>
      <c r="B151" s="9" t="s">
        <v>2317</v>
      </c>
      <c r="C151" s="10" t="str">
        <f>VLOOKUP(B151,'Data Angt'!$A$5:$B$5809,2,FALSE)</f>
        <v>A963</v>
      </c>
      <c r="D151" s="12" t="s">
        <v>22325</v>
      </c>
      <c r="E151" s="13">
        <v>45878</v>
      </c>
      <c r="F151" s="14">
        <v>45910</v>
      </c>
      <c r="G151" s="15">
        <v>5000000</v>
      </c>
      <c r="H151" s="16">
        <v>12</v>
      </c>
      <c r="I151" s="17">
        <v>11.88</v>
      </c>
      <c r="J151" s="15">
        <v>4605500</v>
      </c>
      <c r="K151" s="98">
        <f t="shared" si="6"/>
        <v>0</v>
      </c>
      <c r="L151" s="98" t="str">
        <f t="shared" si="7"/>
        <v>Lancar</v>
      </c>
      <c r="M151" s="5" t="str">
        <f t="shared" si="8"/>
        <v>001</v>
      </c>
      <c r="N151" s="55" t="str">
        <f>VLOOKUP(D151,Pinjaman!$E$7:$N$1900,10,FALSE)</f>
        <v>KESEJAHTERAAN</v>
      </c>
      <c r="O151" s="55">
        <f>VLOOKUP(B151,'Data Angt'!$A$5:$H$5810,6,FALSE)</f>
        <v>54</v>
      </c>
      <c r="P151" s="55" t="str">
        <f>VLOOKUP(B151,'Data Angt'!$A$5:$H$5810,8,FALSE)</f>
        <v>Wiraswasta</v>
      </c>
    </row>
    <row r="152" spans="1:16" x14ac:dyDescent="0.3">
      <c r="A152" s="8">
        <v>145</v>
      </c>
      <c r="B152" s="9" t="s">
        <v>2331</v>
      </c>
      <c r="C152" s="10" t="str">
        <f>VLOOKUP(B152,'Data Angt'!$A$5:$B$5809,2,FALSE)</f>
        <v>A969</v>
      </c>
      <c r="D152" s="12" t="s">
        <v>9946</v>
      </c>
      <c r="E152" s="13">
        <v>43668</v>
      </c>
      <c r="F152" s="14">
        <v>45930</v>
      </c>
      <c r="G152" s="15">
        <v>100000000</v>
      </c>
      <c r="H152" s="16">
        <v>48</v>
      </c>
      <c r="I152" s="17">
        <v>21</v>
      </c>
      <c r="J152" s="15">
        <v>22917400</v>
      </c>
      <c r="K152" s="98">
        <f t="shared" si="6"/>
        <v>0</v>
      </c>
      <c r="L152" s="98" t="str">
        <f t="shared" si="7"/>
        <v>Lancar</v>
      </c>
      <c r="M152" s="5" t="str">
        <f t="shared" si="8"/>
        <v>001</v>
      </c>
      <c r="N152" s="55" t="str">
        <f>VLOOKUP(D152,Pinjaman!$E$7:$N$1900,10,FALSE)</f>
        <v>KESEJAHTERAAN</v>
      </c>
      <c r="O152" s="55">
        <f>VLOOKUP(B152,'Data Angt'!$A$5:$H$5810,6,FALSE)</f>
        <v>69</v>
      </c>
      <c r="P152" s="55" t="str">
        <f>VLOOKUP(B152,'Data Angt'!$A$5:$H$5810,8,FALSE)</f>
        <v>Pensiunan</v>
      </c>
    </row>
    <row r="153" spans="1:16" x14ac:dyDescent="0.3">
      <c r="A153" s="8">
        <v>146</v>
      </c>
      <c r="B153" s="9" t="s">
        <v>2342</v>
      </c>
      <c r="C153" s="10" t="str">
        <f>VLOOKUP(B153,'Data Angt'!$A$5:$B$5809,2,FALSE)</f>
        <v>A973</v>
      </c>
      <c r="D153" s="12" t="s">
        <v>22327</v>
      </c>
      <c r="E153" s="13">
        <v>45882</v>
      </c>
      <c r="F153" s="14">
        <v>45913</v>
      </c>
      <c r="G153" s="15">
        <v>4000000</v>
      </c>
      <c r="H153" s="16">
        <v>30</v>
      </c>
      <c r="I153" s="17">
        <v>24</v>
      </c>
      <c r="J153" s="15">
        <v>3866600</v>
      </c>
      <c r="K153" s="98">
        <f t="shared" si="6"/>
        <v>0</v>
      </c>
      <c r="L153" s="98" t="str">
        <f t="shared" si="7"/>
        <v>Lancar</v>
      </c>
      <c r="M153" s="5" t="str">
        <f t="shared" si="8"/>
        <v>001</v>
      </c>
      <c r="N153" s="55" t="str">
        <f>VLOOKUP(D153,Pinjaman!$E$7:$N$1900,10,FALSE)</f>
        <v>PENDIDIKAN</v>
      </c>
      <c r="O153" s="55">
        <f>VLOOKUP(B153,'Data Angt'!$A$5:$H$5810,6,FALSE)</f>
        <v>49</v>
      </c>
      <c r="P153" s="55" t="str">
        <f>VLOOKUP(B153,'Data Angt'!$A$5:$H$5810,8,FALSE)</f>
        <v>Wiraswasta</v>
      </c>
    </row>
    <row r="154" spans="1:16" x14ac:dyDescent="0.3">
      <c r="A154" s="8">
        <v>147</v>
      </c>
      <c r="B154" s="9" t="s">
        <v>2347</v>
      </c>
      <c r="C154" s="10" t="str">
        <f>VLOOKUP(B154,'Data Angt'!$A$5:$B$5809,2,FALSE)</f>
        <v>A975</v>
      </c>
      <c r="D154" s="12" t="s">
        <v>15542</v>
      </c>
      <c r="E154" s="13">
        <v>45757</v>
      </c>
      <c r="F154" s="14">
        <v>45911</v>
      </c>
      <c r="G154" s="15">
        <v>3000000</v>
      </c>
      <c r="H154" s="16">
        <v>12</v>
      </c>
      <c r="I154" s="17">
        <v>11.88</v>
      </c>
      <c r="J154" s="15">
        <v>1793000</v>
      </c>
      <c r="K154" s="98">
        <f t="shared" si="6"/>
        <v>0</v>
      </c>
      <c r="L154" s="98" t="str">
        <f t="shared" si="7"/>
        <v>Lancar</v>
      </c>
      <c r="M154" s="5" t="str">
        <f t="shared" si="8"/>
        <v>001</v>
      </c>
      <c r="N154" s="55" t="str">
        <f>VLOOKUP(D154,Pinjaman!$E$7:$N$1900,10,FALSE)</f>
        <v>PRODUKTIF</v>
      </c>
      <c r="O154" s="55">
        <f>VLOOKUP(B154,'Data Angt'!$A$5:$H$5810,6,FALSE)</f>
        <v>55</v>
      </c>
      <c r="P154" s="55" t="str">
        <f>VLOOKUP(B154,'Data Angt'!$A$5:$H$5810,8,FALSE)</f>
        <v>Belum/Tidak Bekerja</v>
      </c>
    </row>
    <row r="155" spans="1:16" x14ac:dyDescent="0.3">
      <c r="A155" s="8">
        <v>148</v>
      </c>
      <c r="B155" s="9" t="s">
        <v>2372</v>
      </c>
      <c r="C155" s="10" t="str">
        <f>VLOOKUP(B155,'Data Angt'!$A$5:$B$5809,2,FALSE)</f>
        <v>A986</v>
      </c>
      <c r="D155" s="12" t="s">
        <v>9949</v>
      </c>
      <c r="E155" s="13">
        <v>44725</v>
      </c>
      <c r="F155" s="14">
        <v>45847</v>
      </c>
      <c r="G155" s="15">
        <v>10500000</v>
      </c>
      <c r="H155" s="16">
        <v>36</v>
      </c>
      <c r="I155" s="17">
        <v>24</v>
      </c>
      <c r="J155" s="15">
        <v>2624100</v>
      </c>
      <c r="K155" s="98">
        <f t="shared" si="6"/>
        <v>2</v>
      </c>
      <c r="L155" s="98" t="str">
        <f t="shared" si="7"/>
        <v>Lancar</v>
      </c>
      <c r="M155" s="5" t="str">
        <f t="shared" si="8"/>
        <v>001</v>
      </c>
      <c r="N155" s="55" t="str">
        <f>VLOOKUP(D155,Pinjaman!$E$7:$N$1900,10,FALSE)</f>
        <v>PENDIDIKAN</v>
      </c>
      <c r="O155" s="55">
        <f>VLOOKUP(B155,'Data Angt'!$A$5:$H$5810,6,FALSE)</f>
        <v>47</v>
      </c>
      <c r="P155" s="55" t="str">
        <f>VLOOKUP(B155,'Data Angt'!$A$5:$H$5810,8,FALSE)</f>
        <v>Karyawan</v>
      </c>
    </row>
    <row r="156" spans="1:16" x14ac:dyDescent="0.3">
      <c r="A156" s="8">
        <v>149</v>
      </c>
      <c r="B156" s="9" t="s">
        <v>2411</v>
      </c>
      <c r="C156" s="10" t="str">
        <f>VLOOKUP(B156,'Data Angt'!$A$5:$B$5809,2,FALSE)</f>
        <v>A1004</v>
      </c>
      <c r="D156" s="12" t="s">
        <v>15545</v>
      </c>
      <c r="E156" s="13">
        <v>45579</v>
      </c>
      <c r="F156" s="14">
        <v>45915</v>
      </c>
      <c r="G156" s="15">
        <v>3000000</v>
      </c>
      <c r="H156" s="16">
        <v>12</v>
      </c>
      <c r="I156" s="17">
        <v>24</v>
      </c>
      <c r="J156" s="15">
        <v>278500</v>
      </c>
      <c r="K156" s="98">
        <f t="shared" si="6"/>
        <v>0</v>
      </c>
      <c r="L156" s="98" t="str">
        <f t="shared" si="7"/>
        <v>Lancar</v>
      </c>
      <c r="M156" s="5" t="str">
        <f t="shared" si="8"/>
        <v>001</v>
      </c>
      <c r="N156" s="55" t="str">
        <f>VLOOKUP(D156,Pinjaman!$E$7:$N$1900,10,FALSE)</f>
        <v>KONSUMTIF</v>
      </c>
      <c r="O156" s="55">
        <f>VLOOKUP(B156,'Data Angt'!$A$5:$H$5810,6,FALSE)</f>
        <v>55</v>
      </c>
      <c r="P156" s="55" t="str">
        <f>VLOOKUP(B156,'Data Angt'!$A$5:$H$5810,8,FALSE)</f>
        <v>Mengurus Rumah Tangga</v>
      </c>
    </row>
    <row r="157" spans="1:16" x14ac:dyDescent="0.3">
      <c r="A157" s="8">
        <v>150</v>
      </c>
      <c r="B157" s="9" t="s">
        <v>2425</v>
      </c>
      <c r="C157" s="10" t="str">
        <f>VLOOKUP(B157,'Data Angt'!$A$5:$B$5809,2,FALSE)</f>
        <v>A1009</v>
      </c>
      <c r="D157" s="12" t="s">
        <v>22330</v>
      </c>
      <c r="E157" s="13">
        <v>45904</v>
      </c>
      <c r="F157" s="14">
        <v>45904</v>
      </c>
      <c r="G157" s="15">
        <v>4000000</v>
      </c>
      <c r="H157" s="16">
        <v>10</v>
      </c>
      <c r="I157" s="17">
        <v>24</v>
      </c>
      <c r="J157" s="15">
        <v>4000000</v>
      </c>
      <c r="K157" s="98">
        <f t="shared" si="6"/>
        <v>0</v>
      </c>
      <c r="L157" s="98" t="str">
        <f t="shared" si="7"/>
        <v>Lancar</v>
      </c>
      <c r="M157" s="5" t="str">
        <f t="shared" si="8"/>
        <v>001</v>
      </c>
      <c r="N157" s="55" t="str">
        <f>VLOOKUP(D157,Pinjaman!$E$7:$N$1900,10,FALSE)</f>
        <v>PENDIDIKAN</v>
      </c>
      <c r="O157" s="55">
        <f>VLOOKUP(B157,'Data Angt'!$A$5:$H$5810,6,FALSE)</f>
        <v>52</v>
      </c>
      <c r="P157" s="55" t="str">
        <f>VLOOKUP(B157,'Data Angt'!$A$5:$H$5810,8,FALSE)</f>
        <v>Lain-Lain</v>
      </c>
    </row>
    <row r="158" spans="1:16" x14ac:dyDescent="0.3">
      <c r="A158" s="8">
        <v>151</v>
      </c>
      <c r="B158" s="9" t="s">
        <v>2437</v>
      </c>
      <c r="C158" s="10" t="str">
        <f>VLOOKUP(B158,'Data Angt'!$A$5:$B$5809,2,FALSE)</f>
        <v>A1015</v>
      </c>
      <c r="D158" s="12" t="s">
        <v>15548</v>
      </c>
      <c r="E158" s="13">
        <v>45671</v>
      </c>
      <c r="F158" s="14">
        <v>45915</v>
      </c>
      <c r="G158" s="15">
        <v>2000000</v>
      </c>
      <c r="H158" s="16">
        <v>12</v>
      </c>
      <c r="I158" s="17">
        <v>21.6</v>
      </c>
      <c r="J158" s="15">
        <v>714400</v>
      </c>
      <c r="K158" s="98">
        <f t="shared" si="6"/>
        <v>0</v>
      </c>
      <c r="L158" s="98" t="str">
        <f t="shared" si="7"/>
        <v>Lancar</v>
      </c>
      <c r="M158" s="5" t="str">
        <f t="shared" si="8"/>
        <v>001</v>
      </c>
      <c r="N158" s="55" t="str">
        <f>VLOOKUP(D158,Pinjaman!$E$7:$N$1900,10,FALSE)</f>
        <v>KESEJAHTERAAN</v>
      </c>
      <c r="O158" s="55">
        <f>VLOOKUP(B158,'Data Angt'!$A$5:$H$5810,6,FALSE)</f>
        <v>42</v>
      </c>
      <c r="P158" s="55" t="str">
        <f>VLOOKUP(B158,'Data Angt'!$A$5:$H$5810,8,FALSE)</f>
        <v>Lain-Lain</v>
      </c>
    </row>
    <row r="159" spans="1:16" x14ac:dyDescent="0.3">
      <c r="A159" s="8">
        <v>152</v>
      </c>
      <c r="B159" s="9" t="s">
        <v>2468</v>
      </c>
      <c r="C159" s="10" t="str">
        <f>VLOOKUP(B159,'Data Angt'!$A$5:$B$5809,2,FALSE)</f>
        <v>A1028</v>
      </c>
      <c r="D159" s="12" t="s">
        <v>15551</v>
      </c>
      <c r="E159" s="13">
        <v>45455</v>
      </c>
      <c r="F159" s="14">
        <v>45909</v>
      </c>
      <c r="G159" s="15">
        <v>6000000</v>
      </c>
      <c r="H159" s="16">
        <v>24</v>
      </c>
      <c r="I159" s="17">
        <v>24</v>
      </c>
      <c r="J159" s="15">
        <v>2588800</v>
      </c>
      <c r="K159" s="98">
        <f t="shared" si="6"/>
        <v>0</v>
      </c>
      <c r="L159" s="98" t="str">
        <f t="shared" si="7"/>
        <v>Lancar</v>
      </c>
      <c r="M159" s="5" t="str">
        <f t="shared" si="8"/>
        <v>001</v>
      </c>
      <c r="N159" s="55" t="str">
        <f>VLOOKUP(D159,Pinjaman!$E$7:$N$1900,10,FALSE)</f>
        <v>PRODUKTIF</v>
      </c>
      <c r="O159" s="55">
        <f>VLOOKUP(B159,'Data Angt'!$A$5:$H$5810,6,FALSE)</f>
        <v>57</v>
      </c>
      <c r="P159" s="55" t="str">
        <f>VLOOKUP(B159,'Data Angt'!$A$5:$H$5810,8,FALSE)</f>
        <v>Wiraswasta</v>
      </c>
    </row>
    <row r="160" spans="1:16" x14ac:dyDescent="0.3">
      <c r="A160" s="8">
        <v>153</v>
      </c>
      <c r="B160" s="9" t="s">
        <v>2472</v>
      </c>
      <c r="C160" s="10" t="str">
        <f>VLOOKUP(B160,'Data Angt'!$A$5:$B$5809,2,FALSE)</f>
        <v>A1030</v>
      </c>
      <c r="D160" s="12" t="s">
        <v>9952</v>
      </c>
      <c r="E160" s="13">
        <v>44532</v>
      </c>
      <c r="F160" s="14">
        <v>45902</v>
      </c>
      <c r="G160" s="15">
        <v>10000000</v>
      </c>
      <c r="H160" s="16">
        <v>48</v>
      </c>
      <c r="I160" s="17">
        <v>24</v>
      </c>
      <c r="J160" s="15">
        <v>830400</v>
      </c>
      <c r="K160" s="98">
        <f t="shared" si="6"/>
        <v>0</v>
      </c>
      <c r="L160" s="98" t="str">
        <f t="shared" si="7"/>
        <v>Lancar</v>
      </c>
      <c r="M160" s="5" t="str">
        <f t="shared" si="8"/>
        <v>001</v>
      </c>
      <c r="N160" s="55" t="str">
        <f>VLOOKUP(D160,Pinjaman!$E$7:$N$1900,10,FALSE)</f>
        <v>KESEJAHTERAAN</v>
      </c>
      <c r="O160" s="55">
        <f>VLOOKUP(B160,'Data Angt'!$A$5:$H$5810,6,FALSE)</f>
        <v>47</v>
      </c>
      <c r="P160" s="55" t="str">
        <f>VLOOKUP(B160,'Data Angt'!$A$5:$H$5810,8,FALSE)</f>
        <v>Karyawan</v>
      </c>
    </row>
    <row r="161" spans="1:16" x14ac:dyDescent="0.3">
      <c r="A161" s="8">
        <v>154</v>
      </c>
      <c r="B161" s="9" t="s">
        <v>2479</v>
      </c>
      <c r="C161" s="10" t="str">
        <f>VLOOKUP(B161,'Data Angt'!$A$5:$B$5809,2,FALSE)</f>
        <v>A1032</v>
      </c>
      <c r="D161" s="12" t="s">
        <v>9955</v>
      </c>
      <c r="E161" s="13">
        <v>41244</v>
      </c>
      <c r="F161" s="14">
        <v>45884</v>
      </c>
      <c r="G161" s="15">
        <v>80000000</v>
      </c>
      <c r="H161" s="16">
        <v>120</v>
      </c>
      <c r="I161" s="17">
        <v>8.02</v>
      </c>
      <c r="J161" s="15">
        <v>62289700</v>
      </c>
      <c r="K161" s="98">
        <f t="shared" si="6"/>
        <v>1</v>
      </c>
      <c r="L161" s="98" t="str">
        <f t="shared" si="7"/>
        <v>Lancar</v>
      </c>
      <c r="M161" s="5" t="str">
        <f t="shared" si="8"/>
        <v>001</v>
      </c>
      <c r="N161" s="55">
        <f>VLOOKUP(D161,Pinjaman!$E$7:$N$1900,10,FALSE)</f>
        <v>0</v>
      </c>
      <c r="O161" s="55">
        <f>VLOOKUP(B161,'Data Angt'!$A$5:$H$5810,6,FALSE)</f>
        <v>37</v>
      </c>
      <c r="P161" s="55" t="str">
        <f>VLOOKUP(B161,'Data Angt'!$A$5:$H$5810,8,FALSE)</f>
        <v>Lain-Lain</v>
      </c>
    </row>
    <row r="162" spans="1:16" x14ac:dyDescent="0.3">
      <c r="A162" s="8">
        <v>155</v>
      </c>
      <c r="B162" s="9" t="s">
        <v>2486</v>
      </c>
      <c r="C162" s="10" t="str">
        <f>VLOOKUP(B162,'Data Angt'!$A$5:$B$5809,2,FALSE)</f>
        <v>A1035</v>
      </c>
      <c r="D162" s="12" t="s">
        <v>15554</v>
      </c>
      <c r="E162" s="13">
        <v>45721</v>
      </c>
      <c r="F162" s="14">
        <v>45904</v>
      </c>
      <c r="G162" s="15">
        <v>5000000</v>
      </c>
      <c r="H162" s="16">
        <v>12</v>
      </c>
      <c r="I162" s="17">
        <v>24</v>
      </c>
      <c r="J162" s="15">
        <v>2648600</v>
      </c>
      <c r="K162" s="98">
        <f t="shared" si="6"/>
        <v>0</v>
      </c>
      <c r="L162" s="98" t="str">
        <f t="shared" si="7"/>
        <v>Lancar</v>
      </c>
      <c r="M162" s="5" t="str">
        <f t="shared" si="8"/>
        <v>001</v>
      </c>
      <c r="N162" s="55" t="str">
        <f>VLOOKUP(D162,Pinjaman!$E$7:$N$1900,10,FALSE)</f>
        <v>KESEJAHTERAAN</v>
      </c>
      <c r="O162" s="55">
        <f>VLOOKUP(B162,'Data Angt'!$A$5:$H$5810,6,FALSE)</f>
        <v>46</v>
      </c>
      <c r="P162" s="55" t="str">
        <f>VLOOKUP(B162,'Data Angt'!$A$5:$H$5810,8,FALSE)</f>
        <v>Wiraswasta</v>
      </c>
    </row>
    <row r="163" spans="1:16" x14ac:dyDescent="0.3">
      <c r="A163" s="8">
        <v>156</v>
      </c>
      <c r="B163" s="9" t="s">
        <v>2488</v>
      </c>
      <c r="C163" s="10" t="str">
        <f>VLOOKUP(B163,'Data Angt'!$A$5:$B$5809,2,FALSE)</f>
        <v>A1036</v>
      </c>
      <c r="D163" s="12" t="s">
        <v>9956</v>
      </c>
      <c r="E163" s="13">
        <v>45190</v>
      </c>
      <c r="F163" s="14">
        <v>45901</v>
      </c>
      <c r="G163" s="15">
        <v>30000000</v>
      </c>
      <c r="H163" s="16">
        <v>48</v>
      </c>
      <c r="I163" s="17">
        <v>21</v>
      </c>
      <c r="J163" s="15">
        <v>18079000</v>
      </c>
      <c r="K163" s="98">
        <f t="shared" si="6"/>
        <v>0</v>
      </c>
      <c r="L163" s="98" t="str">
        <f t="shared" si="7"/>
        <v>Lancar</v>
      </c>
      <c r="M163" s="5" t="str">
        <f t="shared" si="8"/>
        <v>001</v>
      </c>
      <c r="N163" s="55" t="str">
        <f>VLOOKUP(D163,Pinjaman!$E$7:$N$1900,10,FALSE)</f>
        <v>PENDIDIKAN</v>
      </c>
      <c r="O163" s="55">
        <f>VLOOKUP(B163,'Data Angt'!$A$5:$H$5810,6,FALSE)</f>
        <v>60</v>
      </c>
      <c r="P163" s="55" t="str">
        <f>VLOOKUP(B163,'Data Angt'!$A$5:$H$5810,8,FALSE)</f>
        <v>Pensiunan</v>
      </c>
    </row>
    <row r="164" spans="1:16" x14ac:dyDescent="0.3">
      <c r="A164" s="8">
        <v>157</v>
      </c>
      <c r="B164" s="9" t="s">
        <v>2546</v>
      </c>
      <c r="C164" s="10" t="str">
        <f>VLOOKUP(B164,'Data Angt'!$A$5:$B$5809,2,FALSE)</f>
        <v>A1061</v>
      </c>
      <c r="D164" s="12" t="s">
        <v>15556</v>
      </c>
      <c r="E164" s="13">
        <v>45701</v>
      </c>
      <c r="F164" s="14">
        <v>45913</v>
      </c>
      <c r="G164" s="15">
        <v>8000000</v>
      </c>
      <c r="H164" s="16">
        <v>24</v>
      </c>
      <c r="I164" s="17">
        <v>24</v>
      </c>
      <c r="J164" s="15">
        <v>5666200</v>
      </c>
      <c r="K164" s="98">
        <f t="shared" si="6"/>
        <v>0</v>
      </c>
      <c r="L164" s="98" t="str">
        <f t="shared" si="7"/>
        <v>Lancar</v>
      </c>
      <c r="M164" s="5" t="str">
        <f t="shared" si="8"/>
        <v>001</v>
      </c>
      <c r="N164" s="55" t="str">
        <f>VLOOKUP(D164,Pinjaman!$E$7:$N$1900,10,FALSE)</f>
        <v>PRODUKTIF</v>
      </c>
      <c r="O164" s="55">
        <f>VLOOKUP(B164,'Data Angt'!$A$5:$H$5810,6,FALSE)</f>
        <v>76</v>
      </c>
      <c r="P164" s="55" t="str">
        <f>VLOOKUP(B164,'Data Angt'!$A$5:$H$5810,8,FALSE)</f>
        <v>Karyawan</v>
      </c>
    </row>
    <row r="165" spans="1:16" x14ac:dyDescent="0.3">
      <c r="A165" s="8">
        <v>158</v>
      </c>
      <c r="B165" s="9" t="s">
        <v>2561</v>
      </c>
      <c r="C165" s="10" t="str">
        <f>VLOOKUP(B165,'Data Angt'!$A$5:$B$5809,2,FALSE)</f>
        <v>A1066</v>
      </c>
      <c r="D165" s="12" t="s">
        <v>22334</v>
      </c>
      <c r="E165" s="13">
        <v>45903</v>
      </c>
      <c r="F165" s="14">
        <v>45903</v>
      </c>
      <c r="G165" s="15">
        <v>5000000</v>
      </c>
      <c r="H165" s="16">
        <v>12</v>
      </c>
      <c r="I165" s="17">
        <v>24</v>
      </c>
      <c r="J165" s="15">
        <v>5000000</v>
      </c>
      <c r="K165" s="98">
        <f t="shared" si="6"/>
        <v>0</v>
      </c>
      <c r="L165" s="98" t="str">
        <f t="shared" si="7"/>
        <v>Lancar</v>
      </c>
      <c r="M165" s="5" t="str">
        <f t="shared" si="8"/>
        <v>001</v>
      </c>
      <c r="N165" s="55" t="str">
        <f>VLOOKUP(D165,Pinjaman!$E$7:$N$1900,10,FALSE)</f>
        <v>PENDIDIKAN</v>
      </c>
      <c r="O165" s="55">
        <f>VLOOKUP(B165,'Data Angt'!$A$5:$H$5810,6,FALSE)</f>
        <v>46</v>
      </c>
      <c r="P165" s="55" t="str">
        <f>VLOOKUP(B165,'Data Angt'!$A$5:$H$5810,8,FALSE)</f>
        <v>Wiraswasta</v>
      </c>
    </row>
    <row r="166" spans="1:16" x14ac:dyDescent="0.3">
      <c r="A166" s="8">
        <v>159</v>
      </c>
      <c r="B166" s="9" t="s">
        <v>2561</v>
      </c>
      <c r="C166" s="10" t="str">
        <f>VLOOKUP(B166,'Data Angt'!$A$5:$B$5809,2,FALSE)</f>
        <v>A1066</v>
      </c>
      <c r="D166" s="12" t="s">
        <v>15559</v>
      </c>
      <c r="E166" s="13">
        <v>45833</v>
      </c>
      <c r="F166" s="14">
        <v>45922</v>
      </c>
      <c r="G166" s="15">
        <v>20000000</v>
      </c>
      <c r="H166" s="16">
        <v>36</v>
      </c>
      <c r="I166" s="17">
        <v>24</v>
      </c>
      <c r="J166" s="15">
        <v>18822800</v>
      </c>
      <c r="K166" s="98">
        <f t="shared" si="6"/>
        <v>0</v>
      </c>
      <c r="L166" s="98" t="str">
        <f t="shared" si="7"/>
        <v>Lancar</v>
      </c>
      <c r="M166" s="5" t="str">
        <f t="shared" si="8"/>
        <v>001</v>
      </c>
      <c r="N166" s="55" t="str">
        <f>VLOOKUP(D166,Pinjaman!$E$7:$N$1900,10,FALSE)</f>
        <v>PENDIDIKAN</v>
      </c>
      <c r="O166" s="55">
        <f>VLOOKUP(B166,'Data Angt'!$A$5:$H$5810,6,FALSE)</f>
        <v>46</v>
      </c>
      <c r="P166" s="55" t="str">
        <f>VLOOKUP(B166,'Data Angt'!$A$5:$H$5810,8,FALSE)</f>
        <v>Wiraswasta</v>
      </c>
    </row>
    <row r="167" spans="1:16" x14ac:dyDescent="0.3">
      <c r="A167" s="8">
        <v>160</v>
      </c>
      <c r="B167" s="9" t="s">
        <v>2589</v>
      </c>
      <c r="C167" s="10" t="str">
        <f>VLOOKUP(B167,'Data Angt'!$A$5:$B$5809,2,FALSE)</f>
        <v>A1081</v>
      </c>
      <c r="D167" s="12" t="s">
        <v>15561</v>
      </c>
      <c r="E167" s="13">
        <v>45604</v>
      </c>
      <c r="F167" s="14">
        <v>45881</v>
      </c>
      <c r="G167" s="15">
        <v>3000000</v>
      </c>
      <c r="H167" s="16">
        <v>12</v>
      </c>
      <c r="I167" s="17">
        <v>11.88</v>
      </c>
      <c r="J167" s="15">
        <v>1042200</v>
      </c>
      <c r="K167" s="98">
        <f t="shared" si="6"/>
        <v>1</v>
      </c>
      <c r="L167" s="98" t="str">
        <f t="shared" si="7"/>
        <v>Lancar</v>
      </c>
      <c r="M167" s="5" t="str">
        <f t="shared" si="8"/>
        <v>001</v>
      </c>
      <c r="N167" s="55" t="str">
        <f>VLOOKUP(D167,Pinjaman!$E$7:$N$1900,10,FALSE)</f>
        <v>KESEJAHTERAAN</v>
      </c>
      <c r="O167" s="55">
        <f>VLOOKUP(B167,'Data Angt'!$A$5:$H$5810,6,FALSE)</f>
        <v>29</v>
      </c>
      <c r="P167" s="55" t="str">
        <f>VLOOKUP(B167,'Data Angt'!$A$5:$H$5810,8,FALSE)</f>
        <v>Karyawan</v>
      </c>
    </row>
    <row r="168" spans="1:16" x14ac:dyDescent="0.3">
      <c r="A168" s="8">
        <v>161</v>
      </c>
      <c r="B168" s="9" t="s">
        <v>2593</v>
      </c>
      <c r="C168" s="10" t="str">
        <f>VLOOKUP(B168,'Data Angt'!$A$5:$B$5809,2,FALSE)</f>
        <v>A1083</v>
      </c>
      <c r="D168" s="12" t="s">
        <v>15564</v>
      </c>
      <c r="E168" s="13">
        <v>45322</v>
      </c>
      <c r="F168" s="14">
        <v>45922</v>
      </c>
      <c r="G168" s="15">
        <v>5000000</v>
      </c>
      <c r="H168" s="16">
        <v>24</v>
      </c>
      <c r="I168" s="17">
        <v>24</v>
      </c>
      <c r="J168" s="15">
        <v>1006700</v>
      </c>
      <c r="K168" s="98">
        <f t="shared" si="6"/>
        <v>0</v>
      </c>
      <c r="L168" s="98" t="str">
        <f t="shared" si="7"/>
        <v>Lancar</v>
      </c>
      <c r="M168" s="5" t="str">
        <f t="shared" si="8"/>
        <v>001</v>
      </c>
      <c r="N168" s="55" t="str">
        <f>VLOOKUP(D168,Pinjaman!$E$7:$N$1900,10,FALSE)</f>
        <v>PRODUKTIF</v>
      </c>
      <c r="O168" s="55">
        <f>VLOOKUP(B168,'Data Angt'!$A$5:$H$5810,6,FALSE)</f>
        <v>52</v>
      </c>
      <c r="P168" s="55" t="str">
        <f>VLOOKUP(B168,'Data Angt'!$A$5:$H$5810,8,FALSE)</f>
        <v>Mengurus Rumah Tangga</v>
      </c>
    </row>
    <row r="169" spans="1:16" x14ac:dyDescent="0.3">
      <c r="A169" s="8">
        <v>162</v>
      </c>
      <c r="B169" s="9" t="s">
        <v>2609</v>
      </c>
      <c r="C169" s="10" t="str">
        <f>VLOOKUP(B169,'Data Angt'!$A$5:$B$5809,2,FALSE)</f>
        <v>A1092</v>
      </c>
      <c r="D169" s="12" t="s">
        <v>15566</v>
      </c>
      <c r="E169" s="13">
        <v>45701</v>
      </c>
      <c r="F169" s="14">
        <v>45915</v>
      </c>
      <c r="G169" s="15">
        <v>5500000</v>
      </c>
      <c r="H169" s="16">
        <v>16</v>
      </c>
      <c r="I169" s="17">
        <v>24</v>
      </c>
      <c r="J169" s="15">
        <v>3306300</v>
      </c>
      <c r="K169" s="98">
        <f t="shared" si="6"/>
        <v>0</v>
      </c>
      <c r="L169" s="98" t="str">
        <f t="shared" si="7"/>
        <v>Lancar</v>
      </c>
      <c r="M169" s="5" t="str">
        <f t="shared" si="8"/>
        <v>001</v>
      </c>
      <c r="N169" s="55" t="str">
        <f>VLOOKUP(D169,Pinjaman!$E$7:$N$1900,10,FALSE)</f>
        <v>PENDIDIKAN</v>
      </c>
      <c r="O169" s="55">
        <f>VLOOKUP(B169,'Data Angt'!$A$5:$H$5810,6,FALSE)</f>
        <v>53</v>
      </c>
      <c r="P169" s="55" t="str">
        <f>VLOOKUP(B169,'Data Angt'!$A$5:$H$5810,8,FALSE)</f>
        <v>Wiraswasta</v>
      </c>
    </row>
    <row r="170" spans="1:16" x14ac:dyDescent="0.3">
      <c r="A170" s="8">
        <v>163</v>
      </c>
      <c r="B170" s="9" t="s">
        <v>2733</v>
      </c>
      <c r="C170" s="10" t="str">
        <f>VLOOKUP(B170,'Data Angt'!$A$5:$B$5809,2,FALSE)</f>
        <v>A1146</v>
      </c>
      <c r="D170" s="12" t="s">
        <v>22337</v>
      </c>
      <c r="E170" s="13">
        <v>45840</v>
      </c>
      <c r="F170" s="14">
        <v>45901</v>
      </c>
      <c r="G170" s="15">
        <v>40000000</v>
      </c>
      <c r="H170" s="16">
        <v>60</v>
      </c>
      <c r="I170" s="17">
        <v>21</v>
      </c>
      <c r="J170" s="15">
        <v>39229000</v>
      </c>
      <c r="K170" s="98">
        <f t="shared" si="6"/>
        <v>0</v>
      </c>
      <c r="L170" s="98" t="str">
        <f t="shared" si="7"/>
        <v>Lancar</v>
      </c>
      <c r="M170" s="5" t="str">
        <f t="shared" si="8"/>
        <v>001</v>
      </c>
      <c r="N170" s="55" t="str">
        <f>VLOOKUP(D170,Pinjaman!$E$7:$N$1900,10,FALSE)</f>
        <v>PENDIDIKAN</v>
      </c>
      <c r="O170" s="55">
        <f>VLOOKUP(B170,'Data Angt'!$A$5:$H$5810,6,FALSE)</f>
        <v>45</v>
      </c>
      <c r="P170" s="55" t="str">
        <f>VLOOKUP(B170,'Data Angt'!$A$5:$H$5810,8,FALSE)</f>
        <v>Wiraswasta</v>
      </c>
    </row>
    <row r="171" spans="1:16" x14ac:dyDescent="0.3">
      <c r="A171" s="8">
        <v>164</v>
      </c>
      <c r="B171" s="9" t="s">
        <v>2758</v>
      </c>
      <c r="C171" s="10" t="str">
        <f>VLOOKUP(B171,'Data Angt'!$A$5:$B$5809,2,FALSE)</f>
        <v>A1157</v>
      </c>
      <c r="D171" s="12" t="s">
        <v>9960</v>
      </c>
      <c r="E171" s="13">
        <v>42811</v>
      </c>
      <c r="F171" s="14">
        <v>45915</v>
      </c>
      <c r="G171" s="15">
        <v>90000000</v>
      </c>
      <c r="H171" s="16">
        <v>120</v>
      </c>
      <c r="I171" s="17">
        <v>11.4</v>
      </c>
      <c r="J171" s="15">
        <v>20997200</v>
      </c>
      <c r="K171" s="98">
        <f t="shared" si="6"/>
        <v>0</v>
      </c>
      <c r="L171" s="98" t="str">
        <f t="shared" si="7"/>
        <v>Lancar</v>
      </c>
      <c r="M171" s="5" t="str">
        <f t="shared" si="8"/>
        <v>001</v>
      </c>
      <c r="N171" s="55">
        <f>VLOOKUP(D171,Pinjaman!$E$7:$N$1900,10,FALSE)</f>
        <v>0</v>
      </c>
      <c r="O171" s="55">
        <f>VLOOKUP(B171,'Data Angt'!$A$5:$H$5810,6,FALSE)</f>
        <v>47</v>
      </c>
      <c r="P171" s="55" t="str">
        <f>VLOOKUP(B171,'Data Angt'!$A$5:$H$5810,8,FALSE)</f>
        <v>Wiraswasta</v>
      </c>
    </row>
    <row r="172" spans="1:16" x14ac:dyDescent="0.3">
      <c r="A172" s="8">
        <v>165</v>
      </c>
      <c r="B172" s="9" t="s">
        <v>2770</v>
      </c>
      <c r="C172" s="10" t="str">
        <f>VLOOKUP(B172,'Data Angt'!$A$5:$B$5809,2,FALSE)</f>
        <v>A1163</v>
      </c>
      <c r="D172" s="12" t="s">
        <v>22342</v>
      </c>
      <c r="E172" s="13">
        <v>45889</v>
      </c>
      <c r="F172" s="14">
        <v>45919</v>
      </c>
      <c r="G172" s="15">
        <v>9000000</v>
      </c>
      <c r="H172" s="16">
        <v>10</v>
      </c>
      <c r="I172" s="17">
        <v>24</v>
      </c>
      <c r="J172" s="15">
        <v>8178000</v>
      </c>
      <c r="K172" s="98">
        <f t="shared" si="6"/>
        <v>0</v>
      </c>
      <c r="L172" s="98" t="str">
        <f t="shared" si="7"/>
        <v>Lancar</v>
      </c>
      <c r="M172" s="5" t="str">
        <f t="shared" si="8"/>
        <v>001</v>
      </c>
      <c r="N172" s="55" t="str">
        <f>VLOOKUP(D172,Pinjaman!$E$7:$N$1900,10,FALSE)</f>
        <v>PRODUKTIF</v>
      </c>
      <c r="O172" s="55">
        <f>VLOOKUP(B172,'Data Angt'!$A$5:$H$5810,6,FALSE)</f>
        <v>40</v>
      </c>
      <c r="P172" s="55" t="str">
        <f>VLOOKUP(B172,'Data Angt'!$A$5:$H$5810,8,FALSE)</f>
        <v>Tenaga Pengajar</v>
      </c>
    </row>
    <row r="173" spans="1:16" x14ac:dyDescent="0.3">
      <c r="A173" s="8">
        <v>166</v>
      </c>
      <c r="B173" s="9" t="s">
        <v>2811</v>
      </c>
      <c r="C173" s="10" t="str">
        <f>VLOOKUP(B173,'Data Angt'!$A$5:$B$5809,2,FALSE)</f>
        <v>A1182</v>
      </c>
      <c r="D173" s="12" t="s">
        <v>15568</v>
      </c>
      <c r="E173" s="13">
        <v>45646</v>
      </c>
      <c r="F173" s="14">
        <v>45926</v>
      </c>
      <c r="G173" s="15">
        <v>4500000</v>
      </c>
      <c r="H173" s="16">
        <v>12</v>
      </c>
      <c r="I173" s="17">
        <v>24</v>
      </c>
      <c r="J173" s="15">
        <v>1635000</v>
      </c>
      <c r="K173" s="98">
        <f t="shared" si="6"/>
        <v>0</v>
      </c>
      <c r="L173" s="98" t="str">
        <f t="shared" si="7"/>
        <v>Lancar</v>
      </c>
      <c r="M173" s="5" t="str">
        <f t="shared" si="8"/>
        <v>001</v>
      </c>
      <c r="N173" s="55" t="str">
        <f>VLOOKUP(D173,Pinjaman!$E$7:$N$1900,10,FALSE)</f>
        <v>PRODUKTIF</v>
      </c>
      <c r="O173" s="55">
        <f>VLOOKUP(B173,'Data Angt'!$A$5:$H$5810,6,FALSE)</f>
        <v>64</v>
      </c>
      <c r="P173" s="55" t="str">
        <f>VLOOKUP(B173,'Data Angt'!$A$5:$H$5810,8,FALSE)</f>
        <v>Wiraswasta</v>
      </c>
    </row>
    <row r="174" spans="1:16" x14ac:dyDescent="0.3">
      <c r="A174" s="8">
        <v>167</v>
      </c>
      <c r="B174" s="9" t="s">
        <v>2834</v>
      </c>
      <c r="C174" s="10" t="str">
        <f>VLOOKUP(B174,'Data Angt'!$A$5:$B$5809,2,FALSE)</f>
        <v>A1196</v>
      </c>
      <c r="D174" s="12" t="s">
        <v>15571</v>
      </c>
      <c r="E174" s="13">
        <v>45547</v>
      </c>
      <c r="F174" s="14">
        <v>45912</v>
      </c>
      <c r="G174" s="15">
        <v>10000000</v>
      </c>
      <c r="H174" s="16">
        <v>24</v>
      </c>
      <c r="I174" s="17">
        <v>24</v>
      </c>
      <c r="J174" s="15">
        <v>5590700</v>
      </c>
      <c r="K174" s="98">
        <f t="shared" si="6"/>
        <v>0</v>
      </c>
      <c r="L174" s="98" t="str">
        <f t="shared" si="7"/>
        <v>Lancar</v>
      </c>
      <c r="M174" s="5" t="str">
        <f t="shared" si="8"/>
        <v>001</v>
      </c>
      <c r="N174" s="55" t="str">
        <f>VLOOKUP(D174,Pinjaman!$E$7:$N$1900,10,FALSE)</f>
        <v>PRODUKTIF</v>
      </c>
      <c r="O174" s="55">
        <f>VLOOKUP(B174,'Data Angt'!$A$5:$H$5810,6,FALSE)</f>
        <v>36</v>
      </c>
      <c r="P174" s="55" t="str">
        <f>VLOOKUP(B174,'Data Angt'!$A$5:$H$5810,8,FALSE)</f>
        <v>Aparatur/Pejabat Negara</v>
      </c>
    </row>
    <row r="175" spans="1:16" x14ac:dyDescent="0.3">
      <c r="A175" s="8">
        <v>168</v>
      </c>
      <c r="B175" s="9" t="s">
        <v>2878</v>
      </c>
      <c r="C175" s="10" t="str">
        <f>VLOOKUP(B175,'Data Angt'!$A$5:$B$5809,2,FALSE)</f>
        <v>A1212</v>
      </c>
      <c r="D175" s="12" t="s">
        <v>15573</v>
      </c>
      <c r="E175" s="13">
        <v>45664</v>
      </c>
      <c r="F175" s="14">
        <v>45908</v>
      </c>
      <c r="G175" s="15">
        <v>5000000</v>
      </c>
      <c r="H175" s="16">
        <v>12</v>
      </c>
      <c r="I175" s="17">
        <v>24</v>
      </c>
      <c r="J175" s="15">
        <v>1800600</v>
      </c>
      <c r="K175" s="98">
        <f t="shared" si="6"/>
        <v>0</v>
      </c>
      <c r="L175" s="98" t="str">
        <f t="shared" si="7"/>
        <v>Lancar</v>
      </c>
      <c r="M175" s="5" t="str">
        <f t="shared" si="8"/>
        <v>001</v>
      </c>
      <c r="N175" s="55" t="str">
        <f>VLOOKUP(D175,Pinjaman!$E$7:$N$1900,10,FALSE)</f>
        <v>PENDIDIKAN</v>
      </c>
      <c r="O175" s="55">
        <f>VLOOKUP(B175,'Data Angt'!$A$5:$H$5810,6,FALSE)</f>
        <v>49</v>
      </c>
      <c r="P175" s="55" t="str">
        <f>VLOOKUP(B175,'Data Angt'!$A$5:$H$5810,8,FALSE)</f>
        <v>Tenaga Pengajar</v>
      </c>
    </row>
    <row r="176" spans="1:16" x14ac:dyDescent="0.3">
      <c r="A176" s="8">
        <v>169</v>
      </c>
      <c r="B176" s="9" t="s">
        <v>2878</v>
      </c>
      <c r="C176" s="10" t="str">
        <f>VLOOKUP(B176,'Data Angt'!$A$5:$B$5809,2,FALSE)</f>
        <v>A1212</v>
      </c>
      <c r="D176" s="12" t="s">
        <v>15575</v>
      </c>
      <c r="E176" s="13">
        <v>45776</v>
      </c>
      <c r="F176" s="14">
        <v>45930</v>
      </c>
      <c r="G176" s="15">
        <v>20000000</v>
      </c>
      <c r="H176" s="16">
        <v>24</v>
      </c>
      <c r="I176" s="17">
        <v>24</v>
      </c>
      <c r="J176" s="15">
        <v>16578600</v>
      </c>
      <c r="K176" s="98">
        <f t="shared" si="6"/>
        <v>0</v>
      </c>
      <c r="L176" s="98" t="str">
        <f t="shared" si="7"/>
        <v>Lancar</v>
      </c>
      <c r="M176" s="5" t="str">
        <f t="shared" si="8"/>
        <v>001</v>
      </c>
      <c r="N176" s="55" t="str">
        <f>VLOOKUP(D176,Pinjaman!$E$7:$N$1900,10,FALSE)</f>
        <v>PENDIDIKAN</v>
      </c>
      <c r="O176" s="55">
        <f>VLOOKUP(B176,'Data Angt'!$A$5:$H$5810,6,FALSE)</f>
        <v>49</v>
      </c>
      <c r="P176" s="55" t="str">
        <f>VLOOKUP(B176,'Data Angt'!$A$5:$H$5810,8,FALSE)</f>
        <v>Tenaga Pengajar</v>
      </c>
    </row>
    <row r="177" spans="1:16" x14ac:dyDescent="0.3">
      <c r="A177" s="8">
        <v>170</v>
      </c>
      <c r="B177" s="9" t="s">
        <v>2885</v>
      </c>
      <c r="C177" s="10" t="str">
        <f>VLOOKUP(B177,'Data Angt'!$A$5:$B$5809,2,FALSE)</f>
        <v>A1215</v>
      </c>
      <c r="D177" s="12" t="s">
        <v>9965</v>
      </c>
      <c r="E177" s="13">
        <v>43858</v>
      </c>
      <c r="F177" s="14">
        <v>45808</v>
      </c>
      <c r="G177" s="15">
        <v>70000000</v>
      </c>
      <c r="H177" s="16">
        <v>36</v>
      </c>
      <c r="I177" s="17">
        <v>21</v>
      </c>
      <c r="J177" s="15">
        <v>31217100</v>
      </c>
      <c r="K177" s="98">
        <f t="shared" si="6"/>
        <v>3</v>
      </c>
      <c r="L177" s="98" t="str">
        <f t="shared" si="7"/>
        <v>Lancar</v>
      </c>
      <c r="M177" s="5" t="str">
        <f t="shared" si="8"/>
        <v>001</v>
      </c>
      <c r="N177" s="55" t="str">
        <f>VLOOKUP(D177,Pinjaman!$E$7:$N$1900,10,FALSE)</f>
        <v>KESEJAHTERAAN</v>
      </c>
      <c r="O177" s="55">
        <f>VLOOKUP(B177,'Data Angt'!$A$5:$H$5810,6,FALSE)</f>
        <v>40</v>
      </c>
      <c r="P177" s="55" t="str">
        <f>VLOOKUP(B177,'Data Angt'!$A$5:$H$5810,8,FALSE)</f>
        <v>Mengurus Rumah Tangga</v>
      </c>
    </row>
    <row r="178" spans="1:16" x14ac:dyDescent="0.3">
      <c r="A178" s="8">
        <v>171</v>
      </c>
      <c r="B178" s="9" t="s">
        <v>2892</v>
      </c>
      <c r="C178" s="10" t="str">
        <f>VLOOKUP(B178,'Data Angt'!$A$5:$B$5809,2,FALSE)</f>
        <v>A1219</v>
      </c>
      <c r="D178" s="12" t="s">
        <v>15578</v>
      </c>
      <c r="E178" s="13">
        <v>45818</v>
      </c>
      <c r="F178" s="14">
        <v>45912</v>
      </c>
      <c r="G178" s="15">
        <v>20000000</v>
      </c>
      <c r="H178" s="16">
        <v>24</v>
      </c>
      <c r="I178" s="17">
        <v>24</v>
      </c>
      <c r="J178" s="15">
        <v>17987900</v>
      </c>
      <c r="K178" s="98">
        <f t="shared" si="6"/>
        <v>0</v>
      </c>
      <c r="L178" s="98" t="str">
        <f t="shared" si="7"/>
        <v>Lancar</v>
      </c>
      <c r="M178" s="5" t="str">
        <f t="shared" si="8"/>
        <v>001</v>
      </c>
      <c r="N178" s="55" t="str">
        <f>VLOOKUP(D178,Pinjaman!$E$7:$N$1900,10,FALSE)</f>
        <v>PRODUKTIF</v>
      </c>
      <c r="O178" s="55">
        <f>VLOOKUP(B178,'Data Angt'!$A$5:$H$5810,6,FALSE)</f>
        <v>54</v>
      </c>
      <c r="P178" s="55" t="str">
        <f>VLOOKUP(B178,'Data Angt'!$A$5:$H$5810,8,FALSE)</f>
        <v>Tenaga Pengajar</v>
      </c>
    </row>
    <row r="179" spans="1:16" x14ac:dyDescent="0.3">
      <c r="A179" s="8">
        <v>172</v>
      </c>
      <c r="B179" s="9" t="s">
        <v>2892</v>
      </c>
      <c r="C179" s="10" t="str">
        <f>VLOOKUP(B179,'Data Angt'!$A$5:$B$5809,2,FALSE)</f>
        <v>A1219</v>
      </c>
      <c r="D179" s="12" t="s">
        <v>15581</v>
      </c>
      <c r="E179" s="13">
        <v>45724</v>
      </c>
      <c r="F179" s="14">
        <v>45908</v>
      </c>
      <c r="G179" s="15">
        <v>5000000</v>
      </c>
      <c r="H179" s="16">
        <v>12</v>
      </c>
      <c r="I179" s="17">
        <v>24</v>
      </c>
      <c r="J179" s="15">
        <v>2648600</v>
      </c>
      <c r="K179" s="98">
        <f t="shared" si="6"/>
        <v>0</v>
      </c>
      <c r="L179" s="98" t="str">
        <f t="shared" si="7"/>
        <v>Lancar</v>
      </c>
      <c r="M179" s="5" t="str">
        <f t="shared" si="8"/>
        <v>001</v>
      </c>
      <c r="N179" s="55" t="str">
        <f>VLOOKUP(D179,Pinjaman!$E$7:$N$1900,10,FALSE)</f>
        <v>PRODUKTIF</v>
      </c>
      <c r="O179" s="55">
        <f>VLOOKUP(B179,'Data Angt'!$A$5:$H$5810,6,FALSE)</f>
        <v>54</v>
      </c>
      <c r="P179" s="55" t="str">
        <f>VLOOKUP(B179,'Data Angt'!$A$5:$H$5810,8,FALSE)</f>
        <v>Tenaga Pengajar</v>
      </c>
    </row>
    <row r="180" spans="1:16" x14ac:dyDescent="0.3">
      <c r="A180" s="8">
        <v>173</v>
      </c>
      <c r="B180" s="9" t="s">
        <v>2909</v>
      </c>
      <c r="C180" s="10" t="str">
        <f>VLOOKUP(B180,'Data Angt'!$A$5:$B$5809,2,FALSE)</f>
        <v>A1227</v>
      </c>
      <c r="D180" s="12" t="s">
        <v>15583</v>
      </c>
      <c r="E180" s="13">
        <v>45442</v>
      </c>
      <c r="F180" s="14">
        <v>45930</v>
      </c>
      <c r="G180" s="15">
        <v>3000000</v>
      </c>
      <c r="H180" s="16">
        <v>18</v>
      </c>
      <c r="I180" s="17">
        <v>24</v>
      </c>
      <c r="J180" s="15">
        <v>387800</v>
      </c>
      <c r="K180" s="98">
        <f t="shared" si="6"/>
        <v>0</v>
      </c>
      <c r="L180" s="98" t="str">
        <f t="shared" si="7"/>
        <v>Lancar</v>
      </c>
      <c r="M180" s="5" t="str">
        <f t="shared" si="8"/>
        <v>001</v>
      </c>
      <c r="N180" s="55" t="str">
        <f>VLOOKUP(D180,Pinjaman!$E$7:$N$1900,10,FALSE)</f>
        <v>PENDIDIKAN</v>
      </c>
      <c r="O180" s="55">
        <f>VLOOKUP(B180,'Data Angt'!$A$5:$H$5810,6,FALSE)</f>
        <v>46</v>
      </c>
      <c r="P180" s="55" t="str">
        <f>VLOOKUP(B180,'Data Angt'!$A$5:$H$5810,8,FALSE)</f>
        <v>Aparatur/Pejabat Negara</v>
      </c>
    </row>
    <row r="181" spans="1:16" x14ac:dyDescent="0.3">
      <c r="A181" s="8">
        <v>174</v>
      </c>
      <c r="B181" s="9" t="s">
        <v>2911</v>
      </c>
      <c r="C181" s="10" t="str">
        <f>VLOOKUP(B181,'Data Angt'!$A$5:$B$5809,2,FALSE)</f>
        <v>A1228</v>
      </c>
      <c r="D181" s="12" t="s">
        <v>22350</v>
      </c>
      <c r="E181" s="13">
        <v>45874</v>
      </c>
      <c r="F181" s="14">
        <v>45909</v>
      </c>
      <c r="G181" s="15">
        <v>7000000</v>
      </c>
      <c r="H181" s="16">
        <v>24</v>
      </c>
      <c r="I181" s="17">
        <v>24</v>
      </c>
      <c r="J181" s="15">
        <v>6769900</v>
      </c>
      <c r="K181" s="98">
        <f t="shared" si="6"/>
        <v>0</v>
      </c>
      <c r="L181" s="98" t="str">
        <f t="shared" si="7"/>
        <v>Lancar</v>
      </c>
      <c r="M181" s="5" t="str">
        <f t="shared" si="8"/>
        <v>001</v>
      </c>
      <c r="N181" s="55" t="str">
        <f>VLOOKUP(D181,Pinjaman!$E$7:$N$1900,10,FALSE)</f>
        <v>PRODUKTIF</v>
      </c>
      <c r="O181" s="55">
        <f>VLOOKUP(B181,'Data Angt'!$A$5:$H$5810,6,FALSE)</f>
        <v>71</v>
      </c>
      <c r="P181" s="55" t="str">
        <f>VLOOKUP(B181,'Data Angt'!$A$5:$H$5810,8,FALSE)</f>
        <v>Mengurus Rumah Tangga</v>
      </c>
    </row>
    <row r="182" spans="1:16" x14ac:dyDescent="0.3">
      <c r="A182" s="8">
        <v>175</v>
      </c>
      <c r="B182" s="9" t="s">
        <v>2913</v>
      </c>
      <c r="C182" s="10" t="str">
        <f>VLOOKUP(B182,'Data Angt'!$A$5:$B$5809,2,FALSE)</f>
        <v>A1229</v>
      </c>
      <c r="D182" s="12" t="s">
        <v>15585</v>
      </c>
      <c r="E182" s="13">
        <v>45731</v>
      </c>
      <c r="F182" s="14">
        <v>45917</v>
      </c>
      <c r="G182" s="15">
        <v>10000000</v>
      </c>
      <c r="H182" s="16">
        <v>36</v>
      </c>
      <c r="I182" s="17">
        <v>24</v>
      </c>
      <c r="J182" s="15">
        <v>8786600</v>
      </c>
      <c r="K182" s="98">
        <f t="shared" si="6"/>
        <v>0</v>
      </c>
      <c r="L182" s="98" t="str">
        <f t="shared" si="7"/>
        <v>Lancar</v>
      </c>
      <c r="M182" s="5" t="str">
        <f t="shared" si="8"/>
        <v>001</v>
      </c>
      <c r="N182" s="55" t="str">
        <f>VLOOKUP(D182,Pinjaman!$E$7:$N$1900,10,FALSE)</f>
        <v>KESEHATAN</v>
      </c>
      <c r="O182" s="55">
        <f>VLOOKUP(B182,'Data Angt'!$A$5:$H$5810,6,FALSE)</f>
        <v>46</v>
      </c>
      <c r="P182" s="55" t="str">
        <f>VLOOKUP(B182,'Data Angt'!$A$5:$H$5810,8,FALSE)</f>
        <v>Wiraswasta</v>
      </c>
    </row>
    <row r="183" spans="1:16" x14ac:dyDescent="0.3">
      <c r="A183" s="8">
        <v>176</v>
      </c>
      <c r="B183" s="9" t="s">
        <v>2939</v>
      </c>
      <c r="C183" s="10" t="str">
        <f>VLOOKUP(B183,'Data Angt'!$A$5:$B$5809,2,FALSE)</f>
        <v>A1242</v>
      </c>
      <c r="D183" s="12" t="s">
        <v>15588</v>
      </c>
      <c r="E183" s="13">
        <v>45502</v>
      </c>
      <c r="F183" s="14">
        <v>45920</v>
      </c>
      <c r="G183" s="15">
        <v>45000000</v>
      </c>
      <c r="H183" s="16">
        <v>36</v>
      </c>
      <c r="I183" s="17">
        <v>21</v>
      </c>
      <c r="J183" s="15">
        <v>30738100</v>
      </c>
      <c r="K183" s="98">
        <f t="shared" si="6"/>
        <v>0</v>
      </c>
      <c r="L183" s="98" t="str">
        <f t="shared" si="7"/>
        <v>Lancar</v>
      </c>
      <c r="M183" s="5" t="str">
        <f t="shared" si="8"/>
        <v>001</v>
      </c>
      <c r="N183" s="55" t="str">
        <f>VLOOKUP(D183,Pinjaman!$E$7:$N$1900,10,FALSE)</f>
        <v>PENDIDIKAN</v>
      </c>
      <c r="O183" s="55">
        <f>VLOOKUP(B183,'Data Angt'!$A$5:$H$5810,6,FALSE)</f>
        <v>55</v>
      </c>
      <c r="P183" s="55" t="str">
        <f>VLOOKUP(B183,'Data Angt'!$A$5:$H$5810,8,FALSE)</f>
        <v>Tenaga Pengajar</v>
      </c>
    </row>
    <row r="184" spans="1:16" x14ac:dyDescent="0.3">
      <c r="A184" s="8">
        <v>177</v>
      </c>
      <c r="B184" s="9" t="s">
        <v>2995</v>
      </c>
      <c r="C184" s="10" t="str">
        <f>VLOOKUP(B184,'Data Angt'!$A$5:$B$5809,2,FALSE)</f>
        <v>A1266</v>
      </c>
      <c r="D184" s="12" t="s">
        <v>15590</v>
      </c>
      <c r="E184" s="13">
        <v>45694</v>
      </c>
      <c r="F184" s="14">
        <v>45908</v>
      </c>
      <c r="G184" s="15">
        <v>2500000</v>
      </c>
      <c r="H184" s="16">
        <v>12</v>
      </c>
      <c r="I184" s="17">
        <v>11.88</v>
      </c>
      <c r="J184" s="15">
        <v>1077900</v>
      </c>
      <c r="K184" s="98">
        <f t="shared" si="6"/>
        <v>0</v>
      </c>
      <c r="L184" s="98" t="str">
        <f t="shared" si="7"/>
        <v>Lancar</v>
      </c>
      <c r="M184" s="5" t="str">
        <f t="shared" si="8"/>
        <v>001</v>
      </c>
      <c r="N184" s="55" t="str">
        <f>VLOOKUP(D184,Pinjaman!$E$7:$N$1900,10,FALSE)</f>
        <v>KONSUMTIF</v>
      </c>
      <c r="O184" s="55">
        <f>VLOOKUP(B184,'Data Angt'!$A$5:$H$5810,6,FALSE)</f>
        <v>37</v>
      </c>
      <c r="P184" s="55" t="str">
        <f>VLOOKUP(B184,'Data Angt'!$A$5:$H$5810,8,FALSE)</f>
        <v>Wiraswasta</v>
      </c>
    </row>
    <row r="185" spans="1:16" x14ac:dyDescent="0.3">
      <c r="A185" s="8">
        <v>178</v>
      </c>
      <c r="B185" s="9" t="s">
        <v>2998</v>
      </c>
      <c r="C185" s="10" t="str">
        <f>VLOOKUP(B185,'Data Angt'!$A$5:$B$5809,2,FALSE)</f>
        <v>A1267</v>
      </c>
      <c r="D185" s="12" t="s">
        <v>22354</v>
      </c>
      <c r="E185" s="13">
        <v>45848</v>
      </c>
      <c r="F185" s="14">
        <v>45910</v>
      </c>
      <c r="G185" s="15">
        <v>2000000</v>
      </c>
      <c r="H185" s="16">
        <v>12</v>
      </c>
      <c r="I185" s="17">
        <v>24</v>
      </c>
      <c r="J185" s="15">
        <v>1698700</v>
      </c>
      <c r="K185" s="98">
        <f t="shared" si="6"/>
        <v>0</v>
      </c>
      <c r="L185" s="98" t="str">
        <f t="shared" si="7"/>
        <v>Lancar</v>
      </c>
      <c r="M185" s="5" t="str">
        <f t="shared" si="8"/>
        <v>001</v>
      </c>
      <c r="N185" s="55" t="str">
        <f>VLOOKUP(D185,Pinjaman!$E$7:$N$1900,10,FALSE)</f>
        <v>PRODUKTIF</v>
      </c>
      <c r="O185" s="55">
        <f>VLOOKUP(B185,'Data Angt'!$A$5:$H$5810,6,FALSE)</f>
        <v>54</v>
      </c>
      <c r="P185" s="55" t="str">
        <f>VLOOKUP(B185,'Data Angt'!$A$5:$H$5810,8,FALSE)</f>
        <v>Wiraswasta</v>
      </c>
    </row>
    <row r="186" spans="1:16" x14ac:dyDescent="0.3">
      <c r="A186" s="8">
        <v>179</v>
      </c>
      <c r="B186" s="9" t="s">
        <v>2998</v>
      </c>
      <c r="C186" s="10" t="str">
        <f>VLOOKUP(B186,'Data Angt'!$A$5:$B$5809,2,FALSE)</f>
        <v>A1267</v>
      </c>
      <c r="D186" s="12" t="s">
        <v>15593</v>
      </c>
      <c r="E186" s="13">
        <v>45647</v>
      </c>
      <c r="F186" s="14">
        <v>45920</v>
      </c>
      <c r="G186" s="15">
        <v>30000000</v>
      </c>
      <c r="H186" s="16">
        <v>36</v>
      </c>
      <c r="I186" s="17">
        <v>21</v>
      </c>
      <c r="J186" s="15">
        <v>24155500</v>
      </c>
      <c r="K186" s="98">
        <f t="shared" si="6"/>
        <v>0</v>
      </c>
      <c r="L186" s="98" t="str">
        <f t="shared" si="7"/>
        <v>Lancar</v>
      </c>
      <c r="M186" s="5" t="str">
        <f t="shared" si="8"/>
        <v>001</v>
      </c>
      <c r="N186" s="55" t="str">
        <f>VLOOKUP(D186,Pinjaman!$E$7:$N$1900,10,FALSE)</f>
        <v>KONSUMTIF</v>
      </c>
      <c r="O186" s="55">
        <f>VLOOKUP(B186,'Data Angt'!$A$5:$H$5810,6,FALSE)</f>
        <v>54</v>
      </c>
      <c r="P186" s="55" t="str">
        <f>VLOOKUP(B186,'Data Angt'!$A$5:$H$5810,8,FALSE)</f>
        <v>Wiraswasta</v>
      </c>
    </row>
    <row r="187" spans="1:16" x14ac:dyDescent="0.3">
      <c r="A187" s="8">
        <v>180</v>
      </c>
      <c r="B187" s="9" t="s">
        <v>3016</v>
      </c>
      <c r="C187" s="10" t="str">
        <f>VLOOKUP(B187,'Data Angt'!$A$5:$B$5809,2,FALSE)</f>
        <v>A1276</v>
      </c>
      <c r="D187" s="12" t="s">
        <v>15595</v>
      </c>
      <c r="E187" s="13">
        <v>45360</v>
      </c>
      <c r="F187" s="14">
        <v>45772</v>
      </c>
      <c r="G187" s="15">
        <v>35000000</v>
      </c>
      <c r="H187" s="16">
        <v>36</v>
      </c>
      <c r="I187" s="17">
        <v>21</v>
      </c>
      <c r="J187" s="15">
        <v>24791500</v>
      </c>
      <c r="K187" s="98">
        <f t="shared" si="6"/>
        <v>5</v>
      </c>
      <c r="L187" s="98" t="str">
        <f t="shared" si="7"/>
        <v>Kurang lancar</v>
      </c>
      <c r="M187" s="5" t="str">
        <f t="shared" si="8"/>
        <v>001</v>
      </c>
      <c r="N187" s="55" t="str">
        <f>VLOOKUP(D187,Pinjaman!$E$7:$N$1900,10,FALSE)</f>
        <v>PRODUKTIF</v>
      </c>
      <c r="O187" s="55">
        <f>VLOOKUP(B187,'Data Angt'!$A$5:$H$5810,6,FALSE)</f>
        <v>45</v>
      </c>
      <c r="P187" s="55" t="str">
        <f>VLOOKUP(B187,'Data Angt'!$A$5:$H$5810,8,FALSE)</f>
        <v>Wiraswasta</v>
      </c>
    </row>
    <row r="188" spans="1:16" x14ac:dyDescent="0.3">
      <c r="A188" s="8">
        <v>181</v>
      </c>
      <c r="B188" s="9" t="s">
        <v>3049</v>
      </c>
      <c r="C188" s="10" t="str">
        <f>VLOOKUP(B188,'Data Angt'!$A$5:$B$5809,2,FALSE)</f>
        <v>A1290</v>
      </c>
      <c r="D188" s="12" t="s">
        <v>15597</v>
      </c>
      <c r="E188" s="13">
        <v>45541</v>
      </c>
      <c r="F188" s="14">
        <v>45811</v>
      </c>
      <c r="G188" s="15">
        <v>15000000</v>
      </c>
      <c r="H188" s="16">
        <v>18</v>
      </c>
      <c r="I188" s="17">
        <v>24</v>
      </c>
      <c r="J188" s="15">
        <v>12112500</v>
      </c>
      <c r="K188" s="98">
        <f t="shared" si="6"/>
        <v>3</v>
      </c>
      <c r="L188" s="98" t="str">
        <f t="shared" si="7"/>
        <v>Lancar</v>
      </c>
      <c r="M188" s="5" t="str">
        <f t="shared" si="8"/>
        <v>001</v>
      </c>
      <c r="N188" s="55" t="str">
        <f>VLOOKUP(D188,Pinjaman!$E$7:$N$1900,10,FALSE)</f>
        <v>PENDIDIKAN</v>
      </c>
      <c r="O188" s="55">
        <f>VLOOKUP(B188,'Data Angt'!$A$5:$H$5810,6,FALSE)</f>
        <v>64</v>
      </c>
      <c r="P188" s="55" t="str">
        <f>VLOOKUP(B188,'Data Angt'!$A$5:$H$5810,8,FALSE)</f>
        <v>Pensiunan</v>
      </c>
    </row>
    <row r="189" spans="1:16" x14ac:dyDescent="0.3">
      <c r="A189" s="8">
        <v>182</v>
      </c>
      <c r="B189" s="9" t="s">
        <v>3104</v>
      </c>
      <c r="C189" s="10" t="str">
        <f>VLOOKUP(B189,'Data Angt'!$A$5:$B$5809,2,FALSE)</f>
        <v>A1314</v>
      </c>
      <c r="D189" s="12" t="s">
        <v>15599</v>
      </c>
      <c r="E189" s="13">
        <v>45702</v>
      </c>
      <c r="F189" s="14">
        <v>45908</v>
      </c>
      <c r="G189" s="15">
        <v>80000000</v>
      </c>
      <c r="H189" s="16">
        <v>60</v>
      </c>
      <c r="I189" s="17">
        <v>21</v>
      </c>
      <c r="J189" s="15">
        <v>74361000</v>
      </c>
      <c r="K189" s="98">
        <f t="shared" si="6"/>
        <v>0</v>
      </c>
      <c r="L189" s="98" t="str">
        <f t="shared" si="7"/>
        <v>Lancar</v>
      </c>
      <c r="M189" s="5" t="str">
        <f t="shared" si="8"/>
        <v>001</v>
      </c>
      <c r="N189" s="55" t="str">
        <f>VLOOKUP(D189,Pinjaman!$E$7:$N$1900,10,FALSE)</f>
        <v>PRODUKTIF</v>
      </c>
      <c r="O189" s="55">
        <f>VLOOKUP(B189,'Data Angt'!$A$5:$H$5810,6,FALSE)</f>
        <v>62</v>
      </c>
      <c r="P189" s="55" t="str">
        <f>VLOOKUP(B189,'Data Angt'!$A$5:$H$5810,8,FALSE)</f>
        <v>Wiraswasta</v>
      </c>
    </row>
    <row r="190" spans="1:16" x14ac:dyDescent="0.3">
      <c r="A190" s="8">
        <v>183</v>
      </c>
      <c r="B190" s="9" t="s">
        <v>3146</v>
      </c>
      <c r="C190" s="10" t="str">
        <f>VLOOKUP(B190,'Data Angt'!$A$5:$B$5809,2,FALSE)</f>
        <v>A1333</v>
      </c>
      <c r="D190" s="12" t="s">
        <v>15601</v>
      </c>
      <c r="E190" s="13">
        <v>45724</v>
      </c>
      <c r="F190" s="14">
        <v>45908</v>
      </c>
      <c r="G190" s="15">
        <v>25000000</v>
      </c>
      <c r="H190" s="16">
        <v>36</v>
      </c>
      <c r="I190" s="17">
        <v>21</v>
      </c>
      <c r="J190" s="15">
        <v>21186200</v>
      </c>
      <c r="K190" s="98">
        <f t="shared" si="6"/>
        <v>0</v>
      </c>
      <c r="L190" s="98" t="str">
        <f t="shared" si="7"/>
        <v>Lancar</v>
      </c>
      <c r="M190" s="5" t="str">
        <f t="shared" si="8"/>
        <v>001</v>
      </c>
      <c r="N190" s="55" t="str">
        <f>VLOOKUP(D190,Pinjaman!$E$7:$N$1900,10,FALSE)</f>
        <v>KESEJAHTERAAN</v>
      </c>
      <c r="O190" s="55">
        <f>VLOOKUP(B190,'Data Angt'!$A$5:$H$5810,6,FALSE)</f>
        <v>51</v>
      </c>
      <c r="P190" s="55" t="str">
        <f>VLOOKUP(B190,'Data Angt'!$A$5:$H$5810,8,FALSE)</f>
        <v>Karyawan</v>
      </c>
    </row>
    <row r="191" spans="1:16" x14ac:dyDescent="0.3">
      <c r="A191" s="8">
        <v>184</v>
      </c>
      <c r="B191" s="9" t="s">
        <v>3232</v>
      </c>
      <c r="C191" s="10" t="str">
        <f>VLOOKUP(B191,'Data Angt'!$A$5:$B$5809,2,FALSE)</f>
        <v>A1371</v>
      </c>
      <c r="D191" s="12" t="s">
        <v>9968</v>
      </c>
      <c r="E191" s="13">
        <v>44621</v>
      </c>
      <c r="F191" s="14">
        <v>45310</v>
      </c>
      <c r="G191" s="15">
        <v>70000000</v>
      </c>
      <c r="H191" s="16">
        <v>60</v>
      </c>
      <c r="I191" s="17">
        <v>21</v>
      </c>
      <c r="J191" s="15">
        <v>56891300</v>
      </c>
      <c r="K191" s="98">
        <f t="shared" si="6"/>
        <v>20</v>
      </c>
      <c r="L191" s="98" t="str">
        <f t="shared" si="7"/>
        <v>Macet</v>
      </c>
      <c r="M191" s="5" t="str">
        <f t="shared" si="8"/>
        <v>001</v>
      </c>
      <c r="N191" s="55" t="str">
        <f>VLOOKUP(D191,Pinjaman!$E$7:$N$1900,10,FALSE)</f>
        <v>KONSUMTIF</v>
      </c>
      <c r="O191" s="55">
        <f>VLOOKUP(B191,'Data Angt'!$A$5:$H$5810,6,FALSE)</f>
        <v>43</v>
      </c>
      <c r="P191" s="55" t="str">
        <f>VLOOKUP(B191,'Data Angt'!$A$5:$H$5810,8,FALSE)</f>
        <v>Tenaga Pengajar</v>
      </c>
    </row>
    <row r="192" spans="1:16" x14ac:dyDescent="0.3">
      <c r="A192" s="8">
        <v>185</v>
      </c>
      <c r="B192" s="9" t="s">
        <v>3279</v>
      </c>
      <c r="C192" s="10" t="str">
        <f>VLOOKUP(B192,'Data Angt'!$A$5:$B$5809,2,FALSE)</f>
        <v>A1392</v>
      </c>
      <c r="D192" s="12" t="s">
        <v>15603</v>
      </c>
      <c r="E192" s="13">
        <v>45476</v>
      </c>
      <c r="F192" s="14">
        <v>45903</v>
      </c>
      <c r="G192" s="15">
        <v>25000000</v>
      </c>
      <c r="H192" s="16">
        <v>24</v>
      </c>
      <c r="I192" s="17">
        <v>21</v>
      </c>
      <c r="J192" s="15">
        <v>11691600</v>
      </c>
      <c r="K192" s="98">
        <f t="shared" si="6"/>
        <v>0</v>
      </c>
      <c r="L192" s="98" t="str">
        <f t="shared" si="7"/>
        <v>Lancar</v>
      </c>
      <c r="M192" s="5" t="str">
        <f t="shared" si="8"/>
        <v>001</v>
      </c>
      <c r="N192" s="55" t="str">
        <f>VLOOKUP(D192,Pinjaman!$E$7:$N$1900,10,FALSE)</f>
        <v>KONSUMTIF</v>
      </c>
      <c r="O192" s="55">
        <f>VLOOKUP(B192,'Data Angt'!$A$5:$H$5810,6,FALSE)</f>
        <v>43</v>
      </c>
      <c r="P192" s="55" t="str">
        <f>VLOOKUP(B192,'Data Angt'!$A$5:$H$5810,8,FALSE)</f>
        <v>Aparatur/Pejabat Negara</v>
      </c>
    </row>
    <row r="193" spans="1:16" x14ac:dyDescent="0.3">
      <c r="A193" s="8">
        <v>186</v>
      </c>
      <c r="B193" s="9" t="s">
        <v>3336</v>
      </c>
      <c r="C193" s="10" t="str">
        <f>VLOOKUP(B193,'Data Angt'!$A$5:$B$5809,2,FALSE)</f>
        <v>A1418</v>
      </c>
      <c r="D193" s="12" t="s">
        <v>9971</v>
      </c>
      <c r="E193" s="13">
        <v>45164</v>
      </c>
      <c r="F193" s="14">
        <v>45230</v>
      </c>
      <c r="G193" s="15">
        <v>8000000</v>
      </c>
      <c r="H193" s="16">
        <v>48</v>
      </c>
      <c r="I193" s="17">
        <v>24</v>
      </c>
      <c r="J193" s="15">
        <v>7899100</v>
      </c>
      <c r="K193" s="98">
        <f t="shared" si="6"/>
        <v>22</v>
      </c>
      <c r="L193" s="98" t="str">
        <f t="shared" si="7"/>
        <v>Macet</v>
      </c>
      <c r="M193" s="5" t="str">
        <f t="shared" si="8"/>
        <v>001</v>
      </c>
      <c r="N193" s="55" t="str">
        <f>VLOOKUP(D193,Pinjaman!$E$7:$N$1900,10,FALSE)</f>
        <v>KONSUMTIF</v>
      </c>
      <c r="O193" s="55">
        <f>VLOOKUP(B193,'Data Angt'!$A$5:$H$5810,6,FALSE)</f>
        <v>55</v>
      </c>
      <c r="P193" s="55" t="str">
        <f>VLOOKUP(B193,'Data Angt'!$A$5:$H$5810,8,FALSE)</f>
        <v>Karyawan</v>
      </c>
    </row>
    <row r="194" spans="1:16" x14ac:dyDescent="0.3">
      <c r="A194" s="8">
        <v>187</v>
      </c>
      <c r="B194" s="9" t="s">
        <v>3342</v>
      </c>
      <c r="C194" s="10" t="str">
        <f>VLOOKUP(B194,'Data Angt'!$A$5:$B$5809,2,FALSE)</f>
        <v>A1420</v>
      </c>
      <c r="D194" s="12" t="s">
        <v>15605</v>
      </c>
      <c r="E194" s="13">
        <v>45572</v>
      </c>
      <c r="F194" s="14">
        <v>45908</v>
      </c>
      <c r="G194" s="15">
        <v>15000000</v>
      </c>
      <c r="H194" s="16">
        <v>18</v>
      </c>
      <c r="I194" s="17">
        <v>24</v>
      </c>
      <c r="J194" s="15">
        <v>6475100</v>
      </c>
      <c r="K194" s="98">
        <f t="shared" si="6"/>
        <v>0</v>
      </c>
      <c r="L194" s="98" t="str">
        <f t="shared" si="7"/>
        <v>Lancar</v>
      </c>
      <c r="M194" s="5" t="str">
        <f t="shared" si="8"/>
        <v>001</v>
      </c>
      <c r="N194" s="55" t="str">
        <f>VLOOKUP(D194,Pinjaman!$E$7:$N$1900,10,FALSE)</f>
        <v>KONSUMTIF</v>
      </c>
      <c r="O194" s="55">
        <f>VLOOKUP(B194,'Data Angt'!$A$5:$H$5810,6,FALSE)</f>
        <v>47</v>
      </c>
      <c r="P194" s="55" t="str">
        <f>VLOOKUP(B194,'Data Angt'!$A$5:$H$5810,8,FALSE)</f>
        <v>Mengurus Rumah Tangga</v>
      </c>
    </row>
    <row r="195" spans="1:16" x14ac:dyDescent="0.3">
      <c r="A195" s="8">
        <v>188</v>
      </c>
      <c r="B195" s="9" t="s">
        <v>3360</v>
      </c>
      <c r="C195" s="10" t="str">
        <f>VLOOKUP(B195,'Data Angt'!$A$5:$B$5809,2,FALSE)</f>
        <v>A1428</v>
      </c>
      <c r="D195" s="12" t="s">
        <v>9974</v>
      </c>
      <c r="E195" s="13">
        <v>44277</v>
      </c>
      <c r="F195" s="14">
        <v>45372</v>
      </c>
      <c r="G195" s="15">
        <v>140000000</v>
      </c>
      <c r="H195" s="16">
        <v>120</v>
      </c>
      <c r="I195" s="17">
        <v>12</v>
      </c>
      <c r="J195" s="15">
        <v>125159400</v>
      </c>
      <c r="K195" s="98">
        <f t="shared" si="6"/>
        <v>18</v>
      </c>
      <c r="L195" s="98" t="str">
        <f t="shared" si="7"/>
        <v>Macet</v>
      </c>
      <c r="M195" s="5" t="str">
        <f t="shared" si="8"/>
        <v>001</v>
      </c>
      <c r="N195" s="55">
        <f>VLOOKUP(D195,Pinjaman!$E$7:$N$1900,10,FALSE)</f>
        <v>0</v>
      </c>
      <c r="O195" s="55">
        <f>VLOOKUP(B195,'Data Angt'!$A$5:$H$5810,6,FALSE)</f>
        <v>45</v>
      </c>
      <c r="P195" s="55" t="str">
        <f>VLOOKUP(B195,'Data Angt'!$A$5:$H$5810,8,FALSE)</f>
        <v>Wiraswasta</v>
      </c>
    </row>
    <row r="196" spans="1:16" x14ac:dyDescent="0.3">
      <c r="A196" s="8">
        <v>189</v>
      </c>
      <c r="B196" s="9" t="s">
        <v>3365</v>
      </c>
      <c r="C196" s="10" t="str">
        <f>VLOOKUP(B196,'Data Angt'!$A$5:$B$5809,2,FALSE)</f>
        <v>A1430</v>
      </c>
      <c r="D196" s="12" t="s">
        <v>15608</v>
      </c>
      <c r="E196" s="13">
        <v>45693</v>
      </c>
      <c r="F196" s="14">
        <v>45906</v>
      </c>
      <c r="G196" s="15">
        <v>11000000</v>
      </c>
      <c r="H196" s="16">
        <v>12</v>
      </c>
      <c r="I196" s="17">
        <v>11.9</v>
      </c>
      <c r="J196" s="15">
        <v>4741800</v>
      </c>
      <c r="K196" s="98">
        <f t="shared" si="6"/>
        <v>0</v>
      </c>
      <c r="L196" s="98" t="str">
        <f t="shared" si="7"/>
        <v>Lancar</v>
      </c>
      <c r="M196" s="5" t="str">
        <f t="shared" si="8"/>
        <v>001</v>
      </c>
      <c r="N196" s="55" t="str">
        <f>VLOOKUP(D196,Pinjaman!$E$7:$N$1900,10,FALSE)</f>
        <v>PRODUKTIF</v>
      </c>
      <c r="O196" s="55">
        <f>VLOOKUP(B196,'Data Angt'!$A$5:$H$5810,6,FALSE)</f>
        <v>39</v>
      </c>
      <c r="P196" s="55" t="str">
        <f>VLOOKUP(B196,'Data Angt'!$A$5:$H$5810,8,FALSE)</f>
        <v>Mengurus Rumah Tangga</v>
      </c>
    </row>
    <row r="197" spans="1:16" x14ac:dyDescent="0.3">
      <c r="A197" s="8">
        <v>190</v>
      </c>
      <c r="B197" s="9" t="s">
        <v>3385</v>
      </c>
      <c r="C197" s="10" t="str">
        <f>VLOOKUP(B197,'Data Angt'!$A$5:$B$5809,2,FALSE)</f>
        <v>A1438</v>
      </c>
      <c r="D197" s="12" t="s">
        <v>9978</v>
      </c>
      <c r="E197" s="13">
        <v>42067</v>
      </c>
      <c r="F197" s="14">
        <v>45925</v>
      </c>
      <c r="G197" s="15">
        <v>100000000</v>
      </c>
      <c r="H197" s="16">
        <v>120</v>
      </c>
      <c r="I197" s="17">
        <v>0</v>
      </c>
      <c r="J197" s="15">
        <v>21500000</v>
      </c>
      <c r="K197" s="98">
        <f t="shared" si="6"/>
        <v>0</v>
      </c>
      <c r="L197" s="98" t="str">
        <f t="shared" si="7"/>
        <v>Lancar</v>
      </c>
      <c r="M197" s="5" t="str">
        <f t="shared" si="8"/>
        <v>001</v>
      </c>
      <c r="N197" s="55">
        <f>VLOOKUP(D197,Pinjaman!$E$7:$N$1900,10,FALSE)</f>
        <v>0</v>
      </c>
      <c r="O197" s="55">
        <f>VLOOKUP(B197,'Data Angt'!$A$5:$H$5810,6,FALSE)</f>
        <v>37</v>
      </c>
      <c r="P197" s="55" t="str">
        <f>VLOOKUP(B197,'Data Angt'!$A$5:$H$5810,8,FALSE)</f>
        <v>Wiraswasta</v>
      </c>
    </row>
    <row r="198" spans="1:16" x14ac:dyDescent="0.3">
      <c r="A198" s="8">
        <v>191</v>
      </c>
      <c r="B198" s="9" t="s">
        <v>3403</v>
      </c>
      <c r="C198" s="10" t="str">
        <f>VLOOKUP(B198,'Data Angt'!$A$5:$B$5809,2,FALSE)</f>
        <v>A1447</v>
      </c>
      <c r="D198" s="12" t="s">
        <v>22364</v>
      </c>
      <c r="E198" s="13">
        <v>45913</v>
      </c>
      <c r="F198" s="14">
        <v>45913</v>
      </c>
      <c r="G198" s="15">
        <v>6000000</v>
      </c>
      <c r="H198" s="16">
        <v>10</v>
      </c>
      <c r="I198" s="17">
        <v>24</v>
      </c>
      <c r="J198" s="15">
        <v>6000000</v>
      </c>
      <c r="K198" s="98">
        <f t="shared" si="6"/>
        <v>0</v>
      </c>
      <c r="L198" s="98" t="str">
        <f t="shared" si="7"/>
        <v>Lancar</v>
      </c>
      <c r="M198" s="5" t="str">
        <f t="shared" si="8"/>
        <v>001</v>
      </c>
      <c r="N198" s="55" t="str">
        <f>VLOOKUP(D198,Pinjaman!$E$7:$N$1900,10,FALSE)</f>
        <v>PRODUKTIF</v>
      </c>
      <c r="O198" s="55">
        <f>VLOOKUP(B198,'Data Angt'!$A$5:$H$5810,6,FALSE)</f>
        <v>37</v>
      </c>
      <c r="P198" s="55" t="str">
        <f>VLOOKUP(B198,'Data Angt'!$A$5:$H$5810,8,FALSE)</f>
        <v>Wiraswasta</v>
      </c>
    </row>
    <row r="199" spans="1:16" x14ac:dyDescent="0.3">
      <c r="A199" s="8">
        <v>192</v>
      </c>
      <c r="B199" s="9" t="s">
        <v>3405</v>
      </c>
      <c r="C199" s="10" t="str">
        <f>VLOOKUP(B199,'Data Angt'!$A$5:$B$5809,2,FALSE)</f>
        <v>A1448</v>
      </c>
      <c r="D199" s="12" t="s">
        <v>15612</v>
      </c>
      <c r="E199" s="13">
        <v>45311</v>
      </c>
      <c r="F199" s="14">
        <v>45927</v>
      </c>
      <c r="G199" s="15">
        <v>30000000</v>
      </c>
      <c r="H199" s="16">
        <v>24</v>
      </c>
      <c r="I199" s="17">
        <v>21</v>
      </c>
      <c r="J199" s="15">
        <v>5906100</v>
      </c>
      <c r="K199" s="98">
        <f t="shared" si="6"/>
        <v>0</v>
      </c>
      <c r="L199" s="98" t="str">
        <f t="shared" si="7"/>
        <v>Lancar</v>
      </c>
      <c r="M199" s="5" t="str">
        <f t="shared" si="8"/>
        <v>001</v>
      </c>
      <c r="N199" s="55" t="str">
        <f>VLOOKUP(D199,Pinjaman!$E$7:$N$1900,10,FALSE)</f>
        <v>KONSUMTIF</v>
      </c>
      <c r="O199" s="55">
        <f>VLOOKUP(B199,'Data Angt'!$A$5:$H$5810,6,FALSE)</f>
        <v>44</v>
      </c>
      <c r="P199" s="55" t="str">
        <f>VLOOKUP(B199,'Data Angt'!$A$5:$H$5810,8,FALSE)</f>
        <v>Aparatur/Pejabat Negara</v>
      </c>
    </row>
    <row r="200" spans="1:16" x14ac:dyDescent="0.3">
      <c r="A200" s="8">
        <v>193</v>
      </c>
      <c r="B200" s="9" t="s">
        <v>3412</v>
      </c>
      <c r="C200" s="10" t="str">
        <f>VLOOKUP(B200,'Data Angt'!$A$5:$B$5809,2,FALSE)</f>
        <v>A1452</v>
      </c>
      <c r="D200" s="12" t="s">
        <v>15615</v>
      </c>
      <c r="E200" s="13">
        <v>45488</v>
      </c>
      <c r="F200" s="14">
        <v>45912</v>
      </c>
      <c r="G200" s="15">
        <v>35000000</v>
      </c>
      <c r="H200" s="16">
        <v>24</v>
      </c>
      <c r="I200" s="17">
        <v>21</v>
      </c>
      <c r="J200" s="15">
        <v>16369200</v>
      </c>
      <c r="K200" s="98">
        <f t="shared" si="6"/>
        <v>0</v>
      </c>
      <c r="L200" s="98" t="str">
        <f t="shared" si="7"/>
        <v>Lancar</v>
      </c>
      <c r="M200" s="5" t="str">
        <f t="shared" si="8"/>
        <v>001</v>
      </c>
      <c r="N200" s="55" t="str">
        <f>VLOOKUP(D200,Pinjaman!$E$7:$N$1900,10,FALSE)</f>
        <v>KONSUMTIF</v>
      </c>
      <c r="O200" s="55">
        <f>VLOOKUP(B200,'Data Angt'!$A$5:$H$5810,6,FALSE)</f>
        <v>49</v>
      </c>
      <c r="P200" s="55" t="str">
        <f>VLOOKUP(B200,'Data Angt'!$A$5:$H$5810,8,FALSE)</f>
        <v>Tenaga Pengajar</v>
      </c>
    </row>
    <row r="201" spans="1:16" x14ac:dyDescent="0.3">
      <c r="A201" s="8">
        <v>194</v>
      </c>
      <c r="B201" s="9" t="s">
        <v>3448</v>
      </c>
      <c r="C201" s="10" t="str">
        <f>VLOOKUP(B201,'Data Angt'!$A$5:$B$5809,2,FALSE)</f>
        <v>A1470</v>
      </c>
      <c r="D201" s="12" t="s">
        <v>15618</v>
      </c>
      <c r="E201" s="13">
        <v>45558</v>
      </c>
      <c r="F201" s="14">
        <v>45922</v>
      </c>
      <c r="G201" s="15">
        <v>9000000</v>
      </c>
      <c r="H201" s="16">
        <v>15</v>
      </c>
      <c r="I201" s="17">
        <v>24</v>
      </c>
      <c r="J201" s="15">
        <v>1800000</v>
      </c>
      <c r="K201" s="98">
        <f t="shared" ref="K201:K264" si="9">DATEDIF(F201,$K$6,"m")</f>
        <v>0</v>
      </c>
      <c r="L201" s="98" t="str">
        <f t="shared" ref="L201:L264" si="10">IF(K201&lt;=3,"Lancar",IF(K201&lt;=6,"Kurang lancar",IF(K201&lt;=12,"Diragukan","Macet")))</f>
        <v>Lancar</v>
      </c>
      <c r="M201" s="5" t="str">
        <f t="shared" ref="M201:M264" si="11">MID(B201,7,3)</f>
        <v>001</v>
      </c>
      <c r="N201" s="55" t="str">
        <f>VLOOKUP(D201,Pinjaman!$E$7:$N$1900,10,FALSE)</f>
        <v>KESEJAHTERAAN</v>
      </c>
      <c r="O201" s="55">
        <f>VLOOKUP(B201,'Data Angt'!$A$5:$H$5810,6,FALSE)</f>
        <v>63</v>
      </c>
      <c r="P201" s="55" t="str">
        <f>VLOOKUP(B201,'Data Angt'!$A$5:$H$5810,8,FALSE)</f>
        <v>Karyawan</v>
      </c>
    </row>
    <row r="202" spans="1:16" x14ac:dyDescent="0.3">
      <c r="A202" s="8">
        <v>195</v>
      </c>
      <c r="B202" s="9" t="s">
        <v>3463</v>
      </c>
      <c r="C202" s="10" t="str">
        <f>VLOOKUP(B202,'Data Angt'!$A$5:$B$5809,2,FALSE)</f>
        <v>A1477</v>
      </c>
      <c r="D202" s="12" t="s">
        <v>15620</v>
      </c>
      <c r="E202" s="13">
        <v>45673</v>
      </c>
      <c r="F202" s="14">
        <v>45916</v>
      </c>
      <c r="G202" s="15">
        <v>25000000</v>
      </c>
      <c r="H202" s="16">
        <v>18</v>
      </c>
      <c r="I202" s="17">
        <v>21</v>
      </c>
      <c r="J202" s="15">
        <v>13888800</v>
      </c>
      <c r="K202" s="98">
        <f t="shared" si="9"/>
        <v>0</v>
      </c>
      <c r="L202" s="98" t="str">
        <f t="shared" si="10"/>
        <v>Lancar</v>
      </c>
      <c r="M202" s="5" t="str">
        <f t="shared" si="11"/>
        <v>001</v>
      </c>
      <c r="N202" s="55" t="str">
        <f>VLOOKUP(D202,Pinjaman!$E$7:$N$1900,10,FALSE)</f>
        <v>KESEJAHTERAAN</v>
      </c>
      <c r="O202" s="55">
        <f>VLOOKUP(B202,'Data Angt'!$A$5:$H$5810,6,FALSE)</f>
        <v>56</v>
      </c>
      <c r="P202" s="55" t="str">
        <f>VLOOKUP(B202,'Data Angt'!$A$5:$H$5810,8,FALSE)</f>
        <v>Wiraswasta</v>
      </c>
    </row>
    <row r="203" spans="1:16" x14ac:dyDescent="0.3">
      <c r="A203" s="8">
        <v>196</v>
      </c>
      <c r="B203" s="9" t="s">
        <v>3504</v>
      </c>
      <c r="C203" s="10" t="str">
        <f>VLOOKUP(B203,'Data Angt'!$A$5:$B$5809,2,FALSE)</f>
        <v>A1496</v>
      </c>
      <c r="D203" s="12" t="s">
        <v>22369</v>
      </c>
      <c r="E203" s="13">
        <v>45883</v>
      </c>
      <c r="F203" s="14">
        <v>45916</v>
      </c>
      <c r="G203" s="15">
        <v>7000000</v>
      </c>
      <c r="H203" s="16">
        <v>24</v>
      </c>
      <c r="I203" s="17">
        <v>24</v>
      </c>
      <c r="J203" s="15">
        <v>6769900</v>
      </c>
      <c r="K203" s="98">
        <f t="shared" si="9"/>
        <v>0</v>
      </c>
      <c r="L203" s="98" t="str">
        <f t="shared" si="10"/>
        <v>Lancar</v>
      </c>
      <c r="M203" s="5" t="str">
        <f t="shared" si="11"/>
        <v>001</v>
      </c>
      <c r="N203" s="55" t="str">
        <f>VLOOKUP(D203,Pinjaman!$E$7:$N$1900,10,FALSE)</f>
        <v>PENDIDIKAN</v>
      </c>
      <c r="O203" s="55">
        <f>VLOOKUP(B203,'Data Angt'!$A$5:$H$5810,6,FALSE)</f>
        <v>43</v>
      </c>
      <c r="P203" s="55" t="str">
        <f>VLOOKUP(B203,'Data Angt'!$A$5:$H$5810,8,FALSE)</f>
        <v>Aparatur/Pejabat Negara</v>
      </c>
    </row>
    <row r="204" spans="1:16" x14ac:dyDescent="0.3">
      <c r="A204" s="8">
        <v>197</v>
      </c>
      <c r="B204" s="9" t="s">
        <v>3512</v>
      </c>
      <c r="C204" s="10" t="str">
        <f>VLOOKUP(B204,'Data Angt'!$A$5:$B$5809,2,FALSE)</f>
        <v>A1499</v>
      </c>
      <c r="D204" s="12" t="s">
        <v>9979</v>
      </c>
      <c r="E204" s="13">
        <v>45098</v>
      </c>
      <c r="F204" s="14">
        <v>45925</v>
      </c>
      <c r="G204" s="15">
        <v>10000000</v>
      </c>
      <c r="H204" s="16">
        <v>36</v>
      </c>
      <c r="I204" s="17">
        <v>24</v>
      </c>
      <c r="J204" s="15">
        <v>4166200</v>
      </c>
      <c r="K204" s="98">
        <f t="shared" si="9"/>
        <v>0</v>
      </c>
      <c r="L204" s="98" t="str">
        <f t="shared" si="10"/>
        <v>Lancar</v>
      </c>
      <c r="M204" s="5" t="str">
        <f t="shared" si="11"/>
        <v>001</v>
      </c>
      <c r="N204" s="55" t="str">
        <f>VLOOKUP(D204,Pinjaman!$E$7:$N$1900,10,FALSE)</f>
        <v>PENDIDIKAN</v>
      </c>
      <c r="O204" s="55">
        <f>VLOOKUP(B204,'Data Angt'!$A$5:$H$5810,6,FALSE)</f>
        <v>49</v>
      </c>
      <c r="P204" s="55" t="str">
        <f>VLOOKUP(B204,'Data Angt'!$A$5:$H$5810,8,FALSE)</f>
        <v>Lain-Lain</v>
      </c>
    </row>
    <row r="205" spans="1:16" x14ac:dyDescent="0.3">
      <c r="A205" s="8">
        <v>198</v>
      </c>
      <c r="B205" s="9" t="s">
        <v>3518</v>
      </c>
      <c r="C205" s="10" t="str">
        <f>VLOOKUP(B205,'Data Angt'!$A$5:$B$5809,2,FALSE)</f>
        <v>A1502</v>
      </c>
      <c r="D205" s="12" t="s">
        <v>9982</v>
      </c>
      <c r="E205" s="13">
        <v>45149</v>
      </c>
      <c r="F205" s="14">
        <v>45912</v>
      </c>
      <c r="G205" s="15">
        <v>10000000</v>
      </c>
      <c r="H205" s="16">
        <v>36</v>
      </c>
      <c r="I205" s="17">
        <v>24</v>
      </c>
      <c r="J205" s="15">
        <v>3838800</v>
      </c>
      <c r="K205" s="98">
        <f t="shared" si="9"/>
        <v>0</v>
      </c>
      <c r="L205" s="98" t="str">
        <f t="shared" si="10"/>
        <v>Lancar</v>
      </c>
      <c r="M205" s="5" t="str">
        <f t="shared" si="11"/>
        <v>001</v>
      </c>
      <c r="N205" s="55" t="str">
        <f>VLOOKUP(D205,Pinjaman!$E$7:$N$1900,10,FALSE)</f>
        <v>KONSUMTIF</v>
      </c>
      <c r="O205" s="55">
        <f>VLOOKUP(B205,'Data Angt'!$A$5:$H$5810,6,FALSE)</f>
        <v>59</v>
      </c>
      <c r="P205" s="55" t="str">
        <f>VLOOKUP(B205,'Data Angt'!$A$5:$H$5810,8,FALSE)</f>
        <v>Mengurus Rumah Tangga</v>
      </c>
    </row>
    <row r="206" spans="1:16" x14ac:dyDescent="0.3">
      <c r="A206" s="8">
        <v>199</v>
      </c>
      <c r="B206" s="9" t="s">
        <v>3581</v>
      </c>
      <c r="C206" s="10" t="str">
        <f>VLOOKUP(B206,'Data Angt'!$A$5:$B$5809,2,FALSE)</f>
        <v>A1530</v>
      </c>
      <c r="D206" s="12" t="s">
        <v>15623</v>
      </c>
      <c r="E206" s="13">
        <v>45726</v>
      </c>
      <c r="F206" s="14">
        <v>45910</v>
      </c>
      <c r="G206" s="15">
        <v>25000000</v>
      </c>
      <c r="H206" s="16">
        <v>36</v>
      </c>
      <c r="I206" s="17">
        <v>21</v>
      </c>
      <c r="J206" s="15">
        <v>21834700</v>
      </c>
      <c r="K206" s="98">
        <f t="shared" si="9"/>
        <v>0</v>
      </c>
      <c r="L206" s="98" t="str">
        <f t="shared" si="10"/>
        <v>Lancar</v>
      </c>
      <c r="M206" s="5" t="str">
        <f t="shared" si="11"/>
        <v>001</v>
      </c>
      <c r="N206" s="55" t="str">
        <f>VLOOKUP(D206,Pinjaman!$E$7:$N$1900,10,FALSE)</f>
        <v>PRODUKTIF</v>
      </c>
      <c r="O206" s="55">
        <f>VLOOKUP(B206,'Data Angt'!$A$5:$H$5810,6,FALSE)</f>
        <v>38</v>
      </c>
      <c r="P206" s="55" t="str">
        <f>VLOOKUP(B206,'Data Angt'!$A$5:$H$5810,8,FALSE)</f>
        <v>Karyawan</v>
      </c>
    </row>
    <row r="207" spans="1:16" x14ac:dyDescent="0.3">
      <c r="A207" s="8">
        <v>200</v>
      </c>
      <c r="B207" s="9" t="s">
        <v>3625</v>
      </c>
      <c r="C207" s="10" t="str">
        <f>VLOOKUP(B207,'Data Angt'!$A$5:$B$5809,2,FALSE)</f>
        <v>A1553</v>
      </c>
      <c r="D207" s="12" t="s">
        <v>15625</v>
      </c>
      <c r="E207" s="13">
        <v>45772</v>
      </c>
      <c r="F207" s="14">
        <v>45924</v>
      </c>
      <c r="G207" s="15">
        <v>50000000</v>
      </c>
      <c r="H207" s="16">
        <v>18</v>
      </c>
      <c r="I207" s="17">
        <v>21</v>
      </c>
      <c r="J207" s="15">
        <v>37638600</v>
      </c>
      <c r="K207" s="98">
        <f t="shared" si="9"/>
        <v>0</v>
      </c>
      <c r="L207" s="98" t="str">
        <f t="shared" si="10"/>
        <v>Lancar</v>
      </c>
      <c r="M207" s="5" t="str">
        <f t="shared" si="11"/>
        <v>001</v>
      </c>
      <c r="N207" s="55" t="str">
        <f>VLOOKUP(D207,Pinjaman!$E$7:$N$1900,10,FALSE)</f>
        <v>KONSUMTIF</v>
      </c>
      <c r="O207" s="55">
        <f>VLOOKUP(B207,'Data Angt'!$A$5:$H$5810,6,FALSE)</f>
        <v>62</v>
      </c>
      <c r="P207" s="55" t="str">
        <f>VLOOKUP(B207,'Data Angt'!$A$5:$H$5810,8,FALSE)</f>
        <v>Mengurus Rumah Tangga</v>
      </c>
    </row>
    <row r="208" spans="1:16" x14ac:dyDescent="0.3">
      <c r="A208" s="8">
        <v>201</v>
      </c>
      <c r="B208" s="9" t="s">
        <v>3633</v>
      </c>
      <c r="C208" s="10" t="str">
        <f>VLOOKUP(B208,'Data Angt'!$A$5:$B$5809,2,FALSE)</f>
        <v>A1558</v>
      </c>
      <c r="D208" s="12" t="s">
        <v>15628</v>
      </c>
      <c r="E208" s="13">
        <v>45783</v>
      </c>
      <c r="F208" s="14">
        <v>45908</v>
      </c>
      <c r="G208" s="15">
        <v>10000000</v>
      </c>
      <c r="H208" s="16">
        <v>10</v>
      </c>
      <c r="I208" s="17">
        <v>24</v>
      </c>
      <c r="J208" s="15">
        <v>6236000</v>
      </c>
      <c r="K208" s="98">
        <f t="shared" si="9"/>
        <v>0</v>
      </c>
      <c r="L208" s="98" t="str">
        <f t="shared" si="10"/>
        <v>Lancar</v>
      </c>
      <c r="M208" s="5" t="str">
        <f t="shared" si="11"/>
        <v>001</v>
      </c>
      <c r="N208" s="55" t="str">
        <f>VLOOKUP(D208,Pinjaman!$E$7:$N$1900,10,FALSE)</f>
        <v>PRODUKTIF</v>
      </c>
      <c r="O208" s="55">
        <f>VLOOKUP(B208,'Data Angt'!$A$5:$H$5810,6,FALSE)</f>
        <v>59</v>
      </c>
      <c r="P208" s="55" t="str">
        <f>VLOOKUP(B208,'Data Angt'!$A$5:$H$5810,8,FALSE)</f>
        <v>Mengurus Rumah Tangga</v>
      </c>
    </row>
    <row r="209" spans="1:16" x14ac:dyDescent="0.3">
      <c r="A209" s="8">
        <v>202</v>
      </c>
      <c r="B209" s="9" t="s">
        <v>3643</v>
      </c>
      <c r="C209" s="10" t="str">
        <f>VLOOKUP(B209,'Data Angt'!$A$5:$B$5809,2,FALSE)</f>
        <v>A1563</v>
      </c>
      <c r="D209" s="12" t="s">
        <v>15630</v>
      </c>
      <c r="E209" s="13">
        <v>45776</v>
      </c>
      <c r="F209" s="14">
        <v>45926</v>
      </c>
      <c r="G209" s="15">
        <v>45000000</v>
      </c>
      <c r="H209" s="16">
        <v>60</v>
      </c>
      <c r="I209" s="17">
        <v>18</v>
      </c>
      <c r="J209" s="15">
        <v>42589900</v>
      </c>
      <c r="K209" s="98">
        <f t="shared" si="9"/>
        <v>0</v>
      </c>
      <c r="L209" s="98" t="str">
        <f t="shared" si="10"/>
        <v>Lancar</v>
      </c>
      <c r="M209" s="5" t="str">
        <f t="shared" si="11"/>
        <v>001</v>
      </c>
      <c r="N209" s="55" t="str">
        <f>VLOOKUP(D209,Pinjaman!$E$7:$N$1900,10,FALSE)</f>
        <v>KESEJAHTERAAN</v>
      </c>
      <c r="O209" s="55">
        <f>VLOOKUP(B209,'Data Angt'!$A$5:$H$5810,6,FALSE)</f>
        <v>31</v>
      </c>
      <c r="P209" s="55" t="str">
        <f>VLOOKUP(B209,'Data Angt'!$A$5:$H$5810,8,FALSE)</f>
        <v>Karyawan</v>
      </c>
    </row>
    <row r="210" spans="1:16" x14ac:dyDescent="0.3">
      <c r="A210" s="8">
        <v>203</v>
      </c>
      <c r="B210" s="9" t="s">
        <v>3648</v>
      </c>
      <c r="C210" s="10" t="str">
        <f>VLOOKUP(B210,'Data Angt'!$A$5:$B$5809,2,FALSE)</f>
        <v>A1566</v>
      </c>
      <c r="D210" s="12" t="s">
        <v>15632</v>
      </c>
      <c r="E210" s="13">
        <v>45832</v>
      </c>
      <c r="F210" s="14">
        <v>45901</v>
      </c>
      <c r="G210" s="15">
        <v>15000000</v>
      </c>
      <c r="H210" s="16">
        <v>24</v>
      </c>
      <c r="I210" s="17">
        <v>24</v>
      </c>
      <c r="J210" s="15">
        <v>13491000</v>
      </c>
      <c r="K210" s="98">
        <f t="shared" si="9"/>
        <v>0</v>
      </c>
      <c r="L210" s="98" t="str">
        <f t="shared" si="10"/>
        <v>Lancar</v>
      </c>
      <c r="M210" s="5" t="str">
        <f t="shared" si="11"/>
        <v>001</v>
      </c>
      <c r="N210" s="55" t="str">
        <f>VLOOKUP(D210,Pinjaman!$E$7:$N$1900,10,FALSE)</f>
        <v>KONSUMTIF</v>
      </c>
      <c r="O210" s="55">
        <f>VLOOKUP(B210,'Data Angt'!$A$5:$H$5810,6,FALSE)</f>
        <v>41</v>
      </c>
      <c r="P210" s="55" t="str">
        <f>VLOOKUP(B210,'Data Angt'!$A$5:$H$5810,8,FALSE)</f>
        <v>Mengurus Rumah Tangga</v>
      </c>
    </row>
    <row r="211" spans="1:16" x14ac:dyDescent="0.3">
      <c r="A211" s="8">
        <v>204</v>
      </c>
      <c r="B211" s="9" t="s">
        <v>3650</v>
      </c>
      <c r="C211" s="10" t="str">
        <f>VLOOKUP(B211,'Data Angt'!$A$5:$B$5809,2,FALSE)</f>
        <v>A1567</v>
      </c>
      <c r="D211" s="12" t="s">
        <v>15635</v>
      </c>
      <c r="E211" s="13">
        <v>45698</v>
      </c>
      <c r="F211" s="14">
        <v>45901</v>
      </c>
      <c r="G211" s="15">
        <v>3500000</v>
      </c>
      <c r="H211" s="16">
        <v>12</v>
      </c>
      <c r="I211" s="17">
        <v>24</v>
      </c>
      <c r="J211" s="15">
        <v>1559900</v>
      </c>
      <c r="K211" s="98">
        <f t="shared" si="9"/>
        <v>0</v>
      </c>
      <c r="L211" s="98" t="str">
        <f t="shared" si="10"/>
        <v>Lancar</v>
      </c>
      <c r="M211" s="5" t="str">
        <f t="shared" si="11"/>
        <v>001</v>
      </c>
      <c r="N211" s="55" t="str">
        <f>VLOOKUP(D211,Pinjaman!$E$7:$N$1900,10,FALSE)</f>
        <v>PENDIDIKAN</v>
      </c>
      <c r="O211" s="55">
        <f>VLOOKUP(B211,'Data Angt'!$A$5:$H$5810,6,FALSE)</f>
        <v>50</v>
      </c>
      <c r="P211" s="55" t="str">
        <f>VLOOKUP(B211,'Data Angt'!$A$5:$H$5810,8,FALSE)</f>
        <v>Lain-Lain</v>
      </c>
    </row>
    <row r="212" spans="1:16" x14ac:dyDescent="0.3">
      <c r="A212" s="8">
        <v>205</v>
      </c>
      <c r="B212" s="9" t="s">
        <v>3650</v>
      </c>
      <c r="C212" s="10" t="str">
        <f>VLOOKUP(B212,'Data Angt'!$A$5:$B$5809,2,FALSE)</f>
        <v>A1567</v>
      </c>
      <c r="D212" s="12" t="s">
        <v>22378</v>
      </c>
      <c r="E212" s="13">
        <v>45883</v>
      </c>
      <c r="F212" s="14">
        <v>45901</v>
      </c>
      <c r="G212" s="15">
        <v>14500000</v>
      </c>
      <c r="H212" s="16">
        <v>36</v>
      </c>
      <c r="I212" s="17">
        <v>24</v>
      </c>
      <c r="J212" s="15">
        <v>14221100</v>
      </c>
      <c r="K212" s="98">
        <f t="shared" si="9"/>
        <v>0</v>
      </c>
      <c r="L212" s="98" t="str">
        <f t="shared" si="10"/>
        <v>Lancar</v>
      </c>
      <c r="M212" s="5" t="str">
        <f t="shared" si="11"/>
        <v>001</v>
      </c>
      <c r="N212" s="55" t="str">
        <f>VLOOKUP(D212,Pinjaman!$E$7:$N$1900,10,FALSE)</f>
        <v>PENDIDIKAN</v>
      </c>
      <c r="O212" s="55">
        <f>VLOOKUP(B212,'Data Angt'!$A$5:$H$5810,6,FALSE)</f>
        <v>50</v>
      </c>
      <c r="P212" s="55" t="str">
        <f>VLOOKUP(B212,'Data Angt'!$A$5:$H$5810,8,FALSE)</f>
        <v>Lain-Lain</v>
      </c>
    </row>
    <row r="213" spans="1:16" x14ac:dyDescent="0.3">
      <c r="A213" s="8">
        <v>206</v>
      </c>
      <c r="B213" s="9" t="s">
        <v>3664</v>
      </c>
      <c r="C213" s="10" t="str">
        <f>VLOOKUP(B213,'Data Angt'!$A$5:$B$5809,2,FALSE)</f>
        <v>A1574</v>
      </c>
      <c r="D213" s="12" t="s">
        <v>15637</v>
      </c>
      <c r="E213" s="13">
        <v>45360</v>
      </c>
      <c r="F213" s="14">
        <v>45909</v>
      </c>
      <c r="G213" s="15">
        <v>45000000</v>
      </c>
      <c r="H213" s="16">
        <v>36</v>
      </c>
      <c r="I213" s="17">
        <v>21</v>
      </c>
      <c r="J213" s="15">
        <v>25985400</v>
      </c>
      <c r="K213" s="98">
        <f t="shared" si="9"/>
        <v>0</v>
      </c>
      <c r="L213" s="98" t="str">
        <f t="shared" si="10"/>
        <v>Lancar</v>
      </c>
      <c r="M213" s="5" t="str">
        <f t="shared" si="11"/>
        <v>001</v>
      </c>
      <c r="N213" s="55" t="str">
        <f>VLOOKUP(D213,Pinjaman!$E$7:$N$1900,10,FALSE)</f>
        <v>KESEJAHTERAAN</v>
      </c>
      <c r="O213" s="55">
        <f>VLOOKUP(B213,'Data Angt'!$A$5:$H$5810,6,FALSE)</f>
        <v>58</v>
      </c>
      <c r="P213" s="55" t="str">
        <f>VLOOKUP(B213,'Data Angt'!$A$5:$H$5810,8,FALSE)</f>
        <v>Pensiunan</v>
      </c>
    </row>
    <row r="214" spans="1:16" x14ac:dyDescent="0.3">
      <c r="A214" s="8">
        <v>207</v>
      </c>
      <c r="B214" s="9" t="s">
        <v>3668</v>
      </c>
      <c r="C214" s="10" t="str">
        <f>VLOOKUP(B214,'Data Angt'!$A$5:$B$5809,2,FALSE)</f>
        <v>A1576</v>
      </c>
      <c r="D214" s="12" t="s">
        <v>15639</v>
      </c>
      <c r="E214" s="13">
        <v>45735</v>
      </c>
      <c r="F214" s="14">
        <v>45919</v>
      </c>
      <c r="G214" s="15">
        <v>4000000</v>
      </c>
      <c r="H214" s="16">
        <v>10</v>
      </c>
      <c r="I214" s="17">
        <v>24</v>
      </c>
      <c r="J214" s="15">
        <v>1695200</v>
      </c>
      <c r="K214" s="98">
        <f t="shared" si="9"/>
        <v>0</v>
      </c>
      <c r="L214" s="98" t="str">
        <f t="shared" si="10"/>
        <v>Lancar</v>
      </c>
      <c r="M214" s="5" t="str">
        <f t="shared" si="11"/>
        <v>001</v>
      </c>
      <c r="N214" s="55" t="str">
        <f>VLOOKUP(D214,Pinjaman!$E$7:$N$1900,10,FALSE)</f>
        <v>KONSUMTIF</v>
      </c>
      <c r="O214" s="55">
        <f>VLOOKUP(B214,'Data Angt'!$A$5:$H$5810,6,FALSE)</f>
        <v>48</v>
      </c>
      <c r="P214" s="55" t="str">
        <f>VLOOKUP(B214,'Data Angt'!$A$5:$H$5810,8,FALSE)</f>
        <v>Lain-Lain</v>
      </c>
    </row>
    <row r="215" spans="1:16" x14ac:dyDescent="0.3">
      <c r="A215" s="8">
        <v>208</v>
      </c>
      <c r="B215" s="9" t="s">
        <v>3668</v>
      </c>
      <c r="C215" s="10" t="str">
        <f>VLOOKUP(B215,'Data Angt'!$A$5:$B$5809,2,FALSE)</f>
        <v>A1576</v>
      </c>
      <c r="D215" s="12" t="s">
        <v>15642</v>
      </c>
      <c r="E215" s="13">
        <v>45638</v>
      </c>
      <c r="F215" s="14">
        <v>45910</v>
      </c>
      <c r="G215" s="15">
        <v>12000000</v>
      </c>
      <c r="H215" s="16">
        <v>12</v>
      </c>
      <c r="I215" s="17">
        <v>24</v>
      </c>
      <c r="J215" s="15">
        <v>3272100</v>
      </c>
      <c r="K215" s="98">
        <f t="shared" si="9"/>
        <v>0</v>
      </c>
      <c r="L215" s="98" t="str">
        <f t="shared" si="10"/>
        <v>Lancar</v>
      </c>
      <c r="M215" s="5" t="str">
        <f t="shared" si="11"/>
        <v>001</v>
      </c>
      <c r="N215" s="55" t="str">
        <f>VLOOKUP(D215,Pinjaman!$E$7:$N$1900,10,FALSE)</f>
        <v>PRODUKTIF</v>
      </c>
      <c r="O215" s="55">
        <f>VLOOKUP(B215,'Data Angt'!$A$5:$H$5810,6,FALSE)</f>
        <v>48</v>
      </c>
      <c r="P215" s="55" t="str">
        <f>VLOOKUP(B215,'Data Angt'!$A$5:$H$5810,8,FALSE)</f>
        <v>Lain-Lain</v>
      </c>
    </row>
    <row r="216" spans="1:16" x14ac:dyDescent="0.3">
      <c r="A216" s="8">
        <v>209</v>
      </c>
      <c r="B216" s="9" t="s">
        <v>3707</v>
      </c>
      <c r="C216" s="10" t="str">
        <f>VLOOKUP(B216,'Data Angt'!$A$5:$B$5809,2,FALSE)</f>
        <v>A1595</v>
      </c>
      <c r="D216" s="12" t="s">
        <v>22383</v>
      </c>
      <c r="E216" s="13">
        <v>45866</v>
      </c>
      <c r="F216" s="14">
        <v>45923</v>
      </c>
      <c r="G216" s="15">
        <v>10000000</v>
      </c>
      <c r="H216" s="16">
        <v>12</v>
      </c>
      <c r="I216" s="17">
        <v>11.9</v>
      </c>
      <c r="J216" s="15">
        <v>8414400</v>
      </c>
      <c r="K216" s="98">
        <f t="shared" si="9"/>
        <v>0</v>
      </c>
      <c r="L216" s="98" t="str">
        <f t="shared" si="10"/>
        <v>Lancar</v>
      </c>
      <c r="M216" s="5" t="str">
        <f t="shared" si="11"/>
        <v>001</v>
      </c>
      <c r="N216" s="55" t="str">
        <f>VLOOKUP(D216,Pinjaman!$E$7:$N$1900,10,FALSE)</f>
        <v>KONSUMTIF</v>
      </c>
      <c r="O216" s="55">
        <f>VLOOKUP(B216,'Data Angt'!$A$5:$H$5810,6,FALSE)</f>
        <v>39</v>
      </c>
      <c r="P216" s="55" t="str">
        <f>VLOOKUP(B216,'Data Angt'!$A$5:$H$5810,8,FALSE)</f>
        <v>Karyawan</v>
      </c>
    </row>
    <row r="217" spans="1:16" x14ac:dyDescent="0.3">
      <c r="A217" s="8">
        <v>210</v>
      </c>
      <c r="B217" s="9" t="s">
        <v>3743</v>
      </c>
      <c r="C217" s="10" t="str">
        <f>VLOOKUP(B217,'Data Angt'!$A$5:$B$5809,2,FALSE)</f>
        <v>A1610</v>
      </c>
      <c r="D217" s="12" t="s">
        <v>15645</v>
      </c>
      <c r="E217" s="13">
        <v>45831</v>
      </c>
      <c r="F217" s="14">
        <v>45926</v>
      </c>
      <c r="G217" s="15">
        <v>10000000</v>
      </c>
      <c r="H217" s="16">
        <v>18</v>
      </c>
      <c r="I217" s="17">
        <v>24</v>
      </c>
      <c r="J217" s="15">
        <v>9056500</v>
      </c>
      <c r="K217" s="98">
        <f t="shared" si="9"/>
        <v>0</v>
      </c>
      <c r="L217" s="98" t="str">
        <f t="shared" si="10"/>
        <v>Lancar</v>
      </c>
      <c r="M217" s="5" t="str">
        <f t="shared" si="11"/>
        <v>001</v>
      </c>
      <c r="N217" s="55" t="str">
        <f>VLOOKUP(D217,Pinjaman!$E$7:$N$1900,10,FALSE)</f>
        <v>PENDIDIKAN</v>
      </c>
      <c r="O217" s="55">
        <f>VLOOKUP(B217,'Data Angt'!$A$5:$H$5810,6,FALSE)</f>
        <v>49</v>
      </c>
      <c r="P217" s="55" t="str">
        <f>VLOOKUP(B217,'Data Angt'!$A$5:$H$5810,8,FALSE)</f>
        <v>Wiraswasta</v>
      </c>
    </row>
    <row r="218" spans="1:16" x14ac:dyDescent="0.3">
      <c r="A218" s="8">
        <v>211</v>
      </c>
      <c r="B218" s="9" t="s">
        <v>3761</v>
      </c>
      <c r="C218" s="10" t="str">
        <f>VLOOKUP(B218,'Data Angt'!$A$5:$B$5809,2,FALSE)</f>
        <v>A1618</v>
      </c>
      <c r="D218" s="12" t="s">
        <v>15647</v>
      </c>
      <c r="E218" s="13">
        <v>45499</v>
      </c>
      <c r="F218" s="14">
        <v>45915</v>
      </c>
      <c r="G218" s="15">
        <v>110000000</v>
      </c>
      <c r="H218" s="16">
        <v>84</v>
      </c>
      <c r="I218" s="17">
        <v>11.4</v>
      </c>
      <c r="J218" s="15">
        <v>97162900</v>
      </c>
      <c r="K218" s="98">
        <f t="shared" si="9"/>
        <v>0</v>
      </c>
      <c r="L218" s="98" t="str">
        <f t="shared" si="10"/>
        <v>Lancar</v>
      </c>
      <c r="M218" s="5" t="str">
        <f t="shared" si="11"/>
        <v>001</v>
      </c>
      <c r="N218" s="55" t="str">
        <f>VLOOKUP(D218,Pinjaman!$E$7:$N$1900,10,FALSE)</f>
        <v>KESEJAHTERAAN</v>
      </c>
      <c r="O218" s="55">
        <f>VLOOKUP(B218,'Data Angt'!$A$5:$H$5810,6,FALSE)</f>
        <v>43</v>
      </c>
      <c r="P218" s="55" t="str">
        <f>VLOOKUP(B218,'Data Angt'!$A$5:$H$5810,8,FALSE)</f>
        <v>Mengurus Rumah Tangga</v>
      </c>
    </row>
    <row r="219" spans="1:16" x14ac:dyDescent="0.3">
      <c r="A219" s="8">
        <v>212</v>
      </c>
      <c r="B219" s="9" t="s">
        <v>3791</v>
      </c>
      <c r="C219" s="10" t="str">
        <f>VLOOKUP(B219,'Data Angt'!$A$5:$B$5809,2,FALSE)</f>
        <v>A1633</v>
      </c>
      <c r="D219" s="12" t="s">
        <v>9986</v>
      </c>
      <c r="E219" s="13">
        <v>43608</v>
      </c>
      <c r="F219" s="14">
        <v>43979</v>
      </c>
      <c r="G219" s="15">
        <v>220000000</v>
      </c>
      <c r="H219" s="16">
        <v>84</v>
      </c>
      <c r="I219" s="17">
        <v>2.4</v>
      </c>
      <c r="J219" s="15">
        <v>195703600</v>
      </c>
      <c r="K219" s="98">
        <f t="shared" si="9"/>
        <v>64</v>
      </c>
      <c r="L219" s="98" t="str">
        <f t="shared" si="10"/>
        <v>Macet</v>
      </c>
      <c r="M219" s="5" t="str">
        <f t="shared" si="11"/>
        <v>001</v>
      </c>
      <c r="N219" s="55" t="str">
        <f>VLOOKUP(D219,Pinjaman!$E$7:$N$1900,10,FALSE)</f>
        <v>KESEJAHTERAAN</v>
      </c>
      <c r="O219" s="55">
        <f>VLOOKUP(B219,'Data Angt'!$A$5:$H$5810,6,FALSE)</f>
        <v>36</v>
      </c>
      <c r="P219" s="55" t="str">
        <f>VLOOKUP(B219,'Data Angt'!$A$5:$H$5810,8,FALSE)</f>
        <v>Karyawan</v>
      </c>
    </row>
    <row r="220" spans="1:16" x14ac:dyDescent="0.3">
      <c r="A220" s="8">
        <v>213</v>
      </c>
      <c r="B220" s="9" t="s">
        <v>3806</v>
      </c>
      <c r="C220" s="10" t="str">
        <f>VLOOKUP(B220,'Data Angt'!$A$5:$B$5809,2,FALSE)</f>
        <v>A1639</v>
      </c>
      <c r="D220" s="12" t="s">
        <v>9988</v>
      </c>
      <c r="E220" s="13">
        <v>45118</v>
      </c>
      <c r="F220" s="14">
        <v>45801</v>
      </c>
      <c r="G220" s="15">
        <v>55000000</v>
      </c>
      <c r="H220" s="16">
        <v>60</v>
      </c>
      <c r="I220" s="17">
        <v>6</v>
      </c>
      <c r="J220" s="15">
        <v>36714600</v>
      </c>
      <c r="K220" s="98">
        <f t="shared" si="9"/>
        <v>4</v>
      </c>
      <c r="L220" s="98" t="str">
        <f t="shared" si="10"/>
        <v>Kurang lancar</v>
      </c>
      <c r="M220" s="5" t="str">
        <f t="shared" si="11"/>
        <v>001</v>
      </c>
      <c r="N220" s="55" t="str">
        <f>VLOOKUP(D220,Pinjaman!$E$7:$N$1900,10,FALSE)</f>
        <v>PENDIDIKAN</v>
      </c>
      <c r="O220" s="55">
        <f>VLOOKUP(B220,'Data Angt'!$A$5:$H$5810,6,FALSE)</f>
        <v>42</v>
      </c>
      <c r="P220" s="55" t="str">
        <f>VLOOKUP(B220,'Data Angt'!$A$5:$H$5810,8,FALSE)</f>
        <v>Karyawan</v>
      </c>
    </row>
    <row r="221" spans="1:16" x14ac:dyDescent="0.3">
      <c r="A221" s="8">
        <v>214</v>
      </c>
      <c r="B221" s="9" t="s">
        <v>3838</v>
      </c>
      <c r="C221" s="10" t="str">
        <f>VLOOKUP(B221,'Data Angt'!$A$5:$B$5809,2,FALSE)</f>
        <v>A1658</v>
      </c>
      <c r="D221" s="12" t="s">
        <v>15649</v>
      </c>
      <c r="E221" s="13">
        <v>45497</v>
      </c>
      <c r="F221" s="14">
        <v>45920</v>
      </c>
      <c r="G221" s="15">
        <v>49000000</v>
      </c>
      <c r="H221" s="16">
        <v>48</v>
      </c>
      <c r="I221" s="17">
        <v>21</v>
      </c>
      <c r="J221" s="15">
        <v>38633900</v>
      </c>
      <c r="K221" s="98">
        <f t="shared" si="9"/>
        <v>0</v>
      </c>
      <c r="L221" s="98" t="str">
        <f t="shared" si="10"/>
        <v>Lancar</v>
      </c>
      <c r="M221" s="5" t="str">
        <f t="shared" si="11"/>
        <v>001</v>
      </c>
      <c r="N221" s="55" t="str">
        <f>VLOOKUP(D221,Pinjaman!$E$7:$N$1900,10,FALSE)</f>
        <v>PENDIDIKAN</v>
      </c>
      <c r="O221" s="55">
        <f>VLOOKUP(B221,'Data Angt'!$A$5:$H$5810,6,FALSE)</f>
        <v>47</v>
      </c>
      <c r="P221" s="55" t="str">
        <f>VLOOKUP(B221,'Data Angt'!$A$5:$H$5810,8,FALSE)</f>
        <v>Aparatur/Pejabat Negara</v>
      </c>
    </row>
    <row r="222" spans="1:16" x14ac:dyDescent="0.3">
      <c r="A222" s="8">
        <v>215</v>
      </c>
      <c r="B222" s="9" t="s">
        <v>3843</v>
      </c>
      <c r="C222" s="10" t="str">
        <f>VLOOKUP(B222,'Data Angt'!$A$5:$B$5809,2,FALSE)</f>
        <v>A1660</v>
      </c>
      <c r="D222" s="12" t="s">
        <v>22389</v>
      </c>
      <c r="E222" s="13">
        <v>45920</v>
      </c>
      <c r="F222" s="14">
        <v>45920</v>
      </c>
      <c r="G222" s="15">
        <v>3000000</v>
      </c>
      <c r="H222" s="16">
        <v>15</v>
      </c>
      <c r="I222" s="17">
        <v>24</v>
      </c>
      <c r="J222" s="15">
        <v>3000000</v>
      </c>
      <c r="K222" s="98">
        <f t="shared" si="9"/>
        <v>0</v>
      </c>
      <c r="L222" s="98" t="str">
        <f t="shared" si="10"/>
        <v>Lancar</v>
      </c>
      <c r="M222" s="5" t="str">
        <f t="shared" si="11"/>
        <v>001</v>
      </c>
      <c r="N222" s="55" t="str">
        <f>VLOOKUP(D222,Pinjaman!$E$7:$N$1900,10,FALSE)</f>
        <v>PRODUKTIF</v>
      </c>
      <c r="O222" s="55">
        <f>VLOOKUP(B222,'Data Angt'!$A$5:$H$5810,6,FALSE)</f>
        <v>57</v>
      </c>
      <c r="P222" s="55" t="str">
        <f>VLOOKUP(B222,'Data Angt'!$A$5:$H$5810,8,FALSE)</f>
        <v>Karyawan</v>
      </c>
    </row>
    <row r="223" spans="1:16" x14ac:dyDescent="0.3">
      <c r="A223" s="8">
        <v>216</v>
      </c>
      <c r="B223" s="9" t="s">
        <v>3869</v>
      </c>
      <c r="C223" s="10" t="str">
        <f>VLOOKUP(B223,'Data Angt'!$A$5:$B$5809,2,FALSE)</f>
        <v>A1672</v>
      </c>
      <c r="D223" s="12" t="s">
        <v>15652</v>
      </c>
      <c r="E223" s="13">
        <v>45782</v>
      </c>
      <c r="F223" s="14">
        <v>45908</v>
      </c>
      <c r="G223" s="15">
        <v>4300000</v>
      </c>
      <c r="H223" s="16">
        <v>12</v>
      </c>
      <c r="I223" s="17">
        <v>12</v>
      </c>
      <c r="J223" s="15">
        <v>2923300</v>
      </c>
      <c r="K223" s="98">
        <f t="shared" si="9"/>
        <v>0</v>
      </c>
      <c r="L223" s="98" t="str">
        <f t="shared" si="10"/>
        <v>Lancar</v>
      </c>
      <c r="M223" s="5" t="str">
        <f t="shared" si="11"/>
        <v>001</v>
      </c>
      <c r="N223" s="55" t="str">
        <f>VLOOKUP(D223,Pinjaman!$E$7:$N$1900,10,FALSE)</f>
        <v>KONSUMTIF</v>
      </c>
      <c r="O223" s="55">
        <f>VLOOKUP(B223,'Data Angt'!$A$5:$H$5810,6,FALSE)</f>
        <v>34</v>
      </c>
      <c r="P223" s="55" t="str">
        <f>VLOOKUP(B223,'Data Angt'!$A$5:$H$5810,8,FALSE)</f>
        <v>Karyawan</v>
      </c>
    </row>
    <row r="224" spans="1:16" x14ac:dyDescent="0.3">
      <c r="A224" s="8">
        <v>217</v>
      </c>
      <c r="B224" s="9" t="s">
        <v>3869</v>
      </c>
      <c r="C224" s="10" t="str">
        <f>VLOOKUP(B224,'Data Angt'!$A$5:$B$5809,2,FALSE)</f>
        <v>A1672</v>
      </c>
      <c r="D224" s="12" t="s">
        <v>15654</v>
      </c>
      <c r="E224" s="13">
        <v>45335</v>
      </c>
      <c r="F224" s="14">
        <v>45908</v>
      </c>
      <c r="G224" s="15">
        <v>37000000</v>
      </c>
      <c r="H224" s="16">
        <v>24</v>
      </c>
      <c r="I224" s="17">
        <v>21</v>
      </c>
      <c r="J224" s="15">
        <v>7707700</v>
      </c>
      <c r="K224" s="98">
        <f t="shared" si="9"/>
        <v>0</v>
      </c>
      <c r="L224" s="98" t="str">
        <f t="shared" si="10"/>
        <v>Lancar</v>
      </c>
      <c r="M224" s="5" t="str">
        <f t="shared" si="11"/>
        <v>001</v>
      </c>
      <c r="N224" s="55" t="str">
        <f>VLOOKUP(D224,Pinjaman!$E$7:$N$1900,10,FALSE)</f>
        <v>KONSUMTIF</v>
      </c>
      <c r="O224" s="55">
        <f>VLOOKUP(B224,'Data Angt'!$A$5:$H$5810,6,FALSE)</f>
        <v>34</v>
      </c>
      <c r="P224" s="55" t="str">
        <f>VLOOKUP(B224,'Data Angt'!$A$5:$H$5810,8,FALSE)</f>
        <v>Karyawan</v>
      </c>
    </row>
    <row r="225" spans="1:16" x14ac:dyDescent="0.3">
      <c r="A225" s="8">
        <v>218</v>
      </c>
      <c r="B225" s="9" t="s">
        <v>3928</v>
      </c>
      <c r="C225" s="10" t="str">
        <f>VLOOKUP(B225,'Data Angt'!$A$5:$B$5809,2,FALSE)</f>
        <v>A1698</v>
      </c>
      <c r="D225" s="12" t="s">
        <v>9991</v>
      </c>
      <c r="E225" s="13">
        <v>43789</v>
      </c>
      <c r="F225" s="14">
        <v>45863</v>
      </c>
      <c r="G225" s="15">
        <v>168000000</v>
      </c>
      <c r="H225" s="16">
        <v>48</v>
      </c>
      <c r="I225" s="17">
        <v>21</v>
      </c>
      <c r="J225" s="15">
        <v>127278850</v>
      </c>
      <c r="K225" s="98">
        <f t="shared" si="9"/>
        <v>2</v>
      </c>
      <c r="L225" s="98" t="str">
        <f t="shared" si="10"/>
        <v>Lancar</v>
      </c>
      <c r="M225" s="5" t="str">
        <f t="shared" si="11"/>
        <v>001</v>
      </c>
      <c r="N225" s="55" t="str">
        <f>VLOOKUP(D225,Pinjaman!$E$7:$N$1900,10,FALSE)</f>
        <v>KONSUMTIF</v>
      </c>
      <c r="O225" s="55">
        <f>VLOOKUP(B225,'Data Angt'!$A$5:$H$5810,6,FALSE)</f>
        <v>50</v>
      </c>
      <c r="P225" s="55" t="str">
        <f>VLOOKUP(B225,'Data Angt'!$A$5:$H$5810,8,FALSE)</f>
        <v>Wiraswasta</v>
      </c>
    </row>
    <row r="226" spans="1:16" x14ac:dyDescent="0.3">
      <c r="A226" s="8">
        <v>219</v>
      </c>
      <c r="B226" s="9" t="s">
        <v>3934</v>
      </c>
      <c r="C226" s="10" t="str">
        <f>VLOOKUP(B226,'Data Angt'!$A$5:$B$5809,2,FALSE)</f>
        <v>A1701</v>
      </c>
      <c r="D226" s="12" t="s">
        <v>15657</v>
      </c>
      <c r="E226" s="13">
        <v>45796</v>
      </c>
      <c r="F226" s="14">
        <v>45926</v>
      </c>
      <c r="G226" s="15">
        <v>10000000</v>
      </c>
      <c r="H226" s="16">
        <v>24</v>
      </c>
      <c r="I226" s="17">
        <v>24</v>
      </c>
      <c r="J226" s="15">
        <v>8645000</v>
      </c>
      <c r="K226" s="98">
        <f t="shared" si="9"/>
        <v>0</v>
      </c>
      <c r="L226" s="98" t="str">
        <f t="shared" si="10"/>
        <v>Lancar</v>
      </c>
      <c r="M226" s="5" t="str">
        <f t="shared" si="11"/>
        <v>001</v>
      </c>
      <c r="N226" s="55" t="str">
        <f>VLOOKUP(D226,Pinjaman!$E$7:$N$1900,10,FALSE)</f>
        <v>PENDIDIKAN</v>
      </c>
      <c r="O226" s="55">
        <f>VLOOKUP(B226,'Data Angt'!$A$5:$H$5810,6,FALSE)</f>
        <v>47</v>
      </c>
      <c r="P226" s="55" t="str">
        <f>VLOOKUP(B226,'Data Angt'!$A$5:$H$5810,8,FALSE)</f>
        <v>Tenaga Pengajar</v>
      </c>
    </row>
    <row r="227" spans="1:16" x14ac:dyDescent="0.3">
      <c r="A227" s="8">
        <v>220</v>
      </c>
      <c r="B227" s="9" t="s">
        <v>3940</v>
      </c>
      <c r="C227" s="10" t="str">
        <f>VLOOKUP(B227,'Data Angt'!$A$5:$B$5809,2,FALSE)</f>
        <v>A1703</v>
      </c>
      <c r="D227" s="12" t="s">
        <v>15660</v>
      </c>
      <c r="E227" s="13">
        <v>45611</v>
      </c>
      <c r="F227" s="14">
        <v>45917</v>
      </c>
      <c r="G227" s="15">
        <v>6000000</v>
      </c>
      <c r="H227" s="16">
        <v>20</v>
      </c>
      <c r="I227" s="17">
        <v>24</v>
      </c>
      <c r="J227" s="15">
        <v>3295900</v>
      </c>
      <c r="K227" s="98">
        <f t="shared" si="9"/>
        <v>0</v>
      </c>
      <c r="L227" s="98" t="str">
        <f t="shared" si="10"/>
        <v>Lancar</v>
      </c>
      <c r="M227" s="5" t="str">
        <f t="shared" si="11"/>
        <v>001</v>
      </c>
      <c r="N227" s="55" t="str">
        <f>VLOOKUP(D227,Pinjaman!$E$7:$N$1900,10,FALSE)</f>
        <v>PRODUKTIF</v>
      </c>
      <c r="O227" s="55">
        <f>VLOOKUP(B227,'Data Angt'!$A$5:$H$5810,6,FALSE)</f>
        <v>43</v>
      </c>
      <c r="P227" s="55" t="str">
        <f>VLOOKUP(B227,'Data Angt'!$A$5:$H$5810,8,FALSE)</f>
        <v>Tenaga Pengajar</v>
      </c>
    </row>
    <row r="228" spans="1:16" x14ac:dyDescent="0.3">
      <c r="A228" s="8">
        <v>221</v>
      </c>
      <c r="B228" s="9" t="s">
        <v>3957</v>
      </c>
      <c r="C228" s="10" t="str">
        <f>VLOOKUP(B228,'Data Angt'!$A$5:$B$5809,2,FALSE)</f>
        <v>A1709</v>
      </c>
      <c r="D228" s="12" t="s">
        <v>15663</v>
      </c>
      <c r="E228" s="13">
        <v>45668</v>
      </c>
      <c r="F228" s="14">
        <v>45869</v>
      </c>
      <c r="G228" s="15">
        <v>10000000</v>
      </c>
      <c r="H228" s="16">
        <v>36</v>
      </c>
      <c r="I228" s="17">
        <v>24</v>
      </c>
      <c r="J228" s="15">
        <v>9411300</v>
      </c>
      <c r="K228" s="98">
        <f t="shared" si="9"/>
        <v>1</v>
      </c>
      <c r="L228" s="98" t="str">
        <f t="shared" si="10"/>
        <v>Lancar</v>
      </c>
      <c r="M228" s="5" t="str">
        <f t="shared" si="11"/>
        <v>001</v>
      </c>
      <c r="N228" s="55" t="str">
        <f>VLOOKUP(D228,Pinjaman!$E$7:$N$1900,10,FALSE)</f>
        <v>PRODUKTIF</v>
      </c>
      <c r="O228" s="55">
        <f>VLOOKUP(B228,'Data Angt'!$A$5:$H$5810,6,FALSE)</f>
        <v>55</v>
      </c>
      <c r="P228" s="55" t="str">
        <f>VLOOKUP(B228,'Data Angt'!$A$5:$H$5810,8,FALSE)</f>
        <v>Karyawan</v>
      </c>
    </row>
    <row r="229" spans="1:16" x14ac:dyDescent="0.3">
      <c r="A229" s="8">
        <v>222</v>
      </c>
      <c r="B229" s="9" t="s">
        <v>3973</v>
      </c>
      <c r="C229" s="10" t="str">
        <f>VLOOKUP(B229,'Data Angt'!$A$5:$B$5809,2,FALSE)</f>
        <v>A1716</v>
      </c>
      <c r="D229" s="12" t="s">
        <v>15665</v>
      </c>
      <c r="E229" s="13">
        <v>45507</v>
      </c>
      <c r="F229" s="14">
        <v>45909</v>
      </c>
      <c r="G229" s="15">
        <v>11500000</v>
      </c>
      <c r="H229" s="16">
        <v>18</v>
      </c>
      <c r="I229" s="17">
        <v>24</v>
      </c>
      <c r="J229" s="15">
        <v>3706800</v>
      </c>
      <c r="K229" s="98">
        <f t="shared" si="9"/>
        <v>0</v>
      </c>
      <c r="L229" s="98" t="str">
        <f t="shared" si="10"/>
        <v>Lancar</v>
      </c>
      <c r="M229" s="5" t="str">
        <f t="shared" si="11"/>
        <v>001</v>
      </c>
      <c r="N229" s="55" t="str">
        <f>VLOOKUP(D229,Pinjaman!$E$7:$N$1900,10,FALSE)</f>
        <v>KONSUMTIF</v>
      </c>
      <c r="O229" s="55">
        <f>VLOOKUP(B229,'Data Angt'!$A$5:$H$5810,6,FALSE)</f>
        <v>44</v>
      </c>
      <c r="P229" s="55" t="str">
        <f>VLOOKUP(B229,'Data Angt'!$A$5:$H$5810,8,FALSE)</f>
        <v>Wiraswasta</v>
      </c>
    </row>
    <row r="230" spans="1:16" x14ac:dyDescent="0.3">
      <c r="A230" s="8">
        <v>223</v>
      </c>
      <c r="B230" s="9" t="s">
        <v>3976</v>
      </c>
      <c r="C230" s="10" t="str">
        <f>VLOOKUP(B230,'Data Angt'!$A$5:$B$5809,2,FALSE)</f>
        <v>A1718</v>
      </c>
      <c r="D230" s="12" t="s">
        <v>15668</v>
      </c>
      <c r="E230" s="13">
        <v>45729</v>
      </c>
      <c r="F230" s="14">
        <v>45912</v>
      </c>
      <c r="G230" s="15">
        <v>28500000</v>
      </c>
      <c r="H230" s="16">
        <v>36</v>
      </c>
      <c r="I230" s="17">
        <v>21</v>
      </c>
      <c r="J230" s="15">
        <v>24895500</v>
      </c>
      <c r="K230" s="98">
        <f t="shared" si="9"/>
        <v>0</v>
      </c>
      <c r="L230" s="98" t="str">
        <f t="shared" si="10"/>
        <v>Lancar</v>
      </c>
      <c r="M230" s="5" t="str">
        <f t="shared" si="11"/>
        <v>001</v>
      </c>
      <c r="N230" s="55" t="str">
        <f>VLOOKUP(D230,Pinjaman!$E$7:$N$1900,10,FALSE)</f>
        <v>KONSUMTIF</v>
      </c>
      <c r="O230" s="55">
        <f>VLOOKUP(B230,'Data Angt'!$A$5:$H$5810,6,FALSE)</f>
        <v>31</v>
      </c>
      <c r="P230" s="55" t="str">
        <f>VLOOKUP(B230,'Data Angt'!$A$5:$H$5810,8,FALSE)</f>
        <v>Karyawan</v>
      </c>
    </row>
    <row r="231" spans="1:16" x14ac:dyDescent="0.3">
      <c r="A231" s="8">
        <v>224</v>
      </c>
      <c r="B231" s="9" t="s">
        <v>3976</v>
      </c>
      <c r="C231" s="10" t="str">
        <f>VLOOKUP(B231,'Data Angt'!$A$5:$B$5809,2,FALSE)</f>
        <v>A1718</v>
      </c>
      <c r="D231" s="12" t="s">
        <v>22394</v>
      </c>
      <c r="E231" s="13">
        <v>45901</v>
      </c>
      <c r="F231" s="14">
        <v>45901</v>
      </c>
      <c r="G231" s="15">
        <v>5000000</v>
      </c>
      <c r="H231" s="16">
        <v>12</v>
      </c>
      <c r="I231" s="17">
        <v>24</v>
      </c>
      <c r="J231" s="15">
        <v>5000000</v>
      </c>
      <c r="K231" s="98">
        <f t="shared" si="9"/>
        <v>0</v>
      </c>
      <c r="L231" s="98" t="str">
        <f t="shared" si="10"/>
        <v>Lancar</v>
      </c>
      <c r="M231" s="5" t="str">
        <f t="shared" si="11"/>
        <v>001</v>
      </c>
      <c r="N231" s="55" t="str">
        <f>VLOOKUP(D231,Pinjaman!$E$7:$N$1900,10,FALSE)</f>
        <v>KESEJAHTERAAN</v>
      </c>
      <c r="O231" s="55">
        <f>VLOOKUP(B231,'Data Angt'!$A$5:$H$5810,6,FALSE)</f>
        <v>31</v>
      </c>
      <c r="P231" s="55" t="str">
        <f>VLOOKUP(B231,'Data Angt'!$A$5:$H$5810,8,FALSE)</f>
        <v>Karyawan</v>
      </c>
    </row>
    <row r="232" spans="1:16" x14ac:dyDescent="0.3">
      <c r="A232" s="8">
        <v>225</v>
      </c>
      <c r="B232" s="9" t="s">
        <v>4033</v>
      </c>
      <c r="C232" s="10" t="str">
        <f>VLOOKUP(B232,'Data Angt'!$A$5:$B$5809,2,FALSE)</f>
        <v>A1747</v>
      </c>
      <c r="D232" s="12" t="s">
        <v>15670</v>
      </c>
      <c r="E232" s="13">
        <v>45476</v>
      </c>
      <c r="F232" s="14">
        <v>45925</v>
      </c>
      <c r="G232" s="15">
        <v>150000000</v>
      </c>
      <c r="H232" s="16">
        <v>60</v>
      </c>
      <c r="I232" s="17">
        <v>9</v>
      </c>
      <c r="J232" s="15">
        <v>120758600</v>
      </c>
      <c r="K232" s="98">
        <f t="shared" si="9"/>
        <v>0</v>
      </c>
      <c r="L232" s="98" t="str">
        <f t="shared" si="10"/>
        <v>Lancar</v>
      </c>
      <c r="M232" s="5" t="str">
        <f t="shared" si="11"/>
        <v>001</v>
      </c>
      <c r="N232" s="55" t="str">
        <f>VLOOKUP(D232,Pinjaman!$E$7:$N$1900,10,FALSE)</f>
        <v>KONSUMTIF</v>
      </c>
      <c r="O232" s="55">
        <f>VLOOKUP(B232,'Data Angt'!$A$5:$H$5810,6,FALSE)</f>
        <v>38</v>
      </c>
      <c r="P232" s="55" t="str">
        <f>VLOOKUP(B232,'Data Angt'!$A$5:$H$5810,8,FALSE)</f>
        <v>Karyawan</v>
      </c>
    </row>
    <row r="233" spans="1:16" x14ac:dyDescent="0.3">
      <c r="A233" s="8">
        <v>226</v>
      </c>
      <c r="B233" s="9" t="s">
        <v>4045</v>
      </c>
      <c r="C233" s="10" t="str">
        <f>VLOOKUP(B233,'Data Angt'!$A$5:$B$5809,2,FALSE)</f>
        <v>A1752</v>
      </c>
      <c r="D233" s="12" t="s">
        <v>9994</v>
      </c>
      <c r="E233" s="13">
        <v>44848</v>
      </c>
      <c r="F233" s="14">
        <v>45916</v>
      </c>
      <c r="G233" s="15">
        <v>25000000</v>
      </c>
      <c r="H233" s="16">
        <v>36</v>
      </c>
      <c r="I233" s="17">
        <v>21</v>
      </c>
      <c r="J233" s="15">
        <v>692500</v>
      </c>
      <c r="K233" s="98">
        <f t="shared" si="9"/>
        <v>0</v>
      </c>
      <c r="L233" s="98" t="str">
        <f t="shared" si="10"/>
        <v>Lancar</v>
      </c>
      <c r="M233" s="5" t="str">
        <f t="shared" si="11"/>
        <v>001</v>
      </c>
      <c r="N233" s="55" t="str">
        <f>VLOOKUP(D233,Pinjaman!$E$7:$N$1900,10,FALSE)</f>
        <v>KESEJAHTERAAN</v>
      </c>
      <c r="O233" s="55">
        <f>VLOOKUP(B233,'Data Angt'!$A$5:$H$5810,6,FALSE)</f>
        <v>34</v>
      </c>
      <c r="P233" s="55" t="str">
        <f>VLOOKUP(B233,'Data Angt'!$A$5:$H$5810,8,FALSE)</f>
        <v>Karyawan</v>
      </c>
    </row>
    <row r="234" spans="1:16" x14ac:dyDescent="0.3">
      <c r="A234" s="8">
        <v>227</v>
      </c>
      <c r="B234" s="9" t="s">
        <v>12295</v>
      </c>
      <c r="C234" s="10" t="str">
        <f>VLOOKUP(B234,'Data Angt'!$A$5:$B$5809,2,FALSE)</f>
        <v>A1753</v>
      </c>
      <c r="D234" s="12" t="s">
        <v>15672</v>
      </c>
      <c r="E234" s="13">
        <v>45730</v>
      </c>
      <c r="F234" s="14">
        <v>45915</v>
      </c>
      <c r="G234" s="15">
        <v>4000000</v>
      </c>
      <c r="H234" s="16">
        <v>12</v>
      </c>
      <c r="I234" s="17">
        <v>24</v>
      </c>
      <c r="J234" s="15">
        <v>2125000</v>
      </c>
      <c r="K234" s="98">
        <f t="shared" si="9"/>
        <v>0</v>
      </c>
      <c r="L234" s="98" t="str">
        <f t="shared" si="10"/>
        <v>Lancar</v>
      </c>
      <c r="M234" s="5" t="str">
        <f t="shared" si="11"/>
        <v>001</v>
      </c>
      <c r="N234" s="55" t="str">
        <f>VLOOKUP(D234,Pinjaman!$E$7:$N$1900,10,FALSE)</f>
        <v>PRODUKTIF</v>
      </c>
      <c r="O234" s="55">
        <f>VLOOKUP(B234,'Data Angt'!$A$5:$H$5810,6,FALSE)</f>
        <v>35</v>
      </c>
      <c r="P234" s="55" t="str">
        <f>VLOOKUP(B234,'Data Angt'!$A$5:$H$5810,8,FALSE)</f>
        <v>Karyawan</v>
      </c>
    </row>
    <row r="235" spans="1:16" x14ac:dyDescent="0.3">
      <c r="A235" s="8">
        <v>228</v>
      </c>
      <c r="B235" s="9" t="s">
        <v>4056</v>
      </c>
      <c r="C235" s="10" t="str">
        <f>VLOOKUP(B235,'Data Angt'!$A$5:$B$5809,2,FALSE)</f>
        <v>A1759</v>
      </c>
      <c r="D235" s="12" t="s">
        <v>22400</v>
      </c>
      <c r="E235" s="13">
        <v>45924</v>
      </c>
      <c r="F235" s="14">
        <v>45924</v>
      </c>
      <c r="G235" s="15">
        <v>3000000</v>
      </c>
      <c r="H235" s="16">
        <v>12</v>
      </c>
      <c r="I235" s="17">
        <v>24</v>
      </c>
      <c r="J235" s="15">
        <v>3000000</v>
      </c>
      <c r="K235" s="98">
        <f t="shared" si="9"/>
        <v>0</v>
      </c>
      <c r="L235" s="98" t="str">
        <f t="shared" si="10"/>
        <v>Lancar</v>
      </c>
      <c r="M235" s="5" t="str">
        <f t="shared" si="11"/>
        <v>001</v>
      </c>
      <c r="N235" s="55" t="str">
        <f>VLOOKUP(D235,Pinjaman!$E$7:$N$1900,10,FALSE)</f>
        <v>PRODUKTIF</v>
      </c>
      <c r="O235" s="55">
        <f>VLOOKUP(B235,'Data Angt'!$A$5:$H$5810,6,FALSE)</f>
        <v>42</v>
      </c>
      <c r="P235" s="55" t="str">
        <f>VLOOKUP(B235,'Data Angt'!$A$5:$H$5810,8,FALSE)</f>
        <v>Karyawan</v>
      </c>
    </row>
    <row r="236" spans="1:16" x14ac:dyDescent="0.3">
      <c r="A236" s="8">
        <v>229</v>
      </c>
      <c r="B236" s="9" t="s">
        <v>4068</v>
      </c>
      <c r="C236" s="10" t="str">
        <f>VLOOKUP(B236,'Data Angt'!$A$5:$B$5809,2,FALSE)</f>
        <v>A1764</v>
      </c>
      <c r="D236" s="12" t="s">
        <v>15674</v>
      </c>
      <c r="E236" s="13">
        <v>45412</v>
      </c>
      <c r="F236" s="14">
        <v>45920</v>
      </c>
      <c r="G236" s="15">
        <v>30000000</v>
      </c>
      <c r="H236" s="16">
        <v>24</v>
      </c>
      <c r="I236" s="17">
        <v>21</v>
      </c>
      <c r="J236" s="15">
        <v>10074000</v>
      </c>
      <c r="K236" s="98">
        <f t="shared" si="9"/>
        <v>0</v>
      </c>
      <c r="L236" s="98" t="str">
        <f t="shared" si="10"/>
        <v>Lancar</v>
      </c>
      <c r="M236" s="5" t="str">
        <f t="shared" si="11"/>
        <v>001</v>
      </c>
      <c r="N236" s="55" t="str">
        <f>VLOOKUP(D236,Pinjaman!$E$7:$N$1900,10,FALSE)</f>
        <v>PRODUKTIF</v>
      </c>
      <c r="O236" s="55">
        <f>VLOOKUP(B236,'Data Angt'!$A$5:$H$5810,6,FALSE)</f>
        <v>43</v>
      </c>
      <c r="P236" s="55" t="str">
        <f>VLOOKUP(B236,'Data Angt'!$A$5:$H$5810,8,FALSE)</f>
        <v>Mengurus Rumah Tangga</v>
      </c>
    </row>
    <row r="237" spans="1:16" x14ac:dyDescent="0.3">
      <c r="A237" s="8">
        <v>230</v>
      </c>
      <c r="B237" s="9" t="s">
        <v>4112</v>
      </c>
      <c r="C237" s="10" t="str">
        <f>VLOOKUP(B237,'Data Angt'!$A$5:$B$5809,2,FALSE)</f>
        <v>A1785</v>
      </c>
      <c r="D237" s="12" t="s">
        <v>15676</v>
      </c>
      <c r="E237" s="13">
        <v>45680</v>
      </c>
      <c r="F237" s="14">
        <v>45925</v>
      </c>
      <c r="G237" s="15">
        <v>70000000</v>
      </c>
      <c r="H237" s="16">
        <v>48</v>
      </c>
      <c r="I237" s="17">
        <v>21</v>
      </c>
      <c r="J237" s="15">
        <v>61981100</v>
      </c>
      <c r="K237" s="98">
        <f t="shared" si="9"/>
        <v>0</v>
      </c>
      <c r="L237" s="98" t="str">
        <f t="shared" si="10"/>
        <v>Lancar</v>
      </c>
      <c r="M237" s="5" t="str">
        <f t="shared" si="11"/>
        <v>001</v>
      </c>
      <c r="N237" s="55" t="str">
        <f>VLOOKUP(D237,Pinjaman!$E$7:$N$1900,10,FALSE)</f>
        <v>KESEJAHTERAAN</v>
      </c>
      <c r="O237" s="55">
        <f>VLOOKUP(B237,'Data Angt'!$A$5:$H$5810,6,FALSE)</f>
        <v>51</v>
      </c>
      <c r="P237" s="55" t="str">
        <f>VLOOKUP(B237,'Data Angt'!$A$5:$H$5810,8,FALSE)</f>
        <v>Wiraswasta</v>
      </c>
    </row>
    <row r="238" spans="1:16" x14ac:dyDescent="0.3">
      <c r="A238" s="8">
        <v>231</v>
      </c>
      <c r="B238" s="9" t="s">
        <v>4122</v>
      </c>
      <c r="C238" s="10" t="str">
        <f>VLOOKUP(B238,'Data Angt'!$A$5:$B$5809,2,FALSE)</f>
        <v>A1789</v>
      </c>
      <c r="D238" s="12" t="s">
        <v>15678</v>
      </c>
      <c r="E238" s="13">
        <v>45426</v>
      </c>
      <c r="F238" s="14">
        <v>45915</v>
      </c>
      <c r="G238" s="15">
        <v>6500000</v>
      </c>
      <c r="H238" s="16">
        <v>36</v>
      </c>
      <c r="I238" s="17">
        <v>24</v>
      </c>
      <c r="J238" s="15">
        <v>4169100</v>
      </c>
      <c r="K238" s="98">
        <f t="shared" si="9"/>
        <v>0</v>
      </c>
      <c r="L238" s="98" t="str">
        <f t="shared" si="10"/>
        <v>Lancar</v>
      </c>
      <c r="M238" s="5" t="str">
        <f t="shared" si="11"/>
        <v>001</v>
      </c>
      <c r="N238" s="55" t="str">
        <f>VLOOKUP(D238,Pinjaman!$E$7:$N$1900,10,FALSE)</f>
        <v>KESEHATAN</v>
      </c>
      <c r="O238" s="55">
        <f>VLOOKUP(B238,'Data Angt'!$A$5:$H$5810,6,FALSE)</f>
        <v>72</v>
      </c>
      <c r="P238" s="55" t="str">
        <f>VLOOKUP(B238,'Data Angt'!$A$5:$H$5810,8,FALSE)</f>
        <v>Pensiunan</v>
      </c>
    </row>
    <row r="239" spans="1:16" x14ac:dyDescent="0.3">
      <c r="A239" s="8">
        <v>232</v>
      </c>
      <c r="B239" s="9" t="s">
        <v>4124</v>
      </c>
      <c r="C239" s="10" t="str">
        <f>VLOOKUP(B239,'Data Angt'!$A$5:$B$5809,2,FALSE)</f>
        <v>A1790</v>
      </c>
      <c r="D239" s="12" t="s">
        <v>22405</v>
      </c>
      <c r="E239" s="13">
        <v>45867</v>
      </c>
      <c r="F239" s="14">
        <v>45926</v>
      </c>
      <c r="G239" s="15">
        <v>6000000</v>
      </c>
      <c r="H239" s="16">
        <v>12</v>
      </c>
      <c r="I239" s="17">
        <v>24</v>
      </c>
      <c r="J239" s="15">
        <v>5096300</v>
      </c>
      <c r="K239" s="98">
        <f t="shared" si="9"/>
        <v>0</v>
      </c>
      <c r="L239" s="98" t="str">
        <f t="shared" si="10"/>
        <v>Lancar</v>
      </c>
      <c r="M239" s="5" t="str">
        <f t="shared" si="11"/>
        <v>001</v>
      </c>
      <c r="N239" s="55" t="str">
        <f>VLOOKUP(D239,Pinjaman!$E$7:$N$1900,10,FALSE)</f>
        <v>PENDIDIKAN</v>
      </c>
      <c r="O239" s="55">
        <f>VLOOKUP(B239,'Data Angt'!$A$5:$H$5810,6,FALSE)</f>
        <v>69</v>
      </c>
      <c r="P239" s="55" t="str">
        <f>VLOOKUP(B239,'Data Angt'!$A$5:$H$5810,8,FALSE)</f>
        <v>Wiraswasta</v>
      </c>
    </row>
    <row r="240" spans="1:16" x14ac:dyDescent="0.3">
      <c r="A240" s="8">
        <v>233</v>
      </c>
      <c r="B240" s="9" t="s">
        <v>4143</v>
      </c>
      <c r="C240" s="10" t="str">
        <f>VLOOKUP(B240,'Data Angt'!$A$5:$B$5809,2,FALSE)</f>
        <v>A1798</v>
      </c>
      <c r="D240" s="12" t="s">
        <v>9998</v>
      </c>
      <c r="E240" s="13">
        <v>45101</v>
      </c>
      <c r="F240" s="14">
        <v>45918</v>
      </c>
      <c r="G240" s="15">
        <v>80000000</v>
      </c>
      <c r="H240" s="16">
        <v>48</v>
      </c>
      <c r="I240" s="17">
        <v>21</v>
      </c>
      <c r="J240" s="15">
        <v>43222000</v>
      </c>
      <c r="K240" s="98">
        <f t="shared" si="9"/>
        <v>0</v>
      </c>
      <c r="L240" s="98" t="str">
        <f t="shared" si="10"/>
        <v>Lancar</v>
      </c>
      <c r="M240" s="5" t="str">
        <f t="shared" si="11"/>
        <v>001</v>
      </c>
      <c r="N240" s="55" t="str">
        <f>VLOOKUP(D240,Pinjaman!$E$7:$N$1900,10,FALSE)</f>
        <v>KONSUMTIF</v>
      </c>
      <c r="O240" s="55">
        <f>VLOOKUP(B240,'Data Angt'!$A$5:$H$5810,6,FALSE)</f>
        <v>36</v>
      </c>
      <c r="P240" s="55" t="str">
        <f>VLOOKUP(B240,'Data Angt'!$A$5:$H$5810,8,FALSE)</f>
        <v>Karyawan</v>
      </c>
    </row>
    <row r="241" spans="1:16" x14ac:dyDescent="0.3">
      <c r="A241" s="8">
        <v>234</v>
      </c>
      <c r="B241" s="9" t="s">
        <v>4177</v>
      </c>
      <c r="C241" s="10" t="str">
        <f>VLOOKUP(B241,'Data Angt'!$A$5:$B$5809,2,FALSE)</f>
        <v>A1812</v>
      </c>
      <c r="D241" s="12" t="s">
        <v>15681</v>
      </c>
      <c r="E241" s="13">
        <v>45820</v>
      </c>
      <c r="F241" s="14">
        <v>45912</v>
      </c>
      <c r="G241" s="15">
        <v>25000000</v>
      </c>
      <c r="H241" s="16">
        <v>6</v>
      </c>
      <c r="I241" s="17">
        <v>21</v>
      </c>
      <c r="J241" s="15">
        <v>12825200</v>
      </c>
      <c r="K241" s="98">
        <f t="shared" si="9"/>
        <v>0</v>
      </c>
      <c r="L241" s="98" t="str">
        <f t="shared" si="10"/>
        <v>Lancar</v>
      </c>
      <c r="M241" s="5" t="str">
        <f t="shared" si="11"/>
        <v>001</v>
      </c>
      <c r="N241" s="55" t="str">
        <f>VLOOKUP(D241,Pinjaman!$E$7:$N$1900,10,FALSE)</f>
        <v>KONSUMTIF</v>
      </c>
      <c r="O241" s="55">
        <f>VLOOKUP(B241,'Data Angt'!$A$5:$H$5810,6,FALSE)</f>
        <v>60</v>
      </c>
      <c r="P241" s="55" t="str">
        <f>VLOOKUP(B241,'Data Angt'!$A$5:$H$5810,8,FALSE)</f>
        <v>Tenaga Ahli</v>
      </c>
    </row>
    <row r="242" spans="1:16" x14ac:dyDescent="0.3">
      <c r="A242" s="8">
        <v>235</v>
      </c>
      <c r="B242" s="9" t="s">
        <v>4183</v>
      </c>
      <c r="C242" s="10" t="str">
        <f>VLOOKUP(B242,'Data Angt'!$A$5:$B$5809,2,FALSE)</f>
        <v>A1814</v>
      </c>
      <c r="D242" s="12" t="s">
        <v>15684</v>
      </c>
      <c r="E242" s="13">
        <v>45367</v>
      </c>
      <c r="F242" s="14">
        <v>45565</v>
      </c>
      <c r="G242" s="15">
        <v>25000000</v>
      </c>
      <c r="H242" s="16">
        <v>48</v>
      </c>
      <c r="I242" s="17">
        <v>21</v>
      </c>
      <c r="J242" s="15">
        <v>24663300</v>
      </c>
      <c r="K242" s="98">
        <f t="shared" si="9"/>
        <v>12</v>
      </c>
      <c r="L242" s="98" t="str">
        <f t="shared" si="10"/>
        <v>Diragukan</v>
      </c>
      <c r="M242" s="5" t="str">
        <f t="shared" si="11"/>
        <v>001</v>
      </c>
      <c r="N242" s="55" t="str">
        <f>VLOOKUP(D242,Pinjaman!$E$7:$N$1900,10,FALSE)</f>
        <v>PRODUKTIF</v>
      </c>
      <c r="O242" s="55">
        <f>VLOOKUP(B242,'Data Angt'!$A$5:$H$5810,6,FALSE)</f>
        <v>34</v>
      </c>
      <c r="P242" s="55" t="str">
        <f>VLOOKUP(B242,'Data Angt'!$A$5:$H$5810,8,FALSE)</f>
        <v>Karyawan</v>
      </c>
    </row>
    <row r="243" spans="1:16" x14ac:dyDescent="0.3">
      <c r="A243" s="8">
        <v>236</v>
      </c>
      <c r="B243" s="9" t="s">
        <v>4206</v>
      </c>
      <c r="C243" s="10" t="str">
        <f>VLOOKUP(B243,'Data Angt'!$A$5:$B$5809,2,FALSE)</f>
        <v>A1823</v>
      </c>
      <c r="D243" s="12" t="s">
        <v>15687</v>
      </c>
      <c r="E243" s="13">
        <v>45630</v>
      </c>
      <c r="F243" s="14">
        <v>45904</v>
      </c>
      <c r="G243" s="15">
        <v>15000000</v>
      </c>
      <c r="H243" s="16">
        <v>12</v>
      </c>
      <c r="I243" s="17">
        <v>24</v>
      </c>
      <c r="J243" s="15">
        <v>3750000</v>
      </c>
      <c r="K243" s="98">
        <f t="shared" si="9"/>
        <v>0</v>
      </c>
      <c r="L243" s="98" t="str">
        <f t="shared" si="10"/>
        <v>Lancar</v>
      </c>
      <c r="M243" s="5" t="str">
        <f t="shared" si="11"/>
        <v>001</v>
      </c>
      <c r="N243" s="55" t="str">
        <f>VLOOKUP(D243,Pinjaman!$E$7:$N$1900,10,FALSE)</f>
        <v>PENDIDIKAN</v>
      </c>
      <c r="O243" s="55">
        <f>VLOOKUP(B243,'Data Angt'!$A$5:$H$5810,6,FALSE)</f>
        <v>51</v>
      </c>
      <c r="P243" s="55" t="str">
        <f>VLOOKUP(B243,'Data Angt'!$A$5:$H$5810,8,FALSE)</f>
        <v>Mengurus Rumah Tangga</v>
      </c>
    </row>
    <row r="244" spans="1:16" x14ac:dyDescent="0.3">
      <c r="A244" s="8">
        <v>237</v>
      </c>
      <c r="B244" s="9" t="s">
        <v>4210</v>
      </c>
      <c r="C244" s="10" t="str">
        <f>VLOOKUP(B244,'Data Angt'!$A$5:$B$5809,2,FALSE)</f>
        <v>A1825</v>
      </c>
      <c r="D244" s="12" t="s">
        <v>10001</v>
      </c>
      <c r="E244" s="13">
        <v>43083</v>
      </c>
      <c r="F244" s="14">
        <v>45915</v>
      </c>
      <c r="G244" s="15">
        <v>300000000</v>
      </c>
      <c r="H244" s="16">
        <v>120</v>
      </c>
      <c r="I244" s="17">
        <v>11.4</v>
      </c>
      <c r="J244" s="15">
        <v>199731300</v>
      </c>
      <c r="K244" s="98">
        <f t="shared" si="9"/>
        <v>0</v>
      </c>
      <c r="L244" s="98" t="str">
        <f t="shared" si="10"/>
        <v>Lancar</v>
      </c>
      <c r="M244" s="5" t="str">
        <f t="shared" si="11"/>
        <v>001</v>
      </c>
      <c r="N244" s="55">
        <f>VLOOKUP(D244,Pinjaman!$E$7:$N$1900,10,FALSE)</f>
        <v>0</v>
      </c>
      <c r="O244" s="55">
        <f>VLOOKUP(B244,'Data Angt'!$A$5:$H$5810,6,FALSE)</f>
        <v>59</v>
      </c>
      <c r="P244" s="55" t="str">
        <f>VLOOKUP(B244,'Data Angt'!$A$5:$H$5810,8,FALSE)</f>
        <v>Mengurus Rumah Tangga</v>
      </c>
    </row>
    <row r="245" spans="1:16" x14ac:dyDescent="0.3">
      <c r="A245" s="8">
        <v>238</v>
      </c>
      <c r="B245" s="9" t="s">
        <v>4226</v>
      </c>
      <c r="C245" s="10" t="str">
        <f>VLOOKUP(B245,'Data Angt'!$A$5:$B$5809,2,FALSE)</f>
        <v>A1832</v>
      </c>
      <c r="D245" s="12" t="s">
        <v>22409</v>
      </c>
      <c r="E245" s="13">
        <v>45891</v>
      </c>
      <c r="F245" s="14">
        <v>45923</v>
      </c>
      <c r="G245" s="15">
        <v>4000000</v>
      </c>
      <c r="H245" s="16">
        <v>10</v>
      </c>
      <c r="I245" s="17">
        <v>24</v>
      </c>
      <c r="J245" s="15">
        <v>3634600</v>
      </c>
      <c r="K245" s="98">
        <f t="shared" si="9"/>
        <v>0</v>
      </c>
      <c r="L245" s="98" t="str">
        <f t="shared" si="10"/>
        <v>Lancar</v>
      </c>
      <c r="M245" s="5" t="str">
        <f t="shared" si="11"/>
        <v>001</v>
      </c>
      <c r="N245" s="55" t="str">
        <f>VLOOKUP(D245,Pinjaman!$E$7:$N$1900,10,FALSE)</f>
        <v>PENDIDIKAN</v>
      </c>
      <c r="O245" s="55">
        <f>VLOOKUP(B245,'Data Angt'!$A$5:$H$5810,6,FALSE)</f>
        <v>44</v>
      </c>
      <c r="P245" s="55" t="str">
        <f>VLOOKUP(B245,'Data Angt'!$A$5:$H$5810,8,FALSE)</f>
        <v>Lain-Lain</v>
      </c>
    </row>
    <row r="246" spans="1:16" x14ac:dyDescent="0.3">
      <c r="A246" s="8">
        <v>239</v>
      </c>
      <c r="B246" s="9" t="s">
        <v>4226</v>
      </c>
      <c r="C246" s="10" t="str">
        <f>VLOOKUP(B246,'Data Angt'!$A$5:$B$5809,2,FALSE)</f>
        <v>A1832</v>
      </c>
      <c r="D246" s="12" t="s">
        <v>15690</v>
      </c>
      <c r="E246" s="13">
        <v>45384</v>
      </c>
      <c r="F246" s="14">
        <v>45903</v>
      </c>
      <c r="G246" s="15">
        <v>12000000</v>
      </c>
      <c r="H246" s="16">
        <v>48</v>
      </c>
      <c r="I246" s="17">
        <v>24</v>
      </c>
      <c r="J246" s="15">
        <v>8973000</v>
      </c>
      <c r="K246" s="98">
        <f t="shared" si="9"/>
        <v>0</v>
      </c>
      <c r="L246" s="98" t="str">
        <f t="shared" si="10"/>
        <v>Lancar</v>
      </c>
      <c r="M246" s="5" t="str">
        <f t="shared" si="11"/>
        <v>001</v>
      </c>
      <c r="N246" s="55" t="str">
        <f>VLOOKUP(D246,Pinjaman!$E$7:$N$1900,10,FALSE)</f>
        <v>PENDIDIKAN</v>
      </c>
      <c r="O246" s="55">
        <f>VLOOKUP(B246,'Data Angt'!$A$5:$H$5810,6,FALSE)</f>
        <v>44</v>
      </c>
      <c r="P246" s="55" t="str">
        <f>VLOOKUP(B246,'Data Angt'!$A$5:$H$5810,8,FALSE)</f>
        <v>Lain-Lain</v>
      </c>
    </row>
    <row r="247" spans="1:16" x14ac:dyDescent="0.3">
      <c r="A247" s="8">
        <v>240</v>
      </c>
      <c r="B247" s="9" t="s">
        <v>4231</v>
      </c>
      <c r="C247" s="10" t="str">
        <f>VLOOKUP(B247,'Data Angt'!$A$5:$B$5809,2,FALSE)</f>
        <v>A1834</v>
      </c>
      <c r="D247" s="12" t="s">
        <v>22413</v>
      </c>
      <c r="E247" s="13">
        <v>45922</v>
      </c>
      <c r="F247" s="14">
        <v>45922</v>
      </c>
      <c r="G247" s="15">
        <v>5000000</v>
      </c>
      <c r="H247" s="16">
        <v>12</v>
      </c>
      <c r="I247" s="17">
        <v>24</v>
      </c>
      <c r="J247" s="15">
        <v>5000000</v>
      </c>
      <c r="K247" s="98">
        <f t="shared" si="9"/>
        <v>0</v>
      </c>
      <c r="L247" s="98" t="str">
        <f t="shared" si="10"/>
        <v>Lancar</v>
      </c>
      <c r="M247" s="5" t="str">
        <f t="shared" si="11"/>
        <v>001</v>
      </c>
      <c r="N247" s="55" t="str">
        <f>VLOOKUP(D247,Pinjaman!$E$7:$N$1900,10,FALSE)</f>
        <v>KONSUMTIF</v>
      </c>
      <c r="O247" s="55">
        <f>VLOOKUP(B247,'Data Angt'!$A$5:$H$5810,6,FALSE)</f>
        <v>31</v>
      </c>
      <c r="P247" s="55" t="str">
        <f>VLOOKUP(B247,'Data Angt'!$A$5:$H$5810,8,FALSE)</f>
        <v>Tenaga Pengajar</v>
      </c>
    </row>
    <row r="248" spans="1:16" x14ac:dyDescent="0.3">
      <c r="A248" s="8">
        <v>241</v>
      </c>
      <c r="B248" s="9" t="s">
        <v>4239</v>
      </c>
      <c r="C248" s="10" t="str">
        <f>VLOOKUP(B248,'Data Angt'!$A$5:$B$5809,2,FALSE)</f>
        <v>A1837</v>
      </c>
      <c r="D248" s="12" t="s">
        <v>15693</v>
      </c>
      <c r="E248" s="13">
        <v>45346</v>
      </c>
      <c r="F248" s="14">
        <v>45924</v>
      </c>
      <c r="G248" s="15">
        <v>30000000</v>
      </c>
      <c r="H248" s="16">
        <v>24</v>
      </c>
      <c r="I248" s="17">
        <v>21</v>
      </c>
      <c r="J248" s="15">
        <v>6250000</v>
      </c>
      <c r="K248" s="98">
        <f t="shared" si="9"/>
        <v>0</v>
      </c>
      <c r="L248" s="98" t="str">
        <f t="shared" si="10"/>
        <v>Lancar</v>
      </c>
      <c r="M248" s="5" t="str">
        <f t="shared" si="11"/>
        <v>001</v>
      </c>
      <c r="N248" s="55" t="str">
        <f>VLOOKUP(D248,Pinjaman!$E$7:$N$1900,10,FALSE)</f>
        <v>KESEJAHTERAAN</v>
      </c>
      <c r="O248" s="55">
        <f>VLOOKUP(B248,'Data Angt'!$A$5:$H$5810,6,FALSE)</f>
        <v>50</v>
      </c>
      <c r="P248" s="55" t="str">
        <f>VLOOKUP(B248,'Data Angt'!$A$5:$H$5810,8,FALSE)</f>
        <v>Karyawan</v>
      </c>
    </row>
    <row r="249" spans="1:16" x14ac:dyDescent="0.3">
      <c r="A249" s="8">
        <v>242</v>
      </c>
      <c r="B249" s="9" t="s">
        <v>4258</v>
      </c>
      <c r="C249" s="10" t="str">
        <f>VLOOKUP(B249,'Data Angt'!$A$5:$B$5809,2,FALSE)</f>
        <v>A1845</v>
      </c>
      <c r="D249" s="12" t="s">
        <v>15695</v>
      </c>
      <c r="E249" s="13">
        <v>45580</v>
      </c>
      <c r="F249" s="14">
        <v>45902</v>
      </c>
      <c r="G249" s="15">
        <v>10000000</v>
      </c>
      <c r="H249" s="16">
        <v>18</v>
      </c>
      <c r="I249" s="17">
        <v>24</v>
      </c>
      <c r="J249" s="15">
        <v>4316500</v>
      </c>
      <c r="K249" s="98">
        <f t="shared" si="9"/>
        <v>0</v>
      </c>
      <c r="L249" s="98" t="str">
        <f t="shared" si="10"/>
        <v>Lancar</v>
      </c>
      <c r="M249" s="5" t="str">
        <f t="shared" si="11"/>
        <v>001</v>
      </c>
      <c r="N249" s="55" t="str">
        <f>VLOOKUP(D249,Pinjaman!$E$7:$N$1900,10,FALSE)</f>
        <v>KESEJAHTERAAN</v>
      </c>
      <c r="O249" s="55">
        <f>VLOOKUP(B249,'Data Angt'!$A$5:$H$5810,6,FALSE)</f>
        <v>68</v>
      </c>
      <c r="P249" s="55" t="str">
        <f>VLOOKUP(B249,'Data Angt'!$A$5:$H$5810,8,FALSE)</f>
        <v>Mengurus Rumah Tangga</v>
      </c>
    </row>
    <row r="250" spans="1:16" x14ac:dyDescent="0.3">
      <c r="A250" s="8">
        <v>243</v>
      </c>
      <c r="B250" s="9" t="s">
        <v>4261</v>
      </c>
      <c r="C250" s="10" t="str">
        <f>VLOOKUP(B250,'Data Angt'!$A$5:$B$5809,2,FALSE)</f>
        <v>A1847</v>
      </c>
      <c r="D250" s="12" t="s">
        <v>22417</v>
      </c>
      <c r="E250" s="13">
        <v>45924</v>
      </c>
      <c r="F250" s="14">
        <v>45924</v>
      </c>
      <c r="G250" s="15">
        <v>27000000</v>
      </c>
      <c r="H250" s="16">
        <v>16</v>
      </c>
      <c r="I250" s="17">
        <v>21</v>
      </c>
      <c r="J250" s="15">
        <v>27000000</v>
      </c>
      <c r="K250" s="98">
        <f t="shared" si="9"/>
        <v>0</v>
      </c>
      <c r="L250" s="98" t="str">
        <f t="shared" si="10"/>
        <v>Lancar</v>
      </c>
      <c r="M250" s="5" t="str">
        <f t="shared" si="11"/>
        <v>001</v>
      </c>
      <c r="N250" s="55" t="str">
        <f>VLOOKUP(D250,Pinjaman!$E$7:$N$1900,10,FALSE)</f>
        <v>PRODUKTIF</v>
      </c>
      <c r="O250" s="55">
        <f>VLOOKUP(B250,'Data Angt'!$A$5:$H$5810,6,FALSE)</f>
        <v>55</v>
      </c>
      <c r="P250" s="55" t="str">
        <f>VLOOKUP(B250,'Data Angt'!$A$5:$H$5810,8,FALSE)</f>
        <v>Wiraswasta</v>
      </c>
    </row>
    <row r="251" spans="1:16" x14ac:dyDescent="0.3">
      <c r="A251" s="8">
        <v>244</v>
      </c>
      <c r="B251" s="9" t="s">
        <v>4272</v>
      </c>
      <c r="C251" s="10" t="str">
        <f>VLOOKUP(B251,'Data Angt'!$A$5:$B$5809,2,FALSE)</f>
        <v>A1851</v>
      </c>
      <c r="D251" s="12" t="s">
        <v>15697</v>
      </c>
      <c r="E251" s="13">
        <v>45755</v>
      </c>
      <c r="F251" s="14">
        <v>45908</v>
      </c>
      <c r="G251" s="15">
        <v>2000000</v>
      </c>
      <c r="H251" s="16">
        <v>12</v>
      </c>
      <c r="I251" s="17">
        <v>11.88</v>
      </c>
      <c r="J251" s="15">
        <v>1195400</v>
      </c>
      <c r="K251" s="98">
        <f t="shared" si="9"/>
        <v>0</v>
      </c>
      <c r="L251" s="98" t="str">
        <f t="shared" si="10"/>
        <v>Lancar</v>
      </c>
      <c r="M251" s="5" t="str">
        <f t="shared" si="11"/>
        <v>001</v>
      </c>
      <c r="N251" s="55" t="str">
        <f>VLOOKUP(D251,Pinjaman!$E$7:$N$1900,10,FALSE)</f>
        <v>PENDIDIKAN</v>
      </c>
      <c r="O251" s="55">
        <f>VLOOKUP(B251,'Data Angt'!$A$5:$H$5810,6,FALSE)</f>
        <v>43</v>
      </c>
      <c r="P251" s="55" t="str">
        <f>VLOOKUP(B251,'Data Angt'!$A$5:$H$5810,8,FALSE)</f>
        <v>Wiraswasta</v>
      </c>
    </row>
    <row r="252" spans="1:16" x14ac:dyDescent="0.3">
      <c r="A252" s="8">
        <v>245</v>
      </c>
      <c r="B252" s="9" t="s">
        <v>4284</v>
      </c>
      <c r="C252" s="10" t="str">
        <f>VLOOKUP(B252,'Data Angt'!$A$5:$B$5809,2,FALSE)</f>
        <v>A1858</v>
      </c>
      <c r="D252" s="12" t="s">
        <v>10003</v>
      </c>
      <c r="E252" s="13">
        <v>43014</v>
      </c>
      <c r="F252" s="14">
        <v>45905</v>
      </c>
      <c r="G252" s="15">
        <v>200000000</v>
      </c>
      <c r="H252" s="16">
        <v>120</v>
      </c>
      <c r="I252" s="17">
        <v>11.4</v>
      </c>
      <c r="J252" s="15">
        <v>92410500</v>
      </c>
      <c r="K252" s="98">
        <f t="shared" si="9"/>
        <v>0</v>
      </c>
      <c r="L252" s="98" t="str">
        <f t="shared" si="10"/>
        <v>Lancar</v>
      </c>
      <c r="M252" s="5" t="str">
        <f t="shared" si="11"/>
        <v>001</v>
      </c>
      <c r="N252" s="55">
        <f>VLOOKUP(D252,Pinjaman!$E$7:$N$1900,10,FALSE)</f>
        <v>0</v>
      </c>
      <c r="O252" s="55">
        <f>VLOOKUP(B252,'Data Angt'!$A$5:$H$5810,6,FALSE)</f>
        <v>55</v>
      </c>
      <c r="P252" s="55" t="str">
        <f>VLOOKUP(B252,'Data Angt'!$A$5:$H$5810,8,FALSE)</f>
        <v>Aparatur/Pejabat Negara</v>
      </c>
    </row>
    <row r="253" spans="1:16" x14ac:dyDescent="0.3">
      <c r="A253" s="8">
        <v>246</v>
      </c>
      <c r="B253" s="9" t="s">
        <v>4287</v>
      </c>
      <c r="C253" s="10" t="str">
        <f>VLOOKUP(B253,'Data Angt'!$A$5:$B$5809,2,FALSE)</f>
        <v>A1859</v>
      </c>
      <c r="D253" s="12" t="s">
        <v>15699</v>
      </c>
      <c r="E253" s="13">
        <v>45603</v>
      </c>
      <c r="F253" s="14">
        <v>45909</v>
      </c>
      <c r="G253" s="15">
        <v>5000000</v>
      </c>
      <c r="H253" s="16">
        <v>12</v>
      </c>
      <c r="I253" s="17">
        <v>11.88</v>
      </c>
      <c r="J253" s="15">
        <v>874900</v>
      </c>
      <c r="K253" s="98">
        <f t="shared" si="9"/>
        <v>0</v>
      </c>
      <c r="L253" s="98" t="str">
        <f t="shared" si="10"/>
        <v>Lancar</v>
      </c>
      <c r="M253" s="5" t="str">
        <f t="shared" si="11"/>
        <v>001</v>
      </c>
      <c r="N253" s="55" t="str">
        <f>VLOOKUP(D253,Pinjaman!$E$7:$N$1900,10,FALSE)</f>
        <v>KESEJAHTERAAN</v>
      </c>
      <c r="O253" s="55">
        <f>VLOOKUP(B253,'Data Angt'!$A$5:$H$5810,6,FALSE)</f>
        <v>47</v>
      </c>
      <c r="P253" s="55" t="str">
        <f>VLOOKUP(B253,'Data Angt'!$A$5:$H$5810,8,FALSE)</f>
        <v>Lain-Lain</v>
      </c>
    </row>
    <row r="254" spans="1:16" x14ac:dyDescent="0.3">
      <c r="A254" s="8">
        <v>247</v>
      </c>
      <c r="B254" s="9" t="s">
        <v>4301</v>
      </c>
      <c r="C254" s="10" t="str">
        <f>VLOOKUP(B254,'Data Angt'!$A$5:$B$5809,2,FALSE)</f>
        <v>A1864</v>
      </c>
      <c r="D254" s="12" t="s">
        <v>15702</v>
      </c>
      <c r="E254" s="13">
        <v>45694</v>
      </c>
      <c r="F254" s="14">
        <v>45906</v>
      </c>
      <c r="G254" s="15">
        <v>30000000</v>
      </c>
      <c r="H254" s="16">
        <v>12</v>
      </c>
      <c r="I254" s="17">
        <v>11.88</v>
      </c>
      <c r="J254" s="15">
        <v>12932500</v>
      </c>
      <c r="K254" s="98">
        <f t="shared" si="9"/>
        <v>0</v>
      </c>
      <c r="L254" s="98" t="str">
        <f t="shared" si="10"/>
        <v>Lancar</v>
      </c>
      <c r="M254" s="5" t="str">
        <f t="shared" si="11"/>
        <v>001</v>
      </c>
      <c r="N254" s="55" t="str">
        <f>VLOOKUP(D254,Pinjaman!$E$7:$N$1900,10,FALSE)</f>
        <v>KESEJAHTERAAN</v>
      </c>
      <c r="O254" s="55">
        <f>VLOOKUP(B254,'Data Angt'!$A$5:$H$5810,6,FALSE)</f>
        <v>55</v>
      </c>
      <c r="P254" s="55" t="str">
        <f>VLOOKUP(B254,'Data Angt'!$A$5:$H$5810,8,FALSE)</f>
        <v>Tenaga Ahli</v>
      </c>
    </row>
    <row r="255" spans="1:16" x14ac:dyDescent="0.3">
      <c r="A255" s="8">
        <v>248</v>
      </c>
      <c r="B255" s="9" t="s">
        <v>4342</v>
      </c>
      <c r="C255" s="10" t="str">
        <f>VLOOKUP(B255,'Data Angt'!$A$5:$B$5809,2,FALSE)</f>
        <v>A1883</v>
      </c>
      <c r="D255" s="12" t="s">
        <v>15704</v>
      </c>
      <c r="E255" s="13">
        <v>45345</v>
      </c>
      <c r="F255" s="14">
        <v>45918</v>
      </c>
      <c r="G255" s="15">
        <v>25000000</v>
      </c>
      <c r="H255" s="16">
        <v>24</v>
      </c>
      <c r="I255" s="17">
        <v>21</v>
      </c>
      <c r="J255" s="15">
        <v>5207700</v>
      </c>
      <c r="K255" s="98">
        <f t="shared" si="9"/>
        <v>0</v>
      </c>
      <c r="L255" s="98" t="str">
        <f t="shared" si="10"/>
        <v>Lancar</v>
      </c>
      <c r="M255" s="5" t="str">
        <f t="shared" si="11"/>
        <v>001</v>
      </c>
      <c r="N255" s="55" t="str">
        <f>VLOOKUP(D255,Pinjaman!$E$7:$N$1900,10,FALSE)</f>
        <v>PRODUKTIF</v>
      </c>
      <c r="O255" s="55">
        <f>VLOOKUP(B255,'Data Angt'!$A$5:$H$5810,6,FALSE)</f>
        <v>43</v>
      </c>
      <c r="P255" s="55" t="str">
        <f>VLOOKUP(B255,'Data Angt'!$A$5:$H$5810,8,FALSE)</f>
        <v>Mengurus Rumah Tangga</v>
      </c>
    </row>
    <row r="256" spans="1:16" x14ac:dyDescent="0.3">
      <c r="A256" s="8">
        <v>249</v>
      </c>
      <c r="B256" s="9" t="s">
        <v>4348</v>
      </c>
      <c r="C256" s="10" t="str">
        <f>VLOOKUP(B256,'Data Angt'!$A$5:$B$5809,2,FALSE)</f>
        <v>A1888</v>
      </c>
      <c r="D256" s="12" t="s">
        <v>22422</v>
      </c>
      <c r="E256" s="13">
        <v>45920</v>
      </c>
      <c r="F256" s="14">
        <v>45920</v>
      </c>
      <c r="G256" s="15">
        <v>5000000</v>
      </c>
      <c r="H256" s="16">
        <v>12</v>
      </c>
      <c r="I256" s="17">
        <v>24</v>
      </c>
      <c r="J256" s="15">
        <v>5000000</v>
      </c>
      <c r="K256" s="98">
        <f t="shared" si="9"/>
        <v>0</v>
      </c>
      <c r="L256" s="98" t="str">
        <f t="shared" si="10"/>
        <v>Lancar</v>
      </c>
      <c r="M256" s="5" t="str">
        <f t="shared" si="11"/>
        <v>001</v>
      </c>
      <c r="N256" s="55" t="str">
        <f>VLOOKUP(D256,Pinjaman!$E$7:$N$1900,10,FALSE)</f>
        <v>KONSUMTIF</v>
      </c>
      <c r="O256" s="55">
        <f>VLOOKUP(B256,'Data Angt'!$A$5:$H$5810,6,FALSE)</f>
        <v>78</v>
      </c>
      <c r="P256" s="55" t="str">
        <f>VLOOKUP(B256,'Data Angt'!$A$5:$H$5810,8,FALSE)</f>
        <v>Pensiunan</v>
      </c>
    </row>
    <row r="257" spans="1:16" x14ac:dyDescent="0.3">
      <c r="A257" s="8">
        <v>250</v>
      </c>
      <c r="B257" s="9" t="s">
        <v>4353</v>
      </c>
      <c r="C257" s="10" t="str">
        <f>VLOOKUP(B257,'Data Angt'!$A$5:$B$5809,2,FALSE)</f>
        <v>A1891</v>
      </c>
      <c r="D257" s="12" t="s">
        <v>10005</v>
      </c>
      <c r="E257" s="13">
        <v>44989</v>
      </c>
      <c r="F257" s="14">
        <v>45904</v>
      </c>
      <c r="G257" s="15">
        <v>23755000</v>
      </c>
      <c r="H257" s="16">
        <v>36</v>
      </c>
      <c r="I257" s="17">
        <v>24</v>
      </c>
      <c r="J257" s="15">
        <v>5221300</v>
      </c>
      <c r="K257" s="98">
        <f t="shared" si="9"/>
        <v>0</v>
      </c>
      <c r="L257" s="98" t="str">
        <f t="shared" si="10"/>
        <v>Lancar</v>
      </c>
      <c r="M257" s="5" t="str">
        <f t="shared" si="11"/>
        <v>001</v>
      </c>
      <c r="N257" s="55" t="str">
        <f>VLOOKUP(D257,Pinjaman!$E$7:$N$1900,10,FALSE)</f>
        <v>KONSUMTIF</v>
      </c>
      <c r="O257" s="55">
        <f>VLOOKUP(B257,'Data Angt'!$A$5:$H$5810,6,FALSE)</f>
        <v>37</v>
      </c>
      <c r="P257" s="55" t="str">
        <f>VLOOKUP(B257,'Data Angt'!$A$5:$H$5810,8,FALSE)</f>
        <v>Mengurus Rumah Tangga</v>
      </c>
    </row>
    <row r="258" spans="1:16" x14ac:dyDescent="0.3">
      <c r="A258" s="8">
        <v>251</v>
      </c>
      <c r="B258" s="9" t="s">
        <v>4378</v>
      </c>
      <c r="C258" s="10" t="str">
        <f>VLOOKUP(B258,'Data Angt'!$A$5:$B$5809,2,FALSE)</f>
        <v>A1901</v>
      </c>
      <c r="D258" s="12" t="s">
        <v>15706</v>
      </c>
      <c r="E258" s="13">
        <v>45681</v>
      </c>
      <c r="F258" s="14">
        <v>45909</v>
      </c>
      <c r="G258" s="15">
        <v>20000000</v>
      </c>
      <c r="H258" s="16">
        <v>36</v>
      </c>
      <c r="I258" s="17">
        <v>21</v>
      </c>
      <c r="J258" s="15">
        <v>16566800</v>
      </c>
      <c r="K258" s="98">
        <f t="shared" si="9"/>
        <v>0</v>
      </c>
      <c r="L258" s="98" t="str">
        <f t="shared" si="10"/>
        <v>Lancar</v>
      </c>
      <c r="M258" s="5" t="str">
        <f t="shared" si="11"/>
        <v>001</v>
      </c>
      <c r="N258" s="55" t="str">
        <f>VLOOKUP(D258,Pinjaman!$E$7:$N$1900,10,FALSE)</f>
        <v>PENDIDIKAN</v>
      </c>
      <c r="O258" s="55">
        <f>VLOOKUP(B258,'Data Angt'!$A$5:$H$5810,6,FALSE)</f>
        <v>43</v>
      </c>
      <c r="P258" s="55" t="str">
        <f>VLOOKUP(B258,'Data Angt'!$A$5:$H$5810,8,FALSE)</f>
        <v>Mengurus Rumah Tangga</v>
      </c>
    </row>
    <row r="259" spans="1:16" x14ac:dyDescent="0.3">
      <c r="A259" s="8">
        <v>252</v>
      </c>
      <c r="B259" s="9" t="s">
        <v>4448</v>
      </c>
      <c r="C259" s="10" t="str">
        <f>VLOOKUP(B259,'Data Angt'!$A$5:$B$5809,2,FALSE)</f>
        <v>A1937</v>
      </c>
      <c r="D259" s="12" t="s">
        <v>15709</v>
      </c>
      <c r="E259" s="13">
        <v>45580</v>
      </c>
      <c r="F259" s="14">
        <v>45916</v>
      </c>
      <c r="G259" s="15">
        <v>2000000</v>
      </c>
      <c r="H259" s="16">
        <v>18</v>
      </c>
      <c r="I259" s="17">
        <v>24</v>
      </c>
      <c r="J259" s="15">
        <v>862800</v>
      </c>
      <c r="K259" s="98">
        <f t="shared" si="9"/>
        <v>0</v>
      </c>
      <c r="L259" s="98" t="str">
        <f t="shared" si="10"/>
        <v>Lancar</v>
      </c>
      <c r="M259" s="5" t="str">
        <f t="shared" si="11"/>
        <v>001</v>
      </c>
      <c r="N259" s="55" t="str">
        <f>VLOOKUP(D259,Pinjaman!$E$7:$N$1900,10,FALSE)</f>
        <v>PRODUKTIF</v>
      </c>
      <c r="O259" s="55">
        <f>VLOOKUP(B259,'Data Angt'!$A$5:$H$5810,6,FALSE)</f>
        <v>48</v>
      </c>
      <c r="P259" s="55" t="str">
        <f>VLOOKUP(B259,'Data Angt'!$A$5:$H$5810,8,FALSE)</f>
        <v>Mengurus Rumah Tangga</v>
      </c>
    </row>
    <row r="260" spans="1:16" x14ac:dyDescent="0.3">
      <c r="A260" s="8">
        <v>253</v>
      </c>
      <c r="B260" s="9" t="s">
        <v>4469</v>
      </c>
      <c r="C260" s="10" t="str">
        <f>VLOOKUP(B260,'Data Angt'!$A$5:$B$5809,2,FALSE)</f>
        <v>A1945</v>
      </c>
      <c r="D260" s="12" t="s">
        <v>15711</v>
      </c>
      <c r="E260" s="13">
        <v>45755</v>
      </c>
      <c r="F260" s="14">
        <v>45909</v>
      </c>
      <c r="G260" s="15">
        <v>3000000</v>
      </c>
      <c r="H260" s="16">
        <v>12</v>
      </c>
      <c r="I260" s="17">
        <v>11.88</v>
      </c>
      <c r="J260" s="15">
        <v>1793000</v>
      </c>
      <c r="K260" s="98">
        <f t="shared" si="9"/>
        <v>0</v>
      </c>
      <c r="L260" s="98" t="str">
        <f t="shared" si="10"/>
        <v>Lancar</v>
      </c>
      <c r="M260" s="5" t="str">
        <f t="shared" si="11"/>
        <v>001</v>
      </c>
      <c r="N260" s="55" t="str">
        <f>VLOOKUP(D260,Pinjaman!$E$7:$N$1900,10,FALSE)</f>
        <v>PRODUKTIF</v>
      </c>
      <c r="O260" s="55">
        <f>VLOOKUP(B260,'Data Angt'!$A$5:$H$5810,6,FALSE)</f>
        <v>58</v>
      </c>
      <c r="P260" s="55" t="str">
        <f>VLOOKUP(B260,'Data Angt'!$A$5:$H$5810,8,FALSE)</f>
        <v>Wiraswasta</v>
      </c>
    </row>
    <row r="261" spans="1:16" x14ac:dyDescent="0.3">
      <c r="A261" s="8">
        <v>254</v>
      </c>
      <c r="B261" s="9" t="s">
        <v>4474</v>
      </c>
      <c r="C261" s="10" t="str">
        <f>VLOOKUP(B261,'Data Angt'!$A$5:$B$5809,2,FALSE)</f>
        <v>A1947</v>
      </c>
      <c r="D261" s="12" t="s">
        <v>15713</v>
      </c>
      <c r="E261" s="13">
        <v>45792</v>
      </c>
      <c r="F261" s="14">
        <v>45915</v>
      </c>
      <c r="G261" s="15">
        <v>5000000</v>
      </c>
      <c r="H261" s="16">
        <v>12</v>
      </c>
      <c r="I261" s="17">
        <v>11.88</v>
      </c>
      <c r="J261" s="15">
        <v>3398500</v>
      </c>
      <c r="K261" s="98">
        <f t="shared" si="9"/>
        <v>0</v>
      </c>
      <c r="L261" s="98" t="str">
        <f t="shared" si="10"/>
        <v>Lancar</v>
      </c>
      <c r="M261" s="5" t="str">
        <f t="shared" si="11"/>
        <v>001</v>
      </c>
      <c r="N261" s="55" t="str">
        <f>VLOOKUP(D261,Pinjaman!$E$7:$N$1900,10,FALSE)</f>
        <v>PRODUKTIF</v>
      </c>
      <c r="O261" s="55">
        <f>VLOOKUP(B261,'Data Angt'!$A$5:$H$5810,6,FALSE)</f>
        <v>49</v>
      </c>
      <c r="P261" s="55" t="str">
        <f>VLOOKUP(B261,'Data Angt'!$A$5:$H$5810,8,FALSE)</f>
        <v>Wiraswasta</v>
      </c>
    </row>
    <row r="262" spans="1:16" x14ac:dyDescent="0.3">
      <c r="A262" s="8">
        <v>255</v>
      </c>
      <c r="B262" s="9" t="s">
        <v>4483</v>
      </c>
      <c r="C262" s="10" t="str">
        <f>VLOOKUP(B262,'Data Angt'!$A$5:$B$5809,2,FALSE)</f>
        <v>A1951</v>
      </c>
      <c r="D262" s="12" t="s">
        <v>15715</v>
      </c>
      <c r="E262" s="13">
        <v>45721</v>
      </c>
      <c r="F262" s="14">
        <v>45901</v>
      </c>
      <c r="G262" s="15">
        <v>30000000</v>
      </c>
      <c r="H262" s="16">
        <v>20</v>
      </c>
      <c r="I262" s="17">
        <v>21</v>
      </c>
      <c r="J262" s="15">
        <v>21000000</v>
      </c>
      <c r="K262" s="98">
        <f t="shared" si="9"/>
        <v>0</v>
      </c>
      <c r="L262" s="98" t="str">
        <f t="shared" si="10"/>
        <v>Lancar</v>
      </c>
      <c r="M262" s="5" t="str">
        <f t="shared" si="11"/>
        <v>001</v>
      </c>
      <c r="N262" s="55" t="str">
        <f>VLOOKUP(D262,Pinjaman!$E$7:$N$1900,10,FALSE)</f>
        <v>PRODUKTIF</v>
      </c>
      <c r="O262" s="55">
        <f>VLOOKUP(B262,'Data Angt'!$A$5:$H$5810,6,FALSE)</f>
        <v>34</v>
      </c>
      <c r="P262" s="55" t="str">
        <f>VLOOKUP(B262,'Data Angt'!$A$5:$H$5810,8,FALSE)</f>
        <v>Lain-Lain</v>
      </c>
    </row>
    <row r="263" spans="1:16" x14ac:dyDescent="0.3">
      <c r="A263" s="8">
        <v>256</v>
      </c>
      <c r="B263" s="9" t="s">
        <v>4483</v>
      </c>
      <c r="C263" s="10" t="str">
        <f>VLOOKUP(B263,'Data Angt'!$A$5:$B$5809,2,FALSE)</f>
        <v>A1951</v>
      </c>
      <c r="D263" s="12" t="s">
        <v>22429</v>
      </c>
      <c r="E263" s="13">
        <v>45852</v>
      </c>
      <c r="F263" s="14">
        <v>45902</v>
      </c>
      <c r="G263" s="15">
        <v>3000000</v>
      </c>
      <c r="H263" s="16">
        <v>10</v>
      </c>
      <c r="I263" s="17">
        <v>24</v>
      </c>
      <c r="J263" s="15">
        <v>2446600</v>
      </c>
      <c r="K263" s="98">
        <f t="shared" si="9"/>
        <v>0</v>
      </c>
      <c r="L263" s="98" t="str">
        <f t="shared" si="10"/>
        <v>Lancar</v>
      </c>
      <c r="M263" s="5" t="str">
        <f t="shared" si="11"/>
        <v>001</v>
      </c>
      <c r="N263" s="55" t="str">
        <f>VLOOKUP(D263,Pinjaman!$E$7:$N$1900,10,FALSE)</f>
        <v>PRODUKTIF</v>
      </c>
      <c r="O263" s="55">
        <f>VLOOKUP(B263,'Data Angt'!$A$5:$H$5810,6,FALSE)</f>
        <v>34</v>
      </c>
      <c r="P263" s="55" t="str">
        <f>VLOOKUP(B263,'Data Angt'!$A$5:$H$5810,8,FALSE)</f>
        <v>Lain-Lain</v>
      </c>
    </row>
    <row r="264" spans="1:16" x14ac:dyDescent="0.3">
      <c r="A264" s="8">
        <v>257</v>
      </c>
      <c r="B264" s="9" t="s">
        <v>4523</v>
      </c>
      <c r="C264" s="10" t="str">
        <f>VLOOKUP(B264,'Data Angt'!$A$5:$B$5809,2,FALSE)</f>
        <v>A1970</v>
      </c>
      <c r="D264" s="12" t="s">
        <v>15717</v>
      </c>
      <c r="E264" s="13">
        <v>45735</v>
      </c>
      <c r="F264" s="14">
        <v>45919</v>
      </c>
      <c r="G264" s="15">
        <v>5000000</v>
      </c>
      <c r="H264" s="16">
        <v>12</v>
      </c>
      <c r="I264" s="17">
        <v>24</v>
      </c>
      <c r="J264" s="15">
        <v>2648600</v>
      </c>
      <c r="K264" s="98">
        <f t="shared" si="9"/>
        <v>0</v>
      </c>
      <c r="L264" s="98" t="str">
        <f t="shared" si="10"/>
        <v>Lancar</v>
      </c>
      <c r="M264" s="5" t="str">
        <f t="shared" si="11"/>
        <v>001</v>
      </c>
      <c r="N264" s="55" t="str">
        <f>VLOOKUP(D264,Pinjaman!$E$7:$N$1900,10,FALSE)</f>
        <v>PRODUKTIF</v>
      </c>
      <c r="O264" s="55">
        <f>VLOOKUP(B264,'Data Angt'!$A$5:$H$5810,6,FALSE)</f>
        <v>48</v>
      </c>
      <c r="P264" s="55" t="str">
        <f>VLOOKUP(B264,'Data Angt'!$A$5:$H$5810,8,FALSE)</f>
        <v>Mengurus Rumah Tangga</v>
      </c>
    </row>
    <row r="265" spans="1:16" x14ac:dyDescent="0.3">
      <c r="A265" s="8">
        <v>258</v>
      </c>
      <c r="B265" s="9" t="s">
        <v>4533</v>
      </c>
      <c r="C265" s="10" t="str">
        <f>VLOOKUP(B265,'Data Angt'!$A$5:$B$5809,2,FALSE)</f>
        <v>A1974</v>
      </c>
      <c r="D265" s="12" t="s">
        <v>15719</v>
      </c>
      <c r="E265" s="13">
        <v>45708</v>
      </c>
      <c r="F265" s="14">
        <v>45916</v>
      </c>
      <c r="G265" s="15">
        <v>10000000</v>
      </c>
      <c r="H265" s="16">
        <v>10</v>
      </c>
      <c r="I265" s="17">
        <v>24</v>
      </c>
      <c r="J265" s="15">
        <v>3210700</v>
      </c>
      <c r="K265" s="98">
        <f t="shared" ref="K265:K328" si="12">DATEDIF(F265,$K$6,"m")</f>
        <v>0</v>
      </c>
      <c r="L265" s="98" t="str">
        <f t="shared" ref="L265:L328" si="13">IF(K265&lt;=3,"Lancar",IF(K265&lt;=6,"Kurang lancar",IF(K265&lt;=12,"Diragukan","Macet")))</f>
        <v>Lancar</v>
      </c>
      <c r="M265" s="5" t="str">
        <f t="shared" ref="M265:M328" si="14">MID(B265,7,3)</f>
        <v>001</v>
      </c>
      <c r="N265" s="55" t="str">
        <f>VLOOKUP(D265,Pinjaman!$E$7:$N$1900,10,FALSE)</f>
        <v>KONSUMTIF</v>
      </c>
      <c r="O265" s="55">
        <f>VLOOKUP(B265,'Data Angt'!$A$5:$H$5810,6,FALSE)</f>
        <v>51</v>
      </c>
      <c r="P265" s="55" t="str">
        <f>VLOOKUP(B265,'Data Angt'!$A$5:$H$5810,8,FALSE)</f>
        <v>Mengurus Rumah Tangga</v>
      </c>
    </row>
    <row r="266" spans="1:16" x14ac:dyDescent="0.3">
      <c r="A266" s="8">
        <v>259</v>
      </c>
      <c r="B266" s="9" t="s">
        <v>4539</v>
      </c>
      <c r="C266" s="10" t="str">
        <f>VLOOKUP(B266,'Data Angt'!$A$5:$B$5809,2,FALSE)</f>
        <v>A1976</v>
      </c>
      <c r="D266" s="12" t="s">
        <v>15722</v>
      </c>
      <c r="E266" s="13">
        <v>45792</v>
      </c>
      <c r="F266" s="14">
        <v>45916</v>
      </c>
      <c r="G266" s="15">
        <v>5000000</v>
      </c>
      <c r="H266" s="16">
        <v>12</v>
      </c>
      <c r="I266" s="17">
        <v>11.88</v>
      </c>
      <c r="J266" s="15">
        <v>3398500</v>
      </c>
      <c r="K266" s="98">
        <f t="shared" si="12"/>
        <v>0</v>
      </c>
      <c r="L266" s="98" t="str">
        <f t="shared" si="13"/>
        <v>Lancar</v>
      </c>
      <c r="M266" s="5" t="str">
        <f t="shared" si="14"/>
        <v>001</v>
      </c>
      <c r="N266" s="55" t="str">
        <f>VLOOKUP(D266,Pinjaman!$E$7:$N$1900,10,FALSE)</f>
        <v>PRODUKTIF</v>
      </c>
      <c r="O266" s="55">
        <f>VLOOKUP(B266,'Data Angt'!$A$5:$H$5810,6,FALSE)</f>
        <v>43</v>
      </c>
      <c r="P266" s="55" t="str">
        <f>VLOOKUP(B266,'Data Angt'!$A$5:$H$5810,8,FALSE)</f>
        <v>Wiraswasta</v>
      </c>
    </row>
    <row r="267" spans="1:16" x14ac:dyDescent="0.3">
      <c r="A267" s="8">
        <v>260</v>
      </c>
      <c r="B267" s="9" t="s">
        <v>4554</v>
      </c>
      <c r="C267" s="10" t="str">
        <f>VLOOKUP(B267,'Data Angt'!$A$5:$B$5809,2,FALSE)</f>
        <v>A1982</v>
      </c>
      <c r="D267" s="12" t="s">
        <v>10010</v>
      </c>
      <c r="E267" s="13">
        <v>44803</v>
      </c>
      <c r="F267" s="14">
        <v>45897</v>
      </c>
      <c r="G267" s="15">
        <v>10000000</v>
      </c>
      <c r="H267" s="16">
        <v>56</v>
      </c>
      <c r="I267" s="17">
        <v>24</v>
      </c>
      <c r="J267" s="15">
        <v>9704500</v>
      </c>
      <c r="K267" s="98">
        <f t="shared" si="12"/>
        <v>1</v>
      </c>
      <c r="L267" s="98" t="str">
        <f t="shared" si="13"/>
        <v>Lancar</v>
      </c>
      <c r="M267" s="5" t="str">
        <f t="shared" si="14"/>
        <v>001</v>
      </c>
      <c r="N267" s="55" t="str">
        <f>VLOOKUP(D267,Pinjaman!$E$7:$N$1900,10,FALSE)</f>
        <v>PRODUKTIF</v>
      </c>
      <c r="O267" s="55">
        <f>VLOOKUP(B267,'Data Angt'!$A$5:$H$5810,6,FALSE)</f>
        <v>50</v>
      </c>
      <c r="P267" s="55" t="str">
        <f>VLOOKUP(B267,'Data Angt'!$A$5:$H$5810,8,FALSE)</f>
        <v>Lain-Lain</v>
      </c>
    </row>
    <row r="268" spans="1:16" x14ac:dyDescent="0.3">
      <c r="A268" s="8">
        <v>261</v>
      </c>
      <c r="B268" s="9" t="s">
        <v>4564</v>
      </c>
      <c r="C268" s="10" t="str">
        <f>VLOOKUP(B268,'Data Angt'!$A$5:$B$5809,2,FALSE)</f>
        <v>A1988</v>
      </c>
      <c r="D268" s="12" t="s">
        <v>15724</v>
      </c>
      <c r="E268" s="13">
        <v>45647</v>
      </c>
      <c r="F268" s="14">
        <v>45920</v>
      </c>
      <c r="G268" s="15">
        <v>20000000</v>
      </c>
      <c r="H268" s="16">
        <v>36</v>
      </c>
      <c r="I268" s="17">
        <v>24</v>
      </c>
      <c r="J268" s="15">
        <v>16247800</v>
      </c>
      <c r="K268" s="98">
        <f t="shared" si="12"/>
        <v>0</v>
      </c>
      <c r="L268" s="98" t="str">
        <f t="shared" si="13"/>
        <v>Lancar</v>
      </c>
      <c r="M268" s="5" t="str">
        <f t="shared" si="14"/>
        <v>001</v>
      </c>
      <c r="N268" s="55" t="str">
        <f>VLOOKUP(D268,Pinjaman!$E$7:$N$1900,10,FALSE)</f>
        <v>PRODUKTIF</v>
      </c>
      <c r="O268" s="55">
        <f>VLOOKUP(B268,'Data Angt'!$A$5:$H$5810,6,FALSE)</f>
        <v>34</v>
      </c>
      <c r="P268" s="55" t="str">
        <f>VLOOKUP(B268,'Data Angt'!$A$5:$H$5810,8,FALSE)</f>
        <v>Lain-Lain</v>
      </c>
    </row>
    <row r="269" spans="1:16" x14ac:dyDescent="0.3">
      <c r="A269" s="8">
        <v>262</v>
      </c>
      <c r="B269" s="9" t="s">
        <v>4564</v>
      </c>
      <c r="C269" s="10" t="str">
        <f>VLOOKUP(B269,'Data Angt'!$A$5:$B$5809,2,FALSE)</f>
        <v>A1988</v>
      </c>
      <c r="D269" s="12" t="s">
        <v>22434</v>
      </c>
      <c r="E269" s="13">
        <v>45892</v>
      </c>
      <c r="F269" s="14">
        <v>45920</v>
      </c>
      <c r="G269" s="15">
        <v>5000000</v>
      </c>
      <c r="H269" s="16">
        <v>10</v>
      </c>
      <c r="I269" s="17">
        <v>24</v>
      </c>
      <c r="J269" s="15">
        <v>4543300</v>
      </c>
      <c r="K269" s="98">
        <f t="shared" si="12"/>
        <v>0</v>
      </c>
      <c r="L269" s="98" t="str">
        <f t="shared" si="13"/>
        <v>Lancar</v>
      </c>
      <c r="M269" s="5" t="str">
        <f t="shared" si="14"/>
        <v>001</v>
      </c>
      <c r="N269" s="55" t="str">
        <f>VLOOKUP(D269,Pinjaman!$E$7:$N$1900,10,FALSE)</f>
        <v>KONSUMTIF</v>
      </c>
      <c r="O269" s="55">
        <f>VLOOKUP(B269,'Data Angt'!$A$5:$H$5810,6,FALSE)</f>
        <v>34</v>
      </c>
      <c r="P269" s="55" t="str">
        <f>VLOOKUP(B269,'Data Angt'!$A$5:$H$5810,8,FALSE)</f>
        <v>Lain-Lain</v>
      </c>
    </row>
    <row r="270" spans="1:16" x14ac:dyDescent="0.3">
      <c r="A270" s="8">
        <v>263</v>
      </c>
      <c r="B270" s="9" t="s">
        <v>4580</v>
      </c>
      <c r="C270" s="10" t="str">
        <f>VLOOKUP(B270,'Data Angt'!$A$5:$B$5809,2,FALSE)</f>
        <v>A1996</v>
      </c>
      <c r="D270" s="12" t="s">
        <v>10012</v>
      </c>
      <c r="E270" s="13">
        <v>43655</v>
      </c>
      <c r="F270" s="14">
        <v>44769</v>
      </c>
      <c r="G270" s="15">
        <v>120000000</v>
      </c>
      <c r="H270" s="16">
        <v>48</v>
      </c>
      <c r="I270" s="17">
        <v>21</v>
      </c>
      <c r="J270" s="15">
        <v>56888800</v>
      </c>
      <c r="K270" s="98">
        <f t="shared" si="12"/>
        <v>38</v>
      </c>
      <c r="L270" s="98" t="str">
        <f t="shared" si="13"/>
        <v>Macet</v>
      </c>
      <c r="M270" s="5" t="str">
        <f t="shared" si="14"/>
        <v>001</v>
      </c>
      <c r="N270" s="55" t="str">
        <f>VLOOKUP(D270,Pinjaman!$E$7:$N$1900,10,FALSE)</f>
        <v>PRODUKTIF</v>
      </c>
      <c r="O270" s="55">
        <f>VLOOKUP(B270,'Data Angt'!$A$5:$H$5810,6,FALSE)</f>
        <v>51</v>
      </c>
      <c r="P270" s="55" t="str">
        <f>VLOOKUP(B270,'Data Angt'!$A$5:$H$5810,8,FALSE)</f>
        <v>Wiraswasta</v>
      </c>
    </row>
    <row r="271" spans="1:16" x14ac:dyDescent="0.3">
      <c r="A271" s="8">
        <v>264</v>
      </c>
      <c r="B271" s="9" t="s">
        <v>4593</v>
      </c>
      <c r="C271" s="10" t="str">
        <f>VLOOKUP(B271,'Data Angt'!$A$5:$B$5809,2,FALSE)</f>
        <v>A2004</v>
      </c>
      <c r="D271" s="12" t="s">
        <v>10015</v>
      </c>
      <c r="E271" s="13">
        <v>44954</v>
      </c>
      <c r="F271" s="14">
        <v>45895</v>
      </c>
      <c r="G271" s="15">
        <v>23000000</v>
      </c>
      <c r="H271" s="16">
        <v>60</v>
      </c>
      <c r="I271" s="17">
        <v>24</v>
      </c>
      <c r="J271" s="15">
        <v>16883300</v>
      </c>
      <c r="K271" s="98">
        <f t="shared" si="12"/>
        <v>1</v>
      </c>
      <c r="L271" s="98" t="str">
        <f t="shared" si="13"/>
        <v>Lancar</v>
      </c>
      <c r="M271" s="5" t="str">
        <f t="shared" si="14"/>
        <v>001</v>
      </c>
      <c r="N271" s="55" t="str">
        <f>VLOOKUP(D271,Pinjaman!$E$7:$N$1900,10,FALSE)</f>
        <v>KONSUMTIF</v>
      </c>
      <c r="O271" s="55">
        <f>VLOOKUP(B271,'Data Angt'!$A$5:$H$5810,6,FALSE)</f>
        <v>53</v>
      </c>
      <c r="P271" s="55" t="str">
        <f>VLOOKUP(B271,'Data Angt'!$A$5:$H$5810,8,FALSE)</f>
        <v>Mengurus Rumah Tangga</v>
      </c>
    </row>
    <row r="272" spans="1:16" x14ac:dyDescent="0.3">
      <c r="A272" s="8">
        <v>265</v>
      </c>
      <c r="B272" s="9" t="s">
        <v>4611</v>
      </c>
      <c r="C272" s="10" t="str">
        <f>VLOOKUP(B272,'Data Angt'!$A$5:$B$5809,2,FALSE)</f>
        <v>A2014</v>
      </c>
      <c r="D272" s="12" t="s">
        <v>10017</v>
      </c>
      <c r="E272" s="13">
        <v>43738</v>
      </c>
      <c r="F272" s="14">
        <v>45925</v>
      </c>
      <c r="G272" s="15">
        <v>200000000</v>
      </c>
      <c r="H272" s="16">
        <v>120</v>
      </c>
      <c r="I272" s="17">
        <v>11.4</v>
      </c>
      <c r="J272" s="15">
        <v>129641100</v>
      </c>
      <c r="K272" s="98">
        <f t="shared" si="12"/>
        <v>0</v>
      </c>
      <c r="L272" s="98" t="str">
        <f t="shared" si="13"/>
        <v>Lancar</v>
      </c>
      <c r="M272" s="5" t="str">
        <f t="shared" si="14"/>
        <v>001</v>
      </c>
      <c r="N272" s="55" t="str">
        <f>VLOOKUP(D272,Pinjaman!$E$7:$N$1900,10,FALSE)</f>
        <v>KESEJAHTERAAN</v>
      </c>
      <c r="O272" s="55">
        <f>VLOOKUP(B272,'Data Angt'!$A$5:$H$5810,6,FALSE)</f>
        <v>57</v>
      </c>
      <c r="P272" s="55" t="str">
        <f>VLOOKUP(B272,'Data Angt'!$A$5:$H$5810,8,FALSE)</f>
        <v>Wiraswasta</v>
      </c>
    </row>
    <row r="273" spans="1:16" x14ac:dyDescent="0.3">
      <c r="A273" s="8">
        <v>266</v>
      </c>
      <c r="B273" s="9" t="s">
        <v>4613</v>
      </c>
      <c r="C273" s="10" t="str">
        <f>VLOOKUP(B273,'Data Angt'!$A$5:$B$5809,2,FALSE)</f>
        <v>A2015</v>
      </c>
      <c r="D273" s="12" t="s">
        <v>10019</v>
      </c>
      <c r="E273" s="13">
        <v>43803</v>
      </c>
      <c r="F273" s="14">
        <v>44984</v>
      </c>
      <c r="G273" s="15">
        <v>30800000</v>
      </c>
      <c r="H273" s="16">
        <v>39</v>
      </c>
      <c r="I273" s="17">
        <v>21</v>
      </c>
      <c r="J273" s="15">
        <v>29675700</v>
      </c>
      <c r="K273" s="98">
        <f t="shared" si="12"/>
        <v>31</v>
      </c>
      <c r="L273" s="98" t="str">
        <f t="shared" si="13"/>
        <v>Macet</v>
      </c>
      <c r="M273" s="5" t="str">
        <f t="shared" si="14"/>
        <v>001</v>
      </c>
      <c r="N273" s="55" t="str">
        <f>VLOOKUP(D273,Pinjaman!$E$7:$N$1900,10,FALSE)</f>
        <v>KESEJAHTERAAN</v>
      </c>
      <c r="O273" s="55">
        <f>VLOOKUP(B273,'Data Angt'!$A$5:$H$5810,6,FALSE)</f>
        <v>39</v>
      </c>
      <c r="P273" s="55" t="str">
        <f>VLOOKUP(B273,'Data Angt'!$A$5:$H$5810,8,FALSE)</f>
        <v>Wiraswasta</v>
      </c>
    </row>
    <row r="274" spans="1:16" x14ac:dyDescent="0.3">
      <c r="A274" s="8">
        <v>267</v>
      </c>
      <c r="B274" s="9" t="s">
        <v>4622</v>
      </c>
      <c r="C274" s="10" t="str">
        <f>VLOOKUP(B274,'Data Angt'!$A$5:$B$5809,2,FALSE)</f>
        <v>A2018</v>
      </c>
      <c r="D274" s="12" t="s">
        <v>22438</v>
      </c>
      <c r="E274" s="13">
        <v>45841</v>
      </c>
      <c r="F274" s="14">
        <v>45903</v>
      </c>
      <c r="G274" s="15">
        <v>5000000</v>
      </c>
      <c r="H274" s="16">
        <v>18</v>
      </c>
      <c r="I274" s="17">
        <v>24</v>
      </c>
      <c r="J274" s="15">
        <v>4528200</v>
      </c>
      <c r="K274" s="98">
        <f t="shared" si="12"/>
        <v>0</v>
      </c>
      <c r="L274" s="98" t="str">
        <f t="shared" si="13"/>
        <v>Lancar</v>
      </c>
      <c r="M274" s="5" t="str">
        <f t="shared" si="14"/>
        <v>001</v>
      </c>
      <c r="N274" s="55" t="str">
        <f>VLOOKUP(D274,Pinjaman!$E$7:$N$1900,10,FALSE)</f>
        <v>PENDIDIKAN</v>
      </c>
      <c r="O274" s="55">
        <f>VLOOKUP(B274,'Data Angt'!$A$5:$H$5810,6,FALSE)</f>
        <v>53</v>
      </c>
      <c r="P274" s="55" t="str">
        <f>VLOOKUP(B274,'Data Angt'!$A$5:$H$5810,8,FALSE)</f>
        <v>Wiraswasta</v>
      </c>
    </row>
    <row r="275" spans="1:16" x14ac:dyDescent="0.3">
      <c r="A275" s="8">
        <v>268</v>
      </c>
      <c r="B275" s="9" t="s">
        <v>4627</v>
      </c>
      <c r="C275" s="10" t="str">
        <f>VLOOKUP(B275,'Data Angt'!$A$5:$B$5809,2,FALSE)</f>
        <v>A2020</v>
      </c>
      <c r="D275" s="12" t="s">
        <v>15727</v>
      </c>
      <c r="E275" s="13">
        <v>45740</v>
      </c>
      <c r="F275" s="14">
        <v>45926</v>
      </c>
      <c r="G275" s="15">
        <v>1900000</v>
      </c>
      <c r="H275" s="16">
        <v>12</v>
      </c>
      <c r="I275" s="17">
        <v>12</v>
      </c>
      <c r="J275" s="15">
        <v>978100</v>
      </c>
      <c r="K275" s="98">
        <f t="shared" si="12"/>
        <v>0</v>
      </c>
      <c r="L275" s="98" t="str">
        <f t="shared" si="13"/>
        <v>Lancar</v>
      </c>
      <c r="M275" s="5" t="str">
        <f t="shared" si="14"/>
        <v>001</v>
      </c>
      <c r="N275" s="55" t="str">
        <f>VLOOKUP(D275,Pinjaman!$E$7:$N$1900,10,FALSE)</f>
        <v>KONSUMTIF</v>
      </c>
      <c r="O275" s="55">
        <f>VLOOKUP(B275,'Data Angt'!$A$5:$H$5810,6,FALSE)</f>
        <v>29</v>
      </c>
      <c r="P275" s="55" t="str">
        <f>VLOOKUP(B275,'Data Angt'!$A$5:$H$5810,8,FALSE)</f>
        <v>Karyawan</v>
      </c>
    </row>
    <row r="276" spans="1:16" x14ac:dyDescent="0.3">
      <c r="A276" s="8">
        <v>269</v>
      </c>
      <c r="B276" s="9" t="s">
        <v>4627</v>
      </c>
      <c r="C276" s="10" t="str">
        <f>VLOOKUP(B276,'Data Angt'!$A$5:$B$5809,2,FALSE)</f>
        <v>A2020</v>
      </c>
      <c r="D276" s="12" t="s">
        <v>10022</v>
      </c>
      <c r="E276" s="13">
        <v>43697</v>
      </c>
      <c r="F276" s="14">
        <v>45926</v>
      </c>
      <c r="G276" s="15">
        <v>250000000</v>
      </c>
      <c r="H276" s="16">
        <v>140</v>
      </c>
      <c r="I276" s="17">
        <v>2.4</v>
      </c>
      <c r="J276" s="15">
        <v>113239500</v>
      </c>
      <c r="K276" s="98">
        <f t="shared" si="12"/>
        <v>0</v>
      </c>
      <c r="L276" s="98" t="str">
        <f t="shared" si="13"/>
        <v>Lancar</v>
      </c>
      <c r="M276" s="5" t="str">
        <f t="shared" si="14"/>
        <v>001</v>
      </c>
      <c r="N276" s="55" t="str">
        <f>VLOOKUP(D276,Pinjaman!$E$7:$N$1900,10,FALSE)</f>
        <v>KESEJAHTERAAN</v>
      </c>
      <c r="O276" s="55">
        <f>VLOOKUP(B276,'Data Angt'!$A$5:$H$5810,6,FALSE)</f>
        <v>29</v>
      </c>
      <c r="P276" s="55" t="str">
        <f>VLOOKUP(B276,'Data Angt'!$A$5:$H$5810,8,FALSE)</f>
        <v>Karyawan</v>
      </c>
    </row>
    <row r="277" spans="1:16" x14ac:dyDescent="0.3">
      <c r="A277" s="8">
        <v>270</v>
      </c>
      <c r="B277" s="9" t="s">
        <v>4639</v>
      </c>
      <c r="C277" s="10" t="str">
        <f>VLOOKUP(B277,'Data Angt'!$A$5:$B$5809,2,FALSE)</f>
        <v>A2025</v>
      </c>
      <c r="D277" s="12" t="s">
        <v>15729</v>
      </c>
      <c r="E277" s="13">
        <v>45625</v>
      </c>
      <c r="F277" s="14">
        <v>45930</v>
      </c>
      <c r="G277" s="15">
        <v>6000000</v>
      </c>
      <c r="H277" s="16">
        <v>12</v>
      </c>
      <c r="I277" s="17">
        <v>24</v>
      </c>
      <c r="J277" s="15">
        <v>1101700</v>
      </c>
      <c r="K277" s="98">
        <f t="shared" si="12"/>
        <v>0</v>
      </c>
      <c r="L277" s="98" t="str">
        <f t="shared" si="13"/>
        <v>Lancar</v>
      </c>
      <c r="M277" s="5" t="str">
        <f t="shared" si="14"/>
        <v>001</v>
      </c>
      <c r="N277" s="55" t="str">
        <f>VLOOKUP(D277,Pinjaman!$E$7:$N$1900,10,FALSE)</f>
        <v>PRODUKTIF</v>
      </c>
      <c r="O277" s="55">
        <f>VLOOKUP(B277,'Data Angt'!$A$5:$H$5810,6,FALSE)</f>
        <v>35</v>
      </c>
      <c r="P277" s="55" t="str">
        <f>VLOOKUP(B277,'Data Angt'!$A$5:$H$5810,8,FALSE)</f>
        <v>Karyawan</v>
      </c>
    </row>
    <row r="278" spans="1:16" x14ac:dyDescent="0.3">
      <c r="A278" s="8">
        <v>271</v>
      </c>
      <c r="B278" s="9" t="s">
        <v>4643</v>
      </c>
      <c r="C278" s="10" t="str">
        <f>VLOOKUP(B278,'Data Angt'!$A$5:$B$5809,2,FALSE)</f>
        <v>A2027</v>
      </c>
      <c r="D278" s="12" t="s">
        <v>10025</v>
      </c>
      <c r="E278" s="13">
        <v>44932</v>
      </c>
      <c r="F278" s="14">
        <v>45926</v>
      </c>
      <c r="G278" s="15">
        <v>300000000</v>
      </c>
      <c r="H278" s="16">
        <v>132</v>
      </c>
      <c r="I278" s="17">
        <v>2.4</v>
      </c>
      <c r="J278" s="15">
        <v>266924400</v>
      </c>
      <c r="K278" s="98">
        <f t="shared" si="12"/>
        <v>0</v>
      </c>
      <c r="L278" s="98" t="str">
        <f t="shared" si="13"/>
        <v>Lancar</v>
      </c>
      <c r="M278" s="5" t="str">
        <f t="shared" si="14"/>
        <v>001</v>
      </c>
      <c r="N278" s="55" t="str">
        <f>VLOOKUP(D278,Pinjaman!$E$7:$N$1900,10,FALSE)</f>
        <v>KESEJAHTERAAN</v>
      </c>
      <c r="O278" s="55">
        <f>VLOOKUP(B278,'Data Angt'!$A$5:$H$5810,6,FALSE)</f>
        <v>30</v>
      </c>
      <c r="P278" s="55" t="str">
        <f>VLOOKUP(B278,'Data Angt'!$A$5:$H$5810,8,FALSE)</f>
        <v>Karyawan</v>
      </c>
    </row>
    <row r="279" spans="1:16" x14ac:dyDescent="0.3">
      <c r="A279" s="8">
        <v>272</v>
      </c>
      <c r="B279" s="9" t="s">
        <v>4643</v>
      </c>
      <c r="C279" s="10" t="str">
        <f>VLOOKUP(B279,'Data Angt'!$A$5:$B$5809,2,FALSE)</f>
        <v>A2027</v>
      </c>
      <c r="D279" s="12" t="s">
        <v>15731</v>
      </c>
      <c r="E279" s="13">
        <v>45811</v>
      </c>
      <c r="F279" s="14">
        <v>45904</v>
      </c>
      <c r="G279" s="15">
        <v>1500000</v>
      </c>
      <c r="H279" s="16">
        <v>12</v>
      </c>
      <c r="I279" s="17">
        <v>18</v>
      </c>
      <c r="J279" s="15">
        <v>1149600</v>
      </c>
      <c r="K279" s="98">
        <f t="shared" si="12"/>
        <v>0</v>
      </c>
      <c r="L279" s="98" t="str">
        <f t="shared" si="13"/>
        <v>Lancar</v>
      </c>
      <c r="M279" s="5" t="str">
        <f t="shared" si="14"/>
        <v>001</v>
      </c>
      <c r="N279" s="55" t="str">
        <f>VLOOKUP(D279,Pinjaman!$E$7:$N$1900,10,FALSE)</f>
        <v>KONSUMTIF</v>
      </c>
      <c r="O279" s="55">
        <f>VLOOKUP(B279,'Data Angt'!$A$5:$H$5810,6,FALSE)</f>
        <v>30</v>
      </c>
      <c r="P279" s="55" t="str">
        <f>VLOOKUP(B279,'Data Angt'!$A$5:$H$5810,8,FALSE)</f>
        <v>Karyawan</v>
      </c>
    </row>
    <row r="280" spans="1:16" x14ac:dyDescent="0.3">
      <c r="A280" s="8">
        <v>273</v>
      </c>
      <c r="B280" s="9" t="s">
        <v>4669</v>
      </c>
      <c r="C280" s="10" t="str">
        <f>VLOOKUP(B280,'Data Angt'!$A$5:$B$5809,2,FALSE)</f>
        <v>A2039</v>
      </c>
      <c r="D280" s="12" t="s">
        <v>15733</v>
      </c>
      <c r="E280" s="13">
        <v>45526</v>
      </c>
      <c r="F280" s="14">
        <v>45925</v>
      </c>
      <c r="G280" s="15">
        <v>32000000</v>
      </c>
      <c r="H280" s="16">
        <v>24</v>
      </c>
      <c r="I280" s="17">
        <v>21</v>
      </c>
      <c r="J280" s="15">
        <v>16324000</v>
      </c>
      <c r="K280" s="98">
        <f t="shared" si="12"/>
        <v>0</v>
      </c>
      <c r="L280" s="98" t="str">
        <f t="shared" si="13"/>
        <v>Lancar</v>
      </c>
      <c r="M280" s="5" t="str">
        <f t="shared" si="14"/>
        <v>001</v>
      </c>
      <c r="N280" s="55" t="str">
        <f>VLOOKUP(D280,Pinjaman!$E$7:$N$1900,10,FALSE)</f>
        <v>KONSUMTIF</v>
      </c>
      <c r="O280" s="55">
        <f>VLOOKUP(B280,'Data Angt'!$A$5:$H$5810,6,FALSE)</f>
        <v>39</v>
      </c>
      <c r="P280" s="55" t="str">
        <f>VLOOKUP(B280,'Data Angt'!$A$5:$H$5810,8,FALSE)</f>
        <v>Mengurus Rumah Tangga</v>
      </c>
    </row>
    <row r="281" spans="1:16" x14ac:dyDescent="0.3">
      <c r="A281" s="8">
        <v>274</v>
      </c>
      <c r="B281" s="9" t="s">
        <v>4708</v>
      </c>
      <c r="C281" s="10" t="str">
        <f>VLOOKUP(B281,'Data Angt'!$A$5:$B$5809,2,FALSE)</f>
        <v>A2057</v>
      </c>
      <c r="D281" s="12" t="s">
        <v>10030</v>
      </c>
      <c r="E281" s="13">
        <v>43606</v>
      </c>
      <c r="F281" s="14">
        <v>45807</v>
      </c>
      <c r="G281" s="15">
        <v>40000000</v>
      </c>
      <c r="H281" s="16">
        <v>36</v>
      </c>
      <c r="I281" s="17">
        <v>21</v>
      </c>
      <c r="J281" s="15">
        <v>26090600</v>
      </c>
      <c r="K281" s="98">
        <f t="shared" si="12"/>
        <v>4</v>
      </c>
      <c r="L281" s="98" t="str">
        <f t="shared" si="13"/>
        <v>Kurang lancar</v>
      </c>
      <c r="M281" s="5" t="str">
        <f t="shared" si="14"/>
        <v>001</v>
      </c>
      <c r="N281" s="55" t="str">
        <f>VLOOKUP(D281,Pinjaman!$E$7:$N$1900,10,FALSE)</f>
        <v>PRODUKTIF</v>
      </c>
      <c r="O281" s="55">
        <f>VLOOKUP(B281,'Data Angt'!$A$5:$H$5810,6,FALSE)</f>
        <v>39</v>
      </c>
      <c r="P281" s="55" t="str">
        <f>VLOOKUP(B281,'Data Angt'!$A$5:$H$5810,8,FALSE)</f>
        <v>Tenaga Pengajar</v>
      </c>
    </row>
    <row r="282" spans="1:16" x14ac:dyDescent="0.3">
      <c r="A282" s="8">
        <v>275</v>
      </c>
      <c r="B282" s="9" t="s">
        <v>4722</v>
      </c>
      <c r="C282" s="10" t="str">
        <f>VLOOKUP(B282,'Data Angt'!$A$5:$B$5809,2,FALSE)</f>
        <v>A2062</v>
      </c>
      <c r="D282" s="12" t="s">
        <v>15735</v>
      </c>
      <c r="E282" s="13">
        <v>45700</v>
      </c>
      <c r="F282" s="14">
        <v>45912</v>
      </c>
      <c r="G282" s="15">
        <v>3000000</v>
      </c>
      <c r="H282" s="16">
        <v>12</v>
      </c>
      <c r="I282" s="17">
        <v>11.88</v>
      </c>
      <c r="J282" s="15">
        <v>1293300</v>
      </c>
      <c r="K282" s="98">
        <f t="shared" si="12"/>
        <v>0</v>
      </c>
      <c r="L282" s="98" t="str">
        <f t="shared" si="13"/>
        <v>Lancar</v>
      </c>
      <c r="M282" s="5" t="str">
        <f t="shared" si="14"/>
        <v>001</v>
      </c>
      <c r="N282" s="55" t="str">
        <f>VLOOKUP(D282,Pinjaman!$E$7:$N$1900,10,FALSE)</f>
        <v>KESEJAHTERAAN</v>
      </c>
      <c r="O282" s="55">
        <f>VLOOKUP(B282,'Data Angt'!$A$5:$H$5810,6,FALSE)</f>
        <v>38</v>
      </c>
      <c r="P282" s="55" t="str">
        <f>VLOOKUP(B282,'Data Angt'!$A$5:$H$5810,8,FALSE)</f>
        <v>Mengurus Rumah Tangga</v>
      </c>
    </row>
    <row r="283" spans="1:16" x14ac:dyDescent="0.3">
      <c r="A283" s="8">
        <v>276</v>
      </c>
      <c r="B283" s="9" t="s">
        <v>4739</v>
      </c>
      <c r="C283" s="10" t="str">
        <f>VLOOKUP(B283,'Data Angt'!$A$5:$B$5809,2,FALSE)</f>
        <v>A2071</v>
      </c>
      <c r="D283" s="12" t="s">
        <v>15737</v>
      </c>
      <c r="E283" s="13">
        <v>45553</v>
      </c>
      <c r="F283" s="14">
        <v>45890</v>
      </c>
      <c r="G283" s="15">
        <v>7000000</v>
      </c>
      <c r="H283" s="16">
        <v>24</v>
      </c>
      <c r="I283" s="17">
        <v>24</v>
      </c>
      <c r="J283" s="15">
        <v>4200600</v>
      </c>
      <c r="K283" s="98">
        <f t="shared" si="12"/>
        <v>1</v>
      </c>
      <c r="L283" s="98" t="str">
        <f t="shared" si="13"/>
        <v>Lancar</v>
      </c>
      <c r="M283" s="5" t="str">
        <f t="shared" si="14"/>
        <v>001</v>
      </c>
      <c r="N283" s="55" t="str">
        <f>VLOOKUP(D283,Pinjaman!$E$7:$N$1900,10,FALSE)</f>
        <v>KESEJAHTERAAN</v>
      </c>
      <c r="O283" s="55">
        <f>VLOOKUP(B283,'Data Angt'!$A$5:$H$5810,6,FALSE)</f>
        <v>43</v>
      </c>
      <c r="P283" s="55" t="str">
        <f>VLOOKUP(B283,'Data Angt'!$A$5:$H$5810,8,FALSE)</f>
        <v>Lain-Lain</v>
      </c>
    </row>
    <row r="284" spans="1:16" x14ac:dyDescent="0.3">
      <c r="A284" s="8">
        <v>277</v>
      </c>
      <c r="B284" s="9" t="s">
        <v>4758</v>
      </c>
      <c r="C284" s="10" t="str">
        <f>VLOOKUP(B284,'Data Angt'!$A$5:$B$5809,2,FALSE)</f>
        <v>A2082</v>
      </c>
      <c r="D284" s="12" t="s">
        <v>15739</v>
      </c>
      <c r="E284" s="13">
        <v>45617</v>
      </c>
      <c r="F284" s="14">
        <v>45901</v>
      </c>
      <c r="G284" s="15">
        <v>6000000</v>
      </c>
      <c r="H284" s="16">
        <v>24</v>
      </c>
      <c r="I284" s="17">
        <v>24</v>
      </c>
      <c r="J284" s="15">
        <v>3840200</v>
      </c>
      <c r="K284" s="98">
        <f t="shared" si="12"/>
        <v>0</v>
      </c>
      <c r="L284" s="98" t="str">
        <f t="shared" si="13"/>
        <v>Lancar</v>
      </c>
      <c r="M284" s="5" t="str">
        <f t="shared" si="14"/>
        <v>001</v>
      </c>
      <c r="N284" s="55" t="str">
        <f>VLOOKUP(D284,Pinjaman!$E$7:$N$1900,10,FALSE)</f>
        <v>PENDIDIKAN</v>
      </c>
      <c r="O284" s="55">
        <f>VLOOKUP(B284,'Data Angt'!$A$5:$H$5810,6,FALSE)</f>
        <v>53</v>
      </c>
      <c r="P284" s="55" t="str">
        <f>VLOOKUP(B284,'Data Angt'!$A$5:$H$5810,8,FALSE)</f>
        <v>Lain-Lain</v>
      </c>
    </row>
    <row r="285" spans="1:16" x14ac:dyDescent="0.3">
      <c r="A285" s="8">
        <v>278</v>
      </c>
      <c r="B285" s="9" t="s">
        <v>4771</v>
      </c>
      <c r="C285" s="10" t="str">
        <f>VLOOKUP(B285,'Data Angt'!$A$5:$B$5809,2,FALSE)</f>
        <v>A2087</v>
      </c>
      <c r="D285" s="12" t="s">
        <v>10033</v>
      </c>
      <c r="E285" s="13">
        <v>44016</v>
      </c>
      <c r="F285" s="14">
        <v>44370</v>
      </c>
      <c r="G285" s="15">
        <v>15000000</v>
      </c>
      <c r="H285" s="16">
        <v>24</v>
      </c>
      <c r="I285" s="17">
        <v>24</v>
      </c>
      <c r="J285" s="15">
        <v>11250000</v>
      </c>
      <c r="K285" s="98">
        <f t="shared" si="12"/>
        <v>51</v>
      </c>
      <c r="L285" s="98" t="str">
        <f t="shared" si="13"/>
        <v>Macet</v>
      </c>
      <c r="M285" s="5" t="str">
        <f t="shared" si="14"/>
        <v>001</v>
      </c>
      <c r="N285" s="55" t="str">
        <f>VLOOKUP(D285,Pinjaman!$E$7:$N$1900,10,FALSE)</f>
        <v>PRODUKTIF</v>
      </c>
      <c r="O285" s="55">
        <f>VLOOKUP(B285,'Data Angt'!$A$5:$H$5810,6,FALSE)</f>
        <v>52</v>
      </c>
      <c r="P285" s="55" t="str">
        <f>VLOOKUP(B285,'Data Angt'!$A$5:$H$5810,8,FALSE)</f>
        <v>Wiraswasta</v>
      </c>
    </row>
    <row r="286" spans="1:16" x14ac:dyDescent="0.3">
      <c r="A286" s="8">
        <v>279</v>
      </c>
      <c r="B286" s="9" t="s">
        <v>4774</v>
      </c>
      <c r="C286" s="10" t="str">
        <f>VLOOKUP(B286,'Data Angt'!$A$5:$B$5809,2,FALSE)</f>
        <v>A2088</v>
      </c>
      <c r="D286" s="12" t="s">
        <v>15742</v>
      </c>
      <c r="E286" s="13">
        <v>45463</v>
      </c>
      <c r="F286" s="14">
        <v>45920</v>
      </c>
      <c r="G286" s="15">
        <v>40000000</v>
      </c>
      <c r="H286" s="16">
        <v>48</v>
      </c>
      <c r="I286" s="17">
        <v>21</v>
      </c>
      <c r="J286" s="15">
        <v>30851300</v>
      </c>
      <c r="K286" s="98">
        <f t="shared" si="12"/>
        <v>0</v>
      </c>
      <c r="L286" s="98" t="str">
        <f t="shared" si="13"/>
        <v>Lancar</v>
      </c>
      <c r="M286" s="5" t="str">
        <f t="shared" si="14"/>
        <v>001</v>
      </c>
      <c r="N286" s="55" t="str">
        <f>VLOOKUP(D286,Pinjaman!$E$7:$N$1900,10,FALSE)</f>
        <v>PRODUKTIF</v>
      </c>
      <c r="O286" s="55">
        <f>VLOOKUP(B286,'Data Angt'!$A$5:$H$5810,6,FALSE)</f>
        <v>37</v>
      </c>
      <c r="P286" s="55" t="str">
        <f>VLOOKUP(B286,'Data Angt'!$A$5:$H$5810,8,FALSE)</f>
        <v>Karyawan</v>
      </c>
    </row>
    <row r="287" spans="1:16" x14ac:dyDescent="0.3">
      <c r="A287" s="8">
        <v>280</v>
      </c>
      <c r="B287" s="9" t="s">
        <v>4778</v>
      </c>
      <c r="C287" s="10" t="str">
        <f>VLOOKUP(B287,'Data Angt'!$A$5:$B$5809,2,FALSE)</f>
        <v>A2089</v>
      </c>
      <c r="D287" s="12" t="s">
        <v>15745</v>
      </c>
      <c r="E287" s="13">
        <v>45783</v>
      </c>
      <c r="F287" s="14">
        <v>45901</v>
      </c>
      <c r="G287" s="15">
        <v>3000000</v>
      </c>
      <c r="H287" s="16">
        <v>24</v>
      </c>
      <c r="I287" s="17">
        <v>24</v>
      </c>
      <c r="J287" s="15">
        <v>2500000</v>
      </c>
      <c r="K287" s="98">
        <f t="shared" si="12"/>
        <v>0</v>
      </c>
      <c r="L287" s="98" t="str">
        <f t="shared" si="13"/>
        <v>Lancar</v>
      </c>
      <c r="M287" s="5" t="str">
        <f t="shared" si="14"/>
        <v>001</v>
      </c>
      <c r="N287" s="55" t="str">
        <f>VLOOKUP(D287,Pinjaman!$E$7:$N$1900,10,FALSE)</f>
        <v>KESEJAHTERAAN</v>
      </c>
      <c r="O287" s="55">
        <f>VLOOKUP(B287,'Data Angt'!$A$5:$H$5810,6,FALSE)</f>
        <v>33</v>
      </c>
      <c r="P287" s="55" t="str">
        <f>VLOOKUP(B287,'Data Angt'!$A$5:$H$5810,8,FALSE)</f>
        <v>Karyawan</v>
      </c>
    </row>
    <row r="288" spans="1:16" x14ac:dyDescent="0.3">
      <c r="A288" s="8">
        <v>281</v>
      </c>
      <c r="B288" s="9" t="s">
        <v>4821</v>
      </c>
      <c r="C288" s="10" t="str">
        <f>VLOOKUP(B288,'Data Angt'!$A$5:$B$5809,2,FALSE)</f>
        <v>A2109</v>
      </c>
      <c r="D288" s="12" t="s">
        <v>10036</v>
      </c>
      <c r="E288" s="13">
        <v>44343</v>
      </c>
      <c r="F288" s="14">
        <v>45502</v>
      </c>
      <c r="G288" s="15">
        <v>15000000</v>
      </c>
      <c r="H288" s="16">
        <v>48</v>
      </c>
      <c r="I288" s="17">
        <v>24</v>
      </c>
      <c r="J288" s="15">
        <v>14016200</v>
      </c>
      <c r="K288" s="98">
        <f t="shared" si="12"/>
        <v>14</v>
      </c>
      <c r="L288" s="98" t="str">
        <f t="shared" si="13"/>
        <v>Macet</v>
      </c>
      <c r="M288" s="5" t="str">
        <f t="shared" si="14"/>
        <v>001</v>
      </c>
      <c r="N288" s="55" t="str">
        <f>VLOOKUP(D288,Pinjaman!$E$7:$N$1900,10,FALSE)</f>
        <v>KONSUMTIF</v>
      </c>
      <c r="O288" s="55">
        <f>VLOOKUP(B288,'Data Angt'!$A$5:$H$5810,6,FALSE)</f>
        <v>35</v>
      </c>
      <c r="P288" s="55" t="str">
        <f>VLOOKUP(B288,'Data Angt'!$A$5:$H$5810,8,FALSE)</f>
        <v>Mengurus Rumah Tangga</v>
      </c>
    </row>
    <row r="289" spans="1:16" x14ac:dyDescent="0.3">
      <c r="A289" s="8">
        <v>282</v>
      </c>
      <c r="B289" s="9" t="s">
        <v>4824</v>
      </c>
      <c r="C289" s="10" t="str">
        <f>VLOOKUP(B289,'Data Angt'!$A$5:$B$5809,2,FALSE)</f>
        <v>A2111</v>
      </c>
      <c r="D289" s="12" t="s">
        <v>10038</v>
      </c>
      <c r="E289" s="13">
        <v>45262</v>
      </c>
      <c r="F289" s="14">
        <v>45902</v>
      </c>
      <c r="G289" s="15">
        <v>15000000</v>
      </c>
      <c r="H289" s="16">
        <v>24</v>
      </c>
      <c r="I289" s="17">
        <v>24</v>
      </c>
      <c r="J289" s="15">
        <v>2287300</v>
      </c>
      <c r="K289" s="98">
        <f t="shared" si="12"/>
        <v>0</v>
      </c>
      <c r="L289" s="98" t="str">
        <f t="shared" si="13"/>
        <v>Lancar</v>
      </c>
      <c r="M289" s="5" t="str">
        <f t="shared" si="14"/>
        <v>001</v>
      </c>
      <c r="N289" s="55" t="str">
        <f>VLOOKUP(D289,Pinjaman!$E$7:$N$1900,10,FALSE)</f>
        <v>KESEJAHTERAAN</v>
      </c>
      <c r="O289" s="55">
        <f>VLOOKUP(B289,'Data Angt'!$A$5:$H$5810,6,FALSE)</f>
        <v>31</v>
      </c>
      <c r="P289" s="55" t="str">
        <f>VLOOKUP(B289,'Data Angt'!$A$5:$H$5810,8,FALSE)</f>
        <v>Lain-Lain</v>
      </c>
    </row>
    <row r="290" spans="1:16" x14ac:dyDescent="0.3">
      <c r="A290" s="8">
        <v>283</v>
      </c>
      <c r="B290" s="9" t="s">
        <v>4835</v>
      </c>
      <c r="C290" s="10" t="str">
        <f>VLOOKUP(B290,'Data Angt'!$A$5:$B$5809,2,FALSE)</f>
        <v>A2115</v>
      </c>
      <c r="D290" s="12" t="s">
        <v>10041</v>
      </c>
      <c r="E290" s="13">
        <v>45281</v>
      </c>
      <c r="F290" s="14">
        <v>45924</v>
      </c>
      <c r="G290" s="15">
        <v>20000000</v>
      </c>
      <c r="H290" s="16">
        <v>24</v>
      </c>
      <c r="I290" s="17">
        <v>24</v>
      </c>
      <c r="J290" s="15">
        <v>3048800</v>
      </c>
      <c r="K290" s="98">
        <f t="shared" si="12"/>
        <v>0</v>
      </c>
      <c r="L290" s="98" t="str">
        <f t="shared" si="13"/>
        <v>Lancar</v>
      </c>
      <c r="M290" s="5" t="str">
        <f t="shared" si="14"/>
        <v>001</v>
      </c>
      <c r="N290" s="55" t="str">
        <f>VLOOKUP(D290,Pinjaman!$E$7:$N$1900,10,FALSE)</f>
        <v>KESEJAHTERAAN</v>
      </c>
      <c r="O290" s="55">
        <f>VLOOKUP(B290,'Data Angt'!$A$5:$H$5810,6,FALSE)</f>
        <v>30</v>
      </c>
      <c r="P290" s="55" t="str">
        <f>VLOOKUP(B290,'Data Angt'!$A$5:$H$5810,8,FALSE)</f>
        <v>Lain-Lain</v>
      </c>
    </row>
    <row r="291" spans="1:16" x14ac:dyDescent="0.3">
      <c r="A291" s="8">
        <v>284</v>
      </c>
      <c r="B291" s="9" t="s">
        <v>4842</v>
      </c>
      <c r="C291" s="10" t="str">
        <f>VLOOKUP(B291,'Data Angt'!$A$5:$B$5809,2,FALSE)</f>
        <v>A2119</v>
      </c>
      <c r="D291" s="12" t="s">
        <v>10044</v>
      </c>
      <c r="E291" s="13">
        <v>43857</v>
      </c>
      <c r="F291" s="14">
        <v>45925</v>
      </c>
      <c r="G291" s="15">
        <v>200000000</v>
      </c>
      <c r="H291" s="16">
        <v>144</v>
      </c>
      <c r="I291" s="17">
        <v>11.4</v>
      </c>
      <c r="J291" s="15">
        <v>137836700</v>
      </c>
      <c r="K291" s="98">
        <f t="shared" si="12"/>
        <v>0</v>
      </c>
      <c r="L291" s="98" t="str">
        <f t="shared" si="13"/>
        <v>Lancar</v>
      </c>
      <c r="M291" s="5" t="str">
        <f t="shared" si="14"/>
        <v>001</v>
      </c>
      <c r="N291" s="55" t="str">
        <f>VLOOKUP(D291,Pinjaman!$E$7:$N$1900,10,FALSE)</f>
        <v>KESEJAHTERAAN</v>
      </c>
      <c r="O291" s="55">
        <f>VLOOKUP(B291,'Data Angt'!$A$5:$H$5810,6,FALSE)</f>
        <v>49</v>
      </c>
      <c r="P291" s="55" t="str">
        <f>VLOOKUP(B291,'Data Angt'!$A$5:$H$5810,8,FALSE)</f>
        <v>Aparatur/Pejabat Negara</v>
      </c>
    </row>
    <row r="292" spans="1:16" x14ac:dyDescent="0.3">
      <c r="A292" s="8">
        <v>285</v>
      </c>
      <c r="B292" s="9" t="s">
        <v>4876</v>
      </c>
      <c r="C292" s="10" t="str">
        <f>VLOOKUP(B292,'Data Angt'!$A$5:$B$5809,2,FALSE)</f>
        <v>A2135</v>
      </c>
      <c r="D292" s="12" t="s">
        <v>22447</v>
      </c>
      <c r="E292" s="13">
        <v>45846</v>
      </c>
      <c r="F292" s="14">
        <v>45925</v>
      </c>
      <c r="G292" s="15">
        <v>5000000</v>
      </c>
      <c r="H292" s="16">
        <v>12</v>
      </c>
      <c r="I292" s="17">
        <v>18</v>
      </c>
      <c r="J292" s="15">
        <v>4227500</v>
      </c>
      <c r="K292" s="98">
        <f t="shared" si="12"/>
        <v>0</v>
      </c>
      <c r="L292" s="98" t="str">
        <f t="shared" si="13"/>
        <v>Lancar</v>
      </c>
      <c r="M292" s="5" t="str">
        <f t="shared" si="14"/>
        <v>001</v>
      </c>
      <c r="N292" s="55" t="str">
        <f>VLOOKUP(D292,Pinjaman!$E$7:$N$1900,10,FALSE)</f>
        <v>PENDIDIKAN</v>
      </c>
      <c r="O292" s="55">
        <f>VLOOKUP(B292,'Data Angt'!$A$5:$H$5810,6,FALSE)</f>
        <v>30</v>
      </c>
      <c r="P292" s="55" t="str">
        <f>VLOOKUP(B292,'Data Angt'!$A$5:$H$5810,8,FALSE)</f>
        <v>Karyawan</v>
      </c>
    </row>
    <row r="293" spans="1:16" x14ac:dyDescent="0.3">
      <c r="A293" s="8">
        <v>286</v>
      </c>
      <c r="B293" s="9" t="s">
        <v>4876</v>
      </c>
      <c r="C293" s="10" t="str">
        <f>VLOOKUP(B293,'Data Angt'!$A$5:$B$5809,2,FALSE)</f>
        <v>A2135</v>
      </c>
      <c r="D293" s="12" t="s">
        <v>10046</v>
      </c>
      <c r="E293" s="13">
        <v>44624</v>
      </c>
      <c r="F293" s="14">
        <v>45926</v>
      </c>
      <c r="G293" s="15">
        <v>60000000</v>
      </c>
      <c r="H293" s="16">
        <v>60</v>
      </c>
      <c r="I293" s="17">
        <v>18</v>
      </c>
      <c r="J293" s="15">
        <v>23893100</v>
      </c>
      <c r="K293" s="98">
        <f t="shared" si="12"/>
        <v>0</v>
      </c>
      <c r="L293" s="98" t="str">
        <f t="shared" si="13"/>
        <v>Lancar</v>
      </c>
      <c r="M293" s="5" t="str">
        <f t="shared" si="14"/>
        <v>001</v>
      </c>
      <c r="N293" s="55" t="str">
        <f>VLOOKUP(D293,Pinjaman!$E$7:$N$1900,10,FALSE)</f>
        <v>KONSUMTIF</v>
      </c>
      <c r="O293" s="55">
        <f>VLOOKUP(B293,'Data Angt'!$A$5:$H$5810,6,FALSE)</f>
        <v>30</v>
      </c>
      <c r="P293" s="55" t="str">
        <f>VLOOKUP(B293,'Data Angt'!$A$5:$H$5810,8,FALSE)</f>
        <v>Karyawan</v>
      </c>
    </row>
    <row r="294" spans="1:16" x14ac:dyDescent="0.3">
      <c r="A294" s="8">
        <v>287</v>
      </c>
      <c r="B294" s="9" t="s">
        <v>4936</v>
      </c>
      <c r="C294" s="10" t="str">
        <f>VLOOKUP(B294,'Data Angt'!$A$5:$B$5809,2,FALSE)</f>
        <v>A2162</v>
      </c>
      <c r="D294" s="12" t="s">
        <v>10049</v>
      </c>
      <c r="E294" s="13">
        <v>45063</v>
      </c>
      <c r="F294" s="14">
        <v>45917</v>
      </c>
      <c r="G294" s="15">
        <v>150000000</v>
      </c>
      <c r="H294" s="16">
        <v>60</v>
      </c>
      <c r="I294" s="17">
        <v>21</v>
      </c>
      <c r="J294" s="15">
        <v>98786000</v>
      </c>
      <c r="K294" s="98">
        <f t="shared" si="12"/>
        <v>0</v>
      </c>
      <c r="L294" s="98" t="str">
        <f t="shared" si="13"/>
        <v>Lancar</v>
      </c>
      <c r="M294" s="5" t="str">
        <f t="shared" si="14"/>
        <v>001</v>
      </c>
      <c r="N294" s="55" t="str">
        <f>VLOOKUP(D294,Pinjaman!$E$7:$N$1900,10,FALSE)</f>
        <v>KESEHATAN</v>
      </c>
      <c r="O294" s="55">
        <f>VLOOKUP(B294,'Data Angt'!$A$5:$H$5810,6,FALSE)</f>
        <v>53</v>
      </c>
      <c r="P294" s="55" t="str">
        <f>VLOOKUP(B294,'Data Angt'!$A$5:$H$5810,8,FALSE)</f>
        <v>Karyawan</v>
      </c>
    </row>
    <row r="295" spans="1:16" x14ac:dyDescent="0.3">
      <c r="A295" s="8">
        <v>288</v>
      </c>
      <c r="B295" s="9" t="s">
        <v>4948</v>
      </c>
      <c r="C295" s="10" t="str">
        <f>VLOOKUP(B295,'Data Angt'!$A$5:$B$5809,2,FALSE)</f>
        <v>A2167</v>
      </c>
      <c r="D295" s="12" t="s">
        <v>15748</v>
      </c>
      <c r="E295" s="13">
        <v>45797</v>
      </c>
      <c r="F295" s="14">
        <v>45920</v>
      </c>
      <c r="G295" s="15">
        <v>30000000</v>
      </c>
      <c r="H295" s="16">
        <v>24</v>
      </c>
      <c r="I295" s="17">
        <v>21</v>
      </c>
      <c r="J295" s="15">
        <v>25825800</v>
      </c>
      <c r="K295" s="98">
        <f t="shared" si="12"/>
        <v>0</v>
      </c>
      <c r="L295" s="98" t="str">
        <f t="shared" si="13"/>
        <v>Lancar</v>
      </c>
      <c r="M295" s="5" t="str">
        <f t="shared" si="14"/>
        <v>001</v>
      </c>
      <c r="N295" s="55" t="str">
        <f>VLOOKUP(D295,Pinjaman!$E$7:$N$1900,10,FALSE)</f>
        <v>KONSUMTIF</v>
      </c>
      <c r="O295" s="55">
        <f>VLOOKUP(B295,'Data Angt'!$A$5:$H$5810,6,FALSE)</f>
        <v>76</v>
      </c>
      <c r="P295" s="55" t="str">
        <f>VLOOKUP(B295,'Data Angt'!$A$5:$H$5810,8,FALSE)</f>
        <v>Pensiunan</v>
      </c>
    </row>
    <row r="296" spans="1:16" x14ac:dyDescent="0.3">
      <c r="A296" s="8">
        <v>289</v>
      </c>
      <c r="B296" s="9" t="s">
        <v>4996</v>
      </c>
      <c r="C296" s="10" t="str">
        <f>VLOOKUP(B296,'Data Angt'!$A$5:$B$5809,2,FALSE)</f>
        <v>A2190</v>
      </c>
      <c r="D296" s="12" t="s">
        <v>10052</v>
      </c>
      <c r="E296" s="13">
        <v>42814</v>
      </c>
      <c r="F296" s="14">
        <v>45901</v>
      </c>
      <c r="G296" s="15">
        <v>140000000</v>
      </c>
      <c r="H296" s="16">
        <v>60</v>
      </c>
      <c r="I296" s="17">
        <v>21</v>
      </c>
      <c r="J296" s="15">
        <v>24788200</v>
      </c>
      <c r="K296" s="98">
        <f t="shared" si="12"/>
        <v>0</v>
      </c>
      <c r="L296" s="98" t="str">
        <f t="shared" si="13"/>
        <v>Lancar</v>
      </c>
      <c r="M296" s="5" t="str">
        <f t="shared" si="14"/>
        <v>001</v>
      </c>
      <c r="N296" s="55">
        <f>VLOOKUP(D296,Pinjaman!$E$7:$N$1900,10,FALSE)</f>
        <v>0</v>
      </c>
      <c r="O296" s="55">
        <f>VLOOKUP(B296,'Data Angt'!$A$5:$H$5810,6,FALSE)</f>
        <v>48</v>
      </c>
      <c r="P296" s="55" t="str">
        <f>VLOOKUP(B296,'Data Angt'!$A$5:$H$5810,8,FALSE)</f>
        <v>Karyawan</v>
      </c>
    </row>
    <row r="297" spans="1:16" x14ac:dyDescent="0.3">
      <c r="A297" s="8">
        <v>290</v>
      </c>
      <c r="B297" s="9" t="s">
        <v>5002</v>
      </c>
      <c r="C297" s="10" t="str">
        <f>VLOOKUP(B297,'Data Angt'!$A$5:$B$5809,2,FALSE)</f>
        <v>A2192</v>
      </c>
      <c r="D297" s="12" t="s">
        <v>15750</v>
      </c>
      <c r="E297" s="13">
        <v>45561</v>
      </c>
      <c r="F297" s="14">
        <v>45917</v>
      </c>
      <c r="G297" s="15">
        <v>10000000</v>
      </c>
      <c r="H297" s="16">
        <v>36</v>
      </c>
      <c r="I297" s="17">
        <v>24</v>
      </c>
      <c r="J297" s="15">
        <v>7420000</v>
      </c>
      <c r="K297" s="98">
        <f t="shared" si="12"/>
        <v>0</v>
      </c>
      <c r="L297" s="98" t="str">
        <f t="shared" si="13"/>
        <v>Lancar</v>
      </c>
      <c r="M297" s="5" t="str">
        <f t="shared" si="14"/>
        <v>001</v>
      </c>
      <c r="N297" s="55" t="str">
        <f>VLOOKUP(D297,Pinjaman!$E$7:$N$1900,10,FALSE)</f>
        <v>PRODUKTIF</v>
      </c>
      <c r="O297" s="55">
        <f>VLOOKUP(B297,'Data Angt'!$A$5:$H$5810,6,FALSE)</f>
        <v>70</v>
      </c>
      <c r="P297" s="55" t="str">
        <f>VLOOKUP(B297,'Data Angt'!$A$5:$H$5810,8,FALSE)</f>
        <v>Karyawan</v>
      </c>
    </row>
    <row r="298" spans="1:16" x14ac:dyDescent="0.3">
      <c r="A298" s="8">
        <v>291</v>
      </c>
      <c r="B298" s="9" t="s">
        <v>5023</v>
      </c>
      <c r="C298" s="10" t="str">
        <f>VLOOKUP(B298,'Data Angt'!$A$5:$B$5809,2,FALSE)</f>
        <v>A2202</v>
      </c>
      <c r="D298" s="12" t="s">
        <v>15752</v>
      </c>
      <c r="E298" s="13">
        <v>45351</v>
      </c>
      <c r="F298" s="14">
        <v>45926</v>
      </c>
      <c r="G298" s="15">
        <v>18000000</v>
      </c>
      <c r="H298" s="16">
        <v>48</v>
      </c>
      <c r="I298" s="17">
        <v>24</v>
      </c>
      <c r="J298" s="15">
        <v>12818500</v>
      </c>
      <c r="K298" s="98">
        <f t="shared" si="12"/>
        <v>0</v>
      </c>
      <c r="L298" s="98" t="str">
        <f t="shared" si="13"/>
        <v>Lancar</v>
      </c>
      <c r="M298" s="5" t="str">
        <f t="shared" si="14"/>
        <v>001</v>
      </c>
      <c r="N298" s="55" t="str">
        <f>VLOOKUP(D298,Pinjaman!$E$7:$N$1900,10,FALSE)</f>
        <v>PENDIDIKAN</v>
      </c>
      <c r="O298" s="55">
        <f>VLOOKUP(B298,'Data Angt'!$A$5:$H$5810,6,FALSE)</f>
        <v>56</v>
      </c>
      <c r="P298" s="55" t="str">
        <f>VLOOKUP(B298,'Data Angt'!$A$5:$H$5810,8,FALSE)</f>
        <v>Wiraswasta</v>
      </c>
    </row>
    <row r="299" spans="1:16" x14ac:dyDescent="0.3">
      <c r="A299" s="8">
        <v>292</v>
      </c>
      <c r="B299" s="9" t="s">
        <v>5042</v>
      </c>
      <c r="C299" s="10" t="str">
        <f>VLOOKUP(B299,'Data Angt'!$A$5:$B$5809,2,FALSE)</f>
        <v>A2211</v>
      </c>
      <c r="D299" s="12" t="s">
        <v>22453</v>
      </c>
      <c r="E299" s="13">
        <v>45901</v>
      </c>
      <c r="F299" s="14">
        <v>45901</v>
      </c>
      <c r="G299" s="15">
        <v>5000000</v>
      </c>
      <c r="H299" s="16">
        <v>12</v>
      </c>
      <c r="I299" s="17">
        <v>24</v>
      </c>
      <c r="J299" s="15">
        <v>5000000</v>
      </c>
      <c r="K299" s="98">
        <f t="shared" si="12"/>
        <v>0</v>
      </c>
      <c r="L299" s="98" t="str">
        <f t="shared" si="13"/>
        <v>Lancar</v>
      </c>
      <c r="M299" s="5" t="str">
        <f t="shared" si="14"/>
        <v>001</v>
      </c>
      <c r="N299" s="55" t="str">
        <f>VLOOKUP(D299,Pinjaman!$E$7:$N$1900,10,FALSE)</f>
        <v>PRODUKTIF</v>
      </c>
      <c r="O299" s="55">
        <f>VLOOKUP(B299,'Data Angt'!$A$5:$H$5810,6,FALSE)</f>
        <v>57</v>
      </c>
      <c r="P299" s="55" t="str">
        <f>VLOOKUP(B299,'Data Angt'!$A$5:$H$5810,8,FALSE)</f>
        <v>Wiraswasta</v>
      </c>
    </row>
    <row r="300" spans="1:16" x14ac:dyDescent="0.3">
      <c r="A300" s="8">
        <v>293</v>
      </c>
      <c r="B300" s="9" t="s">
        <v>5066</v>
      </c>
      <c r="C300" s="10" t="str">
        <f>VLOOKUP(B300,'Data Angt'!$A$5:$B$5809,2,FALSE)</f>
        <v>A2223</v>
      </c>
      <c r="D300" s="12" t="s">
        <v>15754</v>
      </c>
      <c r="E300" s="13">
        <v>45710</v>
      </c>
      <c r="F300" s="14">
        <v>45920</v>
      </c>
      <c r="G300" s="15">
        <v>43500000</v>
      </c>
      <c r="H300" s="16">
        <v>48</v>
      </c>
      <c r="I300" s="17">
        <v>21</v>
      </c>
      <c r="J300" s="15">
        <v>39177600</v>
      </c>
      <c r="K300" s="98">
        <f t="shared" si="12"/>
        <v>0</v>
      </c>
      <c r="L300" s="98" t="str">
        <f t="shared" si="13"/>
        <v>Lancar</v>
      </c>
      <c r="M300" s="5" t="str">
        <f t="shared" si="14"/>
        <v>001</v>
      </c>
      <c r="N300" s="55" t="str">
        <f>VLOOKUP(D300,Pinjaman!$E$7:$N$1900,10,FALSE)</f>
        <v>KONSUMTIF</v>
      </c>
      <c r="O300" s="55">
        <f>VLOOKUP(B300,'Data Angt'!$A$5:$H$5810,6,FALSE)</f>
        <v>57</v>
      </c>
      <c r="P300" s="55">
        <f>VLOOKUP(B300,'Data Angt'!$A$5:$H$5810,8,FALSE)</f>
        <v>0</v>
      </c>
    </row>
    <row r="301" spans="1:16" x14ac:dyDescent="0.3">
      <c r="A301" s="8">
        <v>294</v>
      </c>
      <c r="B301" s="9" t="s">
        <v>5070</v>
      </c>
      <c r="C301" s="10" t="str">
        <f>VLOOKUP(B301,'Data Angt'!$A$5:$B$5809,2,FALSE)</f>
        <v>A2225</v>
      </c>
      <c r="D301" s="12" t="s">
        <v>10053</v>
      </c>
      <c r="E301" s="13">
        <v>45143</v>
      </c>
      <c r="F301" s="14">
        <v>45801</v>
      </c>
      <c r="G301" s="15">
        <v>49000000</v>
      </c>
      <c r="H301" s="16">
        <v>36</v>
      </c>
      <c r="I301" s="17">
        <v>21</v>
      </c>
      <c r="J301" s="15">
        <v>26944200</v>
      </c>
      <c r="K301" s="98">
        <f t="shared" si="12"/>
        <v>4</v>
      </c>
      <c r="L301" s="98" t="str">
        <f t="shared" si="13"/>
        <v>Kurang lancar</v>
      </c>
      <c r="M301" s="5" t="str">
        <f t="shared" si="14"/>
        <v>001</v>
      </c>
      <c r="N301" s="55" t="str">
        <f>VLOOKUP(D301,Pinjaman!$E$7:$N$1900,10,FALSE)</f>
        <v>KONSUMTIF</v>
      </c>
      <c r="O301" s="55">
        <f>VLOOKUP(B301,'Data Angt'!$A$5:$H$5810,6,FALSE)</f>
        <v>48</v>
      </c>
      <c r="P301" s="55" t="str">
        <f>VLOOKUP(B301,'Data Angt'!$A$5:$H$5810,8,FALSE)</f>
        <v>Mengurus Rumah Tangga</v>
      </c>
    </row>
    <row r="302" spans="1:16" x14ac:dyDescent="0.3">
      <c r="A302" s="8">
        <v>295</v>
      </c>
      <c r="B302" s="9" t="s">
        <v>5076</v>
      </c>
      <c r="C302" s="10" t="str">
        <f>VLOOKUP(B302,'Data Angt'!$A$5:$B$5809,2,FALSE)</f>
        <v>A2228</v>
      </c>
      <c r="D302" s="12" t="s">
        <v>15758</v>
      </c>
      <c r="E302" s="13">
        <v>45756</v>
      </c>
      <c r="F302" s="14">
        <v>45903</v>
      </c>
      <c r="G302" s="15">
        <v>5000000</v>
      </c>
      <c r="H302" s="16">
        <v>12</v>
      </c>
      <c r="I302" s="17">
        <v>24</v>
      </c>
      <c r="J302" s="15">
        <v>2916500</v>
      </c>
      <c r="K302" s="98">
        <f t="shared" si="12"/>
        <v>0</v>
      </c>
      <c r="L302" s="98" t="str">
        <f t="shared" si="13"/>
        <v>Lancar</v>
      </c>
      <c r="M302" s="5" t="str">
        <f t="shared" si="14"/>
        <v>001</v>
      </c>
      <c r="N302" s="55" t="str">
        <f>VLOOKUP(D302,Pinjaman!$E$7:$N$1900,10,FALSE)</f>
        <v>PRODUKTIF</v>
      </c>
      <c r="O302" s="55">
        <f>VLOOKUP(B302,'Data Angt'!$A$5:$H$5810,6,FALSE)</f>
        <v>41</v>
      </c>
      <c r="P302" s="55" t="str">
        <f>VLOOKUP(B302,'Data Angt'!$A$5:$H$5810,8,FALSE)</f>
        <v>Lain-Lain</v>
      </c>
    </row>
    <row r="303" spans="1:16" x14ac:dyDescent="0.3">
      <c r="A303" s="8">
        <v>296</v>
      </c>
      <c r="B303" s="9" t="s">
        <v>5076</v>
      </c>
      <c r="C303" s="10" t="str">
        <f>VLOOKUP(B303,'Data Angt'!$A$5:$B$5809,2,FALSE)</f>
        <v>A2228</v>
      </c>
      <c r="D303" s="12" t="s">
        <v>15756</v>
      </c>
      <c r="E303" s="13">
        <v>45664</v>
      </c>
      <c r="F303" s="14">
        <v>45903</v>
      </c>
      <c r="G303" s="15">
        <v>27000000</v>
      </c>
      <c r="H303" s="16">
        <v>36</v>
      </c>
      <c r="I303" s="17">
        <v>21</v>
      </c>
      <c r="J303" s="15">
        <v>22365400</v>
      </c>
      <c r="K303" s="98">
        <f t="shared" si="12"/>
        <v>0</v>
      </c>
      <c r="L303" s="98" t="str">
        <f t="shared" si="13"/>
        <v>Lancar</v>
      </c>
      <c r="M303" s="5" t="str">
        <f t="shared" si="14"/>
        <v>001</v>
      </c>
      <c r="N303" s="55" t="str">
        <f>VLOOKUP(D303,Pinjaman!$E$7:$N$1900,10,FALSE)</f>
        <v>PRODUKTIF</v>
      </c>
      <c r="O303" s="55">
        <f>VLOOKUP(B303,'Data Angt'!$A$5:$H$5810,6,FALSE)</f>
        <v>41</v>
      </c>
      <c r="P303" s="55" t="str">
        <f>VLOOKUP(B303,'Data Angt'!$A$5:$H$5810,8,FALSE)</f>
        <v>Lain-Lain</v>
      </c>
    </row>
    <row r="304" spans="1:16" x14ac:dyDescent="0.3">
      <c r="A304" s="8">
        <v>297</v>
      </c>
      <c r="B304" s="9" t="s">
        <v>5113</v>
      </c>
      <c r="C304" s="10" t="str">
        <f>VLOOKUP(B304,'Data Angt'!$A$5:$B$5809,2,FALSE)</f>
        <v>A2246</v>
      </c>
      <c r="D304" s="12" t="s">
        <v>22459</v>
      </c>
      <c r="E304" s="13">
        <v>45901</v>
      </c>
      <c r="F304" s="14">
        <v>45901</v>
      </c>
      <c r="G304" s="15">
        <v>2000000</v>
      </c>
      <c r="H304" s="16">
        <v>12</v>
      </c>
      <c r="I304" s="17">
        <v>24</v>
      </c>
      <c r="J304" s="15">
        <v>2000000</v>
      </c>
      <c r="K304" s="98">
        <f t="shared" si="12"/>
        <v>0</v>
      </c>
      <c r="L304" s="98" t="str">
        <f t="shared" si="13"/>
        <v>Lancar</v>
      </c>
      <c r="M304" s="5" t="str">
        <f t="shared" si="14"/>
        <v>001</v>
      </c>
      <c r="N304" s="55" t="str">
        <f>VLOOKUP(D304,Pinjaman!$E$7:$N$1900,10,FALSE)</f>
        <v>PRODUKTIF</v>
      </c>
      <c r="O304" s="55">
        <f>VLOOKUP(B304,'Data Angt'!$A$5:$H$5810,6,FALSE)</f>
        <v>44</v>
      </c>
      <c r="P304" s="55" t="str">
        <f>VLOOKUP(B304,'Data Angt'!$A$5:$H$5810,8,FALSE)</f>
        <v>Mengurus Rumah Tangga</v>
      </c>
    </row>
    <row r="305" spans="1:16" x14ac:dyDescent="0.3">
      <c r="A305" s="8">
        <v>298</v>
      </c>
      <c r="B305" s="9" t="s">
        <v>5117</v>
      </c>
      <c r="C305" s="10" t="str">
        <f>VLOOKUP(B305,'Data Angt'!$A$5:$B$5809,2,FALSE)</f>
        <v>A2248</v>
      </c>
      <c r="D305" s="12" t="s">
        <v>15760</v>
      </c>
      <c r="E305" s="13">
        <v>45600</v>
      </c>
      <c r="F305" s="14">
        <v>45904</v>
      </c>
      <c r="G305" s="15">
        <v>2500000</v>
      </c>
      <c r="H305" s="16">
        <v>12</v>
      </c>
      <c r="I305" s="17">
        <v>11.9</v>
      </c>
      <c r="J305" s="15">
        <v>436900</v>
      </c>
      <c r="K305" s="98">
        <f t="shared" si="12"/>
        <v>0</v>
      </c>
      <c r="L305" s="98" t="str">
        <f t="shared" si="13"/>
        <v>Lancar</v>
      </c>
      <c r="M305" s="5" t="str">
        <f t="shared" si="14"/>
        <v>001</v>
      </c>
      <c r="N305" s="55" t="str">
        <f>VLOOKUP(D305,Pinjaman!$E$7:$N$1900,10,FALSE)</f>
        <v>PRODUKTIF</v>
      </c>
      <c r="O305" s="55">
        <f>VLOOKUP(B305,'Data Angt'!$A$5:$H$5810,6,FALSE)</f>
        <v>58</v>
      </c>
      <c r="P305" s="55" t="str">
        <f>VLOOKUP(B305,'Data Angt'!$A$5:$H$5810,8,FALSE)</f>
        <v>Wiraswasta</v>
      </c>
    </row>
    <row r="306" spans="1:16" x14ac:dyDescent="0.3">
      <c r="A306" s="8">
        <v>299</v>
      </c>
      <c r="B306" s="9" t="s">
        <v>5117</v>
      </c>
      <c r="C306" s="10" t="str">
        <f>VLOOKUP(B306,'Data Angt'!$A$5:$B$5809,2,FALSE)</f>
        <v>A2248</v>
      </c>
      <c r="D306" s="12" t="s">
        <v>22461</v>
      </c>
      <c r="E306" s="13">
        <v>45861</v>
      </c>
      <c r="F306" s="14">
        <v>45923</v>
      </c>
      <c r="G306" s="15">
        <v>10000000</v>
      </c>
      <c r="H306" s="16">
        <v>24</v>
      </c>
      <c r="I306" s="17">
        <v>24</v>
      </c>
      <c r="J306" s="15">
        <v>9335900</v>
      </c>
      <c r="K306" s="98">
        <f t="shared" si="12"/>
        <v>0</v>
      </c>
      <c r="L306" s="98" t="str">
        <f t="shared" si="13"/>
        <v>Lancar</v>
      </c>
      <c r="M306" s="5" t="str">
        <f t="shared" si="14"/>
        <v>001</v>
      </c>
      <c r="N306" s="55" t="str">
        <f>VLOOKUP(D306,Pinjaman!$E$7:$N$1900,10,FALSE)</f>
        <v>KONSUMTIF</v>
      </c>
      <c r="O306" s="55">
        <f>VLOOKUP(B306,'Data Angt'!$A$5:$H$5810,6,FALSE)</f>
        <v>58</v>
      </c>
      <c r="P306" s="55" t="str">
        <f>VLOOKUP(B306,'Data Angt'!$A$5:$H$5810,8,FALSE)</f>
        <v>Wiraswasta</v>
      </c>
    </row>
    <row r="307" spans="1:16" x14ac:dyDescent="0.3">
      <c r="A307" s="8">
        <v>300</v>
      </c>
      <c r="B307" s="9" t="s">
        <v>5125</v>
      </c>
      <c r="C307" s="10" t="str">
        <f>VLOOKUP(B307,'Data Angt'!$A$5:$B$5809,2,FALSE)</f>
        <v>A2252</v>
      </c>
      <c r="D307" s="12" t="s">
        <v>15762</v>
      </c>
      <c r="E307" s="13">
        <v>45590</v>
      </c>
      <c r="F307" s="14">
        <v>45920</v>
      </c>
      <c r="G307" s="15">
        <v>1500000</v>
      </c>
      <c r="H307" s="16">
        <v>12</v>
      </c>
      <c r="I307" s="17">
        <v>24</v>
      </c>
      <c r="J307" s="15">
        <v>138600</v>
      </c>
      <c r="K307" s="98">
        <f t="shared" si="12"/>
        <v>0</v>
      </c>
      <c r="L307" s="98" t="str">
        <f t="shared" si="13"/>
        <v>Lancar</v>
      </c>
      <c r="M307" s="5" t="str">
        <f t="shared" si="14"/>
        <v>001</v>
      </c>
      <c r="N307" s="55" t="str">
        <f>VLOOKUP(D307,Pinjaman!$E$7:$N$1900,10,FALSE)</f>
        <v>PRODUKTIF</v>
      </c>
      <c r="O307" s="55">
        <f>VLOOKUP(B307,'Data Angt'!$A$5:$H$5810,6,FALSE)</f>
        <v>46</v>
      </c>
      <c r="P307" s="55" t="str">
        <f>VLOOKUP(B307,'Data Angt'!$A$5:$H$5810,8,FALSE)</f>
        <v>Wiraswasta</v>
      </c>
    </row>
    <row r="308" spans="1:16" x14ac:dyDescent="0.3">
      <c r="A308" s="8">
        <v>301</v>
      </c>
      <c r="B308" s="9" t="s">
        <v>5125</v>
      </c>
      <c r="C308" s="10" t="str">
        <f>VLOOKUP(B308,'Data Angt'!$A$5:$B$5809,2,FALSE)</f>
        <v>A2252</v>
      </c>
      <c r="D308" s="12" t="s">
        <v>22465</v>
      </c>
      <c r="E308" s="13">
        <v>45860</v>
      </c>
      <c r="F308" s="14">
        <v>45920</v>
      </c>
      <c r="G308" s="15">
        <v>150000000</v>
      </c>
      <c r="H308" s="16">
        <v>48</v>
      </c>
      <c r="I308" s="17">
        <v>21</v>
      </c>
      <c r="J308" s="15">
        <v>145924900</v>
      </c>
      <c r="K308" s="98">
        <f t="shared" si="12"/>
        <v>0</v>
      </c>
      <c r="L308" s="98" t="str">
        <f t="shared" si="13"/>
        <v>Lancar</v>
      </c>
      <c r="M308" s="5" t="str">
        <f t="shared" si="14"/>
        <v>001</v>
      </c>
      <c r="N308" s="55" t="str">
        <f>VLOOKUP(D308,Pinjaman!$E$7:$N$1900,10,FALSE)</f>
        <v>KONSUMTIF</v>
      </c>
      <c r="O308" s="55">
        <f>VLOOKUP(B308,'Data Angt'!$A$5:$H$5810,6,FALSE)</f>
        <v>46</v>
      </c>
      <c r="P308" s="55" t="str">
        <f>VLOOKUP(B308,'Data Angt'!$A$5:$H$5810,8,FALSE)</f>
        <v>Wiraswasta</v>
      </c>
    </row>
    <row r="309" spans="1:16" x14ac:dyDescent="0.3">
      <c r="A309" s="8">
        <v>302</v>
      </c>
      <c r="B309" s="9" t="s">
        <v>5174</v>
      </c>
      <c r="C309" s="10" t="str">
        <f>VLOOKUP(B309,'Data Angt'!$A$5:$B$5809,2,FALSE)</f>
        <v>A2276</v>
      </c>
      <c r="D309" s="12" t="s">
        <v>22468</v>
      </c>
      <c r="E309" s="13">
        <v>45887</v>
      </c>
      <c r="F309" s="14">
        <v>45908</v>
      </c>
      <c r="G309" s="15">
        <v>7000000</v>
      </c>
      <c r="H309" s="16">
        <v>12</v>
      </c>
      <c r="I309" s="17">
        <v>24</v>
      </c>
      <c r="J309" s="15">
        <v>6478000</v>
      </c>
      <c r="K309" s="98">
        <f t="shared" si="12"/>
        <v>0</v>
      </c>
      <c r="L309" s="98" t="str">
        <f t="shared" si="13"/>
        <v>Lancar</v>
      </c>
      <c r="M309" s="5" t="str">
        <f t="shared" si="14"/>
        <v>001</v>
      </c>
      <c r="N309" s="55" t="str">
        <f>VLOOKUP(D309,Pinjaman!$E$7:$N$1900,10,FALSE)</f>
        <v>PENDIDIKAN</v>
      </c>
      <c r="O309" s="55">
        <f>VLOOKUP(B309,'Data Angt'!$A$5:$H$5810,6,FALSE)</f>
        <v>40</v>
      </c>
      <c r="P309" s="55" t="str">
        <f>VLOOKUP(B309,'Data Angt'!$A$5:$H$5810,8,FALSE)</f>
        <v>Lain-Lain</v>
      </c>
    </row>
    <row r="310" spans="1:16" x14ac:dyDescent="0.3">
      <c r="A310" s="8">
        <v>303</v>
      </c>
      <c r="B310" s="9" t="s">
        <v>5184</v>
      </c>
      <c r="C310" s="10" t="str">
        <f>VLOOKUP(B310,'Data Angt'!$A$5:$B$5809,2,FALSE)</f>
        <v>A2280</v>
      </c>
      <c r="D310" s="12" t="s">
        <v>15766</v>
      </c>
      <c r="E310" s="13">
        <v>45825</v>
      </c>
      <c r="F310" s="14">
        <v>45917</v>
      </c>
      <c r="G310" s="15">
        <v>13000000</v>
      </c>
      <c r="H310" s="16">
        <v>12</v>
      </c>
      <c r="I310" s="17">
        <v>24</v>
      </c>
      <c r="J310" s="15">
        <v>10033700</v>
      </c>
      <c r="K310" s="98">
        <f t="shared" si="12"/>
        <v>0</v>
      </c>
      <c r="L310" s="98" t="str">
        <f t="shared" si="13"/>
        <v>Lancar</v>
      </c>
      <c r="M310" s="5" t="str">
        <f t="shared" si="14"/>
        <v>001</v>
      </c>
      <c r="N310" s="55" t="str">
        <f>VLOOKUP(D310,Pinjaman!$E$7:$N$1900,10,FALSE)</f>
        <v>PRODUKTIF</v>
      </c>
      <c r="O310" s="55">
        <f>VLOOKUP(B310,'Data Angt'!$A$5:$H$5810,6,FALSE)</f>
        <v>40</v>
      </c>
      <c r="P310" s="55" t="str">
        <f>VLOOKUP(B310,'Data Angt'!$A$5:$H$5810,8,FALSE)</f>
        <v>Mengurus Rumah Tangga</v>
      </c>
    </row>
    <row r="311" spans="1:16" x14ac:dyDescent="0.3">
      <c r="A311" s="8">
        <v>304</v>
      </c>
      <c r="B311" s="9" t="s">
        <v>5184</v>
      </c>
      <c r="C311" s="10" t="str">
        <f>VLOOKUP(B311,'Data Angt'!$A$5:$B$5809,2,FALSE)</f>
        <v>A2280</v>
      </c>
      <c r="D311" s="12" t="s">
        <v>15764</v>
      </c>
      <c r="E311" s="13">
        <v>45782</v>
      </c>
      <c r="F311" s="14">
        <v>45908</v>
      </c>
      <c r="G311" s="15">
        <v>5000000</v>
      </c>
      <c r="H311" s="16">
        <v>12</v>
      </c>
      <c r="I311" s="17">
        <v>24</v>
      </c>
      <c r="J311" s="15">
        <v>3463600</v>
      </c>
      <c r="K311" s="98">
        <f t="shared" si="12"/>
        <v>0</v>
      </c>
      <c r="L311" s="98" t="str">
        <f t="shared" si="13"/>
        <v>Lancar</v>
      </c>
      <c r="M311" s="5" t="str">
        <f t="shared" si="14"/>
        <v>001</v>
      </c>
      <c r="N311" s="55" t="str">
        <f>VLOOKUP(D311,Pinjaman!$E$7:$N$1900,10,FALSE)</f>
        <v>PRODUKTIF</v>
      </c>
      <c r="O311" s="55">
        <f>VLOOKUP(B311,'Data Angt'!$A$5:$H$5810,6,FALSE)</f>
        <v>40</v>
      </c>
      <c r="P311" s="55" t="str">
        <f>VLOOKUP(B311,'Data Angt'!$A$5:$H$5810,8,FALSE)</f>
        <v>Mengurus Rumah Tangga</v>
      </c>
    </row>
    <row r="312" spans="1:16" x14ac:dyDescent="0.3">
      <c r="A312" s="8">
        <v>305</v>
      </c>
      <c r="B312" s="9" t="s">
        <v>5202</v>
      </c>
      <c r="C312" s="10" t="str">
        <f>VLOOKUP(B312,'Data Angt'!$A$5:$B$5809,2,FALSE)</f>
        <v>A2290</v>
      </c>
      <c r="D312" s="12" t="s">
        <v>10056</v>
      </c>
      <c r="E312" s="13">
        <v>43047</v>
      </c>
      <c r="F312" s="14">
        <v>45896</v>
      </c>
      <c r="G312" s="15">
        <v>250000000</v>
      </c>
      <c r="H312" s="16">
        <v>60</v>
      </c>
      <c r="I312" s="17">
        <v>11.4</v>
      </c>
      <c r="J312" s="15">
        <v>119634600</v>
      </c>
      <c r="K312" s="98">
        <f t="shared" si="12"/>
        <v>1</v>
      </c>
      <c r="L312" s="98" t="str">
        <f t="shared" si="13"/>
        <v>Lancar</v>
      </c>
      <c r="M312" s="5" t="str">
        <f t="shared" si="14"/>
        <v>001</v>
      </c>
      <c r="N312" s="55">
        <f>VLOOKUP(D312,Pinjaman!$E$7:$N$1900,10,FALSE)</f>
        <v>0</v>
      </c>
      <c r="O312" s="55">
        <f>VLOOKUP(B312,'Data Angt'!$A$5:$H$5810,6,FALSE)</f>
        <v>56</v>
      </c>
      <c r="P312" s="55" t="str">
        <f>VLOOKUP(B312,'Data Angt'!$A$5:$H$5810,8,FALSE)</f>
        <v>Wiraswasta</v>
      </c>
    </row>
    <row r="313" spans="1:16" x14ac:dyDescent="0.3">
      <c r="A313" s="8">
        <v>306</v>
      </c>
      <c r="B313" s="9" t="s">
        <v>5227</v>
      </c>
      <c r="C313" s="10" t="str">
        <f>VLOOKUP(B313,'Data Angt'!$A$5:$B$5809,2,FALSE)</f>
        <v>A2299</v>
      </c>
      <c r="D313" s="12" t="s">
        <v>15768</v>
      </c>
      <c r="E313" s="13">
        <v>45580</v>
      </c>
      <c r="F313" s="14">
        <v>45915</v>
      </c>
      <c r="G313" s="15">
        <v>15000000</v>
      </c>
      <c r="H313" s="16">
        <v>12</v>
      </c>
      <c r="I313" s="17">
        <v>24</v>
      </c>
      <c r="J313" s="15">
        <v>1391300</v>
      </c>
      <c r="K313" s="98">
        <f t="shared" si="12"/>
        <v>0</v>
      </c>
      <c r="L313" s="98" t="str">
        <f t="shared" si="13"/>
        <v>Lancar</v>
      </c>
      <c r="M313" s="5" t="str">
        <f t="shared" si="14"/>
        <v>001</v>
      </c>
      <c r="N313" s="55" t="str">
        <f>VLOOKUP(D313,Pinjaman!$E$7:$N$1900,10,FALSE)</f>
        <v>PRODUKTIF</v>
      </c>
      <c r="O313" s="55">
        <f>VLOOKUP(B313,'Data Angt'!$A$5:$H$5810,6,FALSE)</f>
        <v>38</v>
      </c>
      <c r="P313" s="55" t="str">
        <f>VLOOKUP(B313,'Data Angt'!$A$5:$H$5810,8,FALSE)</f>
        <v>Aparatur/Pejabat Negara</v>
      </c>
    </row>
    <row r="314" spans="1:16" x14ac:dyDescent="0.3">
      <c r="A314" s="8">
        <v>307</v>
      </c>
      <c r="B314" s="9" t="s">
        <v>5248</v>
      </c>
      <c r="C314" s="10" t="str">
        <f>VLOOKUP(B314,'Data Angt'!$A$5:$B$5809,2,FALSE)</f>
        <v>A2309</v>
      </c>
      <c r="D314" s="12" t="s">
        <v>10057</v>
      </c>
      <c r="E314" s="13">
        <v>44880</v>
      </c>
      <c r="F314" s="14">
        <v>45913</v>
      </c>
      <c r="G314" s="15">
        <v>25000000</v>
      </c>
      <c r="H314" s="16">
        <v>48</v>
      </c>
      <c r="I314" s="17">
        <v>21</v>
      </c>
      <c r="J314" s="15">
        <v>9538900</v>
      </c>
      <c r="K314" s="98">
        <f t="shared" si="12"/>
        <v>0</v>
      </c>
      <c r="L314" s="98" t="str">
        <f t="shared" si="13"/>
        <v>Lancar</v>
      </c>
      <c r="M314" s="5" t="str">
        <f t="shared" si="14"/>
        <v>001</v>
      </c>
      <c r="N314" s="55" t="str">
        <f>VLOOKUP(D314,Pinjaman!$E$7:$N$1900,10,FALSE)</f>
        <v>KESEJAHTERAAN</v>
      </c>
      <c r="O314" s="55">
        <f>VLOOKUP(B314,'Data Angt'!$A$5:$H$5810,6,FALSE)</f>
        <v>30</v>
      </c>
      <c r="P314" s="55" t="str">
        <f>VLOOKUP(B314,'Data Angt'!$A$5:$H$5810,8,FALSE)</f>
        <v>Karyawan</v>
      </c>
    </row>
    <row r="315" spans="1:16" x14ac:dyDescent="0.3">
      <c r="A315" s="8">
        <v>308</v>
      </c>
      <c r="B315" s="9" t="s">
        <v>5260</v>
      </c>
      <c r="C315" s="10" t="str">
        <f>VLOOKUP(B315,'Data Angt'!$A$5:$B$5809,2,FALSE)</f>
        <v>A2315</v>
      </c>
      <c r="D315" s="12" t="s">
        <v>22474</v>
      </c>
      <c r="E315" s="13">
        <v>45856</v>
      </c>
      <c r="F315" s="14">
        <v>45913</v>
      </c>
      <c r="G315" s="15">
        <v>5000000</v>
      </c>
      <c r="H315" s="16">
        <v>12</v>
      </c>
      <c r="I315" s="17">
        <v>11.88</v>
      </c>
      <c r="J315" s="15">
        <v>4207100</v>
      </c>
      <c r="K315" s="98">
        <f t="shared" si="12"/>
        <v>0</v>
      </c>
      <c r="L315" s="98" t="str">
        <f t="shared" si="13"/>
        <v>Lancar</v>
      </c>
      <c r="M315" s="5" t="str">
        <f t="shared" si="14"/>
        <v>001</v>
      </c>
      <c r="N315" s="55" t="str">
        <f>VLOOKUP(D315,Pinjaman!$E$7:$N$1900,10,FALSE)</f>
        <v>PRODUKTIF</v>
      </c>
      <c r="O315" s="55">
        <f>VLOOKUP(B315,'Data Angt'!$A$5:$H$5810,6,FALSE)</f>
        <v>53</v>
      </c>
      <c r="P315" s="55" t="str">
        <f>VLOOKUP(B315,'Data Angt'!$A$5:$H$5810,8,FALSE)</f>
        <v>Lain-Lain</v>
      </c>
    </row>
    <row r="316" spans="1:16" x14ac:dyDescent="0.3">
      <c r="A316" s="8">
        <v>309</v>
      </c>
      <c r="B316" s="9" t="s">
        <v>5265</v>
      </c>
      <c r="C316" s="10" t="str">
        <f>VLOOKUP(B316,'Data Angt'!$A$5:$B$5809,2,FALSE)</f>
        <v>A2318</v>
      </c>
      <c r="D316" s="12" t="s">
        <v>15770</v>
      </c>
      <c r="E316" s="13">
        <v>45665</v>
      </c>
      <c r="F316" s="14">
        <v>45908</v>
      </c>
      <c r="G316" s="15">
        <v>4000000</v>
      </c>
      <c r="H316" s="16">
        <v>15</v>
      </c>
      <c r="I316" s="17">
        <v>24</v>
      </c>
      <c r="J316" s="15">
        <v>2014400</v>
      </c>
      <c r="K316" s="98">
        <f t="shared" si="12"/>
        <v>0</v>
      </c>
      <c r="L316" s="98" t="str">
        <f t="shared" si="13"/>
        <v>Lancar</v>
      </c>
      <c r="M316" s="5" t="str">
        <f t="shared" si="14"/>
        <v>001</v>
      </c>
      <c r="N316" s="55" t="str">
        <f>VLOOKUP(D316,Pinjaman!$E$7:$N$1900,10,FALSE)</f>
        <v>PENDIDIKAN</v>
      </c>
      <c r="O316" s="55">
        <f>VLOOKUP(B316,'Data Angt'!$A$5:$H$5810,6,FALSE)</f>
        <v>42</v>
      </c>
      <c r="P316" s="55" t="str">
        <f>VLOOKUP(B316,'Data Angt'!$A$5:$H$5810,8,FALSE)</f>
        <v>Mengurus Rumah Tangga</v>
      </c>
    </row>
    <row r="317" spans="1:16" x14ac:dyDescent="0.3">
      <c r="A317" s="8">
        <v>310</v>
      </c>
      <c r="B317" s="9" t="s">
        <v>5267</v>
      </c>
      <c r="C317" s="10" t="str">
        <f>VLOOKUP(B317,'Data Angt'!$A$5:$B$5809,2,FALSE)</f>
        <v>A2319</v>
      </c>
      <c r="D317" s="12" t="s">
        <v>15772</v>
      </c>
      <c r="E317" s="13">
        <v>45614</v>
      </c>
      <c r="F317" s="14">
        <v>45926</v>
      </c>
      <c r="G317" s="15">
        <v>10000000</v>
      </c>
      <c r="H317" s="16">
        <v>18</v>
      </c>
      <c r="I317" s="17">
        <v>24</v>
      </c>
      <c r="J317" s="15">
        <v>5444000</v>
      </c>
      <c r="K317" s="98">
        <f t="shared" si="12"/>
        <v>0</v>
      </c>
      <c r="L317" s="98" t="str">
        <f t="shared" si="13"/>
        <v>Lancar</v>
      </c>
      <c r="M317" s="5" t="str">
        <f t="shared" si="14"/>
        <v>001</v>
      </c>
      <c r="N317" s="55" t="str">
        <f>VLOOKUP(D317,Pinjaman!$E$7:$N$1900,10,FALSE)</f>
        <v>KESEJAHTERAAN</v>
      </c>
      <c r="O317" s="55">
        <f>VLOOKUP(B317,'Data Angt'!$A$5:$H$5810,6,FALSE)</f>
        <v>54</v>
      </c>
      <c r="P317" s="55" t="str">
        <f>VLOOKUP(B317,'Data Angt'!$A$5:$H$5810,8,FALSE)</f>
        <v>Karyawan</v>
      </c>
    </row>
    <row r="318" spans="1:16" x14ac:dyDescent="0.3">
      <c r="A318" s="8">
        <v>311</v>
      </c>
      <c r="B318" s="9" t="s">
        <v>5317</v>
      </c>
      <c r="C318" s="10" t="str">
        <f>VLOOKUP(B318,'Data Angt'!$A$5:$B$5809,2,FALSE)</f>
        <v>A2341</v>
      </c>
      <c r="D318" s="12" t="s">
        <v>22478</v>
      </c>
      <c r="E318" s="13">
        <v>45899</v>
      </c>
      <c r="F318" s="14">
        <v>45930</v>
      </c>
      <c r="G318" s="15">
        <v>6500000</v>
      </c>
      <c r="H318" s="16">
        <v>24</v>
      </c>
      <c r="I318" s="17">
        <v>24</v>
      </c>
      <c r="J318" s="15">
        <v>6286300</v>
      </c>
      <c r="K318" s="98">
        <f t="shared" si="12"/>
        <v>0</v>
      </c>
      <c r="L318" s="98" t="str">
        <f t="shared" si="13"/>
        <v>Lancar</v>
      </c>
      <c r="M318" s="5" t="str">
        <f t="shared" si="14"/>
        <v>001</v>
      </c>
      <c r="N318" s="55" t="str">
        <f>VLOOKUP(D318,Pinjaman!$E$7:$N$1900,10,FALSE)</f>
        <v>KONSUMTIF</v>
      </c>
      <c r="O318" s="55">
        <f>VLOOKUP(B318,'Data Angt'!$A$5:$H$5810,6,FALSE)</f>
        <v>48</v>
      </c>
      <c r="P318" s="55" t="str">
        <f>VLOOKUP(B318,'Data Angt'!$A$5:$H$5810,8,FALSE)</f>
        <v>Lain-Lain</v>
      </c>
    </row>
    <row r="319" spans="1:16" x14ac:dyDescent="0.3">
      <c r="A319" s="8">
        <v>312</v>
      </c>
      <c r="B319" s="9" t="s">
        <v>5319</v>
      </c>
      <c r="C319" s="10" t="str">
        <f>VLOOKUP(B319,'Data Angt'!$A$5:$B$5809,2,FALSE)</f>
        <v>A2342</v>
      </c>
      <c r="D319" s="12" t="s">
        <v>22482</v>
      </c>
      <c r="E319" s="13">
        <v>45840</v>
      </c>
      <c r="F319" s="14">
        <v>45902</v>
      </c>
      <c r="G319" s="15">
        <v>15000000</v>
      </c>
      <c r="H319" s="16">
        <v>36</v>
      </c>
      <c r="I319" s="17">
        <v>24</v>
      </c>
      <c r="J319" s="15">
        <v>14417300</v>
      </c>
      <c r="K319" s="98">
        <f t="shared" si="12"/>
        <v>0</v>
      </c>
      <c r="L319" s="98" t="str">
        <f t="shared" si="13"/>
        <v>Lancar</v>
      </c>
      <c r="M319" s="5" t="str">
        <f t="shared" si="14"/>
        <v>001</v>
      </c>
      <c r="N319" s="55" t="str">
        <f>VLOOKUP(D319,Pinjaman!$E$7:$N$1900,10,FALSE)</f>
        <v>PENDIDIKAN</v>
      </c>
      <c r="O319" s="55">
        <f>VLOOKUP(B319,'Data Angt'!$A$5:$H$5810,6,FALSE)</f>
        <v>53</v>
      </c>
      <c r="P319" s="55" t="str">
        <f>VLOOKUP(B319,'Data Angt'!$A$5:$H$5810,8,FALSE)</f>
        <v>Wiraswasta</v>
      </c>
    </row>
    <row r="320" spans="1:16" x14ac:dyDescent="0.3">
      <c r="A320" s="8">
        <v>313</v>
      </c>
      <c r="B320" s="9" t="s">
        <v>5358</v>
      </c>
      <c r="C320" s="10" t="str">
        <f>VLOOKUP(B320,'Data Angt'!$A$5:$B$5809,2,FALSE)</f>
        <v>A2362</v>
      </c>
      <c r="D320" s="12" t="s">
        <v>15775</v>
      </c>
      <c r="E320" s="13">
        <v>45708</v>
      </c>
      <c r="F320" s="14">
        <v>45920</v>
      </c>
      <c r="G320" s="15">
        <v>5000000</v>
      </c>
      <c r="H320" s="16">
        <v>10</v>
      </c>
      <c r="I320" s="17">
        <v>24</v>
      </c>
      <c r="J320" s="15">
        <v>1605000</v>
      </c>
      <c r="K320" s="98">
        <f t="shared" si="12"/>
        <v>0</v>
      </c>
      <c r="L320" s="98" t="str">
        <f t="shared" si="13"/>
        <v>Lancar</v>
      </c>
      <c r="M320" s="5" t="str">
        <f t="shared" si="14"/>
        <v>001</v>
      </c>
      <c r="N320" s="55" t="str">
        <f>VLOOKUP(D320,Pinjaman!$E$7:$N$1900,10,FALSE)</f>
        <v>PRODUKTIF</v>
      </c>
      <c r="O320" s="55">
        <f>VLOOKUP(B320,'Data Angt'!$A$5:$H$5810,6,FALSE)</f>
        <v>46</v>
      </c>
      <c r="P320" s="55" t="str">
        <f>VLOOKUP(B320,'Data Angt'!$A$5:$H$5810,8,FALSE)</f>
        <v>Mengurus Rumah Tangga</v>
      </c>
    </row>
    <row r="321" spans="1:16" x14ac:dyDescent="0.3">
      <c r="A321" s="8">
        <v>314</v>
      </c>
      <c r="B321" s="9" t="s">
        <v>5358</v>
      </c>
      <c r="C321" s="10" t="str">
        <f>VLOOKUP(B321,'Data Angt'!$A$5:$B$5809,2,FALSE)</f>
        <v>A2362</v>
      </c>
      <c r="D321" s="12" t="s">
        <v>15777</v>
      </c>
      <c r="E321" s="13">
        <v>45369</v>
      </c>
      <c r="F321" s="14">
        <v>45918</v>
      </c>
      <c r="G321" s="15">
        <v>80000000</v>
      </c>
      <c r="H321" s="16">
        <v>48</v>
      </c>
      <c r="I321" s="17">
        <v>21</v>
      </c>
      <c r="J321" s="15">
        <v>57437300</v>
      </c>
      <c r="K321" s="98">
        <f t="shared" si="12"/>
        <v>0</v>
      </c>
      <c r="L321" s="98" t="str">
        <f t="shared" si="13"/>
        <v>Lancar</v>
      </c>
      <c r="M321" s="5" t="str">
        <f t="shared" si="14"/>
        <v>001</v>
      </c>
      <c r="N321" s="55" t="str">
        <f>VLOOKUP(D321,Pinjaman!$E$7:$N$1900,10,FALSE)</f>
        <v>KESEJAHTERAAN</v>
      </c>
      <c r="O321" s="55">
        <f>VLOOKUP(B321,'Data Angt'!$A$5:$H$5810,6,FALSE)</f>
        <v>46</v>
      </c>
      <c r="P321" s="55" t="str">
        <f>VLOOKUP(B321,'Data Angt'!$A$5:$H$5810,8,FALSE)</f>
        <v>Mengurus Rumah Tangga</v>
      </c>
    </row>
    <row r="322" spans="1:16" x14ac:dyDescent="0.3">
      <c r="A322" s="8">
        <v>315</v>
      </c>
      <c r="B322" s="9" t="s">
        <v>5364</v>
      </c>
      <c r="C322" s="10" t="str">
        <f>VLOOKUP(B322,'Data Angt'!$A$5:$B$5809,2,FALSE)</f>
        <v>A2365</v>
      </c>
      <c r="D322" s="12" t="s">
        <v>15779</v>
      </c>
      <c r="E322" s="13">
        <v>45768</v>
      </c>
      <c r="F322" s="14">
        <v>45918</v>
      </c>
      <c r="G322" s="15">
        <v>5000000</v>
      </c>
      <c r="H322" s="16">
        <v>18</v>
      </c>
      <c r="I322" s="17">
        <v>24</v>
      </c>
      <c r="J322" s="15">
        <v>3784600</v>
      </c>
      <c r="K322" s="98">
        <f t="shared" si="12"/>
        <v>0</v>
      </c>
      <c r="L322" s="98" t="str">
        <f t="shared" si="13"/>
        <v>Lancar</v>
      </c>
      <c r="M322" s="5" t="str">
        <f t="shared" si="14"/>
        <v>001</v>
      </c>
      <c r="N322" s="55" t="str">
        <f>VLOOKUP(D322,Pinjaman!$E$7:$N$1900,10,FALSE)</f>
        <v>KONSUMTIF</v>
      </c>
      <c r="O322" s="55">
        <f>VLOOKUP(B322,'Data Angt'!$A$5:$H$5810,6,FALSE)</f>
        <v>34</v>
      </c>
      <c r="P322" s="55" t="str">
        <f>VLOOKUP(B322,'Data Angt'!$A$5:$H$5810,8,FALSE)</f>
        <v>Wiraswasta</v>
      </c>
    </row>
    <row r="323" spans="1:16" x14ac:dyDescent="0.3">
      <c r="A323" s="8">
        <v>316</v>
      </c>
      <c r="B323" s="9" t="s">
        <v>5372</v>
      </c>
      <c r="C323" s="10" t="str">
        <f>VLOOKUP(B323,'Data Angt'!$A$5:$B$5809,2,FALSE)</f>
        <v>A2368</v>
      </c>
      <c r="D323" s="12" t="s">
        <v>15781</v>
      </c>
      <c r="E323" s="13">
        <v>45734</v>
      </c>
      <c r="F323" s="14">
        <v>45918</v>
      </c>
      <c r="G323" s="15">
        <v>3000000</v>
      </c>
      <c r="H323" s="16">
        <v>18</v>
      </c>
      <c r="I323" s="17">
        <v>24</v>
      </c>
      <c r="J323" s="15">
        <v>2115900</v>
      </c>
      <c r="K323" s="98">
        <f t="shared" si="12"/>
        <v>0</v>
      </c>
      <c r="L323" s="98" t="str">
        <f t="shared" si="13"/>
        <v>Lancar</v>
      </c>
      <c r="M323" s="5" t="str">
        <f t="shared" si="14"/>
        <v>001</v>
      </c>
      <c r="N323" s="55" t="str">
        <f>VLOOKUP(D323,Pinjaman!$E$7:$N$1900,10,FALSE)</f>
        <v>PENDIDIKAN</v>
      </c>
      <c r="O323" s="55">
        <f>VLOOKUP(B323,'Data Angt'!$A$5:$H$5810,6,FALSE)</f>
        <v>46</v>
      </c>
      <c r="P323" s="55" t="str">
        <f>VLOOKUP(B323,'Data Angt'!$A$5:$H$5810,8,FALSE)</f>
        <v>Petani/Pekebun/Nelayan</v>
      </c>
    </row>
    <row r="324" spans="1:16" x14ac:dyDescent="0.3">
      <c r="A324" s="8">
        <v>317</v>
      </c>
      <c r="B324" s="9" t="s">
        <v>5411</v>
      </c>
      <c r="C324" s="10" t="str">
        <f>VLOOKUP(B324,'Data Angt'!$A$5:$B$5809,2,FALSE)</f>
        <v>A2387</v>
      </c>
      <c r="D324" s="12" t="s">
        <v>15784</v>
      </c>
      <c r="E324" s="13">
        <v>45713</v>
      </c>
      <c r="F324" s="14">
        <v>45924</v>
      </c>
      <c r="G324" s="15">
        <v>12000000</v>
      </c>
      <c r="H324" s="16">
        <v>30</v>
      </c>
      <c r="I324" s="17">
        <v>24</v>
      </c>
      <c r="J324" s="15">
        <v>9801200</v>
      </c>
      <c r="K324" s="98">
        <f t="shared" si="12"/>
        <v>0</v>
      </c>
      <c r="L324" s="98" t="str">
        <f t="shared" si="13"/>
        <v>Lancar</v>
      </c>
      <c r="M324" s="5" t="str">
        <f t="shared" si="14"/>
        <v>001</v>
      </c>
      <c r="N324" s="55" t="str">
        <f>VLOOKUP(D324,Pinjaman!$E$7:$N$1900,10,FALSE)</f>
        <v>PRODUKTIF</v>
      </c>
      <c r="O324" s="55">
        <f>VLOOKUP(B324,'Data Angt'!$A$5:$H$5810,6,FALSE)</f>
        <v>39</v>
      </c>
      <c r="P324" s="55" t="str">
        <f>VLOOKUP(B324,'Data Angt'!$A$5:$H$5810,8,FALSE)</f>
        <v>Wiraswasta</v>
      </c>
    </row>
    <row r="325" spans="1:16" x14ac:dyDescent="0.3">
      <c r="A325" s="8">
        <v>318</v>
      </c>
      <c r="B325" s="9" t="s">
        <v>5422</v>
      </c>
      <c r="C325" s="10" t="str">
        <f>VLOOKUP(B325,'Data Angt'!$A$5:$B$5809,2,FALSE)</f>
        <v>A2393</v>
      </c>
      <c r="D325" s="12" t="s">
        <v>15786</v>
      </c>
      <c r="E325" s="13">
        <v>45787</v>
      </c>
      <c r="F325" s="14">
        <v>45912</v>
      </c>
      <c r="G325" s="15">
        <v>5000000</v>
      </c>
      <c r="H325" s="16">
        <v>12</v>
      </c>
      <c r="I325" s="17">
        <v>11.88</v>
      </c>
      <c r="J325" s="15">
        <v>3398500</v>
      </c>
      <c r="K325" s="98">
        <f t="shared" si="12"/>
        <v>0</v>
      </c>
      <c r="L325" s="98" t="str">
        <f t="shared" si="13"/>
        <v>Lancar</v>
      </c>
      <c r="M325" s="5" t="str">
        <f t="shared" si="14"/>
        <v>001</v>
      </c>
      <c r="N325" s="55" t="str">
        <f>VLOOKUP(D325,Pinjaman!$E$7:$N$1900,10,FALSE)</f>
        <v>KESEJAHTERAAN</v>
      </c>
      <c r="O325" s="55">
        <f>VLOOKUP(B325,'Data Angt'!$A$5:$H$5810,6,FALSE)</f>
        <v>44</v>
      </c>
      <c r="P325" s="55" t="str">
        <f>VLOOKUP(B325,'Data Angt'!$A$5:$H$5810,8,FALSE)</f>
        <v>Aparatur/Pejabat Negara</v>
      </c>
    </row>
    <row r="326" spans="1:16" x14ac:dyDescent="0.3">
      <c r="A326" s="8">
        <v>319</v>
      </c>
      <c r="B326" s="9" t="s">
        <v>5429</v>
      </c>
      <c r="C326" s="10" t="str">
        <f>VLOOKUP(B326,'Data Angt'!$A$5:$B$5809,2,FALSE)</f>
        <v>A2396</v>
      </c>
      <c r="D326" s="12" t="s">
        <v>15788</v>
      </c>
      <c r="E326" s="13">
        <v>45726</v>
      </c>
      <c r="F326" s="14">
        <v>45910</v>
      </c>
      <c r="G326" s="15">
        <v>3000000</v>
      </c>
      <c r="H326" s="16">
        <v>10</v>
      </c>
      <c r="I326" s="17">
        <v>24</v>
      </c>
      <c r="J326" s="15">
        <v>1271900</v>
      </c>
      <c r="K326" s="98">
        <f t="shared" si="12"/>
        <v>0</v>
      </c>
      <c r="L326" s="98" t="str">
        <f t="shared" si="13"/>
        <v>Lancar</v>
      </c>
      <c r="M326" s="5" t="str">
        <f t="shared" si="14"/>
        <v>001</v>
      </c>
      <c r="N326" s="55" t="str">
        <f>VLOOKUP(D326,Pinjaman!$E$7:$N$1900,10,FALSE)</f>
        <v>KESEJAHTERAAN</v>
      </c>
      <c r="O326" s="55">
        <f>VLOOKUP(B326,'Data Angt'!$A$5:$H$5810,6,FALSE)</f>
        <v>42</v>
      </c>
      <c r="P326" s="55" t="str">
        <f>VLOOKUP(B326,'Data Angt'!$A$5:$H$5810,8,FALSE)</f>
        <v>Tenaga Pengajar</v>
      </c>
    </row>
    <row r="327" spans="1:16" x14ac:dyDescent="0.3">
      <c r="A327" s="8">
        <v>320</v>
      </c>
      <c r="B327" s="9" t="s">
        <v>5442</v>
      </c>
      <c r="C327" s="10" t="str">
        <f>VLOOKUP(B327,'Data Angt'!$A$5:$B$5809,2,FALSE)</f>
        <v>A2402</v>
      </c>
      <c r="D327" s="12" t="s">
        <v>15790</v>
      </c>
      <c r="E327" s="13">
        <v>45602</v>
      </c>
      <c r="F327" s="14">
        <v>45908</v>
      </c>
      <c r="G327" s="15">
        <v>5000000</v>
      </c>
      <c r="H327" s="16">
        <v>24</v>
      </c>
      <c r="I327" s="17">
        <v>24</v>
      </c>
      <c r="J327" s="15">
        <v>3200300</v>
      </c>
      <c r="K327" s="98">
        <f t="shared" si="12"/>
        <v>0</v>
      </c>
      <c r="L327" s="98" t="str">
        <f t="shared" si="13"/>
        <v>Lancar</v>
      </c>
      <c r="M327" s="5" t="str">
        <f t="shared" si="14"/>
        <v>001</v>
      </c>
      <c r="N327" s="55" t="str">
        <f>VLOOKUP(D327,Pinjaman!$E$7:$N$1900,10,FALSE)</f>
        <v>PRODUKTIF</v>
      </c>
      <c r="O327" s="55">
        <f>VLOOKUP(B327,'Data Angt'!$A$5:$H$5810,6,FALSE)</f>
        <v>47</v>
      </c>
      <c r="P327" s="55" t="str">
        <f>VLOOKUP(B327,'Data Angt'!$A$5:$H$5810,8,FALSE)</f>
        <v>Mengurus Rumah Tangga</v>
      </c>
    </row>
    <row r="328" spans="1:16" x14ac:dyDescent="0.3">
      <c r="A328" s="8">
        <v>321</v>
      </c>
      <c r="B328" s="9" t="s">
        <v>5487</v>
      </c>
      <c r="C328" s="10" t="str">
        <f>VLOOKUP(B328,'Data Angt'!$A$5:$B$5809,2,FALSE)</f>
        <v>A2422</v>
      </c>
      <c r="D328" s="12" t="s">
        <v>15792</v>
      </c>
      <c r="E328" s="13">
        <v>45365</v>
      </c>
      <c r="F328" s="14">
        <v>45885</v>
      </c>
      <c r="G328" s="15">
        <v>200000000</v>
      </c>
      <c r="H328" s="16">
        <v>144</v>
      </c>
      <c r="I328" s="17">
        <v>11.4</v>
      </c>
      <c r="J328" s="15">
        <v>187983500</v>
      </c>
      <c r="K328" s="98">
        <f t="shared" si="12"/>
        <v>1</v>
      </c>
      <c r="L328" s="98" t="str">
        <f t="shared" si="13"/>
        <v>Lancar</v>
      </c>
      <c r="M328" s="5" t="str">
        <f t="shared" si="14"/>
        <v>001</v>
      </c>
      <c r="N328" s="55" t="str">
        <f>VLOOKUP(D328,Pinjaman!$E$7:$N$1900,10,FALSE)</f>
        <v>KESEJAHTERAAN</v>
      </c>
      <c r="O328" s="55">
        <f>VLOOKUP(B328,'Data Angt'!$A$5:$H$5810,6,FALSE)</f>
        <v>36</v>
      </c>
      <c r="P328" s="55" t="str">
        <f>VLOOKUP(B328,'Data Angt'!$A$5:$H$5810,8,FALSE)</f>
        <v>Tenaga Pengajar</v>
      </c>
    </row>
    <row r="329" spans="1:16" x14ac:dyDescent="0.3">
      <c r="A329" s="8">
        <v>322</v>
      </c>
      <c r="B329" s="9" t="s">
        <v>5505</v>
      </c>
      <c r="C329" s="10" t="str">
        <f>VLOOKUP(B329,'Data Angt'!$A$5:$B$5809,2,FALSE)</f>
        <v>A2430</v>
      </c>
      <c r="D329" s="12" t="s">
        <v>15796</v>
      </c>
      <c r="E329" s="13">
        <v>45692</v>
      </c>
      <c r="F329" s="14">
        <v>45904</v>
      </c>
      <c r="G329" s="15">
        <v>5000000</v>
      </c>
      <c r="H329" s="16">
        <v>12</v>
      </c>
      <c r="I329" s="17">
        <v>24</v>
      </c>
      <c r="J329" s="15">
        <v>2228800</v>
      </c>
      <c r="K329" s="98">
        <f t="shared" ref="K329:K392" si="15">DATEDIF(F329,$K$6,"m")</f>
        <v>0</v>
      </c>
      <c r="L329" s="98" t="str">
        <f t="shared" ref="L329:L392" si="16">IF(K329&lt;=3,"Lancar",IF(K329&lt;=6,"Kurang lancar",IF(K329&lt;=12,"Diragukan","Macet")))</f>
        <v>Lancar</v>
      </c>
      <c r="M329" s="5" t="str">
        <f t="shared" ref="M329:M392" si="17">MID(B329,7,3)</f>
        <v>001</v>
      </c>
      <c r="N329" s="55" t="str">
        <f>VLOOKUP(D329,Pinjaman!$E$7:$N$1900,10,FALSE)</f>
        <v>PRODUKTIF</v>
      </c>
      <c r="O329" s="55">
        <f>VLOOKUP(B329,'Data Angt'!$A$5:$H$5810,6,FALSE)</f>
        <v>43</v>
      </c>
      <c r="P329" s="55" t="str">
        <f>VLOOKUP(B329,'Data Angt'!$A$5:$H$5810,8,FALSE)</f>
        <v>Wiraswasta</v>
      </c>
    </row>
    <row r="330" spans="1:16" x14ac:dyDescent="0.3">
      <c r="A330" s="8">
        <v>323</v>
      </c>
      <c r="B330" s="9" t="s">
        <v>5505</v>
      </c>
      <c r="C330" s="10" t="str">
        <f>VLOOKUP(B330,'Data Angt'!$A$5:$B$5809,2,FALSE)</f>
        <v>A2430</v>
      </c>
      <c r="D330" s="12" t="s">
        <v>15794</v>
      </c>
      <c r="E330" s="13">
        <v>45826</v>
      </c>
      <c r="F330" s="14">
        <v>45909</v>
      </c>
      <c r="G330" s="15">
        <v>4000000</v>
      </c>
      <c r="H330" s="16">
        <v>12</v>
      </c>
      <c r="I330" s="17">
        <v>24</v>
      </c>
      <c r="J330" s="15">
        <v>2999800</v>
      </c>
      <c r="K330" s="98">
        <f t="shared" si="15"/>
        <v>0</v>
      </c>
      <c r="L330" s="98" t="str">
        <f t="shared" si="16"/>
        <v>Lancar</v>
      </c>
      <c r="M330" s="5" t="str">
        <f t="shared" si="17"/>
        <v>001</v>
      </c>
      <c r="N330" s="55" t="str">
        <f>VLOOKUP(D330,Pinjaman!$E$7:$N$1900,10,FALSE)</f>
        <v>PENDIDIKAN</v>
      </c>
      <c r="O330" s="55">
        <f>VLOOKUP(B330,'Data Angt'!$A$5:$H$5810,6,FALSE)</f>
        <v>43</v>
      </c>
      <c r="P330" s="55" t="str">
        <f>VLOOKUP(B330,'Data Angt'!$A$5:$H$5810,8,FALSE)</f>
        <v>Wiraswasta</v>
      </c>
    </row>
    <row r="331" spans="1:16" x14ac:dyDescent="0.3">
      <c r="A331" s="8">
        <v>324</v>
      </c>
      <c r="B331" s="9" t="s">
        <v>5528</v>
      </c>
      <c r="C331" s="10" t="str">
        <f>VLOOKUP(B331,'Data Angt'!$A$5:$B$5809,2,FALSE)</f>
        <v>A2439</v>
      </c>
      <c r="D331" s="12" t="s">
        <v>22490</v>
      </c>
      <c r="E331" s="13">
        <v>45922</v>
      </c>
      <c r="F331" s="14">
        <v>45922</v>
      </c>
      <c r="G331" s="15">
        <v>10000000</v>
      </c>
      <c r="H331" s="16">
        <v>24</v>
      </c>
      <c r="I331" s="17">
        <v>24</v>
      </c>
      <c r="J331" s="15">
        <v>10000000</v>
      </c>
      <c r="K331" s="98">
        <f t="shared" si="15"/>
        <v>0</v>
      </c>
      <c r="L331" s="98" t="str">
        <f t="shared" si="16"/>
        <v>Lancar</v>
      </c>
      <c r="M331" s="5" t="str">
        <f t="shared" si="17"/>
        <v>001</v>
      </c>
      <c r="N331" s="55" t="str">
        <f>VLOOKUP(D331,Pinjaman!$E$7:$N$1900,10,FALSE)</f>
        <v>PRODUKTIF</v>
      </c>
      <c r="O331" s="55">
        <f>VLOOKUP(B331,'Data Angt'!$A$5:$H$5810,6,FALSE)</f>
        <v>57</v>
      </c>
      <c r="P331" s="55" t="str">
        <f>VLOOKUP(B331,'Data Angt'!$A$5:$H$5810,8,FALSE)</f>
        <v>Mengurus Rumah Tangga</v>
      </c>
    </row>
    <row r="332" spans="1:16" x14ac:dyDescent="0.3">
      <c r="A332" s="8">
        <v>325</v>
      </c>
      <c r="B332" s="9" t="s">
        <v>5568</v>
      </c>
      <c r="C332" s="10" t="str">
        <f>VLOOKUP(B332,'Data Angt'!$A$5:$B$5809,2,FALSE)</f>
        <v>A2459</v>
      </c>
      <c r="D332" s="12" t="s">
        <v>15799</v>
      </c>
      <c r="E332" s="13">
        <v>45677</v>
      </c>
      <c r="F332" s="14">
        <v>45920</v>
      </c>
      <c r="G332" s="15">
        <v>32500000</v>
      </c>
      <c r="H332" s="16">
        <v>48</v>
      </c>
      <c r="I332" s="17">
        <v>21</v>
      </c>
      <c r="J332" s="15">
        <v>28777000</v>
      </c>
      <c r="K332" s="98">
        <f t="shared" si="15"/>
        <v>0</v>
      </c>
      <c r="L332" s="98" t="str">
        <f t="shared" si="16"/>
        <v>Lancar</v>
      </c>
      <c r="M332" s="5" t="str">
        <f t="shared" si="17"/>
        <v>001</v>
      </c>
      <c r="N332" s="55" t="str">
        <f>VLOOKUP(D332,Pinjaman!$E$7:$N$1900,10,FALSE)</f>
        <v>KESEJAHTERAAN</v>
      </c>
      <c r="O332" s="55">
        <f>VLOOKUP(B332,'Data Angt'!$A$5:$H$5810,6,FALSE)</f>
        <v>64</v>
      </c>
      <c r="P332" s="55" t="str">
        <f>VLOOKUP(B332,'Data Angt'!$A$5:$H$5810,8,FALSE)</f>
        <v>Aparatur/Pejabat Negara</v>
      </c>
    </row>
    <row r="333" spans="1:16" x14ac:dyDescent="0.3">
      <c r="A333" s="8">
        <v>326</v>
      </c>
      <c r="B333" s="9" t="s">
        <v>5581</v>
      </c>
      <c r="C333" s="10" t="str">
        <f>VLOOKUP(B333,'Data Angt'!$A$5:$B$5809,2,FALSE)</f>
        <v>A2465</v>
      </c>
      <c r="D333" s="12" t="s">
        <v>15802</v>
      </c>
      <c r="E333" s="13">
        <v>45706</v>
      </c>
      <c r="F333" s="14">
        <v>45917</v>
      </c>
      <c r="G333" s="15">
        <v>20000000</v>
      </c>
      <c r="H333" s="16">
        <v>12</v>
      </c>
      <c r="I333" s="17">
        <v>24</v>
      </c>
      <c r="J333" s="15">
        <v>8914200</v>
      </c>
      <c r="K333" s="98">
        <f t="shared" si="15"/>
        <v>0</v>
      </c>
      <c r="L333" s="98" t="str">
        <f t="shared" si="16"/>
        <v>Lancar</v>
      </c>
      <c r="M333" s="5" t="str">
        <f t="shared" si="17"/>
        <v>001</v>
      </c>
      <c r="N333" s="55" t="str">
        <f>VLOOKUP(D333,Pinjaman!$E$7:$N$1900,10,FALSE)</f>
        <v>PRODUKTIF</v>
      </c>
      <c r="O333" s="55">
        <f>VLOOKUP(B333,'Data Angt'!$A$5:$H$5810,6,FALSE)</f>
        <v>72</v>
      </c>
      <c r="P333" s="55" t="str">
        <f>VLOOKUP(B333,'Data Angt'!$A$5:$H$5810,8,FALSE)</f>
        <v>Wiraswasta</v>
      </c>
    </row>
    <row r="334" spans="1:16" x14ac:dyDescent="0.3">
      <c r="A334" s="8">
        <v>327</v>
      </c>
      <c r="B334" s="9" t="s">
        <v>5591</v>
      </c>
      <c r="C334" s="10" t="str">
        <f>VLOOKUP(B334,'Data Angt'!$A$5:$B$5809,2,FALSE)</f>
        <v>A2469</v>
      </c>
      <c r="D334" s="12" t="s">
        <v>22493</v>
      </c>
      <c r="E334" s="13">
        <v>45855</v>
      </c>
      <c r="F334" s="14">
        <v>45911</v>
      </c>
      <c r="G334" s="15">
        <v>3400000</v>
      </c>
      <c r="H334" s="16">
        <v>12</v>
      </c>
      <c r="I334" s="17">
        <v>12</v>
      </c>
      <c r="J334" s="15">
        <v>2861200</v>
      </c>
      <c r="K334" s="98">
        <f t="shared" si="15"/>
        <v>0</v>
      </c>
      <c r="L334" s="98" t="str">
        <f t="shared" si="16"/>
        <v>Lancar</v>
      </c>
      <c r="M334" s="5" t="str">
        <f t="shared" si="17"/>
        <v>001</v>
      </c>
      <c r="N334" s="55" t="str">
        <f>VLOOKUP(D334,Pinjaman!$E$7:$N$1900,10,FALSE)</f>
        <v>KONSUMTIF</v>
      </c>
      <c r="O334" s="55">
        <f>VLOOKUP(B334,'Data Angt'!$A$5:$H$5810,6,FALSE)</f>
        <v>32</v>
      </c>
      <c r="P334" s="55" t="str">
        <f>VLOOKUP(B334,'Data Angt'!$A$5:$H$5810,8,FALSE)</f>
        <v>Karyawan</v>
      </c>
    </row>
    <row r="335" spans="1:16" x14ac:dyDescent="0.3">
      <c r="A335" s="8">
        <v>328</v>
      </c>
      <c r="B335" s="9" t="s">
        <v>5597</v>
      </c>
      <c r="C335" s="10" t="str">
        <f>VLOOKUP(B335,'Data Angt'!$A$5:$B$5809,2,FALSE)</f>
        <v>A2472</v>
      </c>
      <c r="D335" s="12" t="s">
        <v>15804</v>
      </c>
      <c r="E335" s="13">
        <v>45329</v>
      </c>
      <c r="F335" s="14">
        <v>45902</v>
      </c>
      <c r="G335" s="15">
        <v>3500000</v>
      </c>
      <c r="H335" s="16">
        <v>24</v>
      </c>
      <c r="I335" s="17">
        <v>24</v>
      </c>
      <c r="J335" s="15">
        <v>727900</v>
      </c>
      <c r="K335" s="98">
        <f t="shared" si="15"/>
        <v>0</v>
      </c>
      <c r="L335" s="98" t="str">
        <f t="shared" si="16"/>
        <v>Lancar</v>
      </c>
      <c r="M335" s="5" t="str">
        <f t="shared" si="17"/>
        <v>001</v>
      </c>
      <c r="N335" s="55" t="str">
        <f>VLOOKUP(D335,Pinjaman!$E$7:$N$1900,10,FALSE)</f>
        <v>KESEJAHTERAAN</v>
      </c>
      <c r="O335" s="55">
        <f>VLOOKUP(B335,'Data Angt'!$A$5:$H$5810,6,FALSE)</f>
        <v>37</v>
      </c>
      <c r="P335" s="55" t="str">
        <f>VLOOKUP(B335,'Data Angt'!$A$5:$H$5810,8,FALSE)</f>
        <v>Lain-Lain</v>
      </c>
    </row>
    <row r="336" spans="1:16" x14ac:dyDescent="0.3">
      <c r="A336" s="8">
        <v>329</v>
      </c>
      <c r="B336" s="9" t="s">
        <v>5599</v>
      </c>
      <c r="C336" s="10" t="str">
        <f>VLOOKUP(B336,'Data Angt'!$A$5:$B$5809,2,FALSE)</f>
        <v>A2473</v>
      </c>
      <c r="D336" s="12" t="s">
        <v>22495</v>
      </c>
      <c r="E336" s="13">
        <v>45845</v>
      </c>
      <c r="F336" s="14">
        <v>45908</v>
      </c>
      <c r="G336" s="15">
        <v>20000000</v>
      </c>
      <c r="H336" s="16">
        <v>24</v>
      </c>
      <c r="I336" s="17">
        <v>24</v>
      </c>
      <c r="J336" s="15">
        <v>18671900</v>
      </c>
      <c r="K336" s="98">
        <f t="shared" si="15"/>
        <v>0</v>
      </c>
      <c r="L336" s="98" t="str">
        <f t="shared" si="16"/>
        <v>Lancar</v>
      </c>
      <c r="M336" s="5" t="str">
        <f t="shared" si="17"/>
        <v>001</v>
      </c>
      <c r="N336" s="55" t="str">
        <f>VLOOKUP(D336,Pinjaman!$E$7:$N$1900,10,FALSE)</f>
        <v>KESEJAHTERAAN</v>
      </c>
      <c r="O336" s="55">
        <f>VLOOKUP(B336,'Data Angt'!$A$5:$H$5810,6,FALSE)</f>
        <v>23</v>
      </c>
      <c r="P336" s="55">
        <f>VLOOKUP(B336,'Data Angt'!$A$5:$H$5810,8,FALSE)</f>
        <v>0</v>
      </c>
    </row>
    <row r="337" spans="1:16" x14ac:dyDescent="0.3">
      <c r="A337" s="8">
        <v>330</v>
      </c>
      <c r="B337" s="9" t="s">
        <v>5610</v>
      </c>
      <c r="C337" s="10" t="str">
        <f>VLOOKUP(B337,'Data Angt'!$A$5:$B$5809,2,FALSE)</f>
        <v>A2478</v>
      </c>
      <c r="D337" s="12" t="s">
        <v>10061</v>
      </c>
      <c r="E337" s="13">
        <v>44433</v>
      </c>
      <c r="F337" s="14">
        <v>45590</v>
      </c>
      <c r="G337" s="15">
        <v>5000000</v>
      </c>
      <c r="H337" s="16">
        <v>36</v>
      </c>
      <c r="I337" s="17">
        <v>24</v>
      </c>
      <c r="J337" s="15">
        <v>3749900</v>
      </c>
      <c r="K337" s="98">
        <f t="shared" si="15"/>
        <v>11</v>
      </c>
      <c r="L337" s="98" t="str">
        <f t="shared" si="16"/>
        <v>Diragukan</v>
      </c>
      <c r="M337" s="5" t="str">
        <f t="shared" si="17"/>
        <v>001</v>
      </c>
      <c r="N337" s="55" t="str">
        <f>VLOOKUP(D337,Pinjaman!$E$7:$N$1900,10,FALSE)</f>
        <v>PRODUKTIF</v>
      </c>
      <c r="O337" s="55">
        <f>VLOOKUP(B337,'Data Angt'!$A$5:$H$5810,6,FALSE)</f>
        <v>42</v>
      </c>
      <c r="P337" s="55" t="str">
        <f>VLOOKUP(B337,'Data Angt'!$A$5:$H$5810,8,FALSE)</f>
        <v>Karyawan</v>
      </c>
    </row>
    <row r="338" spans="1:16" x14ac:dyDescent="0.3">
      <c r="A338" s="8">
        <v>331</v>
      </c>
      <c r="B338" s="9" t="s">
        <v>5676</v>
      </c>
      <c r="C338" s="10" t="str">
        <f>VLOOKUP(B338,'Data Angt'!$A$5:$B$5809,2,FALSE)</f>
        <v>A2506</v>
      </c>
      <c r="D338" s="12" t="s">
        <v>15806</v>
      </c>
      <c r="E338" s="13">
        <v>45665</v>
      </c>
      <c r="F338" s="14">
        <v>45908</v>
      </c>
      <c r="G338" s="15">
        <v>10000000</v>
      </c>
      <c r="H338" s="16">
        <v>12</v>
      </c>
      <c r="I338" s="17">
        <v>11.9</v>
      </c>
      <c r="J338" s="15">
        <v>3465500</v>
      </c>
      <c r="K338" s="98">
        <f t="shared" si="15"/>
        <v>0</v>
      </c>
      <c r="L338" s="98" t="str">
        <f t="shared" si="16"/>
        <v>Lancar</v>
      </c>
      <c r="M338" s="5" t="str">
        <f t="shared" si="17"/>
        <v>001</v>
      </c>
      <c r="N338" s="55" t="str">
        <f>VLOOKUP(D338,Pinjaman!$E$7:$N$1900,10,FALSE)</f>
        <v>PRODUKTIF</v>
      </c>
      <c r="O338" s="55">
        <f>VLOOKUP(B338,'Data Angt'!$A$5:$H$5810,6,FALSE)</f>
        <v>71</v>
      </c>
      <c r="P338" s="55" t="str">
        <f>VLOOKUP(B338,'Data Angt'!$A$5:$H$5810,8,FALSE)</f>
        <v>Wiraswasta</v>
      </c>
    </row>
    <row r="339" spans="1:16" x14ac:dyDescent="0.3">
      <c r="A339" s="8">
        <v>332</v>
      </c>
      <c r="B339" s="9" t="s">
        <v>5680</v>
      </c>
      <c r="C339" s="10" t="str">
        <f>VLOOKUP(B339,'Data Angt'!$A$5:$B$5809,2,FALSE)</f>
        <v>A2507</v>
      </c>
      <c r="D339" s="12" t="s">
        <v>10064</v>
      </c>
      <c r="E339" s="13">
        <v>45075</v>
      </c>
      <c r="F339" s="14">
        <v>45901</v>
      </c>
      <c r="G339" s="15">
        <v>60000000</v>
      </c>
      <c r="H339" s="16">
        <v>48</v>
      </c>
      <c r="I339" s="17">
        <v>21</v>
      </c>
      <c r="J339" s="15">
        <v>25000000</v>
      </c>
      <c r="K339" s="98">
        <f t="shared" si="15"/>
        <v>0</v>
      </c>
      <c r="L339" s="98" t="str">
        <f t="shared" si="16"/>
        <v>Lancar</v>
      </c>
      <c r="M339" s="5" t="str">
        <f t="shared" si="17"/>
        <v>001</v>
      </c>
      <c r="N339" s="55" t="str">
        <f>VLOOKUP(D339,Pinjaman!$E$7:$N$1900,10,FALSE)</f>
        <v>KESEJAHTERAAN</v>
      </c>
      <c r="O339" s="55">
        <f>VLOOKUP(B339,'Data Angt'!$A$5:$H$5810,6,FALSE)</f>
        <v>50</v>
      </c>
      <c r="P339" s="55" t="str">
        <f>VLOOKUP(B339,'Data Angt'!$A$5:$H$5810,8,FALSE)</f>
        <v>Tenaga Pengajar</v>
      </c>
    </row>
    <row r="340" spans="1:16" x14ac:dyDescent="0.3">
      <c r="A340" s="8">
        <v>333</v>
      </c>
      <c r="B340" s="9" t="s">
        <v>5694</v>
      </c>
      <c r="C340" s="10" t="str">
        <f>VLOOKUP(B340,'Data Angt'!$A$5:$B$5809,2,FALSE)</f>
        <v>A2513</v>
      </c>
      <c r="D340" s="12" t="s">
        <v>22501</v>
      </c>
      <c r="E340" s="13">
        <v>45904</v>
      </c>
      <c r="F340" s="14">
        <v>45904</v>
      </c>
      <c r="G340" s="15">
        <v>4000000</v>
      </c>
      <c r="H340" s="16">
        <v>18</v>
      </c>
      <c r="I340" s="17">
        <v>24</v>
      </c>
      <c r="J340" s="15">
        <v>4000000</v>
      </c>
      <c r="K340" s="98">
        <f t="shared" si="15"/>
        <v>0</v>
      </c>
      <c r="L340" s="98" t="str">
        <f t="shared" si="16"/>
        <v>Lancar</v>
      </c>
      <c r="M340" s="5" t="str">
        <f t="shared" si="17"/>
        <v>001</v>
      </c>
      <c r="N340" s="55" t="str">
        <f>VLOOKUP(D340,Pinjaman!$E$7:$N$1900,10,FALSE)</f>
        <v>PRODUKTIF</v>
      </c>
      <c r="O340" s="55">
        <f>VLOOKUP(B340,'Data Angt'!$A$5:$H$5810,6,FALSE)</f>
        <v>41</v>
      </c>
      <c r="P340" s="55" t="str">
        <f>VLOOKUP(B340,'Data Angt'!$A$5:$H$5810,8,FALSE)</f>
        <v>Lain-Lain</v>
      </c>
    </row>
    <row r="341" spans="1:16" x14ac:dyDescent="0.3">
      <c r="A341" s="8">
        <v>334</v>
      </c>
      <c r="B341" s="9" t="s">
        <v>5712</v>
      </c>
      <c r="C341" s="10" t="str">
        <f>VLOOKUP(B341,'Data Angt'!$A$5:$B$5809,2,FALSE)</f>
        <v>A2521</v>
      </c>
      <c r="D341" s="12" t="s">
        <v>22504</v>
      </c>
      <c r="E341" s="13">
        <v>45848</v>
      </c>
      <c r="F341" s="14">
        <v>45909</v>
      </c>
      <c r="G341" s="15">
        <v>4000000</v>
      </c>
      <c r="H341" s="16">
        <v>18</v>
      </c>
      <c r="I341" s="17">
        <v>24</v>
      </c>
      <c r="J341" s="15">
        <v>3622500</v>
      </c>
      <c r="K341" s="98">
        <f t="shared" si="15"/>
        <v>0</v>
      </c>
      <c r="L341" s="98" t="str">
        <f t="shared" si="16"/>
        <v>Lancar</v>
      </c>
      <c r="M341" s="5" t="str">
        <f t="shared" si="17"/>
        <v>001</v>
      </c>
      <c r="N341" s="55" t="str">
        <f>VLOOKUP(D341,Pinjaman!$E$7:$N$1900,10,FALSE)</f>
        <v>PENDIDIKAN</v>
      </c>
      <c r="O341" s="55">
        <f>VLOOKUP(B341,'Data Angt'!$A$5:$H$5810,6,FALSE)</f>
        <v>42</v>
      </c>
      <c r="P341" s="55" t="str">
        <f>VLOOKUP(B341,'Data Angt'!$A$5:$H$5810,8,FALSE)</f>
        <v>Mengurus Rumah Tangga</v>
      </c>
    </row>
    <row r="342" spans="1:16" x14ac:dyDescent="0.3">
      <c r="A342" s="8">
        <v>335</v>
      </c>
      <c r="B342" s="9" t="s">
        <v>5718</v>
      </c>
      <c r="C342" s="10" t="str">
        <f>VLOOKUP(B342,'Data Angt'!$A$5:$B$5809,2,FALSE)</f>
        <v>A2523</v>
      </c>
      <c r="D342" s="12" t="s">
        <v>10067</v>
      </c>
      <c r="E342" s="13">
        <v>43936</v>
      </c>
      <c r="F342" s="14">
        <v>44594</v>
      </c>
      <c r="G342" s="15">
        <v>45000000</v>
      </c>
      <c r="H342" s="16">
        <v>36</v>
      </c>
      <c r="I342" s="17">
        <v>21</v>
      </c>
      <c r="J342" s="15">
        <v>22263400</v>
      </c>
      <c r="K342" s="98">
        <f t="shared" si="15"/>
        <v>43</v>
      </c>
      <c r="L342" s="98" t="str">
        <f t="shared" si="16"/>
        <v>Macet</v>
      </c>
      <c r="M342" s="5" t="str">
        <f t="shared" si="17"/>
        <v>001</v>
      </c>
      <c r="N342" s="55" t="str">
        <f>VLOOKUP(D342,Pinjaman!$E$7:$N$1900,10,FALSE)</f>
        <v>PRODUKTIF</v>
      </c>
      <c r="O342" s="55">
        <f>VLOOKUP(B342,'Data Angt'!$A$5:$H$5810,6,FALSE)</f>
        <v>55</v>
      </c>
      <c r="P342" s="55" t="str">
        <f>VLOOKUP(B342,'Data Angt'!$A$5:$H$5810,8,FALSE)</f>
        <v>Lain-Lain</v>
      </c>
    </row>
    <row r="343" spans="1:16" x14ac:dyDescent="0.3">
      <c r="A343" s="8">
        <v>336</v>
      </c>
      <c r="B343" s="9" t="s">
        <v>5737</v>
      </c>
      <c r="C343" s="10" t="str">
        <f>VLOOKUP(B343,'Data Angt'!$A$5:$B$5809,2,FALSE)</f>
        <v>A2530</v>
      </c>
      <c r="D343" s="12" t="s">
        <v>15808</v>
      </c>
      <c r="E343" s="13">
        <v>45799</v>
      </c>
      <c r="F343" s="14">
        <v>45920</v>
      </c>
      <c r="G343" s="15">
        <v>2000000</v>
      </c>
      <c r="H343" s="16">
        <v>12</v>
      </c>
      <c r="I343" s="17">
        <v>11.88</v>
      </c>
      <c r="J343" s="15">
        <v>1359500</v>
      </c>
      <c r="K343" s="98">
        <f t="shared" si="15"/>
        <v>0</v>
      </c>
      <c r="L343" s="98" t="str">
        <f t="shared" si="16"/>
        <v>Lancar</v>
      </c>
      <c r="M343" s="5" t="str">
        <f t="shared" si="17"/>
        <v>001</v>
      </c>
      <c r="N343" s="55" t="str">
        <f>VLOOKUP(D343,Pinjaman!$E$7:$N$1900,10,FALSE)</f>
        <v>KESEJAHTERAAN</v>
      </c>
      <c r="O343" s="55">
        <f>VLOOKUP(B343,'Data Angt'!$A$5:$H$5810,6,FALSE)</f>
        <v>55</v>
      </c>
      <c r="P343" s="55" t="str">
        <f>VLOOKUP(B343,'Data Angt'!$A$5:$H$5810,8,FALSE)</f>
        <v>Karyawan</v>
      </c>
    </row>
    <row r="344" spans="1:16" x14ac:dyDescent="0.3">
      <c r="A344" s="8">
        <v>337</v>
      </c>
      <c r="B344" s="9" t="s">
        <v>5745</v>
      </c>
      <c r="C344" s="10" t="str">
        <f>VLOOKUP(B344,'Data Angt'!$A$5:$B$5809,2,FALSE)</f>
        <v>A2533</v>
      </c>
      <c r="D344" s="12" t="s">
        <v>15810</v>
      </c>
      <c r="E344" s="13">
        <v>45785</v>
      </c>
      <c r="F344" s="14">
        <v>45908</v>
      </c>
      <c r="G344" s="15">
        <v>5000000</v>
      </c>
      <c r="H344" s="16">
        <v>12</v>
      </c>
      <c r="I344" s="17">
        <v>24</v>
      </c>
      <c r="J344" s="15">
        <v>3463600</v>
      </c>
      <c r="K344" s="98">
        <f t="shared" si="15"/>
        <v>0</v>
      </c>
      <c r="L344" s="98" t="str">
        <f t="shared" si="16"/>
        <v>Lancar</v>
      </c>
      <c r="M344" s="5" t="str">
        <f t="shared" si="17"/>
        <v>001</v>
      </c>
      <c r="N344" s="55" t="str">
        <f>VLOOKUP(D344,Pinjaman!$E$7:$N$1900,10,FALSE)</f>
        <v>PENDIDIKAN</v>
      </c>
      <c r="O344" s="55">
        <f>VLOOKUP(B344,'Data Angt'!$A$5:$H$5810,6,FALSE)</f>
        <v>54</v>
      </c>
      <c r="P344" s="55" t="str">
        <f>VLOOKUP(B344,'Data Angt'!$A$5:$H$5810,8,FALSE)</f>
        <v>Karyawan</v>
      </c>
    </row>
    <row r="345" spans="1:16" x14ac:dyDescent="0.3">
      <c r="A345" s="8">
        <v>338</v>
      </c>
      <c r="B345" s="9" t="s">
        <v>5745</v>
      </c>
      <c r="C345" s="10" t="str">
        <f>VLOOKUP(B345,'Data Angt'!$A$5:$B$5809,2,FALSE)</f>
        <v>A2533</v>
      </c>
      <c r="D345" s="12" t="s">
        <v>22507</v>
      </c>
      <c r="E345" s="13">
        <v>45891</v>
      </c>
      <c r="F345" s="14">
        <v>45908</v>
      </c>
      <c r="G345" s="15">
        <v>9000000</v>
      </c>
      <c r="H345" s="16">
        <v>18</v>
      </c>
      <c r="I345" s="17">
        <v>24</v>
      </c>
      <c r="J345" s="15">
        <v>8579600</v>
      </c>
      <c r="K345" s="98">
        <f t="shared" si="15"/>
        <v>0</v>
      </c>
      <c r="L345" s="98" t="str">
        <f t="shared" si="16"/>
        <v>Lancar</v>
      </c>
      <c r="M345" s="5" t="str">
        <f t="shared" si="17"/>
        <v>001</v>
      </c>
      <c r="N345" s="55" t="str">
        <f>VLOOKUP(D345,Pinjaman!$E$7:$N$1900,10,FALSE)</f>
        <v>PENDIDIKAN</v>
      </c>
      <c r="O345" s="55">
        <f>VLOOKUP(B345,'Data Angt'!$A$5:$H$5810,6,FALSE)</f>
        <v>54</v>
      </c>
      <c r="P345" s="55" t="str">
        <f>VLOOKUP(B345,'Data Angt'!$A$5:$H$5810,8,FALSE)</f>
        <v>Karyawan</v>
      </c>
    </row>
    <row r="346" spans="1:16" x14ac:dyDescent="0.3">
      <c r="A346" s="8">
        <v>339</v>
      </c>
      <c r="B346" s="9" t="s">
        <v>5790</v>
      </c>
      <c r="C346" s="10" t="str">
        <f>VLOOKUP(B346,'Data Angt'!$A$5:$B$5809,2,FALSE)</f>
        <v>A2553</v>
      </c>
      <c r="D346" s="12" t="s">
        <v>22510</v>
      </c>
      <c r="E346" s="13">
        <v>45920</v>
      </c>
      <c r="F346" s="14">
        <v>45920</v>
      </c>
      <c r="G346" s="15">
        <v>3000000</v>
      </c>
      <c r="H346" s="16">
        <v>15</v>
      </c>
      <c r="I346" s="17">
        <v>24</v>
      </c>
      <c r="J346" s="15">
        <v>3000000</v>
      </c>
      <c r="K346" s="98">
        <f t="shared" si="15"/>
        <v>0</v>
      </c>
      <c r="L346" s="98" t="str">
        <f t="shared" si="16"/>
        <v>Lancar</v>
      </c>
      <c r="M346" s="5" t="str">
        <f t="shared" si="17"/>
        <v>001</v>
      </c>
      <c r="N346" s="55" t="str">
        <f>VLOOKUP(D346,Pinjaman!$E$7:$N$1900,10,FALSE)</f>
        <v>KONSUMTIF</v>
      </c>
      <c r="O346" s="55">
        <f>VLOOKUP(B346,'Data Angt'!$A$5:$H$5810,6,FALSE)</f>
        <v>59</v>
      </c>
      <c r="P346" s="55" t="str">
        <f>VLOOKUP(B346,'Data Angt'!$A$5:$H$5810,8,FALSE)</f>
        <v>Tenaga Pengajar</v>
      </c>
    </row>
    <row r="347" spans="1:16" x14ac:dyDescent="0.3">
      <c r="A347" s="8">
        <v>340</v>
      </c>
      <c r="B347" s="9" t="s">
        <v>5802</v>
      </c>
      <c r="C347" s="10" t="str">
        <f>VLOOKUP(B347,'Data Angt'!$A$5:$B$5809,2,FALSE)</f>
        <v>A2559</v>
      </c>
      <c r="D347" s="12" t="s">
        <v>15814</v>
      </c>
      <c r="E347" s="13">
        <v>45825</v>
      </c>
      <c r="F347" s="14">
        <v>45918</v>
      </c>
      <c r="G347" s="15">
        <v>6000000</v>
      </c>
      <c r="H347" s="16">
        <v>24</v>
      </c>
      <c r="I347" s="17">
        <v>24</v>
      </c>
      <c r="J347" s="15">
        <v>5396300</v>
      </c>
      <c r="K347" s="98">
        <f t="shared" si="15"/>
        <v>0</v>
      </c>
      <c r="L347" s="98" t="str">
        <f t="shared" si="16"/>
        <v>Lancar</v>
      </c>
      <c r="M347" s="5" t="str">
        <f t="shared" si="17"/>
        <v>001</v>
      </c>
      <c r="N347" s="55" t="str">
        <f>VLOOKUP(D347,Pinjaman!$E$7:$N$1900,10,FALSE)</f>
        <v>PENDIDIKAN</v>
      </c>
      <c r="O347" s="55">
        <f>VLOOKUP(B347,'Data Angt'!$A$5:$H$5810,6,FALSE)</f>
        <v>36</v>
      </c>
      <c r="P347" s="55" t="str">
        <f>VLOOKUP(B347,'Data Angt'!$A$5:$H$5810,8,FALSE)</f>
        <v>Wiraswasta</v>
      </c>
    </row>
    <row r="348" spans="1:16" x14ac:dyDescent="0.3">
      <c r="A348" s="8">
        <v>341</v>
      </c>
      <c r="B348" s="9" t="s">
        <v>5805</v>
      </c>
      <c r="C348" s="10" t="str">
        <f>VLOOKUP(B348,'Data Angt'!$A$5:$B$5809,2,FALSE)</f>
        <v>A2560</v>
      </c>
      <c r="D348" s="12" t="s">
        <v>10070</v>
      </c>
      <c r="E348" s="13">
        <v>44705</v>
      </c>
      <c r="F348" s="14">
        <v>45887</v>
      </c>
      <c r="G348" s="15">
        <v>65000000</v>
      </c>
      <c r="H348" s="16">
        <v>48</v>
      </c>
      <c r="I348" s="17">
        <v>21</v>
      </c>
      <c r="J348" s="15">
        <v>46667800</v>
      </c>
      <c r="K348" s="98">
        <f t="shared" si="15"/>
        <v>1</v>
      </c>
      <c r="L348" s="98" t="str">
        <f t="shared" si="16"/>
        <v>Lancar</v>
      </c>
      <c r="M348" s="5" t="str">
        <f t="shared" si="17"/>
        <v>001</v>
      </c>
      <c r="N348" s="55" t="str">
        <f>VLOOKUP(D348,Pinjaman!$E$7:$N$1900,10,FALSE)</f>
        <v>PRODUKTIF</v>
      </c>
      <c r="O348" s="55">
        <f>VLOOKUP(B348,'Data Angt'!$A$5:$H$5810,6,FALSE)</f>
        <v>30</v>
      </c>
      <c r="P348" s="55" t="str">
        <f>VLOOKUP(B348,'Data Angt'!$A$5:$H$5810,8,FALSE)</f>
        <v>Karyawan</v>
      </c>
    </row>
    <row r="349" spans="1:16" x14ac:dyDescent="0.3">
      <c r="A349" s="8">
        <v>342</v>
      </c>
      <c r="B349" s="9" t="s">
        <v>5813</v>
      </c>
      <c r="C349" s="10" t="str">
        <f>VLOOKUP(B349,'Data Angt'!$A$5:$B$5809,2,FALSE)</f>
        <v>A2563</v>
      </c>
      <c r="D349" s="12" t="s">
        <v>10073</v>
      </c>
      <c r="E349" s="13">
        <v>42970</v>
      </c>
      <c r="F349" s="14">
        <v>45930</v>
      </c>
      <c r="G349" s="15">
        <v>50000000</v>
      </c>
      <c r="H349" s="16">
        <v>60</v>
      </c>
      <c r="I349" s="17">
        <v>21</v>
      </c>
      <c r="J349" s="15">
        <v>6450800</v>
      </c>
      <c r="K349" s="98">
        <f t="shared" si="15"/>
        <v>0</v>
      </c>
      <c r="L349" s="98" t="str">
        <f t="shared" si="16"/>
        <v>Lancar</v>
      </c>
      <c r="M349" s="5" t="str">
        <f t="shared" si="17"/>
        <v>001</v>
      </c>
      <c r="N349" s="55">
        <f>VLOOKUP(D349,Pinjaman!$E$7:$N$1900,10,FALSE)</f>
        <v>0</v>
      </c>
      <c r="O349" s="55">
        <f>VLOOKUP(B349,'Data Angt'!$A$5:$H$5810,6,FALSE)</f>
        <v>58</v>
      </c>
      <c r="P349" s="55" t="str">
        <f>VLOOKUP(B349,'Data Angt'!$A$5:$H$5810,8,FALSE)</f>
        <v>Wiraswasta</v>
      </c>
    </row>
    <row r="350" spans="1:16" x14ac:dyDescent="0.3">
      <c r="A350" s="8">
        <v>343</v>
      </c>
      <c r="B350" s="9" t="s">
        <v>5827</v>
      </c>
      <c r="C350" s="10" t="str">
        <f>VLOOKUP(B350,'Data Angt'!$A$5:$B$5809,2,FALSE)</f>
        <v>A2570</v>
      </c>
      <c r="D350" s="12" t="s">
        <v>10074</v>
      </c>
      <c r="E350" s="13">
        <v>44714</v>
      </c>
      <c r="F350" s="14">
        <v>45902</v>
      </c>
      <c r="G350" s="15">
        <v>12000000</v>
      </c>
      <c r="H350" s="16">
        <v>36</v>
      </c>
      <c r="I350" s="17">
        <v>24</v>
      </c>
      <c r="J350" s="15">
        <v>4900700</v>
      </c>
      <c r="K350" s="98">
        <f t="shared" si="15"/>
        <v>0</v>
      </c>
      <c r="L350" s="98" t="str">
        <f t="shared" si="16"/>
        <v>Lancar</v>
      </c>
      <c r="M350" s="5" t="str">
        <f t="shared" si="17"/>
        <v>001</v>
      </c>
      <c r="N350" s="55" t="str">
        <f>VLOOKUP(D350,Pinjaman!$E$7:$N$1900,10,FALSE)</f>
        <v>KONSUMTIF</v>
      </c>
      <c r="O350" s="55">
        <f>VLOOKUP(B350,'Data Angt'!$A$5:$H$5810,6,FALSE)</f>
        <v>61</v>
      </c>
      <c r="P350" s="55" t="str">
        <f>VLOOKUP(B350,'Data Angt'!$A$5:$H$5810,8,FALSE)</f>
        <v>Wiraswasta</v>
      </c>
    </row>
    <row r="351" spans="1:16" x14ac:dyDescent="0.3">
      <c r="A351" s="8">
        <v>344</v>
      </c>
      <c r="B351" s="9" t="s">
        <v>5859</v>
      </c>
      <c r="C351" s="10" t="str">
        <f>VLOOKUP(B351,'Data Angt'!$A$5:$B$5809,2,FALSE)</f>
        <v>A2587</v>
      </c>
      <c r="D351" s="12" t="s">
        <v>10077</v>
      </c>
      <c r="E351" s="13">
        <v>43452</v>
      </c>
      <c r="F351" s="14">
        <v>45904</v>
      </c>
      <c r="G351" s="15">
        <v>75000000</v>
      </c>
      <c r="H351" s="16">
        <v>48</v>
      </c>
      <c r="I351" s="17">
        <v>12</v>
      </c>
      <c r="J351" s="15">
        <v>38733000</v>
      </c>
      <c r="K351" s="98">
        <f t="shared" si="15"/>
        <v>0</v>
      </c>
      <c r="L351" s="98" t="str">
        <f t="shared" si="16"/>
        <v>Lancar</v>
      </c>
      <c r="M351" s="5" t="str">
        <f t="shared" si="17"/>
        <v>001</v>
      </c>
      <c r="N351" s="55" t="str">
        <f>VLOOKUP(D351,Pinjaman!$E$7:$N$1900,10,FALSE)</f>
        <v>PRODUKTIF</v>
      </c>
      <c r="O351" s="55">
        <f>VLOOKUP(B351,'Data Angt'!$A$5:$H$5810,6,FALSE)</f>
        <v>45</v>
      </c>
      <c r="P351" s="55" t="str">
        <f>VLOOKUP(B351,'Data Angt'!$A$5:$H$5810,8,FALSE)</f>
        <v>Wiraswasta</v>
      </c>
    </row>
    <row r="352" spans="1:16" x14ac:dyDescent="0.3">
      <c r="A352" s="8">
        <v>345</v>
      </c>
      <c r="B352" s="9" t="s">
        <v>5866</v>
      </c>
      <c r="C352" s="10" t="str">
        <f>VLOOKUP(B352,'Data Angt'!$A$5:$B$5809,2,FALSE)</f>
        <v>A2589</v>
      </c>
      <c r="D352" s="12" t="s">
        <v>22516</v>
      </c>
      <c r="E352" s="13">
        <v>45918</v>
      </c>
      <c r="F352" s="14">
        <v>45918</v>
      </c>
      <c r="G352" s="15">
        <v>30000000</v>
      </c>
      <c r="H352" s="16">
        <v>24</v>
      </c>
      <c r="I352" s="17">
        <v>21</v>
      </c>
      <c r="J352" s="15">
        <v>30000000</v>
      </c>
      <c r="K352" s="98">
        <f t="shared" si="15"/>
        <v>0</v>
      </c>
      <c r="L352" s="98" t="str">
        <f t="shared" si="16"/>
        <v>Lancar</v>
      </c>
      <c r="M352" s="5" t="str">
        <f t="shared" si="17"/>
        <v>001</v>
      </c>
      <c r="N352" s="55" t="str">
        <f>VLOOKUP(D352,Pinjaman!$E$7:$N$1900,10,FALSE)</f>
        <v>KESEJAHTERAAN</v>
      </c>
      <c r="O352" s="55">
        <f>VLOOKUP(B352,'Data Angt'!$A$5:$H$5810,6,FALSE)</f>
        <v>60</v>
      </c>
      <c r="P352" s="55" t="str">
        <f>VLOOKUP(B352,'Data Angt'!$A$5:$H$5810,8,FALSE)</f>
        <v>Karyawan</v>
      </c>
    </row>
    <row r="353" spans="1:16" x14ac:dyDescent="0.3">
      <c r="A353" s="8">
        <v>346</v>
      </c>
      <c r="B353" s="9" t="s">
        <v>5943</v>
      </c>
      <c r="C353" s="10" t="str">
        <f>VLOOKUP(B353,'Data Angt'!$A$5:$B$5809,2,FALSE)</f>
        <v>A2623</v>
      </c>
      <c r="D353" s="12" t="s">
        <v>15817</v>
      </c>
      <c r="E353" s="13">
        <v>45561</v>
      </c>
      <c r="F353" s="14">
        <v>45908</v>
      </c>
      <c r="G353" s="15">
        <v>4000000</v>
      </c>
      <c r="H353" s="16">
        <v>18</v>
      </c>
      <c r="I353" s="17">
        <v>24</v>
      </c>
      <c r="J353" s="15">
        <v>1493900</v>
      </c>
      <c r="K353" s="98">
        <f t="shared" si="15"/>
        <v>0</v>
      </c>
      <c r="L353" s="98" t="str">
        <f t="shared" si="16"/>
        <v>Lancar</v>
      </c>
      <c r="M353" s="5" t="str">
        <f t="shared" si="17"/>
        <v>001</v>
      </c>
      <c r="N353" s="55" t="str">
        <f>VLOOKUP(D353,Pinjaman!$E$7:$N$1900,10,FALSE)</f>
        <v>PRODUKTIF</v>
      </c>
      <c r="O353" s="55">
        <f>VLOOKUP(B353,'Data Angt'!$A$5:$H$5810,6,FALSE)</f>
        <v>39</v>
      </c>
      <c r="P353" s="55" t="str">
        <f>VLOOKUP(B353,'Data Angt'!$A$5:$H$5810,8,FALSE)</f>
        <v>Wiraswasta</v>
      </c>
    </row>
    <row r="354" spans="1:16" x14ac:dyDescent="0.3">
      <c r="A354" s="8">
        <v>347</v>
      </c>
      <c r="B354" s="9" t="s">
        <v>5962</v>
      </c>
      <c r="C354" s="10" t="str">
        <f>VLOOKUP(B354,'Data Angt'!$A$5:$B$5809,2,FALSE)</f>
        <v>A2632</v>
      </c>
      <c r="D354" s="12" t="s">
        <v>10080</v>
      </c>
      <c r="E354" s="13">
        <v>43397</v>
      </c>
      <c r="F354" s="14">
        <v>45927</v>
      </c>
      <c r="G354" s="15">
        <v>245000000</v>
      </c>
      <c r="H354" s="16">
        <v>180</v>
      </c>
      <c r="I354" s="17">
        <v>11.4</v>
      </c>
      <c r="J354" s="15">
        <v>179876800</v>
      </c>
      <c r="K354" s="98">
        <f t="shared" si="15"/>
        <v>0</v>
      </c>
      <c r="L354" s="98" t="str">
        <f t="shared" si="16"/>
        <v>Lancar</v>
      </c>
      <c r="M354" s="5" t="str">
        <f t="shared" si="17"/>
        <v>001</v>
      </c>
      <c r="N354" s="55" t="str">
        <f>VLOOKUP(D354,Pinjaman!$E$7:$N$1900,10,FALSE)</f>
        <v>KESEJAHTERAAN</v>
      </c>
      <c r="O354" s="55">
        <f>VLOOKUP(B354,'Data Angt'!$A$5:$H$5810,6,FALSE)</f>
        <v>39</v>
      </c>
      <c r="P354" s="55" t="str">
        <f>VLOOKUP(B354,'Data Angt'!$A$5:$H$5810,8,FALSE)</f>
        <v>Karyawan</v>
      </c>
    </row>
    <row r="355" spans="1:16" x14ac:dyDescent="0.3">
      <c r="A355" s="8">
        <v>348</v>
      </c>
      <c r="B355" s="9" t="s">
        <v>5989</v>
      </c>
      <c r="C355" s="10" t="str">
        <f>VLOOKUP(B355,'Data Angt'!$A$5:$B$5809,2,FALSE)</f>
        <v>A2645</v>
      </c>
      <c r="D355" s="12" t="s">
        <v>15820</v>
      </c>
      <c r="E355" s="13">
        <v>45328</v>
      </c>
      <c r="F355" s="14">
        <v>45906</v>
      </c>
      <c r="G355" s="15">
        <v>12000000</v>
      </c>
      <c r="H355" s="16">
        <v>24</v>
      </c>
      <c r="I355" s="17">
        <v>24</v>
      </c>
      <c r="J355" s="15">
        <v>2990300</v>
      </c>
      <c r="K355" s="98">
        <f t="shared" si="15"/>
        <v>0</v>
      </c>
      <c r="L355" s="98" t="str">
        <f t="shared" si="16"/>
        <v>Lancar</v>
      </c>
      <c r="M355" s="5" t="str">
        <f t="shared" si="17"/>
        <v>001</v>
      </c>
      <c r="N355" s="55" t="str">
        <f>VLOOKUP(D355,Pinjaman!$E$7:$N$1900,10,FALSE)</f>
        <v>PRODUKTIF</v>
      </c>
      <c r="O355" s="55">
        <f>VLOOKUP(B355,'Data Angt'!$A$5:$H$5810,6,FALSE)</f>
        <v>62</v>
      </c>
      <c r="P355" s="55" t="str">
        <f>VLOOKUP(B355,'Data Angt'!$A$5:$H$5810,8,FALSE)</f>
        <v>Mengurus Rumah Tangga</v>
      </c>
    </row>
    <row r="356" spans="1:16" x14ac:dyDescent="0.3">
      <c r="A356" s="8">
        <v>349</v>
      </c>
      <c r="B356" s="9" t="s">
        <v>5991</v>
      </c>
      <c r="C356" s="10" t="str">
        <f>VLOOKUP(B356,'Data Angt'!$A$5:$B$5809,2,FALSE)</f>
        <v>A2647</v>
      </c>
      <c r="D356" s="12" t="s">
        <v>15822</v>
      </c>
      <c r="E356" s="13">
        <v>45779</v>
      </c>
      <c r="F356" s="14">
        <v>45902</v>
      </c>
      <c r="G356" s="15">
        <v>30000000</v>
      </c>
      <c r="H356" s="16">
        <v>48</v>
      </c>
      <c r="I356" s="17">
        <v>21</v>
      </c>
      <c r="J356" s="15">
        <v>28341300</v>
      </c>
      <c r="K356" s="98">
        <f t="shared" si="15"/>
        <v>0</v>
      </c>
      <c r="L356" s="98" t="str">
        <f t="shared" si="16"/>
        <v>Lancar</v>
      </c>
      <c r="M356" s="5" t="str">
        <f t="shared" si="17"/>
        <v>001</v>
      </c>
      <c r="N356" s="55" t="str">
        <f>VLOOKUP(D356,Pinjaman!$E$7:$N$1900,10,FALSE)</f>
        <v>KONSUMTIF</v>
      </c>
      <c r="O356" s="55">
        <f>VLOOKUP(B356,'Data Angt'!$A$5:$H$5810,6,FALSE)</f>
        <v>33</v>
      </c>
      <c r="P356" s="55" t="str">
        <f>VLOOKUP(B356,'Data Angt'!$A$5:$H$5810,8,FALSE)</f>
        <v>Tenaga Pengajar</v>
      </c>
    </row>
    <row r="357" spans="1:16" x14ac:dyDescent="0.3">
      <c r="A357" s="8">
        <v>350</v>
      </c>
      <c r="B357" s="9" t="s">
        <v>5993</v>
      </c>
      <c r="C357" s="10" t="str">
        <f>VLOOKUP(B357,'Data Angt'!$A$5:$B$5809,2,FALSE)</f>
        <v>A2648</v>
      </c>
      <c r="D357" s="12" t="s">
        <v>10084</v>
      </c>
      <c r="E357" s="13">
        <v>44585</v>
      </c>
      <c r="F357" s="14">
        <v>45923</v>
      </c>
      <c r="G357" s="15">
        <v>100000000</v>
      </c>
      <c r="H357" s="16">
        <v>72</v>
      </c>
      <c r="I357" s="17">
        <v>11.8</v>
      </c>
      <c r="J357" s="15">
        <v>47394000</v>
      </c>
      <c r="K357" s="98">
        <f t="shared" si="15"/>
        <v>0</v>
      </c>
      <c r="L357" s="98" t="str">
        <f t="shared" si="16"/>
        <v>Lancar</v>
      </c>
      <c r="M357" s="5" t="str">
        <f t="shared" si="17"/>
        <v>001</v>
      </c>
      <c r="N357" s="55">
        <f>VLOOKUP(D357,Pinjaman!$E$7:$N$1900,10,FALSE)</f>
        <v>0</v>
      </c>
      <c r="O357" s="55">
        <f>VLOOKUP(B357,'Data Angt'!$A$5:$H$5810,6,FALSE)</f>
        <v>69</v>
      </c>
      <c r="P357" s="55" t="str">
        <f>VLOOKUP(B357,'Data Angt'!$A$5:$H$5810,8,FALSE)</f>
        <v>Wiraswasta</v>
      </c>
    </row>
    <row r="358" spans="1:16" x14ac:dyDescent="0.3">
      <c r="A358" s="8">
        <v>351</v>
      </c>
      <c r="B358" s="9" t="s">
        <v>6021</v>
      </c>
      <c r="C358" s="10" t="str">
        <f>VLOOKUP(B358,'Data Angt'!$A$5:$B$5809,2,FALSE)</f>
        <v>A2661</v>
      </c>
      <c r="D358" s="12" t="s">
        <v>10087</v>
      </c>
      <c r="E358" s="13">
        <v>43544</v>
      </c>
      <c r="F358" s="14">
        <v>45807</v>
      </c>
      <c r="G358" s="15">
        <v>170000000</v>
      </c>
      <c r="H358" s="16">
        <v>144</v>
      </c>
      <c r="I358" s="17">
        <v>11.4</v>
      </c>
      <c r="J358" s="15">
        <v>126337900</v>
      </c>
      <c r="K358" s="98">
        <f t="shared" si="15"/>
        <v>4</v>
      </c>
      <c r="L358" s="98" t="str">
        <f t="shared" si="16"/>
        <v>Kurang lancar</v>
      </c>
      <c r="M358" s="5" t="str">
        <f t="shared" si="17"/>
        <v>001</v>
      </c>
      <c r="N358" s="55" t="str">
        <f>VLOOKUP(D358,Pinjaman!$E$7:$N$1900,10,FALSE)</f>
        <v>KESEJAHTERAAN</v>
      </c>
      <c r="O358" s="55">
        <f>VLOOKUP(B358,'Data Angt'!$A$5:$H$5810,6,FALSE)</f>
        <v>42</v>
      </c>
      <c r="P358" s="55" t="str">
        <f>VLOOKUP(B358,'Data Angt'!$A$5:$H$5810,8,FALSE)</f>
        <v>Karyawan</v>
      </c>
    </row>
    <row r="359" spans="1:16" x14ac:dyDescent="0.3">
      <c r="A359" s="8">
        <v>352</v>
      </c>
      <c r="B359" s="9" t="s">
        <v>6049</v>
      </c>
      <c r="C359" s="10" t="str">
        <f>VLOOKUP(B359,'Data Angt'!$A$5:$B$5809,2,FALSE)</f>
        <v>A2675</v>
      </c>
      <c r="D359" s="12" t="s">
        <v>22522</v>
      </c>
      <c r="E359" s="13">
        <v>45860</v>
      </c>
      <c r="F359" s="14">
        <v>45924</v>
      </c>
      <c r="G359" s="15">
        <v>6000000</v>
      </c>
      <c r="H359" s="16">
        <v>10</v>
      </c>
      <c r="I359" s="17">
        <v>24</v>
      </c>
      <c r="J359" s="15">
        <v>4893100</v>
      </c>
      <c r="K359" s="98">
        <f t="shared" si="15"/>
        <v>0</v>
      </c>
      <c r="L359" s="98" t="str">
        <f t="shared" si="16"/>
        <v>Lancar</v>
      </c>
      <c r="M359" s="5" t="str">
        <f t="shared" si="17"/>
        <v>001</v>
      </c>
      <c r="N359" s="55" t="str">
        <f>VLOOKUP(D359,Pinjaman!$E$7:$N$1900,10,FALSE)</f>
        <v>KONSUMTIF</v>
      </c>
      <c r="O359" s="55">
        <f>VLOOKUP(B359,'Data Angt'!$A$5:$H$5810,6,FALSE)</f>
        <v>71</v>
      </c>
      <c r="P359" s="55" t="str">
        <f>VLOOKUP(B359,'Data Angt'!$A$5:$H$5810,8,FALSE)</f>
        <v>Wiraswasta</v>
      </c>
    </row>
    <row r="360" spans="1:16" x14ac:dyDescent="0.3">
      <c r="A360" s="8">
        <v>353</v>
      </c>
      <c r="B360" s="9" t="s">
        <v>6073</v>
      </c>
      <c r="C360" s="10" t="str">
        <f>VLOOKUP(B360,'Data Angt'!$A$5:$B$5809,2,FALSE)</f>
        <v>A2685</v>
      </c>
      <c r="D360" s="12" t="s">
        <v>10090</v>
      </c>
      <c r="E360" s="13">
        <v>42748</v>
      </c>
      <c r="F360" s="14">
        <v>44879</v>
      </c>
      <c r="G360" s="15">
        <v>150000000</v>
      </c>
      <c r="H360" s="16">
        <v>24</v>
      </c>
      <c r="I360" s="17">
        <v>11.88</v>
      </c>
      <c r="J360" s="15">
        <v>125000000</v>
      </c>
      <c r="K360" s="98">
        <f t="shared" si="15"/>
        <v>34</v>
      </c>
      <c r="L360" s="98" t="str">
        <f t="shared" si="16"/>
        <v>Macet</v>
      </c>
      <c r="M360" s="5" t="str">
        <f t="shared" si="17"/>
        <v>001</v>
      </c>
      <c r="N360" s="55">
        <f>VLOOKUP(D360,Pinjaman!$E$7:$N$1900,10,FALSE)</f>
        <v>0</v>
      </c>
      <c r="O360" s="55">
        <f>VLOOKUP(B360,'Data Angt'!$A$5:$H$5810,6,FALSE)</f>
        <v>44</v>
      </c>
      <c r="P360" s="55" t="str">
        <f>VLOOKUP(B360,'Data Angt'!$A$5:$H$5810,8,FALSE)</f>
        <v>Mengurus Rumah Tangga</v>
      </c>
    </row>
    <row r="361" spans="1:16" x14ac:dyDescent="0.3">
      <c r="A361" s="8">
        <v>354</v>
      </c>
      <c r="B361" s="9" t="s">
        <v>6081</v>
      </c>
      <c r="C361" s="10" t="str">
        <f>VLOOKUP(B361,'Data Angt'!$A$5:$B$5809,2,FALSE)</f>
        <v>A2690</v>
      </c>
      <c r="D361" s="12" t="s">
        <v>15825</v>
      </c>
      <c r="E361" s="13">
        <v>45318</v>
      </c>
      <c r="F361" s="14">
        <v>45919</v>
      </c>
      <c r="G361" s="15">
        <v>25000000</v>
      </c>
      <c r="H361" s="16">
        <v>48</v>
      </c>
      <c r="I361" s="17">
        <v>21</v>
      </c>
      <c r="J361" s="15">
        <v>17021000</v>
      </c>
      <c r="K361" s="98">
        <f t="shared" si="15"/>
        <v>0</v>
      </c>
      <c r="L361" s="98" t="str">
        <f t="shared" si="16"/>
        <v>Lancar</v>
      </c>
      <c r="M361" s="5" t="str">
        <f t="shared" si="17"/>
        <v>001</v>
      </c>
      <c r="N361" s="55" t="str">
        <f>VLOOKUP(D361,Pinjaman!$E$7:$N$1900,10,FALSE)</f>
        <v>PENDIDIKAN</v>
      </c>
      <c r="O361" s="55">
        <f>VLOOKUP(B361,'Data Angt'!$A$5:$H$5810,6,FALSE)</f>
        <v>51</v>
      </c>
      <c r="P361" s="55" t="str">
        <f>VLOOKUP(B361,'Data Angt'!$A$5:$H$5810,8,FALSE)</f>
        <v>Aparatur/Pejabat Negara</v>
      </c>
    </row>
    <row r="362" spans="1:16" x14ac:dyDescent="0.3">
      <c r="A362" s="8">
        <v>355</v>
      </c>
      <c r="B362" s="9" t="s">
        <v>6097</v>
      </c>
      <c r="C362" s="10" t="str">
        <f>VLOOKUP(B362,'Data Angt'!$A$5:$B$5809,2,FALSE)</f>
        <v>A2699</v>
      </c>
      <c r="D362" s="12" t="s">
        <v>15827</v>
      </c>
      <c r="E362" s="13">
        <v>45804</v>
      </c>
      <c r="F362" s="14">
        <v>45909</v>
      </c>
      <c r="G362" s="15">
        <v>10000000</v>
      </c>
      <c r="H362" s="16">
        <v>10</v>
      </c>
      <c r="I362" s="17">
        <v>24</v>
      </c>
      <c r="J362" s="15">
        <v>6236000</v>
      </c>
      <c r="K362" s="98">
        <f t="shared" si="15"/>
        <v>0</v>
      </c>
      <c r="L362" s="98" t="str">
        <f t="shared" si="16"/>
        <v>Lancar</v>
      </c>
      <c r="M362" s="5" t="str">
        <f t="shared" si="17"/>
        <v>001</v>
      </c>
      <c r="N362" s="55" t="str">
        <f>VLOOKUP(D362,Pinjaman!$E$7:$N$1900,10,FALSE)</f>
        <v>KESEJAHTERAAN</v>
      </c>
      <c r="O362" s="55">
        <f>VLOOKUP(B362,'Data Angt'!$A$5:$H$5810,6,FALSE)</f>
        <v>82</v>
      </c>
      <c r="P362" s="55" t="str">
        <f>VLOOKUP(B362,'Data Angt'!$A$5:$H$5810,8,FALSE)</f>
        <v>Tenaga Pengajar</v>
      </c>
    </row>
    <row r="363" spans="1:16" x14ac:dyDescent="0.3">
      <c r="A363" s="8">
        <v>356</v>
      </c>
      <c r="B363" s="9" t="s">
        <v>6118</v>
      </c>
      <c r="C363" s="10" t="str">
        <f>VLOOKUP(B363,'Data Angt'!$A$5:$B$5809,2,FALSE)</f>
        <v>A2710</v>
      </c>
      <c r="D363" s="12" t="s">
        <v>22528</v>
      </c>
      <c r="E363" s="13">
        <v>45861</v>
      </c>
      <c r="F363" s="14">
        <v>45924</v>
      </c>
      <c r="G363" s="15">
        <v>7000000</v>
      </c>
      <c r="H363" s="16">
        <v>12</v>
      </c>
      <c r="I363" s="17">
        <v>24</v>
      </c>
      <c r="J363" s="15">
        <v>5945600</v>
      </c>
      <c r="K363" s="98">
        <f t="shared" si="15"/>
        <v>0</v>
      </c>
      <c r="L363" s="98" t="str">
        <f t="shared" si="16"/>
        <v>Lancar</v>
      </c>
      <c r="M363" s="5" t="str">
        <f t="shared" si="17"/>
        <v>001</v>
      </c>
      <c r="N363" s="55" t="str">
        <f>VLOOKUP(D363,Pinjaman!$E$7:$N$1900,10,FALSE)</f>
        <v>PRODUKTIF</v>
      </c>
      <c r="O363" s="55">
        <f>VLOOKUP(B363,'Data Angt'!$A$5:$H$5810,6,FALSE)</f>
        <v>42</v>
      </c>
      <c r="P363" s="55" t="str">
        <f>VLOOKUP(B363,'Data Angt'!$A$5:$H$5810,8,FALSE)</f>
        <v>Mengurus Rumah Tangga</v>
      </c>
    </row>
    <row r="364" spans="1:16" x14ac:dyDescent="0.3">
      <c r="A364" s="8">
        <v>357</v>
      </c>
      <c r="B364" s="9" t="s">
        <v>6141</v>
      </c>
      <c r="C364" s="10" t="str">
        <f>VLOOKUP(B364,'Data Angt'!$A$5:$B$5809,2,FALSE)</f>
        <v>A2720</v>
      </c>
      <c r="D364" s="12" t="s">
        <v>15829</v>
      </c>
      <c r="E364" s="13">
        <v>45693</v>
      </c>
      <c r="F364" s="14">
        <v>45908</v>
      </c>
      <c r="G364" s="15">
        <v>13000000</v>
      </c>
      <c r="H364" s="16">
        <v>12</v>
      </c>
      <c r="I364" s="17">
        <v>24</v>
      </c>
      <c r="J364" s="15">
        <v>5794400</v>
      </c>
      <c r="K364" s="98">
        <f t="shared" si="15"/>
        <v>0</v>
      </c>
      <c r="L364" s="98" t="str">
        <f t="shared" si="16"/>
        <v>Lancar</v>
      </c>
      <c r="M364" s="5" t="str">
        <f t="shared" si="17"/>
        <v>001</v>
      </c>
      <c r="N364" s="55" t="str">
        <f>VLOOKUP(D364,Pinjaman!$E$7:$N$1900,10,FALSE)</f>
        <v>KONSUMTIF</v>
      </c>
      <c r="O364" s="55">
        <f>VLOOKUP(B364,'Data Angt'!$A$5:$H$5810,6,FALSE)</f>
        <v>28</v>
      </c>
      <c r="P364" s="55" t="str">
        <f>VLOOKUP(B364,'Data Angt'!$A$5:$H$5810,8,FALSE)</f>
        <v>Karyawan</v>
      </c>
    </row>
    <row r="365" spans="1:16" x14ac:dyDescent="0.3">
      <c r="A365" s="8">
        <v>358</v>
      </c>
      <c r="B365" s="9" t="s">
        <v>6163</v>
      </c>
      <c r="C365" s="10" t="str">
        <f>VLOOKUP(B365,'Data Angt'!$A$5:$B$5809,2,FALSE)</f>
        <v>A2730</v>
      </c>
      <c r="D365" s="12" t="s">
        <v>10092</v>
      </c>
      <c r="E365" s="13">
        <v>43918</v>
      </c>
      <c r="F365" s="14">
        <v>44527</v>
      </c>
      <c r="G365" s="15">
        <v>275000000</v>
      </c>
      <c r="H365" s="16">
        <v>84</v>
      </c>
      <c r="I365" s="17">
        <v>2.4</v>
      </c>
      <c r="J365" s="15">
        <v>213647600</v>
      </c>
      <c r="K365" s="98">
        <f t="shared" si="15"/>
        <v>46</v>
      </c>
      <c r="L365" s="98" t="str">
        <f t="shared" si="16"/>
        <v>Macet</v>
      </c>
      <c r="M365" s="5" t="str">
        <f t="shared" si="17"/>
        <v>001</v>
      </c>
      <c r="N365" s="55" t="str">
        <f>VLOOKUP(D365,Pinjaman!$E$7:$N$1900,10,FALSE)</f>
        <v>KESEJAHTERAAN</v>
      </c>
      <c r="O365" s="55">
        <f>VLOOKUP(B365,'Data Angt'!$A$5:$H$5810,6,FALSE)</f>
        <v>37</v>
      </c>
      <c r="P365" s="55" t="str">
        <f>VLOOKUP(B365,'Data Angt'!$A$5:$H$5810,8,FALSE)</f>
        <v>Karyawan</v>
      </c>
    </row>
    <row r="366" spans="1:16" x14ac:dyDescent="0.3">
      <c r="A366" s="8">
        <v>359</v>
      </c>
      <c r="B366" s="9" t="s">
        <v>6213</v>
      </c>
      <c r="C366" s="10" t="str">
        <f>VLOOKUP(B366,'Data Angt'!$A$5:$B$5809,2,FALSE)</f>
        <v>A2752</v>
      </c>
      <c r="D366" s="12" t="s">
        <v>15832</v>
      </c>
      <c r="E366" s="13">
        <v>45664</v>
      </c>
      <c r="F366" s="14">
        <v>45903</v>
      </c>
      <c r="G366" s="15">
        <v>5000000</v>
      </c>
      <c r="H366" s="16">
        <v>24</v>
      </c>
      <c r="I366" s="17">
        <v>24</v>
      </c>
      <c r="J366" s="15">
        <v>3589300</v>
      </c>
      <c r="K366" s="98">
        <f t="shared" si="15"/>
        <v>0</v>
      </c>
      <c r="L366" s="98" t="str">
        <f t="shared" si="16"/>
        <v>Lancar</v>
      </c>
      <c r="M366" s="5" t="str">
        <f t="shared" si="17"/>
        <v>001</v>
      </c>
      <c r="N366" s="55" t="str">
        <f>VLOOKUP(D366,Pinjaman!$E$7:$N$1900,10,FALSE)</f>
        <v>PENDIDIKAN</v>
      </c>
      <c r="O366" s="55">
        <f>VLOOKUP(B366,'Data Angt'!$A$5:$H$5810,6,FALSE)</f>
        <v>66</v>
      </c>
      <c r="P366" s="55" t="str">
        <f>VLOOKUP(B366,'Data Angt'!$A$5:$H$5810,8,FALSE)</f>
        <v>Wiraswasta</v>
      </c>
    </row>
    <row r="367" spans="1:16" x14ac:dyDescent="0.3">
      <c r="A367" s="8">
        <v>360</v>
      </c>
      <c r="B367" s="9" t="s">
        <v>6249</v>
      </c>
      <c r="C367" s="10" t="str">
        <f>VLOOKUP(B367,'Data Angt'!$A$5:$B$5809,2,FALSE)</f>
        <v>A2768</v>
      </c>
      <c r="D367" s="12" t="s">
        <v>15835</v>
      </c>
      <c r="E367" s="13">
        <v>45598</v>
      </c>
      <c r="F367" s="14">
        <v>45902</v>
      </c>
      <c r="G367" s="15">
        <v>12000000</v>
      </c>
      <c r="H367" s="16">
        <v>18</v>
      </c>
      <c r="I367" s="17">
        <v>18</v>
      </c>
      <c r="J367" s="15">
        <v>5731900</v>
      </c>
      <c r="K367" s="98">
        <f t="shared" si="15"/>
        <v>0</v>
      </c>
      <c r="L367" s="98" t="str">
        <f t="shared" si="16"/>
        <v>Lancar</v>
      </c>
      <c r="M367" s="5" t="str">
        <f t="shared" si="17"/>
        <v>001</v>
      </c>
      <c r="N367" s="55" t="str">
        <f>VLOOKUP(D367,Pinjaman!$E$7:$N$1900,10,FALSE)</f>
        <v>KESEJAHTERAAN</v>
      </c>
      <c r="O367" s="55">
        <f>VLOOKUP(B367,'Data Angt'!$A$5:$H$5810,6,FALSE)</f>
        <v>54</v>
      </c>
      <c r="P367" s="55" t="str">
        <f>VLOOKUP(B367,'Data Angt'!$A$5:$H$5810,8,FALSE)</f>
        <v>Lain-Lain</v>
      </c>
    </row>
    <row r="368" spans="1:16" x14ac:dyDescent="0.3">
      <c r="A368" s="8">
        <v>361</v>
      </c>
      <c r="B368" s="9" t="s">
        <v>6267</v>
      </c>
      <c r="C368" s="10" t="str">
        <f>VLOOKUP(B368,'Data Angt'!$A$5:$B$5809,2,FALSE)</f>
        <v>A2776</v>
      </c>
      <c r="D368" s="12" t="s">
        <v>10096</v>
      </c>
      <c r="E368" s="13">
        <v>43636</v>
      </c>
      <c r="F368" s="14">
        <v>45901</v>
      </c>
      <c r="G368" s="15">
        <v>165000000</v>
      </c>
      <c r="H368" s="16">
        <v>120</v>
      </c>
      <c r="I368" s="17">
        <v>11.4</v>
      </c>
      <c r="J368" s="15">
        <v>84284800</v>
      </c>
      <c r="K368" s="98">
        <f t="shared" si="15"/>
        <v>0</v>
      </c>
      <c r="L368" s="98" t="str">
        <f t="shared" si="16"/>
        <v>Lancar</v>
      </c>
      <c r="M368" s="5" t="str">
        <f t="shared" si="17"/>
        <v>001</v>
      </c>
      <c r="N368" s="55" t="str">
        <f>VLOOKUP(D368,Pinjaman!$E$7:$N$1900,10,FALSE)</f>
        <v>KESEJAHTERAAN</v>
      </c>
      <c r="O368" s="55">
        <f>VLOOKUP(B368,'Data Angt'!$A$5:$H$5810,6,FALSE)</f>
        <v>39</v>
      </c>
      <c r="P368" s="55" t="str">
        <f>VLOOKUP(B368,'Data Angt'!$A$5:$H$5810,8,FALSE)</f>
        <v>Karyawan</v>
      </c>
    </row>
    <row r="369" spans="1:16" x14ac:dyDescent="0.3">
      <c r="A369" s="8">
        <v>362</v>
      </c>
      <c r="B369" s="9" t="s">
        <v>6271</v>
      </c>
      <c r="C369" s="10" t="str">
        <f>VLOOKUP(B369,'Data Angt'!$A$5:$B$5809,2,FALSE)</f>
        <v>A2778</v>
      </c>
      <c r="D369" s="12" t="s">
        <v>15838</v>
      </c>
      <c r="E369" s="13">
        <v>45785</v>
      </c>
      <c r="F369" s="14">
        <v>45908</v>
      </c>
      <c r="G369" s="15">
        <v>4000000</v>
      </c>
      <c r="H369" s="16">
        <v>10</v>
      </c>
      <c r="I369" s="17">
        <v>24</v>
      </c>
      <c r="J369" s="15">
        <v>2494100</v>
      </c>
      <c r="K369" s="98">
        <f t="shared" si="15"/>
        <v>0</v>
      </c>
      <c r="L369" s="98" t="str">
        <f t="shared" si="16"/>
        <v>Lancar</v>
      </c>
      <c r="M369" s="5" t="str">
        <f t="shared" si="17"/>
        <v>001</v>
      </c>
      <c r="N369" s="55" t="str">
        <f>VLOOKUP(D369,Pinjaman!$E$7:$N$1900,10,FALSE)</f>
        <v>PENDIDIKAN</v>
      </c>
      <c r="O369" s="55">
        <f>VLOOKUP(B369,'Data Angt'!$A$5:$H$5810,6,FALSE)</f>
        <v>52</v>
      </c>
      <c r="P369" s="55" t="str">
        <f>VLOOKUP(B369,'Data Angt'!$A$5:$H$5810,8,FALSE)</f>
        <v>Lain-Lain</v>
      </c>
    </row>
    <row r="370" spans="1:16" x14ac:dyDescent="0.3">
      <c r="A370" s="8">
        <v>363</v>
      </c>
      <c r="B370" s="9" t="s">
        <v>6274</v>
      </c>
      <c r="C370" s="10" t="str">
        <f>VLOOKUP(B370,'Data Angt'!$A$5:$B$5809,2,FALSE)</f>
        <v>A2779</v>
      </c>
      <c r="D370" s="12" t="s">
        <v>15840</v>
      </c>
      <c r="E370" s="13">
        <v>45630</v>
      </c>
      <c r="F370" s="14">
        <v>45904</v>
      </c>
      <c r="G370" s="15">
        <v>100000000</v>
      </c>
      <c r="H370" s="16">
        <v>24</v>
      </c>
      <c r="I370" s="17">
        <v>12</v>
      </c>
      <c r="J370" s="15">
        <v>65267500</v>
      </c>
      <c r="K370" s="98">
        <f t="shared" si="15"/>
        <v>0</v>
      </c>
      <c r="L370" s="98" t="str">
        <f t="shared" si="16"/>
        <v>Lancar</v>
      </c>
      <c r="M370" s="5" t="str">
        <f t="shared" si="17"/>
        <v>001</v>
      </c>
      <c r="N370" s="55" t="str">
        <f>VLOOKUP(D370,Pinjaman!$E$7:$N$1900,10,FALSE)</f>
        <v>PRODUKTIF</v>
      </c>
      <c r="O370" s="55">
        <f>VLOOKUP(B370,'Data Angt'!$A$5:$H$5810,6,FALSE)</f>
        <v>32</v>
      </c>
      <c r="P370" s="55" t="str">
        <f>VLOOKUP(B370,'Data Angt'!$A$5:$H$5810,8,FALSE)</f>
        <v>Wiraswasta</v>
      </c>
    </row>
    <row r="371" spans="1:16" x14ac:dyDescent="0.3">
      <c r="A371" s="8">
        <v>364</v>
      </c>
      <c r="B371" s="9" t="s">
        <v>6305</v>
      </c>
      <c r="C371" s="10" t="str">
        <f>VLOOKUP(B371,'Data Angt'!$A$5:$B$5809,2,FALSE)</f>
        <v>A2794</v>
      </c>
      <c r="D371" s="12" t="s">
        <v>10098</v>
      </c>
      <c r="E371" s="13">
        <v>43564</v>
      </c>
      <c r="F371" s="14">
        <v>45677</v>
      </c>
      <c r="G371" s="15">
        <v>25000000</v>
      </c>
      <c r="H371" s="16">
        <v>24</v>
      </c>
      <c r="I371" s="17">
        <v>21</v>
      </c>
      <c r="J371" s="15">
        <v>8394500</v>
      </c>
      <c r="K371" s="98">
        <f t="shared" si="15"/>
        <v>8</v>
      </c>
      <c r="L371" s="98" t="str">
        <f t="shared" si="16"/>
        <v>Diragukan</v>
      </c>
      <c r="M371" s="5" t="str">
        <f t="shared" si="17"/>
        <v>001</v>
      </c>
      <c r="N371" s="55" t="str">
        <f>VLOOKUP(D371,Pinjaman!$E$7:$N$1900,10,FALSE)</f>
        <v>KESEJAHTERAAN</v>
      </c>
      <c r="O371" s="55">
        <f>VLOOKUP(B371,'Data Angt'!$A$5:$H$5810,6,FALSE)</f>
        <v>55</v>
      </c>
      <c r="P371" s="55" t="str">
        <f>VLOOKUP(B371,'Data Angt'!$A$5:$H$5810,8,FALSE)</f>
        <v>Wiraswasta</v>
      </c>
    </row>
    <row r="372" spans="1:16" x14ac:dyDescent="0.3">
      <c r="A372" s="8">
        <v>365</v>
      </c>
      <c r="B372" s="9" t="s">
        <v>6314</v>
      </c>
      <c r="C372" s="10" t="str">
        <f>VLOOKUP(B372,'Data Angt'!$A$5:$B$5809,2,FALSE)</f>
        <v>A2798</v>
      </c>
      <c r="D372" s="12" t="s">
        <v>22536</v>
      </c>
      <c r="E372" s="13">
        <v>45863</v>
      </c>
      <c r="F372" s="14">
        <v>45911</v>
      </c>
      <c r="G372" s="15">
        <v>2100000</v>
      </c>
      <c r="H372" s="16">
        <v>12</v>
      </c>
      <c r="I372" s="17">
        <v>11.88</v>
      </c>
      <c r="J372" s="15">
        <v>1767000</v>
      </c>
      <c r="K372" s="98">
        <f t="shared" si="15"/>
        <v>0</v>
      </c>
      <c r="L372" s="98" t="str">
        <f t="shared" si="16"/>
        <v>Lancar</v>
      </c>
      <c r="M372" s="5" t="str">
        <f t="shared" si="17"/>
        <v>001</v>
      </c>
      <c r="N372" s="55" t="str">
        <f>VLOOKUP(D372,Pinjaman!$E$7:$N$1900,10,FALSE)</f>
        <v>KONSUMTIF</v>
      </c>
      <c r="O372" s="55">
        <f>VLOOKUP(B372,'Data Angt'!$A$5:$H$5810,6,FALSE)</f>
        <v>49</v>
      </c>
      <c r="P372" s="55" t="str">
        <f>VLOOKUP(B372,'Data Angt'!$A$5:$H$5810,8,FALSE)</f>
        <v>Lain-Lain</v>
      </c>
    </row>
    <row r="373" spans="1:16" x14ac:dyDescent="0.3">
      <c r="A373" s="8">
        <v>366</v>
      </c>
      <c r="B373" s="9" t="s">
        <v>6346</v>
      </c>
      <c r="C373" s="10" t="str">
        <f>VLOOKUP(B373,'Data Angt'!$A$5:$B$5809,2,FALSE)</f>
        <v>A2813</v>
      </c>
      <c r="D373" s="12" t="s">
        <v>15842</v>
      </c>
      <c r="E373" s="13">
        <v>45490</v>
      </c>
      <c r="F373" s="14">
        <v>45926</v>
      </c>
      <c r="G373" s="15">
        <v>42000000</v>
      </c>
      <c r="H373" s="16">
        <v>48</v>
      </c>
      <c r="I373" s="17">
        <v>21</v>
      </c>
      <c r="J373" s="15">
        <v>39687700</v>
      </c>
      <c r="K373" s="98">
        <f t="shared" si="15"/>
        <v>0</v>
      </c>
      <c r="L373" s="98" t="str">
        <f t="shared" si="16"/>
        <v>Lancar</v>
      </c>
      <c r="M373" s="5" t="str">
        <f t="shared" si="17"/>
        <v>001</v>
      </c>
      <c r="N373" s="55" t="str">
        <f>VLOOKUP(D373,Pinjaman!$E$7:$N$1900,10,FALSE)</f>
        <v>KESEHATAN</v>
      </c>
      <c r="O373" s="55">
        <f>VLOOKUP(B373,'Data Angt'!$A$5:$H$5810,6,FALSE)</f>
        <v>46</v>
      </c>
      <c r="P373" s="55" t="str">
        <f>VLOOKUP(B373,'Data Angt'!$A$5:$H$5810,8,FALSE)</f>
        <v>Lain-Lain</v>
      </c>
    </row>
    <row r="374" spans="1:16" x14ac:dyDescent="0.3">
      <c r="A374" s="8">
        <v>367</v>
      </c>
      <c r="B374" s="9" t="s">
        <v>6351</v>
      </c>
      <c r="C374" s="10" t="str">
        <f>VLOOKUP(B374,'Data Angt'!$A$5:$B$5809,2,FALSE)</f>
        <v>A2815</v>
      </c>
      <c r="D374" s="12" t="s">
        <v>15844</v>
      </c>
      <c r="E374" s="13">
        <v>45528</v>
      </c>
      <c r="F374" s="14">
        <v>45930</v>
      </c>
      <c r="G374" s="15">
        <v>46000000</v>
      </c>
      <c r="H374" s="16">
        <v>24</v>
      </c>
      <c r="I374" s="17">
        <v>21</v>
      </c>
      <c r="J374" s="15">
        <v>23465900</v>
      </c>
      <c r="K374" s="98">
        <f t="shared" si="15"/>
        <v>0</v>
      </c>
      <c r="L374" s="98" t="str">
        <f t="shared" si="16"/>
        <v>Lancar</v>
      </c>
      <c r="M374" s="5" t="str">
        <f t="shared" si="17"/>
        <v>001</v>
      </c>
      <c r="N374" s="55" t="str">
        <f>VLOOKUP(D374,Pinjaman!$E$7:$N$1900,10,FALSE)</f>
        <v>PRODUKTIF</v>
      </c>
      <c r="O374" s="55">
        <f>VLOOKUP(B374,'Data Angt'!$A$5:$H$5810,6,FALSE)</f>
        <v>51</v>
      </c>
      <c r="P374" s="55" t="str">
        <f>VLOOKUP(B374,'Data Angt'!$A$5:$H$5810,8,FALSE)</f>
        <v>Pensiunan</v>
      </c>
    </row>
    <row r="375" spans="1:16" x14ac:dyDescent="0.3">
      <c r="A375" s="8">
        <v>368</v>
      </c>
      <c r="B375" s="9" t="s">
        <v>6462</v>
      </c>
      <c r="C375" s="10" t="str">
        <f>VLOOKUP(B375,'Data Angt'!$A$5:$B$5809,2,FALSE)</f>
        <v>A2866</v>
      </c>
      <c r="D375" s="12" t="s">
        <v>15847</v>
      </c>
      <c r="E375" s="13">
        <v>45784</v>
      </c>
      <c r="F375" s="14">
        <v>45911</v>
      </c>
      <c r="G375" s="15">
        <v>40000000</v>
      </c>
      <c r="H375" s="16">
        <v>36</v>
      </c>
      <c r="I375" s="17">
        <v>21</v>
      </c>
      <c r="J375" s="15">
        <v>36686000</v>
      </c>
      <c r="K375" s="98">
        <f t="shared" si="15"/>
        <v>0</v>
      </c>
      <c r="L375" s="98" t="str">
        <f t="shared" si="16"/>
        <v>Lancar</v>
      </c>
      <c r="M375" s="5" t="str">
        <f t="shared" si="17"/>
        <v>001</v>
      </c>
      <c r="N375" s="55" t="str">
        <f>VLOOKUP(D375,Pinjaman!$E$7:$N$1900,10,FALSE)</f>
        <v>KONSUMTIF</v>
      </c>
      <c r="O375" s="55">
        <f>VLOOKUP(B375,'Data Angt'!$A$5:$H$5810,6,FALSE)</f>
        <v>36</v>
      </c>
      <c r="P375" s="55" t="str">
        <f>VLOOKUP(B375,'Data Angt'!$A$5:$H$5810,8,FALSE)</f>
        <v>Mengurus Rumah Tangga</v>
      </c>
    </row>
    <row r="376" spans="1:16" x14ac:dyDescent="0.3">
      <c r="A376" s="8">
        <v>369</v>
      </c>
      <c r="B376" s="9" t="s">
        <v>6482</v>
      </c>
      <c r="C376" s="10" t="str">
        <f>VLOOKUP(B376,'Data Angt'!$A$5:$B$5809,2,FALSE)</f>
        <v>A2875</v>
      </c>
      <c r="D376" s="12" t="s">
        <v>15850</v>
      </c>
      <c r="E376" s="13">
        <v>45833</v>
      </c>
      <c r="F376" s="14">
        <v>45910</v>
      </c>
      <c r="G376" s="15">
        <v>5000000</v>
      </c>
      <c r="H376" s="16">
        <v>10</v>
      </c>
      <c r="I376" s="17">
        <v>24</v>
      </c>
      <c r="J376" s="15">
        <v>3500000</v>
      </c>
      <c r="K376" s="98">
        <f t="shared" si="15"/>
        <v>0</v>
      </c>
      <c r="L376" s="98" t="str">
        <f t="shared" si="16"/>
        <v>Lancar</v>
      </c>
      <c r="M376" s="5" t="str">
        <f t="shared" si="17"/>
        <v>001</v>
      </c>
      <c r="N376" s="55" t="str">
        <f>VLOOKUP(D376,Pinjaman!$E$7:$N$1900,10,FALSE)</f>
        <v>PRODUKTIF</v>
      </c>
      <c r="O376" s="55">
        <f>VLOOKUP(B376,'Data Angt'!$A$5:$H$5810,6,FALSE)</f>
        <v>63</v>
      </c>
      <c r="P376" s="55" t="str">
        <f>VLOOKUP(B376,'Data Angt'!$A$5:$H$5810,8,FALSE)</f>
        <v>Lain-Lain</v>
      </c>
    </row>
    <row r="377" spans="1:16" x14ac:dyDescent="0.3">
      <c r="A377" s="8">
        <v>370</v>
      </c>
      <c r="B377" s="9" t="s">
        <v>6484</v>
      </c>
      <c r="C377" s="10" t="str">
        <f>VLOOKUP(B377,'Data Angt'!$A$5:$B$5809,2,FALSE)</f>
        <v>A2876</v>
      </c>
      <c r="D377" s="12" t="s">
        <v>15852</v>
      </c>
      <c r="E377" s="13">
        <v>45763</v>
      </c>
      <c r="F377" s="14">
        <v>45916</v>
      </c>
      <c r="G377" s="15">
        <v>49000000</v>
      </c>
      <c r="H377" s="16">
        <v>36</v>
      </c>
      <c r="I377" s="17">
        <v>21</v>
      </c>
      <c r="J377" s="15">
        <v>43881000</v>
      </c>
      <c r="K377" s="98">
        <f t="shared" si="15"/>
        <v>0</v>
      </c>
      <c r="L377" s="98" t="str">
        <f t="shared" si="16"/>
        <v>Lancar</v>
      </c>
      <c r="M377" s="5" t="str">
        <f t="shared" si="17"/>
        <v>001</v>
      </c>
      <c r="N377" s="55" t="str">
        <f>VLOOKUP(D377,Pinjaman!$E$7:$N$1900,10,FALSE)</f>
        <v>PRODUKTIF</v>
      </c>
      <c r="O377" s="55">
        <f>VLOOKUP(B377,'Data Angt'!$A$5:$H$5810,6,FALSE)</f>
        <v>47</v>
      </c>
      <c r="P377" s="55" t="str">
        <f>VLOOKUP(B377,'Data Angt'!$A$5:$H$5810,8,FALSE)</f>
        <v>Mengurus Rumah Tangga</v>
      </c>
    </row>
    <row r="378" spans="1:16" x14ac:dyDescent="0.3">
      <c r="A378" s="8">
        <v>371</v>
      </c>
      <c r="B378" s="9" t="s">
        <v>6486</v>
      </c>
      <c r="C378" s="10" t="str">
        <f>VLOOKUP(B378,'Data Angt'!$A$5:$B$5809,2,FALSE)</f>
        <v>A2877</v>
      </c>
      <c r="D378" s="12" t="s">
        <v>15854</v>
      </c>
      <c r="E378" s="13">
        <v>45744</v>
      </c>
      <c r="F378" s="14">
        <v>45929</v>
      </c>
      <c r="G378" s="15">
        <v>5000000</v>
      </c>
      <c r="H378" s="16">
        <v>18</v>
      </c>
      <c r="I378" s="17">
        <v>24</v>
      </c>
      <c r="J378" s="15">
        <v>3784600</v>
      </c>
      <c r="K378" s="98">
        <f t="shared" si="15"/>
        <v>0</v>
      </c>
      <c r="L378" s="98" t="str">
        <f t="shared" si="16"/>
        <v>Lancar</v>
      </c>
      <c r="M378" s="5" t="str">
        <f t="shared" si="17"/>
        <v>001</v>
      </c>
      <c r="N378" s="55" t="str">
        <f>VLOOKUP(D378,Pinjaman!$E$7:$N$1900,10,FALSE)</f>
        <v>PENDIDIKAN</v>
      </c>
      <c r="O378" s="55">
        <f>VLOOKUP(B378,'Data Angt'!$A$5:$H$5810,6,FALSE)</f>
        <v>58</v>
      </c>
      <c r="P378" s="55" t="str">
        <f>VLOOKUP(B378,'Data Angt'!$A$5:$H$5810,8,FALSE)</f>
        <v>Karyawan</v>
      </c>
    </row>
    <row r="379" spans="1:16" x14ac:dyDescent="0.3">
      <c r="A379" s="8">
        <v>372</v>
      </c>
      <c r="B379" s="9" t="s">
        <v>6488</v>
      </c>
      <c r="C379" s="10" t="str">
        <f>VLOOKUP(B379,'Data Angt'!$A$5:$B$5809,2,FALSE)</f>
        <v>A2878</v>
      </c>
      <c r="D379" s="12" t="s">
        <v>15856</v>
      </c>
      <c r="E379" s="13">
        <v>45360</v>
      </c>
      <c r="F379" s="14">
        <v>45908</v>
      </c>
      <c r="G379" s="15">
        <v>10000000</v>
      </c>
      <c r="H379" s="16">
        <v>24</v>
      </c>
      <c r="I379" s="17">
        <v>24</v>
      </c>
      <c r="J379" s="15">
        <v>2960600</v>
      </c>
      <c r="K379" s="98">
        <f t="shared" si="15"/>
        <v>0</v>
      </c>
      <c r="L379" s="98" t="str">
        <f t="shared" si="16"/>
        <v>Lancar</v>
      </c>
      <c r="M379" s="5" t="str">
        <f t="shared" si="17"/>
        <v>001</v>
      </c>
      <c r="N379" s="55" t="str">
        <f>VLOOKUP(D379,Pinjaman!$E$7:$N$1900,10,FALSE)</f>
        <v>KESEJAHTERAAN</v>
      </c>
      <c r="O379" s="55">
        <f>VLOOKUP(B379,'Data Angt'!$A$5:$H$5810,6,FALSE)</f>
        <v>36</v>
      </c>
      <c r="P379" s="55" t="str">
        <f>VLOOKUP(B379,'Data Angt'!$A$5:$H$5810,8,FALSE)</f>
        <v>Lain-Lain</v>
      </c>
    </row>
    <row r="380" spans="1:16" x14ac:dyDescent="0.3">
      <c r="A380" s="8">
        <v>373</v>
      </c>
      <c r="B380" s="9" t="s">
        <v>6495</v>
      </c>
      <c r="C380" s="10" t="str">
        <f>VLOOKUP(B380,'Data Angt'!$A$5:$B$5809,2,FALSE)</f>
        <v>A2881</v>
      </c>
      <c r="D380" s="12" t="s">
        <v>15858</v>
      </c>
      <c r="E380" s="13">
        <v>45740</v>
      </c>
      <c r="F380" s="14">
        <v>45924</v>
      </c>
      <c r="G380" s="15">
        <v>4000000</v>
      </c>
      <c r="H380" s="16">
        <v>12</v>
      </c>
      <c r="I380" s="17">
        <v>24</v>
      </c>
      <c r="J380" s="15">
        <v>2118600</v>
      </c>
      <c r="K380" s="98">
        <f t="shared" si="15"/>
        <v>0</v>
      </c>
      <c r="L380" s="98" t="str">
        <f t="shared" si="16"/>
        <v>Lancar</v>
      </c>
      <c r="M380" s="5" t="str">
        <f t="shared" si="17"/>
        <v>001</v>
      </c>
      <c r="N380" s="55" t="str">
        <f>VLOOKUP(D380,Pinjaman!$E$7:$N$1900,10,FALSE)</f>
        <v>KONSUMTIF</v>
      </c>
      <c r="O380" s="55">
        <f>VLOOKUP(B380,'Data Angt'!$A$5:$H$5810,6,FALSE)</f>
        <v>39</v>
      </c>
      <c r="P380" s="55" t="str">
        <f>VLOOKUP(B380,'Data Angt'!$A$5:$H$5810,8,FALSE)</f>
        <v>Mengurus Rumah Tangga</v>
      </c>
    </row>
    <row r="381" spans="1:16" x14ac:dyDescent="0.3">
      <c r="A381" s="8">
        <v>374</v>
      </c>
      <c r="B381" s="9" t="s">
        <v>6532</v>
      </c>
      <c r="C381" s="10" t="str">
        <f>VLOOKUP(B381,'Data Angt'!$A$5:$B$5809,2,FALSE)</f>
        <v>A2901</v>
      </c>
      <c r="D381" s="12" t="s">
        <v>15861</v>
      </c>
      <c r="E381" s="13">
        <v>45682</v>
      </c>
      <c r="F381" s="14">
        <v>45916</v>
      </c>
      <c r="G381" s="15">
        <v>6000000</v>
      </c>
      <c r="H381" s="16">
        <v>12</v>
      </c>
      <c r="I381" s="17">
        <v>11.9</v>
      </c>
      <c r="J381" s="15">
        <v>2079100</v>
      </c>
      <c r="K381" s="98">
        <f t="shared" si="15"/>
        <v>0</v>
      </c>
      <c r="L381" s="98" t="str">
        <f t="shared" si="16"/>
        <v>Lancar</v>
      </c>
      <c r="M381" s="5" t="str">
        <f t="shared" si="17"/>
        <v>001</v>
      </c>
      <c r="N381" s="55" t="str">
        <f>VLOOKUP(D381,Pinjaman!$E$7:$N$1900,10,FALSE)</f>
        <v>KONSUMTIF</v>
      </c>
      <c r="O381" s="55">
        <f>VLOOKUP(B381,'Data Angt'!$A$5:$H$5810,6,FALSE)</f>
        <v>37</v>
      </c>
      <c r="P381" s="55" t="str">
        <f>VLOOKUP(B381,'Data Angt'!$A$5:$H$5810,8,FALSE)</f>
        <v>Lain-Lain</v>
      </c>
    </row>
    <row r="382" spans="1:16" x14ac:dyDescent="0.3">
      <c r="A382" s="8">
        <v>375</v>
      </c>
      <c r="B382" s="9" t="s">
        <v>6563</v>
      </c>
      <c r="C382" s="10" t="str">
        <f>VLOOKUP(B382,'Data Angt'!$A$5:$B$5809,2,FALSE)</f>
        <v>A2915</v>
      </c>
      <c r="D382" s="12" t="s">
        <v>15864</v>
      </c>
      <c r="E382" s="13">
        <v>45682</v>
      </c>
      <c r="F382" s="14">
        <v>45925</v>
      </c>
      <c r="G382" s="15">
        <v>75000000</v>
      </c>
      <c r="H382" s="16">
        <v>84</v>
      </c>
      <c r="I382" s="17">
        <v>9</v>
      </c>
      <c r="J382" s="15">
        <v>69709400</v>
      </c>
      <c r="K382" s="98">
        <f t="shared" si="15"/>
        <v>0</v>
      </c>
      <c r="L382" s="98" t="str">
        <f t="shared" si="16"/>
        <v>Lancar</v>
      </c>
      <c r="M382" s="5" t="str">
        <f t="shared" si="17"/>
        <v>001</v>
      </c>
      <c r="N382" s="55" t="str">
        <f>VLOOKUP(D382,Pinjaman!$E$7:$N$1900,10,FALSE)</f>
        <v>KONSUMTIF</v>
      </c>
      <c r="O382" s="55">
        <f>VLOOKUP(B382,'Data Angt'!$A$5:$H$5810,6,FALSE)</f>
        <v>27</v>
      </c>
      <c r="P382" s="55" t="str">
        <f>VLOOKUP(B382,'Data Angt'!$A$5:$H$5810,8,FALSE)</f>
        <v>Karyawan</v>
      </c>
    </row>
    <row r="383" spans="1:16" x14ac:dyDescent="0.3">
      <c r="A383" s="8">
        <v>376</v>
      </c>
      <c r="B383" s="9" t="s">
        <v>6563</v>
      </c>
      <c r="C383" s="10" t="str">
        <f>VLOOKUP(B383,'Data Angt'!$A$5:$B$5809,2,FALSE)</f>
        <v>A2915</v>
      </c>
      <c r="D383" s="12" t="s">
        <v>22545</v>
      </c>
      <c r="E383" s="13">
        <v>45909</v>
      </c>
      <c r="F383" s="14">
        <v>45909</v>
      </c>
      <c r="G383" s="15">
        <v>4000000</v>
      </c>
      <c r="H383" s="16">
        <v>18</v>
      </c>
      <c r="I383" s="17">
        <v>12</v>
      </c>
      <c r="J383" s="15">
        <v>4000000</v>
      </c>
      <c r="K383" s="98">
        <f t="shared" si="15"/>
        <v>0</v>
      </c>
      <c r="L383" s="98" t="str">
        <f t="shared" si="16"/>
        <v>Lancar</v>
      </c>
      <c r="M383" s="5" t="str">
        <f t="shared" si="17"/>
        <v>001</v>
      </c>
      <c r="N383" s="55" t="str">
        <f>VLOOKUP(D383,Pinjaman!$E$7:$N$1900,10,FALSE)</f>
        <v>KONSUMTIF</v>
      </c>
      <c r="O383" s="55">
        <f>VLOOKUP(B383,'Data Angt'!$A$5:$H$5810,6,FALSE)</f>
        <v>27</v>
      </c>
      <c r="P383" s="55" t="str">
        <f>VLOOKUP(B383,'Data Angt'!$A$5:$H$5810,8,FALSE)</f>
        <v>Karyawan</v>
      </c>
    </row>
    <row r="384" spans="1:16" x14ac:dyDescent="0.3">
      <c r="A384" s="8">
        <v>377</v>
      </c>
      <c r="B384" s="9" t="s">
        <v>6575</v>
      </c>
      <c r="C384" s="10" t="str">
        <f>VLOOKUP(B384,'Data Angt'!$A$5:$B$5809,2,FALSE)</f>
        <v>A2921</v>
      </c>
      <c r="D384" s="12" t="s">
        <v>15867</v>
      </c>
      <c r="E384" s="13">
        <v>45824</v>
      </c>
      <c r="F384" s="14">
        <v>45910</v>
      </c>
      <c r="G384" s="15">
        <v>5000000</v>
      </c>
      <c r="H384" s="16">
        <v>12</v>
      </c>
      <c r="I384" s="17">
        <v>24</v>
      </c>
      <c r="J384" s="15">
        <v>3859200</v>
      </c>
      <c r="K384" s="98">
        <f t="shared" si="15"/>
        <v>0</v>
      </c>
      <c r="L384" s="98" t="str">
        <f t="shared" si="16"/>
        <v>Lancar</v>
      </c>
      <c r="M384" s="5" t="str">
        <f t="shared" si="17"/>
        <v>001</v>
      </c>
      <c r="N384" s="55" t="str">
        <f>VLOOKUP(D384,Pinjaman!$E$7:$N$1900,10,FALSE)</f>
        <v>PENDIDIKAN</v>
      </c>
      <c r="O384" s="55">
        <f>VLOOKUP(B384,'Data Angt'!$A$5:$H$5810,6,FALSE)</f>
        <v>29</v>
      </c>
      <c r="P384" s="55" t="str">
        <f>VLOOKUP(B384,'Data Angt'!$A$5:$H$5810,8,FALSE)</f>
        <v>Lain-Lain</v>
      </c>
    </row>
    <row r="385" spans="1:16" x14ac:dyDescent="0.3">
      <c r="A385" s="8">
        <v>378</v>
      </c>
      <c r="B385" s="9" t="s">
        <v>6575</v>
      </c>
      <c r="C385" s="10" t="str">
        <f>VLOOKUP(B385,'Data Angt'!$A$5:$B$5809,2,FALSE)</f>
        <v>A2921</v>
      </c>
      <c r="D385" s="12" t="s">
        <v>15869</v>
      </c>
      <c r="E385" s="13">
        <v>45343</v>
      </c>
      <c r="F385" s="14">
        <v>45925</v>
      </c>
      <c r="G385" s="15">
        <v>15000000</v>
      </c>
      <c r="H385" s="16">
        <v>20</v>
      </c>
      <c r="I385" s="17">
        <v>24</v>
      </c>
      <c r="J385" s="15">
        <v>899600</v>
      </c>
      <c r="K385" s="98">
        <f t="shared" si="15"/>
        <v>0</v>
      </c>
      <c r="L385" s="98" t="str">
        <f t="shared" si="16"/>
        <v>Lancar</v>
      </c>
      <c r="M385" s="5" t="str">
        <f t="shared" si="17"/>
        <v>001</v>
      </c>
      <c r="N385" s="55" t="str">
        <f>VLOOKUP(D385,Pinjaman!$E$7:$N$1900,10,FALSE)</f>
        <v>KESEJAHTERAAN</v>
      </c>
      <c r="O385" s="55">
        <f>VLOOKUP(B385,'Data Angt'!$A$5:$H$5810,6,FALSE)</f>
        <v>29</v>
      </c>
      <c r="P385" s="55" t="str">
        <f>VLOOKUP(B385,'Data Angt'!$A$5:$H$5810,8,FALSE)</f>
        <v>Lain-Lain</v>
      </c>
    </row>
    <row r="386" spans="1:16" x14ac:dyDescent="0.3">
      <c r="A386" s="8">
        <v>379</v>
      </c>
      <c r="B386" s="9" t="s">
        <v>6586</v>
      </c>
      <c r="C386" s="10" t="str">
        <f>VLOOKUP(B386,'Data Angt'!$A$5:$B$5809,2,FALSE)</f>
        <v>A2926</v>
      </c>
      <c r="D386" s="12" t="s">
        <v>15871</v>
      </c>
      <c r="E386" s="13">
        <v>45723</v>
      </c>
      <c r="F386" s="14">
        <v>45904</v>
      </c>
      <c r="G386" s="15">
        <v>5000000</v>
      </c>
      <c r="H386" s="16">
        <v>15</v>
      </c>
      <c r="I386" s="17">
        <v>24</v>
      </c>
      <c r="J386" s="15">
        <v>3176100</v>
      </c>
      <c r="K386" s="98">
        <f t="shared" si="15"/>
        <v>0</v>
      </c>
      <c r="L386" s="98" t="str">
        <f t="shared" si="16"/>
        <v>Lancar</v>
      </c>
      <c r="M386" s="5" t="str">
        <f t="shared" si="17"/>
        <v>001</v>
      </c>
      <c r="N386" s="55" t="str">
        <f>VLOOKUP(D386,Pinjaman!$E$7:$N$1900,10,FALSE)</f>
        <v>KONSUMTIF</v>
      </c>
      <c r="O386" s="55">
        <f>VLOOKUP(B386,'Data Angt'!$A$5:$H$5810,6,FALSE)</f>
        <v>62</v>
      </c>
      <c r="P386" s="55" t="str">
        <f>VLOOKUP(B386,'Data Angt'!$A$5:$H$5810,8,FALSE)</f>
        <v>Lain-Lain</v>
      </c>
    </row>
    <row r="387" spans="1:16" x14ac:dyDescent="0.3">
      <c r="A387" s="8">
        <v>380</v>
      </c>
      <c r="B387" s="9" t="s">
        <v>6596</v>
      </c>
      <c r="C387" s="10" t="str">
        <f>VLOOKUP(B387,'Data Angt'!$A$5:$B$5809,2,FALSE)</f>
        <v>A2930</v>
      </c>
      <c r="D387" s="12" t="s">
        <v>10103</v>
      </c>
      <c r="E387" s="13">
        <v>44744</v>
      </c>
      <c r="F387" s="14">
        <v>45780</v>
      </c>
      <c r="G387" s="15">
        <v>8000000</v>
      </c>
      <c r="H387" s="16">
        <v>36</v>
      </c>
      <c r="I387" s="17">
        <v>24</v>
      </c>
      <c r="J387" s="15">
        <v>6221600</v>
      </c>
      <c r="K387" s="98">
        <f t="shared" si="15"/>
        <v>4</v>
      </c>
      <c r="L387" s="98" t="str">
        <f t="shared" si="16"/>
        <v>Kurang lancar</v>
      </c>
      <c r="M387" s="5" t="str">
        <f t="shared" si="17"/>
        <v>001</v>
      </c>
      <c r="N387" s="55" t="str">
        <f>VLOOKUP(D387,Pinjaman!$E$7:$N$1900,10,FALSE)</f>
        <v>PRODUKTIF</v>
      </c>
      <c r="O387" s="55">
        <f>VLOOKUP(B387,'Data Angt'!$A$5:$H$5810,6,FALSE)</f>
        <v>36</v>
      </c>
      <c r="P387" s="55" t="str">
        <f>VLOOKUP(B387,'Data Angt'!$A$5:$H$5810,8,FALSE)</f>
        <v>Wiraswasta</v>
      </c>
    </row>
    <row r="388" spans="1:16" x14ac:dyDescent="0.3">
      <c r="A388" s="8">
        <v>381</v>
      </c>
      <c r="B388" s="9" t="s">
        <v>6616</v>
      </c>
      <c r="C388" s="10" t="str">
        <f>VLOOKUP(B388,'Data Angt'!$A$5:$B$5809,2,FALSE)</f>
        <v>A2939</v>
      </c>
      <c r="D388" s="12" t="s">
        <v>10106</v>
      </c>
      <c r="E388" s="13">
        <v>44081</v>
      </c>
      <c r="F388" s="14">
        <v>45792</v>
      </c>
      <c r="G388" s="15">
        <v>80000000</v>
      </c>
      <c r="H388" s="16">
        <v>120</v>
      </c>
      <c r="I388" s="17">
        <v>11.4</v>
      </c>
      <c r="J388" s="15">
        <v>63099500</v>
      </c>
      <c r="K388" s="98">
        <f t="shared" si="15"/>
        <v>4</v>
      </c>
      <c r="L388" s="98" t="str">
        <f t="shared" si="16"/>
        <v>Kurang lancar</v>
      </c>
      <c r="M388" s="5" t="str">
        <f t="shared" si="17"/>
        <v>001</v>
      </c>
      <c r="N388" s="55" t="str">
        <f>VLOOKUP(D388,Pinjaman!$E$7:$N$1900,10,FALSE)</f>
        <v>KESEJAHTERAAN</v>
      </c>
      <c r="O388" s="55">
        <f>VLOOKUP(B388,'Data Angt'!$A$5:$H$5810,6,FALSE)</f>
        <v>42</v>
      </c>
      <c r="P388" s="55" t="str">
        <f>VLOOKUP(B388,'Data Angt'!$A$5:$H$5810,8,FALSE)</f>
        <v>Lain-Lain</v>
      </c>
    </row>
    <row r="389" spans="1:16" x14ac:dyDescent="0.3">
      <c r="A389" s="8">
        <v>382</v>
      </c>
      <c r="B389" s="9" t="s">
        <v>6620</v>
      </c>
      <c r="C389" s="10" t="str">
        <f>VLOOKUP(B389,'Data Angt'!$A$5:$B$5809,2,FALSE)</f>
        <v>A2941</v>
      </c>
      <c r="D389" s="12" t="s">
        <v>10108</v>
      </c>
      <c r="E389" s="13">
        <v>44965</v>
      </c>
      <c r="F389" s="14">
        <v>45904</v>
      </c>
      <c r="G389" s="15">
        <v>25000000</v>
      </c>
      <c r="H389" s="16">
        <v>36</v>
      </c>
      <c r="I389" s="17">
        <v>21</v>
      </c>
      <c r="J389" s="15">
        <v>4472800</v>
      </c>
      <c r="K389" s="98">
        <f t="shared" si="15"/>
        <v>0</v>
      </c>
      <c r="L389" s="98" t="str">
        <f t="shared" si="16"/>
        <v>Lancar</v>
      </c>
      <c r="M389" s="5" t="str">
        <f t="shared" si="17"/>
        <v>001</v>
      </c>
      <c r="N389" s="55" t="str">
        <f>VLOOKUP(D389,Pinjaman!$E$7:$N$1900,10,FALSE)</f>
        <v>KONSUMTIF</v>
      </c>
      <c r="O389" s="55">
        <f>VLOOKUP(B389,'Data Angt'!$A$5:$H$5810,6,FALSE)</f>
        <v>50</v>
      </c>
      <c r="P389" s="55" t="str">
        <f>VLOOKUP(B389,'Data Angt'!$A$5:$H$5810,8,FALSE)</f>
        <v>Lain-Lain</v>
      </c>
    </row>
    <row r="390" spans="1:16" x14ac:dyDescent="0.3">
      <c r="A390" s="8">
        <v>383</v>
      </c>
      <c r="B390" s="9" t="s">
        <v>6627</v>
      </c>
      <c r="C390" s="10" t="str">
        <f>VLOOKUP(B390,'Data Angt'!$A$5:$B$5809,2,FALSE)</f>
        <v>A2944</v>
      </c>
      <c r="D390" s="12" t="s">
        <v>15873</v>
      </c>
      <c r="E390" s="13">
        <v>45320</v>
      </c>
      <c r="F390" s="14">
        <v>45899</v>
      </c>
      <c r="G390" s="15">
        <v>10000000</v>
      </c>
      <c r="H390" s="16">
        <v>24</v>
      </c>
      <c r="I390" s="17">
        <v>24</v>
      </c>
      <c r="J390" s="15">
        <v>6793100</v>
      </c>
      <c r="K390" s="98">
        <f t="shared" si="15"/>
        <v>1</v>
      </c>
      <c r="L390" s="98" t="str">
        <f t="shared" si="16"/>
        <v>Lancar</v>
      </c>
      <c r="M390" s="5" t="str">
        <f t="shared" si="17"/>
        <v>001</v>
      </c>
      <c r="N390" s="55" t="str">
        <f>VLOOKUP(D390,Pinjaman!$E$7:$N$1900,10,FALSE)</f>
        <v>PENDIDIKAN</v>
      </c>
      <c r="O390" s="55">
        <f>VLOOKUP(B390,'Data Angt'!$A$5:$H$5810,6,FALSE)</f>
        <v>44</v>
      </c>
      <c r="P390" s="55" t="str">
        <f>VLOOKUP(B390,'Data Angt'!$A$5:$H$5810,8,FALSE)</f>
        <v>Mengurus Rumah Tangga</v>
      </c>
    </row>
    <row r="391" spans="1:16" x14ac:dyDescent="0.3">
      <c r="A391" s="8">
        <v>384</v>
      </c>
      <c r="B391" s="9" t="s">
        <v>6629</v>
      </c>
      <c r="C391" s="10" t="str">
        <f>VLOOKUP(B391,'Data Angt'!$A$5:$B$5809,2,FALSE)</f>
        <v>A2945</v>
      </c>
      <c r="D391" s="12" t="s">
        <v>15875</v>
      </c>
      <c r="E391" s="13">
        <v>45451</v>
      </c>
      <c r="F391" s="14">
        <v>45908</v>
      </c>
      <c r="G391" s="15">
        <v>10000000</v>
      </c>
      <c r="H391" s="16">
        <v>20</v>
      </c>
      <c r="I391" s="17">
        <v>24</v>
      </c>
      <c r="J391" s="15">
        <v>2882900</v>
      </c>
      <c r="K391" s="98">
        <f t="shared" si="15"/>
        <v>0</v>
      </c>
      <c r="L391" s="98" t="str">
        <f t="shared" si="16"/>
        <v>Lancar</v>
      </c>
      <c r="M391" s="5" t="str">
        <f t="shared" si="17"/>
        <v>001</v>
      </c>
      <c r="N391" s="55" t="str">
        <f>VLOOKUP(D391,Pinjaman!$E$7:$N$1900,10,FALSE)</f>
        <v>KESEJAHTERAAN</v>
      </c>
      <c r="O391" s="55">
        <f>VLOOKUP(B391,'Data Angt'!$A$5:$H$5810,6,FALSE)</f>
        <v>65</v>
      </c>
      <c r="P391" s="55" t="str">
        <f>VLOOKUP(B391,'Data Angt'!$A$5:$H$5810,8,FALSE)</f>
        <v>Mengurus Rumah Tangga</v>
      </c>
    </row>
    <row r="392" spans="1:16" x14ac:dyDescent="0.3">
      <c r="A392" s="8">
        <v>385</v>
      </c>
      <c r="B392" s="9" t="s">
        <v>6664</v>
      </c>
      <c r="C392" s="10" t="str">
        <f>VLOOKUP(B392,'Data Angt'!$A$5:$B$5809,2,FALSE)</f>
        <v>A2960</v>
      </c>
      <c r="D392" s="12" t="s">
        <v>15877</v>
      </c>
      <c r="E392" s="13">
        <v>45665</v>
      </c>
      <c r="F392" s="14">
        <v>45901</v>
      </c>
      <c r="G392" s="15">
        <v>21000000</v>
      </c>
      <c r="H392" s="16">
        <v>14</v>
      </c>
      <c r="I392" s="17">
        <v>24</v>
      </c>
      <c r="J392" s="15">
        <v>14158500</v>
      </c>
      <c r="K392" s="98">
        <f t="shared" si="15"/>
        <v>0</v>
      </c>
      <c r="L392" s="98" t="str">
        <f t="shared" si="16"/>
        <v>Lancar</v>
      </c>
      <c r="M392" s="5" t="str">
        <f t="shared" si="17"/>
        <v>001</v>
      </c>
      <c r="N392" s="55" t="str">
        <f>VLOOKUP(D392,Pinjaman!$E$7:$N$1900,10,FALSE)</f>
        <v>KONSUMTIF</v>
      </c>
      <c r="O392" s="55">
        <f>VLOOKUP(B392,'Data Angt'!$A$5:$H$5810,6,FALSE)</f>
        <v>28</v>
      </c>
      <c r="P392" s="55" t="str">
        <f>VLOOKUP(B392,'Data Angt'!$A$5:$H$5810,8,FALSE)</f>
        <v>Karyawan</v>
      </c>
    </row>
    <row r="393" spans="1:16" x14ac:dyDescent="0.3">
      <c r="A393" s="8">
        <v>386</v>
      </c>
      <c r="B393" s="9" t="s">
        <v>6667</v>
      </c>
      <c r="C393" s="10" t="str">
        <f>VLOOKUP(B393,'Data Angt'!$A$5:$B$5809,2,FALSE)</f>
        <v>A2962</v>
      </c>
      <c r="D393" s="12" t="s">
        <v>10111</v>
      </c>
      <c r="E393" s="13">
        <v>44587</v>
      </c>
      <c r="F393" s="14">
        <v>45742</v>
      </c>
      <c r="G393" s="15">
        <v>35000000</v>
      </c>
      <c r="H393" s="16">
        <v>48</v>
      </c>
      <c r="I393" s="17">
        <v>21</v>
      </c>
      <c r="J393" s="15">
        <v>21771200</v>
      </c>
      <c r="K393" s="98">
        <f t="shared" ref="K393:K456" si="18">DATEDIF(F393,$K$6,"m")</f>
        <v>6</v>
      </c>
      <c r="L393" s="98" t="str">
        <f t="shared" ref="L393:L456" si="19">IF(K393&lt;=3,"Lancar",IF(K393&lt;=6,"Kurang lancar",IF(K393&lt;=12,"Diragukan","Macet")))</f>
        <v>Kurang lancar</v>
      </c>
      <c r="M393" s="5" t="str">
        <f t="shared" ref="M393:M456" si="20">MID(B393,7,3)</f>
        <v>001</v>
      </c>
      <c r="N393" s="55" t="str">
        <f>VLOOKUP(D393,Pinjaman!$E$7:$N$1900,10,FALSE)</f>
        <v>KONSUMTIF</v>
      </c>
      <c r="O393" s="55">
        <f>VLOOKUP(B393,'Data Angt'!$A$5:$H$5810,6,FALSE)</f>
        <v>39</v>
      </c>
      <c r="P393" s="55" t="str">
        <f>VLOOKUP(B393,'Data Angt'!$A$5:$H$5810,8,FALSE)</f>
        <v>Mengurus Rumah Tangga</v>
      </c>
    </row>
    <row r="394" spans="1:16" x14ac:dyDescent="0.3">
      <c r="A394" s="8">
        <v>387</v>
      </c>
      <c r="B394" s="9" t="s">
        <v>6677</v>
      </c>
      <c r="C394" s="10" t="str">
        <f>VLOOKUP(B394,'Data Angt'!$A$5:$B$5809,2,FALSE)</f>
        <v>A2967</v>
      </c>
      <c r="D394" s="12" t="s">
        <v>15881</v>
      </c>
      <c r="E394" s="13">
        <v>45371</v>
      </c>
      <c r="F394" s="14">
        <v>45917</v>
      </c>
      <c r="G394" s="15">
        <v>25000000</v>
      </c>
      <c r="H394" s="16">
        <v>24</v>
      </c>
      <c r="I394" s="17">
        <v>21</v>
      </c>
      <c r="J394" s="15">
        <v>7256800</v>
      </c>
      <c r="K394" s="98">
        <f t="shared" si="18"/>
        <v>0</v>
      </c>
      <c r="L394" s="98" t="str">
        <f t="shared" si="19"/>
        <v>Lancar</v>
      </c>
      <c r="M394" s="5" t="str">
        <f t="shared" si="20"/>
        <v>001</v>
      </c>
      <c r="N394" s="55" t="str">
        <f>VLOOKUP(D394,Pinjaman!$E$7:$N$1900,10,FALSE)</f>
        <v>PRODUKTIF</v>
      </c>
      <c r="O394" s="55">
        <f>VLOOKUP(B394,'Data Angt'!$A$5:$H$5810,6,FALSE)</f>
        <v>35</v>
      </c>
      <c r="P394" s="55" t="str">
        <f>VLOOKUP(B394,'Data Angt'!$A$5:$H$5810,8,FALSE)</f>
        <v>Mengurus Rumah Tangga</v>
      </c>
    </row>
    <row r="395" spans="1:16" x14ac:dyDescent="0.3">
      <c r="A395" s="8">
        <v>388</v>
      </c>
      <c r="B395" s="9" t="s">
        <v>6677</v>
      </c>
      <c r="C395" s="10" t="str">
        <f>VLOOKUP(B395,'Data Angt'!$A$5:$B$5809,2,FALSE)</f>
        <v>A2967</v>
      </c>
      <c r="D395" s="12" t="s">
        <v>15879</v>
      </c>
      <c r="E395" s="13">
        <v>45721</v>
      </c>
      <c r="F395" s="14">
        <v>45903</v>
      </c>
      <c r="G395" s="15">
        <v>5000000</v>
      </c>
      <c r="H395" s="16">
        <v>12</v>
      </c>
      <c r="I395" s="17">
        <v>24</v>
      </c>
      <c r="J395" s="15">
        <v>2648600</v>
      </c>
      <c r="K395" s="98">
        <f t="shared" si="18"/>
        <v>0</v>
      </c>
      <c r="L395" s="98" t="str">
        <f t="shared" si="19"/>
        <v>Lancar</v>
      </c>
      <c r="M395" s="5" t="str">
        <f t="shared" si="20"/>
        <v>001</v>
      </c>
      <c r="N395" s="55" t="str">
        <f>VLOOKUP(D395,Pinjaman!$E$7:$N$1900,10,FALSE)</f>
        <v>PRODUKTIF</v>
      </c>
      <c r="O395" s="55">
        <f>VLOOKUP(B395,'Data Angt'!$A$5:$H$5810,6,FALSE)</f>
        <v>35</v>
      </c>
      <c r="P395" s="55" t="str">
        <f>VLOOKUP(B395,'Data Angt'!$A$5:$H$5810,8,FALSE)</f>
        <v>Mengurus Rumah Tangga</v>
      </c>
    </row>
    <row r="396" spans="1:16" x14ac:dyDescent="0.3">
      <c r="A396" s="8">
        <v>389</v>
      </c>
      <c r="B396" s="9" t="s">
        <v>6683</v>
      </c>
      <c r="C396" s="10" t="str">
        <f>VLOOKUP(B396,'Data Angt'!$A$5:$B$5809,2,FALSE)</f>
        <v>A2972</v>
      </c>
      <c r="D396" s="12" t="s">
        <v>22557</v>
      </c>
      <c r="E396" s="13">
        <v>45913</v>
      </c>
      <c r="F396" s="14">
        <v>45913</v>
      </c>
      <c r="G396" s="15">
        <v>4000000</v>
      </c>
      <c r="H396" s="16">
        <v>12</v>
      </c>
      <c r="I396" s="17">
        <v>24</v>
      </c>
      <c r="J396" s="15">
        <v>4000000</v>
      </c>
      <c r="K396" s="98">
        <f t="shared" si="18"/>
        <v>0</v>
      </c>
      <c r="L396" s="98" t="str">
        <f t="shared" si="19"/>
        <v>Lancar</v>
      </c>
      <c r="M396" s="5" t="str">
        <f t="shared" si="20"/>
        <v>001</v>
      </c>
      <c r="N396" s="55" t="str">
        <f>VLOOKUP(D396,Pinjaman!$E$7:$N$1900,10,FALSE)</f>
        <v>PRODUKTIF</v>
      </c>
      <c r="O396" s="55">
        <f>VLOOKUP(B396,'Data Angt'!$A$5:$H$5810,6,FALSE)</f>
        <v>46</v>
      </c>
      <c r="P396" s="55" t="str">
        <f>VLOOKUP(B396,'Data Angt'!$A$5:$H$5810,8,FALSE)</f>
        <v>Lain-Lain</v>
      </c>
    </row>
    <row r="397" spans="1:16" x14ac:dyDescent="0.3">
      <c r="A397" s="8">
        <v>390</v>
      </c>
      <c r="B397" s="9" t="s">
        <v>6703</v>
      </c>
      <c r="C397" s="10" t="str">
        <f>VLOOKUP(B397,'Data Angt'!$A$5:$B$5809,2,FALSE)</f>
        <v>A2981</v>
      </c>
      <c r="D397" s="12" t="s">
        <v>10116</v>
      </c>
      <c r="E397" s="13">
        <v>43881</v>
      </c>
      <c r="F397" s="14">
        <v>45920</v>
      </c>
      <c r="G397" s="15">
        <v>150000000</v>
      </c>
      <c r="H397" s="16">
        <v>120</v>
      </c>
      <c r="I397" s="17">
        <v>11.4</v>
      </c>
      <c r="J397" s="15">
        <v>87143700</v>
      </c>
      <c r="K397" s="98">
        <f t="shared" si="18"/>
        <v>0</v>
      </c>
      <c r="L397" s="98" t="str">
        <f t="shared" si="19"/>
        <v>Lancar</v>
      </c>
      <c r="M397" s="5" t="str">
        <f t="shared" si="20"/>
        <v>001</v>
      </c>
      <c r="N397" s="55" t="str">
        <f>VLOOKUP(D397,Pinjaman!$E$7:$N$1900,10,FALSE)</f>
        <v>KESEJAHTERAAN</v>
      </c>
      <c r="O397" s="55">
        <f>VLOOKUP(B397,'Data Angt'!$A$5:$H$5810,6,FALSE)</f>
        <v>45</v>
      </c>
      <c r="P397" s="55" t="str">
        <f>VLOOKUP(B397,'Data Angt'!$A$5:$H$5810,8,FALSE)</f>
        <v>Karyawan</v>
      </c>
    </row>
    <row r="398" spans="1:16" x14ac:dyDescent="0.3">
      <c r="A398" s="8">
        <v>391</v>
      </c>
      <c r="B398" s="9" t="s">
        <v>6735</v>
      </c>
      <c r="C398" s="10" t="str">
        <f>VLOOKUP(B398,'Data Angt'!$A$5:$B$5809,2,FALSE)</f>
        <v>A2996</v>
      </c>
      <c r="D398" s="12" t="s">
        <v>10118</v>
      </c>
      <c r="E398" s="13">
        <v>44938</v>
      </c>
      <c r="F398" s="14">
        <v>45714</v>
      </c>
      <c r="G398" s="15">
        <v>5000000</v>
      </c>
      <c r="H398" s="16">
        <v>30</v>
      </c>
      <c r="I398" s="17">
        <v>24</v>
      </c>
      <c r="J398" s="15">
        <v>3942100</v>
      </c>
      <c r="K398" s="98">
        <f t="shared" si="18"/>
        <v>7</v>
      </c>
      <c r="L398" s="98" t="str">
        <f t="shared" si="19"/>
        <v>Diragukan</v>
      </c>
      <c r="M398" s="5" t="str">
        <f t="shared" si="20"/>
        <v>001</v>
      </c>
      <c r="N398" s="55" t="str">
        <f>VLOOKUP(D398,Pinjaman!$E$7:$N$1900,10,FALSE)</f>
        <v>PRODUKTIF</v>
      </c>
      <c r="O398" s="55">
        <f>VLOOKUP(B398,'Data Angt'!$A$5:$H$5810,6,FALSE)</f>
        <v>56</v>
      </c>
      <c r="P398" s="55" t="str">
        <f>VLOOKUP(B398,'Data Angt'!$A$5:$H$5810,8,FALSE)</f>
        <v>Wiraswasta</v>
      </c>
    </row>
    <row r="399" spans="1:16" x14ac:dyDescent="0.3">
      <c r="A399" s="8">
        <v>392</v>
      </c>
      <c r="B399" s="9" t="s">
        <v>6784</v>
      </c>
      <c r="C399" s="10" t="str">
        <f>VLOOKUP(B399,'Data Angt'!$A$5:$B$5809,2,FALSE)</f>
        <v>A3018</v>
      </c>
      <c r="D399" s="12" t="s">
        <v>22559</v>
      </c>
      <c r="E399" s="13">
        <v>45854</v>
      </c>
      <c r="F399" s="14">
        <v>45912</v>
      </c>
      <c r="G399" s="15">
        <v>10000000</v>
      </c>
      <c r="H399" s="16">
        <v>24</v>
      </c>
      <c r="I399" s="17">
        <v>24</v>
      </c>
      <c r="J399" s="15">
        <v>9335900</v>
      </c>
      <c r="K399" s="98">
        <f t="shared" si="18"/>
        <v>0</v>
      </c>
      <c r="L399" s="98" t="str">
        <f t="shared" si="19"/>
        <v>Lancar</v>
      </c>
      <c r="M399" s="5" t="str">
        <f t="shared" si="20"/>
        <v>001</v>
      </c>
      <c r="N399" s="55" t="str">
        <f>VLOOKUP(D399,Pinjaman!$E$7:$N$1900,10,FALSE)</f>
        <v>KESEJAHTERAAN</v>
      </c>
      <c r="O399" s="55">
        <f>VLOOKUP(B399,'Data Angt'!$A$5:$H$5810,6,FALSE)</f>
        <v>50</v>
      </c>
      <c r="P399" s="55" t="str">
        <f>VLOOKUP(B399,'Data Angt'!$A$5:$H$5810,8,FALSE)</f>
        <v>Lain-Lain</v>
      </c>
    </row>
    <row r="400" spans="1:16" x14ac:dyDescent="0.3">
      <c r="A400" s="8">
        <v>393</v>
      </c>
      <c r="B400" s="9" t="s">
        <v>6787</v>
      </c>
      <c r="C400" s="10" t="str">
        <f>VLOOKUP(B400,'Data Angt'!$A$5:$B$5809,2,FALSE)</f>
        <v>A3020</v>
      </c>
      <c r="D400" s="12" t="s">
        <v>10121</v>
      </c>
      <c r="E400" s="13">
        <v>43777</v>
      </c>
      <c r="F400" s="14">
        <v>45911</v>
      </c>
      <c r="G400" s="15">
        <v>35000000</v>
      </c>
      <c r="H400" s="16">
        <v>48</v>
      </c>
      <c r="I400" s="17">
        <v>21</v>
      </c>
      <c r="J400" s="15">
        <v>7101600</v>
      </c>
      <c r="K400" s="98">
        <f t="shared" si="18"/>
        <v>0</v>
      </c>
      <c r="L400" s="98" t="str">
        <f t="shared" si="19"/>
        <v>Lancar</v>
      </c>
      <c r="M400" s="5" t="str">
        <f t="shared" si="20"/>
        <v>001</v>
      </c>
      <c r="N400" s="55" t="str">
        <f>VLOOKUP(D400,Pinjaman!$E$7:$N$1900,10,FALSE)</f>
        <v>PRODUKTIF</v>
      </c>
      <c r="O400" s="55">
        <f>VLOOKUP(B400,'Data Angt'!$A$5:$H$5810,6,FALSE)</f>
        <v>57</v>
      </c>
      <c r="P400" s="55" t="str">
        <f>VLOOKUP(B400,'Data Angt'!$A$5:$H$5810,8,FALSE)</f>
        <v>Wiraswasta</v>
      </c>
    </row>
    <row r="401" spans="1:16" x14ac:dyDescent="0.3">
      <c r="A401" s="8">
        <v>394</v>
      </c>
      <c r="B401" s="9" t="s">
        <v>6821</v>
      </c>
      <c r="C401" s="10" t="str">
        <f>VLOOKUP(B401,'Data Angt'!$A$5:$B$5809,2,FALSE)</f>
        <v>A3037</v>
      </c>
      <c r="D401" s="12" t="s">
        <v>15884</v>
      </c>
      <c r="E401" s="13">
        <v>45820</v>
      </c>
      <c r="F401" s="14">
        <v>45912</v>
      </c>
      <c r="G401" s="15">
        <v>5000000</v>
      </c>
      <c r="H401" s="16">
        <v>10</v>
      </c>
      <c r="I401" s="17">
        <v>24</v>
      </c>
      <c r="J401" s="15">
        <v>3500000</v>
      </c>
      <c r="K401" s="98">
        <f t="shared" si="18"/>
        <v>0</v>
      </c>
      <c r="L401" s="98" t="str">
        <f t="shared" si="19"/>
        <v>Lancar</v>
      </c>
      <c r="M401" s="5" t="str">
        <f t="shared" si="20"/>
        <v>001</v>
      </c>
      <c r="N401" s="55" t="str">
        <f>VLOOKUP(D401,Pinjaman!$E$7:$N$1900,10,FALSE)</f>
        <v>PENDIDIKAN</v>
      </c>
      <c r="O401" s="55">
        <f>VLOOKUP(B401,'Data Angt'!$A$5:$H$5810,6,FALSE)</f>
        <v>35</v>
      </c>
      <c r="P401" s="55" t="str">
        <f>VLOOKUP(B401,'Data Angt'!$A$5:$H$5810,8,FALSE)</f>
        <v>Lain-Lain</v>
      </c>
    </row>
    <row r="402" spans="1:16" x14ac:dyDescent="0.3">
      <c r="A402" s="8">
        <v>395</v>
      </c>
      <c r="B402" s="9" t="s">
        <v>6821</v>
      </c>
      <c r="C402" s="10" t="str">
        <f>VLOOKUP(B402,'Data Angt'!$A$5:$B$5809,2,FALSE)</f>
        <v>A3037</v>
      </c>
      <c r="D402" s="12" t="s">
        <v>15886</v>
      </c>
      <c r="E402" s="13">
        <v>45691</v>
      </c>
      <c r="F402" s="14">
        <v>45901</v>
      </c>
      <c r="G402" s="15">
        <v>11000000</v>
      </c>
      <c r="H402" s="16">
        <v>36</v>
      </c>
      <c r="I402" s="17">
        <v>24</v>
      </c>
      <c r="J402" s="15">
        <v>9427200</v>
      </c>
      <c r="K402" s="98">
        <f t="shared" si="18"/>
        <v>0</v>
      </c>
      <c r="L402" s="98" t="str">
        <f t="shared" si="19"/>
        <v>Lancar</v>
      </c>
      <c r="M402" s="5" t="str">
        <f t="shared" si="20"/>
        <v>001</v>
      </c>
      <c r="N402" s="55" t="str">
        <f>VLOOKUP(D402,Pinjaman!$E$7:$N$1900,10,FALSE)</f>
        <v>KESEJAHTERAAN</v>
      </c>
      <c r="O402" s="55">
        <f>VLOOKUP(B402,'Data Angt'!$A$5:$H$5810,6,FALSE)</f>
        <v>35</v>
      </c>
      <c r="P402" s="55" t="str">
        <f>VLOOKUP(B402,'Data Angt'!$A$5:$H$5810,8,FALSE)</f>
        <v>Lain-Lain</v>
      </c>
    </row>
    <row r="403" spans="1:16" x14ac:dyDescent="0.3">
      <c r="A403" s="8">
        <v>396</v>
      </c>
      <c r="B403" s="9" t="s">
        <v>12446</v>
      </c>
      <c r="C403" s="10" t="str">
        <f>VLOOKUP(B403,'Data Angt'!$A$5:$B$5809,2,FALSE)</f>
        <v>A3038</v>
      </c>
      <c r="D403" s="12" t="s">
        <v>22562</v>
      </c>
      <c r="E403" s="13">
        <v>45874</v>
      </c>
      <c r="F403" s="14">
        <v>45902</v>
      </c>
      <c r="G403" s="15">
        <v>2600000</v>
      </c>
      <c r="H403" s="16">
        <v>12</v>
      </c>
      <c r="I403" s="17">
        <v>12</v>
      </c>
      <c r="J403" s="15">
        <v>2394900</v>
      </c>
      <c r="K403" s="98">
        <f t="shared" si="18"/>
        <v>0</v>
      </c>
      <c r="L403" s="98" t="str">
        <f t="shared" si="19"/>
        <v>Lancar</v>
      </c>
      <c r="M403" s="5" t="str">
        <f t="shared" si="20"/>
        <v>001</v>
      </c>
      <c r="N403" s="55" t="str">
        <f>VLOOKUP(D403,Pinjaman!$E$7:$N$1900,10,FALSE)</f>
        <v>KONSUMTIF</v>
      </c>
      <c r="O403" s="55">
        <f>VLOOKUP(B403,'Data Angt'!$A$5:$H$5810,6,FALSE)</f>
        <v>37</v>
      </c>
      <c r="P403" s="55" t="str">
        <f>VLOOKUP(B403,'Data Angt'!$A$5:$H$5810,8,FALSE)</f>
        <v>Wiraswasta</v>
      </c>
    </row>
    <row r="404" spans="1:16" x14ac:dyDescent="0.3">
      <c r="A404" s="8">
        <v>397</v>
      </c>
      <c r="B404" s="9" t="s">
        <v>6823</v>
      </c>
      <c r="C404" s="10" t="str">
        <f>VLOOKUP(B404,'Data Angt'!$A$5:$B$5809,2,FALSE)</f>
        <v>A3039</v>
      </c>
      <c r="D404" s="12" t="s">
        <v>10124</v>
      </c>
      <c r="E404" s="13">
        <v>43840</v>
      </c>
      <c r="F404" s="14">
        <v>45892</v>
      </c>
      <c r="G404" s="15">
        <v>10000000</v>
      </c>
      <c r="H404" s="16">
        <v>24</v>
      </c>
      <c r="I404" s="17">
        <v>24</v>
      </c>
      <c r="J404" s="15">
        <v>4999600</v>
      </c>
      <c r="K404" s="98">
        <f t="shared" si="18"/>
        <v>1</v>
      </c>
      <c r="L404" s="98" t="str">
        <f t="shared" si="19"/>
        <v>Lancar</v>
      </c>
      <c r="M404" s="5" t="str">
        <f t="shared" si="20"/>
        <v>001</v>
      </c>
      <c r="N404" s="55" t="str">
        <f>VLOOKUP(D404,Pinjaman!$E$7:$N$1900,10,FALSE)</f>
        <v>PRODUKTIF</v>
      </c>
      <c r="O404" s="55">
        <f>VLOOKUP(B404,'Data Angt'!$A$5:$H$5810,6,FALSE)</f>
        <v>49</v>
      </c>
      <c r="P404" s="55" t="str">
        <f>VLOOKUP(B404,'Data Angt'!$A$5:$H$5810,8,FALSE)</f>
        <v>Mengurus Rumah Tangga</v>
      </c>
    </row>
    <row r="405" spans="1:16" x14ac:dyDescent="0.3">
      <c r="A405" s="8">
        <v>398</v>
      </c>
      <c r="B405" s="9" t="s">
        <v>6850</v>
      </c>
      <c r="C405" s="10" t="str">
        <f>VLOOKUP(B405,'Data Angt'!$A$5:$B$5809,2,FALSE)</f>
        <v>A3054</v>
      </c>
      <c r="D405" s="12" t="s">
        <v>15888</v>
      </c>
      <c r="E405" s="13">
        <v>45812</v>
      </c>
      <c r="F405" s="14">
        <v>45904</v>
      </c>
      <c r="G405" s="15">
        <v>2000000</v>
      </c>
      <c r="H405" s="16">
        <v>6</v>
      </c>
      <c r="I405" s="17">
        <v>24</v>
      </c>
      <c r="J405" s="15">
        <v>1029600</v>
      </c>
      <c r="K405" s="98">
        <f t="shared" si="18"/>
        <v>0</v>
      </c>
      <c r="L405" s="98" t="str">
        <f t="shared" si="19"/>
        <v>Lancar</v>
      </c>
      <c r="M405" s="5" t="str">
        <f t="shared" si="20"/>
        <v>001</v>
      </c>
      <c r="N405" s="55" t="str">
        <f>VLOOKUP(D405,Pinjaman!$E$7:$N$1900,10,FALSE)</f>
        <v>KESEJAHTERAAN</v>
      </c>
      <c r="O405" s="55">
        <f>VLOOKUP(B405,'Data Angt'!$A$5:$H$5810,6,FALSE)</f>
        <v>41</v>
      </c>
      <c r="P405" s="55" t="str">
        <f>VLOOKUP(B405,'Data Angt'!$A$5:$H$5810,8,FALSE)</f>
        <v>Karyawan</v>
      </c>
    </row>
    <row r="406" spans="1:16" x14ac:dyDescent="0.3">
      <c r="A406" s="8">
        <v>399</v>
      </c>
      <c r="B406" s="9" t="s">
        <v>6853</v>
      </c>
      <c r="C406" s="10" t="str">
        <f>VLOOKUP(B406,'Data Angt'!$A$5:$B$5809,2,FALSE)</f>
        <v>A3055</v>
      </c>
      <c r="D406" s="12" t="s">
        <v>10128</v>
      </c>
      <c r="E406" s="13">
        <v>43346</v>
      </c>
      <c r="F406" s="14">
        <v>45442</v>
      </c>
      <c r="G406" s="15">
        <v>85000000</v>
      </c>
      <c r="H406" s="16">
        <v>60</v>
      </c>
      <c r="I406" s="17">
        <v>21</v>
      </c>
      <c r="J406" s="15">
        <v>80749900</v>
      </c>
      <c r="K406" s="98">
        <f t="shared" si="18"/>
        <v>16</v>
      </c>
      <c r="L406" s="98" t="str">
        <f t="shared" si="19"/>
        <v>Macet</v>
      </c>
      <c r="M406" s="5" t="str">
        <f t="shared" si="20"/>
        <v>001</v>
      </c>
      <c r="N406" s="55" t="str">
        <f>VLOOKUP(D406,Pinjaman!$E$7:$N$1900,10,FALSE)</f>
        <v>KESEJAHTERAAN</v>
      </c>
      <c r="O406" s="55">
        <f>VLOOKUP(B406,'Data Angt'!$A$5:$H$5810,6,FALSE)</f>
        <v>49</v>
      </c>
      <c r="P406" s="55" t="str">
        <f>VLOOKUP(B406,'Data Angt'!$A$5:$H$5810,8,FALSE)</f>
        <v>Wiraswasta</v>
      </c>
    </row>
    <row r="407" spans="1:16" x14ac:dyDescent="0.3">
      <c r="A407" s="8">
        <v>400</v>
      </c>
      <c r="B407" s="9" t="s">
        <v>6872</v>
      </c>
      <c r="C407" s="10" t="str">
        <f>VLOOKUP(B407,'Data Angt'!$A$5:$B$5809,2,FALSE)</f>
        <v>A3066</v>
      </c>
      <c r="D407" s="12" t="s">
        <v>15891</v>
      </c>
      <c r="E407" s="13">
        <v>45742</v>
      </c>
      <c r="F407" s="14">
        <v>45923</v>
      </c>
      <c r="G407" s="15">
        <v>3000000</v>
      </c>
      <c r="H407" s="16">
        <v>12</v>
      </c>
      <c r="I407" s="17">
        <v>24</v>
      </c>
      <c r="J407" s="15">
        <v>1589200</v>
      </c>
      <c r="K407" s="98">
        <f t="shared" si="18"/>
        <v>0</v>
      </c>
      <c r="L407" s="98" t="str">
        <f t="shared" si="19"/>
        <v>Lancar</v>
      </c>
      <c r="M407" s="5" t="str">
        <f t="shared" si="20"/>
        <v>001</v>
      </c>
      <c r="N407" s="55" t="str">
        <f>VLOOKUP(D407,Pinjaman!$E$7:$N$1900,10,FALSE)</f>
        <v>PRODUKTIF</v>
      </c>
      <c r="O407" s="55">
        <f>VLOOKUP(B407,'Data Angt'!$A$5:$H$5810,6,FALSE)</f>
        <v>70</v>
      </c>
      <c r="P407" s="55" t="str">
        <f>VLOOKUP(B407,'Data Angt'!$A$5:$H$5810,8,FALSE)</f>
        <v>Wiraswasta</v>
      </c>
    </row>
    <row r="408" spans="1:16" x14ac:dyDescent="0.3">
      <c r="A408" s="8">
        <v>401</v>
      </c>
      <c r="B408" s="9" t="s">
        <v>6879</v>
      </c>
      <c r="C408" s="10" t="str">
        <f>VLOOKUP(B408,'Data Angt'!$A$5:$B$5809,2,FALSE)</f>
        <v>A3070</v>
      </c>
      <c r="D408" s="12" t="s">
        <v>15893</v>
      </c>
      <c r="E408" s="13">
        <v>45528</v>
      </c>
      <c r="F408" s="14">
        <v>45922</v>
      </c>
      <c r="G408" s="15">
        <v>60000000</v>
      </c>
      <c r="H408" s="16">
        <v>30</v>
      </c>
      <c r="I408" s="17">
        <v>21</v>
      </c>
      <c r="J408" s="15">
        <v>37769400</v>
      </c>
      <c r="K408" s="98">
        <f t="shared" si="18"/>
        <v>0</v>
      </c>
      <c r="L408" s="98" t="str">
        <f t="shared" si="19"/>
        <v>Lancar</v>
      </c>
      <c r="M408" s="5" t="str">
        <f t="shared" si="20"/>
        <v>001</v>
      </c>
      <c r="N408" s="55" t="str">
        <f>VLOOKUP(D408,Pinjaman!$E$7:$N$1900,10,FALSE)</f>
        <v>KESEJAHTERAAN</v>
      </c>
      <c r="O408" s="55">
        <f>VLOOKUP(B408,'Data Angt'!$A$5:$H$5810,6,FALSE)</f>
        <v>50</v>
      </c>
      <c r="P408" s="55" t="str">
        <f>VLOOKUP(B408,'Data Angt'!$A$5:$H$5810,8,FALSE)</f>
        <v>Karyawan</v>
      </c>
    </row>
    <row r="409" spans="1:16" x14ac:dyDescent="0.3">
      <c r="A409" s="8">
        <v>402</v>
      </c>
      <c r="B409" s="9" t="s">
        <v>6881</v>
      </c>
      <c r="C409" s="10" t="str">
        <f>VLOOKUP(B409,'Data Angt'!$A$5:$B$5809,2,FALSE)</f>
        <v>A3072</v>
      </c>
      <c r="D409" s="12" t="s">
        <v>22566</v>
      </c>
      <c r="E409" s="13">
        <v>45881</v>
      </c>
      <c r="F409" s="14">
        <v>45911</v>
      </c>
      <c r="G409" s="15">
        <v>1000000</v>
      </c>
      <c r="H409" s="16">
        <v>5</v>
      </c>
      <c r="I409" s="17">
        <v>24</v>
      </c>
      <c r="J409" s="15">
        <v>807800</v>
      </c>
      <c r="K409" s="98">
        <f t="shared" si="18"/>
        <v>0</v>
      </c>
      <c r="L409" s="98" t="str">
        <f t="shared" si="19"/>
        <v>Lancar</v>
      </c>
      <c r="M409" s="5" t="str">
        <f t="shared" si="20"/>
        <v>001</v>
      </c>
      <c r="N409" s="55" t="str">
        <f>VLOOKUP(D409,Pinjaman!$E$7:$N$1900,10,FALSE)</f>
        <v>KONSUMTIF</v>
      </c>
      <c r="O409" s="55">
        <f>VLOOKUP(B409,'Data Angt'!$A$5:$H$5810,6,FALSE)</f>
        <v>56</v>
      </c>
      <c r="P409" s="55" t="str">
        <f>VLOOKUP(B409,'Data Angt'!$A$5:$H$5810,8,FALSE)</f>
        <v>Lain-Lain</v>
      </c>
    </row>
    <row r="410" spans="1:16" x14ac:dyDescent="0.3">
      <c r="A410" s="8">
        <v>403</v>
      </c>
      <c r="B410" s="9" t="s">
        <v>6885</v>
      </c>
      <c r="C410" s="10" t="str">
        <f>VLOOKUP(B410,'Data Angt'!$A$5:$B$5809,2,FALSE)</f>
        <v>A3073</v>
      </c>
      <c r="D410" s="12" t="s">
        <v>10131</v>
      </c>
      <c r="E410" s="13">
        <v>44938</v>
      </c>
      <c r="F410" s="14">
        <v>45902</v>
      </c>
      <c r="G410" s="15">
        <v>15000000</v>
      </c>
      <c r="H410" s="16">
        <v>36</v>
      </c>
      <c r="I410" s="17">
        <v>24</v>
      </c>
      <c r="J410" s="15">
        <v>1665600</v>
      </c>
      <c r="K410" s="98">
        <f t="shared" si="18"/>
        <v>0</v>
      </c>
      <c r="L410" s="98" t="str">
        <f t="shared" si="19"/>
        <v>Lancar</v>
      </c>
      <c r="M410" s="5" t="str">
        <f t="shared" si="20"/>
        <v>001</v>
      </c>
      <c r="N410" s="55" t="str">
        <f>VLOOKUP(D410,Pinjaman!$E$7:$N$1900,10,FALSE)</f>
        <v>PRODUKTIF</v>
      </c>
      <c r="O410" s="55">
        <f>VLOOKUP(B410,'Data Angt'!$A$5:$H$5810,6,FALSE)</f>
        <v>45</v>
      </c>
      <c r="P410" s="55" t="str">
        <f>VLOOKUP(B410,'Data Angt'!$A$5:$H$5810,8,FALSE)</f>
        <v>Mengurus Rumah Tangga</v>
      </c>
    </row>
    <row r="411" spans="1:16" x14ac:dyDescent="0.3">
      <c r="A411" s="8">
        <v>404</v>
      </c>
      <c r="B411" s="9" t="s">
        <v>6898</v>
      </c>
      <c r="C411" s="10" t="str">
        <f>VLOOKUP(B411,'Data Angt'!$A$5:$B$5809,2,FALSE)</f>
        <v>A3079</v>
      </c>
      <c r="D411" s="12" t="s">
        <v>10134</v>
      </c>
      <c r="E411" s="13">
        <v>43133</v>
      </c>
      <c r="F411" s="14">
        <v>45902</v>
      </c>
      <c r="G411" s="15">
        <v>135000000</v>
      </c>
      <c r="H411" s="16">
        <v>120</v>
      </c>
      <c r="I411" s="17">
        <v>11.4</v>
      </c>
      <c r="J411" s="15">
        <v>47715700</v>
      </c>
      <c r="K411" s="98">
        <f t="shared" si="18"/>
        <v>0</v>
      </c>
      <c r="L411" s="98" t="str">
        <f t="shared" si="19"/>
        <v>Lancar</v>
      </c>
      <c r="M411" s="5" t="str">
        <f t="shared" si="20"/>
        <v>001</v>
      </c>
      <c r="N411" s="55">
        <f>VLOOKUP(D411,Pinjaman!$E$7:$N$1900,10,FALSE)</f>
        <v>0</v>
      </c>
      <c r="O411" s="55">
        <f>VLOOKUP(B411,'Data Angt'!$A$5:$H$5810,6,FALSE)</f>
        <v>43</v>
      </c>
      <c r="P411" s="55" t="str">
        <f>VLOOKUP(B411,'Data Angt'!$A$5:$H$5810,8,FALSE)</f>
        <v>Lain-Lain</v>
      </c>
    </row>
    <row r="412" spans="1:16" x14ac:dyDescent="0.3">
      <c r="A412" s="8">
        <v>405</v>
      </c>
      <c r="B412" s="9" t="s">
        <v>6921</v>
      </c>
      <c r="C412" s="10" t="str">
        <f>VLOOKUP(B412,'Data Angt'!$A$5:$B$5809,2,FALSE)</f>
        <v>A3092</v>
      </c>
      <c r="D412" s="12" t="s">
        <v>15896</v>
      </c>
      <c r="E412" s="13">
        <v>45324</v>
      </c>
      <c r="F412" s="14">
        <v>45908</v>
      </c>
      <c r="G412" s="15">
        <v>3000000</v>
      </c>
      <c r="H412" s="16">
        <v>12</v>
      </c>
      <c r="I412" s="17">
        <v>12</v>
      </c>
      <c r="J412" s="15">
        <v>2039500</v>
      </c>
      <c r="K412" s="98">
        <f t="shared" si="18"/>
        <v>0</v>
      </c>
      <c r="L412" s="98" t="str">
        <f t="shared" si="19"/>
        <v>Lancar</v>
      </c>
      <c r="M412" s="5" t="str">
        <f t="shared" si="20"/>
        <v>001</v>
      </c>
      <c r="N412" s="55" t="str">
        <f>VLOOKUP(D412,Pinjaman!$E$7:$N$1900,10,FALSE)</f>
        <v>KONSUMTIF</v>
      </c>
      <c r="O412" s="55">
        <f>VLOOKUP(B412,'Data Angt'!$A$5:$H$5810,6,FALSE)</f>
        <v>31</v>
      </c>
      <c r="P412" s="55" t="str">
        <f>VLOOKUP(B412,'Data Angt'!$A$5:$H$5810,8,FALSE)</f>
        <v>Wiraswasta</v>
      </c>
    </row>
    <row r="413" spans="1:16" x14ac:dyDescent="0.3">
      <c r="A413" s="8">
        <v>406</v>
      </c>
      <c r="B413" s="9" t="s">
        <v>6921</v>
      </c>
      <c r="C413" s="10" t="str">
        <f>VLOOKUP(B413,'Data Angt'!$A$5:$B$5809,2,FALSE)</f>
        <v>A3092</v>
      </c>
      <c r="D413" s="12" t="s">
        <v>15898</v>
      </c>
      <c r="E413" s="13">
        <v>45407</v>
      </c>
      <c r="F413" s="14">
        <v>45625</v>
      </c>
      <c r="G413" s="15">
        <v>6000000</v>
      </c>
      <c r="H413" s="16">
        <v>12</v>
      </c>
      <c r="I413" s="17">
        <v>24</v>
      </c>
      <c r="J413" s="15">
        <v>5552600</v>
      </c>
      <c r="K413" s="98">
        <f t="shared" si="18"/>
        <v>10</v>
      </c>
      <c r="L413" s="98" t="str">
        <f t="shared" si="19"/>
        <v>Diragukan</v>
      </c>
      <c r="M413" s="5" t="str">
        <f t="shared" si="20"/>
        <v>001</v>
      </c>
      <c r="N413" s="55" t="str">
        <f>VLOOKUP(D413,Pinjaman!$E$7:$N$1900,10,FALSE)</f>
        <v>PENDIDIKAN</v>
      </c>
      <c r="O413" s="55">
        <f>VLOOKUP(B413,'Data Angt'!$A$5:$H$5810,6,FALSE)</f>
        <v>31</v>
      </c>
      <c r="P413" s="55" t="str">
        <f>VLOOKUP(B413,'Data Angt'!$A$5:$H$5810,8,FALSE)</f>
        <v>Wiraswasta</v>
      </c>
    </row>
    <row r="414" spans="1:16" x14ac:dyDescent="0.3">
      <c r="A414" s="8">
        <v>407</v>
      </c>
      <c r="B414" s="9" t="s">
        <v>6967</v>
      </c>
      <c r="C414" s="10" t="str">
        <f>VLOOKUP(B414,'Data Angt'!$A$5:$B$5809,2,FALSE)</f>
        <v>A3117</v>
      </c>
      <c r="D414" s="12" t="s">
        <v>15901</v>
      </c>
      <c r="E414" s="13">
        <v>45476</v>
      </c>
      <c r="F414" s="14">
        <v>45904</v>
      </c>
      <c r="G414" s="15">
        <v>12850000</v>
      </c>
      <c r="H414" s="16">
        <v>18</v>
      </c>
      <c r="I414" s="17">
        <v>24</v>
      </c>
      <c r="J414" s="15">
        <v>3263100</v>
      </c>
      <c r="K414" s="98">
        <f t="shared" si="18"/>
        <v>0</v>
      </c>
      <c r="L414" s="98" t="str">
        <f t="shared" si="19"/>
        <v>Lancar</v>
      </c>
      <c r="M414" s="5" t="str">
        <f t="shared" si="20"/>
        <v>001</v>
      </c>
      <c r="N414" s="55" t="str">
        <f>VLOOKUP(D414,Pinjaman!$E$7:$N$1900,10,FALSE)</f>
        <v>KONSUMTIF</v>
      </c>
      <c r="O414" s="55">
        <f>VLOOKUP(B414,'Data Angt'!$A$5:$H$5810,6,FALSE)</f>
        <v>63</v>
      </c>
      <c r="P414" s="55" t="str">
        <f>VLOOKUP(B414,'Data Angt'!$A$5:$H$5810,8,FALSE)</f>
        <v>Tenaga Pengajar</v>
      </c>
    </row>
    <row r="415" spans="1:16" x14ac:dyDescent="0.3">
      <c r="A415" s="8">
        <v>408</v>
      </c>
      <c r="B415" s="9" t="s">
        <v>7002</v>
      </c>
      <c r="C415" s="10" t="str">
        <f>VLOOKUP(B415,'Data Angt'!$A$5:$B$5809,2,FALSE)</f>
        <v>A3133</v>
      </c>
      <c r="D415" s="12" t="s">
        <v>15904</v>
      </c>
      <c r="E415" s="13">
        <v>45821</v>
      </c>
      <c r="F415" s="14">
        <v>45910</v>
      </c>
      <c r="G415" s="15">
        <v>1500000</v>
      </c>
      <c r="H415" s="16">
        <v>12</v>
      </c>
      <c r="I415" s="17">
        <v>11.88</v>
      </c>
      <c r="J415" s="15">
        <v>1141500</v>
      </c>
      <c r="K415" s="98">
        <f t="shared" si="18"/>
        <v>0</v>
      </c>
      <c r="L415" s="98" t="str">
        <f t="shared" si="19"/>
        <v>Lancar</v>
      </c>
      <c r="M415" s="5" t="str">
        <f t="shared" si="20"/>
        <v>001</v>
      </c>
      <c r="N415" s="55" t="str">
        <f>VLOOKUP(D415,Pinjaman!$E$7:$N$1900,10,FALSE)</f>
        <v>PENDIDIKAN</v>
      </c>
      <c r="O415" s="55">
        <f>VLOOKUP(B415,'Data Angt'!$A$5:$H$5810,6,FALSE)</f>
        <v>50</v>
      </c>
      <c r="P415" s="55" t="str">
        <f>VLOOKUP(B415,'Data Angt'!$A$5:$H$5810,8,FALSE)</f>
        <v>Tenaga Pengajar</v>
      </c>
    </row>
    <row r="416" spans="1:16" x14ac:dyDescent="0.3">
      <c r="A416" s="8">
        <v>409</v>
      </c>
      <c r="B416" s="9" t="s">
        <v>7045</v>
      </c>
      <c r="C416" s="10" t="str">
        <f>VLOOKUP(B416,'Data Angt'!$A$5:$B$5809,2,FALSE)</f>
        <v>A3151</v>
      </c>
      <c r="D416" s="12" t="s">
        <v>15907</v>
      </c>
      <c r="E416" s="13">
        <v>45496</v>
      </c>
      <c r="F416" s="14">
        <v>45920</v>
      </c>
      <c r="G416" s="15">
        <v>10000000</v>
      </c>
      <c r="H416" s="16">
        <v>18</v>
      </c>
      <c r="I416" s="17">
        <v>12</v>
      </c>
      <c r="J416" s="15">
        <v>2379000</v>
      </c>
      <c r="K416" s="98">
        <f t="shared" si="18"/>
        <v>0</v>
      </c>
      <c r="L416" s="98" t="str">
        <f t="shared" si="19"/>
        <v>Lancar</v>
      </c>
      <c r="M416" s="5" t="str">
        <f t="shared" si="20"/>
        <v>001</v>
      </c>
      <c r="N416" s="55" t="str">
        <f>VLOOKUP(D416,Pinjaman!$E$7:$N$1900,10,FALSE)</f>
        <v>KONSUMTIF</v>
      </c>
      <c r="O416" s="55">
        <f>VLOOKUP(B416,'Data Angt'!$A$5:$H$5810,6,FALSE)</f>
        <v>40</v>
      </c>
      <c r="P416" s="55" t="str">
        <f>VLOOKUP(B416,'Data Angt'!$A$5:$H$5810,8,FALSE)</f>
        <v>Aparatur/Pejabat Negara</v>
      </c>
    </row>
    <row r="417" spans="1:16" x14ac:dyDescent="0.3">
      <c r="A417" s="8">
        <v>410</v>
      </c>
      <c r="B417" s="9" t="s">
        <v>7059</v>
      </c>
      <c r="C417" s="10" t="str">
        <f>VLOOKUP(B417,'Data Angt'!$A$5:$B$5809,2,FALSE)</f>
        <v>A3156</v>
      </c>
      <c r="D417" s="12" t="s">
        <v>15909</v>
      </c>
      <c r="E417" s="13">
        <v>45827</v>
      </c>
      <c r="F417" s="14">
        <v>45924</v>
      </c>
      <c r="G417" s="15">
        <v>5000000</v>
      </c>
      <c r="H417" s="16">
        <v>12</v>
      </c>
      <c r="I417" s="17">
        <v>24</v>
      </c>
      <c r="J417" s="15">
        <v>3859200</v>
      </c>
      <c r="K417" s="98">
        <f t="shared" si="18"/>
        <v>0</v>
      </c>
      <c r="L417" s="98" t="str">
        <f t="shared" si="19"/>
        <v>Lancar</v>
      </c>
      <c r="M417" s="5" t="str">
        <f t="shared" si="20"/>
        <v>001</v>
      </c>
      <c r="N417" s="55" t="str">
        <f>VLOOKUP(D417,Pinjaman!$E$7:$N$1900,10,FALSE)</f>
        <v>PENDIDIKAN</v>
      </c>
      <c r="O417" s="55">
        <f>VLOOKUP(B417,'Data Angt'!$A$5:$H$5810,6,FALSE)</f>
        <v>34</v>
      </c>
      <c r="P417" s="55" t="str">
        <f>VLOOKUP(B417,'Data Angt'!$A$5:$H$5810,8,FALSE)</f>
        <v>Karyawan</v>
      </c>
    </row>
    <row r="418" spans="1:16" x14ac:dyDescent="0.3">
      <c r="A418" s="8">
        <v>411</v>
      </c>
      <c r="B418" s="9" t="s">
        <v>7084</v>
      </c>
      <c r="C418" s="10" t="str">
        <f>VLOOKUP(B418,'Data Angt'!$A$5:$B$5809,2,FALSE)</f>
        <v>A3169</v>
      </c>
      <c r="D418" s="12" t="s">
        <v>15911</v>
      </c>
      <c r="E418" s="13">
        <v>45310</v>
      </c>
      <c r="F418" s="14">
        <v>45919</v>
      </c>
      <c r="G418" s="15">
        <v>3000000</v>
      </c>
      <c r="H418" s="16">
        <v>36</v>
      </c>
      <c r="I418" s="17">
        <v>24</v>
      </c>
      <c r="J418" s="15">
        <v>1599200</v>
      </c>
      <c r="K418" s="98">
        <f t="shared" si="18"/>
        <v>0</v>
      </c>
      <c r="L418" s="98" t="str">
        <f t="shared" si="19"/>
        <v>Lancar</v>
      </c>
      <c r="M418" s="5" t="str">
        <f t="shared" si="20"/>
        <v>001</v>
      </c>
      <c r="N418" s="55" t="str">
        <f>VLOOKUP(D418,Pinjaman!$E$7:$N$1900,10,FALSE)</f>
        <v>KESEJAHTERAAN</v>
      </c>
      <c r="O418" s="55">
        <f>VLOOKUP(B418,'Data Angt'!$A$5:$H$5810,6,FALSE)</f>
        <v>31</v>
      </c>
      <c r="P418" s="55" t="str">
        <f>VLOOKUP(B418,'Data Angt'!$A$5:$H$5810,8,FALSE)</f>
        <v>Wiraswasta</v>
      </c>
    </row>
    <row r="419" spans="1:16" x14ac:dyDescent="0.3">
      <c r="A419" s="8">
        <v>412</v>
      </c>
      <c r="B419" s="9" t="s">
        <v>7091</v>
      </c>
      <c r="C419" s="10" t="str">
        <f>VLOOKUP(B419,'Data Angt'!$A$5:$B$5809,2,FALSE)</f>
        <v>A3172</v>
      </c>
      <c r="D419" s="12" t="s">
        <v>15913</v>
      </c>
      <c r="E419" s="13">
        <v>45566</v>
      </c>
      <c r="F419" s="14">
        <v>45901</v>
      </c>
      <c r="G419" s="15">
        <v>48000000</v>
      </c>
      <c r="H419" s="16">
        <v>24</v>
      </c>
      <c r="I419" s="17">
        <v>21</v>
      </c>
      <c r="J419" s="15">
        <v>28457300</v>
      </c>
      <c r="K419" s="98">
        <f t="shared" si="18"/>
        <v>0</v>
      </c>
      <c r="L419" s="98" t="str">
        <f t="shared" si="19"/>
        <v>Lancar</v>
      </c>
      <c r="M419" s="5" t="str">
        <f t="shared" si="20"/>
        <v>001</v>
      </c>
      <c r="N419" s="55" t="str">
        <f>VLOOKUP(D419,Pinjaman!$E$7:$N$1900,10,FALSE)</f>
        <v>PRODUKTIF</v>
      </c>
      <c r="O419" s="55">
        <f>VLOOKUP(B419,'Data Angt'!$A$5:$H$5810,6,FALSE)</f>
        <v>52</v>
      </c>
      <c r="P419" s="55" t="str">
        <f>VLOOKUP(B419,'Data Angt'!$A$5:$H$5810,8,FALSE)</f>
        <v>Lain-Lain</v>
      </c>
    </row>
    <row r="420" spans="1:16" x14ac:dyDescent="0.3">
      <c r="A420" s="8">
        <v>413</v>
      </c>
      <c r="B420" s="9" t="s">
        <v>7116</v>
      </c>
      <c r="C420" s="10" t="str">
        <f>VLOOKUP(B420,'Data Angt'!$A$5:$B$5809,2,FALSE)</f>
        <v>A3186</v>
      </c>
      <c r="D420" s="12" t="s">
        <v>15915</v>
      </c>
      <c r="E420" s="13">
        <v>45327</v>
      </c>
      <c r="F420" s="14">
        <v>45902</v>
      </c>
      <c r="G420" s="15">
        <v>10000000</v>
      </c>
      <c r="H420" s="16">
        <v>20</v>
      </c>
      <c r="I420" s="17">
        <v>24</v>
      </c>
      <c r="J420" s="15">
        <v>599900</v>
      </c>
      <c r="K420" s="98">
        <f t="shared" si="18"/>
        <v>0</v>
      </c>
      <c r="L420" s="98" t="str">
        <f t="shared" si="19"/>
        <v>Lancar</v>
      </c>
      <c r="M420" s="5" t="str">
        <f t="shared" si="20"/>
        <v>001</v>
      </c>
      <c r="N420" s="55" t="str">
        <f>VLOOKUP(D420,Pinjaman!$E$7:$N$1900,10,FALSE)</f>
        <v>PRODUKTIF</v>
      </c>
      <c r="O420" s="55">
        <f>VLOOKUP(B420,'Data Angt'!$A$5:$H$5810,6,FALSE)</f>
        <v>27</v>
      </c>
      <c r="P420" s="55" t="str">
        <f>VLOOKUP(B420,'Data Angt'!$A$5:$H$5810,8,FALSE)</f>
        <v>Karyawan</v>
      </c>
    </row>
    <row r="421" spans="1:16" x14ac:dyDescent="0.3">
      <c r="A421" s="8">
        <v>414</v>
      </c>
      <c r="B421" s="9" t="s">
        <v>7118</v>
      </c>
      <c r="C421" s="10" t="str">
        <f>VLOOKUP(B421,'Data Angt'!$A$5:$B$5809,2,FALSE)</f>
        <v>A3187</v>
      </c>
      <c r="D421" s="12" t="s">
        <v>15918</v>
      </c>
      <c r="E421" s="13">
        <v>45736</v>
      </c>
      <c r="F421" s="14">
        <v>45908</v>
      </c>
      <c r="G421" s="15">
        <v>10000000</v>
      </c>
      <c r="H421" s="16">
        <v>15</v>
      </c>
      <c r="I421" s="17">
        <v>24</v>
      </c>
      <c r="J421" s="15">
        <v>6990800</v>
      </c>
      <c r="K421" s="98">
        <f t="shared" si="18"/>
        <v>0</v>
      </c>
      <c r="L421" s="98" t="str">
        <f t="shared" si="19"/>
        <v>Lancar</v>
      </c>
      <c r="M421" s="5" t="str">
        <f t="shared" si="20"/>
        <v>001</v>
      </c>
      <c r="N421" s="55" t="str">
        <f>VLOOKUP(D421,Pinjaman!$E$7:$N$1900,10,FALSE)</f>
        <v>PENDIDIKAN</v>
      </c>
      <c r="O421" s="55">
        <f>VLOOKUP(B421,'Data Angt'!$A$5:$H$5810,6,FALSE)</f>
        <v>35</v>
      </c>
      <c r="P421" s="55" t="str">
        <f>VLOOKUP(B421,'Data Angt'!$A$5:$H$5810,8,FALSE)</f>
        <v>Karyawan</v>
      </c>
    </row>
    <row r="422" spans="1:16" x14ac:dyDescent="0.3">
      <c r="A422" s="8">
        <v>415</v>
      </c>
      <c r="B422" s="9" t="s">
        <v>7123</v>
      </c>
      <c r="C422" s="10" t="str">
        <f>VLOOKUP(B422,'Data Angt'!$A$5:$B$5809,2,FALSE)</f>
        <v>A3189</v>
      </c>
      <c r="D422" s="12" t="s">
        <v>15920</v>
      </c>
      <c r="E422" s="13">
        <v>45836</v>
      </c>
      <c r="F422" s="14">
        <v>45915</v>
      </c>
      <c r="G422" s="15">
        <v>30000000</v>
      </c>
      <c r="H422" s="16">
        <v>30</v>
      </c>
      <c r="I422" s="17">
        <v>21</v>
      </c>
      <c r="J422" s="15">
        <v>27652800</v>
      </c>
      <c r="K422" s="98">
        <f t="shared" si="18"/>
        <v>0</v>
      </c>
      <c r="L422" s="98" t="str">
        <f t="shared" si="19"/>
        <v>Lancar</v>
      </c>
      <c r="M422" s="5" t="str">
        <f t="shared" si="20"/>
        <v>001</v>
      </c>
      <c r="N422" s="55" t="str">
        <f>VLOOKUP(D422,Pinjaman!$E$7:$N$1900,10,FALSE)</f>
        <v>PENDIDIKAN</v>
      </c>
      <c r="O422" s="55">
        <f>VLOOKUP(B422,'Data Angt'!$A$5:$H$5810,6,FALSE)</f>
        <v>62</v>
      </c>
      <c r="P422" s="55" t="str">
        <f>VLOOKUP(B422,'Data Angt'!$A$5:$H$5810,8,FALSE)</f>
        <v>Karyawan</v>
      </c>
    </row>
    <row r="423" spans="1:16" x14ac:dyDescent="0.3">
      <c r="A423" s="8">
        <v>416</v>
      </c>
      <c r="B423" s="9" t="s">
        <v>7127</v>
      </c>
      <c r="C423" s="10" t="str">
        <f>VLOOKUP(B423,'Data Angt'!$A$5:$B$5809,2,FALSE)</f>
        <v>A3190</v>
      </c>
      <c r="D423" s="12" t="s">
        <v>15922</v>
      </c>
      <c r="E423" s="13">
        <v>45653</v>
      </c>
      <c r="F423" s="14">
        <v>45897</v>
      </c>
      <c r="G423" s="15">
        <v>100000000</v>
      </c>
      <c r="H423" s="16">
        <v>48</v>
      </c>
      <c r="I423" s="17">
        <v>21</v>
      </c>
      <c r="J423" s="15">
        <v>90089300</v>
      </c>
      <c r="K423" s="98">
        <f t="shared" si="18"/>
        <v>1</v>
      </c>
      <c r="L423" s="98" t="str">
        <f t="shared" si="19"/>
        <v>Lancar</v>
      </c>
      <c r="M423" s="5" t="str">
        <f t="shared" si="20"/>
        <v>001</v>
      </c>
      <c r="N423" s="55" t="str">
        <f>VLOOKUP(D423,Pinjaman!$E$7:$N$1900,10,FALSE)</f>
        <v>PRODUKTIF</v>
      </c>
      <c r="O423" s="55">
        <f>VLOOKUP(B423,'Data Angt'!$A$5:$H$5810,6,FALSE)</f>
        <v>43</v>
      </c>
      <c r="P423" s="55" t="str">
        <f>VLOOKUP(B423,'Data Angt'!$A$5:$H$5810,8,FALSE)</f>
        <v>Wiraswasta</v>
      </c>
    </row>
    <row r="424" spans="1:16" x14ac:dyDescent="0.3">
      <c r="A424" s="8">
        <v>417</v>
      </c>
      <c r="B424" s="9" t="s">
        <v>7175</v>
      </c>
      <c r="C424" s="10" t="str">
        <f>VLOOKUP(B424,'Data Angt'!$A$5:$B$5809,2,FALSE)</f>
        <v>A3209</v>
      </c>
      <c r="D424" s="12" t="s">
        <v>15925</v>
      </c>
      <c r="E424" s="13">
        <v>45713</v>
      </c>
      <c r="F424" s="14">
        <v>45922</v>
      </c>
      <c r="G424" s="15">
        <v>7000000</v>
      </c>
      <c r="H424" s="16">
        <v>12</v>
      </c>
      <c r="I424" s="17">
        <v>24</v>
      </c>
      <c r="J424" s="15">
        <v>3119600</v>
      </c>
      <c r="K424" s="98">
        <f t="shared" si="18"/>
        <v>0</v>
      </c>
      <c r="L424" s="98" t="str">
        <f t="shared" si="19"/>
        <v>Lancar</v>
      </c>
      <c r="M424" s="5" t="str">
        <f t="shared" si="20"/>
        <v>001</v>
      </c>
      <c r="N424" s="55" t="str">
        <f>VLOOKUP(D424,Pinjaman!$E$7:$N$1900,10,FALSE)</f>
        <v>KONSUMTIF</v>
      </c>
      <c r="O424" s="55">
        <f>VLOOKUP(B424,'Data Angt'!$A$5:$H$5810,6,FALSE)</f>
        <v>54</v>
      </c>
      <c r="P424" s="55" t="str">
        <f>VLOOKUP(B424,'Data Angt'!$A$5:$H$5810,8,FALSE)</f>
        <v>Mengurus Rumah Tangga</v>
      </c>
    </row>
    <row r="425" spans="1:16" x14ac:dyDescent="0.3">
      <c r="A425" s="8">
        <v>418</v>
      </c>
      <c r="B425" s="9" t="s">
        <v>7198</v>
      </c>
      <c r="C425" s="10" t="str">
        <f>VLOOKUP(B425,'Data Angt'!$A$5:$B$5809,2,FALSE)</f>
        <v>A3219</v>
      </c>
      <c r="D425" s="12" t="s">
        <v>15927</v>
      </c>
      <c r="E425" s="13">
        <v>45640</v>
      </c>
      <c r="F425" s="14">
        <v>45915</v>
      </c>
      <c r="G425" s="15">
        <v>100000000</v>
      </c>
      <c r="H425" s="16">
        <v>24</v>
      </c>
      <c r="I425" s="17">
        <v>21</v>
      </c>
      <c r="J425" s="15">
        <v>67278600</v>
      </c>
      <c r="K425" s="98">
        <f t="shared" si="18"/>
        <v>0</v>
      </c>
      <c r="L425" s="98" t="str">
        <f t="shared" si="19"/>
        <v>Lancar</v>
      </c>
      <c r="M425" s="5" t="str">
        <f t="shared" si="20"/>
        <v>001</v>
      </c>
      <c r="N425" s="55" t="str">
        <f>VLOOKUP(D425,Pinjaman!$E$7:$N$1900,10,FALSE)</f>
        <v>KESEJAHTERAAN</v>
      </c>
      <c r="O425" s="55">
        <f>VLOOKUP(B425,'Data Angt'!$A$5:$H$5810,6,FALSE)</f>
        <v>33</v>
      </c>
      <c r="P425" s="55" t="str">
        <f>VLOOKUP(B425,'Data Angt'!$A$5:$H$5810,8,FALSE)</f>
        <v>Karyawan</v>
      </c>
    </row>
    <row r="426" spans="1:16" x14ac:dyDescent="0.3">
      <c r="A426" s="8">
        <v>419</v>
      </c>
      <c r="B426" s="9" t="s">
        <v>7217</v>
      </c>
      <c r="C426" s="10" t="str">
        <f>VLOOKUP(B426,'Data Angt'!$A$5:$B$5809,2,FALSE)</f>
        <v>A3226</v>
      </c>
      <c r="D426" s="12" t="s">
        <v>15929</v>
      </c>
      <c r="E426" s="13">
        <v>45695</v>
      </c>
      <c r="F426" s="14">
        <v>45908</v>
      </c>
      <c r="G426" s="15">
        <v>30000000</v>
      </c>
      <c r="H426" s="16">
        <v>24</v>
      </c>
      <c r="I426" s="17">
        <v>21</v>
      </c>
      <c r="J426" s="15">
        <v>21250000</v>
      </c>
      <c r="K426" s="98">
        <f t="shared" si="18"/>
        <v>0</v>
      </c>
      <c r="L426" s="98" t="str">
        <f t="shared" si="19"/>
        <v>Lancar</v>
      </c>
      <c r="M426" s="5" t="str">
        <f t="shared" si="20"/>
        <v>001</v>
      </c>
      <c r="N426" s="55" t="str">
        <f>VLOOKUP(D426,Pinjaman!$E$7:$N$1900,10,FALSE)</f>
        <v>KONSUMTIF</v>
      </c>
      <c r="O426" s="55">
        <f>VLOOKUP(B426,'Data Angt'!$A$5:$H$5810,6,FALSE)</f>
        <v>44</v>
      </c>
      <c r="P426" s="55" t="str">
        <f>VLOOKUP(B426,'Data Angt'!$A$5:$H$5810,8,FALSE)</f>
        <v>Mengurus Rumah Tangga</v>
      </c>
    </row>
    <row r="427" spans="1:16" x14ac:dyDescent="0.3">
      <c r="A427" s="8">
        <v>420</v>
      </c>
      <c r="B427" s="9" t="s">
        <v>7219</v>
      </c>
      <c r="C427" s="10" t="str">
        <f>VLOOKUP(B427,'Data Angt'!$A$5:$B$5809,2,FALSE)</f>
        <v>A3227</v>
      </c>
      <c r="D427" s="12" t="s">
        <v>10137</v>
      </c>
      <c r="E427" s="13">
        <v>44931</v>
      </c>
      <c r="F427" s="14">
        <v>45901</v>
      </c>
      <c r="G427" s="15">
        <v>10000000</v>
      </c>
      <c r="H427" s="16">
        <v>36</v>
      </c>
      <c r="I427" s="17">
        <v>24</v>
      </c>
      <c r="J427" s="15">
        <v>1110400</v>
      </c>
      <c r="K427" s="98">
        <f t="shared" si="18"/>
        <v>0</v>
      </c>
      <c r="L427" s="98" t="str">
        <f t="shared" si="19"/>
        <v>Lancar</v>
      </c>
      <c r="M427" s="5" t="str">
        <f t="shared" si="20"/>
        <v>001</v>
      </c>
      <c r="N427" s="55" t="str">
        <f>VLOOKUP(D427,Pinjaman!$E$7:$N$1900,10,FALSE)</f>
        <v>PRODUKTIF</v>
      </c>
      <c r="O427" s="55">
        <f>VLOOKUP(B427,'Data Angt'!$A$5:$H$5810,6,FALSE)</f>
        <v>39</v>
      </c>
      <c r="P427" s="55" t="str">
        <f>VLOOKUP(B427,'Data Angt'!$A$5:$H$5810,8,FALSE)</f>
        <v>Tenaga Pengajar</v>
      </c>
    </row>
    <row r="428" spans="1:16" x14ac:dyDescent="0.3">
      <c r="A428" s="8">
        <v>421</v>
      </c>
      <c r="B428" s="9" t="s">
        <v>7228</v>
      </c>
      <c r="C428" s="10" t="str">
        <f>VLOOKUP(B428,'Data Angt'!$A$5:$B$5809,2,FALSE)</f>
        <v>A3231</v>
      </c>
      <c r="D428" s="12" t="s">
        <v>10140</v>
      </c>
      <c r="E428" s="13">
        <v>44001</v>
      </c>
      <c r="F428" s="14">
        <v>45196</v>
      </c>
      <c r="G428" s="15">
        <v>30000000</v>
      </c>
      <c r="H428" s="16">
        <v>48</v>
      </c>
      <c r="I428" s="17">
        <v>21</v>
      </c>
      <c r="J428" s="15">
        <v>27467700</v>
      </c>
      <c r="K428" s="98">
        <f t="shared" si="18"/>
        <v>24</v>
      </c>
      <c r="L428" s="98" t="str">
        <f t="shared" si="19"/>
        <v>Macet</v>
      </c>
      <c r="M428" s="5" t="str">
        <f t="shared" si="20"/>
        <v>001</v>
      </c>
      <c r="N428" s="55" t="str">
        <f>VLOOKUP(D428,Pinjaman!$E$7:$N$1900,10,FALSE)</f>
        <v>PRODUKTIF</v>
      </c>
      <c r="O428" s="55">
        <f>VLOOKUP(B428,'Data Angt'!$A$5:$H$5810,6,FALSE)</f>
        <v>37</v>
      </c>
      <c r="P428" s="55" t="str">
        <f>VLOOKUP(B428,'Data Angt'!$A$5:$H$5810,8,FALSE)</f>
        <v>Mengurus Rumah Tangga</v>
      </c>
    </row>
    <row r="429" spans="1:16" x14ac:dyDescent="0.3">
      <c r="A429" s="8">
        <v>422</v>
      </c>
      <c r="B429" s="9" t="s">
        <v>7232</v>
      </c>
      <c r="C429" s="10" t="str">
        <f>VLOOKUP(B429,'Data Angt'!$A$5:$B$5809,2,FALSE)</f>
        <v>A3233</v>
      </c>
      <c r="D429" s="12" t="s">
        <v>15932</v>
      </c>
      <c r="E429" s="13">
        <v>45708</v>
      </c>
      <c r="F429" s="14">
        <v>45919</v>
      </c>
      <c r="G429" s="15">
        <v>25000000</v>
      </c>
      <c r="H429" s="16">
        <v>36</v>
      </c>
      <c r="I429" s="17">
        <v>21</v>
      </c>
      <c r="J429" s="15">
        <v>21278500</v>
      </c>
      <c r="K429" s="98">
        <f t="shared" si="18"/>
        <v>0</v>
      </c>
      <c r="L429" s="98" t="str">
        <f t="shared" si="19"/>
        <v>Lancar</v>
      </c>
      <c r="M429" s="5" t="str">
        <f t="shared" si="20"/>
        <v>001</v>
      </c>
      <c r="N429" s="55" t="str">
        <f>VLOOKUP(D429,Pinjaman!$E$7:$N$1900,10,FALSE)</f>
        <v>PENDIDIKAN</v>
      </c>
      <c r="O429" s="55">
        <f>VLOOKUP(B429,'Data Angt'!$A$5:$H$5810,6,FALSE)</f>
        <v>51</v>
      </c>
      <c r="P429" s="55" t="str">
        <f>VLOOKUP(B429,'Data Angt'!$A$5:$H$5810,8,FALSE)</f>
        <v>Mengurus Rumah Tangga</v>
      </c>
    </row>
    <row r="430" spans="1:16" x14ac:dyDescent="0.3">
      <c r="A430" s="8">
        <v>423</v>
      </c>
      <c r="B430" s="9" t="s">
        <v>7242</v>
      </c>
      <c r="C430" s="10" t="str">
        <f>VLOOKUP(B430,'Data Angt'!$A$5:$B$5809,2,FALSE)</f>
        <v>A3237</v>
      </c>
      <c r="D430" s="12" t="s">
        <v>10143</v>
      </c>
      <c r="E430" s="13">
        <v>43570</v>
      </c>
      <c r="F430" s="14">
        <v>43822</v>
      </c>
      <c r="G430" s="15">
        <v>3000000</v>
      </c>
      <c r="H430" s="16">
        <v>12</v>
      </c>
      <c r="I430" s="17">
        <v>18</v>
      </c>
      <c r="J430" s="15">
        <v>1000000</v>
      </c>
      <c r="K430" s="98">
        <f t="shared" si="18"/>
        <v>69</v>
      </c>
      <c r="L430" s="98" t="str">
        <f t="shared" si="19"/>
        <v>Macet</v>
      </c>
      <c r="M430" s="5" t="str">
        <f t="shared" si="20"/>
        <v>001</v>
      </c>
      <c r="N430" s="55" t="str">
        <f>VLOOKUP(D430,Pinjaman!$E$7:$N$1900,10,FALSE)</f>
        <v>KONSUMTIF</v>
      </c>
      <c r="O430" s="55">
        <f>VLOOKUP(B430,'Data Angt'!$A$5:$H$5810,6,FALSE)</f>
        <v>39</v>
      </c>
      <c r="P430" s="55" t="str">
        <f>VLOOKUP(B430,'Data Angt'!$A$5:$H$5810,8,FALSE)</f>
        <v>Karyawan</v>
      </c>
    </row>
    <row r="431" spans="1:16" x14ac:dyDescent="0.3">
      <c r="A431" s="8">
        <v>424</v>
      </c>
      <c r="B431" s="9" t="s">
        <v>7242</v>
      </c>
      <c r="C431" s="10" t="str">
        <f>VLOOKUP(B431,'Data Angt'!$A$5:$B$5809,2,FALSE)</f>
        <v>A3237</v>
      </c>
      <c r="D431" s="12" t="s">
        <v>10146</v>
      </c>
      <c r="E431" s="13">
        <v>43321</v>
      </c>
      <c r="F431" s="14">
        <v>43822</v>
      </c>
      <c r="G431" s="15">
        <v>10000000</v>
      </c>
      <c r="H431" s="16">
        <v>36</v>
      </c>
      <c r="I431" s="17">
        <v>21</v>
      </c>
      <c r="J431" s="15">
        <v>6311700</v>
      </c>
      <c r="K431" s="98">
        <f t="shared" si="18"/>
        <v>69</v>
      </c>
      <c r="L431" s="98" t="str">
        <f t="shared" si="19"/>
        <v>Macet</v>
      </c>
      <c r="M431" s="5" t="str">
        <f t="shared" si="20"/>
        <v>001</v>
      </c>
      <c r="N431" s="55" t="str">
        <f>VLOOKUP(D431,Pinjaman!$E$7:$N$1900,10,FALSE)</f>
        <v>KONSUMTIF</v>
      </c>
      <c r="O431" s="55">
        <f>VLOOKUP(B431,'Data Angt'!$A$5:$H$5810,6,FALSE)</f>
        <v>39</v>
      </c>
      <c r="P431" s="55" t="str">
        <f>VLOOKUP(B431,'Data Angt'!$A$5:$H$5810,8,FALSE)</f>
        <v>Karyawan</v>
      </c>
    </row>
    <row r="432" spans="1:16" x14ac:dyDescent="0.3">
      <c r="A432" s="8">
        <v>425</v>
      </c>
      <c r="B432" s="9" t="s">
        <v>7268</v>
      </c>
      <c r="C432" s="10" t="str">
        <f>VLOOKUP(B432,'Data Angt'!$A$5:$B$5809,2,FALSE)</f>
        <v>A3250</v>
      </c>
      <c r="D432" s="12" t="s">
        <v>15934</v>
      </c>
      <c r="E432" s="13">
        <v>45716</v>
      </c>
      <c r="F432" s="14">
        <v>45926</v>
      </c>
      <c r="G432" s="15">
        <v>25000000</v>
      </c>
      <c r="H432" s="16">
        <v>36</v>
      </c>
      <c r="I432" s="17">
        <v>18</v>
      </c>
      <c r="J432" s="15">
        <v>21127200</v>
      </c>
      <c r="K432" s="98">
        <f t="shared" si="18"/>
        <v>0</v>
      </c>
      <c r="L432" s="98" t="str">
        <f t="shared" si="19"/>
        <v>Lancar</v>
      </c>
      <c r="M432" s="5" t="str">
        <f t="shared" si="20"/>
        <v>001</v>
      </c>
      <c r="N432" s="55" t="str">
        <f>VLOOKUP(D432,Pinjaman!$E$7:$N$1900,10,FALSE)</f>
        <v>PRODUKTIF</v>
      </c>
      <c r="O432" s="55">
        <f>VLOOKUP(B432,'Data Angt'!$A$5:$H$5810,6,FALSE)</f>
        <v>30</v>
      </c>
      <c r="P432" s="55" t="str">
        <f>VLOOKUP(B432,'Data Angt'!$A$5:$H$5810,8,FALSE)</f>
        <v>Karyawan</v>
      </c>
    </row>
    <row r="433" spans="1:16" x14ac:dyDescent="0.3">
      <c r="A433" s="8">
        <v>426</v>
      </c>
      <c r="B433" s="9" t="s">
        <v>7282</v>
      </c>
      <c r="C433" s="10" t="str">
        <f>VLOOKUP(B433,'Data Angt'!$A$5:$B$5809,2,FALSE)</f>
        <v>A3258</v>
      </c>
      <c r="D433" s="12" t="s">
        <v>10150</v>
      </c>
      <c r="E433" s="13">
        <v>45092</v>
      </c>
      <c r="F433" s="14">
        <v>45915</v>
      </c>
      <c r="G433" s="15">
        <v>200000000</v>
      </c>
      <c r="H433" s="16">
        <v>60</v>
      </c>
      <c r="I433" s="17">
        <v>11.4</v>
      </c>
      <c r="J433" s="15">
        <v>130152000</v>
      </c>
      <c r="K433" s="98">
        <f t="shared" si="18"/>
        <v>0</v>
      </c>
      <c r="L433" s="98" t="str">
        <f t="shared" si="19"/>
        <v>Lancar</v>
      </c>
      <c r="M433" s="5" t="str">
        <f t="shared" si="20"/>
        <v>001</v>
      </c>
      <c r="N433" s="55" t="str">
        <f>VLOOKUP(D433,Pinjaman!$E$7:$N$1900,10,FALSE)</f>
        <v>KESEJAHTERAAN</v>
      </c>
      <c r="O433" s="55">
        <f>VLOOKUP(B433,'Data Angt'!$A$5:$H$5810,6,FALSE)</f>
        <v>43</v>
      </c>
      <c r="P433" s="55" t="str">
        <f>VLOOKUP(B433,'Data Angt'!$A$5:$H$5810,8,FALSE)</f>
        <v>Wiraswasta</v>
      </c>
    </row>
    <row r="434" spans="1:16" x14ac:dyDescent="0.3">
      <c r="A434" s="8">
        <v>427</v>
      </c>
      <c r="B434" s="9" t="s">
        <v>7286</v>
      </c>
      <c r="C434" s="10" t="str">
        <f>VLOOKUP(B434,'Data Angt'!$A$5:$B$5809,2,FALSE)</f>
        <v>A3260</v>
      </c>
      <c r="D434" s="12" t="s">
        <v>22581</v>
      </c>
      <c r="E434" s="13">
        <v>45859</v>
      </c>
      <c r="F434" s="14">
        <v>45901</v>
      </c>
      <c r="G434" s="15">
        <v>25000000</v>
      </c>
      <c r="H434" s="16">
        <v>36</v>
      </c>
      <c r="I434" s="17">
        <v>21</v>
      </c>
      <c r="J434" s="15">
        <v>23982400</v>
      </c>
      <c r="K434" s="98">
        <f t="shared" si="18"/>
        <v>0</v>
      </c>
      <c r="L434" s="98" t="str">
        <f t="shared" si="19"/>
        <v>Lancar</v>
      </c>
      <c r="M434" s="5" t="str">
        <f t="shared" si="20"/>
        <v>001</v>
      </c>
      <c r="N434" s="55" t="str">
        <f>VLOOKUP(D434,Pinjaman!$E$7:$N$1900,10,FALSE)</f>
        <v>KONSUMTIF</v>
      </c>
      <c r="O434" s="55">
        <f>VLOOKUP(B434,'Data Angt'!$A$5:$H$5810,6,FALSE)</f>
        <v>53</v>
      </c>
      <c r="P434" s="55" t="str">
        <f>VLOOKUP(B434,'Data Angt'!$A$5:$H$5810,8,FALSE)</f>
        <v>Karyawan</v>
      </c>
    </row>
    <row r="435" spans="1:16" x14ac:dyDescent="0.3">
      <c r="A435" s="8">
        <v>428</v>
      </c>
      <c r="B435" s="9" t="s">
        <v>7320</v>
      </c>
      <c r="C435" s="10" t="str">
        <f>VLOOKUP(B435,'Data Angt'!$A$5:$B$5809,2,FALSE)</f>
        <v>A3274</v>
      </c>
      <c r="D435" s="12" t="s">
        <v>15937</v>
      </c>
      <c r="E435" s="13">
        <v>45469</v>
      </c>
      <c r="F435" s="14">
        <v>45920</v>
      </c>
      <c r="G435" s="15">
        <v>75000000</v>
      </c>
      <c r="H435" s="16">
        <v>36</v>
      </c>
      <c r="I435" s="17">
        <v>11.4</v>
      </c>
      <c r="J435" s="15">
        <v>46815800</v>
      </c>
      <c r="K435" s="98">
        <f t="shared" si="18"/>
        <v>0</v>
      </c>
      <c r="L435" s="98" t="str">
        <f t="shared" si="19"/>
        <v>Lancar</v>
      </c>
      <c r="M435" s="5" t="str">
        <f t="shared" si="20"/>
        <v>001</v>
      </c>
      <c r="N435" s="55" t="str">
        <f>VLOOKUP(D435,Pinjaman!$E$7:$N$1900,10,FALSE)</f>
        <v>KESEJAHTERAAN</v>
      </c>
      <c r="O435" s="55">
        <f>VLOOKUP(B435,'Data Angt'!$A$5:$H$5810,6,FALSE)</f>
        <v>47</v>
      </c>
      <c r="P435" s="55" t="str">
        <f>VLOOKUP(B435,'Data Angt'!$A$5:$H$5810,8,FALSE)</f>
        <v>Karyawan</v>
      </c>
    </row>
    <row r="436" spans="1:16" x14ac:dyDescent="0.3">
      <c r="A436" s="8">
        <v>429</v>
      </c>
      <c r="B436" s="9" t="s">
        <v>7343</v>
      </c>
      <c r="C436" s="10" t="str">
        <f>VLOOKUP(B436,'Data Angt'!$A$5:$B$5809,2,FALSE)</f>
        <v>A3284</v>
      </c>
      <c r="D436" s="12" t="s">
        <v>10152</v>
      </c>
      <c r="E436" s="13">
        <v>43377</v>
      </c>
      <c r="F436" s="14">
        <v>45654</v>
      </c>
      <c r="G436" s="15">
        <v>100000000</v>
      </c>
      <c r="H436" s="16">
        <v>36</v>
      </c>
      <c r="I436" s="17">
        <v>21</v>
      </c>
      <c r="J436" s="15">
        <v>54755200</v>
      </c>
      <c r="K436" s="98">
        <f t="shared" si="18"/>
        <v>9</v>
      </c>
      <c r="L436" s="98" t="str">
        <f t="shared" si="19"/>
        <v>Diragukan</v>
      </c>
      <c r="M436" s="5" t="str">
        <f t="shared" si="20"/>
        <v>001</v>
      </c>
      <c r="N436" s="55" t="str">
        <f>VLOOKUP(D436,Pinjaman!$E$7:$N$1900,10,FALSE)</f>
        <v>PRODUKTIF</v>
      </c>
      <c r="O436" s="55">
        <f>VLOOKUP(B436,'Data Angt'!$A$5:$H$5810,6,FALSE)</f>
        <v>46</v>
      </c>
      <c r="P436" s="55" t="str">
        <f>VLOOKUP(B436,'Data Angt'!$A$5:$H$5810,8,FALSE)</f>
        <v>Karyawan</v>
      </c>
    </row>
    <row r="437" spans="1:16" x14ac:dyDescent="0.3">
      <c r="A437" s="8">
        <v>430</v>
      </c>
      <c r="B437" s="9" t="s">
        <v>7369</v>
      </c>
      <c r="C437" s="10" t="str">
        <f>VLOOKUP(B437,'Data Angt'!$A$5:$B$5809,2,FALSE)</f>
        <v>A3295</v>
      </c>
      <c r="D437" s="12" t="s">
        <v>15939</v>
      </c>
      <c r="E437" s="13">
        <v>45610</v>
      </c>
      <c r="F437" s="14">
        <v>45901</v>
      </c>
      <c r="G437" s="15">
        <v>4000000</v>
      </c>
      <c r="H437" s="16">
        <v>24</v>
      </c>
      <c r="I437" s="17">
        <v>24</v>
      </c>
      <c r="J437" s="15">
        <v>2560600</v>
      </c>
      <c r="K437" s="98">
        <f t="shared" si="18"/>
        <v>0</v>
      </c>
      <c r="L437" s="98" t="str">
        <f t="shared" si="19"/>
        <v>Lancar</v>
      </c>
      <c r="M437" s="5" t="str">
        <f t="shared" si="20"/>
        <v>001</v>
      </c>
      <c r="N437" s="55" t="str">
        <f>VLOOKUP(D437,Pinjaman!$E$7:$N$1900,10,FALSE)</f>
        <v>KONSUMTIF</v>
      </c>
      <c r="O437" s="55">
        <f>VLOOKUP(B437,'Data Angt'!$A$5:$H$5810,6,FALSE)</f>
        <v>46</v>
      </c>
      <c r="P437" s="55" t="str">
        <f>VLOOKUP(B437,'Data Angt'!$A$5:$H$5810,8,FALSE)</f>
        <v>Wiraswasta</v>
      </c>
    </row>
    <row r="438" spans="1:16" x14ac:dyDescent="0.3">
      <c r="A438" s="8">
        <v>431</v>
      </c>
      <c r="B438" s="9" t="s">
        <v>7377</v>
      </c>
      <c r="C438" s="10" t="str">
        <f>VLOOKUP(B438,'Data Angt'!$A$5:$B$5809,2,FALSE)</f>
        <v>A3298</v>
      </c>
      <c r="D438" s="12" t="s">
        <v>10155</v>
      </c>
      <c r="E438" s="13">
        <v>44965</v>
      </c>
      <c r="F438" s="14">
        <v>45908</v>
      </c>
      <c r="G438" s="15">
        <v>75000000</v>
      </c>
      <c r="H438" s="16">
        <v>36</v>
      </c>
      <c r="I438" s="17">
        <v>21</v>
      </c>
      <c r="J438" s="15">
        <v>13414700</v>
      </c>
      <c r="K438" s="98">
        <f t="shared" si="18"/>
        <v>0</v>
      </c>
      <c r="L438" s="98" t="str">
        <f t="shared" si="19"/>
        <v>Lancar</v>
      </c>
      <c r="M438" s="5" t="str">
        <f t="shared" si="20"/>
        <v>001</v>
      </c>
      <c r="N438" s="55" t="str">
        <f>VLOOKUP(D438,Pinjaman!$E$7:$N$1900,10,FALSE)</f>
        <v>PRODUKTIF</v>
      </c>
      <c r="O438" s="55">
        <f>VLOOKUP(B438,'Data Angt'!$A$5:$H$5810,6,FALSE)</f>
        <v>47</v>
      </c>
      <c r="P438" s="55" t="str">
        <f>VLOOKUP(B438,'Data Angt'!$A$5:$H$5810,8,FALSE)</f>
        <v>Wiraswasta</v>
      </c>
    </row>
    <row r="439" spans="1:16" x14ac:dyDescent="0.3">
      <c r="A439" s="8">
        <v>432</v>
      </c>
      <c r="B439" s="9" t="s">
        <v>7380</v>
      </c>
      <c r="C439" s="10" t="str">
        <f>VLOOKUP(B439,'Data Angt'!$A$5:$B$5809,2,FALSE)</f>
        <v>A3300</v>
      </c>
      <c r="D439" s="12" t="s">
        <v>10158</v>
      </c>
      <c r="E439" s="13">
        <v>45223</v>
      </c>
      <c r="F439" s="14">
        <v>45920</v>
      </c>
      <c r="G439" s="15">
        <v>20000000</v>
      </c>
      <c r="H439" s="16">
        <v>36</v>
      </c>
      <c r="I439" s="17">
        <v>24</v>
      </c>
      <c r="J439" s="15">
        <v>9011500</v>
      </c>
      <c r="K439" s="98">
        <f t="shared" si="18"/>
        <v>0</v>
      </c>
      <c r="L439" s="98" t="str">
        <f t="shared" si="19"/>
        <v>Lancar</v>
      </c>
      <c r="M439" s="5" t="str">
        <f t="shared" si="20"/>
        <v>001</v>
      </c>
      <c r="N439" s="55" t="str">
        <f>VLOOKUP(D439,Pinjaman!$E$7:$N$1900,10,FALSE)</f>
        <v>PENDIDIKAN</v>
      </c>
      <c r="O439" s="55">
        <f>VLOOKUP(B439,'Data Angt'!$A$5:$H$5810,6,FALSE)</f>
        <v>67</v>
      </c>
      <c r="P439" s="55" t="str">
        <f>VLOOKUP(B439,'Data Angt'!$A$5:$H$5810,8,FALSE)</f>
        <v>Pensiunan</v>
      </c>
    </row>
    <row r="440" spans="1:16" x14ac:dyDescent="0.3">
      <c r="A440" s="8">
        <v>433</v>
      </c>
      <c r="B440" s="9" t="s">
        <v>7393</v>
      </c>
      <c r="C440" s="10" t="str">
        <f>VLOOKUP(B440,'Data Angt'!$A$5:$B$5809,2,FALSE)</f>
        <v>A3305</v>
      </c>
      <c r="D440" s="12" t="s">
        <v>15941</v>
      </c>
      <c r="E440" s="13">
        <v>45667</v>
      </c>
      <c r="F440" s="14">
        <v>45910</v>
      </c>
      <c r="G440" s="15">
        <v>18000000</v>
      </c>
      <c r="H440" s="16">
        <v>36</v>
      </c>
      <c r="I440" s="17">
        <v>24</v>
      </c>
      <c r="J440" s="15">
        <v>15029000</v>
      </c>
      <c r="K440" s="98">
        <f t="shared" si="18"/>
        <v>0</v>
      </c>
      <c r="L440" s="98" t="str">
        <f t="shared" si="19"/>
        <v>Lancar</v>
      </c>
      <c r="M440" s="5" t="str">
        <f t="shared" si="20"/>
        <v>001</v>
      </c>
      <c r="N440" s="55" t="str">
        <f>VLOOKUP(D440,Pinjaman!$E$7:$N$1900,10,FALSE)</f>
        <v>KONSUMTIF</v>
      </c>
      <c r="O440" s="55">
        <f>VLOOKUP(B440,'Data Angt'!$A$5:$H$5810,6,FALSE)</f>
        <v>48</v>
      </c>
      <c r="P440" s="55" t="str">
        <f>VLOOKUP(B440,'Data Angt'!$A$5:$H$5810,8,FALSE)</f>
        <v>Mengurus Rumah Tangga</v>
      </c>
    </row>
    <row r="441" spans="1:16" x14ac:dyDescent="0.3">
      <c r="A441" s="8">
        <v>434</v>
      </c>
      <c r="B441" s="9" t="s">
        <v>7393</v>
      </c>
      <c r="C441" s="10" t="str">
        <f>VLOOKUP(B441,'Data Angt'!$A$5:$B$5809,2,FALSE)</f>
        <v>A3305</v>
      </c>
      <c r="D441" s="12" t="s">
        <v>15943</v>
      </c>
      <c r="E441" s="13">
        <v>45626</v>
      </c>
      <c r="F441" s="14">
        <v>45929</v>
      </c>
      <c r="G441" s="15">
        <v>2000000</v>
      </c>
      <c r="H441" s="16">
        <v>12</v>
      </c>
      <c r="I441" s="17">
        <v>24</v>
      </c>
      <c r="J441" s="15">
        <v>366700</v>
      </c>
      <c r="K441" s="98">
        <f t="shared" si="18"/>
        <v>0</v>
      </c>
      <c r="L441" s="98" t="str">
        <f t="shared" si="19"/>
        <v>Lancar</v>
      </c>
      <c r="M441" s="5" t="str">
        <f t="shared" si="20"/>
        <v>001</v>
      </c>
      <c r="N441" s="55" t="str">
        <f>VLOOKUP(D441,Pinjaman!$E$7:$N$1900,10,FALSE)</f>
        <v>PRODUKTIF</v>
      </c>
      <c r="O441" s="55">
        <f>VLOOKUP(B441,'Data Angt'!$A$5:$H$5810,6,FALSE)</f>
        <v>48</v>
      </c>
      <c r="P441" s="55" t="str">
        <f>VLOOKUP(B441,'Data Angt'!$A$5:$H$5810,8,FALSE)</f>
        <v>Mengurus Rumah Tangga</v>
      </c>
    </row>
    <row r="442" spans="1:16" x14ac:dyDescent="0.3">
      <c r="A442" s="8">
        <v>435</v>
      </c>
      <c r="B442" s="9" t="s">
        <v>7395</v>
      </c>
      <c r="C442" s="10" t="str">
        <f>VLOOKUP(B442,'Data Angt'!$A$5:$B$5809,2,FALSE)</f>
        <v>A3306</v>
      </c>
      <c r="D442" s="12" t="s">
        <v>15945</v>
      </c>
      <c r="E442" s="13">
        <v>45365</v>
      </c>
      <c r="F442" s="14">
        <v>45911</v>
      </c>
      <c r="G442" s="15">
        <v>40000000</v>
      </c>
      <c r="H442" s="16">
        <v>36</v>
      </c>
      <c r="I442" s="17">
        <v>21</v>
      </c>
      <c r="J442" s="15">
        <v>30319500</v>
      </c>
      <c r="K442" s="98">
        <f t="shared" si="18"/>
        <v>0</v>
      </c>
      <c r="L442" s="98" t="str">
        <f t="shared" si="19"/>
        <v>Lancar</v>
      </c>
      <c r="M442" s="5" t="str">
        <f t="shared" si="20"/>
        <v>001</v>
      </c>
      <c r="N442" s="55" t="str">
        <f>VLOOKUP(D442,Pinjaman!$E$7:$N$1900,10,FALSE)</f>
        <v>PRODUKTIF</v>
      </c>
      <c r="O442" s="55">
        <f>VLOOKUP(B442,'Data Angt'!$A$5:$H$5810,6,FALSE)</f>
        <v>35</v>
      </c>
      <c r="P442" s="55" t="str">
        <f>VLOOKUP(B442,'Data Angt'!$A$5:$H$5810,8,FALSE)</f>
        <v>Mengurus Rumah Tangga</v>
      </c>
    </row>
    <row r="443" spans="1:16" x14ac:dyDescent="0.3">
      <c r="A443" s="8">
        <v>436</v>
      </c>
      <c r="B443" s="9" t="s">
        <v>7410</v>
      </c>
      <c r="C443" s="10" t="str">
        <f>VLOOKUP(B443,'Data Angt'!$A$5:$B$5809,2,FALSE)</f>
        <v>A3314</v>
      </c>
      <c r="D443" s="12" t="s">
        <v>22590</v>
      </c>
      <c r="E443" s="13">
        <v>45894</v>
      </c>
      <c r="F443" s="14">
        <v>45924</v>
      </c>
      <c r="G443" s="15">
        <v>40000000</v>
      </c>
      <c r="H443" s="16">
        <v>12</v>
      </c>
      <c r="I443" s="17">
        <v>21</v>
      </c>
      <c r="J443" s="15">
        <v>36975400</v>
      </c>
      <c r="K443" s="98">
        <f t="shared" si="18"/>
        <v>0</v>
      </c>
      <c r="L443" s="98" t="str">
        <f t="shared" si="19"/>
        <v>Lancar</v>
      </c>
      <c r="M443" s="5" t="str">
        <f t="shared" si="20"/>
        <v>001</v>
      </c>
      <c r="N443" s="55" t="str">
        <f>VLOOKUP(D443,Pinjaman!$E$7:$N$1900,10,FALSE)</f>
        <v>PRODUKTIF</v>
      </c>
      <c r="O443" s="55">
        <f>VLOOKUP(B443,'Data Angt'!$A$5:$H$5810,6,FALSE)</f>
        <v>43</v>
      </c>
      <c r="P443" s="55" t="str">
        <f>VLOOKUP(B443,'Data Angt'!$A$5:$H$5810,8,FALSE)</f>
        <v>Wiraswasta</v>
      </c>
    </row>
    <row r="444" spans="1:16" x14ac:dyDescent="0.3">
      <c r="A444" s="8">
        <v>437</v>
      </c>
      <c r="B444" s="9" t="s">
        <v>7439</v>
      </c>
      <c r="C444" s="10" t="str">
        <f>VLOOKUP(B444,'Data Angt'!$A$5:$B$5809,2,FALSE)</f>
        <v>A3327</v>
      </c>
      <c r="D444" s="12" t="s">
        <v>15948</v>
      </c>
      <c r="E444" s="13">
        <v>45427</v>
      </c>
      <c r="F444" s="14">
        <v>45908</v>
      </c>
      <c r="G444" s="15">
        <v>1800000000</v>
      </c>
      <c r="H444" s="16">
        <v>24</v>
      </c>
      <c r="I444" s="17">
        <v>10</v>
      </c>
      <c r="J444" s="15">
        <v>1800000000</v>
      </c>
      <c r="K444" s="98">
        <f t="shared" si="18"/>
        <v>0</v>
      </c>
      <c r="L444" s="98" t="str">
        <f t="shared" si="19"/>
        <v>Lancar</v>
      </c>
      <c r="M444" s="5" t="str">
        <f t="shared" si="20"/>
        <v>001</v>
      </c>
      <c r="N444" s="55" t="str">
        <f>VLOOKUP(D444,Pinjaman!$E$7:$N$1900,10,FALSE)</f>
        <v>PRODUKTIF</v>
      </c>
      <c r="O444" s="55">
        <f>VLOOKUP(B444,'Data Angt'!$A$5:$H$5810,6,FALSE)</f>
        <v>56</v>
      </c>
      <c r="P444" s="55" t="str">
        <f>VLOOKUP(B444,'Data Angt'!$A$5:$H$5810,8,FALSE)</f>
        <v>Wiraswasta</v>
      </c>
    </row>
    <row r="445" spans="1:16" x14ac:dyDescent="0.3">
      <c r="A445" s="8">
        <v>438</v>
      </c>
      <c r="B445" s="9" t="s">
        <v>7445</v>
      </c>
      <c r="C445" s="10" t="str">
        <f>VLOOKUP(B445,'Data Angt'!$A$5:$B$5809,2,FALSE)</f>
        <v>A3330</v>
      </c>
      <c r="D445" s="12" t="s">
        <v>10160</v>
      </c>
      <c r="E445" s="13">
        <v>44077</v>
      </c>
      <c r="F445" s="14">
        <v>45888</v>
      </c>
      <c r="G445" s="15">
        <v>100000000</v>
      </c>
      <c r="H445" s="16">
        <v>36</v>
      </c>
      <c r="I445" s="17">
        <v>21</v>
      </c>
      <c r="J445" s="15">
        <v>27255700</v>
      </c>
      <c r="K445" s="98">
        <f t="shared" si="18"/>
        <v>1</v>
      </c>
      <c r="L445" s="98" t="str">
        <f t="shared" si="19"/>
        <v>Lancar</v>
      </c>
      <c r="M445" s="5" t="str">
        <f t="shared" si="20"/>
        <v>001</v>
      </c>
      <c r="N445" s="55" t="str">
        <f>VLOOKUP(D445,Pinjaman!$E$7:$N$1900,10,FALSE)</f>
        <v>PRODUKTIF</v>
      </c>
      <c r="O445" s="55">
        <f>VLOOKUP(B445,'Data Angt'!$A$5:$H$5810,6,FALSE)</f>
        <v>44</v>
      </c>
      <c r="P445" s="55" t="str">
        <f>VLOOKUP(B445,'Data Angt'!$A$5:$H$5810,8,FALSE)</f>
        <v>Lain-Lain</v>
      </c>
    </row>
    <row r="446" spans="1:16" x14ac:dyDescent="0.3">
      <c r="A446" s="8">
        <v>439</v>
      </c>
      <c r="B446" s="9" t="s">
        <v>7517</v>
      </c>
      <c r="C446" s="10" t="str">
        <f>VLOOKUP(B446,'Data Angt'!$A$5:$B$5809,2,FALSE)</f>
        <v>A3365</v>
      </c>
      <c r="D446" s="12" t="s">
        <v>22594</v>
      </c>
      <c r="E446" s="13">
        <v>45904</v>
      </c>
      <c r="F446" s="14">
        <v>45904</v>
      </c>
      <c r="G446" s="15">
        <v>20000000</v>
      </c>
      <c r="H446" s="16">
        <v>24</v>
      </c>
      <c r="I446" s="17">
        <v>24</v>
      </c>
      <c r="J446" s="15">
        <v>20000000</v>
      </c>
      <c r="K446" s="98">
        <f t="shared" si="18"/>
        <v>0</v>
      </c>
      <c r="L446" s="98" t="str">
        <f t="shared" si="19"/>
        <v>Lancar</v>
      </c>
      <c r="M446" s="5" t="str">
        <f t="shared" si="20"/>
        <v>001</v>
      </c>
      <c r="N446" s="55" t="str">
        <f>VLOOKUP(D446,Pinjaman!$E$7:$N$1900,10,FALSE)</f>
        <v>PRODUKTIF</v>
      </c>
      <c r="O446" s="55">
        <f>VLOOKUP(B446,'Data Angt'!$A$5:$H$5810,6,FALSE)</f>
        <v>36</v>
      </c>
      <c r="P446" s="55">
        <f>VLOOKUP(B446,'Data Angt'!$A$5:$H$5810,8,FALSE)</f>
        <v>0</v>
      </c>
    </row>
    <row r="447" spans="1:16" x14ac:dyDescent="0.3">
      <c r="A447" s="8">
        <v>440</v>
      </c>
      <c r="B447" s="9" t="s">
        <v>7525</v>
      </c>
      <c r="C447" s="10" t="str">
        <f>VLOOKUP(B447,'Data Angt'!$A$5:$B$5809,2,FALSE)</f>
        <v>A3369</v>
      </c>
      <c r="D447" s="12" t="s">
        <v>15951</v>
      </c>
      <c r="E447" s="13">
        <v>45534</v>
      </c>
      <c r="F447" s="14">
        <v>45902</v>
      </c>
      <c r="G447" s="15">
        <v>49000000</v>
      </c>
      <c r="H447" s="16">
        <v>18</v>
      </c>
      <c r="I447" s="17">
        <v>21</v>
      </c>
      <c r="J447" s="15">
        <v>15178000</v>
      </c>
      <c r="K447" s="98">
        <f t="shared" si="18"/>
        <v>0</v>
      </c>
      <c r="L447" s="98" t="str">
        <f t="shared" si="19"/>
        <v>Lancar</v>
      </c>
      <c r="M447" s="5" t="str">
        <f t="shared" si="20"/>
        <v>001</v>
      </c>
      <c r="N447" s="55" t="str">
        <f>VLOOKUP(D447,Pinjaman!$E$7:$N$1900,10,FALSE)</f>
        <v>PRODUKTIF</v>
      </c>
      <c r="O447" s="55">
        <f>VLOOKUP(B447,'Data Angt'!$A$5:$H$5810,6,FALSE)</f>
        <v>38</v>
      </c>
      <c r="P447" s="55" t="str">
        <f>VLOOKUP(B447,'Data Angt'!$A$5:$H$5810,8,FALSE)</f>
        <v>Karyawan</v>
      </c>
    </row>
    <row r="448" spans="1:16" x14ac:dyDescent="0.3">
      <c r="A448" s="8">
        <v>441</v>
      </c>
      <c r="B448" s="9" t="s">
        <v>7549</v>
      </c>
      <c r="C448" s="10" t="str">
        <f>VLOOKUP(B448,'Data Angt'!$A$5:$B$5809,2,FALSE)</f>
        <v>A3381</v>
      </c>
      <c r="D448" s="12" t="s">
        <v>15953</v>
      </c>
      <c r="E448" s="13">
        <v>45696</v>
      </c>
      <c r="F448" s="14">
        <v>45908</v>
      </c>
      <c r="G448" s="15">
        <v>3000000</v>
      </c>
      <c r="H448" s="16">
        <v>12</v>
      </c>
      <c r="I448" s="17">
        <v>24</v>
      </c>
      <c r="J448" s="15">
        <v>1337300</v>
      </c>
      <c r="K448" s="98">
        <f t="shared" si="18"/>
        <v>0</v>
      </c>
      <c r="L448" s="98" t="str">
        <f t="shared" si="19"/>
        <v>Lancar</v>
      </c>
      <c r="M448" s="5" t="str">
        <f t="shared" si="20"/>
        <v>001</v>
      </c>
      <c r="N448" s="55" t="str">
        <f>VLOOKUP(D448,Pinjaman!$E$7:$N$1900,10,FALSE)</f>
        <v>PRODUKTIF</v>
      </c>
      <c r="O448" s="55">
        <f>VLOOKUP(B448,'Data Angt'!$A$5:$H$5810,6,FALSE)</f>
        <v>44</v>
      </c>
      <c r="P448" s="55" t="str">
        <f>VLOOKUP(B448,'Data Angt'!$A$5:$H$5810,8,FALSE)</f>
        <v>Mengurus Rumah Tangga</v>
      </c>
    </row>
    <row r="449" spans="1:16" x14ac:dyDescent="0.3">
      <c r="A449" s="8">
        <v>442</v>
      </c>
      <c r="B449" s="9" t="s">
        <v>7560</v>
      </c>
      <c r="C449" s="10" t="str">
        <f>VLOOKUP(B449,'Data Angt'!$A$5:$B$5809,2,FALSE)</f>
        <v>A3387</v>
      </c>
      <c r="D449" s="12" t="s">
        <v>15956</v>
      </c>
      <c r="E449" s="13">
        <v>45812</v>
      </c>
      <c r="F449" s="14">
        <v>45903</v>
      </c>
      <c r="G449" s="15">
        <v>3200000</v>
      </c>
      <c r="H449" s="16">
        <v>12</v>
      </c>
      <c r="I449" s="17">
        <v>12</v>
      </c>
      <c r="J449" s="15">
        <v>2435300</v>
      </c>
      <c r="K449" s="98">
        <f t="shared" si="18"/>
        <v>0</v>
      </c>
      <c r="L449" s="98" t="str">
        <f t="shared" si="19"/>
        <v>Lancar</v>
      </c>
      <c r="M449" s="5" t="str">
        <f t="shared" si="20"/>
        <v>001</v>
      </c>
      <c r="N449" s="55" t="str">
        <f>VLOOKUP(D449,Pinjaman!$E$7:$N$1900,10,FALSE)</f>
        <v>KONSUMTIF</v>
      </c>
      <c r="O449" s="55">
        <f>VLOOKUP(B449,'Data Angt'!$A$5:$H$5810,6,FALSE)</f>
        <v>48</v>
      </c>
      <c r="P449" s="55" t="str">
        <f>VLOOKUP(B449,'Data Angt'!$A$5:$H$5810,8,FALSE)</f>
        <v>Karyawan</v>
      </c>
    </row>
    <row r="450" spans="1:16" x14ac:dyDescent="0.3">
      <c r="A450" s="8">
        <v>443</v>
      </c>
      <c r="B450" s="9" t="s">
        <v>7572</v>
      </c>
      <c r="C450" s="10" t="str">
        <f>VLOOKUP(B450,'Data Angt'!$A$5:$B$5809,2,FALSE)</f>
        <v>A3392</v>
      </c>
      <c r="D450" s="12" t="s">
        <v>15958</v>
      </c>
      <c r="E450" s="13">
        <v>45666</v>
      </c>
      <c r="F450" s="14">
        <v>45910</v>
      </c>
      <c r="G450" s="15">
        <v>5000000</v>
      </c>
      <c r="H450" s="16">
        <v>12</v>
      </c>
      <c r="I450" s="17">
        <v>24</v>
      </c>
      <c r="J450" s="15">
        <v>1800600</v>
      </c>
      <c r="K450" s="98">
        <f t="shared" si="18"/>
        <v>0</v>
      </c>
      <c r="L450" s="98" t="str">
        <f t="shared" si="19"/>
        <v>Lancar</v>
      </c>
      <c r="M450" s="5" t="str">
        <f t="shared" si="20"/>
        <v>001</v>
      </c>
      <c r="N450" s="55" t="str">
        <f>VLOOKUP(D450,Pinjaman!$E$7:$N$1900,10,FALSE)</f>
        <v>PENDIDIKAN</v>
      </c>
      <c r="O450" s="55">
        <f>VLOOKUP(B450,'Data Angt'!$A$5:$H$5810,6,FALSE)</f>
        <v>44</v>
      </c>
      <c r="P450" s="55" t="str">
        <f>VLOOKUP(B450,'Data Angt'!$A$5:$H$5810,8,FALSE)</f>
        <v>Mengurus Rumah Tangga</v>
      </c>
    </row>
    <row r="451" spans="1:16" x14ac:dyDescent="0.3">
      <c r="A451" s="8">
        <v>444</v>
      </c>
      <c r="B451" s="9" t="s">
        <v>7572</v>
      </c>
      <c r="C451" s="10" t="str">
        <f>VLOOKUP(B451,'Data Angt'!$A$5:$B$5809,2,FALSE)</f>
        <v>A3392</v>
      </c>
      <c r="D451" s="12" t="s">
        <v>15961</v>
      </c>
      <c r="E451" s="13">
        <v>45836</v>
      </c>
      <c r="F451" s="14">
        <v>45926</v>
      </c>
      <c r="G451" s="15">
        <v>10000000</v>
      </c>
      <c r="H451" s="16">
        <v>12</v>
      </c>
      <c r="I451" s="17">
        <v>24</v>
      </c>
      <c r="J451" s="15">
        <v>7718200</v>
      </c>
      <c r="K451" s="98">
        <f t="shared" si="18"/>
        <v>0</v>
      </c>
      <c r="L451" s="98" t="str">
        <f t="shared" si="19"/>
        <v>Lancar</v>
      </c>
      <c r="M451" s="5" t="str">
        <f t="shared" si="20"/>
        <v>001</v>
      </c>
      <c r="N451" s="55" t="str">
        <f>VLOOKUP(D451,Pinjaman!$E$7:$N$1900,10,FALSE)</f>
        <v>PENDIDIKAN</v>
      </c>
      <c r="O451" s="55">
        <f>VLOOKUP(B451,'Data Angt'!$A$5:$H$5810,6,FALSE)</f>
        <v>44</v>
      </c>
      <c r="P451" s="55" t="str">
        <f>VLOOKUP(B451,'Data Angt'!$A$5:$H$5810,8,FALSE)</f>
        <v>Mengurus Rumah Tangga</v>
      </c>
    </row>
    <row r="452" spans="1:16" x14ac:dyDescent="0.3">
      <c r="A452" s="8">
        <v>445</v>
      </c>
      <c r="B452" s="9" t="s">
        <v>7579</v>
      </c>
      <c r="C452" s="10" t="str">
        <f>VLOOKUP(B452,'Data Angt'!$A$5:$B$5809,2,FALSE)</f>
        <v>A3395</v>
      </c>
      <c r="D452" s="12" t="s">
        <v>15963</v>
      </c>
      <c r="E452" s="13">
        <v>45644</v>
      </c>
      <c r="F452" s="14">
        <v>45909</v>
      </c>
      <c r="G452" s="15">
        <v>45000000</v>
      </c>
      <c r="H452" s="16">
        <v>36</v>
      </c>
      <c r="I452" s="17">
        <v>11.4</v>
      </c>
      <c r="J452" s="15">
        <v>35142900</v>
      </c>
      <c r="K452" s="98">
        <f t="shared" si="18"/>
        <v>0</v>
      </c>
      <c r="L452" s="98" t="str">
        <f t="shared" si="19"/>
        <v>Lancar</v>
      </c>
      <c r="M452" s="5" t="str">
        <f t="shared" si="20"/>
        <v>001</v>
      </c>
      <c r="N452" s="55" t="str">
        <f>VLOOKUP(D452,Pinjaman!$E$7:$N$1900,10,FALSE)</f>
        <v>KESEJAHTERAAN</v>
      </c>
      <c r="O452" s="55">
        <f>VLOOKUP(B452,'Data Angt'!$A$5:$H$5810,6,FALSE)</f>
        <v>34</v>
      </c>
      <c r="P452" s="55" t="str">
        <f>VLOOKUP(B452,'Data Angt'!$A$5:$H$5810,8,FALSE)</f>
        <v>Karyawan</v>
      </c>
    </row>
    <row r="453" spans="1:16" x14ac:dyDescent="0.3">
      <c r="A453" s="8">
        <v>446</v>
      </c>
      <c r="B453" s="9" t="s">
        <v>7590</v>
      </c>
      <c r="C453" s="10" t="str">
        <f>VLOOKUP(B453,'Data Angt'!$A$5:$B$5809,2,FALSE)</f>
        <v>A3399</v>
      </c>
      <c r="D453" s="12" t="s">
        <v>15966</v>
      </c>
      <c r="E453" s="13">
        <v>45647</v>
      </c>
      <c r="F453" s="14">
        <v>45925</v>
      </c>
      <c r="G453" s="15">
        <v>22000000</v>
      </c>
      <c r="H453" s="16">
        <v>36</v>
      </c>
      <c r="I453" s="17">
        <v>24</v>
      </c>
      <c r="J453" s="15">
        <v>17872300</v>
      </c>
      <c r="K453" s="98">
        <f t="shared" si="18"/>
        <v>0</v>
      </c>
      <c r="L453" s="98" t="str">
        <f t="shared" si="19"/>
        <v>Lancar</v>
      </c>
      <c r="M453" s="5" t="str">
        <f t="shared" si="20"/>
        <v>001</v>
      </c>
      <c r="N453" s="55" t="str">
        <f>VLOOKUP(D453,Pinjaman!$E$7:$N$1900,10,FALSE)</f>
        <v>KESEJAHTERAAN</v>
      </c>
      <c r="O453" s="55">
        <f>VLOOKUP(B453,'Data Angt'!$A$5:$H$5810,6,FALSE)</f>
        <v>41</v>
      </c>
      <c r="P453" s="55" t="str">
        <f>VLOOKUP(B453,'Data Angt'!$A$5:$H$5810,8,FALSE)</f>
        <v>Lain-Lain</v>
      </c>
    </row>
    <row r="454" spans="1:16" x14ac:dyDescent="0.3">
      <c r="A454" s="8">
        <v>447</v>
      </c>
      <c r="B454" s="9" t="s">
        <v>7600</v>
      </c>
      <c r="C454" s="10" t="str">
        <f>VLOOKUP(B454,'Data Angt'!$A$5:$B$5809,2,FALSE)</f>
        <v>A3404</v>
      </c>
      <c r="D454" s="12" t="s">
        <v>15968</v>
      </c>
      <c r="E454" s="13">
        <v>45390</v>
      </c>
      <c r="F454" s="14">
        <v>45911</v>
      </c>
      <c r="G454" s="15">
        <v>10000000</v>
      </c>
      <c r="H454" s="16">
        <v>18</v>
      </c>
      <c r="I454" s="17">
        <v>24</v>
      </c>
      <c r="J454" s="15">
        <v>653200</v>
      </c>
      <c r="K454" s="98">
        <f t="shared" si="18"/>
        <v>0</v>
      </c>
      <c r="L454" s="98" t="str">
        <f t="shared" si="19"/>
        <v>Lancar</v>
      </c>
      <c r="M454" s="5" t="str">
        <f t="shared" si="20"/>
        <v>001</v>
      </c>
      <c r="N454" s="55" t="str">
        <f>VLOOKUP(D454,Pinjaman!$E$7:$N$1900,10,FALSE)</f>
        <v>KONSUMTIF</v>
      </c>
      <c r="O454" s="55">
        <f>VLOOKUP(B454,'Data Angt'!$A$5:$H$5810,6,FALSE)</f>
        <v>67</v>
      </c>
      <c r="P454" s="55" t="str">
        <f>VLOOKUP(B454,'Data Angt'!$A$5:$H$5810,8,FALSE)</f>
        <v>Pensiunan</v>
      </c>
    </row>
    <row r="455" spans="1:16" x14ac:dyDescent="0.3">
      <c r="A455" s="8">
        <v>448</v>
      </c>
      <c r="B455" s="9" t="s">
        <v>7620</v>
      </c>
      <c r="C455" s="10" t="str">
        <f>VLOOKUP(B455,'Data Angt'!$A$5:$B$5809,2,FALSE)</f>
        <v>A3413</v>
      </c>
      <c r="D455" s="12" t="s">
        <v>15971</v>
      </c>
      <c r="E455" s="13">
        <v>45534</v>
      </c>
      <c r="F455" s="14">
        <v>45920</v>
      </c>
      <c r="G455" s="15">
        <v>30000000</v>
      </c>
      <c r="H455" s="16">
        <v>48</v>
      </c>
      <c r="I455" s="17">
        <v>21</v>
      </c>
      <c r="J455" s="15">
        <v>24160200</v>
      </c>
      <c r="K455" s="98">
        <f t="shared" si="18"/>
        <v>0</v>
      </c>
      <c r="L455" s="98" t="str">
        <f t="shared" si="19"/>
        <v>Lancar</v>
      </c>
      <c r="M455" s="5" t="str">
        <f t="shared" si="20"/>
        <v>001</v>
      </c>
      <c r="N455" s="55" t="str">
        <f>VLOOKUP(D455,Pinjaman!$E$7:$N$1900,10,FALSE)</f>
        <v>PRODUKTIF</v>
      </c>
      <c r="O455" s="55">
        <f>VLOOKUP(B455,'Data Angt'!$A$5:$H$5810,6,FALSE)</f>
        <v>42</v>
      </c>
      <c r="P455" s="55" t="str">
        <f>VLOOKUP(B455,'Data Angt'!$A$5:$H$5810,8,FALSE)</f>
        <v>Karyawan</v>
      </c>
    </row>
    <row r="456" spans="1:16" x14ac:dyDescent="0.3">
      <c r="A456" s="8">
        <v>449</v>
      </c>
      <c r="B456" s="9" t="s">
        <v>7622</v>
      </c>
      <c r="C456" s="10" t="str">
        <f>VLOOKUP(B456,'Data Angt'!$A$5:$B$5809,2,FALSE)</f>
        <v>A3414</v>
      </c>
      <c r="D456" s="12" t="s">
        <v>15974</v>
      </c>
      <c r="E456" s="13">
        <v>45313</v>
      </c>
      <c r="F456" s="14">
        <v>45911</v>
      </c>
      <c r="G456" s="15">
        <v>10000000</v>
      </c>
      <c r="H456" s="16">
        <v>30</v>
      </c>
      <c r="I456" s="17">
        <v>24</v>
      </c>
      <c r="J456" s="15">
        <v>3332000</v>
      </c>
      <c r="K456" s="98">
        <f t="shared" si="18"/>
        <v>0</v>
      </c>
      <c r="L456" s="98" t="str">
        <f t="shared" si="19"/>
        <v>Lancar</v>
      </c>
      <c r="M456" s="5" t="str">
        <f t="shared" si="20"/>
        <v>001</v>
      </c>
      <c r="N456" s="55" t="str">
        <f>VLOOKUP(D456,Pinjaman!$E$7:$N$1900,10,FALSE)</f>
        <v>KESEJAHTERAAN</v>
      </c>
      <c r="O456" s="55">
        <f>VLOOKUP(B456,'Data Angt'!$A$5:$H$5810,6,FALSE)</f>
        <v>67</v>
      </c>
      <c r="P456" s="55" t="str">
        <f>VLOOKUP(B456,'Data Angt'!$A$5:$H$5810,8,FALSE)</f>
        <v>Pensiunan</v>
      </c>
    </row>
    <row r="457" spans="1:16" x14ac:dyDescent="0.3">
      <c r="A457" s="8">
        <v>450</v>
      </c>
      <c r="B457" s="9" t="s">
        <v>7632</v>
      </c>
      <c r="C457" s="10" t="str">
        <f>VLOOKUP(B457,'Data Angt'!$A$5:$B$5809,2,FALSE)</f>
        <v>A3418</v>
      </c>
      <c r="D457" s="12" t="s">
        <v>15977</v>
      </c>
      <c r="E457" s="13">
        <v>45727</v>
      </c>
      <c r="F457" s="14">
        <v>45911</v>
      </c>
      <c r="G457" s="15">
        <v>15000000</v>
      </c>
      <c r="H457" s="16">
        <v>30</v>
      </c>
      <c r="I457" s="17">
        <v>24</v>
      </c>
      <c r="J457" s="15">
        <v>12000000</v>
      </c>
      <c r="K457" s="98">
        <f t="shared" ref="K457:K520" si="21">DATEDIF(F457,$K$6,"m")</f>
        <v>0</v>
      </c>
      <c r="L457" s="98" t="str">
        <f t="shared" ref="L457:L520" si="22">IF(K457&lt;=3,"Lancar",IF(K457&lt;=6,"Kurang lancar",IF(K457&lt;=12,"Diragukan","Macet")))</f>
        <v>Lancar</v>
      </c>
      <c r="M457" s="5" t="str">
        <f t="shared" ref="M457:M520" si="23">MID(B457,7,3)</f>
        <v>001</v>
      </c>
      <c r="N457" s="55" t="str">
        <f>VLOOKUP(D457,Pinjaman!$E$7:$N$1900,10,FALSE)</f>
        <v>KESEJAHTERAAN</v>
      </c>
      <c r="O457" s="55">
        <f>VLOOKUP(B457,'Data Angt'!$A$5:$H$5810,6,FALSE)</f>
        <v>32</v>
      </c>
      <c r="P457" s="55" t="str">
        <f>VLOOKUP(B457,'Data Angt'!$A$5:$H$5810,8,FALSE)</f>
        <v>Tenaga Pengajar</v>
      </c>
    </row>
    <row r="458" spans="1:16" x14ac:dyDescent="0.3">
      <c r="A458" s="8">
        <v>451</v>
      </c>
      <c r="B458" s="9" t="s">
        <v>7656</v>
      </c>
      <c r="C458" s="10" t="str">
        <f>VLOOKUP(B458,'Data Angt'!$A$5:$B$5809,2,FALSE)</f>
        <v>A3430</v>
      </c>
      <c r="D458" s="12" t="s">
        <v>15979</v>
      </c>
      <c r="E458" s="13">
        <v>45707</v>
      </c>
      <c r="F458" s="14">
        <v>45924</v>
      </c>
      <c r="G458" s="15">
        <v>120000000</v>
      </c>
      <c r="H458" s="16">
        <v>48</v>
      </c>
      <c r="I458" s="17">
        <v>21</v>
      </c>
      <c r="J458" s="15">
        <v>108077500</v>
      </c>
      <c r="K458" s="98">
        <f t="shared" si="21"/>
        <v>0</v>
      </c>
      <c r="L458" s="98" t="str">
        <f t="shared" si="22"/>
        <v>Lancar</v>
      </c>
      <c r="M458" s="5" t="str">
        <f t="shared" si="23"/>
        <v>001</v>
      </c>
      <c r="N458" s="55" t="str">
        <f>VLOOKUP(D458,Pinjaman!$E$7:$N$1900,10,FALSE)</f>
        <v>KONSUMTIF</v>
      </c>
      <c r="O458" s="55">
        <f>VLOOKUP(B458,'Data Angt'!$A$5:$H$5810,6,FALSE)</f>
        <v>31</v>
      </c>
      <c r="P458" s="55" t="str">
        <f>VLOOKUP(B458,'Data Angt'!$A$5:$H$5810,8,FALSE)</f>
        <v>Karyawan</v>
      </c>
    </row>
    <row r="459" spans="1:16" x14ac:dyDescent="0.3">
      <c r="A459" s="8">
        <v>452</v>
      </c>
      <c r="B459" s="9" t="s">
        <v>7669</v>
      </c>
      <c r="C459" s="10" t="str">
        <f>VLOOKUP(B459,'Data Angt'!$A$5:$B$5809,2,FALSE)</f>
        <v>A3438</v>
      </c>
      <c r="D459" s="12" t="s">
        <v>10163</v>
      </c>
      <c r="E459" s="13">
        <v>44214</v>
      </c>
      <c r="F459" s="14">
        <v>45916</v>
      </c>
      <c r="G459" s="15">
        <v>170000000</v>
      </c>
      <c r="H459" s="16">
        <v>120</v>
      </c>
      <c r="I459" s="17">
        <v>11.4</v>
      </c>
      <c r="J459" s="15">
        <v>113754100</v>
      </c>
      <c r="K459" s="98">
        <f t="shared" si="21"/>
        <v>0</v>
      </c>
      <c r="L459" s="98" t="str">
        <f t="shared" si="22"/>
        <v>Lancar</v>
      </c>
      <c r="M459" s="5" t="str">
        <f t="shared" si="23"/>
        <v>001</v>
      </c>
      <c r="N459" s="55" t="str">
        <f>VLOOKUP(D459,Pinjaman!$E$7:$N$1900,10,FALSE)</f>
        <v>KESEJAHTERAAN</v>
      </c>
      <c r="O459" s="55">
        <f>VLOOKUP(B459,'Data Angt'!$A$5:$H$5810,6,FALSE)</f>
        <v>39</v>
      </c>
      <c r="P459" s="55" t="str">
        <f>VLOOKUP(B459,'Data Angt'!$A$5:$H$5810,8,FALSE)</f>
        <v>Aparatur/Pejabat Negara</v>
      </c>
    </row>
    <row r="460" spans="1:16" x14ac:dyDescent="0.3">
      <c r="A460" s="8">
        <v>453</v>
      </c>
      <c r="B460" s="9" t="s">
        <v>7684</v>
      </c>
      <c r="C460" s="10" t="str">
        <f>VLOOKUP(B460,'Data Angt'!$A$5:$B$5809,2,FALSE)</f>
        <v>A3446</v>
      </c>
      <c r="D460" s="12" t="s">
        <v>10165</v>
      </c>
      <c r="E460" s="13">
        <v>44875</v>
      </c>
      <c r="F460" s="14">
        <v>45910</v>
      </c>
      <c r="G460" s="15">
        <v>55000000</v>
      </c>
      <c r="H460" s="16">
        <v>48</v>
      </c>
      <c r="I460" s="17">
        <v>21</v>
      </c>
      <c r="J460" s="15">
        <v>41522400</v>
      </c>
      <c r="K460" s="98">
        <f t="shared" si="21"/>
        <v>0</v>
      </c>
      <c r="L460" s="98" t="str">
        <f t="shared" si="22"/>
        <v>Lancar</v>
      </c>
      <c r="M460" s="5" t="str">
        <f t="shared" si="23"/>
        <v>001</v>
      </c>
      <c r="N460" s="55" t="str">
        <f>VLOOKUP(D460,Pinjaman!$E$7:$N$1900,10,FALSE)</f>
        <v>KESEJAHTERAAN</v>
      </c>
      <c r="O460" s="55">
        <f>VLOOKUP(B460,'Data Angt'!$A$5:$H$5810,6,FALSE)</f>
        <v>47</v>
      </c>
      <c r="P460" s="55" t="str">
        <f>VLOOKUP(B460,'Data Angt'!$A$5:$H$5810,8,FALSE)</f>
        <v>Wiraswasta</v>
      </c>
    </row>
    <row r="461" spans="1:16" x14ac:dyDescent="0.3">
      <c r="A461" s="8">
        <v>454</v>
      </c>
      <c r="B461" s="9" t="s">
        <v>7719</v>
      </c>
      <c r="C461" s="10" t="str">
        <f>VLOOKUP(B461,'Data Angt'!$A$5:$B$5809,2,FALSE)</f>
        <v>A3464</v>
      </c>
      <c r="D461" s="12" t="s">
        <v>15981</v>
      </c>
      <c r="E461" s="13">
        <v>45327</v>
      </c>
      <c r="F461" s="14">
        <v>45926</v>
      </c>
      <c r="G461" s="15">
        <v>20000000</v>
      </c>
      <c r="H461" s="16">
        <v>36</v>
      </c>
      <c r="I461" s="17">
        <v>24</v>
      </c>
      <c r="J461" s="15">
        <v>11214300</v>
      </c>
      <c r="K461" s="98">
        <f t="shared" si="21"/>
        <v>0</v>
      </c>
      <c r="L461" s="98" t="str">
        <f t="shared" si="22"/>
        <v>Lancar</v>
      </c>
      <c r="M461" s="5" t="str">
        <f t="shared" si="23"/>
        <v>001</v>
      </c>
      <c r="N461" s="55" t="str">
        <f>VLOOKUP(D461,Pinjaman!$E$7:$N$1900,10,FALSE)</f>
        <v>PENDIDIKAN</v>
      </c>
      <c r="O461" s="55">
        <f>VLOOKUP(B461,'Data Angt'!$A$5:$H$5810,6,FALSE)</f>
        <v>41</v>
      </c>
      <c r="P461" s="55" t="str">
        <f>VLOOKUP(B461,'Data Angt'!$A$5:$H$5810,8,FALSE)</f>
        <v>Karyawan</v>
      </c>
    </row>
    <row r="462" spans="1:16" x14ac:dyDescent="0.3">
      <c r="A462" s="8">
        <v>455</v>
      </c>
      <c r="B462" s="9" t="s">
        <v>7723</v>
      </c>
      <c r="C462" s="10" t="str">
        <f>VLOOKUP(B462,'Data Angt'!$A$5:$B$5809,2,FALSE)</f>
        <v>A3466</v>
      </c>
      <c r="D462" s="12" t="s">
        <v>15983</v>
      </c>
      <c r="E462" s="13">
        <v>45692</v>
      </c>
      <c r="F462" s="14">
        <v>45902</v>
      </c>
      <c r="G462" s="15">
        <v>10000000</v>
      </c>
      <c r="H462" s="16">
        <v>12</v>
      </c>
      <c r="I462" s="17">
        <v>24</v>
      </c>
      <c r="J462" s="15">
        <v>4457200</v>
      </c>
      <c r="K462" s="98">
        <f t="shared" si="21"/>
        <v>0</v>
      </c>
      <c r="L462" s="98" t="str">
        <f t="shared" si="22"/>
        <v>Lancar</v>
      </c>
      <c r="M462" s="5" t="str">
        <f t="shared" si="23"/>
        <v>001</v>
      </c>
      <c r="N462" s="55" t="str">
        <f>VLOOKUP(D462,Pinjaman!$E$7:$N$1900,10,FALSE)</f>
        <v>PRODUKTIF</v>
      </c>
      <c r="O462" s="55">
        <f>VLOOKUP(B462,'Data Angt'!$A$5:$H$5810,6,FALSE)</f>
        <v>46</v>
      </c>
      <c r="P462" s="55" t="str">
        <f>VLOOKUP(B462,'Data Angt'!$A$5:$H$5810,8,FALSE)</f>
        <v>Mengurus Rumah Tangga</v>
      </c>
    </row>
    <row r="463" spans="1:16" x14ac:dyDescent="0.3">
      <c r="A463" s="8">
        <v>456</v>
      </c>
      <c r="B463" s="9" t="s">
        <v>7775</v>
      </c>
      <c r="C463" s="10" t="str">
        <f>VLOOKUP(B463,'Data Angt'!$A$5:$B$5809,2,FALSE)</f>
        <v>A3492</v>
      </c>
      <c r="D463" s="12" t="s">
        <v>15985</v>
      </c>
      <c r="E463" s="13">
        <v>45804</v>
      </c>
      <c r="F463" s="14">
        <v>45926</v>
      </c>
      <c r="G463" s="15">
        <v>3000000</v>
      </c>
      <c r="H463" s="16">
        <v>12</v>
      </c>
      <c r="I463" s="17">
        <v>24</v>
      </c>
      <c r="J463" s="15">
        <v>2078200</v>
      </c>
      <c r="K463" s="98">
        <f t="shared" si="21"/>
        <v>0</v>
      </c>
      <c r="L463" s="98" t="str">
        <f t="shared" si="22"/>
        <v>Lancar</v>
      </c>
      <c r="M463" s="5" t="str">
        <f t="shared" si="23"/>
        <v>001</v>
      </c>
      <c r="N463" s="55" t="str">
        <f>VLOOKUP(D463,Pinjaman!$E$7:$N$1900,10,FALSE)</f>
        <v>KONSUMTIF</v>
      </c>
      <c r="O463" s="55">
        <f>VLOOKUP(B463,'Data Angt'!$A$5:$H$5810,6,FALSE)</f>
        <v>27</v>
      </c>
      <c r="P463" s="55" t="str">
        <f>VLOOKUP(B463,'Data Angt'!$A$5:$H$5810,8,FALSE)</f>
        <v>Karyawan</v>
      </c>
    </row>
    <row r="464" spans="1:16" x14ac:dyDescent="0.3">
      <c r="A464" s="8">
        <v>457</v>
      </c>
      <c r="B464" s="9" t="s">
        <v>7779</v>
      </c>
      <c r="C464" s="10" t="str">
        <f>VLOOKUP(B464,'Data Angt'!$A$5:$B$5809,2,FALSE)</f>
        <v>A3493</v>
      </c>
      <c r="D464" s="12" t="s">
        <v>22608</v>
      </c>
      <c r="E464" s="13">
        <v>45888</v>
      </c>
      <c r="F464" s="14">
        <v>45915</v>
      </c>
      <c r="G464" s="15">
        <v>250000000</v>
      </c>
      <c r="H464" s="16">
        <v>120</v>
      </c>
      <c r="I464" s="17">
        <v>11.4</v>
      </c>
      <c r="J464" s="15">
        <v>248874400</v>
      </c>
      <c r="K464" s="98">
        <f t="shared" si="21"/>
        <v>0</v>
      </c>
      <c r="L464" s="98" t="str">
        <f t="shared" si="22"/>
        <v>Lancar</v>
      </c>
      <c r="M464" s="5" t="str">
        <f t="shared" si="23"/>
        <v>001</v>
      </c>
      <c r="N464" s="55" t="str">
        <f>VLOOKUP(D464,Pinjaman!$E$7:$N$1900,10,FALSE)</f>
        <v>KESEJAHTERAAN</v>
      </c>
      <c r="O464" s="55">
        <f>VLOOKUP(B464,'Data Angt'!$A$5:$H$5810,6,FALSE)</f>
        <v>35</v>
      </c>
      <c r="P464" s="55" t="str">
        <f>VLOOKUP(B464,'Data Angt'!$A$5:$H$5810,8,FALSE)</f>
        <v>Mengurus Rumah Tangga</v>
      </c>
    </row>
    <row r="465" spans="1:16" x14ac:dyDescent="0.3">
      <c r="A465" s="8">
        <v>458</v>
      </c>
      <c r="B465" s="9" t="s">
        <v>7795</v>
      </c>
      <c r="C465" s="10" t="str">
        <f>VLOOKUP(B465,'Data Angt'!$A$5:$B$5809,2,FALSE)</f>
        <v>A3504</v>
      </c>
      <c r="D465" s="12" t="s">
        <v>15987</v>
      </c>
      <c r="E465" s="13">
        <v>45385</v>
      </c>
      <c r="F465" s="14">
        <v>45906</v>
      </c>
      <c r="G465" s="15">
        <v>30000000</v>
      </c>
      <c r="H465" s="16">
        <v>36</v>
      </c>
      <c r="I465" s="17">
        <v>21</v>
      </c>
      <c r="J465" s="15">
        <v>18136300</v>
      </c>
      <c r="K465" s="98">
        <f t="shared" si="21"/>
        <v>0</v>
      </c>
      <c r="L465" s="98" t="str">
        <f t="shared" si="22"/>
        <v>Lancar</v>
      </c>
      <c r="M465" s="5" t="str">
        <f t="shared" si="23"/>
        <v>001</v>
      </c>
      <c r="N465" s="55" t="str">
        <f>VLOOKUP(D465,Pinjaman!$E$7:$N$1900,10,FALSE)</f>
        <v>KESEJAHTERAAN</v>
      </c>
      <c r="O465" s="55">
        <f>VLOOKUP(B465,'Data Angt'!$A$5:$H$5810,6,FALSE)</f>
        <v>46</v>
      </c>
      <c r="P465" s="55" t="str">
        <f>VLOOKUP(B465,'Data Angt'!$A$5:$H$5810,8,FALSE)</f>
        <v>Mengurus Rumah Tangga</v>
      </c>
    </row>
    <row r="466" spans="1:16" x14ac:dyDescent="0.3">
      <c r="A466" s="8">
        <v>459</v>
      </c>
      <c r="B466" s="9" t="s">
        <v>7795</v>
      </c>
      <c r="C466" s="10" t="str">
        <f>VLOOKUP(B466,'Data Angt'!$A$5:$B$5809,2,FALSE)</f>
        <v>A3504</v>
      </c>
      <c r="D466" s="12" t="s">
        <v>22612</v>
      </c>
      <c r="E466" s="13">
        <v>45846</v>
      </c>
      <c r="F466" s="14">
        <v>45909</v>
      </c>
      <c r="G466" s="15">
        <v>2600000</v>
      </c>
      <c r="H466" s="16">
        <v>12</v>
      </c>
      <c r="I466" s="17">
        <v>12</v>
      </c>
      <c r="J466" s="15">
        <v>2187800</v>
      </c>
      <c r="K466" s="98">
        <f t="shared" si="21"/>
        <v>0</v>
      </c>
      <c r="L466" s="98" t="str">
        <f t="shared" si="22"/>
        <v>Lancar</v>
      </c>
      <c r="M466" s="5" t="str">
        <f t="shared" si="23"/>
        <v>001</v>
      </c>
      <c r="N466" s="55" t="str">
        <f>VLOOKUP(D466,Pinjaman!$E$7:$N$1900,10,FALSE)</f>
        <v>KONSUMTIF</v>
      </c>
      <c r="O466" s="55">
        <f>VLOOKUP(B466,'Data Angt'!$A$5:$H$5810,6,FALSE)</f>
        <v>46</v>
      </c>
      <c r="P466" s="55" t="str">
        <f>VLOOKUP(B466,'Data Angt'!$A$5:$H$5810,8,FALSE)</f>
        <v>Mengurus Rumah Tangga</v>
      </c>
    </row>
    <row r="467" spans="1:16" x14ac:dyDescent="0.3">
      <c r="A467" s="8">
        <v>460</v>
      </c>
      <c r="B467" s="9" t="s">
        <v>7797</v>
      </c>
      <c r="C467" s="10" t="str">
        <f>VLOOKUP(B467,'Data Angt'!$A$5:$B$5809,2,FALSE)</f>
        <v>A3505</v>
      </c>
      <c r="D467" s="12" t="s">
        <v>15990</v>
      </c>
      <c r="E467" s="13">
        <v>45450</v>
      </c>
      <c r="F467" s="14">
        <v>45908</v>
      </c>
      <c r="G467" s="15">
        <v>100000000</v>
      </c>
      <c r="H467" s="16">
        <v>48</v>
      </c>
      <c r="I467" s="17">
        <v>21</v>
      </c>
      <c r="J467" s="15">
        <v>77129600</v>
      </c>
      <c r="K467" s="98">
        <f t="shared" si="21"/>
        <v>0</v>
      </c>
      <c r="L467" s="98" t="str">
        <f t="shared" si="22"/>
        <v>Lancar</v>
      </c>
      <c r="M467" s="5" t="str">
        <f t="shared" si="23"/>
        <v>001</v>
      </c>
      <c r="N467" s="55" t="str">
        <f>VLOOKUP(D467,Pinjaman!$E$7:$N$1900,10,FALSE)</f>
        <v>PENDIDIKAN</v>
      </c>
      <c r="O467" s="55">
        <f>VLOOKUP(B467,'Data Angt'!$A$5:$H$5810,6,FALSE)</f>
        <v>32</v>
      </c>
      <c r="P467" s="55" t="str">
        <f>VLOOKUP(B467,'Data Angt'!$A$5:$H$5810,8,FALSE)</f>
        <v>Karyawan</v>
      </c>
    </row>
    <row r="468" spans="1:16" x14ac:dyDescent="0.3">
      <c r="A468" s="8">
        <v>461</v>
      </c>
      <c r="B468" s="9" t="s">
        <v>7814</v>
      </c>
      <c r="C468" s="10" t="str">
        <f>VLOOKUP(B468,'Data Angt'!$A$5:$B$5809,2,FALSE)</f>
        <v>A3512</v>
      </c>
      <c r="D468" s="12" t="s">
        <v>10167</v>
      </c>
      <c r="E468" s="13">
        <v>43844</v>
      </c>
      <c r="F468" s="14">
        <v>45894</v>
      </c>
      <c r="G468" s="15">
        <v>15000000</v>
      </c>
      <c r="H468" s="16">
        <v>12</v>
      </c>
      <c r="I468" s="17">
        <v>24</v>
      </c>
      <c r="J468" s="15">
        <v>12150400</v>
      </c>
      <c r="K468" s="98">
        <f t="shared" si="21"/>
        <v>1</v>
      </c>
      <c r="L468" s="98" t="str">
        <f t="shared" si="22"/>
        <v>Lancar</v>
      </c>
      <c r="M468" s="5" t="str">
        <f t="shared" si="23"/>
        <v>001</v>
      </c>
      <c r="N468" s="55" t="str">
        <f>VLOOKUP(D468,Pinjaman!$E$7:$N$1900,10,FALSE)</f>
        <v>PRODUKTIF</v>
      </c>
      <c r="O468" s="55">
        <f>VLOOKUP(B468,'Data Angt'!$A$5:$H$5810,6,FALSE)</f>
        <v>40</v>
      </c>
      <c r="P468" s="55" t="str">
        <f>VLOOKUP(B468,'Data Angt'!$A$5:$H$5810,8,FALSE)</f>
        <v>Mengurus Rumah Tangga</v>
      </c>
    </row>
    <row r="469" spans="1:16" x14ac:dyDescent="0.3">
      <c r="A469" s="8">
        <v>462</v>
      </c>
      <c r="B469" s="9" t="s">
        <v>12517</v>
      </c>
      <c r="C469" s="10" t="str">
        <f>VLOOKUP(B469,'Data Angt'!$A$5:$B$5809,2,FALSE)</f>
        <v>A3515</v>
      </c>
      <c r="D469" s="12" t="s">
        <v>15993</v>
      </c>
      <c r="E469" s="13">
        <v>45612</v>
      </c>
      <c r="F469" s="14">
        <v>45925</v>
      </c>
      <c r="G469" s="15">
        <v>60000000</v>
      </c>
      <c r="H469" s="16">
        <v>60</v>
      </c>
      <c r="I469" s="17">
        <v>18</v>
      </c>
      <c r="J469" s="15">
        <v>53325300</v>
      </c>
      <c r="K469" s="98">
        <f t="shared" si="21"/>
        <v>0</v>
      </c>
      <c r="L469" s="98" t="str">
        <f t="shared" si="22"/>
        <v>Lancar</v>
      </c>
      <c r="M469" s="5" t="str">
        <f t="shared" si="23"/>
        <v>001</v>
      </c>
      <c r="N469" s="55" t="str">
        <f>VLOOKUP(D469,Pinjaman!$E$7:$N$1900,10,FALSE)</f>
        <v>KESEJAHTERAAN</v>
      </c>
      <c r="O469" s="55">
        <f>VLOOKUP(B469,'Data Angt'!$A$5:$H$5810,6,FALSE)</f>
        <v>34</v>
      </c>
      <c r="P469" s="55" t="str">
        <f>VLOOKUP(B469,'Data Angt'!$A$5:$H$5810,8,FALSE)</f>
        <v>Karyawan</v>
      </c>
    </row>
    <row r="470" spans="1:16" x14ac:dyDescent="0.3">
      <c r="A470" s="8">
        <v>463</v>
      </c>
      <c r="B470" s="9" t="s">
        <v>7851</v>
      </c>
      <c r="C470" s="10" t="str">
        <f>VLOOKUP(B470,'Data Angt'!$A$5:$B$5809,2,FALSE)</f>
        <v>A3529</v>
      </c>
      <c r="D470" s="12" t="s">
        <v>15995</v>
      </c>
      <c r="E470" s="13">
        <v>45433</v>
      </c>
      <c r="F470" s="14">
        <v>45920</v>
      </c>
      <c r="G470" s="15">
        <v>4000000</v>
      </c>
      <c r="H470" s="16">
        <v>18</v>
      </c>
      <c r="I470" s="17">
        <v>24</v>
      </c>
      <c r="J470" s="15">
        <v>517200</v>
      </c>
      <c r="K470" s="98">
        <f t="shared" si="21"/>
        <v>0</v>
      </c>
      <c r="L470" s="98" t="str">
        <f t="shared" si="22"/>
        <v>Lancar</v>
      </c>
      <c r="M470" s="5" t="str">
        <f t="shared" si="23"/>
        <v>001</v>
      </c>
      <c r="N470" s="55" t="str">
        <f>VLOOKUP(D470,Pinjaman!$E$7:$N$1900,10,FALSE)</f>
        <v>PENDIDIKAN</v>
      </c>
      <c r="O470" s="55">
        <f>VLOOKUP(B470,'Data Angt'!$A$5:$H$5810,6,FALSE)</f>
        <v>46</v>
      </c>
      <c r="P470" s="55" t="str">
        <f>VLOOKUP(B470,'Data Angt'!$A$5:$H$5810,8,FALSE)</f>
        <v>Wiraswasta</v>
      </c>
    </row>
    <row r="471" spans="1:16" x14ac:dyDescent="0.3">
      <c r="A471" s="8">
        <v>464</v>
      </c>
      <c r="B471" s="9" t="s">
        <v>7853</v>
      </c>
      <c r="C471" s="10" t="str">
        <f>VLOOKUP(B471,'Data Angt'!$A$5:$B$5809,2,FALSE)</f>
        <v>A3530</v>
      </c>
      <c r="D471" s="12" t="s">
        <v>10170</v>
      </c>
      <c r="E471" s="13">
        <v>43754</v>
      </c>
      <c r="F471" s="14">
        <v>45916</v>
      </c>
      <c r="G471" s="15">
        <v>970000000</v>
      </c>
      <c r="H471" s="16">
        <v>60</v>
      </c>
      <c r="I471" s="17">
        <v>10.56</v>
      </c>
      <c r="J471" s="15">
        <v>731483000</v>
      </c>
      <c r="K471" s="98">
        <f t="shared" si="21"/>
        <v>0</v>
      </c>
      <c r="L471" s="98" t="str">
        <f t="shared" si="22"/>
        <v>Lancar</v>
      </c>
      <c r="M471" s="5" t="str">
        <f t="shared" si="23"/>
        <v>001</v>
      </c>
      <c r="N471" s="55" t="str">
        <f>VLOOKUP(D471,Pinjaman!$E$7:$N$1900,10,FALSE)</f>
        <v>KESEJAHTERAAN</v>
      </c>
      <c r="O471" s="55">
        <f>VLOOKUP(B471,'Data Angt'!$A$5:$H$5810,6,FALSE)</f>
        <v>43</v>
      </c>
      <c r="P471" s="55" t="str">
        <f>VLOOKUP(B471,'Data Angt'!$A$5:$H$5810,8,FALSE)</f>
        <v>Karyawan</v>
      </c>
    </row>
    <row r="472" spans="1:16" x14ac:dyDescent="0.3">
      <c r="A472" s="8">
        <v>465</v>
      </c>
      <c r="B472" s="9" t="s">
        <v>7861</v>
      </c>
      <c r="C472" s="10" t="str">
        <f>VLOOKUP(B472,'Data Angt'!$A$5:$B$5809,2,FALSE)</f>
        <v>A3534</v>
      </c>
      <c r="D472" s="12" t="s">
        <v>15998</v>
      </c>
      <c r="E472" s="13">
        <v>45532</v>
      </c>
      <c r="F472" s="14">
        <v>45918</v>
      </c>
      <c r="G472" s="15">
        <v>5000000</v>
      </c>
      <c r="H472" s="16">
        <v>18</v>
      </c>
      <c r="I472" s="17">
        <v>24</v>
      </c>
      <c r="J472" s="15">
        <v>1571400</v>
      </c>
      <c r="K472" s="98">
        <f t="shared" si="21"/>
        <v>0</v>
      </c>
      <c r="L472" s="98" t="str">
        <f t="shared" si="22"/>
        <v>Lancar</v>
      </c>
      <c r="M472" s="5" t="str">
        <f t="shared" si="23"/>
        <v>001</v>
      </c>
      <c r="N472" s="55" t="str">
        <f>VLOOKUP(D472,Pinjaman!$E$7:$N$1900,10,FALSE)</f>
        <v>KESEJAHTERAAN</v>
      </c>
      <c r="O472" s="55">
        <f>VLOOKUP(B472,'Data Angt'!$A$5:$H$5810,6,FALSE)</f>
        <v>54</v>
      </c>
      <c r="P472" s="55" t="str">
        <f>VLOOKUP(B472,'Data Angt'!$A$5:$H$5810,8,FALSE)</f>
        <v>Wiraswasta</v>
      </c>
    </row>
    <row r="473" spans="1:16" x14ac:dyDescent="0.3">
      <c r="A473" s="8">
        <v>466</v>
      </c>
      <c r="B473" s="9" t="s">
        <v>7863</v>
      </c>
      <c r="C473" s="10" t="str">
        <f>VLOOKUP(B473,'Data Angt'!$A$5:$B$5809,2,FALSE)</f>
        <v>A3535</v>
      </c>
      <c r="D473" s="12" t="s">
        <v>10173</v>
      </c>
      <c r="E473" s="13">
        <v>43728</v>
      </c>
      <c r="F473" s="14">
        <v>45904</v>
      </c>
      <c r="G473" s="15">
        <v>30000000</v>
      </c>
      <c r="H473" s="16">
        <v>60</v>
      </c>
      <c r="I473" s="17">
        <v>24</v>
      </c>
      <c r="J473" s="15">
        <v>13421800</v>
      </c>
      <c r="K473" s="98">
        <f t="shared" si="21"/>
        <v>0</v>
      </c>
      <c r="L473" s="98" t="str">
        <f t="shared" si="22"/>
        <v>Lancar</v>
      </c>
      <c r="M473" s="5" t="str">
        <f t="shared" si="23"/>
        <v>001</v>
      </c>
      <c r="N473" s="55" t="str">
        <f>VLOOKUP(D473,Pinjaman!$E$7:$N$1900,10,FALSE)</f>
        <v>KESEJAHTERAAN</v>
      </c>
      <c r="O473" s="55">
        <f>VLOOKUP(B473,'Data Angt'!$A$5:$H$5810,6,FALSE)</f>
        <v>37</v>
      </c>
      <c r="P473" s="55" t="str">
        <f>VLOOKUP(B473,'Data Angt'!$A$5:$H$5810,8,FALSE)</f>
        <v>Lain-Lain</v>
      </c>
    </row>
    <row r="474" spans="1:16" x14ac:dyDescent="0.3">
      <c r="A474" s="8">
        <v>467</v>
      </c>
      <c r="B474" s="9" t="s">
        <v>7877</v>
      </c>
      <c r="C474" s="10" t="str">
        <f>VLOOKUP(B474,'Data Angt'!$A$5:$B$5809,2,FALSE)</f>
        <v>A3543</v>
      </c>
      <c r="D474" s="12" t="s">
        <v>10175</v>
      </c>
      <c r="E474" s="13">
        <v>43742</v>
      </c>
      <c r="F474" s="14">
        <v>45904</v>
      </c>
      <c r="G474" s="15">
        <v>100000000</v>
      </c>
      <c r="H474" s="16">
        <v>120</v>
      </c>
      <c r="I474" s="17">
        <v>11.4</v>
      </c>
      <c r="J474" s="15">
        <v>54652300</v>
      </c>
      <c r="K474" s="98">
        <f t="shared" si="21"/>
        <v>0</v>
      </c>
      <c r="L474" s="98" t="str">
        <f t="shared" si="22"/>
        <v>Lancar</v>
      </c>
      <c r="M474" s="5" t="str">
        <f t="shared" si="23"/>
        <v>001</v>
      </c>
      <c r="N474" s="55" t="str">
        <f>VLOOKUP(D474,Pinjaman!$E$7:$N$1900,10,FALSE)</f>
        <v>KESEJAHTERAAN</v>
      </c>
      <c r="O474" s="55">
        <f>VLOOKUP(B474,'Data Angt'!$A$5:$H$5810,6,FALSE)</f>
        <v>53</v>
      </c>
      <c r="P474" s="55" t="str">
        <f>VLOOKUP(B474,'Data Angt'!$A$5:$H$5810,8,FALSE)</f>
        <v>Karyawan</v>
      </c>
    </row>
    <row r="475" spans="1:16" x14ac:dyDescent="0.3">
      <c r="A475" s="8">
        <v>468</v>
      </c>
      <c r="B475" s="9" t="s">
        <v>7879</v>
      </c>
      <c r="C475" s="10" t="str">
        <f>VLOOKUP(B475,'Data Angt'!$A$5:$B$5809,2,FALSE)</f>
        <v>A3545</v>
      </c>
      <c r="D475" s="12" t="s">
        <v>22616</v>
      </c>
      <c r="E475" s="13">
        <v>45870</v>
      </c>
      <c r="F475" s="14">
        <v>45901</v>
      </c>
      <c r="G475" s="15">
        <v>35000000</v>
      </c>
      <c r="H475" s="16">
        <v>40</v>
      </c>
      <c r="I475" s="17">
        <v>21</v>
      </c>
      <c r="J475" s="15">
        <v>34388400</v>
      </c>
      <c r="K475" s="98">
        <f t="shared" si="21"/>
        <v>0</v>
      </c>
      <c r="L475" s="98" t="str">
        <f t="shared" si="22"/>
        <v>Lancar</v>
      </c>
      <c r="M475" s="5" t="str">
        <f t="shared" si="23"/>
        <v>001</v>
      </c>
      <c r="N475" s="55" t="str">
        <f>VLOOKUP(D475,Pinjaman!$E$7:$N$1900,10,FALSE)</f>
        <v>KESEJAHTERAAN</v>
      </c>
      <c r="O475" s="55">
        <f>VLOOKUP(B475,'Data Angt'!$A$5:$H$5810,6,FALSE)</f>
        <v>42</v>
      </c>
      <c r="P475" s="55" t="str">
        <f>VLOOKUP(B475,'Data Angt'!$A$5:$H$5810,8,FALSE)</f>
        <v>Karyawan</v>
      </c>
    </row>
    <row r="476" spans="1:16" x14ac:dyDescent="0.3">
      <c r="A476" s="8">
        <v>469</v>
      </c>
      <c r="B476" s="9" t="s">
        <v>7895</v>
      </c>
      <c r="C476" s="10" t="str">
        <f>VLOOKUP(B476,'Data Angt'!$A$5:$B$5809,2,FALSE)</f>
        <v>A3556</v>
      </c>
      <c r="D476" s="12" t="s">
        <v>16001</v>
      </c>
      <c r="E476" s="13">
        <v>45418</v>
      </c>
      <c r="F476" s="14">
        <v>45908</v>
      </c>
      <c r="G476" s="15">
        <v>18000000</v>
      </c>
      <c r="H476" s="16">
        <v>24</v>
      </c>
      <c r="I476" s="17">
        <v>24</v>
      </c>
      <c r="J476" s="15">
        <v>6971900</v>
      </c>
      <c r="K476" s="98">
        <f t="shared" si="21"/>
        <v>0</v>
      </c>
      <c r="L476" s="98" t="str">
        <f t="shared" si="22"/>
        <v>Lancar</v>
      </c>
      <c r="M476" s="5" t="str">
        <f t="shared" si="23"/>
        <v>001</v>
      </c>
      <c r="N476" s="55" t="str">
        <f>VLOOKUP(D476,Pinjaman!$E$7:$N$1900,10,FALSE)</f>
        <v>PRODUKTIF</v>
      </c>
      <c r="O476" s="55">
        <f>VLOOKUP(B476,'Data Angt'!$A$5:$H$5810,6,FALSE)</f>
        <v>44</v>
      </c>
      <c r="P476" s="55" t="str">
        <f>VLOOKUP(B476,'Data Angt'!$A$5:$H$5810,8,FALSE)</f>
        <v>Mengurus Rumah Tangga</v>
      </c>
    </row>
    <row r="477" spans="1:16" x14ac:dyDescent="0.3">
      <c r="A477" s="8">
        <v>470</v>
      </c>
      <c r="B477" s="9" t="s">
        <v>7905</v>
      </c>
      <c r="C477" s="10" t="str">
        <f>VLOOKUP(B477,'Data Angt'!$A$5:$B$5809,2,FALSE)</f>
        <v>A3561</v>
      </c>
      <c r="D477" s="12" t="s">
        <v>16003</v>
      </c>
      <c r="E477" s="13">
        <v>45587</v>
      </c>
      <c r="F477" s="14">
        <v>45920</v>
      </c>
      <c r="G477" s="15">
        <v>15000000</v>
      </c>
      <c r="H477" s="16">
        <v>40</v>
      </c>
      <c r="I477" s="17">
        <v>24</v>
      </c>
      <c r="J477" s="15">
        <v>10875000</v>
      </c>
      <c r="K477" s="98">
        <f t="shared" si="21"/>
        <v>0</v>
      </c>
      <c r="L477" s="98" t="str">
        <f t="shared" si="22"/>
        <v>Lancar</v>
      </c>
      <c r="M477" s="5" t="str">
        <f t="shared" si="23"/>
        <v>001</v>
      </c>
      <c r="N477" s="55" t="str">
        <f>VLOOKUP(D477,Pinjaman!$E$7:$N$1900,10,FALSE)</f>
        <v>PRODUKTIF</v>
      </c>
      <c r="O477" s="55">
        <f>VLOOKUP(B477,'Data Angt'!$A$5:$H$5810,6,FALSE)</f>
        <v>68</v>
      </c>
      <c r="P477" s="55" t="str">
        <f>VLOOKUP(B477,'Data Angt'!$A$5:$H$5810,8,FALSE)</f>
        <v>Pensiunan</v>
      </c>
    </row>
    <row r="478" spans="1:16" x14ac:dyDescent="0.3">
      <c r="A478" s="8">
        <v>471</v>
      </c>
      <c r="B478" s="9" t="s">
        <v>7932</v>
      </c>
      <c r="C478" s="10" t="str">
        <f>VLOOKUP(B478,'Data Angt'!$A$5:$B$5809,2,FALSE)</f>
        <v>A3574</v>
      </c>
      <c r="D478" s="12" t="s">
        <v>22620</v>
      </c>
      <c r="E478" s="13">
        <v>45882</v>
      </c>
      <c r="F478" s="14">
        <v>45916</v>
      </c>
      <c r="G478" s="15">
        <v>3000000</v>
      </c>
      <c r="H478" s="16">
        <v>15</v>
      </c>
      <c r="I478" s="17">
        <v>24</v>
      </c>
      <c r="J478" s="15">
        <v>2826500</v>
      </c>
      <c r="K478" s="98">
        <f t="shared" si="21"/>
        <v>0</v>
      </c>
      <c r="L478" s="98" t="str">
        <f t="shared" si="22"/>
        <v>Lancar</v>
      </c>
      <c r="M478" s="5" t="str">
        <f t="shared" si="23"/>
        <v>001</v>
      </c>
      <c r="N478" s="55" t="str">
        <f>VLOOKUP(D478,Pinjaman!$E$7:$N$1900,10,FALSE)</f>
        <v>PENDIDIKAN</v>
      </c>
      <c r="O478" s="55">
        <f>VLOOKUP(B478,'Data Angt'!$A$5:$H$5810,6,FALSE)</f>
        <v>29</v>
      </c>
      <c r="P478" s="55" t="str">
        <f>VLOOKUP(B478,'Data Angt'!$A$5:$H$5810,8,FALSE)</f>
        <v>Wiraswasta</v>
      </c>
    </row>
    <row r="479" spans="1:16" x14ac:dyDescent="0.3">
      <c r="A479" s="8">
        <v>472</v>
      </c>
      <c r="B479" s="9" t="s">
        <v>7948</v>
      </c>
      <c r="C479" s="10" t="str">
        <f>VLOOKUP(B479,'Data Angt'!$A$5:$B$5809,2,FALSE)</f>
        <v>A3582</v>
      </c>
      <c r="D479" s="12" t="s">
        <v>16006</v>
      </c>
      <c r="E479" s="13">
        <v>45803</v>
      </c>
      <c r="F479" s="14">
        <v>45922</v>
      </c>
      <c r="G479" s="15">
        <v>5000000</v>
      </c>
      <c r="H479" s="16">
        <v>24</v>
      </c>
      <c r="I479" s="17">
        <v>24</v>
      </c>
      <c r="J479" s="15">
        <v>4322600</v>
      </c>
      <c r="K479" s="98">
        <f t="shared" si="21"/>
        <v>0</v>
      </c>
      <c r="L479" s="98" t="str">
        <f t="shared" si="22"/>
        <v>Lancar</v>
      </c>
      <c r="M479" s="5" t="str">
        <f t="shared" si="23"/>
        <v>001</v>
      </c>
      <c r="N479" s="55" t="str">
        <f>VLOOKUP(D479,Pinjaman!$E$7:$N$1900,10,FALSE)</f>
        <v>PRODUKTIF</v>
      </c>
      <c r="O479" s="55">
        <f>VLOOKUP(B479,'Data Angt'!$A$5:$H$5810,6,FALSE)</f>
        <v>39</v>
      </c>
      <c r="P479" s="55" t="str">
        <f>VLOOKUP(B479,'Data Angt'!$A$5:$H$5810,8,FALSE)</f>
        <v>Karyawan</v>
      </c>
    </row>
    <row r="480" spans="1:16" x14ac:dyDescent="0.3">
      <c r="A480" s="8">
        <v>473</v>
      </c>
      <c r="B480" s="9" t="s">
        <v>7960</v>
      </c>
      <c r="C480" s="10" t="str">
        <f>VLOOKUP(B480,'Data Angt'!$A$5:$B$5809,2,FALSE)</f>
        <v>A3588</v>
      </c>
      <c r="D480" s="12" t="s">
        <v>16009</v>
      </c>
      <c r="E480" s="13">
        <v>45626</v>
      </c>
      <c r="F480" s="14">
        <v>45930</v>
      </c>
      <c r="G480" s="15">
        <v>15000000</v>
      </c>
      <c r="H480" s="16">
        <v>12</v>
      </c>
      <c r="I480" s="17">
        <v>24</v>
      </c>
      <c r="J480" s="15">
        <v>2754600</v>
      </c>
      <c r="K480" s="98">
        <f t="shared" si="21"/>
        <v>0</v>
      </c>
      <c r="L480" s="98" t="str">
        <f t="shared" si="22"/>
        <v>Lancar</v>
      </c>
      <c r="M480" s="5" t="str">
        <f t="shared" si="23"/>
        <v>001</v>
      </c>
      <c r="N480" s="55" t="str">
        <f>VLOOKUP(D480,Pinjaman!$E$7:$N$1900,10,FALSE)</f>
        <v>KONSUMTIF</v>
      </c>
      <c r="O480" s="55">
        <f>VLOOKUP(B480,'Data Angt'!$A$5:$H$5810,6,FALSE)</f>
        <v>25</v>
      </c>
      <c r="P480" s="55" t="str">
        <f>VLOOKUP(B480,'Data Angt'!$A$5:$H$5810,8,FALSE)</f>
        <v>Karyawan</v>
      </c>
    </row>
    <row r="481" spans="1:16" x14ac:dyDescent="0.3">
      <c r="A481" s="8">
        <v>474</v>
      </c>
      <c r="B481" s="9" t="s">
        <v>7972</v>
      </c>
      <c r="C481" s="10" t="str">
        <f>VLOOKUP(B481,'Data Angt'!$A$5:$B$5809,2,FALSE)</f>
        <v>A3594</v>
      </c>
      <c r="D481" s="12" t="s">
        <v>16012</v>
      </c>
      <c r="E481" s="13">
        <v>45744</v>
      </c>
      <c r="F481" s="14">
        <v>45929</v>
      </c>
      <c r="G481" s="15">
        <v>10853800</v>
      </c>
      <c r="H481" s="16">
        <v>30</v>
      </c>
      <c r="I481" s="17">
        <v>24</v>
      </c>
      <c r="J481" s="15">
        <v>9459400</v>
      </c>
      <c r="K481" s="98">
        <f t="shared" si="21"/>
        <v>0</v>
      </c>
      <c r="L481" s="98" t="str">
        <f t="shared" si="22"/>
        <v>Lancar</v>
      </c>
      <c r="M481" s="5" t="str">
        <f t="shared" si="23"/>
        <v>001</v>
      </c>
      <c r="N481" s="55" t="str">
        <f>VLOOKUP(D481,Pinjaman!$E$7:$N$1900,10,FALSE)</f>
        <v>KONSUMTIF</v>
      </c>
      <c r="O481" s="55">
        <f>VLOOKUP(B481,'Data Angt'!$A$5:$H$5810,6,FALSE)</f>
        <v>39</v>
      </c>
      <c r="P481" s="55" t="str">
        <f>VLOOKUP(B481,'Data Angt'!$A$5:$H$5810,8,FALSE)</f>
        <v>Tenaga Pengajar</v>
      </c>
    </row>
    <row r="482" spans="1:16" x14ac:dyDescent="0.3">
      <c r="A482" s="8">
        <v>475</v>
      </c>
      <c r="B482" s="9" t="s">
        <v>7980</v>
      </c>
      <c r="C482" s="10" t="str">
        <f>VLOOKUP(B482,'Data Angt'!$A$5:$B$5809,2,FALSE)</f>
        <v>A3597</v>
      </c>
      <c r="D482" s="12" t="s">
        <v>16015</v>
      </c>
      <c r="E482" s="13">
        <v>45735</v>
      </c>
      <c r="F482" s="14">
        <v>45920</v>
      </c>
      <c r="G482" s="15">
        <v>6000000</v>
      </c>
      <c r="H482" s="16">
        <v>12</v>
      </c>
      <c r="I482" s="17">
        <v>24</v>
      </c>
      <c r="J482" s="15">
        <v>3178100</v>
      </c>
      <c r="K482" s="98">
        <f t="shared" si="21"/>
        <v>0</v>
      </c>
      <c r="L482" s="98" t="str">
        <f t="shared" si="22"/>
        <v>Lancar</v>
      </c>
      <c r="M482" s="5" t="str">
        <f t="shared" si="23"/>
        <v>001</v>
      </c>
      <c r="N482" s="55" t="str">
        <f>VLOOKUP(D482,Pinjaman!$E$7:$N$1900,10,FALSE)</f>
        <v>KONSUMTIF</v>
      </c>
      <c r="O482" s="55">
        <f>VLOOKUP(B482,'Data Angt'!$A$5:$H$5810,6,FALSE)</f>
        <v>28</v>
      </c>
      <c r="P482" s="55">
        <f>VLOOKUP(B482,'Data Angt'!$A$5:$H$5810,8,FALSE)</f>
        <v>0</v>
      </c>
    </row>
    <row r="483" spans="1:16" x14ac:dyDescent="0.3">
      <c r="A483" s="8">
        <v>476</v>
      </c>
      <c r="B483" s="9" t="s">
        <v>8008</v>
      </c>
      <c r="C483" s="10" t="str">
        <f>VLOOKUP(B483,'Data Angt'!$A$5:$B$5809,2,FALSE)</f>
        <v>A3612</v>
      </c>
      <c r="D483" s="12" t="s">
        <v>22626</v>
      </c>
      <c r="E483" s="13">
        <v>45901</v>
      </c>
      <c r="F483" s="14">
        <v>45901</v>
      </c>
      <c r="G483" s="15">
        <v>2500000</v>
      </c>
      <c r="H483" s="16">
        <v>12</v>
      </c>
      <c r="I483" s="17">
        <v>24</v>
      </c>
      <c r="J483" s="15">
        <v>2500000</v>
      </c>
      <c r="K483" s="98">
        <f t="shared" si="21"/>
        <v>0</v>
      </c>
      <c r="L483" s="98" t="str">
        <f t="shared" si="22"/>
        <v>Lancar</v>
      </c>
      <c r="M483" s="5" t="str">
        <f t="shared" si="23"/>
        <v>001</v>
      </c>
      <c r="N483" s="55" t="str">
        <f>VLOOKUP(D483,Pinjaman!$E$7:$N$1900,10,FALSE)</f>
        <v>KONSUMTIF</v>
      </c>
      <c r="O483" s="55">
        <f>VLOOKUP(B483,'Data Angt'!$A$5:$H$5810,6,FALSE)</f>
        <v>27</v>
      </c>
      <c r="P483" s="55" t="str">
        <f>VLOOKUP(B483,'Data Angt'!$A$5:$H$5810,8,FALSE)</f>
        <v>Karyawan</v>
      </c>
    </row>
    <row r="484" spans="1:16" x14ac:dyDescent="0.3">
      <c r="A484" s="8">
        <v>477</v>
      </c>
      <c r="B484" s="9" t="s">
        <v>8019</v>
      </c>
      <c r="C484" s="10" t="str">
        <f>VLOOKUP(B484,'Data Angt'!$A$5:$B$5809,2,FALSE)</f>
        <v>A3616</v>
      </c>
      <c r="D484" s="12" t="s">
        <v>16018</v>
      </c>
      <c r="E484" s="13">
        <v>45324</v>
      </c>
      <c r="F484" s="14">
        <v>45902</v>
      </c>
      <c r="G484" s="15">
        <v>11000000</v>
      </c>
      <c r="H484" s="16">
        <v>24</v>
      </c>
      <c r="I484" s="17">
        <v>24</v>
      </c>
      <c r="J484" s="15">
        <v>2741800</v>
      </c>
      <c r="K484" s="98">
        <f t="shared" si="21"/>
        <v>0</v>
      </c>
      <c r="L484" s="98" t="str">
        <f t="shared" si="22"/>
        <v>Lancar</v>
      </c>
      <c r="M484" s="5" t="str">
        <f t="shared" si="23"/>
        <v>001</v>
      </c>
      <c r="N484" s="55" t="str">
        <f>VLOOKUP(D484,Pinjaman!$E$7:$N$1900,10,FALSE)</f>
        <v>PRODUKTIF</v>
      </c>
      <c r="O484" s="55">
        <f>VLOOKUP(B484,'Data Angt'!$A$5:$H$5810,6,FALSE)</f>
        <v>29</v>
      </c>
      <c r="P484" s="55" t="str">
        <f>VLOOKUP(B484,'Data Angt'!$A$5:$H$5810,8,FALSE)</f>
        <v>Karyawan</v>
      </c>
    </row>
    <row r="485" spans="1:16" x14ac:dyDescent="0.3">
      <c r="A485" s="8">
        <v>478</v>
      </c>
      <c r="B485" s="9" t="s">
        <v>8026</v>
      </c>
      <c r="C485" s="10" t="str">
        <f>VLOOKUP(B485,'Data Angt'!$A$5:$B$5809,2,FALSE)</f>
        <v>A3619</v>
      </c>
      <c r="D485" s="12" t="s">
        <v>16021</v>
      </c>
      <c r="E485" s="13">
        <v>45680</v>
      </c>
      <c r="F485" s="14">
        <v>45920</v>
      </c>
      <c r="G485" s="15">
        <v>3000000</v>
      </c>
      <c r="H485" s="16">
        <v>12</v>
      </c>
      <c r="I485" s="17">
        <v>24</v>
      </c>
      <c r="J485" s="15">
        <v>1080400</v>
      </c>
      <c r="K485" s="98">
        <f t="shared" si="21"/>
        <v>0</v>
      </c>
      <c r="L485" s="98" t="str">
        <f t="shared" si="22"/>
        <v>Lancar</v>
      </c>
      <c r="M485" s="5" t="str">
        <f t="shared" si="23"/>
        <v>001</v>
      </c>
      <c r="N485" s="55" t="str">
        <f>VLOOKUP(D485,Pinjaman!$E$7:$N$1900,10,FALSE)</f>
        <v>KONSUMTIF</v>
      </c>
      <c r="O485" s="55">
        <f>VLOOKUP(B485,'Data Angt'!$A$5:$H$5810,6,FALSE)</f>
        <v>42</v>
      </c>
      <c r="P485" s="55" t="str">
        <f>VLOOKUP(B485,'Data Angt'!$A$5:$H$5810,8,FALSE)</f>
        <v>Mengurus Rumah Tangga</v>
      </c>
    </row>
    <row r="486" spans="1:16" x14ac:dyDescent="0.3">
      <c r="A486" s="8">
        <v>479</v>
      </c>
      <c r="B486" s="9" t="s">
        <v>8047</v>
      </c>
      <c r="C486" s="10" t="str">
        <f>VLOOKUP(B486,'Data Angt'!$A$5:$B$5809,2,FALSE)</f>
        <v>A3634</v>
      </c>
      <c r="D486" s="12" t="s">
        <v>16024</v>
      </c>
      <c r="E486" s="13">
        <v>45693</v>
      </c>
      <c r="F486" s="14">
        <v>45908</v>
      </c>
      <c r="G486" s="15">
        <v>20000000</v>
      </c>
      <c r="H486" s="16">
        <v>36</v>
      </c>
      <c r="I486" s="17">
        <v>24</v>
      </c>
      <c r="J486" s="15">
        <v>17140300</v>
      </c>
      <c r="K486" s="98">
        <f t="shared" si="21"/>
        <v>0</v>
      </c>
      <c r="L486" s="98" t="str">
        <f t="shared" si="22"/>
        <v>Lancar</v>
      </c>
      <c r="M486" s="5" t="str">
        <f t="shared" si="23"/>
        <v>001</v>
      </c>
      <c r="N486" s="55" t="str">
        <f>VLOOKUP(D486,Pinjaman!$E$7:$N$1900,10,FALSE)</f>
        <v>KONSUMTIF</v>
      </c>
      <c r="O486" s="55">
        <f>VLOOKUP(B486,'Data Angt'!$A$5:$H$5810,6,FALSE)</f>
        <v>67</v>
      </c>
      <c r="P486" s="55" t="str">
        <f>VLOOKUP(B486,'Data Angt'!$A$5:$H$5810,8,FALSE)</f>
        <v>Wiraswasta</v>
      </c>
    </row>
    <row r="487" spans="1:16" x14ac:dyDescent="0.3">
      <c r="A487" s="8">
        <v>480</v>
      </c>
      <c r="B487" s="9" t="s">
        <v>8061</v>
      </c>
      <c r="C487" s="10" t="str">
        <f>VLOOKUP(B487,'Data Angt'!$A$5:$B$5809,2,FALSE)</f>
        <v>A3641</v>
      </c>
      <c r="D487" s="12" t="s">
        <v>16027</v>
      </c>
      <c r="E487" s="13">
        <v>45629</v>
      </c>
      <c r="F487" s="14">
        <v>45901</v>
      </c>
      <c r="G487" s="15">
        <v>20000000</v>
      </c>
      <c r="H487" s="16">
        <v>12</v>
      </c>
      <c r="I487" s="17">
        <v>24</v>
      </c>
      <c r="J487" s="15">
        <v>4999700</v>
      </c>
      <c r="K487" s="98">
        <f t="shared" si="21"/>
        <v>0</v>
      </c>
      <c r="L487" s="98" t="str">
        <f t="shared" si="22"/>
        <v>Lancar</v>
      </c>
      <c r="M487" s="5" t="str">
        <f t="shared" si="23"/>
        <v>001</v>
      </c>
      <c r="N487" s="55" t="str">
        <f>VLOOKUP(D487,Pinjaman!$E$7:$N$1900,10,FALSE)</f>
        <v>KESEJAHTERAAN</v>
      </c>
      <c r="O487" s="55">
        <f>VLOOKUP(B487,'Data Angt'!$A$5:$H$5810,6,FALSE)</f>
        <v>37</v>
      </c>
      <c r="P487" s="55" t="str">
        <f>VLOOKUP(B487,'Data Angt'!$A$5:$H$5810,8,FALSE)</f>
        <v>Karyawan</v>
      </c>
    </row>
    <row r="488" spans="1:16" x14ac:dyDescent="0.3">
      <c r="A488" s="8">
        <v>481</v>
      </c>
      <c r="B488" s="9" t="s">
        <v>8079</v>
      </c>
      <c r="C488" s="10" t="str">
        <f>VLOOKUP(B488,'Data Angt'!$A$5:$B$5809,2,FALSE)</f>
        <v>A3651</v>
      </c>
      <c r="D488" s="12" t="s">
        <v>16030</v>
      </c>
      <c r="E488" s="13">
        <v>45713</v>
      </c>
      <c r="F488" s="14">
        <v>45926</v>
      </c>
      <c r="G488" s="15">
        <v>6000000</v>
      </c>
      <c r="H488" s="16">
        <v>12</v>
      </c>
      <c r="I488" s="17">
        <v>24</v>
      </c>
      <c r="J488" s="15">
        <v>2674300</v>
      </c>
      <c r="K488" s="98">
        <f t="shared" si="21"/>
        <v>0</v>
      </c>
      <c r="L488" s="98" t="str">
        <f t="shared" si="22"/>
        <v>Lancar</v>
      </c>
      <c r="M488" s="5" t="str">
        <f t="shared" si="23"/>
        <v>001</v>
      </c>
      <c r="N488" s="55" t="str">
        <f>VLOOKUP(D488,Pinjaman!$E$7:$N$1900,10,FALSE)</f>
        <v>PRODUKTIF</v>
      </c>
      <c r="O488" s="55">
        <f>VLOOKUP(B488,'Data Angt'!$A$5:$H$5810,6,FALSE)</f>
        <v>57</v>
      </c>
      <c r="P488" s="55" t="str">
        <f>VLOOKUP(B488,'Data Angt'!$A$5:$H$5810,8,FALSE)</f>
        <v>Tenaga Pengajar</v>
      </c>
    </row>
    <row r="489" spans="1:16" x14ac:dyDescent="0.3">
      <c r="A489" s="8">
        <v>482</v>
      </c>
      <c r="B489" s="9" t="s">
        <v>8079</v>
      </c>
      <c r="C489" s="10" t="str">
        <f>VLOOKUP(B489,'Data Angt'!$A$5:$B$5809,2,FALSE)</f>
        <v>A3651</v>
      </c>
      <c r="D489" s="12" t="s">
        <v>22631</v>
      </c>
      <c r="E489" s="13">
        <v>45922</v>
      </c>
      <c r="F489" s="14">
        <v>45922</v>
      </c>
      <c r="G489" s="15">
        <v>5000000</v>
      </c>
      <c r="H489" s="16">
        <v>12</v>
      </c>
      <c r="I489" s="17">
        <v>24</v>
      </c>
      <c r="J489" s="15">
        <v>5000000</v>
      </c>
      <c r="K489" s="98">
        <f t="shared" si="21"/>
        <v>0</v>
      </c>
      <c r="L489" s="98" t="str">
        <f t="shared" si="22"/>
        <v>Lancar</v>
      </c>
      <c r="M489" s="5" t="str">
        <f t="shared" si="23"/>
        <v>001</v>
      </c>
      <c r="N489" s="55" t="str">
        <f>VLOOKUP(D489,Pinjaman!$E$7:$N$1900,10,FALSE)</f>
        <v>KONSUMTIF</v>
      </c>
      <c r="O489" s="55">
        <f>VLOOKUP(B489,'Data Angt'!$A$5:$H$5810,6,FALSE)</f>
        <v>57</v>
      </c>
      <c r="P489" s="55" t="str">
        <f>VLOOKUP(B489,'Data Angt'!$A$5:$H$5810,8,FALSE)</f>
        <v>Tenaga Pengajar</v>
      </c>
    </row>
    <row r="490" spans="1:16" x14ac:dyDescent="0.3">
      <c r="A490" s="8">
        <v>483</v>
      </c>
      <c r="B490" s="9" t="s">
        <v>8097</v>
      </c>
      <c r="C490" s="10" t="str">
        <f>VLOOKUP(B490,'Data Angt'!$A$5:$B$5809,2,FALSE)</f>
        <v>A3663</v>
      </c>
      <c r="D490" s="12" t="s">
        <v>16033</v>
      </c>
      <c r="E490" s="13">
        <v>45782</v>
      </c>
      <c r="F490" s="14">
        <v>45908</v>
      </c>
      <c r="G490" s="15">
        <v>1500000</v>
      </c>
      <c r="H490" s="16">
        <v>12</v>
      </c>
      <c r="I490" s="17">
        <v>11.88</v>
      </c>
      <c r="J490" s="15">
        <v>1019700</v>
      </c>
      <c r="K490" s="98">
        <f t="shared" si="21"/>
        <v>0</v>
      </c>
      <c r="L490" s="98" t="str">
        <f t="shared" si="22"/>
        <v>Lancar</v>
      </c>
      <c r="M490" s="5" t="str">
        <f t="shared" si="23"/>
        <v>001</v>
      </c>
      <c r="N490" s="55" t="str">
        <f>VLOOKUP(D490,Pinjaman!$E$7:$N$1900,10,FALSE)</f>
        <v>PRODUKTIF</v>
      </c>
      <c r="O490" s="55">
        <f>VLOOKUP(B490,'Data Angt'!$A$5:$H$5810,6,FALSE)</f>
        <v>34</v>
      </c>
      <c r="P490" s="55" t="str">
        <f>VLOOKUP(B490,'Data Angt'!$A$5:$H$5810,8,FALSE)</f>
        <v>Mengurus Rumah Tangga</v>
      </c>
    </row>
    <row r="491" spans="1:16" x14ac:dyDescent="0.3">
      <c r="A491" s="8">
        <v>484</v>
      </c>
      <c r="B491" s="9" t="s">
        <v>8099</v>
      </c>
      <c r="C491" s="10" t="str">
        <f>VLOOKUP(B491,'Data Angt'!$A$5:$B$5809,2,FALSE)</f>
        <v>A3664</v>
      </c>
      <c r="D491" s="12" t="s">
        <v>10178</v>
      </c>
      <c r="E491" s="13">
        <v>44055</v>
      </c>
      <c r="F491" s="14">
        <v>44879</v>
      </c>
      <c r="G491" s="15">
        <v>10000000</v>
      </c>
      <c r="H491" s="16">
        <v>10</v>
      </c>
      <c r="I491" s="17">
        <v>24</v>
      </c>
      <c r="J491" s="15">
        <v>5997800</v>
      </c>
      <c r="K491" s="98">
        <f t="shared" si="21"/>
        <v>34</v>
      </c>
      <c r="L491" s="98" t="str">
        <f t="shared" si="22"/>
        <v>Macet</v>
      </c>
      <c r="M491" s="5" t="str">
        <f t="shared" si="23"/>
        <v>001</v>
      </c>
      <c r="N491" s="55" t="str">
        <f>VLOOKUP(D491,Pinjaman!$E$7:$N$1900,10,FALSE)</f>
        <v>PRODUKTIF</v>
      </c>
      <c r="O491" s="55">
        <f>VLOOKUP(B491,'Data Angt'!$A$5:$H$5810,6,FALSE)</f>
        <v>39</v>
      </c>
      <c r="P491" s="55" t="str">
        <f>VLOOKUP(B491,'Data Angt'!$A$5:$H$5810,8,FALSE)</f>
        <v>Wiraswasta</v>
      </c>
    </row>
    <row r="492" spans="1:16" x14ac:dyDescent="0.3">
      <c r="A492" s="8">
        <v>485</v>
      </c>
      <c r="B492" s="9" t="s">
        <v>8147</v>
      </c>
      <c r="C492" s="10" t="str">
        <f>VLOOKUP(B492,'Data Angt'!$A$5:$B$5809,2,FALSE)</f>
        <v>A3689</v>
      </c>
      <c r="D492" s="12" t="s">
        <v>16036</v>
      </c>
      <c r="E492" s="13">
        <v>45603</v>
      </c>
      <c r="F492" s="14">
        <v>45904</v>
      </c>
      <c r="G492" s="15">
        <v>32000000</v>
      </c>
      <c r="H492" s="16">
        <v>34</v>
      </c>
      <c r="I492" s="17">
        <v>21</v>
      </c>
      <c r="J492" s="15">
        <v>24471100</v>
      </c>
      <c r="K492" s="98">
        <f t="shared" si="21"/>
        <v>0</v>
      </c>
      <c r="L492" s="98" t="str">
        <f t="shared" si="22"/>
        <v>Lancar</v>
      </c>
      <c r="M492" s="5" t="str">
        <f t="shared" si="23"/>
        <v>001</v>
      </c>
      <c r="N492" s="55" t="str">
        <f>VLOOKUP(D492,Pinjaman!$E$7:$N$1900,10,FALSE)</f>
        <v>KONSUMTIF</v>
      </c>
      <c r="O492" s="55">
        <f>VLOOKUP(B492,'Data Angt'!$A$5:$H$5810,6,FALSE)</f>
        <v>26</v>
      </c>
      <c r="P492" s="55" t="str">
        <f>VLOOKUP(B492,'Data Angt'!$A$5:$H$5810,8,FALSE)</f>
        <v>Mengurus Rumah Tangga</v>
      </c>
    </row>
    <row r="493" spans="1:16" x14ac:dyDescent="0.3">
      <c r="A493" s="8">
        <v>486</v>
      </c>
      <c r="B493" s="9" t="s">
        <v>8154</v>
      </c>
      <c r="C493" s="10" t="str">
        <f>VLOOKUP(B493,'Data Angt'!$A$5:$B$5809,2,FALSE)</f>
        <v>A3692</v>
      </c>
      <c r="D493" s="12" t="s">
        <v>16038</v>
      </c>
      <c r="E493" s="13">
        <v>45609</v>
      </c>
      <c r="F493" s="14">
        <v>45909</v>
      </c>
      <c r="G493" s="15">
        <v>45000000</v>
      </c>
      <c r="H493" s="16">
        <v>24</v>
      </c>
      <c r="I493" s="17">
        <v>21</v>
      </c>
      <c r="J493" s="15">
        <v>28493000</v>
      </c>
      <c r="K493" s="98">
        <f t="shared" si="21"/>
        <v>0</v>
      </c>
      <c r="L493" s="98" t="str">
        <f t="shared" si="22"/>
        <v>Lancar</v>
      </c>
      <c r="M493" s="5" t="str">
        <f t="shared" si="23"/>
        <v>001</v>
      </c>
      <c r="N493" s="55" t="str">
        <f>VLOOKUP(D493,Pinjaman!$E$7:$N$1900,10,FALSE)</f>
        <v>KESEJAHTERAAN</v>
      </c>
      <c r="O493" s="55">
        <f>VLOOKUP(B493,'Data Angt'!$A$5:$H$5810,6,FALSE)</f>
        <v>65</v>
      </c>
      <c r="P493" s="55" t="str">
        <f>VLOOKUP(B493,'Data Angt'!$A$5:$H$5810,8,FALSE)</f>
        <v>Pensiunan</v>
      </c>
    </row>
    <row r="494" spans="1:16" x14ac:dyDescent="0.3">
      <c r="A494" s="8">
        <v>487</v>
      </c>
      <c r="B494" s="9" t="s">
        <v>8159</v>
      </c>
      <c r="C494" s="10" t="str">
        <f>VLOOKUP(B494,'Data Angt'!$A$5:$B$5809,2,FALSE)</f>
        <v>A3694</v>
      </c>
      <c r="D494" s="12" t="s">
        <v>16040</v>
      </c>
      <c r="E494" s="13">
        <v>45721</v>
      </c>
      <c r="F494" s="14">
        <v>45904</v>
      </c>
      <c r="G494" s="15">
        <v>3000000</v>
      </c>
      <c r="H494" s="16">
        <v>10</v>
      </c>
      <c r="I494" s="17">
        <v>24</v>
      </c>
      <c r="J494" s="15">
        <v>1271900</v>
      </c>
      <c r="K494" s="98">
        <f t="shared" si="21"/>
        <v>0</v>
      </c>
      <c r="L494" s="98" t="str">
        <f t="shared" si="22"/>
        <v>Lancar</v>
      </c>
      <c r="M494" s="5" t="str">
        <f t="shared" si="23"/>
        <v>001</v>
      </c>
      <c r="N494" s="55" t="str">
        <f>VLOOKUP(D494,Pinjaman!$E$7:$N$1900,10,FALSE)</f>
        <v>KESEJAHTERAAN</v>
      </c>
      <c r="O494" s="55">
        <f>VLOOKUP(B494,'Data Angt'!$A$5:$H$5810,6,FALSE)</f>
        <v>63</v>
      </c>
      <c r="P494" s="55">
        <f>VLOOKUP(B494,'Data Angt'!$A$5:$H$5810,8,FALSE)</f>
        <v>0</v>
      </c>
    </row>
    <row r="495" spans="1:16" x14ac:dyDescent="0.3">
      <c r="A495" s="8">
        <v>488</v>
      </c>
      <c r="B495" s="9" t="s">
        <v>8174</v>
      </c>
      <c r="C495" s="10" t="str">
        <f>VLOOKUP(B495,'Data Angt'!$A$5:$B$5809,2,FALSE)</f>
        <v>A3700</v>
      </c>
      <c r="D495" s="12" t="s">
        <v>16042</v>
      </c>
      <c r="E495" s="13">
        <v>45642</v>
      </c>
      <c r="F495" s="14">
        <v>45916</v>
      </c>
      <c r="G495" s="15">
        <v>3000000</v>
      </c>
      <c r="H495" s="16">
        <v>12</v>
      </c>
      <c r="I495" s="17">
        <v>24</v>
      </c>
      <c r="J495" s="15">
        <v>818400</v>
      </c>
      <c r="K495" s="98">
        <f t="shared" si="21"/>
        <v>0</v>
      </c>
      <c r="L495" s="98" t="str">
        <f t="shared" si="22"/>
        <v>Lancar</v>
      </c>
      <c r="M495" s="5" t="str">
        <f t="shared" si="23"/>
        <v>001</v>
      </c>
      <c r="N495" s="55" t="str">
        <f>VLOOKUP(D495,Pinjaman!$E$7:$N$1900,10,FALSE)</f>
        <v>PENDIDIKAN</v>
      </c>
      <c r="O495" s="55">
        <f>VLOOKUP(B495,'Data Angt'!$A$5:$H$5810,6,FALSE)</f>
        <v>28</v>
      </c>
      <c r="P495" s="55" t="str">
        <f>VLOOKUP(B495,'Data Angt'!$A$5:$H$5810,8,FALSE)</f>
        <v>Tenaga Pengajar</v>
      </c>
    </row>
    <row r="496" spans="1:16" x14ac:dyDescent="0.3">
      <c r="A496" s="8">
        <v>489</v>
      </c>
      <c r="B496" s="9" t="s">
        <v>8184</v>
      </c>
      <c r="C496" s="10" t="str">
        <f>VLOOKUP(B496,'Data Angt'!$A$5:$B$5809,2,FALSE)</f>
        <v>A3706</v>
      </c>
      <c r="D496" s="12" t="s">
        <v>16044</v>
      </c>
      <c r="E496" s="13">
        <v>45734</v>
      </c>
      <c r="F496" s="14">
        <v>45912</v>
      </c>
      <c r="G496" s="15">
        <v>7500000</v>
      </c>
      <c r="H496" s="16">
        <v>15</v>
      </c>
      <c r="I496" s="17">
        <v>24</v>
      </c>
      <c r="J496" s="15">
        <v>4764400</v>
      </c>
      <c r="K496" s="98">
        <f t="shared" si="21"/>
        <v>0</v>
      </c>
      <c r="L496" s="98" t="str">
        <f t="shared" si="22"/>
        <v>Lancar</v>
      </c>
      <c r="M496" s="5" t="str">
        <f t="shared" si="23"/>
        <v>001</v>
      </c>
      <c r="N496" s="55" t="str">
        <f>VLOOKUP(D496,Pinjaman!$E$7:$N$1900,10,FALSE)</f>
        <v>KESEJAHTERAAN</v>
      </c>
      <c r="O496" s="55">
        <f>VLOOKUP(B496,'Data Angt'!$A$5:$H$5810,6,FALSE)</f>
        <v>41</v>
      </c>
      <c r="P496" s="55" t="str">
        <f>VLOOKUP(B496,'Data Angt'!$A$5:$H$5810,8,FALSE)</f>
        <v>Wiraswasta</v>
      </c>
    </row>
    <row r="497" spans="1:16" x14ac:dyDescent="0.3">
      <c r="A497" s="8">
        <v>490</v>
      </c>
      <c r="B497" s="9" t="s">
        <v>8189</v>
      </c>
      <c r="C497" s="10" t="str">
        <f>VLOOKUP(B497,'Data Angt'!$A$5:$B$5809,2,FALSE)</f>
        <v>A3708</v>
      </c>
      <c r="D497" s="12" t="s">
        <v>16046</v>
      </c>
      <c r="E497" s="13">
        <v>45726</v>
      </c>
      <c r="F497" s="14">
        <v>45910</v>
      </c>
      <c r="G497" s="15">
        <v>5000000</v>
      </c>
      <c r="H497" s="16">
        <v>10</v>
      </c>
      <c r="I497" s="17">
        <v>24</v>
      </c>
      <c r="J497" s="15">
        <v>2119300</v>
      </c>
      <c r="K497" s="98">
        <f t="shared" si="21"/>
        <v>0</v>
      </c>
      <c r="L497" s="98" t="str">
        <f t="shared" si="22"/>
        <v>Lancar</v>
      </c>
      <c r="M497" s="5" t="str">
        <f t="shared" si="23"/>
        <v>001</v>
      </c>
      <c r="N497" s="55" t="str">
        <f>VLOOKUP(D497,Pinjaman!$E$7:$N$1900,10,FALSE)</f>
        <v>KONSUMTIF</v>
      </c>
      <c r="O497" s="55">
        <f>VLOOKUP(B497,'Data Angt'!$A$5:$H$5810,6,FALSE)</f>
        <v>64</v>
      </c>
      <c r="P497" s="55" t="str">
        <f>VLOOKUP(B497,'Data Angt'!$A$5:$H$5810,8,FALSE)</f>
        <v>Wiraswasta</v>
      </c>
    </row>
    <row r="498" spans="1:16" x14ac:dyDescent="0.3">
      <c r="A498" s="8">
        <v>491</v>
      </c>
      <c r="B498" s="9" t="s">
        <v>8204</v>
      </c>
      <c r="C498" s="10" t="str">
        <f>VLOOKUP(B498,'Data Angt'!$A$5:$B$5809,2,FALSE)</f>
        <v>A3715</v>
      </c>
      <c r="D498" s="12" t="s">
        <v>16048</v>
      </c>
      <c r="E498" s="13">
        <v>45427</v>
      </c>
      <c r="F498" s="14">
        <v>45906</v>
      </c>
      <c r="G498" s="15">
        <v>12000000</v>
      </c>
      <c r="H498" s="16">
        <v>48</v>
      </c>
      <c r="I498" s="17">
        <v>24</v>
      </c>
      <c r="J498" s="15">
        <v>9180600</v>
      </c>
      <c r="K498" s="98">
        <f t="shared" si="21"/>
        <v>0</v>
      </c>
      <c r="L498" s="98" t="str">
        <f t="shared" si="22"/>
        <v>Lancar</v>
      </c>
      <c r="M498" s="5" t="str">
        <f t="shared" si="23"/>
        <v>001</v>
      </c>
      <c r="N498" s="55" t="str">
        <f>VLOOKUP(D498,Pinjaman!$E$7:$N$1900,10,FALSE)</f>
        <v>PRODUKTIF</v>
      </c>
      <c r="O498" s="55">
        <f>VLOOKUP(B498,'Data Angt'!$A$5:$H$5810,6,FALSE)</f>
        <v>37</v>
      </c>
      <c r="P498" s="55" t="str">
        <f>VLOOKUP(B498,'Data Angt'!$A$5:$H$5810,8,FALSE)</f>
        <v>Karyawan</v>
      </c>
    </row>
    <row r="499" spans="1:16" x14ac:dyDescent="0.3">
      <c r="A499" s="8">
        <v>492</v>
      </c>
      <c r="B499" s="9" t="s">
        <v>8223</v>
      </c>
      <c r="C499" s="10" t="str">
        <f>VLOOKUP(B499,'Data Angt'!$A$5:$B$5809,2,FALSE)</f>
        <v>A3725</v>
      </c>
      <c r="D499" s="12" t="s">
        <v>16050</v>
      </c>
      <c r="E499" s="13">
        <v>45701</v>
      </c>
      <c r="F499" s="14">
        <v>45913</v>
      </c>
      <c r="G499" s="15">
        <v>30000000</v>
      </c>
      <c r="H499" s="16">
        <v>24</v>
      </c>
      <c r="I499" s="17">
        <v>21</v>
      </c>
      <c r="J499" s="15">
        <v>22499400</v>
      </c>
      <c r="K499" s="98">
        <f t="shared" si="21"/>
        <v>0</v>
      </c>
      <c r="L499" s="98" t="str">
        <f t="shared" si="22"/>
        <v>Lancar</v>
      </c>
      <c r="M499" s="5" t="str">
        <f t="shared" si="23"/>
        <v>001</v>
      </c>
      <c r="N499" s="55" t="str">
        <f>VLOOKUP(D499,Pinjaman!$E$7:$N$1900,10,FALSE)</f>
        <v>PRODUKTIF</v>
      </c>
      <c r="O499" s="55">
        <f>VLOOKUP(B499,'Data Angt'!$A$5:$H$5810,6,FALSE)</f>
        <v>46</v>
      </c>
      <c r="P499" s="55" t="str">
        <f>VLOOKUP(B499,'Data Angt'!$A$5:$H$5810,8,FALSE)</f>
        <v>Karyawan</v>
      </c>
    </row>
    <row r="500" spans="1:16" x14ac:dyDescent="0.3">
      <c r="A500" s="8">
        <v>493</v>
      </c>
      <c r="B500" s="9" t="s">
        <v>8229</v>
      </c>
      <c r="C500" s="10" t="str">
        <f>VLOOKUP(B500,'Data Angt'!$A$5:$B$5809,2,FALSE)</f>
        <v>A3728</v>
      </c>
      <c r="D500" s="12" t="s">
        <v>16052</v>
      </c>
      <c r="E500" s="13">
        <v>45615</v>
      </c>
      <c r="F500" s="14">
        <v>45919</v>
      </c>
      <c r="G500" s="15">
        <v>25000000</v>
      </c>
      <c r="H500" s="16">
        <v>20</v>
      </c>
      <c r="I500" s="17">
        <v>21</v>
      </c>
      <c r="J500" s="15">
        <v>13581900</v>
      </c>
      <c r="K500" s="98">
        <f t="shared" si="21"/>
        <v>0</v>
      </c>
      <c r="L500" s="98" t="str">
        <f t="shared" si="22"/>
        <v>Lancar</v>
      </c>
      <c r="M500" s="5" t="str">
        <f t="shared" si="23"/>
        <v>001</v>
      </c>
      <c r="N500" s="55" t="str">
        <f>VLOOKUP(D500,Pinjaman!$E$7:$N$1900,10,FALSE)</f>
        <v>PRODUKTIF</v>
      </c>
      <c r="O500" s="55">
        <f>VLOOKUP(B500,'Data Angt'!$A$5:$H$5810,6,FALSE)</f>
        <v>31</v>
      </c>
      <c r="P500" s="55" t="str">
        <f>VLOOKUP(B500,'Data Angt'!$A$5:$H$5810,8,FALSE)</f>
        <v>Mengurus Rumah Tangga</v>
      </c>
    </row>
    <row r="501" spans="1:16" x14ac:dyDescent="0.3">
      <c r="A501" s="8">
        <v>494</v>
      </c>
      <c r="B501" s="9" t="s">
        <v>8235</v>
      </c>
      <c r="C501" s="10" t="str">
        <f>VLOOKUP(B501,'Data Angt'!$A$5:$B$5809,2,FALSE)</f>
        <v>A3730</v>
      </c>
      <c r="D501" s="12" t="s">
        <v>16055</v>
      </c>
      <c r="E501" s="13">
        <v>45828</v>
      </c>
      <c r="F501" s="14">
        <v>45920</v>
      </c>
      <c r="G501" s="15">
        <v>20000000</v>
      </c>
      <c r="H501" s="16">
        <v>15</v>
      </c>
      <c r="I501" s="17">
        <v>24</v>
      </c>
      <c r="J501" s="15">
        <v>16460400</v>
      </c>
      <c r="K501" s="98">
        <f t="shared" si="21"/>
        <v>0</v>
      </c>
      <c r="L501" s="98" t="str">
        <f t="shared" si="22"/>
        <v>Lancar</v>
      </c>
      <c r="M501" s="5" t="str">
        <f t="shared" si="23"/>
        <v>001</v>
      </c>
      <c r="N501" s="55" t="str">
        <f>VLOOKUP(D501,Pinjaman!$E$7:$N$1900,10,FALSE)</f>
        <v>PRODUKTIF</v>
      </c>
      <c r="O501" s="55">
        <f>VLOOKUP(B501,'Data Angt'!$A$5:$H$5810,6,FALSE)</f>
        <v>32</v>
      </c>
      <c r="P501" s="55" t="str">
        <f>VLOOKUP(B501,'Data Angt'!$A$5:$H$5810,8,FALSE)</f>
        <v>Mengurus Rumah Tangga</v>
      </c>
    </row>
    <row r="502" spans="1:16" x14ac:dyDescent="0.3">
      <c r="A502" s="8">
        <v>495</v>
      </c>
      <c r="B502" s="9" t="s">
        <v>8239</v>
      </c>
      <c r="C502" s="10" t="str">
        <f>VLOOKUP(B502,'Data Angt'!$A$5:$B$5809,2,FALSE)</f>
        <v>A3732</v>
      </c>
      <c r="D502" s="12" t="s">
        <v>10183</v>
      </c>
      <c r="E502" s="13">
        <v>45280</v>
      </c>
      <c r="F502" s="14">
        <v>45920</v>
      </c>
      <c r="G502" s="15">
        <v>25000000</v>
      </c>
      <c r="H502" s="16">
        <v>36</v>
      </c>
      <c r="I502" s="17">
        <v>21</v>
      </c>
      <c r="J502" s="15">
        <v>10415500</v>
      </c>
      <c r="K502" s="98">
        <f t="shared" si="21"/>
        <v>0</v>
      </c>
      <c r="L502" s="98" t="str">
        <f t="shared" si="22"/>
        <v>Lancar</v>
      </c>
      <c r="M502" s="5" t="str">
        <f t="shared" si="23"/>
        <v>001</v>
      </c>
      <c r="N502" s="55" t="str">
        <f>VLOOKUP(D502,Pinjaman!$E$7:$N$1900,10,FALSE)</f>
        <v>KONSUMTIF</v>
      </c>
      <c r="O502" s="55">
        <f>VLOOKUP(B502,'Data Angt'!$A$5:$H$5810,6,FALSE)</f>
        <v>40</v>
      </c>
      <c r="P502" s="55" t="str">
        <f>VLOOKUP(B502,'Data Angt'!$A$5:$H$5810,8,FALSE)</f>
        <v>Wiraswasta</v>
      </c>
    </row>
    <row r="503" spans="1:16" x14ac:dyDescent="0.3">
      <c r="A503" s="8">
        <v>496</v>
      </c>
      <c r="B503" s="9" t="s">
        <v>8247</v>
      </c>
      <c r="C503" s="10" t="str">
        <f>VLOOKUP(B503,'Data Angt'!$A$5:$B$5809,2,FALSE)</f>
        <v>A3736</v>
      </c>
      <c r="D503" s="12" t="s">
        <v>16057</v>
      </c>
      <c r="E503" s="13">
        <v>45427</v>
      </c>
      <c r="F503" s="14">
        <v>45908</v>
      </c>
      <c r="G503" s="15">
        <v>3000000</v>
      </c>
      <c r="H503" s="16">
        <v>24</v>
      </c>
      <c r="I503" s="17">
        <v>24</v>
      </c>
      <c r="J503" s="15">
        <v>1161100</v>
      </c>
      <c r="K503" s="98">
        <f t="shared" si="21"/>
        <v>0</v>
      </c>
      <c r="L503" s="98" t="str">
        <f t="shared" si="22"/>
        <v>Lancar</v>
      </c>
      <c r="M503" s="5" t="str">
        <f t="shared" si="23"/>
        <v>001</v>
      </c>
      <c r="N503" s="55" t="str">
        <f>VLOOKUP(D503,Pinjaman!$E$7:$N$1900,10,FALSE)</f>
        <v>KONSUMTIF</v>
      </c>
      <c r="O503" s="55">
        <f>VLOOKUP(B503,'Data Angt'!$A$5:$H$5810,6,FALSE)</f>
        <v>53</v>
      </c>
      <c r="P503" s="55" t="str">
        <f>VLOOKUP(B503,'Data Angt'!$A$5:$H$5810,8,FALSE)</f>
        <v>Lain-Lain</v>
      </c>
    </row>
    <row r="504" spans="1:16" x14ac:dyDescent="0.3">
      <c r="A504" s="8">
        <v>497</v>
      </c>
      <c r="B504" s="9" t="s">
        <v>8249</v>
      </c>
      <c r="C504" s="10" t="str">
        <f>VLOOKUP(B504,'Data Angt'!$A$5:$B$5809,2,FALSE)</f>
        <v>A3737</v>
      </c>
      <c r="D504" s="12" t="s">
        <v>16059</v>
      </c>
      <c r="E504" s="13">
        <v>45671</v>
      </c>
      <c r="F504" s="14">
        <v>45916</v>
      </c>
      <c r="G504" s="15">
        <v>5000000</v>
      </c>
      <c r="H504" s="16">
        <v>18</v>
      </c>
      <c r="I504" s="17">
        <v>24</v>
      </c>
      <c r="J504" s="15">
        <v>2995400</v>
      </c>
      <c r="K504" s="98">
        <f t="shared" si="21"/>
        <v>0</v>
      </c>
      <c r="L504" s="98" t="str">
        <f t="shared" si="22"/>
        <v>Lancar</v>
      </c>
      <c r="M504" s="5" t="str">
        <f t="shared" si="23"/>
        <v>001</v>
      </c>
      <c r="N504" s="55" t="str">
        <f>VLOOKUP(D504,Pinjaman!$E$7:$N$1900,10,FALSE)</f>
        <v>KONSUMTIF</v>
      </c>
      <c r="O504" s="55">
        <f>VLOOKUP(B504,'Data Angt'!$A$5:$H$5810,6,FALSE)</f>
        <v>51</v>
      </c>
      <c r="P504" s="55" t="str">
        <f>VLOOKUP(B504,'Data Angt'!$A$5:$H$5810,8,FALSE)</f>
        <v>Karyawan</v>
      </c>
    </row>
    <row r="505" spans="1:16" x14ac:dyDescent="0.3">
      <c r="A505" s="8">
        <v>498</v>
      </c>
      <c r="B505" s="9" t="s">
        <v>8276</v>
      </c>
      <c r="C505" s="10" t="str">
        <f>VLOOKUP(B505,'Data Angt'!$A$5:$B$5809,2,FALSE)</f>
        <v>A3750</v>
      </c>
      <c r="D505" s="12" t="s">
        <v>16062</v>
      </c>
      <c r="E505" s="13">
        <v>45710</v>
      </c>
      <c r="F505" s="14">
        <v>45919</v>
      </c>
      <c r="G505" s="15">
        <v>5000000</v>
      </c>
      <c r="H505" s="16">
        <v>18</v>
      </c>
      <c r="I505" s="17">
        <v>24</v>
      </c>
      <c r="J505" s="15">
        <v>3263700</v>
      </c>
      <c r="K505" s="98">
        <f t="shared" si="21"/>
        <v>0</v>
      </c>
      <c r="L505" s="98" t="str">
        <f t="shared" si="22"/>
        <v>Lancar</v>
      </c>
      <c r="M505" s="5" t="str">
        <f t="shared" si="23"/>
        <v>001</v>
      </c>
      <c r="N505" s="55" t="str">
        <f>VLOOKUP(D505,Pinjaman!$E$7:$N$1900,10,FALSE)</f>
        <v>PRODUKTIF</v>
      </c>
      <c r="O505" s="55">
        <f>VLOOKUP(B505,'Data Angt'!$A$5:$H$5810,6,FALSE)</f>
        <v>57</v>
      </c>
      <c r="P505" s="55" t="str">
        <f>VLOOKUP(B505,'Data Angt'!$A$5:$H$5810,8,FALSE)</f>
        <v>Mengurus Rumah Tangga</v>
      </c>
    </row>
    <row r="506" spans="1:16" x14ac:dyDescent="0.3">
      <c r="A506" s="8">
        <v>499</v>
      </c>
      <c r="B506" s="9" t="s">
        <v>8290</v>
      </c>
      <c r="C506" s="10" t="str">
        <f>VLOOKUP(B506,'Data Angt'!$A$5:$B$5809,2,FALSE)</f>
        <v>A3757</v>
      </c>
      <c r="D506" s="12" t="s">
        <v>10185</v>
      </c>
      <c r="E506" s="13">
        <v>44323</v>
      </c>
      <c r="F506" s="14">
        <v>45908</v>
      </c>
      <c r="G506" s="15">
        <v>100000000</v>
      </c>
      <c r="H506" s="16">
        <v>120</v>
      </c>
      <c r="I506" s="17">
        <v>11.4</v>
      </c>
      <c r="J506" s="15">
        <v>69902600</v>
      </c>
      <c r="K506" s="98">
        <f t="shared" si="21"/>
        <v>0</v>
      </c>
      <c r="L506" s="98" t="str">
        <f t="shared" si="22"/>
        <v>Lancar</v>
      </c>
      <c r="M506" s="5" t="str">
        <f t="shared" si="23"/>
        <v>001</v>
      </c>
      <c r="N506" s="55" t="str">
        <f>VLOOKUP(D506,Pinjaman!$E$7:$N$1900,10,FALSE)</f>
        <v>KESEJAHTERAAN</v>
      </c>
      <c r="O506" s="55">
        <f>VLOOKUP(B506,'Data Angt'!$A$5:$H$5810,6,FALSE)</f>
        <v>54</v>
      </c>
      <c r="P506" s="55" t="str">
        <f>VLOOKUP(B506,'Data Angt'!$A$5:$H$5810,8,FALSE)</f>
        <v>Wiraswasta</v>
      </c>
    </row>
    <row r="507" spans="1:16" x14ac:dyDescent="0.3">
      <c r="A507" s="8">
        <v>500</v>
      </c>
      <c r="B507" s="9" t="s">
        <v>8305</v>
      </c>
      <c r="C507" s="10" t="str">
        <f>VLOOKUP(B507,'Data Angt'!$A$5:$B$5809,2,FALSE)</f>
        <v>A3765</v>
      </c>
      <c r="D507" s="12" t="s">
        <v>16064</v>
      </c>
      <c r="E507" s="13">
        <v>45387</v>
      </c>
      <c r="F507" s="14">
        <v>45387</v>
      </c>
      <c r="G507" s="15">
        <v>1500000</v>
      </c>
      <c r="H507" s="16">
        <v>10</v>
      </c>
      <c r="I507" s="17">
        <v>24</v>
      </c>
      <c r="J507" s="15">
        <v>1500000</v>
      </c>
      <c r="K507" s="98">
        <f t="shared" si="21"/>
        <v>17</v>
      </c>
      <c r="L507" s="98" t="str">
        <f t="shared" si="22"/>
        <v>Macet</v>
      </c>
      <c r="M507" s="5" t="str">
        <f t="shared" si="23"/>
        <v>001</v>
      </c>
      <c r="N507" s="55" t="str">
        <f>VLOOKUP(D507,Pinjaman!$E$7:$N$1900,10,FALSE)</f>
        <v>PENDIDIKAN</v>
      </c>
      <c r="O507" s="55">
        <f>VLOOKUP(B507,'Data Angt'!$A$5:$H$5810,6,FALSE)</f>
        <v>50</v>
      </c>
      <c r="P507" s="55" t="str">
        <f>VLOOKUP(B507,'Data Angt'!$A$5:$H$5810,8,FALSE)</f>
        <v>Wiraswasta</v>
      </c>
    </row>
    <row r="508" spans="1:16" x14ac:dyDescent="0.3">
      <c r="A508" s="8">
        <v>501</v>
      </c>
      <c r="B508" s="9" t="s">
        <v>8310</v>
      </c>
      <c r="C508" s="10" t="str">
        <f>VLOOKUP(B508,'Data Angt'!$A$5:$B$5809,2,FALSE)</f>
        <v>A3768</v>
      </c>
      <c r="D508" s="12" t="s">
        <v>16067</v>
      </c>
      <c r="E508" s="13">
        <v>45819</v>
      </c>
      <c r="F508" s="14">
        <v>45913</v>
      </c>
      <c r="G508" s="15">
        <v>100000000</v>
      </c>
      <c r="H508" s="16">
        <v>36</v>
      </c>
      <c r="I508" s="17">
        <v>21</v>
      </c>
      <c r="J508" s="15">
        <v>93840700</v>
      </c>
      <c r="K508" s="98">
        <f t="shared" si="21"/>
        <v>0</v>
      </c>
      <c r="L508" s="98" t="str">
        <f t="shared" si="22"/>
        <v>Lancar</v>
      </c>
      <c r="M508" s="5" t="str">
        <f t="shared" si="23"/>
        <v>001</v>
      </c>
      <c r="N508" s="55" t="str">
        <f>VLOOKUP(D508,Pinjaman!$E$7:$N$1900,10,FALSE)</f>
        <v>KONSUMTIF</v>
      </c>
      <c r="O508" s="55">
        <f>VLOOKUP(B508,'Data Angt'!$A$5:$H$5810,6,FALSE)</f>
        <v>50</v>
      </c>
      <c r="P508" s="55" t="str">
        <f>VLOOKUP(B508,'Data Angt'!$A$5:$H$5810,8,FALSE)</f>
        <v>Karyawan</v>
      </c>
    </row>
    <row r="509" spans="1:16" x14ac:dyDescent="0.3">
      <c r="A509" s="8">
        <v>502</v>
      </c>
      <c r="B509" s="9" t="s">
        <v>8313</v>
      </c>
      <c r="C509" s="10" t="str">
        <f>VLOOKUP(B509,'Data Angt'!$A$5:$B$5809,2,FALSE)</f>
        <v>A3769</v>
      </c>
      <c r="D509" s="12" t="s">
        <v>16069</v>
      </c>
      <c r="E509" s="13">
        <v>45759</v>
      </c>
      <c r="F509" s="14">
        <v>45912</v>
      </c>
      <c r="G509" s="15">
        <v>20000000</v>
      </c>
      <c r="H509" s="16">
        <v>24</v>
      </c>
      <c r="I509" s="17">
        <v>24</v>
      </c>
      <c r="J509" s="15">
        <v>15833000</v>
      </c>
      <c r="K509" s="98">
        <f t="shared" si="21"/>
        <v>0</v>
      </c>
      <c r="L509" s="98" t="str">
        <f t="shared" si="22"/>
        <v>Lancar</v>
      </c>
      <c r="M509" s="5" t="str">
        <f t="shared" si="23"/>
        <v>001</v>
      </c>
      <c r="N509" s="55" t="str">
        <f>VLOOKUP(D509,Pinjaman!$E$7:$N$1900,10,FALSE)</f>
        <v>KONSUMTIF</v>
      </c>
      <c r="O509" s="55">
        <f>VLOOKUP(B509,'Data Angt'!$A$5:$H$5810,6,FALSE)</f>
        <v>48</v>
      </c>
      <c r="P509" s="55" t="str">
        <f>VLOOKUP(B509,'Data Angt'!$A$5:$H$5810,8,FALSE)</f>
        <v>Karyawan</v>
      </c>
    </row>
    <row r="510" spans="1:16" x14ac:dyDescent="0.3">
      <c r="A510" s="8">
        <v>503</v>
      </c>
      <c r="B510" s="9" t="s">
        <v>8413</v>
      </c>
      <c r="C510" s="10" t="str">
        <f>VLOOKUP(B510,'Data Angt'!$A$5:$B$5809,2,FALSE)</f>
        <v>A3814</v>
      </c>
      <c r="D510" s="12" t="s">
        <v>16071</v>
      </c>
      <c r="E510" s="13">
        <v>45374</v>
      </c>
      <c r="F510" s="14">
        <v>45621</v>
      </c>
      <c r="G510" s="15">
        <v>13000000</v>
      </c>
      <c r="H510" s="16">
        <v>24</v>
      </c>
      <c r="I510" s="17">
        <v>24</v>
      </c>
      <c r="J510" s="15">
        <v>9822900</v>
      </c>
      <c r="K510" s="98">
        <f t="shared" si="21"/>
        <v>10</v>
      </c>
      <c r="L510" s="98" t="str">
        <f t="shared" si="22"/>
        <v>Diragukan</v>
      </c>
      <c r="M510" s="5" t="str">
        <f t="shared" si="23"/>
        <v>001</v>
      </c>
      <c r="N510" s="55" t="str">
        <f>VLOOKUP(D510,Pinjaman!$E$7:$N$1900,10,FALSE)</f>
        <v>PRODUKTIF</v>
      </c>
      <c r="O510" s="55">
        <f>VLOOKUP(B510,'Data Angt'!$A$5:$H$5810,6,FALSE)</f>
        <v>41</v>
      </c>
      <c r="P510" s="55" t="str">
        <f>VLOOKUP(B510,'Data Angt'!$A$5:$H$5810,8,FALSE)</f>
        <v>Wiraswasta</v>
      </c>
    </row>
    <row r="511" spans="1:16" x14ac:dyDescent="0.3">
      <c r="A511" s="8">
        <v>504</v>
      </c>
      <c r="B511" s="9" t="s">
        <v>8413</v>
      </c>
      <c r="C511" s="10" t="str">
        <f>VLOOKUP(B511,'Data Angt'!$A$5:$B$5809,2,FALSE)</f>
        <v>A3814</v>
      </c>
      <c r="D511" s="12" t="s">
        <v>16074</v>
      </c>
      <c r="E511" s="13">
        <v>45442</v>
      </c>
      <c r="F511" s="14">
        <v>45621</v>
      </c>
      <c r="G511" s="15">
        <v>3000000</v>
      </c>
      <c r="H511" s="16">
        <v>12</v>
      </c>
      <c r="I511" s="17">
        <v>24</v>
      </c>
      <c r="J511" s="15">
        <v>2078200</v>
      </c>
      <c r="K511" s="98">
        <f t="shared" si="21"/>
        <v>10</v>
      </c>
      <c r="L511" s="98" t="str">
        <f t="shared" si="22"/>
        <v>Diragukan</v>
      </c>
      <c r="M511" s="5" t="str">
        <f t="shared" si="23"/>
        <v>001</v>
      </c>
      <c r="N511" s="55" t="str">
        <f>VLOOKUP(D511,Pinjaman!$E$7:$N$1900,10,FALSE)</f>
        <v>PRODUKTIF</v>
      </c>
      <c r="O511" s="55">
        <f>VLOOKUP(B511,'Data Angt'!$A$5:$H$5810,6,FALSE)</f>
        <v>41</v>
      </c>
      <c r="P511" s="55" t="str">
        <f>VLOOKUP(B511,'Data Angt'!$A$5:$H$5810,8,FALSE)</f>
        <v>Wiraswasta</v>
      </c>
    </row>
    <row r="512" spans="1:16" x14ac:dyDescent="0.3">
      <c r="A512" s="8">
        <v>505</v>
      </c>
      <c r="B512" s="9" t="s">
        <v>8421</v>
      </c>
      <c r="C512" s="10" t="str">
        <f>VLOOKUP(B512,'Data Angt'!$A$5:$B$5809,2,FALSE)</f>
        <v>A3817</v>
      </c>
      <c r="D512" s="12" t="s">
        <v>16076</v>
      </c>
      <c r="E512" s="13">
        <v>45834</v>
      </c>
      <c r="F512" s="14">
        <v>45908</v>
      </c>
      <c r="G512" s="15">
        <v>10000000</v>
      </c>
      <c r="H512" s="16">
        <v>18</v>
      </c>
      <c r="I512" s="17">
        <v>24</v>
      </c>
      <c r="J512" s="15">
        <v>8570600</v>
      </c>
      <c r="K512" s="98">
        <f t="shared" si="21"/>
        <v>0</v>
      </c>
      <c r="L512" s="98" t="str">
        <f t="shared" si="22"/>
        <v>Lancar</v>
      </c>
      <c r="M512" s="5" t="str">
        <f t="shared" si="23"/>
        <v>001</v>
      </c>
      <c r="N512" s="55" t="str">
        <f>VLOOKUP(D512,Pinjaman!$E$7:$N$1900,10,FALSE)</f>
        <v>KESEJAHTERAAN</v>
      </c>
      <c r="O512" s="55">
        <f>VLOOKUP(B512,'Data Angt'!$A$5:$H$5810,6,FALSE)</f>
        <v>53</v>
      </c>
      <c r="P512" s="55" t="str">
        <f>VLOOKUP(B512,'Data Angt'!$A$5:$H$5810,8,FALSE)</f>
        <v>Mengurus Rumah Tangga</v>
      </c>
    </row>
    <row r="513" spans="1:16" x14ac:dyDescent="0.3">
      <c r="A513" s="8">
        <v>506</v>
      </c>
      <c r="B513" s="9" t="s">
        <v>8427</v>
      </c>
      <c r="C513" s="10" t="str">
        <f>VLOOKUP(B513,'Data Angt'!$A$5:$B$5809,2,FALSE)</f>
        <v>A3820</v>
      </c>
      <c r="D513" s="12" t="s">
        <v>16078</v>
      </c>
      <c r="E513" s="13">
        <v>45741</v>
      </c>
      <c r="F513" s="14">
        <v>45922</v>
      </c>
      <c r="G513" s="15">
        <v>2500000</v>
      </c>
      <c r="H513" s="16">
        <v>12</v>
      </c>
      <c r="I513" s="17">
        <v>24</v>
      </c>
      <c r="J513" s="15">
        <v>1324400</v>
      </c>
      <c r="K513" s="98">
        <f t="shared" si="21"/>
        <v>0</v>
      </c>
      <c r="L513" s="98" t="str">
        <f t="shared" si="22"/>
        <v>Lancar</v>
      </c>
      <c r="M513" s="5" t="str">
        <f t="shared" si="23"/>
        <v>001</v>
      </c>
      <c r="N513" s="55" t="str">
        <f>VLOOKUP(D513,Pinjaman!$E$7:$N$1900,10,FALSE)</f>
        <v>PRODUKTIF</v>
      </c>
      <c r="O513" s="55">
        <f>VLOOKUP(B513,'Data Angt'!$A$5:$H$5810,6,FALSE)</f>
        <v>42</v>
      </c>
      <c r="P513" s="55" t="str">
        <f>VLOOKUP(B513,'Data Angt'!$A$5:$H$5810,8,FALSE)</f>
        <v>Mengurus Rumah Tangga</v>
      </c>
    </row>
    <row r="514" spans="1:16" x14ac:dyDescent="0.3">
      <c r="A514" s="8">
        <v>507</v>
      </c>
      <c r="B514" s="9" t="s">
        <v>8428</v>
      </c>
      <c r="C514" s="10" t="str">
        <f>VLOOKUP(B514,'Data Angt'!$A$5:$B$5809,2,FALSE)</f>
        <v>A3821</v>
      </c>
      <c r="D514" s="12" t="s">
        <v>16080</v>
      </c>
      <c r="E514" s="13">
        <v>45512</v>
      </c>
      <c r="F514" s="14">
        <v>45908</v>
      </c>
      <c r="G514" s="15">
        <v>15000000</v>
      </c>
      <c r="H514" s="16">
        <v>24</v>
      </c>
      <c r="I514" s="17">
        <v>24</v>
      </c>
      <c r="J514" s="15">
        <v>7761800</v>
      </c>
      <c r="K514" s="98">
        <f t="shared" si="21"/>
        <v>0</v>
      </c>
      <c r="L514" s="98" t="str">
        <f t="shared" si="22"/>
        <v>Lancar</v>
      </c>
      <c r="M514" s="5" t="str">
        <f t="shared" si="23"/>
        <v>001</v>
      </c>
      <c r="N514" s="55" t="str">
        <f>VLOOKUP(D514,Pinjaman!$E$7:$N$1900,10,FALSE)</f>
        <v>PENDIDIKAN</v>
      </c>
      <c r="O514" s="55">
        <f>VLOOKUP(B514,'Data Angt'!$A$5:$H$5810,6,FALSE)</f>
        <v>38</v>
      </c>
      <c r="P514" s="55" t="str">
        <f>VLOOKUP(B514,'Data Angt'!$A$5:$H$5810,8,FALSE)</f>
        <v>Wiraswasta</v>
      </c>
    </row>
    <row r="515" spans="1:16" x14ac:dyDescent="0.3">
      <c r="A515" s="8">
        <v>508</v>
      </c>
      <c r="B515" s="9" t="s">
        <v>8428</v>
      </c>
      <c r="C515" s="10" t="str">
        <f>VLOOKUP(B515,'Data Angt'!$A$5:$B$5809,2,FALSE)</f>
        <v>A3821</v>
      </c>
      <c r="D515" s="12" t="s">
        <v>16082</v>
      </c>
      <c r="E515" s="13">
        <v>45671</v>
      </c>
      <c r="F515" s="14">
        <v>45915</v>
      </c>
      <c r="G515" s="15">
        <v>4000000</v>
      </c>
      <c r="H515" s="16">
        <v>12</v>
      </c>
      <c r="I515" s="17">
        <v>24</v>
      </c>
      <c r="J515" s="15">
        <v>1440100</v>
      </c>
      <c r="K515" s="98">
        <f t="shared" si="21"/>
        <v>0</v>
      </c>
      <c r="L515" s="98" t="str">
        <f t="shared" si="22"/>
        <v>Lancar</v>
      </c>
      <c r="M515" s="5" t="str">
        <f t="shared" si="23"/>
        <v>001</v>
      </c>
      <c r="N515" s="55" t="str">
        <f>VLOOKUP(D515,Pinjaman!$E$7:$N$1900,10,FALSE)</f>
        <v>PENDIDIKAN</v>
      </c>
      <c r="O515" s="55">
        <f>VLOOKUP(B515,'Data Angt'!$A$5:$H$5810,6,FALSE)</f>
        <v>38</v>
      </c>
      <c r="P515" s="55" t="str">
        <f>VLOOKUP(B515,'Data Angt'!$A$5:$H$5810,8,FALSE)</f>
        <v>Wiraswasta</v>
      </c>
    </row>
    <row r="516" spans="1:16" x14ac:dyDescent="0.3">
      <c r="A516" s="8">
        <v>509</v>
      </c>
      <c r="B516" s="9" t="s">
        <v>8465</v>
      </c>
      <c r="C516" s="10" t="str">
        <f>VLOOKUP(B516,'Data Angt'!$A$5:$B$5809,2,FALSE)</f>
        <v>A3840</v>
      </c>
      <c r="D516" s="12" t="s">
        <v>16084</v>
      </c>
      <c r="E516" s="13">
        <v>45787</v>
      </c>
      <c r="F516" s="14">
        <v>45910</v>
      </c>
      <c r="G516" s="15">
        <v>4000000</v>
      </c>
      <c r="H516" s="16">
        <v>10</v>
      </c>
      <c r="I516" s="17">
        <v>24</v>
      </c>
      <c r="J516" s="15">
        <v>2494100</v>
      </c>
      <c r="K516" s="98">
        <f t="shared" si="21"/>
        <v>0</v>
      </c>
      <c r="L516" s="98" t="str">
        <f t="shared" si="22"/>
        <v>Lancar</v>
      </c>
      <c r="M516" s="5" t="str">
        <f t="shared" si="23"/>
        <v>001</v>
      </c>
      <c r="N516" s="55" t="str">
        <f>VLOOKUP(D516,Pinjaman!$E$7:$N$1900,10,FALSE)</f>
        <v>KONSUMTIF</v>
      </c>
      <c r="O516" s="55">
        <f>VLOOKUP(B516,'Data Angt'!$A$5:$H$5810,6,FALSE)</f>
        <v>32</v>
      </c>
      <c r="P516" s="55" t="str">
        <f>VLOOKUP(B516,'Data Angt'!$A$5:$H$5810,8,FALSE)</f>
        <v>Karyawan</v>
      </c>
    </row>
    <row r="517" spans="1:16" x14ac:dyDescent="0.3">
      <c r="A517" s="8">
        <v>510</v>
      </c>
      <c r="B517" s="9" t="s">
        <v>8470</v>
      </c>
      <c r="C517" s="10" t="str">
        <f>VLOOKUP(B517,'Data Angt'!$A$5:$B$5809,2,FALSE)</f>
        <v>A3842</v>
      </c>
      <c r="D517" s="12" t="s">
        <v>16087</v>
      </c>
      <c r="E517" s="13">
        <v>45321</v>
      </c>
      <c r="F517" s="14">
        <v>45868</v>
      </c>
      <c r="G517" s="15">
        <v>8000000</v>
      </c>
      <c r="H517" s="16">
        <v>24</v>
      </c>
      <c r="I517" s="17">
        <v>24</v>
      </c>
      <c r="J517" s="15">
        <v>5435100</v>
      </c>
      <c r="K517" s="98">
        <f t="shared" si="21"/>
        <v>2</v>
      </c>
      <c r="L517" s="98" t="str">
        <f t="shared" si="22"/>
        <v>Lancar</v>
      </c>
      <c r="M517" s="5" t="str">
        <f t="shared" si="23"/>
        <v>001</v>
      </c>
      <c r="N517" s="55" t="str">
        <f>VLOOKUP(D517,Pinjaman!$E$7:$N$1900,10,FALSE)</f>
        <v>PRODUKTIF</v>
      </c>
      <c r="O517" s="55">
        <f>VLOOKUP(B517,'Data Angt'!$A$5:$H$5810,6,FALSE)</f>
        <v>63</v>
      </c>
      <c r="P517" s="55" t="str">
        <f>VLOOKUP(B517,'Data Angt'!$A$5:$H$5810,8,FALSE)</f>
        <v>Wiraswasta</v>
      </c>
    </row>
    <row r="518" spans="1:16" x14ac:dyDescent="0.3">
      <c r="A518" s="8">
        <v>511</v>
      </c>
      <c r="B518" s="9" t="s">
        <v>8476</v>
      </c>
      <c r="C518" s="10" t="str">
        <f>VLOOKUP(B518,'Data Angt'!$A$5:$B$5809,2,FALSE)</f>
        <v>A3844</v>
      </c>
      <c r="D518" s="12" t="s">
        <v>16090</v>
      </c>
      <c r="E518" s="13">
        <v>45418</v>
      </c>
      <c r="F518" s="14">
        <v>45903</v>
      </c>
      <c r="G518" s="15">
        <v>24000000</v>
      </c>
      <c r="H518" s="16">
        <v>24</v>
      </c>
      <c r="I518" s="17">
        <v>24</v>
      </c>
      <c r="J518" s="15">
        <v>9294400</v>
      </c>
      <c r="K518" s="98">
        <f t="shared" si="21"/>
        <v>0</v>
      </c>
      <c r="L518" s="98" t="str">
        <f t="shared" si="22"/>
        <v>Lancar</v>
      </c>
      <c r="M518" s="5" t="str">
        <f t="shared" si="23"/>
        <v>001</v>
      </c>
      <c r="N518" s="55" t="str">
        <f>VLOOKUP(D518,Pinjaman!$E$7:$N$1900,10,FALSE)</f>
        <v>KONSUMTIF</v>
      </c>
      <c r="O518" s="55">
        <f>VLOOKUP(B518,'Data Angt'!$A$5:$H$5810,6,FALSE)</f>
        <v>26</v>
      </c>
      <c r="P518" s="55" t="str">
        <f>VLOOKUP(B518,'Data Angt'!$A$5:$H$5810,8,FALSE)</f>
        <v>Pelajar/Mahasiswa</v>
      </c>
    </row>
    <row r="519" spans="1:16" x14ac:dyDescent="0.3">
      <c r="A519" s="8">
        <v>512</v>
      </c>
      <c r="B519" s="9" t="s">
        <v>8497</v>
      </c>
      <c r="C519" s="10" t="str">
        <f>VLOOKUP(B519,'Data Angt'!$A$5:$B$5809,2,FALSE)</f>
        <v>A3853</v>
      </c>
      <c r="D519" s="12" t="s">
        <v>16092</v>
      </c>
      <c r="E519" s="13">
        <v>45775</v>
      </c>
      <c r="F519" s="14">
        <v>45920</v>
      </c>
      <c r="G519" s="15">
        <v>2400000</v>
      </c>
      <c r="H519" s="16">
        <v>12</v>
      </c>
      <c r="I519" s="17">
        <v>11.88</v>
      </c>
      <c r="J519" s="15">
        <v>1434000</v>
      </c>
      <c r="K519" s="98">
        <f t="shared" si="21"/>
        <v>0</v>
      </c>
      <c r="L519" s="98" t="str">
        <f t="shared" si="22"/>
        <v>Lancar</v>
      </c>
      <c r="M519" s="5" t="str">
        <f t="shared" si="23"/>
        <v>001</v>
      </c>
      <c r="N519" s="55" t="str">
        <f>VLOOKUP(D519,Pinjaman!$E$7:$N$1900,10,FALSE)</f>
        <v>KONSUMTIF</v>
      </c>
      <c r="O519" s="55">
        <f>VLOOKUP(B519,'Data Angt'!$A$5:$H$5810,6,FALSE)</f>
        <v>31</v>
      </c>
      <c r="P519" s="55" t="str">
        <f>VLOOKUP(B519,'Data Angt'!$A$5:$H$5810,8,FALSE)</f>
        <v>Karyawan</v>
      </c>
    </row>
    <row r="520" spans="1:16" x14ac:dyDescent="0.3">
      <c r="A520" s="8">
        <v>513</v>
      </c>
      <c r="B520" s="9" t="s">
        <v>8513</v>
      </c>
      <c r="C520" s="10" t="str">
        <f>VLOOKUP(B520,'Data Angt'!$A$5:$B$5809,2,FALSE)</f>
        <v>A3862</v>
      </c>
      <c r="D520" s="12" t="s">
        <v>16095</v>
      </c>
      <c r="E520" s="13">
        <v>45637</v>
      </c>
      <c r="F520" s="14">
        <v>45911</v>
      </c>
      <c r="G520" s="15">
        <v>5000000</v>
      </c>
      <c r="H520" s="16">
        <v>15</v>
      </c>
      <c r="I520" s="17">
        <v>24</v>
      </c>
      <c r="J520" s="15">
        <v>2179600</v>
      </c>
      <c r="K520" s="98">
        <f t="shared" si="21"/>
        <v>0</v>
      </c>
      <c r="L520" s="98" t="str">
        <f t="shared" si="22"/>
        <v>Lancar</v>
      </c>
      <c r="M520" s="5" t="str">
        <f t="shared" si="23"/>
        <v>001</v>
      </c>
      <c r="N520" s="55" t="str">
        <f>VLOOKUP(D520,Pinjaman!$E$7:$N$1900,10,FALSE)</f>
        <v>PRODUKTIF</v>
      </c>
      <c r="O520" s="55">
        <f>VLOOKUP(B520,'Data Angt'!$A$5:$H$5810,6,FALSE)</f>
        <v>35</v>
      </c>
      <c r="P520" s="55" t="str">
        <f>VLOOKUP(B520,'Data Angt'!$A$5:$H$5810,8,FALSE)</f>
        <v>Karyawan</v>
      </c>
    </row>
    <row r="521" spans="1:16" x14ac:dyDescent="0.3">
      <c r="A521" s="8">
        <v>514</v>
      </c>
      <c r="B521" s="9" t="s">
        <v>8550</v>
      </c>
      <c r="C521" s="10" t="str">
        <f>VLOOKUP(B521,'Data Angt'!$A$5:$B$5809,2,FALSE)</f>
        <v>A3878</v>
      </c>
      <c r="D521" s="12" t="s">
        <v>16097</v>
      </c>
      <c r="E521" s="13">
        <v>45691</v>
      </c>
      <c r="F521" s="14">
        <v>45904</v>
      </c>
      <c r="G521" s="15">
        <v>6500000</v>
      </c>
      <c r="H521" s="16">
        <v>18</v>
      </c>
      <c r="I521" s="17">
        <v>24</v>
      </c>
      <c r="J521" s="15">
        <v>4243400</v>
      </c>
      <c r="K521" s="98">
        <f t="shared" ref="K521:K584" si="24">DATEDIF(F521,$K$6,"m")</f>
        <v>0</v>
      </c>
      <c r="L521" s="98" t="str">
        <f t="shared" ref="L521:L584" si="25">IF(K521&lt;=3,"Lancar",IF(K521&lt;=6,"Kurang lancar",IF(K521&lt;=12,"Diragukan","Macet")))</f>
        <v>Lancar</v>
      </c>
      <c r="M521" s="5" t="str">
        <f t="shared" ref="M521:M584" si="26">MID(B521,7,3)</f>
        <v>001</v>
      </c>
      <c r="N521" s="55" t="str">
        <f>VLOOKUP(D521,Pinjaman!$E$7:$N$1900,10,FALSE)</f>
        <v>PRODUKTIF</v>
      </c>
      <c r="O521" s="55">
        <f>VLOOKUP(B521,'Data Angt'!$A$5:$H$5810,6,FALSE)</f>
        <v>41</v>
      </c>
      <c r="P521" s="55" t="str">
        <f>VLOOKUP(B521,'Data Angt'!$A$5:$H$5810,8,FALSE)</f>
        <v>Karyawan</v>
      </c>
    </row>
    <row r="522" spans="1:16" x14ac:dyDescent="0.3">
      <c r="A522" s="8">
        <v>515</v>
      </c>
      <c r="B522" s="9" t="s">
        <v>8550</v>
      </c>
      <c r="C522" s="10" t="str">
        <f>VLOOKUP(B522,'Data Angt'!$A$5:$B$5809,2,FALSE)</f>
        <v>A3878</v>
      </c>
      <c r="D522" s="12" t="s">
        <v>22656</v>
      </c>
      <c r="E522" s="13">
        <v>45839</v>
      </c>
      <c r="F522" s="14">
        <v>45904</v>
      </c>
      <c r="G522" s="15">
        <v>1000000</v>
      </c>
      <c r="H522" s="16">
        <v>5</v>
      </c>
      <c r="I522" s="17">
        <v>24</v>
      </c>
      <c r="J522" s="15">
        <v>611800</v>
      </c>
      <c r="K522" s="98">
        <f t="shared" si="24"/>
        <v>0</v>
      </c>
      <c r="L522" s="98" t="str">
        <f t="shared" si="25"/>
        <v>Lancar</v>
      </c>
      <c r="M522" s="5" t="str">
        <f t="shared" si="26"/>
        <v>001</v>
      </c>
      <c r="N522" s="55" t="str">
        <f>VLOOKUP(D522,Pinjaman!$E$7:$N$1900,10,FALSE)</f>
        <v>PENDIDIKAN</v>
      </c>
      <c r="O522" s="55">
        <f>VLOOKUP(B522,'Data Angt'!$A$5:$H$5810,6,FALSE)</f>
        <v>41</v>
      </c>
      <c r="P522" s="55" t="str">
        <f>VLOOKUP(B522,'Data Angt'!$A$5:$H$5810,8,FALSE)</f>
        <v>Karyawan</v>
      </c>
    </row>
    <row r="523" spans="1:16" x14ac:dyDescent="0.3">
      <c r="A523" s="8">
        <v>516</v>
      </c>
      <c r="B523" s="9" t="s">
        <v>8581</v>
      </c>
      <c r="C523" s="10" t="str">
        <f>VLOOKUP(B523,'Data Angt'!$A$5:$B$5809,2,FALSE)</f>
        <v>A3891</v>
      </c>
      <c r="D523" s="12" t="s">
        <v>16100</v>
      </c>
      <c r="E523" s="13">
        <v>45794</v>
      </c>
      <c r="F523" s="14">
        <v>45901</v>
      </c>
      <c r="G523" s="15">
        <v>5000000</v>
      </c>
      <c r="H523" s="16">
        <v>6</v>
      </c>
      <c r="I523" s="17">
        <v>24</v>
      </c>
      <c r="J523" s="15">
        <v>1732900</v>
      </c>
      <c r="K523" s="98">
        <f t="shared" si="24"/>
        <v>0</v>
      </c>
      <c r="L523" s="98" t="str">
        <f t="shared" si="25"/>
        <v>Lancar</v>
      </c>
      <c r="M523" s="5" t="str">
        <f t="shared" si="26"/>
        <v>001</v>
      </c>
      <c r="N523" s="55" t="str">
        <f>VLOOKUP(D523,Pinjaman!$E$7:$N$1900,10,FALSE)</f>
        <v>KONSUMTIF</v>
      </c>
      <c r="O523" s="55">
        <f>VLOOKUP(B523,'Data Angt'!$A$5:$H$5810,6,FALSE)</f>
        <v>74</v>
      </c>
      <c r="P523" s="55" t="str">
        <f>VLOOKUP(B523,'Data Angt'!$A$5:$H$5810,8,FALSE)</f>
        <v>Pensiunan</v>
      </c>
    </row>
    <row r="524" spans="1:16" x14ac:dyDescent="0.3">
      <c r="A524" s="8">
        <v>517</v>
      </c>
      <c r="B524" s="9" t="s">
        <v>8581</v>
      </c>
      <c r="C524" s="10" t="str">
        <f>VLOOKUP(B524,'Data Angt'!$A$5:$B$5809,2,FALSE)</f>
        <v>A3891</v>
      </c>
      <c r="D524" s="12" t="s">
        <v>22659</v>
      </c>
      <c r="E524" s="13">
        <v>45903</v>
      </c>
      <c r="F524" s="14">
        <v>45903</v>
      </c>
      <c r="G524" s="15">
        <v>15000000</v>
      </c>
      <c r="H524" s="16">
        <v>12</v>
      </c>
      <c r="I524" s="17">
        <v>24</v>
      </c>
      <c r="J524" s="15">
        <v>15000000</v>
      </c>
      <c r="K524" s="98">
        <f t="shared" si="24"/>
        <v>0</v>
      </c>
      <c r="L524" s="98" t="str">
        <f t="shared" si="25"/>
        <v>Lancar</v>
      </c>
      <c r="M524" s="5" t="str">
        <f t="shared" si="26"/>
        <v>001</v>
      </c>
      <c r="N524" s="55" t="str">
        <f>VLOOKUP(D524,Pinjaman!$E$7:$N$1900,10,FALSE)</f>
        <v>KONSUMTIF</v>
      </c>
      <c r="O524" s="55">
        <f>VLOOKUP(B524,'Data Angt'!$A$5:$H$5810,6,FALSE)</f>
        <v>74</v>
      </c>
      <c r="P524" s="55" t="str">
        <f>VLOOKUP(B524,'Data Angt'!$A$5:$H$5810,8,FALSE)</f>
        <v>Pensiunan</v>
      </c>
    </row>
    <row r="525" spans="1:16" x14ac:dyDescent="0.3">
      <c r="A525" s="8">
        <v>518</v>
      </c>
      <c r="B525" s="9" t="s">
        <v>8591</v>
      </c>
      <c r="C525" s="10" t="str">
        <f>VLOOKUP(B525,'Data Angt'!$A$5:$B$5809,2,FALSE)</f>
        <v>A3897</v>
      </c>
      <c r="D525" s="12" t="s">
        <v>10189</v>
      </c>
      <c r="E525" s="13">
        <v>45145</v>
      </c>
      <c r="F525" s="14">
        <v>45910</v>
      </c>
      <c r="G525" s="15">
        <v>20000000</v>
      </c>
      <c r="H525" s="16">
        <v>36</v>
      </c>
      <c r="I525" s="17">
        <v>24</v>
      </c>
      <c r="J525" s="15">
        <v>7679300</v>
      </c>
      <c r="K525" s="98">
        <f t="shared" si="24"/>
        <v>0</v>
      </c>
      <c r="L525" s="98" t="str">
        <f t="shared" si="25"/>
        <v>Lancar</v>
      </c>
      <c r="M525" s="5" t="str">
        <f t="shared" si="26"/>
        <v>001</v>
      </c>
      <c r="N525" s="55" t="str">
        <f>VLOOKUP(D525,Pinjaman!$E$7:$N$1900,10,FALSE)</f>
        <v>KONSUMTIF</v>
      </c>
      <c r="O525" s="55">
        <f>VLOOKUP(B525,'Data Angt'!$A$5:$H$5810,6,FALSE)</f>
        <v>41</v>
      </c>
      <c r="P525" s="55" t="str">
        <f>VLOOKUP(B525,'Data Angt'!$A$5:$H$5810,8,FALSE)</f>
        <v>Wiraswasta</v>
      </c>
    </row>
    <row r="526" spans="1:16" x14ac:dyDescent="0.3">
      <c r="A526" s="8">
        <v>519</v>
      </c>
      <c r="B526" s="9" t="s">
        <v>8602</v>
      </c>
      <c r="C526" s="10" t="str">
        <f>VLOOKUP(B526,'Data Angt'!$A$5:$B$5809,2,FALSE)</f>
        <v>A3902</v>
      </c>
      <c r="D526" s="12" t="s">
        <v>16103</v>
      </c>
      <c r="E526" s="13">
        <v>45357</v>
      </c>
      <c r="F526" s="14">
        <v>45903</v>
      </c>
      <c r="G526" s="15">
        <v>15000000</v>
      </c>
      <c r="H526" s="16">
        <v>24</v>
      </c>
      <c r="I526" s="17">
        <v>24</v>
      </c>
      <c r="J526" s="15">
        <v>4442500</v>
      </c>
      <c r="K526" s="98">
        <f t="shared" si="24"/>
        <v>0</v>
      </c>
      <c r="L526" s="98" t="str">
        <f t="shared" si="25"/>
        <v>Lancar</v>
      </c>
      <c r="M526" s="5" t="str">
        <f t="shared" si="26"/>
        <v>001</v>
      </c>
      <c r="N526" s="55" t="str">
        <f>VLOOKUP(D526,Pinjaman!$E$7:$N$1900,10,FALSE)</f>
        <v>PRODUKTIF</v>
      </c>
      <c r="O526" s="55">
        <f>VLOOKUP(B526,'Data Angt'!$A$5:$H$5810,6,FALSE)</f>
        <v>45</v>
      </c>
      <c r="P526" s="55" t="str">
        <f>VLOOKUP(B526,'Data Angt'!$A$5:$H$5810,8,FALSE)</f>
        <v>Wiraswasta</v>
      </c>
    </row>
    <row r="527" spans="1:16" x14ac:dyDescent="0.3">
      <c r="A527" s="8">
        <v>520</v>
      </c>
      <c r="B527" s="9" t="s">
        <v>8614</v>
      </c>
      <c r="C527" s="10" t="str">
        <f>VLOOKUP(B527,'Data Angt'!$A$5:$B$5809,2,FALSE)</f>
        <v>A3906</v>
      </c>
      <c r="D527" s="12" t="s">
        <v>16106</v>
      </c>
      <c r="E527" s="13">
        <v>45377</v>
      </c>
      <c r="F527" s="14">
        <v>45657</v>
      </c>
      <c r="G527" s="15">
        <v>30000000</v>
      </c>
      <c r="H527" s="16">
        <v>28</v>
      </c>
      <c r="I527" s="17">
        <v>21</v>
      </c>
      <c r="J527" s="15">
        <v>24737700</v>
      </c>
      <c r="K527" s="98">
        <f t="shared" si="24"/>
        <v>8</v>
      </c>
      <c r="L527" s="98" t="str">
        <f t="shared" si="25"/>
        <v>Diragukan</v>
      </c>
      <c r="M527" s="5" t="str">
        <f t="shared" si="26"/>
        <v>001</v>
      </c>
      <c r="N527" s="55" t="str">
        <f>VLOOKUP(D527,Pinjaman!$E$7:$N$1900,10,FALSE)</f>
        <v>PRODUKTIF</v>
      </c>
      <c r="O527" s="55">
        <f>VLOOKUP(B527,'Data Angt'!$A$5:$H$5810,6,FALSE)</f>
        <v>52</v>
      </c>
      <c r="P527" s="55" t="str">
        <f>VLOOKUP(B527,'Data Angt'!$A$5:$H$5810,8,FALSE)</f>
        <v>Lain-Lain</v>
      </c>
    </row>
    <row r="528" spans="1:16" x14ac:dyDescent="0.3">
      <c r="A528" s="8">
        <v>521</v>
      </c>
      <c r="B528" s="9" t="s">
        <v>8632</v>
      </c>
      <c r="C528" s="10" t="str">
        <f>VLOOKUP(B528,'Data Angt'!$A$5:$B$5809,2,FALSE)</f>
        <v>A3914</v>
      </c>
      <c r="D528" s="12" t="s">
        <v>16109</v>
      </c>
      <c r="E528" s="13">
        <v>45496</v>
      </c>
      <c r="F528" s="14">
        <v>45919</v>
      </c>
      <c r="G528" s="15">
        <v>6000000</v>
      </c>
      <c r="H528" s="16">
        <v>24</v>
      </c>
      <c r="I528" s="17">
        <v>24</v>
      </c>
      <c r="J528" s="15">
        <v>2849100</v>
      </c>
      <c r="K528" s="98">
        <f t="shared" si="24"/>
        <v>0</v>
      </c>
      <c r="L528" s="98" t="str">
        <f t="shared" si="25"/>
        <v>Lancar</v>
      </c>
      <c r="M528" s="5" t="str">
        <f t="shared" si="26"/>
        <v>001</v>
      </c>
      <c r="N528" s="55" t="str">
        <f>VLOOKUP(D528,Pinjaman!$E$7:$N$1900,10,FALSE)</f>
        <v>PRODUKTIF</v>
      </c>
      <c r="O528" s="55">
        <f>VLOOKUP(B528,'Data Angt'!$A$5:$H$5810,6,FALSE)</f>
        <v>47</v>
      </c>
      <c r="P528" s="55" t="str">
        <f>VLOOKUP(B528,'Data Angt'!$A$5:$H$5810,8,FALSE)</f>
        <v>Karyawan</v>
      </c>
    </row>
    <row r="529" spans="1:16" x14ac:dyDescent="0.3">
      <c r="A529" s="8">
        <v>522</v>
      </c>
      <c r="B529" s="9" t="s">
        <v>8639</v>
      </c>
      <c r="C529" s="10" t="str">
        <f>VLOOKUP(B529,'Data Angt'!$A$5:$B$5809,2,FALSE)</f>
        <v>A3917</v>
      </c>
      <c r="D529" s="12" t="s">
        <v>10192</v>
      </c>
      <c r="E529" s="13">
        <v>44946</v>
      </c>
      <c r="F529" s="14">
        <v>45898</v>
      </c>
      <c r="G529" s="15">
        <v>25000000</v>
      </c>
      <c r="H529" s="16">
        <v>24</v>
      </c>
      <c r="I529" s="17">
        <v>21</v>
      </c>
      <c r="J529" s="15">
        <v>7256800</v>
      </c>
      <c r="K529" s="98">
        <f t="shared" si="24"/>
        <v>1</v>
      </c>
      <c r="L529" s="98" t="str">
        <f t="shared" si="25"/>
        <v>Lancar</v>
      </c>
      <c r="M529" s="5" t="str">
        <f t="shared" si="26"/>
        <v>001</v>
      </c>
      <c r="N529" s="55" t="str">
        <f>VLOOKUP(D529,Pinjaman!$E$7:$N$1900,10,FALSE)</f>
        <v>PRODUKTIF</v>
      </c>
      <c r="O529" s="55">
        <f>VLOOKUP(B529,'Data Angt'!$A$5:$H$5810,6,FALSE)</f>
        <v>43</v>
      </c>
      <c r="P529" s="55" t="str">
        <f>VLOOKUP(B529,'Data Angt'!$A$5:$H$5810,8,FALSE)</f>
        <v>Tenaga Pengajar</v>
      </c>
    </row>
    <row r="530" spans="1:16" x14ac:dyDescent="0.3">
      <c r="A530" s="8">
        <v>523</v>
      </c>
      <c r="B530" s="9" t="s">
        <v>8672</v>
      </c>
      <c r="C530" s="10" t="str">
        <f>VLOOKUP(B530,'Data Angt'!$A$5:$B$5809,2,FALSE)</f>
        <v>A3933</v>
      </c>
      <c r="D530" s="12" t="s">
        <v>10195</v>
      </c>
      <c r="E530" s="13">
        <v>45237</v>
      </c>
      <c r="F530" s="14">
        <v>45908</v>
      </c>
      <c r="G530" s="15">
        <v>20000000</v>
      </c>
      <c r="H530" s="16">
        <v>30</v>
      </c>
      <c r="I530" s="17">
        <v>24</v>
      </c>
      <c r="J530" s="15">
        <v>6557500</v>
      </c>
      <c r="K530" s="98">
        <f t="shared" si="24"/>
        <v>0</v>
      </c>
      <c r="L530" s="98" t="str">
        <f t="shared" si="25"/>
        <v>Lancar</v>
      </c>
      <c r="M530" s="5" t="str">
        <f t="shared" si="26"/>
        <v>001</v>
      </c>
      <c r="N530" s="55" t="str">
        <f>VLOOKUP(D530,Pinjaman!$E$7:$N$1900,10,FALSE)</f>
        <v>KESEJAHTERAAN</v>
      </c>
      <c r="O530" s="55">
        <f>VLOOKUP(B530,'Data Angt'!$A$5:$H$5810,6,FALSE)</f>
        <v>35</v>
      </c>
      <c r="P530" s="55" t="str">
        <f>VLOOKUP(B530,'Data Angt'!$A$5:$H$5810,8,FALSE)</f>
        <v>Karyawan</v>
      </c>
    </row>
    <row r="531" spans="1:16" x14ac:dyDescent="0.3">
      <c r="A531" s="8">
        <v>524</v>
      </c>
      <c r="B531" s="9" t="s">
        <v>8673</v>
      </c>
      <c r="C531" s="10" t="str">
        <f>VLOOKUP(B531,'Data Angt'!$A$5:$B$5809,2,FALSE)</f>
        <v>A3934</v>
      </c>
      <c r="D531" s="12" t="s">
        <v>16111</v>
      </c>
      <c r="E531" s="13">
        <v>45478</v>
      </c>
      <c r="F531" s="14">
        <v>45906</v>
      </c>
      <c r="G531" s="15">
        <v>5000000</v>
      </c>
      <c r="H531" s="16">
        <v>24</v>
      </c>
      <c r="I531" s="17">
        <v>24</v>
      </c>
      <c r="J531" s="15">
        <v>2374600</v>
      </c>
      <c r="K531" s="98">
        <f t="shared" si="24"/>
        <v>0</v>
      </c>
      <c r="L531" s="98" t="str">
        <f t="shared" si="25"/>
        <v>Lancar</v>
      </c>
      <c r="M531" s="5" t="str">
        <f t="shared" si="26"/>
        <v>001</v>
      </c>
      <c r="N531" s="55" t="str">
        <f>VLOOKUP(D531,Pinjaman!$E$7:$N$1900,10,FALSE)</f>
        <v>PENDIDIKAN</v>
      </c>
      <c r="O531" s="55">
        <f>VLOOKUP(B531,'Data Angt'!$A$5:$H$5810,6,FALSE)</f>
        <v>49</v>
      </c>
      <c r="P531" s="55" t="str">
        <f>VLOOKUP(B531,'Data Angt'!$A$5:$H$5810,8,FALSE)</f>
        <v>Lain-Lain</v>
      </c>
    </row>
    <row r="532" spans="1:16" x14ac:dyDescent="0.3">
      <c r="A532" s="8">
        <v>525</v>
      </c>
      <c r="B532" s="9" t="s">
        <v>8695</v>
      </c>
      <c r="C532" s="10" t="str">
        <f>VLOOKUP(B532,'Data Angt'!$A$5:$B$5809,2,FALSE)</f>
        <v>A3946</v>
      </c>
      <c r="D532" s="12" t="s">
        <v>16113</v>
      </c>
      <c r="E532" s="13">
        <v>45631</v>
      </c>
      <c r="F532" s="14">
        <v>45904</v>
      </c>
      <c r="G532" s="15">
        <v>25000000</v>
      </c>
      <c r="H532" s="16">
        <v>36</v>
      </c>
      <c r="I532" s="17">
        <v>24</v>
      </c>
      <c r="J532" s="15">
        <v>20309400</v>
      </c>
      <c r="K532" s="98">
        <f t="shared" si="24"/>
        <v>0</v>
      </c>
      <c r="L532" s="98" t="str">
        <f t="shared" si="25"/>
        <v>Lancar</v>
      </c>
      <c r="M532" s="5" t="str">
        <f t="shared" si="26"/>
        <v>001</v>
      </c>
      <c r="N532" s="55" t="str">
        <f>VLOOKUP(D532,Pinjaman!$E$7:$N$1900,10,FALSE)</f>
        <v>KESEJAHTERAAN</v>
      </c>
      <c r="O532" s="55">
        <f>VLOOKUP(B532,'Data Angt'!$A$5:$H$5810,6,FALSE)</f>
        <v>52</v>
      </c>
      <c r="P532" s="55" t="str">
        <f>VLOOKUP(B532,'Data Angt'!$A$5:$H$5810,8,FALSE)</f>
        <v>Wiraswasta</v>
      </c>
    </row>
    <row r="533" spans="1:16" x14ac:dyDescent="0.3">
      <c r="A533" s="8">
        <v>526</v>
      </c>
      <c r="B533" s="9" t="s">
        <v>8727</v>
      </c>
      <c r="C533" s="10" t="str">
        <f>VLOOKUP(B533,'Data Angt'!$A$5:$B$5809,2,FALSE)</f>
        <v>A3960</v>
      </c>
      <c r="D533" s="12" t="s">
        <v>16115</v>
      </c>
      <c r="E533" s="13">
        <v>45759</v>
      </c>
      <c r="F533" s="14">
        <v>45912</v>
      </c>
      <c r="G533" s="15">
        <v>10000000</v>
      </c>
      <c r="H533" s="16">
        <v>24</v>
      </c>
      <c r="I533" s="17">
        <v>24</v>
      </c>
      <c r="J533" s="15">
        <v>8289100</v>
      </c>
      <c r="K533" s="98">
        <f t="shared" si="24"/>
        <v>0</v>
      </c>
      <c r="L533" s="98" t="str">
        <f t="shared" si="25"/>
        <v>Lancar</v>
      </c>
      <c r="M533" s="5" t="str">
        <f t="shared" si="26"/>
        <v>001</v>
      </c>
      <c r="N533" s="55" t="str">
        <f>VLOOKUP(D533,Pinjaman!$E$7:$N$1900,10,FALSE)</f>
        <v>PENDIDIKAN</v>
      </c>
      <c r="O533" s="55">
        <f>VLOOKUP(B533,'Data Angt'!$A$5:$H$5810,6,FALSE)</f>
        <v>40</v>
      </c>
      <c r="P533" s="55" t="str">
        <f>VLOOKUP(B533,'Data Angt'!$A$5:$H$5810,8,FALSE)</f>
        <v>Tenaga Pengajar</v>
      </c>
    </row>
    <row r="534" spans="1:16" x14ac:dyDescent="0.3">
      <c r="A534" s="8">
        <v>527</v>
      </c>
      <c r="B534" s="9" t="s">
        <v>8732</v>
      </c>
      <c r="C534" s="10" t="str">
        <f>VLOOKUP(B534,'Data Angt'!$A$5:$B$5809,2,FALSE)</f>
        <v>A3963</v>
      </c>
      <c r="D534" s="12" t="s">
        <v>16117</v>
      </c>
      <c r="E534" s="13">
        <v>45805</v>
      </c>
      <c r="F534" s="14">
        <v>45919</v>
      </c>
      <c r="G534" s="15">
        <v>2000000</v>
      </c>
      <c r="H534" s="16">
        <v>12</v>
      </c>
      <c r="I534" s="17">
        <v>24</v>
      </c>
      <c r="J534" s="15">
        <v>1385200</v>
      </c>
      <c r="K534" s="98">
        <f t="shared" si="24"/>
        <v>0</v>
      </c>
      <c r="L534" s="98" t="str">
        <f t="shared" si="25"/>
        <v>Lancar</v>
      </c>
      <c r="M534" s="5" t="str">
        <f t="shared" si="26"/>
        <v>001</v>
      </c>
      <c r="N534" s="55" t="str">
        <f>VLOOKUP(D534,Pinjaman!$E$7:$N$1900,10,FALSE)</f>
        <v>KESEJAHTERAAN</v>
      </c>
      <c r="O534" s="55">
        <f>VLOOKUP(B534,'Data Angt'!$A$5:$H$5810,6,FALSE)</f>
        <v>22</v>
      </c>
      <c r="P534" s="55" t="str">
        <f>VLOOKUP(B534,'Data Angt'!$A$5:$H$5810,8,FALSE)</f>
        <v>Karyawan</v>
      </c>
    </row>
    <row r="535" spans="1:16" x14ac:dyDescent="0.3">
      <c r="A535" s="8">
        <v>528</v>
      </c>
      <c r="B535" s="9" t="s">
        <v>8752</v>
      </c>
      <c r="C535" s="10" t="str">
        <f>VLOOKUP(B535,'Data Angt'!$A$5:$B$5809,2,FALSE)</f>
        <v>A3975</v>
      </c>
      <c r="D535" s="12" t="s">
        <v>16119</v>
      </c>
      <c r="E535" s="13">
        <v>45735</v>
      </c>
      <c r="F535" s="14">
        <v>45924</v>
      </c>
      <c r="G535" s="15">
        <v>4000000</v>
      </c>
      <c r="H535" s="16">
        <v>18</v>
      </c>
      <c r="I535" s="17">
        <v>24</v>
      </c>
      <c r="J535" s="15">
        <v>2821200</v>
      </c>
      <c r="K535" s="98">
        <f t="shared" si="24"/>
        <v>0</v>
      </c>
      <c r="L535" s="98" t="str">
        <f t="shared" si="25"/>
        <v>Lancar</v>
      </c>
      <c r="M535" s="5" t="str">
        <f t="shared" si="26"/>
        <v>001</v>
      </c>
      <c r="N535" s="55" t="str">
        <f>VLOOKUP(D535,Pinjaman!$E$7:$N$1900,10,FALSE)</f>
        <v>KESEJAHTERAAN</v>
      </c>
      <c r="O535" s="55">
        <f>VLOOKUP(B535,'Data Angt'!$A$5:$H$5810,6,FALSE)</f>
        <v>49</v>
      </c>
      <c r="P535" s="55" t="str">
        <f>VLOOKUP(B535,'Data Angt'!$A$5:$H$5810,8,FALSE)</f>
        <v>Lain-Lain</v>
      </c>
    </row>
    <row r="536" spans="1:16" x14ac:dyDescent="0.3">
      <c r="A536" s="8">
        <v>529</v>
      </c>
      <c r="B536" s="9" t="s">
        <v>8774</v>
      </c>
      <c r="C536" s="10" t="str">
        <f>VLOOKUP(B536,'Data Angt'!$A$5:$B$5809,2,FALSE)</f>
        <v>A3983</v>
      </c>
      <c r="D536" s="12" t="s">
        <v>22672</v>
      </c>
      <c r="E536" s="13">
        <v>45892</v>
      </c>
      <c r="F536" s="14">
        <v>45922</v>
      </c>
      <c r="G536" s="15">
        <v>20000000</v>
      </c>
      <c r="H536" s="16">
        <v>12</v>
      </c>
      <c r="I536" s="17">
        <v>24</v>
      </c>
      <c r="J536" s="15">
        <v>18508800</v>
      </c>
      <c r="K536" s="98">
        <f t="shared" si="24"/>
        <v>0</v>
      </c>
      <c r="L536" s="98" t="str">
        <f t="shared" si="25"/>
        <v>Lancar</v>
      </c>
      <c r="M536" s="5" t="str">
        <f t="shared" si="26"/>
        <v>001</v>
      </c>
      <c r="N536" s="55" t="str">
        <f>VLOOKUP(D536,Pinjaman!$E$7:$N$1900,10,FALSE)</f>
        <v>KONSUMTIF</v>
      </c>
      <c r="O536" s="55">
        <f>VLOOKUP(B536,'Data Angt'!$A$5:$H$5810,6,FALSE)</f>
        <v>24</v>
      </c>
      <c r="P536" s="55" t="str">
        <f>VLOOKUP(B536,'Data Angt'!$A$5:$H$5810,8,FALSE)</f>
        <v>Lain-Lain</v>
      </c>
    </row>
    <row r="537" spans="1:16" x14ac:dyDescent="0.3">
      <c r="A537" s="8">
        <v>530</v>
      </c>
      <c r="B537" s="9" t="s">
        <v>8776</v>
      </c>
      <c r="C537" s="10" t="str">
        <f>VLOOKUP(B537,'Data Angt'!$A$5:$B$5809,2,FALSE)</f>
        <v>A3984</v>
      </c>
      <c r="D537" s="12" t="s">
        <v>16121</v>
      </c>
      <c r="E537" s="13">
        <v>45793</v>
      </c>
      <c r="F537" s="14">
        <v>45902</v>
      </c>
      <c r="G537" s="15">
        <v>20000000</v>
      </c>
      <c r="H537" s="16">
        <v>36</v>
      </c>
      <c r="I537" s="17">
        <v>24</v>
      </c>
      <c r="J537" s="15">
        <v>18414600</v>
      </c>
      <c r="K537" s="98">
        <f t="shared" si="24"/>
        <v>0</v>
      </c>
      <c r="L537" s="98" t="str">
        <f t="shared" si="25"/>
        <v>Lancar</v>
      </c>
      <c r="M537" s="5" t="str">
        <f t="shared" si="26"/>
        <v>001</v>
      </c>
      <c r="N537" s="55" t="str">
        <f>VLOOKUP(D537,Pinjaman!$E$7:$N$1900,10,FALSE)</f>
        <v>PENDIDIKAN</v>
      </c>
      <c r="O537" s="55">
        <f>VLOOKUP(B537,'Data Angt'!$A$5:$H$5810,6,FALSE)</f>
        <v>42</v>
      </c>
      <c r="P537" s="55">
        <f>VLOOKUP(B537,'Data Angt'!$A$5:$H$5810,8,FALSE)</f>
        <v>0</v>
      </c>
    </row>
    <row r="538" spans="1:16" x14ac:dyDescent="0.3">
      <c r="A538" s="8">
        <v>531</v>
      </c>
      <c r="B538" s="9" t="s">
        <v>8839</v>
      </c>
      <c r="C538" s="10" t="str">
        <f>VLOOKUP(B538,'Data Angt'!$A$5:$B$5809,2,FALSE)</f>
        <v>A4012</v>
      </c>
      <c r="D538" s="12" t="s">
        <v>10197</v>
      </c>
      <c r="E538" s="13">
        <v>45216</v>
      </c>
      <c r="F538" s="14">
        <v>45925</v>
      </c>
      <c r="G538" s="15">
        <v>24000000</v>
      </c>
      <c r="H538" s="16">
        <v>25</v>
      </c>
      <c r="I538" s="17">
        <v>18</v>
      </c>
      <c r="J538" s="15">
        <v>29689700</v>
      </c>
      <c r="K538" s="98">
        <f t="shared" si="24"/>
        <v>0</v>
      </c>
      <c r="L538" s="98" t="str">
        <f t="shared" si="25"/>
        <v>Lancar</v>
      </c>
      <c r="M538" s="5" t="str">
        <f t="shared" si="26"/>
        <v>001</v>
      </c>
      <c r="N538" s="55" t="str">
        <f>VLOOKUP(D538,Pinjaman!$E$7:$N$1900,10,FALSE)</f>
        <v>KONSUMTIF</v>
      </c>
      <c r="O538" s="55">
        <f>VLOOKUP(B538,'Data Angt'!$A$5:$H$5810,6,FALSE)</f>
        <v>24</v>
      </c>
      <c r="P538" s="55" t="str">
        <f>VLOOKUP(B538,'Data Angt'!$A$5:$H$5810,8,FALSE)</f>
        <v>Karyawan</v>
      </c>
    </row>
    <row r="539" spans="1:16" x14ac:dyDescent="0.3">
      <c r="A539" s="8">
        <v>532</v>
      </c>
      <c r="B539" s="9" t="s">
        <v>8876</v>
      </c>
      <c r="C539" s="10" t="str">
        <f>VLOOKUP(B539,'Data Angt'!$A$5:$B$5809,2,FALSE)</f>
        <v>A4031</v>
      </c>
      <c r="D539" s="12" t="s">
        <v>16123</v>
      </c>
      <c r="E539" s="13">
        <v>45345</v>
      </c>
      <c r="F539" s="14">
        <v>45920</v>
      </c>
      <c r="G539" s="15">
        <v>10000000</v>
      </c>
      <c r="H539" s="16">
        <v>24</v>
      </c>
      <c r="I539" s="17">
        <v>24</v>
      </c>
      <c r="J539" s="15">
        <v>2491100</v>
      </c>
      <c r="K539" s="98">
        <f t="shared" si="24"/>
        <v>0</v>
      </c>
      <c r="L539" s="98" t="str">
        <f t="shared" si="25"/>
        <v>Lancar</v>
      </c>
      <c r="M539" s="5" t="str">
        <f t="shared" si="26"/>
        <v>001</v>
      </c>
      <c r="N539" s="55" t="str">
        <f>VLOOKUP(D539,Pinjaman!$E$7:$N$1900,10,FALSE)</f>
        <v>KESEJAHTERAAN</v>
      </c>
      <c r="O539" s="55">
        <f>VLOOKUP(B539,'Data Angt'!$A$5:$H$5810,6,FALSE)</f>
        <v>33</v>
      </c>
      <c r="P539" s="55">
        <f>VLOOKUP(B539,'Data Angt'!$A$5:$H$5810,8,FALSE)</f>
        <v>0</v>
      </c>
    </row>
    <row r="540" spans="1:16" x14ac:dyDescent="0.3">
      <c r="A540" s="8">
        <v>533</v>
      </c>
      <c r="B540" s="9" t="s">
        <v>8903</v>
      </c>
      <c r="C540" s="10" t="str">
        <f>VLOOKUP(B540,'Data Angt'!$A$5:$B$5809,2,FALSE)</f>
        <v>A4045</v>
      </c>
      <c r="D540" s="12" t="s">
        <v>10200</v>
      </c>
      <c r="E540" s="13">
        <v>44947</v>
      </c>
      <c r="F540" s="14">
        <v>45786</v>
      </c>
      <c r="G540" s="15">
        <v>26777600</v>
      </c>
      <c r="H540" s="16">
        <v>48</v>
      </c>
      <c r="I540" s="17">
        <v>21</v>
      </c>
      <c r="J540" s="15">
        <v>24110300</v>
      </c>
      <c r="K540" s="98">
        <f t="shared" si="24"/>
        <v>4</v>
      </c>
      <c r="L540" s="98" t="str">
        <f t="shared" si="25"/>
        <v>Kurang lancar</v>
      </c>
      <c r="M540" s="5" t="str">
        <f t="shared" si="26"/>
        <v>001</v>
      </c>
      <c r="N540" s="55" t="str">
        <f>VLOOKUP(D540,Pinjaman!$E$7:$N$1900,10,FALSE)</f>
        <v>KONSUMTIF</v>
      </c>
      <c r="O540" s="55">
        <f>VLOOKUP(B540,'Data Angt'!$A$5:$H$5810,6,FALSE)</f>
        <v>38</v>
      </c>
      <c r="P540" s="55" t="str">
        <f>VLOOKUP(B540,'Data Angt'!$A$5:$H$5810,8,FALSE)</f>
        <v>Tenaga Pengajar</v>
      </c>
    </row>
    <row r="541" spans="1:16" x14ac:dyDescent="0.3">
      <c r="A541" s="8">
        <v>534</v>
      </c>
      <c r="B541" s="9" t="s">
        <v>8913</v>
      </c>
      <c r="C541" s="10" t="str">
        <f>VLOOKUP(B541,'Data Angt'!$A$5:$B$5809,2,FALSE)</f>
        <v>A4050</v>
      </c>
      <c r="D541" s="12" t="s">
        <v>16125</v>
      </c>
      <c r="E541" s="13">
        <v>45785</v>
      </c>
      <c r="F541" s="14">
        <v>45908</v>
      </c>
      <c r="G541" s="15">
        <v>20000000</v>
      </c>
      <c r="H541" s="16">
        <v>12</v>
      </c>
      <c r="I541" s="17">
        <v>24</v>
      </c>
      <c r="J541" s="15">
        <v>13854000</v>
      </c>
      <c r="K541" s="98">
        <f t="shared" si="24"/>
        <v>0</v>
      </c>
      <c r="L541" s="98" t="str">
        <f t="shared" si="25"/>
        <v>Lancar</v>
      </c>
      <c r="M541" s="5" t="str">
        <f t="shared" si="26"/>
        <v>001</v>
      </c>
      <c r="N541" s="55" t="str">
        <f>VLOOKUP(D541,Pinjaman!$E$7:$N$1900,10,FALSE)</f>
        <v>KESEJAHTERAAN</v>
      </c>
      <c r="O541" s="55">
        <f>VLOOKUP(B541,'Data Angt'!$A$5:$H$5810,6,FALSE)</f>
        <v>29</v>
      </c>
      <c r="P541" s="55" t="str">
        <f>VLOOKUP(B541,'Data Angt'!$A$5:$H$5810,8,FALSE)</f>
        <v>Karyawan</v>
      </c>
    </row>
    <row r="542" spans="1:16" x14ac:dyDescent="0.3">
      <c r="A542" s="8">
        <v>535</v>
      </c>
      <c r="B542" s="9" t="s">
        <v>8945</v>
      </c>
      <c r="C542" s="10" t="str">
        <f>VLOOKUP(B542,'Data Angt'!$A$5:$B$5809,2,FALSE)</f>
        <v>A4066</v>
      </c>
      <c r="D542" s="12" t="s">
        <v>16128</v>
      </c>
      <c r="E542" s="13">
        <v>45453</v>
      </c>
      <c r="F542" s="14">
        <v>45672</v>
      </c>
      <c r="G542" s="15">
        <v>30000000</v>
      </c>
      <c r="H542" s="16">
        <v>36</v>
      </c>
      <c r="I542" s="17">
        <v>21</v>
      </c>
      <c r="J542" s="15">
        <v>26348100</v>
      </c>
      <c r="K542" s="98">
        <f t="shared" si="24"/>
        <v>8</v>
      </c>
      <c r="L542" s="98" t="str">
        <f t="shared" si="25"/>
        <v>Diragukan</v>
      </c>
      <c r="M542" s="5" t="str">
        <f t="shared" si="26"/>
        <v>001</v>
      </c>
      <c r="N542" s="55" t="str">
        <f>VLOOKUP(D542,Pinjaman!$E$7:$N$1900,10,FALSE)</f>
        <v>KESEJAHTERAAN</v>
      </c>
      <c r="O542" s="55">
        <f>VLOOKUP(B542,'Data Angt'!$A$5:$H$5810,6,FALSE)</f>
        <v>43</v>
      </c>
      <c r="P542" s="55" t="str">
        <f>VLOOKUP(B542,'Data Angt'!$A$5:$H$5810,8,FALSE)</f>
        <v>Wiraswasta</v>
      </c>
    </row>
    <row r="543" spans="1:16" x14ac:dyDescent="0.3">
      <c r="A543" s="8">
        <v>536</v>
      </c>
      <c r="B543" s="9" t="s">
        <v>8948</v>
      </c>
      <c r="C543" s="10" t="str">
        <f>VLOOKUP(B543,'Data Angt'!$A$5:$B$5809,2,FALSE)</f>
        <v>A4069</v>
      </c>
      <c r="D543" s="12" t="s">
        <v>16130</v>
      </c>
      <c r="E543" s="13">
        <v>45642</v>
      </c>
      <c r="F543" s="14">
        <v>45916</v>
      </c>
      <c r="G543" s="15">
        <v>10000000</v>
      </c>
      <c r="H543" s="16">
        <v>24</v>
      </c>
      <c r="I543" s="17">
        <v>24</v>
      </c>
      <c r="J543" s="15">
        <v>6793100</v>
      </c>
      <c r="K543" s="98">
        <f t="shared" si="24"/>
        <v>0</v>
      </c>
      <c r="L543" s="98" t="str">
        <f t="shared" si="25"/>
        <v>Lancar</v>
      </c>
      <c r="M543" s="5" t="str">
        <f t="shared" si="26"/>
        <v>001</v>
      </c>
      <c r="N543" s="55" t="str">
        <f>VLOOKUP(D543,Pinjaman!$E$7:$N$1900,10,FALSE)</f>
        <v>PRODUKTIF</v>
      </c>
      <c r="O543" s="55">
        <f>VLOOKUP(B543,'Data Angt'!$A$5:$H$5810,6,FALSE)</f>
        <v>47</v>
      </c>
      <c r="P543" s="55">
        <f>VLOOKUP(B543,'Data Angt'!$A$5:$H$5810,8,FALSE)</f>
        <v>0</v>
      </c>
    </row>
    <row r="544" spans="1:16" x14ac:dyDescent="0.3">
      <c r="A544" s="8">
        <v>537</v>
      </c>
      <c r="B544" s="9" t="s">
        <v>8949</v>
      </c>
      <c r="C544" s="10" t="str">
        <f>VLOOKUP(B544,'Data Angt'!$A$5:$B$5809,2,FALSE)</f>
        <v>A4070</v>
      </c>
      <c r="D544" s="12" t="s">
        <v>16133</v>
      </c>
      <c r="E544" s="13">
        <v>45787</v>
      </c>
      <c r="F544" s="14">
        <v>45903</v>
      </c>
      <c r="G544" s="15">
        <v>10000000</v>
      </c>
      <c r="H544" s="16">
        <v>12</v>
      </c>
      <c r="I544" s="17">
        <v>24</v>
      </c>
      <c r="J544" s="15">
        <v>6927000</v>
      </c>
      <c r="K544" s="98">
        <f t="shared" si="24"/>
        <v>0</v>
      </c>
      <c r="L544" s="98" t="str">
        <f t="shared" si="25"/>
        <v>Lancar</v>
      </c>
      <c r="M544" s="5" t="str">
        <f t="shared" si="26"/>
        <v>001</v>
      </c>
      <c r="N544" s="55" t="str">
        <f>VLOOKUP(D544,Pinjaman!$E$7:$N$1900,10,FALSE)</f>
        <v>PENDIDIKAN</v>
      </c>
      <c r="O544" s="55">
        <f>VLOOKUP(B544,'Data Angt'!$A$5:$H$5810,6,FALSE)</f>
        <v>54</v>
      </c>
      <c r="P544" s="55" t="str">
        <f>VLOOKUP(B544,'Data Angt'!$A$5:$H$5810,8,FALSE)</f>
        <v>Karyawan</v>
      </c>
    </row>
    <row r="545" spans="1:16" x14ac:dyDescent="0.3">
      <c r="A545" s="8">
        <v>538</v>
      </c>
      <c r="B545" s="9" t="s">
        <v>8956</v>
      </c>
      <c r="C545" s="10" t="str">
        <f>VLOOKUP(B545,'Data Angt'!$A$5:$B$5809,2,FALSE)</f>
        <v>A4073</v>
      </c>
      <c r="D545" s="12" t="s">
        <v>16135</v>
      </c>
      <c r="E545" s="13">
        <v>45772</v>
      </c>
      <c r="F545" s="14">
        <v>45918</v>
      </c>
      <c r="G545" s="15">
        <v>3200000</v>
      </c>
      <c r="H545" s="16">
        <v>10</v>
      </c>
      <c r="I545" s="17">
        <v>12</v>
      </c>
      <c r="J545" s="15">
        <v>1639800</v>
      </c>
      <c r="K545" s="98">
        <f t="shared" si="24"/>
        <v>0</v>
      </c>
      <c r="L545" s="98" t="str">
        <f t="shared" si="25"/>
        <v>Lancar</v>
      </c>
      <c r="M545" s="5" t="str">
        <f t="shared" si="26"/>
        <v>001</v>
      </c>
      <c r="N545" s="55" t="str">
        <f>VLOOKUP(D545,Pinjaman!$E$7:$N$1900,10,FALSE)</f>
        <v>KONSUMTIF</v>
      </c>
      <c r="O545" s="55">
        <f>VLOOKUP(B545,'Data Angt'!$A$5:$H$5810,6,FALSE)</f>
        <v>26</v>
      </c>
      <c r="P545" s="55" t="str">
        <f>VLOOKUP(B545,'Data Angt'!$A$5:$H$5810,8,FALSE)</f>
        <v>Wiraswasta</v>
      </c>
    </row>
    <row r="546" spans="1:16" x14ac:dyDescent="0.3">
      <c r="A546" s="8">
        <v>539</v>
      </c>
      <c r="B546" s="9" t="s">
        <v>8958</v>
      </c>
      <c r="C546" s="10" t="str">
        <f>VLOOKUP(B546,'Data Angt'!$A$5:$B$5809,2,FALSE)</f>
        <v>A4074</v>
      </c>
      <c r="D546" s="12" t="s">
        <v>16137</v>
      </c>
      <c r="E546" s="13">
        <v>45577</v>
      </c>
      <c r="F546" s="14">
        <v>45930</v>
      </c>
      <c r="G546" s="15">
        <v>12500000</v>
      </c>
      <c r="H546" s="16">
        <v>36</v>
      </c>
      <c r="I546" s="17">
        <v>24</v>
      </c>
      <c r="J546" s="15">
        <v>9585300</v>
      </c>
      <c r="K546" s="98">
        <f t="shared" si="24"/>
        <v>0</v>
      </c>
      <c r="L546" s="98" t="str">
        <f t="shared" si="25"/>
        <v>Lancar</v>
      </c>
      <c r="M546" s="5" t="str">
        <f t="shared" si="26"/>
        <v>001</v>
      </c>
      <c r="N546" s="55" t="str">
        <f>VLOOKUP(D546,Pinjaman!$E$7:$N$1900,10,FALSE)</f>
        <v>KONSUMTIF</v>
      </c>
      <c r="O546" s="55">
        <f>VLOOKUP(B546,'Data Angt'!$A$5:$H$5810,6,FALSE)</f>
        <v>30</v>
      </c>
      <c r="P546" s="55" t="str">
        <f>VLOOKUP(B546,'Data Angt'!$A$5:$H$5810,8,FALSE)</f>
        <v>Karyawan</v>
      </c>
    </row>
    <row r="547" spans="1:16" x14ac:dyDescent="0.3">
      <c r="A547" s="8">
        <v>540</v>
      </c>
      <c r="B547" s="9" t="s">
        <v>8966</v>
      </c>
      <c r="C547" s="10" t="str">
        <f>VLOOKUP(B547,'Data Angt'!$A$5:$B$5809,2,FALSE)</f>
        <v>A4078</v>
      </c>
      <c r="D547" s="12" t="s">
        <v>10203</v>
      </c>
      <c r="E547" s="13">
        <v>44984</v>
      </c>
      <c r="F547" s="14">
        <v>45918</v>
      </c>
      <c r="G547" s="15">
        <v>75000000</v>
      </c>
      <c r="H547" s="16">
        <v>48</v>
      </c>
      <c r="I547" s="17">
        <v>21</v>
      </c>
      <c r="J547" s="15">
        <v>33895000</v>
      </c>
      <c r="K547" s="98">
        <f t="shared" si="24"/>
        <v>0</v>
      </c>
      <c r="L547" s="98" t="str">
        <f t="shared" si="25"/>
        <v>Lancar</v>
      </c>
      <c r="M547" s="5" t="str">
        <f t="shared" si="26"/>
        <v>001</v>
      </c>
      <c r="N547" s="55" t="str">
        <f>VLOOKUP(D547,Pinjaman!$E$7:$N$1900,10,FALSE)</f>
        <v>KESEJAHTERAAN</v>
      </c>
      <c r="O547" s="55">
        <f>VLOOKUP(B547,'Data Angt'!$A$5:$H$5810,6,FALSE)</f>
        <v>45</v>
      </c>
      <c r="P547" s="55" t="str">
        <f>VLOOKUP(B547,'Data Angt'!$A$5:$H$5810,8,FALSE)</f>
        <v>Lain-Lain</v>
      </c>
    </row>
    <row r="548" spans="1:16" x14ac:dyDescent="0.3">
      <c r="A548" s="8">
        <v>541</v>
      </c>
      <c r="B548" s="9" t="s">
        <v>8970</v>
      </c>
      <c r="C548" s="10" t="str">
        <f>VLOOKUP(B548,'Data Angt'!$A$5:$B$5809,2,FALSE)</f>
        <v>A4080</v>
      </c>
      <c r="D548" s="12" t="s">
        <v>16140</v>
      </c>
      <c r="E548" s="13">
        <v>45448</v>
      </c>
      <c r="F548" s="14">
        <v>45902</v>
      </c>
      <c r="G548" s="15">
        <v>150000000</v>
      </c>
      <c r="H548" s="16">
        <v>96</v>
      </c>
      <c r="I548" s="17">
        <v>11.4</v>
      </c>
      <c r="J548" s="15">
        <v>134541600</v>
      </c>
      <c r="K548" s="98">
        <f t="shared" si="24"/>
        <v>0</v>
      </c>
      <c r="L548" s="98" t="str">
        <f t="shared" si="25"/>
        <v>Lancar</v>
      </c>
      <c r="M548" s="5" t="str">
        <f t="shared" si="26"/>
        <v>001</v>
      </c>
      <c r="N548" s="55" t="str">
        <f>VLOOKUP(D548,Pinjaman!$E$7:$N$1900,10,FALSE)</f>
        <v>KESEJAHTERAAN</v>
      </c>
      <c r="O548" s="55">
        <f>VLOOKUP(B548,'Data Angt'!$A$5:$H$5810,6,FALSE)</f>
        <v>46</v>
      </c>
      <c r="P548" s="55" t="str">
        <f>VLOOKUP(B548,'Data Angt'!$A$5:$H$5810,8,FALSE)</f>
        <v>Mengurus Rumah Tangga</v>
      </c>
    </row>
    <row r="549" spans="1:16" x14ac:dyDescent="0.3">
      <c r="A549" s="8">
        <v>542</v>
      </c>
      <c r="B549" s="9" t="s">
        <v>8982</v>
      </c>
      <c r="C549" s="10" t="str">
        <f>VLOOKUP(B549,'Data Angt'!$A$5:$B$5809,2,FALSE)</f>
        <v>A4085</v>
      </c>
      <c r="D549" s="12" t="s">
        <v>16142</v>
      </c>
      <c r="E549" s="13">
        <v>45801</v>
      </c>
      <c r="F549" s="14">
        <v>45919</v>
      </c>
      <c r="G549" s="15">
        <v>2500000</v>
      </c>
      <c r="H549" s="16">
        <v>20</v>
      </c>
      <c r="I549" s="17">
        <v>24</v>
      </c>
      <c r="J549" s="15">
        <v>2076100</v>
      </c>
      <c r="K549" s="98">
        <f t="shared" si="24"/>
        <v>0</v>
      </c>
      <c r="L549" s="98" t="str">
        <f t="shared" si="25"/>
        <v>Lancar</v>
      </c>
      <c r="M549" s="5" t="str">
        <f t="shared" si="26"/>
        <v>001</v>
      </c>
      <c r="N549" s="55" t="str">
        <f>VLOOKUP(D549,Pinjaman!$E$7:$N$1900,10,FALSE)</f>
        <v>PENDIDIKAN</v>
      </c>
      <c r="O549" s="55">
        <f>VLOOKUP(B549,'Data Angt'!$A$5:$H$5810,6,FALSE)</f>
        <v>45</v>
      </c>
      <c r="P549" s="55" t="str">
        <f>VLOOKUP(B549,'Data Angt'!$A$5:$H$5810,8,FALSE)</f>
        <v>Wiraswasta</v>
      </c>
    </row>
    <row r="550" spans="1:16" x14ac:dyDescent="0.3">
      <c r="A550" s="8">
        <v>543</v>
      </c>
      <c r="B550" s="9" t="s">
        <v>8983</v>
      </c>
      <c r="C550" s="10" t="str">
        <f>VLOOKUP(B550,'Data Angt'!$A$5:$B$5809,2,FALSE)</f>
        <v>A4086</v>
      </c>
      <c r="D550" s="12" t="s">
        <v>16144</v>
      </c>
      <c r="E550" s="13">
        <v>45318</v>
      </c>
      <c r="F550" s="14">
        <v>45917</v>
      </c>
      <c r="G550" s="15">
        <v>34000000</v>
      </c>
      <c r="H550" s="16">
        <v>24</v>
      </c>
      <c r="I550" s="17">
        <v>21</v>
      </c>
      <c r="J550" s="15">
        <v>6692300</v>
      </c>
      <c r="K550" s="98">
        <f t="shared" si="24"/>
        <v>0</v>
      </c>
      <c r="L550" s="98" t="str">
        <f t="shared" si="25"/>
        <v>Lancar</v>
      </c>
      <c r="M550" s="5" t="str">
        <f t="shared" si="26"/>
        <v>001</v>
      </c>
      <c r="N550" s="55" t="str">
        <f>VLOOKUP(D550,Pinjaman!$E$7:$N$1900,10,FALSE)</f>
        <v>KONSUMTIF</v>
      </c>
      <c r="O550" s="55">
        <f>VLOOKUP(B550,'Data Angt'!$A$5:$H$5810,6,FALSE)</f>
        <v>54</v>
      </c>
      <c r="P550" s="55" t="str">
        <f>VLOOKUP(B550,'Data Angt'!$A$5:$H$5810,8,FALSE)</f>
        <v>Aparatur/Pejabat Negara</v>
      </c>
    </row>
    <row r="551" spans="1:16" x14ac:dyDescent="0.3">
      <c r="A551" s="8">
        <v>544</v>
      </c>
      <c r="B551" s="9" t="s">
        <v>8989</v>
      </c>
      <c r="C551" s="10" t="str">
        <f>VLOOKUP(B551,'Data Angt'!$A$5:$B$5809,2,FALSE)</f>
        <v>A4088</v>
      </c>
      <c r="D551" s="12" t="s">
        <v>10205</v>
      </c>
      <c r="E551" s="13">
        <v>45013</v>
      </c>
      <c r="F551" s="14">
        <v>45920</v>
      </c>
      <c r="G551" s="15">
        <v>38000000</v>
      </c>
      <c r="H551" s="16">
        <v>36</v>
      </c>
      <c r="I551" s="17">
        <v>21</v>
      </c>
      <c r="J551" s="15">
        <v>8087800</v>
      </c>
      <c r="K551" s="98">
        <f t="shared" si="24"/>
        <v>0</v>
      </c>
      <c r="L551" s="98" t="str">
        <f t="shared" si="25"/>
        <v>Lancar</v>
      </c>
      <c r="M551" s="5" t="str">
        <f t="shared" si="26"/>
        <v>001</v>
      </c>
      <c r="N551" s="55" t="str">
        <f>VLOOKUP(D551,Pinjaman!$E$7:$N$1900,10,FALSE)</f>
        <v>KONSUMTIF</v>
      </c>
      <c r="O551" s="55">
        <f>VLOOKUP(B551,'Data Angt'!$A$5:$H$5810,6,FALSE)</f>
        <v>54</v>
      </c>
      <c r="P551" s="55" t="str">
        <f>VLOOKUP(B551,'Data Angt'!$A$5:$H$5810,8,FALSE)</f>
        <v>Aparatur/Pejabat Negara</v>
      </c>
    </row>
    <row r="552" spans="1:16" x14ac:dyDescent="0.3">
      <c r="A552" s="8">
        <v>545</v>
      </c>
      <c r="B552" s="9" t="s">
        <v>8999</v>
      </c>
      <c r="C552" s="10" t="str">
        <f>VLOOKUP(B552,'Data Angt'!$A$5:$B$5809,2,FALSE)</f>
        <v>A4093</v>
      </c>
      <c r="D552" s="12" t="s">
        <v>22685</v>
      </c>
      <c r="E552" s="13">
        <v>45904</v>
      </c>
      <c r="F552" s="14">
        <v>45904</v>
      </c>
      <c r="G552" s="15">
        <v>8000000</v>
      </c>
      <c r="H552" s="16">
        <v>48</v>
      </c>
      <c r="I552" s="17">
        <v>24</v>
      </c>
      <c r="J552" s="15">
        <v>8000000</v>
      </c>
      <c r="K552" s="98">
        <f t="shared" si="24"/>
        <v>0</v>
      </c>
      <c r="L552" s="98" t="str">
        <f t="shared" si="25"/>
        <v>Lancar</v>
      </c>
      <c r="M552" s="5" t="str">
        <f t="shared" si="26"/>
        <v>001</v>
      </c>
      <c r="N552" s="55" t="str">
        <f>VLOOKUP(D552,Pinjaman!$E$7:$N$1900,10,FALSE)</f>
        <v>KONSUMTIF</v>
      </c>
      <c r="O552" s="55">
        <f>VLOOKUP(B552,'Data Angt'!$A$5:$H$5810,6,FALSE)</f>
        <v>28</v>
      </c>
      <c r="P552" s="55" t="str">
        <f>VLOOKUP(B552,'Data Angt'!$A$5:$H$5810,8,FALSE)</f>
        <v>Karyawan</v>
      </c>
    </row>
    <row r="553" spans="1:16" x14ac:dyDescent="0.3">
      <c r="A553" s="8">
        <v>546</v>
      </c>
      <c r="B553" s="9" t="s">
        <v>9030</v>
      </c>
      <c r="C553" s="10" t="str">
        <f>VLOOKUP(B553,'Data Angt'!$A$5:$B$5809,2,FALSE)</f>
        <v>A4105</v>
      </c>
      <c r="D553" s="12" t="s">
        <v>16147</v>
      </c>
      <c r="E553" s="13">
        <v>45595</v>
      </c>
      <c r="F553" s="14">
        <v>45920</v>
      </c>
      <c r="G553" s="15">
        <v>12250000</v>
      </c>
      <c r="H553" s="16">
        <v>18</v>
      </c>
      <c r="I553" s="17">
        <v>12</v>
      </c>
      <c r="J553" s="15">
        <v>5025800</v>
      </c>
      <c r="K553" s="98">
        <f t="shared" si="24"/>
        <v>0</v>
      </c>
      <c r="L553" s="98" t="str">
        <f t="shared" si="25"/>
        <v>Lancar</v>
      </c>
      <c r="M553" s="5" t="str">
        <f t="shared" si="26"/>
        <v>001</v>
      </c>
      <c r="N553" s="55" t="str">
        <f>VLOOKUP(D553,Pinjaman!$E$7:$N$1900,10,FALSE)</f>
        <v>PRODUKTIF</v>
      </c>
      <c r="O553" s="55">
        <f>VLOOKUP(B553,'Data Angt'!$A$5:$H$5810,6,FALSE)</f>
        <v>22</v>
      </c>
      <c r="P553" s="55">
        <f>VLOOKUP(B553,'Data Angt'!$A$5:$H$5810,8,FALSE)</f>
        <v>0</v>
      </c>
    </row>
    <row r="554" spans="1:16" x14ac:dyDescent="0.3">
      <c r="A554" s="8">
        <v>547</v>
      </c>
      <c r="B554" s="9" t="s">
        <v>9074</v>
      </c>
      <c r="C554" s="10" t="str">
        <f>VLOOKUP(B554,'Data Angt'!$A$5:$B$5809,2,FALSE)</f>
        <v>A4127</v>
      </c>
      <c r="D554" s="12" t="s">
        <v>22688</v>
      </c>
      <c r="E554" s="13">
        <v>45891</v>
      </c>
      <c r="F554" s="14">
        <v>45918</v>
      </c>
      <c r="G554" s="15">
        <v>1500000</v>
      </c>
      <c r="H554" s="16">
        <v>12</v>
      </c>
      <c r="I554" s="17">
        <v>24</v>
      </c>
      <c r="J554" s="15">
        <v>1388100</v>
      </c>
      <c r="K554" s="98">
        <f t="shared" si="24"/>
        <v>0</v>
      </c>
      <c r="L554" s="98" t="str">
        <f t="shared" si="25"/>
        <v>Lancar</v>
      </c>
      <c r="M554" s="5" t="str">
        <f t="shared" si="26"/>
        <v>001</v>
      </c>
      <c r="N554" s="55" t="str">
        <f>VLOOKUP(D554,Pinjaman!$E$7:$N$1900,10,FALSE)</f>
        <v>PRODUKTIF</v>
      </c>
      <c r="O554" s="55">
        <f>VLOOKUP(B554,'Data Angt'!$A$5:$H$5810,6,FALSE)</f>
        <v>54</v>
      </c>
      <c r="P554" s="55" t="str">
        <f>VLOOKUP(B554,'Data Angt'!$A$5:$H$5810,8,FALSE)</f>
        <v>Wiraswasta</v>
      </c>
    </row>
    <row r="555" spans="1:16" x14ac:dyDescent="0.3">
      <c r="A555" s="8">
        <v>548</v>
      </c>
      <c r="B555" s="9" t="s">
        <v>9094</v>
      </c>
      <c r="C555" s="10" t="str">
        <f>VLOOKUP(B555,'Data Angt'!$A$5:$B$5809,2,FALSE)</f>
        <v>A4138</v>
      </c>
      <c r="D555" s="12" t="s">
        <v>22691</v>
      </c>
      <c r="E555" s="13">
        <v>45852</v>
      </c>
      <c r="F555" s="14">
        <v>45926</v>
      </c>
      <c r="G555" s="15">
        <v>6000000</v>
      </c>
      <c r="H555" s="16">
        <v>12</v>
      </c>
      <c r="I555" s="17">
        <v>18</v>
      </c>
      <c r="J555" s="15">
        <v>5072900</v>
      </c>
      <c r="K555" s="98">
        <f t="shared" si="24"/>
        <v>0</v>
      </c>
      <c r="L555" s="98" t="str">
        <f t="shared" si="25"/>
        <v>Lancar</v>
      </c>
      <c r="M555" s="5" t="str">
        <f t="shared" si="26"/>
        <v>001</v>
      </c>
      <c r="N555" s="55" t="str">
        <f>VLOOKUP(D555,Pinjaman!$E$7:$N$1900,10,FALSE)</f>
        <v>PENDIDIKAN</v>
      </c>
      <c r="O555" s="55">
        <f>VLOOKUP(B555,'Data Angt'!$A$5:$H$5810,6,FALSE)</f>
        <v>37</v>
      </c>
      <c r="P555" s="55" t="str">
        <f>VLOOKUP(B555,'Data Angt'!$A$5:$H$5810,8,FALSE)</f>
        <v>Karyawan</v>
      </c>
    </row>
    <row r="556" spans="1:16" x14ac:dyDescent="0.3">
      <c r="A556" s="8">
        <v>549</v>
      </c>
      <c r="B556" s="9" t="s">
        <v>9117</v>
      </c>
      <c r="C556" s="10" t="str">
        <f>VLOOKUP(B556,'Data Angt'!$A$5:$B$5809,2,FALSE)</f>
        <v>A4148</v>
      </c>
      <c r="D556" s="12" t="s">
        <v>16150</v>
      </c>
      <c r="E556" s="13">
        <v>45794</v>
      </c>
      <c r="F556" s="14">
        <v>45918</v>
      </c>
      <c r="G556" s="15">
        <v>2500000</v>
      </c>
      <c r="H556" s="16">
        <v>10</v>
      </c>
      <c r="I556" s="17">
        <v>24</v>
      </c>
      <c r="J556" s="15">
        <v>1563500</v>
      </c>
      <c r="K556" s="98">
        <f t="shared" si="24"/>
        <v>0</v>
      </c>
      <c r="L556" s="98" t="str">
        <f t="shared" si="25"/>
        <v>Lancar</v>
      </c>
      <c r="M556" s="5" t="str">
        <f t="shared" si="26"/>
        <v>001</v>
      </c>
      <c r="N556" s="55" t="str">
        <f>VLOOKUP(D556,Pinjaman!$E$7:$N$1900,10,FALSE)</f>
        <v>KONSUMTIF</v>
      </c>
      <c r="O556" s="55">
        <f>VLOOKUP(B556,'Data Angt'!$A$5:$H$5810,6,FALSE)</f>
        <v>48</v>
      </c>
      <c r="P556" s="55" t="str">
        <f>VLOOKUP(B556,'Data Angt'!$A$5:$H$5810,8,FALSE)</f>
        <v>Karyawan</v>
      </c>
    </row>
    <row r="557" spans="1:16" x14ac:dyDescent="0.3">
      <c r="A557" s="8">
        <v>550</v>
      </c>
      <c r="B557" s="9" t="s">
        <v>9117</v>
      </c>
      <c r="C557" s="10" t="str">
        <f>VLOOKUP(B557,'Data Angt'!$A$5:$B$5809,2,FALSE)</f>
        <v>A4148</v>
      </c>
      <c r="D557" s="12" t="s">
        <v>16152</v>
      </c>
      <c r="E557" s="13">
        <v>45692</v>
      </c>
      <c r="F557" s="14">
        <v>45918</v>
      </c>
      <c r="G557" s="15">
        <v>48500000</v>
      </c>
      <c r="H557" s="16">
        <v>48</v>
      </c>
      <c r="I557" s="17">
        <v>21</v>
      </c>
      <c r="J557" s="15">
        <v>43681200</v>
      </c>
      <c r="K557" s="98">
        <f t="shared" si="24"/>
        <v>0</v>
      </c>
      <c r="L557" s="98" t="str">
        <f t="shared" si="25"/>
        <v>Lancar</v>
      </c>
      <c r="M557" s="5" t="str">
        <f t="shared" si="26"/>
        <v>001</v>
      </c>
      <c r="N557" s="55" t="str">
        <f>VLOOKUP(D557,Pinjaman!$E$7:$N$1900,10,FALSE)</f>
        <v>KESEJAHTERAAN</v>
      </c>
      <c r="O557" s="55">
        <f>VLOOKUP(B557,'Data Angt'!$A$5:$H$5810,6,FALSE)</f>
        <v>48</v>
      </c>
      <c r="P557" s="55" t="str">
        <f>VLOOKUP(B557,'Data Angt'!$A$5:$H$5810,8,FALSE)</f>
        <v>Karyawan</v>
      </c>
    </row>
    <row r="558" spans="1:16" x14ac:dyDescent="0.3">
      <c r="A558" s="8">
        <v>551</v>
      </c>
      <c r="B558" s="9" t="s">
        <v>9130</v>
      </c>
      <c r="C558" s="10" t="str">
        <f>VLOOKUP(B558,'Data Angt'!$A$5:$B$5809,2,FALSE)</f>
        <v>A4153</v>
      </c>
      <c r="D558" s="12" t="s">
        <v>16154</v>
      </c>
      <c r="E558" s="13">
        <v>45350</v>
      </c>
      <c r="F558" s="14">
        <v>45923</v>
      </c>
      <c r="G558" s="15">
        <v>25000000</v>
      </c>
      <c r="H558" s="16">
        <v>36</v>
      </c>
      <c r="I558" s="17">
        <v>21</v>
      </c>
      <c r="J558" s="15">
        <v>13747100</v>
      </c>
      <c r="K558" s="98">
        <f t="shared" si="24"/>
        <v>0</v>
      </c>
      <c r="L558" s="98" t="str">
        <f t="shared" si="25"/>
        <v>Lancar</v>
      </c>
      <c r="M558" s="5" t="str">
        <f t="shared" si="26"/>
        <v>001</v>
      </c>
      <c r="N558" s="55" t="str">
        <f>VLOOKUP(D558,Pinjaman!$E$7:$N$1900,10,FALSE)</f>
        <v>KONSUMTIF</v>
      </c>
      <c r="O558" s="55">
        <f>VLOOKUP(B558,'Data Angt'!$A$5:$H$5810,6,FALSE)</f>
        <v>24</v>
      </c>
      <c r="P558" s="55" t="str">
        <f>VLOOKUP(B558,'Data Angt'!$A$5:$H$5810,8,FALSE)</f>
        <v>Karyawan</v>
      </c>
    </row>
    <row r="559" spans="1:16" x14ac:dyDescent="0.3">
      <c r="A559" s="8">
        <v>552</v>
      </c>
      <c r="B559" s="9" t="s">
        <v>9142</v>
      </c>
      <c r="C559" s="10" t="str">
        <f>VLOOKUP(B559,'Data Angt'!$A$5:$B$5809,2,FALSE)</f>
        <v>A4158</v>
      </c>
      <c r="D559" s="12" t="s">
        <v>16156</v>
      </c>
      <c r="E559" s="13">
        <v>45797</v>
      </c>
      <c r="F559" s="14">
        <v>45930</v>
      </c>
      <c r="G559" s="15">
        <v>7500000</v>
      </c>
      <c r="H559" s="16">
        <v>12</v>
      </c>
      <c r="I559" s="17">
        <v>24</v>
      </c>
      <c r="J559" s="15">
        <v>5195400</v>
      </c>
      <c r="K559" s="98">
        <f t="shared" si="24"/>
        <v>0</v>
      </c>
      <c r="L559" s="98" t="str">
        <f t="shared" si="25"/>
        <v>Lancar</v>
      </c>
      <c r="M559" s="5" t="str">
        <f t="shared" si="26"/>
        <v>001</v>
      </c>
      <c r="N559" s="55" t="str">
        <f>VLOOKUP(D559,Pinjaman!$E$7:$N$1900,10,FALSE)</f>
        <v>KESEJAHTERAAN</v>
      </c>
      <c r="O559" s="55">
        <f>VLOOKUP(B559,'Data Angt'!$A$5:$H$5810,6,FALSE)</f>
        <v>28</v>
      </c>
      <c r="P559" s="55" t="str">
        <f>VLOOKUP(B559,'Data Angt'!$A$5:$H$5810,8,FALSE)</f>
        <v>Karyawan</v>
      </c>
    </row>
    <row r="560" spans="1:16" x14ac:dyDescent="0.3">
      <c r="A560" s="8">
        <v>553</v>
      </c>
      <c r="B560" s="9" t="s">
        <v>9174</v>
      </c>
      <c r="C560" s="10" t="str">
        <f>VLOOKUP(B560,'Data Angt'!$A$5:$B$5809,2,FALSE)</f>
        <v>A4174</v>
      </c>
      <c r="D560" s="12" t="s">
        <v>10207</v>
      </c>
      <c r="E560" s="13">
        <v>45245</v>
      </c>
      <c r="F560" s="14">
        <v>45439</v>
      </c>
      <c r="G560" s="15">
        <v>25000000</v>
      </c>
      <c r="H560" s="16">
        <v>24</v>
      </c>
      <c r="I560" s="17">
        <v>18</v>
      </c>
      <c r="J560" s="15">
        <v>19560800</v>
      </c>
      <c r="K560" s="98">
        <f t="shared" si="24"/>
        <v>16</v>
      </c>
      <c r="L560" s="98" t="str">
        <f t="shared" si="25"/>
        <v>Macet</v>
      </c>
      <c r="M560" s="5" t="str">
        <f t="shared" si="26"/>
        <v>001</v>
      </c>
      <c r="N560" s="55" t="str">
        <f>VLOOKUP(D560,Pinjaman!$E$7:$N$1900,10,FALSE)</f>
        <v>KONSUMTIF</v>
      </c>
      <c r="O560" s="55">
        <f>VLOOKUP(B560,'Data Angt'!$A$5:$H$5810,6,FALSE)</f>
        <v>20</v>
      </c>
      <c r="P560" s="55" t="str">
        <f>VLOOKUP(B560,'Data Angt'!$A$5:$H$5810,8,FALSE)</f>
        <v>Karyawan</v>
      </c>
    </row>
    <row r="561" spans="1:16" x14ac:dyDescent="0.3">
      <c r="A561" s="8">
        <v>554</v>
      </c>
      <c r="B561" s="9" t="s">
        <v>9179</v>
      </c>
      <c r="C561" s="10" t="str">
        <f>VLOOKUP(B561,'Data Angt'!$A$5:$B$5809,2,FALSE)</f>
        <v>A4176</v>
      </c>
      <c r="D561" s="12" t="s">
        <v>16159</v>
      </c>
      <c r="E561" s="13">
        <v>45616</v>
      </c>
      <c r="F561" s="14">
        <v>45771</v>
      </c>
      <c r="G561" s="15">
        <v>20000000</v>
      </c>
      <c r="H561" s="16">
        <v>18</v>
      </c>
      <c r="I561" s="17">
        <v>24</v>
      </c>
      <c r="J561" s="15">
        <v>16150200</v>
      </c>
      <c r="K561" s="98">
        <f t="shared" si="24"/>
        <v>5</v>
      </c>
      <c r="L561" s="98" t="str">
        <f t="shared" si="25"/>
        <v>Kurang lancar</v>
      </c>
      <c r="M561" s="5" t="str">
        <f t="shared" si="26"/>
        <v>001</v>
      </c>
      <c r="N561" s="55" t="str">
        <f>VLOOKUP(D561,Pinjaman!$E$7:$N$1900,10,FALSE)</f>
        <v>PRODUKTIF</v>
      </c>
      <c r="O561" s="55">
        <f>VLOOKUP(B561,'Data Angt'!$A$5:$H$5810,6,FALSE)</f>
        <v>40</v>
      </c>
      <c r="P561" s="55" t="str">
        <f>VLOOKUP(B561,'Data Angt'!$A$5:$H$5810,8,FALSE)</f>
        <v>Karyawan</v>
      </c>
    </row>
    <row r="562" spans="1:16" x14ac:dyDescent="0.3">
      <c r="A562" s="8">
        <v>555</v>
      </c>
      <c r="B562" s="9" t="s">
        <v>9202</v>
      </c>
      <c r="C562" s="10" t="str">
        <f>VLOOKUP(B562,'Data Angt'!$A$5:$B$5809,2,FALSE)</f>
        <v>A4187</v>
      </c>
      <c r="D562" s="12" t="s">
        <v>22698</v>
      </c>
      <c r="E562" s="13">
        <v>45919</v>
      </c>
      <c r="F562" s="14">
        <v>45919</v>
      </c>
      <c r="G562" s="15">
        <v>50000000</v>
      </c>
      <c r="H562" s="16">
        <v>36</v>
      </c>
      <c r="I562" s="17">
        <v>21</v>
      </c>
      <c r="J562" s="15">
        <v>50000000</v>
      </c>
      <c r="K562" s="98">
        <f t="shared" si="24"/>
        <v>0</v>
      </c>
      <c r="L562" s="98" t="str">
        <f t="shared" si="25"/>
        <v>Lancar</v>
      </c>
      <c r="M562" s="5" t="str">
        <f t="shared" si="26"/>
        <v>001</v>
      </c>
      <c r="N562" s="55" t="str">
        <f>VLOOKUP(D562,Pinjaman!$E$7:$N$1900,10,FALSE)</f>
        <v>PENDIDIKAN</v>
      </c>
      <c r="O562" s="55">
        <f>VLOOKUP(B562,'Data Angt'!$A$5:$H$5810,6,FALSE)</f>
        <v>53</v>
      </c>
      <c r="P562" s="55" t="str">
        <f>VLOOKUP(B562,'Data Angt'!$A$5:$H$5810,8,FALSE)</f>
        <v>Tenaga Pengajar</v>
      </c>
    </row>
    <row r="563" spans="1:16" x14ac:dyDescent="0.3">
      <c r="A563" s="8">
        <v>556</v>
      </c>
      <c r="B563" s="9" t="s">
        <v>9230</v>
      </c>
      <c r="C563" s="10" t="str">
        <f>VLOOKUP(B563,'Data Angt'!$A$5:$B$5809,2,FALSE)</f>
        <v>A4198</v>
      </c>
      <c r="D563" s="12" t="s">
        <v>16162</v>
      </c>
      <c r="E563" s="13">
        <v>45689</v>
      </c>
      <c r="F563" s="14">
        <v>45901</v>
      </c>
      <c r="G563" s="15">
        <v>5000000</v>
      </c>
      <c r="H563" s="16">
        <v>8</v>
      </c>
      <c r="I563" s="17">
        <v>24</v>
      </c>
      <c r="J563" s="15">
        <v>669100</v>
      </c>
      <c r="K563" s="98">
        <f t="shared" si="24"/>
        <v>0</v>
      </c>
      <c r="L563" s="98" t="str">
        <f t="shared" si="25"/>
        <v>Lancar</v>
      </c>
      <c r="M563" s="5" t="str">
        <f t="shared" si="26"/>
        <v>001</v>
      </c>
      <c r="N563" s="55" t="str">
        <f>VLOOKUP(D563,Pinjaman!$E$7:$N$1900,10,FALSE)</f>
        <v>PRODUKTIF</v>
      </c>
      <c r="O563" s="55">
        <f>VLOOKUP(B563,'Data Angt'!$A$5:$H$5810,6,FALSE)</f>
        <v>43</v>
      </c>
      <c r="P563" s="55" t="str">
        <f>VLOOKUP(B563,'Data Angt'!$A$5:$H$5810,8,FALSE)</f>
        <v>Karyawan</v>
      </c>
    </row>
    <row r="564" spans="1:16" x14ac:dyDescent="0.3">
      <c r="A564" s="8">
        <v>557</v>
      </c>
      <c r="B564" s="9" t="s">
        <v>9233</v>
      </c>
      <c r="C564" s="10" t="str">
        <f>VLOOKUP(B564,'Data Angt'!$A$5:$B$5809,2,FALSE)</f>
        <v>A4199</v>
      </c>
      <c r="D564" s="12" t="s">
        <v>16164</v>
      </c>
      <c r="E564" s="13">
        <v>45804</v>
      </c>
      <c r="F564" s="14">
        <v>45924</v>
      </c>
      <c r="G564" s="15">
        <v>3000000</v>
      </c>
      <c r="H564" s="16">
        <v>10</v>
      </c>
      <c r="I564" s="17">
        <v>24</v>
      </c>
      <c r="J564" s="15">
        <v>1870900</v>
      </c>
      <c r="K564" s="98">
        <f t="shared" si="24"/>
        <v>0</v>
      </c>
      <c r="L564" s="98" t="str">
        <f t="shared" si="25"/>
        <v>Lancar</v>
      </c>
      <c r="M564" s="5" t="str">
        <f t="shared" si="26"/>
        <v>001</v>
      </c>
      <c r="N564" s="55" t="str">
        <f>VLOOKUP(D564,Pinjaman!$E$7:$N$1900,10,FALSE)</f>
        <v>KESEJAHTERAAN</v>
      </c>
      <c r="O564" s="55">
        <f>VLOOKUP(B564,'Data Angt'!$A$5:$H$5810,6,FALSE)</f>
        <v>53</v>
      </c>
      <c r="P564" s="55" t="str">
        <f>VLOOKUP(B564,'Data Angt'!$A$5:$H$5810,8,FALSE)</f>
        <v>Karyawan</v>
      </c>
    </row>
    <row r="565" spans="1:16" x14ac:dyDescent="0.3">
      <c r="A565" s="8">
        <v>558</v>
      </c>
      <c r="B565" s="9" t="s">
        <v>9233</v>
      </c>
      <c r="C565" s="10" t="str">
        <f>VLOOKUP(B565,'Data Angt'!$A$5:$B$5809,2,FALSE)</f>
        <v>A4199</v>
      </c>
      <c r="D565" s="12" t="s">
        <v>10210</v>
      </c>
      <c r="E565" s="13">
        <v>45159</v>
      </c>
      <c r="F565" s="14">
        <v>45922</v>
      </c>
      <c r="G565" s="15">
        <v>49000000</v>
      </c>
      <c r="H565" s="16">
        <v>48</v>
      </c>
      <c r="I565" s="17">
        <v>21</v>
      </c>
      <c r="J565" s="15">
        <v>28526300</v>
      </c>
      <c r="K565" s="98">
        <f t="shared" si="24"/>
        <v>0</v>
      </c>
      <c r="L565" s="98" t="str">
        <f t="shared" si="25"/>
        <v>Lancar</v>
      </c>
      <c r="M565" s="5" t="str">
        <f t="shared" si="26"/>
        <v>001</v>
      </c>
      <c r="N565" s="55" t="str">
        <f>VLOOKUP(D565,Pinjaman!$E$7:$N$1900,10,FALSE)</f>
        <v>KESEJAHTERAAN</v>
      </c>
      <c r="O565" s="55">
        <f>VLOOKUP(B565,'Data Angt'!$A$5:$H$5810,6,FALSE)</f>
        <v>53</v>
      </c>
      <c r="P565" s="55" t="str">
        <f>VLOOKUP(B565,'Data Angt'!$A$5:$H$5810,8,FALSE)</f>
        <v>Karyawan</v>
      </c>
    </row>
    <row r="566" spans="1:16" x14ac:dyDescent="0.3">
      <c r="A566" s="8">
        <v>559</v>
      </c>
      <c r="B566" s="9" t="s">
        <v>9254</v>
      </c>
      <c r="C566" s="10" t="str">
        <f>VLOOKUP(B566,'Data Angt'!$A$5:$B$5809,2,FALSE)</f>
        <v>A4207</v>
      </c>
      <c r="D566" s="12" t="s">
        <v>16166</v>
      </c>
      <c r="E566" s="13">
        <v>45378</v>
      </c>
      <c r="F566" s="14">
        <v>45920</v>
      </c>
      <c r="G566" s="15">
        <v>5000000</v>
      </c>
      <c r="H566" s="16">
        <v>24</v>
      </c>
      <c r="I566" s="17">
        <v>24</v>
      </c>
      <c r="J566" s="15">
        <v>1480800</v>
      </c>
      <c r="K566" s="98">
        <f t="shared" si="24"/>
        <v>0</v>
      </c>
      <c r="L566" s="98" t="str">
        <f t="shared" si="25"/>
        <v>Lancar</v>
      </c>
      <c r="M566" s="5" t="str">
        <f t="shared" si="26"/>
        <v>001</v>
      </c>
      <c r="N566" s="55" t="str">
        <f>VLOOKUP(D566,Pinjaman!$E$7:$N$1900,10,FALSE)</f>
        <v>PRODUKTIF</v>
      </c>
      <c r="O566" s="55">
        <f>VLOOKUP(B566,'Data Angt'!$A$5:$H$5810,6,FALSE)</f>
        <v>47</v>
      </c>
      <c r="P566" s="55" t="str">
        <f>VLOOKUP(B566,'Data Angt'!$A$5:$H$5810,8,FALSE)</f>
        <v>Wiraswasta</v>
      </c>
    </row>
    <row r="567" spans="1:16" x14ac:dyDescent="0.3">
      <c r="A567" s="8">
        <v>560</v>
      </c>
      <c r="B567" s="9" t="s">
        <v>9291</v>
      </c>
      <c r="C567" s="10" t="str">
        <f>VLOOKUP(B567,'Data Angt'!$A$5:$B$5809,2,FALSE)</f>
        <v>A4224</v>
      </c>
      <c r="D567" s="12" t="s">
        <v>22703</v>
      </c>
      <c r="E567" s="13">
        <v>45850</v>
      </c>
      <c r="F567" s="14">
        <v>45922</v>
      </c>
      <c r="G567" s="15">
        <v>2000000</v>
      </c>
      <c r="H567" s="16">
        <v>4</v>
      </c>
      <c r="I567" s="17">
        <v>24</v>
      </c>
      <c r="J567" s="15">
        <v>1019700</v>
      </c>
      <c r="K567" s="98">
        <f t="shared" si="24"/>
        <v>0</v>
      </c>
      <c r="L567" s="98" t="str">
        <f t="shared" si="25"/>
        <v>Lancar</v>
      </c>
      <c r="M567" s="5" t="str">
        <f t="shared" si="26"/>
        <v>001</v>
      </c>
      <c r="N567" s="55" t="str">
        <f>VLOOKUP(D567,Pinjaman!$E$7:$N$1900,10,FALSE)</f>
        <v>KESEJAHTERAAN</v>
      </c>
      <c r="O567" s="55">
        <f>VLOOKUP(B567,'Data Angt'!$A$5:$H$5810,6,FALSE)</f>
        <v>26</v>
      </c>
      <c r="P567" s="55" t="str">
        <f>VLOOKUP(B567,'Data Angt'!$A$5:$H$5810,8,FALSE)</f>
        <v>Karyawan</v>
      </c>
    </row>
    <row r="568" spans="1:16" x14ac:dyDescent="0.3">
      <c r="A568" s="8">
        <v>561</v>
      </c>
      <c r="B568" s="9" t="s">
        <v>9304</v>
      </c>
      <c r="C568" s="10" t="str">
        <f>VLOOKUP(B568,'Data Angt'!$A$5:$B$5809,2,FALSE)</f>
        <v>A4229</v>
      </c>
      <c r="D568" s="12" t="s">
        <v>16169</v>
      </c>
      <c r="E568" s="13">
        <v>45602</v>
      </c>
      <c r="F568" s="14">
        <v>45906</v>
      </c>
      <c r="G568" s="15">
        <v>6239300</v>
      </c>
      <c r="H568" s="16">
        <v>10</v>
      </c>
      <c r="I568" s="17">
        <v>24</v>
      </c>
      <c r="J568" s="15">
        <v>35281900</v>
      </c>
      <c r="K568" s="98">
        <f t="shared" si="24"/>
        <v>0</v>
      </c>
      <c r="L568" s="98" t="str">
        <f t="shared" si="25"/>
        <v>Lancar</v>
      </c>
      <c r="M568" s="5" t="str">
        <f t="shared" si="26"/>
        <v>001</v>
      </c>
      <c r="N568" s="55" t="str">
        <f>VLOOKUP(D568,Pinjaman!$E$7:$N$1900,10,FALSE)</f>
        <v>PENDIDIKAN</v>
      </c>
      <c r="O568" s="55">
        <f>VLOOKUP(B568,'Data Angt'!$A$5:$H$5810,6,FALSE)</f>
        <v>40</v>
      </c>
      <c r="P568" s="55" t="str">
        <f>VLOOKUP(B568,'Data Angt'!$A$5:$H$5810,8,FALSE)</f>
        <v>Karyawan</v>
      </c>
    </row>
    <row r="569" spans="1:16" x14ac:dyDescent="0.3">
      <c r="A569" s="8">
        <v>562</v>
      </c>
      <c r="B569" s="9" t="s">
        <v>9306</v>
      </c>
      <c r="C569" s="10" t="str">
        <f>VLOOKUP(B569,'Data Angt'!$A$5:$B$5809,2,FALSE)</f>
        <v>A4230</v>
      </c>
      <c r="D569" s="12" t="s">
        <v>16171</v>
      </c>
      <c r="E569" s="13">
        <v>45526</v>
      </c>
      <c r="F569" s="14">
        <v>45923</v>
      </c>
      <c r="G569" s="15">
        <v>65000000</v>
      </c>
      <c r="H569" s="16">
        <v>36</v>
      </c>
      <c r="I569" s="17">
        <v>21</v>
      </c>
      <c r="J569" s="15">
        <v>46042100</v>
      </c>
      <c r="K569" s="98">
        <f t="shared" si="24"/>
        <v>0</v>
      </c>
      <c r="L569" s="98" t="str">
        <f t="shared" si="25"/>
        <v>Lancar</v>
      </c>
      <c r="M569" s="5" t="str">
        <f t="shared" si="26"/>
        <v>001</v>
      </c>
      <c r="N569" s="55" t="str">
        <f>VLOOKUP(D569,Pinjaman!$E$7:$N$1900,10,FALSE)</f>
        <v>KONSUMTIF</v>
      </c>
      <c r="O569" s="55">
        <f>VLOOKUP(B569,'Data Angt'!$A$5:$H$5810,6,FALSE)</f>
        <v>28</v>
      </c>
      <c r="P569" s="55">
        <f>VLOOKUP(B569,'Data Angt'!$A$5:$H$5810,8,FALSE)</f>
        <v>0</v>
      </c>
    </row>
    <row r="570" spans="1:16" x14ac:dyDescent="0.3">
      <c r="A570" s="8">
        <v>563</v>
      </c>
      <c r="B570" s="9" t="s">
        <v>9313</v>
      </c>
      <c r="C570" s="10" t="str">
        <f>VLOOKUP(B570,'Data Angt'!$A$5:$B$5809,2,FALSE)</f>
        <v>A4234</v>
      </c>
      <c r="D570" s="12" t="s">
        <v>16173</v>
      </c>
      <c r="E570" s="13">
        <v>45644</v>
      </c>
      <c r="F570" s="14">
        <v>45839</v>
      </c>
      <c r="G570" s="15">
        <v>25000000</v>
      </c>
      <c r="H570" s="16">
        <v>36</v>
      </c>
      <c r="I570" s="17">
        <v>21</v>
      </c>
      <c r="J570" s="15">
        <v>22388300</v>
      </c>
      <c r="K570" s="98">
        <f t="shared" si="24"/>
        <v>2</v>
      </c>
      <c r="L570" s="98" t="str">
        <f t="shared" si="25"/>
        <v>Lancar</v>
      </c>
      <c r="M570" s="5" t="str">
        <f t="shared" si="26"/>
        <v>001</v>
      </c>
      <c r="N570" s="55" t="str">
        <f>VLOOKUP(D570,Pinjaman!$E$7:$N$1900,10,FALSE)</f>
        <v>PRODUKTIF</v>
      </c>
      <c r="O570" s="55">
        <f>VLOOKUP(B570,'Data Angt'!$A$5:$H$5810,6,FALSE)</f>
        <v>55</v>
      </c>
      <c r="P570" s="55">
        <f>VLOOKUP(B570,'Data Angt'!$A$5:$H$5810,8,FALSE)</f>
        <v>0</v>
      </c>
    </row>
    <row r="571" spans="1:16" x14ac:dyDescent="0.3">
      <c r="A571" s="8">
        <v>564</v>
      </c>
      <c r="B571" s="9" t="s">
        <v>9325</v>
      </c>
      <c r="C571" s="10" t="str">
        <f>VLOOKUP(B571,'Data Angt'!$A$5:$B$5809,2,FALSE)</f>
        <v>A4240</v>
      </c>
      <c r="D571" s="12" t="s">
        <v>10215</v>
      </c>
      <c r="E571" s="13">
        <v>45190</v>
      </c>
      <c r="F571" s="14">
        <v>45916</v>
      </c>
      <c r="G571" s="15">
        <v>45000000</v>
      </c>
      <c r="H571" s="16">
        <v>30</v>
      </c>
      <c r="I571" s="17">
        <v>21</v>
      </c>
      <c r="J571" s="15">
        <v>27231800</v>
      </c>
      <c r="K571" s="98">
        <f t="shared" si="24"/>
        <v>0</v>
      </c>
      <c r="L571" s="98" t="str">
        <f t="shared" si="25"/>
        <v>Lancar</v>
      </c>
      <c r="M571" s="5" t="str">
        <f t="shared" si="26"/>
        <v>001</v>
      </c>
      <c r="N571" s="55" t="str">
        <f>VLOOKUP(D571,Pinjaman!$E$7:$N$1900,10,FALSE)</f>
        <v>KESEJAHTERAAN</v>
      </c>
      <c r="O571" s="55">
        <f>VLOOKUP(B571,'Data Angt'!$A$5:$H$5810,6,FALSE)</f>
        <v>35</v>
      </c>
      <c r="P571" s="55" t="str">
        <f>VLOOKUP(B571,'Data Angt'!$A$5:$H$5810,8,FALSE)</f>
        <v>Karyawan</v>
      </c>
    </row>
    <row r="572" spans="1:16" x14ac:dyDescent="0.3">
      <c r="A572" s="8">
        <v>565</v>
      </c>
      <c r="B572" s="9" t="s">
        <v>9341</v>
      </c>
      <c r="C572" s="10" t="str">
        <f>VLOOKUP(B572,'Data Angt'!$A$5:$B$5809,2,FALSE)</f>
        <v>A4247</v>
      </c>
      <c r="D572" s="12" t="s">
        <v>22706</v>
      </c>
      <c r="E572" s="13">
        <v>45918</v>
      </c>
      <c r="F572" s="14">
        <v>45918</v>
      </c>
      <c r="G572" s="15">
        <v>2500000</v>
      </c>
      <c r="H572" s="16">
        <v>10</v>
      </c>
      <c r="I572" s="17">
        <v>24</v>
      </c>
      <c r="J572" s="15">
        <v>2500000</v>
      </c>
      <c r="K572" s="98">
        <f t="shared" si="24"/>
        <v>0</v>
      </c>
      <c r="L572" s="98" t="str">
        <f t="shared" si="25"/>
        <v>Lancar</v>
      </c>
      <c r="M572" s="5" t="str">
        <f t="shared" si="26"/>
        <v>001</v>
      </c>
      <c r="N572" s="55" t="str">
        <f>VLOOKUP(D572,Pinjaman!$E$7:$N$1900,10,FALSE)</f>
        <v>PRODUKTIF</v>
      </c>
      <c r="O572" s="55">
        <f>VLOOKUP(B572,'Data Angt'!$A$5:$H$5810,6,FALSE)</f>
        <v>56</v>
      </c>
      <c r="P572" s="55" t="str">
        <f>VLOOKUP(B572,'Data Angt'!$A$5:$H$5810,8,FALSE)</f>
        <v>Wiraswasta</v>
      </c>
    </row>
    <row r="573" spans="1:16" x14ac:dyDescent="0.3">
      <c r="A573" s="8">
        <v>566</v>
      </c>
      <c r="B573" s="9" t="s">
        <v>9352</v>
      </c>
      <c r="C573" s="10" t="str">
        <f>VLOOKUP(B573,'Data Angt'!$A$5:$B$5809,2,FALSE)</f>
        <v>A4254</v>
      </c>
      <c r="D573" s="12" t="s">
        <v>16176</v>
      </c>
      <c r="E573" s="13">
        <v>45719</v>
      </c>
      <c r="F573" s="14">
        <v>45903</v>
      </c>
      <c r="G573" s="15">
        <v>5000000</v>
      </c>
      <c r="H573" s="16">
        <v>12</v>
      </c>
      <c r="I573" s="17">
        <v>24</v>
      </c>
      <c r="J573" s="15">
        <v>2648600</v>
      </c>
      <c r="K573" s="98">
        <f t="shared" si="24"/>
        <v>0</v>
      </c>
      <c r="L573" s="98" t="str">
        <f t="shared" si="25"/>
        <v>Lancar</v>
      </c>
      <c r="M573" s="5" t="str">
        <f t="shared" si="26"/>
        <v>001</v>
      </c>
      <c r="N573" s="55" t="str">
        <f>VLOOKUP(D573,Pinjaman!$E$7:$N$1900,10,FALSE)</f>
        <v>PRODUKTIF</v>
      </c>
      <c r="O573" s="55">
        <f>VLOOKUP(B573,'Data Angt'!$A$5:$H$5810,6,FALSE)</f>
        <v>38</v>
      </c>
      <c r="P573" s="55" t="str">
        <f>VLOOKUP(B573,'Data Angt'!$A$5:$H$5810,8,FALSE)</f>
        <v>Wiraswasta</v>
      </c>
    </row>
    <row r="574" spans="1:16" x14ac:dyDescent="0.3">
      <c r="A574" s="8">
        <v>567</v>
      </c>
      <c r="B574" s="9" t="s">
        <v>9357</v>
      </c>
      <c r="C574" s="10" t="str">
        <f>VLOOKUP(B574,'Data Angt'!$A$5:$B$5809,2,FALSE)</f>
        <v>A4256</v>
      </c>
      <c r="D574" s="12" t="s">
        <v>16178</v>
      </c>
      <c r="E574" s="13">
        <v>45638</v>
      </c>
      <c r="F574" s="14">
        <v>45909</v>
      </c>
      <c r="G574" s="15">
        <v>18000000</v>
      </c>
      <c r="H574" s="16">
        <v>24</v>
      </c>
      <c r="I574" s="17">
        <v>24</v>
      </c>
      <c r="J574" s="15">
        <v>14920900</v>
      </c>
      <c r="K574" s="98">
        <f t="shared" si="24"/>
        <v>0</v>
      </c>
      <c r="L574" s="98" t="str">
        <f t="shared" si="25"/>
        <v>Lancar</v>
      </c>
      <c r="M574" s="5" t="str">
        <f t="shared" si="26"/>
        <v>001</v>
      </c>
      <c r="N574" s="55" t="str">
        <f>VLOOKUP(D574,Pinjaman!$E$7:$N$1900,10,FALSE)</f>
        <v>KONSUMTIF</v>
      </c>
      <c r="O574" s="55">
        <f>VLOOKUP(B574,'Data Angt'!$A$5:$H$5810,6,FALSE)</f>
        <v>39</v>
      </c>
      <c r="P574" s="55" t="str">
        <f>VLOOKUP(B574,'Data Angt'!$A$5:$H$5810,8,FALSE)</f>
        <v>Karyawan</v>
      </c>
    </row>
    <row r="575" spans="1:16" x14ac:dyDescent="0.3">
      <c r="A575" s="8">
        <v>568</v>
      </c>
      <c r="B575" s="9" t="s">
        <v>9383</v>
      </c>
      <c r="C575" s="10" t="str">
        <f>VLOOKUP(B575,'Data Angt'!$A$5:$B$5809,2,FALSE)</f>
        <v>A4268</v>
      </c>
      <c r="D575" s="12" t="s">
        <v>16181</v>
      </c>
      <c r="E575" s="13">
        <v>45673</v>
      </c>
      <c r="F575" s="14">
        <v>45916</v>
      </c>
      <c r="G575" s="15">
        <v>20000000</v>
      </c>
      <c r="H575" s="16">
        <v>48</v>
      </c>
      <c r="I575" s="17">
        <v>24</v>
      </c>
      <c r="J575" s="15">
        <v>17836600</v>
      </c>
      <c r="K575" s="98">
        <f t="shared" si="24"/>
        <v>0</v>
      </c>
      <c r="L575" s="98" t="str">
        <f t="shared" si="25"/>
        <v>Lancar</v>
      </c>
      <c r="M575" s="5" t="str">
        <f t="shared" si="26"/>
        <v>001</v>
      </c>
      <c r="N575" s="55" t="str">
        <f>VLOOKUP(D575,Pinjaman!$E$7:$N$1900,10,FALSE)</f>
        <v>PRODUKTIF</v>
      </c>
      <c r="O575" s="55">
        <f>VLOOKUP(B575,'Data Angt'!$A$5:$H$5810,6,FALSE)</f>
        <v>58</v>
      </c>
      <c r="P575" s="55" t="str">
        <f>VLOOKUP(B575,'Data Angt'!$A$5:$H$5810,8,FALSE)</f>
        <v>Aparatur/Pejabat Negara</v>
      </c>
    </row>
    <row r="576" spans="1:16" x14ac:dyDescent="0.3">
      <c r="A576" s="8">
        <v>569</v>
      </c>
      <c r="B576" s="9" t="s">
        <v>9395</v>
      </c>
      <c r="C576" s="10" t="str">
        <f>VLOOKUP(B576,'Data Angt'!$A$5:$B$5809,2,FALSE)</f>
        <v>A4274</v>
      </c>
      <c r="D576" s="12" t="s">
        <v>16184</v>
      </c>
      <c r="E576" s="13">
        <v>45730</v>
      </c>
      <c r="F576" s="14">
        <v>45916</v>
      </c>
      <c r="G576" s="15">
        <v>20000000</v>
      </c>
      <c r="H576" s="16">
        <v>24</v>
      </c>
      <c r="I576" s="17">
        <v>24</v>
      </c>
      <c r="J576" s="15">
        <v>15852700</v>
      </c>
      <c r="K576" s="98">
        <f t="shared" si="24"/>
        <v>0</v>
      </c>
      <c r="L576" s="98" t="str">
        <f t="shared" si="25"/>
        <v>Lancar</v>
      </c>
      <c r="M576" s="5" t="str">
        <f t="shared" si="26"/>
        <v>001</v>
      </c>
      <c r="N576" s="55" t="str">
        <f>VLOOKUP(D576,Pinjaman!$E$7:$N$1900,10,FALSE)</f>
        <v>PRODUKTIF</v>
      </c>
      <c r="O576" s="55">
        <f>VLOOKUP(B576,'Data Angt'!$A$5:$H$5810,6,FALSE)</f>
        <v>48</v>
      </c>
      <c r="P576" s="55" t="str">
        <f>VLOOKUP(B576,'Data Angt'!$A$5:$H$5810,8,FALSE)</f>
        <v>Wiraswasta</v>
      </c>
    </row>
    <row r="577" spans="1:16" x14ac:dyDescent="0.3">
      <c r="A577" s="8">
        <v>570</v>
      </c>
      <c r="B577" s="9" t="s">
        <v>9407</v>
      </c>
      <c r="C577" s="10" t="str">
        <f>VLOOKUP(B577,'Data Angt'!$A$5:$B$5809,2,FALSE)</f>
        <v>A4279</v>
      </c>
      <c r="D577" s="12" t="s">
        <v>16186</v>
      </c>
      <c r="E577" s="13">
        <v>45558</v>
      </c>
      <c r="F577" s="14">
        <v>45923</v>
      </c>
      <c r="G577" s="15">
        <v>10000000</v>
      </c>
      <c r="H577" s="16">
        <v>12</v>
      </c>
      <c r="I577" s="17">
        <v>24</v>
      </c>
      <c r="J577" s="15">
        <v>9374300</v>
      </c>
      <c r="K577" s="98">
        <f t="shared" si="24"/>
        <v>0</v>
      </c>
      <c r="L577" s="98" t="str">
        <f t="shared" si="25"/>
        <v>Lancar</v>
      </c>
      <c r="M577" s="5" t="str">
        <f t="shared" si="26"/>
        <v>001</v>
      </c>
      <c r="N577" s="55" t="str">
        <f>VLOOKUP(D577,Pinjaman!$E$7:$N$1900,10,FALSE)</f>
        <v>PENDIDIKAN</v>
      </c>
      <c r="O577" s="55">
        <f>VLOOKUP(B577,'Data Angt'!$A$5:$H$5810,6,FALSE)</f>
        <v>56</v>
      </c>
      <c r="P577" s="55" t="str">
        <f>VLOOKUP(B577,'Data Angt'!$A$5:$H$5810,8,FALSE)</f>
        <v>Karyawan</v>
      </c>
    </row>
    <row r="578" spans="1:16" x14ac:dyDescent="0.3">
      <c r="A578" s="8">
        <v>571</v>
      </c>
      <c r="B578" s="9" t="s">
        <v>9481</v>
      </c>
      <c r="C578" s="10" t="str">
        <f>VLOOKUP(B578,'Data Angt'!$A$5:$B$5809,2,FALSE)</f>
        <v>A4313</v>
      </c>
      <c r="D578" s="12" t="s">
        <v>16188</v>
      </c>
      <c r="E578" s="13">
        <v>45703</v>
      </c>
      <c r="F578" s="14">
        <v>45910</v>
      </c>
      <c r="G578" s="15">
        <v>8000000</v>
      </c>
      <c r="H578" s="16">
        <v>24</v>
      </c>
      <c r="I578" s="17">
        <v>24</v>
      </c>
      <c r="J578" s="15">
        <v>6045200</v>
      </c>
      <c r="K578" s="98">
        <f t="shared" si="24"/>
        <v>0</v>
      </c>
      <c r="L578" s="98" t="str">
        <f t="shared" si="25"/>
        <v>Lancar</v>
      </c>
      <c r="M578" s="5" t="str">
        <f t="shared" si="26"/>
        <v>001</v>
      </c>
      <c r="N578" s="55" t="str">
        <f>VLOOKUP(D578,Pinjaman!$E$7:$N$1900,10,FALSE)</f>
        <v>KESEJAHTERAAN</v>
      </c>
      <c r="O578" s="55">
        <f>VLOOKUP(B578,'Data Angt'!$A$5:$H$5810,6,FALSE)</f>
        <v>32</v>
      </c>
      <c r="P578" s="55" t="str">
        <f>VLOOKUP(B578,'Data Angt'!$A$5:$H$5810,8,FALSE)</f>
        <v>Karyawan</v>
      </c>
    </row>
    <row r="579" spans="1:16" x14ac:dyDescent="0.3">
      <c r="A579" s="8">
        <v>572</v>
      </c>
      <c r="B579" s="9" t="s">
        <v>9494</v>
      </c>
      <c r="C579" s="10" t="str">
        <f>VLOOKUP(B579,'Data Angt'!$A$5:$B$5809,2,FALSE)</f>
        <v>A4318</v>
      </c>
      <c r="D579" s="12" t="s">
        <v>16191</v>
      </c>
      <c r="E579" s="13">
        <v>45671</v>
      </c>
      <c r="F579" s="14">
        <v>45915</v>
      </c>
      <c r="G579" s="15">
        <v>10000000</v>
      </c>
      <c r="H579" s="16">
        <v>18</v>
      </c>
      <c r="I579" s="17">
        <v>24</v>
      </c>
      <c r="J579" s="15">
        <v>5991200</v>
      </c>
      <c r="K579" s="98">
        <f t="shared" si="24"/>
        <v>0</v>
      </c>
      <c r="L579" s="98" t="str">
        <f t="shared" si="25"/>
        <v>Lancar</v>
      </c>
      <c r="M579" s="5" t="str">
        <f t="shared" si="26"/>
        <v>001</v>
      </c>
      <c r="N579" s="55" t="str">
        <f>VLOOKUP(D579,Pinjaman!$E$7:$N$1900,10,FALSE)</f>
        <v>KONSUMTIF</v>
      </c>
      <c r="O579" s="55">
        <f>VLOOKUP(B579,'Data Angt'!$A$5:$H$5810,6,FALSE)</f>
        <v>27</v>
      </c>
      <c r="P579" s="55" t="str">
        <f>VLOOKUP(B579,'Data Angt'!$A$5:$H$5810,8,FALSE)</f>
        <v>Karyawan</v>
      </c>
    </row>
    <row r="580" spans="1:16" x14ac:dyDescent="0.3">
      <c r="A580" s="8">
        <v>573</v>
      </c>
      <c r="B580" s="9" t="s">
        <v>9499</v>
      </c>
      <c r="C580" s="10" t="str">
        <f>VLOOKUP(B580,'Data Angt'!$A$5:$B$5809,2,FALSE)</f>
        <v>A4320</v>
      </c>
      <c r="D580" s="12" t="s">
        <v>16194</v>
      </c>
      <c r="E580" s="13">
        <v>45670</v>
      </c>
      <c r="F580" s="14">
        <v>45917</v>
      </c>
      <c r="G580" s="15">
        <v>5000000</v>
      </c>
      <c r="H580" s="16">
        <v>12</v>
      </c>
      <c r="I580" s="17">
        <v>24</v>
      </c>
      <c r="J580" s="15">
        <v>3060100</v>
      </c>
      <c r="K580" s="98">
        <f t="shared" si="24"/>
        <v>0</v>
      </c>
      <c r="L580" s="98" t="str">
        <f t="shared" si="25"/>
        <v>Lancar</v>
      </c>
      <c r="M580" s="5" t="str">
        <f t="shared" si="26"/>
        <v>001</v>
      </c>
      <c r="N580" s="55" t="str">
        <f>VLOOKUP(D580,Pinjaman!$E$7:$N$1900,10,FALSE)</f>
        <v>KESEJAHTERAAN</v>
      </c>
      <c r="O580" s="55">
        <f>VLOOKUP(B580,'Data Angt'!$A$5:$H$5810,6,FALSE)</f>
        <v>65</v>
      </c>
      <c r="P580" s="55" t="str">
        <f>VLOOKUP(B580,'Data Angt'!$A$5:$H$5810,8,FALSE)</f>
        <v>Karyawan</v>
      </c>
    </row>
    <row r="581" spans="1:16" x14ac:dyDescent="0.3">
      <c r="A581" s="8">
        <v>574</v>
      </c>
      <c r="B581" s="9" t="s">
        <v>9502</v>
      </c>
      <c r="C581" s="10" t="str">
        <f>VLOOKUP(B581,'Data Angt'!$A$5:$B$5809,2,FALSE)</f>
        <v>A4321</v>
      </c>
      <c r="D581" s="12" t="s">
        <v>22714</v>
      </c>
      <c r="E581" s="13">
        <v>45904</v>
      </c>
      <c r="F581" s="14">
        <v>45904</v>
      </c>
      <c r="G581" s="15">
        <v>1500000</v>
      </c>
      <c r="H581" s="16">
        <v>5</v>
      </c>
      <c r="I581" s="17">
        <v>24</v>
      </c>
      <c r="J581" s="15">
        <v>1500000</v>
      </c>
      <c r="K581" s="98">
        <f t="shared" si="24"/>
        <v>0</v>
      </c>
      <c r="L581" s="98" t="str">
        <f t="shared" si="25"/>
        <v>Lancar</v>
      </c>
      <c r="M581" s="5" t="str">
        <f t="shared" si="26"/>
        <v>001</v>
      </c>
      <c r="N581" s="55" t="str">
        <f>VLOOKUP(D581,Pinjaman!$E$7:$N$1900,10,FALSE)</f>
        <v>PRODUKTIF</v>
      </c>
      <c r="O581" s="55">
        <f>VLOOKUP(B581,'Data Angt'!$A$5:$H$5810,6,FALSE)</f>
        <v>49</v>
      </c>
      <c r="P581" s="55" t="str">
        <f>VLOOKUP(B581,'Data Angt'!$A$5:$H$5810,8,FALSE)</f>
        <v>Wiraswasta</v>
      </c>
    </row>
    <row r="582" spans="1:16" x14ac:dyDescent="0.3">
      <c r="A582" s="8">
        <v>575</v>
      </c>
      <c r="B582" s="9" t="s">
        <v>9533</v>
      </c>
      <c r="C582" s="10" t="str">
        <f>VLOOKUP(B582,'Data Angt'!$A$5:$B$5809,2,FALSE)</f>
        <v>A4334</v>
      </c>
      <c r="D582" s="12" t="s">
        <v>16197</v>
      </c>
      <c r="E582" s="13">
        <v>45709</v>
      </c>
      <c r="F582" s="14">
        <v>45917</v>
      </c>
      <c r="G582" s="15">
        <v>1600000</v>
      </c>
      <c r="H582" s="16">
        <v>12</v>
      </c>
      <c r="I582" s="17">
        <v>12</v>
      </c>
      <c r="J582" s="15">
        <v>689900</v>
      </c>
      <c r="K582" s="98">
        <f t="shared" si="24"/>
        <v>0</v>
      </c>
      <c r="L582" s="98" t="str">
        <f t="shared" si="25"/>
        <v>Lancar</v>
      </c>
      <c r="M582" s="5" t="str">
        <f t="shared" si="26"/>
        <v>001</v>
      </c>
      <c r="N582" s="55" t="str">
        <f>VLOOKUP(D582,Pinjaman!$E$7:$N$1900,10,FALSE)</f>
        <v>KONSUMTIF</v>
      </c>
      <c r="O582" s="55">
        <f>VLOOKUP(B582,'Data Angt'!$A$5:$H$5810,6,FALSE)</f>
        <v>48</v>
      </c>
      <c r="P582" s="55" t="str">
        <f>VLOOKUP(B582,'Data Angt'!$A$5:$H$5810,8,FALSE)</f>
        <v>Wiraswasta</v>
      </c>
    </row>
    <row r="583" spans="1:16" x14ac:dyDescent="0.3">
      <c r="A583" s="8">
        <v>576</v>
      </c>
      <c r="B583" s="9" t="s">
        <v>9579</v>
      </c>
      <c r="C583" s="10" t="str">
        <f>VLOOKUP(B583,'Data Angt'!$A$5:$B$5809,2,FALSE)</f>
        <v>A4353</v>
      </c>
      <c r="D583" s="12" t="s">
        <v>16199</v>
      </c>
      <c r="E583" s="13">
        <v>45614</v>
      </c>
      <c r="F583" s="14">
        <v>45917</v>
      </c>
      <c r="G583" s="15">
        <v>49000000</v>
      </c>
      <c r="H583" s="16">
        <v>24</v>
      </c>
      <c r="I583" s="17">
        <v>21</v>
      </c>
      <c r="J583" s="15">
        <v>38591600</v>
      </c>
      <c r="K583" s="98">
        <f t="shared" si="24"/>
        <v>0</v>
      </c>
      <c r="L583" s="98" t="str">
        <f t="shared" si="25"/>
        <v>Lancar</v>
      </c>
      <c r="M583" s="5" t="str">
        <f t="shared" si="26"/>
        <v>001</v>
      </c>
      <c r="N583" s="55" t="str">
        <f>VLOOKUP(D583,Pinjaman!$E$7:$N$1900,10,FALSE)</f>
        <v>PRODUKTIF</v>
      </c>
      <c r="O583" s="55">
        <f>VLOOKUP(B583,'Data Angt'!$A$5:$H$5810,6,FALSE)</f>
        <v>42</v>
      </c>
      <c r="P583" s="55" t="str">
        <f>VLOOKUP(B583,'Data Angt'!$A$5:$H$5810,8,FALSE)</f>
        <v>Karyawan</v>
      </c>
    </row>
    <row r="584" spans="1:16" x14ac:dyDescent="0.3">
      <c r="A584" s="8">
        <v>577</v>
      </c>
      <c r="B584" s="9" t="s">
        <v>12624</v>
      </c>
      <c r="C584" s="10" t="str">
        <f>VLOOKUP(B584,'Data Angt'!$A$5:$B$5809,2,FALSE)</f>
        <v>A4364</v>
      </c>
      <c r="D584" s="12" t="s">
        <v>16201</v>
      </c>
      <c r="E584" s="13">
        <v>45801</v>
      </c>
      <c r="F584" s="14">
        <v>45901</v>
      </c>
      <c r="G584" s="15">
        <v>5000000</v>
      </c>
      <c r="H584" s="16">
        <v>12</v>
      </c>
      <c r="I584" s="17">
        <v>24</v>
      </c>
      <c r="J584" s="15">
        <v>3471300</v>
      </c>
      <c r="K584" s="98">
        <f t="shared" si="24"/>
        <v>0</v>
      </c>
      <c r="L584" s="98" t="str">
        <f t="shared" si="25"/>
        <v>Lancar</v>
      </c>
      <c r="M584" s="5" t="str">
        <f t="shared" si="26"/>
        <v>001</v>
      </c>
      <c r="N584" s="55" t="str">
        <f>VLOOKUP(D584,Pinjaman!$E$7:$N$1900,10,FALSE)</f>
        <v>KESEJAHTERAAN</v>
      </c>
      <c r="O584" s="55">
        <f>VLOOKUP(B584,'Data Angt'!$A$5:$H$5810,6,FALSE)</f>
        <v>59</v>
      </c>
      <c r="P584" s="55" t="str">
        <f>VLOOKUP(B584,'Data Angt'!$A$5:$H$5810,8,FALSE)</f>
        <v>Mengurus Rumah Tangga</v>
      </c>
    </row>
    <row r="585" spans="1:16" x14ac:dyDescent="0.3">
      <c r="A585" s="8">
        <v>578</v>
      </c>
      <c r="B585" s="9" t="s">
        <v>12629</v>
      </c>
      <c r="C585" s="10" t="str">
        <f>VLOOKUP(B585,'Data Angt'!$A$5:$B$5809,2,FALSE)</f>
        <v>A4367</v>
      </c>
      <c r="D585" s="12" t="s">
        <v>16203</v>
      </c>
      <c r="E585" s="13">
        <v>45807</v>
      </c>
      <c r="F585" s="14">
        <v>45926</v>
      </c>
      <c r="G585" s="15">
        <v>1500000</v>
      </c>
      <c r="H585" s="16">
        <v>10</v>
      </c>
      <c r="I585" s="17">
        <v>24</v>
      </c>
      <c r="J585" s="15">
        <v>935500</v>
      </c>
      <c r="K585" s="98">
        <f t="shared" ref="K585:K648" si="27">DATEDIF(F585,$K$6,"m")</f>
        <v>0</v>
      </c>
      <c r="L585" s="98" t="str">
        <f t="shared" ref="L585:L648" si="28">IF(K585&lt;=3,"Lancar",IF(K585&lt;=6,"Kurang lancar",IF(K585&lt;=12,"Diragukan","Macet")))</f>
        <v>Lancar</v>
      </c>
      <c r="M585" s="5" t="str">
        <f t="shared" ref="M585:M648" si="29">MID(B585,7,3)</f>
        <v>001</v>
      </c>
      <c r="N585" s="55" t="str">
        <f>VLOOKUP(D585,Pinjaman!$E$7:$N$1900,10,FALSE)</f>
        <v>PRODUKTIF</v>
      </c>
      <c r="O585" s="55">
        <f>VLOOKUP(B585,'Data Angt'!$A$5:$H$5810,6,FALSE)</f>
        <v>43</v>
      </c>
      <c r="P585" s="55" t="str">
        <f>VLOOKUP(B585,'Data Angt'!$A$5:$H$5810,8,FALSE)</f>
        <v>Mengurus Rumah Tangga</v>
      </c>
    </row>
    <row r="586" spans="1:16" x14ac:dyDescent="0.3">
      <c r="A586" s="8">
        <v>579</v>
      </c>
      <c r="B586" s="9" t="s">
        <v>12659</v>
      </c>
      <c r="C586" s="10" t="str">
        <f>VLOOKUP(B586,'Data Angt'!$A$5:$B$5809,2,FALSE)</f>
        <v>A4383</v>
      </c>
      <c r="D586" s="12" t="s">
        <v>16206</v>
      </c>
      <c r="E586" s="13">
        <v>45345</v>
      </c>
      <c r="F586" s="14">
        <v>45924</v>
      </c>
      <c r="G586" s="15">
        <v>25000000</v>
      </c>
      <c r="H586" s="16">
        <v>30</v>
      </c>
      <c r="I586" s="17">
        <v>21</v>
      </c>
      <c r="J586" s="15">
        <v>10704200</v>
      </c>
      <c r="K586" s="98">
        <f t="shared" si="27"/>
        <v>0</v>
      </c>
      <c r="L586" s="98" t="str">
        <f t="shared" si="28"/>
        <v>Lancar</v>
      </c>
      <c r="M586" s="5" t="str">
        <f t="shared" si="29"/>
        <v>001</v>
      </c>
      <c r="N586" s="55" t="str">
        <f>VLOOKUP(D586,Pinjaman!$E$7:$N$1900,10,FALSE)</f>
        <v>KONSUMTIF</v>
      </c>
      <c r="O586" s="55">
        <f>VLOOKUP(B586,'Data Angt'!$A$5:$H$5810,6,FALSE)</f>
        <v>27</v>
      </c>
      <c r="P586" s="55" t="str">
        <f>VLOOKUP(B586,'Data Angt'!$A$5:$H$5810,8,FALSE)</f>
        <v>Karyawan</v>
      </c>
    </row>
    <row r="587" spans="1:16" x14ac:dyDescent="0.3">
      <c r="A587" s="8">
        <v>580</v>
      </c>
      <c r="B587" s="9" t="s">
        <v>12677</v>
      </c>
      <c r="C587" s="10" t="str">
        <f>VLOOKUP(B587,'Data Angt'!$A$5:$B$5809,2,FALSE)</f>
        <v>A4391</v>
      </c>
      <c r="D587" s="12" t="s">
        <v>16209</v>
      </c>
      <c r="E587" s="13">
        <v>45657</v>
      </c>
      <c r="F587" s="14">
        <v>45919</v>
      </c>
      <c r="G587" s="15">
        <v>5000000</v>
      </c>
      <c r="H587" s="16">
        <v>12</v>
      </c>
      <c r="I587" s="17">
        <v>18</v>
      </c>
      <c r="J587" s="15">
        <v>1335300</v>
      </c>
      <c r="K587" s="98">
        <f t="shared" si="27"/>
        <v>0</v>
      </c>
      <c r="L587" s="98" t="str">
        <f t="shared" si="28"/>
        <v>Lancar</v>
      </c>
      <c r="M587" s="5" t="str">
        <f t="shared" si="29"/>
        <v>001</v>
      </c>
      <c r="N587" s="55" t="str">
        <f>VLOOKUP(D587,Pinjaman!$E$7:$N$1900,10,FALSE)</f>
        <v>KESEJAHTERAAN</v>
      </c>
      <c r="O587" s="55">
        <f>VLOOKUP(B587,'Data Angt'!$A$5:$H$5810,6,FALSE)</f>
        <v>26</v>
      </c>
      <c r="P587" s="55" t="str">
        <f>VLOOKUP(B587,'Data Angt'!$A$5:$H$5810,8,FALSE)</f>
        <v>Tenaga Pengajar</v>
      </c>
    </row>
    <row r="588" spans="1:16" x14ac:dyDescent="0.3">
      <c r="A588" s="8">
        <v>581</v>
      </c>
      <c r="B588" s="9" t="s">
        <v>12683</v>
      </c>
      <c r="C588" s="10" t="str">
        <f>VLOOKUP(B588,'Data Angt'!$A$5:$B$5809,2,FALSE)</f>
        <v>A4394</v>
      </c>
      <c r="D588" s="12" t="s">
        <v>16211</v>
      </c>
      <c r="E588" s="13">
        <v>45696</v>
      </c>
      <c r="F588" s="14">
        <v>45909</v>
      </c>
      <c r="G588" s="15">
        <v>10000000</v>
      </c>
      <c r="H588" s="16">
        <v>18</v>
      </c>
      <c r="I588" s="17">
        <v>24</v>
      </c>
      <c r="J588" s="15">
        <v>6527700</v>
      </c>
      <c r="K588" s="98">
        <f t="shared" si="27"/>
        <v>0</v>
      </c>
      <c r="L588" s="98" t="str">
        <f t="shared" si="28"/>
        <v>Lancar</v>
      </c>
      <c r="M588" s="5" t="str">
        <f t="shared" si="29"/>
        <v>001</v>
      </c>
      <c r="N588" s="55" t="str">
        <f>VLOOKUP(D588,Pinjaman!$E$7:$N$1900,10,FALSE)</f>
        <v>KESEJAHTERAAN</v>
      </c>
      <c r="O588" s="55">
        <f>VLOOKUP(B588,'Data Angt'!$A$5:$H$5810,6,FALSE)</f>
        <v>48</v>
      </c>
      <c r="P588" s="55" t="str">
        <f>VLOOKUP(B588,'Data Angt'!$A$5:$H$5810,8,FALSE)</f>
        <v>Karyawan</v>
      </c>
    </row>
    <row r="589" spans="1:16" x14ac:dyDescent="0.3">
      <c r="A589" s="8">
        <v>582</v>
      </c>
      <c r="B589" s="9" t="s">
        <v>12687</v>
      </c>
      <c r="C589" s="10" t="str">
        <f>VLOOKUP(B589,'Data Angt'!$A$5:$B$5809,2,FALSE)</f>
        <v>A4395</v>
      </c>
      <c r="D589" s="12" t="s">
        <v>16213</v>
      </c>
      <c r="E589" s="13">
        <v>45309</v>
      </c>
      <c r="F589" s="14">
        <v>45912</v>
      </c>
      <c r="G589" s="15">
        <v>25312000</v>
      </c>
      <c r="H589" s="16">
        <v>36</v>
      </c>
      <c r="I589" s="17">
        <v>21</v>
      </c>
      <c r="J589" s="15">
        <v>13207700</v>
      </c>
      <c r="K589" s="98">
        <f t="shared" si="27"/>
        <v>0</v>
      </c>
      <c r="L589" s="98" t="str">
        <f t="shared" si="28"/>
        <v>Lancar</v>
      </c>
      <c r="M589" s="5" t="str">
        <f t="shared" si="29"/>
        <v>001</v>
      </c>
      <c r="N589" s="55" t="str">
        <f>VLOOKUP(D589,Pinjaman!$E$7:$N$1900,10,FALSE)</f>
        <v>KONSUMTIF</v>
      </c>
      <c r="O589" s="55">
        <f>VLOOKUP(B589,'Data Angt'!$A$5:$H$5810,6,FALSE)</f>
        <v>24</v>
      </c>
      <c r="P589" s="55" t="str">
        <f>VLOOKUP(B589,'Data Angt'!$A$5:$H$5810,8,FALSE)</f>
        <v>Karyawan</v>
      </c>
    </row>
    <row r="590" spans="1:16" x14ac:dyDescent="0.3">
      <c r="A590" s="8">
        <v>583</v>
      </c>
      <c r="B590" s="9" t="s">
        <v>12690</v>
      </c>
      <c r="C590" s="10" t="str">
        <f>VLOOKUP(B590,'Data Angt'!$A$5:$B$5809,2,FALSE)</f>
        <v>A4396</v>
      </c>
      <c r="D590" s="12" t="s">
        <v>16215</v>
      </c>
      <c r="E590" s="13">
        <v>45666</v>
      </c>
      <c r="F590" s="14">
        <v>45913</v>
      </c>
      <c r="G590" s="15">
        <v>6000000</v>
      </c>
      <c r="H590" s="16">
        <v>24</v>
      </c>
      <c r="I590" s="17">
        <v>24</v>
      </c>
      <c r="J590" s="15">
        <v>4307000</v>
      </c>
      <c r="K590" s="98">
        <f t="shared" si="27"/>
        <v>0</v>
      </c>
      <c r="L590" s="98" t="str">
        <f t="shared" si="28"/>
        <v>Lancar</v>
      </c>
      <c r="M590" s="5" t="str">
        <f t="shared" si="29"/>
        <v>001</v>
      </c>
      <c r="N590" s="55" t="str">
        <f>VLOOKUP(D590,Pinjaman!$E$7:$N$1900,10,FALSE)</f>
        <v>PENDIDIKAN</v>
      </c>
      <c r="O590" s="55">
        <f>VLOOKUP(B590,'Data Angt'!$A$5:$H$5810,6,FALSE)</f>
        <v>49</v>
      </c>
      <c r="P590" s="55" t="str">
        <f>VLOOKUP(B590,'Data Angt'!$A$5:$H$5810,8,FALSE)</f>
        <v>Aparatur/Pejabat Negara</v>
      </c>
    </row>
    <row r="591" spans="1:16" x14ac:dyDescent="0.3">
      <c r="A591" s="8">
        <v>584</v>
      </c>
      <c r="B591" s="9" t="s">
        <v>12701</v>
      </c>
      <c r="C591" s="10" t="str">
        <f>VLOOKUP(B591,'Data Angt'!$A$5:$B$5809,2,FALSE)</f>
        <v>A4401</v>
      </c>
      <c r="D591" s="12" t="s">
        <v>16217</v>
      </c>
      <c r="E591" s="13">
        <v>45712</v>
      </c>
      <c r="F591" s="14">
        <v>45923</v>
      </c>
      <c r="G591" s="15">
        <v>2000000</v>
      </c>
      <c r="H591" s="16">
        <v>12</v>
      </c>
      <c r="I591" s="17">
        <v>24</v>
      </c>
      <c r="J591" s="15">
        <v>891100</v>
      </c>
      <c r="K591" s="98">
        <f t="shared" si="27"/>
        <v>0</v>
      </c>
      <c r="L591" s="98" t="str">
        <f t="shared" si="28"/>
        <v>Lancar</v>
      </c>
      <c r="M591" s="5" t="str">
        <f t="shared" si="29"/>
        <v>001</v>
      </c>
      <c r="N591" s="55" t="str">
        <f>VLOOKUP(D591,Pinjaman!$E$7:$N$1900,10,FALSE)</f>
        <v>KONSUMTIF</v>
      </c>
      <c r="O591" s="55">
        <f>VLOOKUP(B591,'Data Angt'!$A$5:$H$5810,6,FALSE)</f>
        <v>52</v>
      </c>
      <c r="P591" s="55" t="str">
        <f>VLOOKUP(B591,'Data Angt'!$A$5:$H$5810,8,FALSE)</f>
        <v>Lain-Lain</v>
      </c>
    </row>
    <row r="592" spans="1:16" x14ac:dyDescent="0.3">
      <c r="A592" s="8">
        <v>585</v>
      </c>
      <c r="B592" s="9" t="s">
        <v>12746</v>
      </c>
      <c r="C592" s="10" t="str">
        <f>VLOOKUP(B592,'Data Angt'!$A$5:$B$5809,2,FALSE)</f>
        <v>A4419</v>
      </c>
      <c r="D592" s="12" t="s">
        <v>16219</v>
      </c>
      <c r="E592" s="13">
        <v>45800</v>
      </c>
      <c r="F592" s="14">
        <v>45923</v>
      </c>
      <c r="G592" s="15">
        <v>6000000</v>
      </c>
      <c r="H592" s="16">
        <v>18</v>
      </c>
      <c r="I592" s="17">
        <v>24</v>
      </c>
      <c r="J592" s="15">
        <v>4666400</v>
      </c>
      <c r="K592" s="98">
        <f t="shared" si="27"/>
        <v>0</v>
      </c>
      <c r="L592" s="98" t="str">
        <f t="shared" si="28"/>
        <v>Lancar</v>
      </c>
      <c r="M592" s="5" t="str">
        <f t="shared" si="29"/>
        <v>001</v>
      </c>
      <c r="N592" s="55" t="str">
        <f>VLOOKUP(D592,Pinjaman!$E$7:$N$1900,10,FALSE)</f>
        <v>KESEJAHTERAAN</v>
      </c>
      <c r="O592" s="55">
        <f>VLOOKUP(B592,'Data Angt'!$A$5:$H$5810,6,FALSE)</f>
        <v>44</v>
      </c>
      <c r="P592" s="55" t="str">
        <f>VLOOKUP(B592,'Data Angt'!$A$5:$H$5810,8,FALSE)</f>
        <v>Karyawan</v>
      </c>
    </row>
    <row r="593" spans="1:16" x14ac:dyDescent="0.3">
      <c r="A593" s="8">
        <v>586</v>
      </c>
      <c r="B593" s="9" t="s">
        <v>12782</v>
      </c>
      <c r="C593" s="10" t="str">
        <f>VLOOKUP(B593,'Data Angt'!$A$5:$B$5809,2,FALSE)</f>
        <v>A4434</v>
      </c>
      <c r="D593" s="12" t="s">
        <v>16221</v>
      </c>
      <c r="E593" s="13">
        <v>45730</v>
      </c>
      <c r="F593" s="14">
        <v>45908</v>
      </c>
      <c r="G593" s="15">
        <v>35000000</v>
      </c>
      <c r="H593" s="16">
        <v>36</v>
      </c>
      <c r="I593" s="17">
        <v>21</v>
      </c>
      <c r="J593" s="15">
        <v>30573300</v>
      </c>
      <c r="K593" s="98">
        <f t="shared" si="27"/>
        <v>0</v>
      </c>
      <c r="L593" s="98" t="str">
        <f t="shared" si="28"/>
        <v>Lancar</v>
      </c>
      <c r="M593" s="5" t="str">
        <f t="shared" si="29"/>
        <v>001</v>
      </c>
      <c r="N593" s="55" t="str">
        <f>VLOOKUP(D593,Pinjaman!$E$7:$N$1900,10,FALSE)</f>
        <v>KONSUMTIF</v>
      </c>
      <c r="O593" s="55">
        <f>VLOOKUP(B593,'Data Angt'!$A$5:$H$5810,6,FALSE)</f>
        <v>30</v>
      </c>
      <c r="P593" s="55" t="str">
        <f>VLOOKUP(B593,'Data Angt'!$A$5:$H$5810,8,FALSE)</f>
        <v>Karyawan</v>
      </c>
    </row>
    <row r="594" spans="1:16" x14ac:dyDescent="0.3">
      <c r="A594" s="8">
        <v>587</v>
      </c>
      <c r="B594" s="9" t="s">
        <v>12809</v>
      </c>
      <c r="C594" s="10" t="str">
        <f>VLOOKUP(B594,'Data Angt'!$A$5:$B$5809,2,FALSE)</f>
        <v>A4445</v>
      </c>
      <c r="D594" s="12" t="s">
        <v>22721</v>
      </c>
      <c r="E594" s="13">
        <v>45846</v>
      </c>
      <c r="F594" s="14">
        <v>45908</v>
      </c>
      <c r="G594" s="15">
        <v>15000000</v>
      </c>
      <c r="H594" s="16">
        <v>15</v>
      </c>
      <c r="I594" s="17">
        <v>24</v>
      </c>
      <c r="J594" s="15">
        <v>13247900</v>
      </c>
      <c r="K594" s="98">
        <f t="shared" si="27"/>
        <v>0</v>
      </c>
      <c r="L594" s="98" t="str">
        <f t="shared" si="28"/>
        <v>Lancar</v>
      </c>
      <c r="M594" s="5" t="str">
        <f t="shared" si="29"/>
        <v>001</v>
      </c>
      <c r="N594" s="55" t="str">
        <f>VLOOKUP(D594,Pinjaman!$E$7:$N$1900,10,FALSE)</f>
        <v>KESEJAHTERAAN</v>
      </c>
      <c r="O594" s="55">
        <f>VLOOKUP(B594,'Data Angt'!$A$5:$H$5810,6,FALSE)</f>
        <v>44</v>
      </c>
      <c r="P594" s="55" t="str">
        <f>VLOOKUP(B594,'Data Angt'!$A$5:$H$5810,8,FALSE)</f>
        <v>Mengurus Rumah Tangga</v>
      </c>
    </row>
    <row r="595" spans="1:16" x14ac:dyDescent="0.3">
      <c r="A595" s="8">
        <v>588</v>
      </c>
      <c r="B595" s="9" t="s">
        <v>12811</v>
      </c>
      <c r="C595" s="10" t="str">
        <f>VLOOKUP(B595,'Data Angt'!$A$5:$B$5809,2,FALSE)</f>
        <v>A4446</v>
      </c>
      <c r="D595" s="12" t="s">
        <v>16223</v>
      </c>
      <c r="E595" s="13">
        <v>45800</v>
      </c>
      <c r="F595" s="14">
        <v>45924</v>
      </c>
      <c r="G595" s="15">
        <v>10000000</v>
      </c>
      <c r="H595" s="16">
        <v>10</v>
      </c>
      <c r="I595" s="17">
        <v>24</v>
      </c>
      <c r="J595" s="15">
        <v>6236000</v>
      </c>
      <c r="K595" s="98">
        <f t="shared" si="27"/>
        <v>0</v>
      </c>
      <c r="L595" s="98" t="str">
        <f t="shared" si="28"/>
        <v>Lancar</v>
      </c>
      <c r="M595" s="5" t="str">
        <f t="shared" si="29"/>
        <v>001</v>
      </c>
      <c r="N595" s="55" t="str">
        <f>VLOOKUP(D595,Pinjaman!$E$7:$N$1900,10,FALSE)</f>
        <v>PENDIDIKAN</v>
      </c>
      <c r="O595" s="55">
        <f>VLOOKUP(B595,'Data Angt'!$A$5:$H$5810,6,FALSE)</f>
        <v>37</v>
      </c>
      <c r="P595" s="55" t="str">
        <f>VLOOKUP(B595,'Data Angt'!$A$5:$H$5810,8,FALSE)</f>
        <v>Karyawan</v>
      </c>
    </row>
    <row r="596" spans="1:16" x14ac:dyDescent="0.3">
      <c r="A596" s="8">
        <v>589</v>
      </c>
      <c r="B596" s="9" t="s">
        <v>12822</v>
      </c>
      <c r="C596" s="10" t="str">
        <f>VLOOKUP(B596,'Data Angt'!$A$5:$B$5809,2,FALSE)</f>
        <v>A4452</v>
      </c>
      <c r="D596" s="12" t="s">
        <v>16226</v>
      </c>
      <c r="E596" s="13">
        <v>45355</v>
      </c>
      <c r="F596" s="14">
        <v>45910</v>
      </c>
      <c r="G596" s="15">
        <v>40000000</v>
      </c>
      <c r="H596" s="16">
        <v>36</v>
      </c>
      <c r="I596" s="17">
        <v>21</v>
      </c>
      <c r="J596" s="15">
        <v>23115400</v>
      </c>
      <c r="K596" s="98">
        <f t="shared" si="27"/>
        <v>0</v>
      </c>
      <c r="L596" s="98" t="str">
        <f t="shared" si="28"/>
        <v>Lancar</v>
      </c>
      <c r="M596" s="5" t="str">
        <f t="shared" si="29"/>
        <v>001</v>
      </c>
      <c r="N596" s="55" t="str">
        <f>VLOOKUP(D596,Pinjaman!$E$7:$N$1900,10,FALSE)</f>
        <v>PENDIDIKAN</v>
      </c>
      <c r="O596" s="55">
        <f>VLOOKUP(B596,'Data Angt'!$A$5:$H$5810,6,FALSE)</f>
        <v>44</v>
      </c>
      <c r="P596" s="55" t="str">
        <f>VLOOKUP(B596,'Data Angt'!$A$5:$H$5810,8,FALSE)</f>
        <v>Tenaga Pengajar</v>
      </c>
    </row>
    <row r="597" spans="1:16" x14ac:dyDescent="0.3">
      <c r="A597" s="8">
        <v>590</v>
      </c>
      <c r="B597" s="9" t="s">
        <v>12829</v>
      </c>
      <c r="C597" s="10" t="str">
        <f>VLOOKUP(B597,'Data Angt'!$A$5:$B$5809,2,FALSE)</f>
        <v>A4455</v>
      </c>
      <c r="D597" s="12" t="s">
        <v>16229</v>
      </c>
      <c r="E597" s="13">
        <v>45808</v>
      </c>
      <c r="F597" s="14">
        <v>45916</v>
      </c>
      <c r="G597" s="15">
        <v>20000000</v>
      </c>
      <c r="H597" s="16">
        <v>24</v>
      </c>
      <c r="I597" s="17">
        <v>24</v>
      </c>
      <c r="J597" s="15">
        <v>17290200</v>
      </c>
      <c r="K597" s="98">
        <f t="shared" si="27"/>
        <v>0</v>
      </c>
      <c r="L597" s="98" t="str">
        <f t="shared" si="28"/>
        <v>Lancar</v>
      </c>
      <c r="M597" s="5" t="str">
        <f t="shared" si="29"/>
        <v>001</v>
      </c>
      <c r="N597" s="55" t="str">
        <f>VLOOKUP(D597,Pinjaman!$E$7:$N$1900,10,FALSE)</f>
        <v>PENDIDIKAN</v>
      </c>
      <c r="O597" s="55">
        <f>VLOOKUP(B597,'Data Angt'!$A$5:$H$5810,6,FALSE)</f>
        <v>46</v>
      </c>
      <c r="P597" s="55" t="str">
        <f>VLOOKUP(B597,'Data Angt'!$A$5:$H$5810,8,FALSE)</f>
        <v>Aparatur/Pejabat Negara</v>
      </c>
    </row>
    <row r="598" spans="1:16" x14ac:dyDescent="0.3">
      <c r="A598" s="8">
        <v>591</v>
      </c>
      <c r="B598" s="9" t="s">
        <v>12834</v>
      </c>
      <c r="C598" s="10" t="str">
        <f>VLOOKUP(B598,'Data Angt'!$A$5:$B$5809,2,FALSE)</f>
        <v>A4458</v>
      </c>
      <c r="D598" s="12" t="s">
        <v>16232</v>
      </c>
      <c r="E598" s="13">
        <v>45352</v>
      </c>
      <c r="F598" s="14">
        <v>45902</v>
      </c>
      <c r="G598" s="15">
        <v>25000000</v>
      </c>
      <c r="H598" s="16">
        <v>24</v>
      </c>
      <c r="I598" s="17">
        <v>21</v>
      </c>
      <c r="J598" s="15">
        <v>7256800</v>
      </c>
      <c r="K598" s="98">
        <f t="shared" si="27"/>
        <v>0</v>
      </c>
      <c r="L598" s="98" t="str">
        <f t="shared" si="28"/>
        <v>Lancar</v>
      </c>
      <c r="M598" s="5" t="str">
        <f t="shared" si="29"/>
        <v>001</v>
      </c>
      <c r="N598" s="55" t="str">
        <f>VLOOKUP(D598,Pinjaman!$E$7:$N$1900,10,FALSE)</f>
        <v>PRODUKTIF</v>
      </c>
      <c r="O598" s="55">
        <f>VLOOKUP(B598,'Data Angt'!$A$5:$H$5810,6,FALSE)</f>
        <v>35</v>
      </c>
      <c r="P598" s="55" t="str">
        <f>VLOOKUP(B598,'Data Angt'!$A$5:$H$5810,8,FALSE)</f>
        <v>Karyawan</v>
      </c>
    </row>
    <row r="599" spans="1:16" x14ac:dyDescent="0.3">
      <c r="A599" s="8">
        <v>592</v>
      </c>
      <c r="B599" s="9" t="s">
        <v>12846</v>
      </c>
      <c r="C599" s="10" t="str">
        <f>VLOOKUP(B599,'Data Angt'!$A$5:$B$5809,2,FALSE)</f>
        <v>A4463</v>
      </c>
      <c r="D599" s="12" t="s">
        <v>16235</v>
      </c>
      <c r="E599" s="13">
        <v>45838</v>
      </c>
      <c r="F599" s="14">
        <v>45922</v>
      </c>
      <c r="G599" s="15">
        <v>2000000</v>
      </c>
      <c r="H599" s="16">
        <v>6</v>
      </c>
      <c r="I599" s="17">
        <v>24</v>
      </c>
      <c r="J599" s="15">
        <v>1029600</v>
      </c>
      <c r="K599" s="98">
        <f t="shared" si="27"/>
        <v>0</v>
      </c>
      <c r="L599" s="98" t="str">
        <f t="shared" si="28"/>
        <v>Lancar</v>
      </c>
      <c r="M599" s="5" t="str">
        <f t="shared" si="29"/>
        <v>001</v>
      </c>
      <c r="N599" s="55" t="str">
        <f>VLOOKUP(D599,Pinjaman!$E$7:$N$1900,10,FALSE)</f>
        <v>PRODUKTIF</v>
      </c>
      <c r="O599" s="55">
        <f>VLOOKUP(B599,'Data Angt'!$A$5:$H$5810,6,FALSE)</f>
        <v>55</v>
      </c>
      <c r="P599" s="55" t="str">
        <f>VLOOKUP(B599,'Data Angt'!$A$5:$H$5810,8,FALSE)</f>
        <v>Wiraswasta</v>
      </c>
    </row>
    <row r="600" spans="1:16" x14ac:dyDescent="0.3">
      <c r="A600" s="8">
        <v>593</v>
      </c>
      <c r="B600" s="9" t="s">
        <v>12864</v>
      </c>
      <c r="C600" s="10" t="str">
        <f>VLOOKUP(B600,'Data Angt'!$A$5:$B$5809,2,FALSE)</f>
        <v>A4471</v>
      </c>
      <c r="D600" s="12" t="s">
        <v>22728</v>
      </c>
      <c r="E600" s="13">
        <v>45861</v>
      </c>
      <c r="F600" s="14">
        <v>45903</v>
      </c>
      <c r="G600" s="15">
        <v>8000000</v>
      </c>
      <c r="H600" s="16">
        <v>16</v>
      </c>
      <c r="I600" s="17">
        <v>24</v>
      </c>
      <c r="J600" s="15">
        <v>7132900</v>
      </c>
      <c r="K600" s="98">
        <f t="shared" si="27"/>
        <v>0</v>
      </c>
      <c r="L600" s="98" t="str">
        <f t="shared" si="28"/>
        <v>Lancar</v>
      </c>
      <c r="M600" s="5" t="str">
        <f t="shared" si="29"/>
        <v>001</v>
      </c>
      <c r="N600" s="55" t="str">
        <f>VLOOKUP(D600,Pinjaman!$E$7:$N$1900,10,FALSE)</f>
        <v>PENDIDIKAN</v>
      </c>
      <c r="O600" s="55">
        <f>VLOOKUP(B600,'Data Angt'!$A$5:$H$5810,6,FALSE)</f>
        <v>64</v>
      </c>
      <c r="P600" s="55" t="str">
        <f>VLOOKUP(B600,'Data Angt'!$A$5:$H$5810,8,FALSE)</f>
        <v>Karyawan</v>
      </c>
    </row>
    <row r="601" spans="1:16" x14ac:dyDescent="0.3">
      <c r="A601" s="8">
        <v>594</v>
      </c>
      <c r="B601" s="9" t="s">
        <v>12891</v>
      </c>
      <c r="C601" s="10" t="str">
        <f>VLOOKUP(B601,'Data Angt'!$A$5:$B$5809,2,FALSE)</f>
        <v>A4484</v>
      </c>
      <c r="D601" s="12" t="s">
        <v>16237</v>
      </c>
      <c r="E601" s="13">
        <v>45367</v>
      </c>
      <c r="F601" s="14">
        <v>45926</v>
      </c>
      <c r="G601" s="15">
        <v>8000000</v>
      </c>
      <c r="H601" s="16">
        <v>24</v>
      </c>
      <c r="I601" s="17">
        <v>24</v>
      </c>
      <c r="J601" s="15">
        <v>2745000</v>
      </c>
      <c r="K601" s="98">
        <f t="shared" si="27"/>
        <v>0</v>
      </c>
      <c r="L601" s="98" t="str">
        <f t="shared" si="28"/>
        <v>Lancar</v>
      </c>
      <c r="M601" s="5" t="str">
        <f t="shared" si="29"/>
        <v>001</v>
      </c>
      <c r="N601" s="55" t="str">
        <f>VLOOKUP(D601,Pinjaman!$E$7:$N$1900,10,FALSE)</f>
        <v>PRODUKTIF</v>
      </c>
      <c r="O601" s="55">
        <f>VLOOKUP(B601,'Data Angt'!$A$5:$H$5810,6,FALSE)</f>
        <v>41</v>
      </c>
      <c r="P601" s="55" t="str">
        <f>VLOOKUP(B601,'Data Angt'!$A$5:$H$5810,8,FALSE)</f>
        <v>Wiraswasta</v>
      </c>
    </row>
    <row r="602" spans="1:16" x14ac:dyDescent="0.3">
      <c r="A602" s="8">
        <v>595</v>
      </c>
      <c r="B602" s="9" t="s">
        <v>12921</v>
      </c>
      <c r="C602" s="10" t="str">
        <f>VLOOKUP(B602,'Data Angt'!$A$5:$B$5809,2,FALSE)</f>
        <v>A4499</v>
      </c>
      <c r="D602" s="12" t="s">
        <v>16240</v>
      </c>
      <c r="E602" s="13">
        <v>45376</v>
      </c>
      <c r="F602" s="14">
        <v>45920</v>
      </c>
      <c r="G602" s="15">
        <v>25000000</v>
      </c>
      <c r="H602" s="16">
        <v>36</v>
      </c>
      <c r="I602" s="17">
        <v>21</v>
      </c>
      <c r="J602" s="15">
        <v>14436300</v>
      </c>
      <c r="K602" s="98">
        <f t="shared" si="27"/>
        <v>0</v>
      </c>
      <c r="L602" s="98" t="str">
        <f t="shared" si="28"/>
        <v>Lancar</v>
      </c>
      <c r="M602" s="5" t="str">
        <f t="shared" si="29"/>
        <v>001</v>
      </c>
      <c r="N602" s="55" t="str">
        <f>VLOOKUP(D602,Pinjaman!$E$7:$N$1900,10,FALSE)</f>
        <v>KESEJAHTERAAN</v>
      </c>
      <c r="O602" s="55">
        <f>VLOOKUP(B602,'Data Angt'!$A$5:$H$5810,6,FALSE)</f>
        <v>32</v>
      </c>
      <c r="P602" s="55" t="str">
        <f>VLOOKUP(B602,'Data Angt'!$A$5:$H$5810,8,FALSE)</f>
        <v>Karyawan</v>
      </c>
    </row>
    <row r="603" spans="1:16" x14ac:dyDescent="0.3">
      <c r="A603" s="8">
        <v>596</v>
      </c>
      <c r="B603" s="9" t="s">
        <v>12971</v>
      </c>
      <c r="C603" s="10" t="str">
        <f>VLOOKUP(B603,'Data Angt'!$A$5:$B$5809,2,FALSE)</f>
        <v>A4522</v>
      </c>
      <c r="D603" s="12" t="s">
        <v>16242</v>
      </c>
      <c r="E603" s="13">
        <v>45429</v>
      </c>
      <c r="F603" s="14">
        <v>45838</v>
      </c>
      <c r="G603" s="15">
        <v>35000000</v>
      </c>
      <c r="H603" s="16">
        <v>18</v>
      </c>
      <c r="I603" s="17">
        <v>21</v>
      </c>
      <c r="J603" s="15">
        <v>16910300</v>
      </c>
      <c r="K603" s="98">
        <f t="shared" si="27"/>
        <v>3</v>
      </c>
      <c r="L603" s="98" t="str">
        <f t="shared" si="28"/>
        <v>Lancar</v>
      </c>
      <c r="M603" s="5" t="str">
        <f t="shared" si="29"/>
        <v>001</v>
      </c>
      <c r="N603" s="55" t="str">
        <f>VLOOKUP(D603,Pinjaman!$E$7:$N$1900,10,FALSE)</f>
        <v>PRODUKTIF</v>
      </c>
      <c r="O603" s="55">
        <f>VLOOKUP(B603,'Data Angt'!$A$5:$H$5810,6,FALSE)</f>
        <v>37</v>
      </c>
      <c r="P603" s="55" t="str">
        <f>VLOOKUP(B603,'Data Angt'!$A$5:$H$5810,8,FALSE)</f>
        <v>Wiraswasta</v>
      </c>
    </row>
    <row r="604" spans="1:16" x14ac:dyDescent="0.3">
      <c r="A604" s="8">
        <v>597</v>
      </c>
      <c r="B604" s="9" t="s">
        <v>13008</v>
      </c>
      <c r="C604" s="10" t="str">
        <f>VLOOKUP(B604,'Data Angt'!$A$5:$B$5809,2,FALSE)</f>
        <v>A4538</v>
      </c>
      <c r="D604" s="12" t="s">
        <v>16245</v>
      </c>
      <c r="E604" s="13">
        <v>45429</v>
      </c>
      <c r="F604" s="14">
        <v>45924</v>
      </c>
      <c r="G604" s="15">
        <v>22000000</v>
      </c>
      <c r="H604" s="16">
        <v>36</v>
      </c>
      <c r="I604" s="17">
        <v>24</v>
      </c>
      <c r="J604" s="15">
        <v>14112800</v>
      </c>
      <c r="K604" s="98">
        <f t="shared" si="27"/>
        <v>0</v>
      </c>
      <c r="L604" s="98" t="str">
        <f t="shared" si="28"/>
        <v>Lancar</v>
      </c>
      <c r="M604" s="5" t="str">
        <f t="shared" si="29"/>
        <v>001</v>
      </c>
      <c r="N604" s="55" t="str">
        <f>VLOOKUP(D604,Pinjaman!$E$7:$N$1900,10,FALSE)</f>
        <v>PRODUKTIF</v>
      </c>
      <c r="O604" s="55">
        <f>VLOOKUP(B604,'Data Angt'!$A$5:$H$5810,6,FALSE)</f>
        <v>26</v>
      </c>
      <c r="P604" s="55" t="str">
        <f>VLOOKUP(B604,'Data Angt'!$A$5:$H$5810,8,FALSE)</f>
        <v>Mengurus Rumah Tangga</v>
      </c>
    </row>
    <row r="605" spans="1:16" x14ac:dyDescent="0.3">
      <c r="A605" s="8">
        <v>598</v>
      </c>
      <c r="B605" s="9" t="s">
        <v>13018</v>
      </c>
      <c r="C605" s="10" t="str">
        <f>VLOOKUP(B605,'Data Angt'!$A$5:$B$5809,2,FALSE)</f>
        <v>A4543</v>
      </c>
      <c r="D605" s="12" t="s">
        <v>22734</v>
      </c>
      <c r="E605" s="13">
        <v>45876</v>
      </c>
      <c r="F605" s="14">
        <v>45908</v>
      </c>
      <c r="G605" s="15">
        <v>2000000</v>
      </c>
      <c r="H605" s="16">
        <v>8</v>
      </c>
      <c r="I605" s="17">
        <v>24</v>
      </c>
      <c r="J605" s="15">
        <v>1766900</v>
      </c>
      <c r="K605" s="98">
        <f t="shared" si="27"/>
        <v>0</v>
      </c>
      <c r="L605" s="98" t="str">
        <f t="shared" si="28"/>
        <v>Lancar</v>
      </c>
      <c r="M605" s="5" t="str">
        <f t="shared" si="29"/>
        <v>001</v>
      </c>
      <c r="N605" s="55" t="str">
        <f>VLOOKUP(D605,Pinjaman!$E$7:$N$1900,10,FALSE)</f>
        <v>PRODUKTIF</v>
      </c>
      <c r="O605" s="55">
        <f>VLOOKUP(B605,'Data Angt'!$A$5:$H$5810,6,FALSE)</f>
        <v>39</v>
      </c>
      <c r="P605" s="55" t="str">
        <f>VLOOKUP(B605,'Data Angt'!$A$5:$H$5810,8,FALSE)</f>
        <v>Wiraswasta</v>
      </c>
    </row>
    <row r="606" spans="1:16" x14ac:dyDescent="0.3">
      <c r="A606" s="8">
        <v>599</v>
      </c>
      <c r="B606" s="9" t="s">
        <v>13024</v>
      </c>
      <c r="C606" s="10" t="str">
        <f>VLOOKUP(B606,'Data Angt'!$A$5:$B$5809,2,FALSE)</f>
        <v>A4545</v>
      </c>
      <c r="D606" s="12" t="s">
        <v>22737</v>
      </c>
      <c r="E606" s="13">
        <v>45885</v>
      </c>
      <c r="F606" s="14">
        <v>45909</v>
      </c>
      <c r="G606" s="15">
        <v>3000000</v>
      </c>
      <c r="H606" s="16">
        <v>18</v>
      </c>
      <c r="I606" s="17">
        <v>24</v>
      </c>
      <c r="J606" s="15">
        <v>2833300</v>
      </c>
      <c r="K606" s="98">
        <f t="shared" si="27"/>
        <v>0</v>
      </c>
      <c r="L606" s="98" t="str">
        <f t="shared" si="28"/>
        <v>Lancar</v>
      </c>
      <c r="M606" s="5" t="str">
        <f t="shared" si="29"/>
        <v>001</v>
      </c>
      <c r="N606" s="55" t="str">
        <f>VLOOKUP(D606,Pinjaman!$E$7:$N$1900,10,FALSE)</f>
        <v>KONSUMTIF</v>
      </c>
      <c r="O606" s="55">
        <f>VLOOKUP(B606,'Data Angt'!$A$5:$H$5810,6,FALSE)</f>
        <v>32</v>
      </c>
      <c r="P606" s="55" t="str">
        <f>VLOOKUP(B606,'Data Angt'!$A$5:$H$5810,8,FALSE)</f>
        <v>Mengurus Rumah Tangga</v>
      </c>
    </row>
    <row r="607" spans="1:16" x14ac:dyDescent="0.3">
      <c r="A607" s="8">
        <v>600</v>
      </c>
      <c r="B607" s="9" t="s">
        <v>13028</v>
      </c>
      <c r="C607" s="10" t="str">
        <f>VLOOKUP(B607,'Data Angt'!$A$5:$B$5809,2,FALSE)</f>
        <v>A4547</v>
      </c>
      <c r="D607" s="12" t="s">
        <v>22740</v>
      </c>
      <c r="E607" s="13">
        <v>45876</v>
      </c>
      <c r="F607" s="14">
        <v>45901</v>
      </c>
      <c r="G607" s="15">
        <v>2500000</v>
      </c>
      <c r="H607" s="16">
        <v>12</v>
      </c>
      <c r="I607" s="17">
        <v>24</v>
      </c>
      <c r="J607" s="15">
        <v>2291600</v>
      </c>
      <c r="K607" s="98">
        <f t="shared" si="27"/>
        <v>0</v>
      </c>
      <c r="L607" s="98" t="str">
        <f t="shared" si="28"/>
        <v>Lancar</v>
      </c>
      <c r="M607" s="5" t="str">
        <f t="shared" si="29"/>
        <v>001</v>
      </c>
      <c r="N607" s="55" t="str">
        <f>VLOOKUP(D607,Pinjaman!$E$7:$N$1900,10,FALSE)</f>
        <v>KESEJAHTERAAN</v>
      </c>
      <c r="O607" s="55">
        <f>VLOOKUP(B607,'Data Angt'!$A$5:$H$5810,6,FALSE)</f>
        <v>28</v>
      </c>
      <c r="P607" s="55" t="str">
        <f>VLOOKUP(B607,'Data Angt'!$A$5:$H$5810,8,FALSE)</f>
        <v>Karyawan</v>
      </c>
    </row>
    <row r="608" spans="1:16" x14ac:dyDescent="0.3">
      <c r="A608" s="8">
        <v>601</v>
      </c>
      <c r="B608" s="9" t="s">
        <v>13063</v>
      </c>
      <c r="C608" s="10" t="str">
        <f>VLOOKUP(B608,'Data Angt'!$A$5:$B$5809,2,FALSE)</f>
        <v>A4564</v>
      </c>
      <c r="D608" s="12" t="s">
        <v>16247</v>
      </c>
      <c r="E608" s="13">
        <v>45819</v>
      </c>
      <c r="F608" s="14">
        <v>45910</v>
      </c>
      <c r="G608" s="15">
        <v>5000000</v>
      </c>
      <c r="H608" s="16">
        <v>20</v>
      </c>
      <c r="I608" s="17">
        <v>24</v>
      </c>
      <c r="J608" s="15">
        <v>4370200</v>
      </c>
      <c r="K608" s="98">
        <f t="shared" si="27"/>
        <v>0</v>
      </c>
      <c r="L608" s="98" t="str">
        <f t="shared" si="28"/>
        <v>Lancar</v>
      </c>
      <c r="M608" s="5" t="str">
        <f t="shared" si="29"/>
        <v>001</v>
      </c>
      <c r="N608" s="55" t="str">
        <f>VLOOKUP(D608,Pinjaman!$E$7:$N$1900,10,FALSE)</f>
        <v>PENDIDIKAN</v>
      </c>
      <c r="O608" s="55">
        <f>VLOOKUP(B608,'Data Angt'!$A$5:$H$5810,6,FALSE)</f>
        <v>32</v>
      </c>
      <c r="P608" s="55" t="str">
        <f>VLOOKUP(B608,'Data Angt'!$A$5:$H$5810,8,FALSE)</f>
        <v>Karyawan</v>
      </c>
    </row>
    <row r="609" spans="1:16" x14ac:dyDescent="0.3">
      <c r="A609" s="8">
        <v>602</v>
      </c>
      <c r="B609" s="9" t="s">
        <v>13076</v>
      </c>
      <c r="C609" s="10" t="str">
        <f>VLOOKUP(B609,'Data Angt'!$A$5:$B$5809,2,FALSE)</f>
        <v>A4572</v>
      </c>
      <c r="D609" s="12" t="s">
        <v>16250</v>
      </c>
      <c r="E609" s="13">
        <v>45533</v>
      </c>
      <c r="F609" s="14">
        <v>45920</v>
      </c>
      <c r="G609" s="15">
        <v>37000000</v>
      </c>
      <c r="H609" s="16">
        <v>36</v>
      </c>
      <c r="I609" s="17">
        <v>21</v>
      </c>
      <c r="J609" s="15">
        <v>26208900</v>
      </c>
      <c r="K609" s="98">
        <f t="shared" si="27"/>
        <v>0</v>
      </c>
      <c r="L609" s="98" t="str">
        <f t="shared" si="28"/>
        <v>Lancar</v>
      </c>
      <c r="M609" s="5" t="str">
        <f t="shared" si="29"/>
        <v>001</v>
      </c>
      <c r="N609" s="55" t="str">
        <f>VLOOKUP(D609,Pinjaman!$E$7:$N$1900,10,FALSE)</f>
        <v>KONSUMTIF</v>
      </c>
      <c r="O609" s="55">
        <f>VLOOKUP(B609,'Data Angt'!$A$5:$H$5810,6,FALSE)</f>
        <v>60</v>
      </c>
      <c r="P609" s="55" t="str">
        <f>VLOOKUP(B609,'Data Angt'!$A$5:$H$5810,8,FALSE)</f>
        <v>Wiraswasta</v>
      </c>
    </row>
    <row r="610" spans="1:16" x14ac:dyDescent="0.3">
      <c r="A610" s="8">
        <v>603</v>
      </c>
      <c r="B610" s="9" t="s">
        <v>13078</v>
      </c>
      <c r="C610" s="10" t="str">
        <f>VLOOKUP(B610,'Data Angt'!$A$5:$B$5809,2,FALSE)</f>
        <v>A4574</v>
      </c>
      <c r="D610" s="12" t="s">
        <v>16252</v>
      </c>
      <c r="E610" s="13">
        <v>45463</v>
      </c>
      <c r="F610" s="14">
        <v>45908</v>
      </c>
      <c r="G610" s="15">
        <v>1500000000</v>
      </c>
      <c r="H610" s="16">
        <v>24</v>
      </c>
      <c r="I610" s="17">
        <v>10</v>
      </c>
      <c r="J610" s="15">
        <v>1500000000</v>
      </c>
      <c r="K610" s="98">
        <f t="shared" si="27"/>
        <v>0</v>
      </c>
      <c r="L610" s="98" t="str">
        <f t="shared" si="28"/>
        <v>Lancar</v>
      </c>
      <c r="M610" s="5" t="str">
        <f t="shared" si="29"/>
        <v>001</v>
      </c>
      <c r="N610" s="55" t="str">
        <f>VLOOKUP(D610,Pinjaman!$E$7:$N$1900,10,FALSE)</f>
        <v>KESEJAHTERAAN</v>
      </c>
      <c r="O610" s="55">
        <f>VLOOKUP(B610,'Data Angt'!$A$5:$H$5810,6,FALSE)</f>
        <v>36</v>
      </c>
      <c r="P610" s="55" t="str">
        <f>VLOOKUP(B610,'Data Angt'!$A$5:$H$5810,8,FALSE)</f>
        <v>Karyawan</v>
      </c>
    </row>
    <row r="611" spans="1:16" x14ac:dyDescent="0.3">
      <c r="A611" s="8">
        <v>604</v>
      </c>
      <c r="B611" s="9" t="s">
        <v>13156</v>
      </c>
      <c r="C611" s="10" t="str">
        <f>VLOOKUP(B611,'Data Angt'!$A$5:$B$5809,2,FALSE)</f>
        <v>A4608</v>
      </c>
      <c r="D611" s="12" t="s">
        <v>16255</v>
      </c>
      <c r="E611" s="13">
        <v>45822</v>
      </c>
      <c r="F611" s="14">
        <v>45904</v>
      </c>
      <c r="G611" s="15">
        <v>8000000</v>
      </c>
      <c r="H611" s="16">
        <v>12</v>
      </c>
      <c r="I611" s="17">
        <v>24</v>
      </c>
      <c r="J611" s="15">
        <v>6174600</v>
      </c>
      <c r="K611" s="98">
        <f t="shared" si="27"/>
        <v>0</v>
      </c>
      <c r="L611" s="98" t="str">
        <f t="shared" si="28"/>
        <v>Lancar</v>
      </c>
      <c r="M611" s="5" t="str">
        <f t="shared" si="29"/>
        <v>001</v>
      </c>
      <c r="N611" s="55" t="str">
        <f>VLOOKUP(D611,Pinjaman!$E$7:$N$1900,10,FALSE)</f>
        <v>PRODUKTIF</v>
      </c>
      <c r="O611" s="55">
        <f>VLOOKUP(B611,'Data Angt'!$A$5:$H$5810,6,FALSE)</f>
        <v>48</v>
      </c>
      <c r="P611" s="55" t="str">
        <f>VLOOKUP(B611,'Data Angt'!$A$5:$H$5810,8,FALSE)</f>
        <v>Wiraswasta</v>
      </c>
    </row>
    <row r="612" spans="1:16" x14ac:dyDescent="0.3">
      <c r="A612" s="8">
        <v>605</v>
      </c>
      <c r="B612" s="9" t="s">
        <v>13208</v>
      </c>
      <c r="C612" s="10" t="str">
        <f>VLOOKUP(B612,'Data Angt'!$A$5:$B$5809,2,FALSE)</f>
        <v>A4630</v>
      </c>
      <c r="D612" s="12" t="s">
        <v>16257</v>
      </c>
      <c r="E612" s="13">
        <v>45713</v>
      </c>
      <c r="F612" s="14">
        <v>45925</v>
      </c>
      <c r="G612" s="15">
        <v>3000000</v>
      </c>
      <c r="H612" s="16">
        <v>12</v>
      </c>
      <c r="I612" s="17">
        <v>24</v>
      </c>
      <c r="J612" s="15">
        <v>1337300</v>
      </c>
      <c r="K612" s="98">
        <f t="shared" si="27"/>
        <v>0</v>
      </c>
      <c r="L612" s="98" t="str">
        <f t="shared" si="28"/>
        <v>Lancar</v>
      </c>
      <c r="M612" s="5" t="str">
        <f t="shared" si="29"/>
        <v>001</v>
      </c>
      <c r="N612" s="55" t="str">
        <f>VLOOKUP(D612,Pinjaman!$E$7:$N$1900,10,FALSE)</f>
        <v>KESEJAHTERAAN</v>
      </c>
      <c r="O612" s="55">
        <f>VLOOKUP(B612,'Data Angt'!$A$5:$H$5810,6,FALSE)</f>
        <v>40</v>
      </c>
      <c r="P612" s="55" t="str">
        <f>VLOOKUP(B612,'Data Angt'!$A$5:$H$5810,8,FALSE)</f>
        <v>Wiraswasta</v>
      </c>
    </row>
    <row r="613" spans="1:16" x14ac:dyDescent="0.3">
      <c r="A613" s="8">
        <v>606</v>
      </c>
      <c r="B613" s="9" t="s">
        <v>13210</v>
      </c>
      <c r="C613" s="10" t="str">
        <f>VLOOKUP(B613,'Data Angt'!$A$5:$B$5809,2,FALSE)</f>
        <v>A4631</v>
      </c>
      <c r="D613" s="12" t="s">
        <v>22747</v>
      </c>
      <c r="E613" s="13">
        <v>45915</v>
      </c>
      <c r="F613" s="14">
        <v>45915</v>
      </c>
      <c r="G613" s="15">
        <v>4000000</v>
      </c>
      <c r="H613" s="16">
        <v>12</v>
      </c>
      <c r="I613" s="17">
        <v>24</v>
      </c>
      <c r="J613" s="15">
        <v>4000000</v>
      </c>
      <c r="K613" s="98">
        <f t="shared" si="27"/>
        <v>0</v>
      </c>
      <c r="L613" s="98" t="str">
        <f t="shared" si="28"/>
        <v>Lancar</v>
      </c>
      <c r="M613" s="5" t="str">
        <f t="shared" si="29"/>
        <v>001</v>
      </c>
      <c r="N613" s="55" t="str">
        <f>VLOOKUP(D613,Pinjaman!$E$7:$N$1900,10,FALSE)</f>
        <v>KESEJAHTERAAN</v>
      </c>
      <c r="O613" s="55">
        <f>VLOOKUP(B613,'Data Angt'!$A$5:$H$5810,6,FALSE)</f>
        <v>23</v>
      </c>
      <c r="P613" s="55" t="str">
        <f>VLOOKUP(B613,'Data Angt'!$A$5:$H$5810,8,FALSE)</f>
        <v>Karyawan</v>
      </c>
    </row>
    <row r="614" spans="1:16" x14ac:dyDescent="0.3">
      <c r="A614" s="8">
        <v>607</v>
      </c>
      <c r="B614" s="9" t="s">
        <v>13528</v>
      </c>
      <c r="C614" s="10" t="str">
        <f>VLOOKUP(B614,'Data Angt'!$A$5:$B$5809,2,FALSE)</f>
        <v>A4831</v>
      </c>
      <c r="D614" s="12" t="s">
        <v>16259</v>
      </c>
      <c r="E614" s="13">
        <v>45731</v>
      </c>
      <c r="F614" s="14">
        <v>45916</v>
      </c>
      <c r="G614" s="15">
        <v>8000000</v>
      </c>
      <c r="H614" s="16">
        <v>18</v>
      </c>
      <c r="I614" s="17">
        <v>24</v>
      </c>
      <c r="J614" s="15">
        <v>5643000</v>
      </c>
      <c r="K614" s="98">
        <f t="shared" si="27"/>
        <v>0</v>
      </c>
      <c r="L614" s="98" t="str">
        <f t="shared" si="28"/>
        <v>Lancar</v>
      </c>
      <c r="M614" s="5" t="str">
        <f t="shared" si="29"/>
        <v>001</v>
      </c>
      <c r="N614" s="55" t="str">
        <f>VLOOKUP(D614,Pinjaman!$E$7:$N$1900,10,FALSE)</f>
        <v>KONSUMTIF</v>
      </c>
      <c r="O614" s="55">
        <f>VLOOKUP(B614,'Data Angt'!$A$5:$H$5810,6,FALSE)</f>
        <v>33</v>
      </c>
      <c r="P614" s="55" t="str">
        <f>VLOOKUP(B614,'Data Angt'!$A$5:$H$5810,8,FALSE)</f>
        <v>Mengurus Rumah Tangga</v>
      </c>
    </row>
    <row r="615" spans="1:16" x14ac:dyDescent="0.3">
      <c r="A615" s="8">
        <v>608</v>
      </c>
      <c r="B615" s="9" t="s">
        <v>13584</v>
      </c>
      <c r="C615" s="10" t="str">
        <f>VLOOKUP(B615,'Data Angt'!$A$5:$B$5809,2,FALSE)</f>
        <v>A4856</v>
      </c>
      <c r="D615" s="12" t="s">
        <v>22751</v>
      </c>
      <c r="E615" s="13">
        <v>45843</v>
      </c>
      <c r="F615" s="14">
        <v>45904</v>
      </c>
      <c r="G615" s="15">
        <v>20000000</v>
      </c>
      <c r="H615" s="16">
        <v>48</v>
      </c>
      <c r="I615" s="17">
        <v>24</v>
      </c>
      <c r="J615" s="15">
        <v>19490800</v>
      </c>
      <c r="K615" s="98">
        <f t="shared" si="27"/>
        <v>0</v>
      </c>
      <c r="L615" s="98" t="str">
        <f t="shared" si="28"/>
        <v>Lancar</v>
      </c>
      <c r="M615" s="5" t="str">
        <f t="shared" si="29"/>
        <v>001</v>
      </c>
      <c r="N615" s="55" t="str">
        <f>VLOOKUP(D615,Pinjaman!$E$7:$N$1900,10,FALSE)</f>
        <v>PENDIDIKAN</v>
      </c>
      <c r="O615" s="55">
        <f>VLOOKUP(B615,'Data Angt'!$A$5:$H$5810,6,FALSE)</f>
        <v>45</v>
      </c>
      <c r="P615" s="55" t="str">
        <f>VLOOKUP(B615,'Data Angt'!$A$5:$H$5810,8,FALSE)</f>
        <v>Tenaga Pengajar</v>
      </c>
    </row>
    <row r="616" spans="1:16" x14ac:dyDescent="0.3">
      <c r="A616" s="8">
        <v>609</v>
      </c>
      <c r="B616" s="9" t="s">
        <v>13628</v>
      </c>
      <c r="C616" s="10" t="str">
        <f>VLOOKUP(B616,'Data Angt'!$A$5:$B$5809,2,FALSE)</f>
        <v>A4875</v>
      </c>
      <c r="D616" s="12" t="s">
        <v>16262</v>
      </c>
      <c r="E616" s="13">
        <v>45618</v>
      </c>
      <c r="F616" s="14">
        <v>45929</v>
      </c>
      <c r="G616" s="15">
        <v>3000000</v>
      </c>
      <c r="H616" s="16">
        <v>18</v>
      </c>
      <c r="I616" s="17">
        <v>24</v>
      </c>
      <c r="J616" s="15">
        <v>1475000</v>
      </c>
      <c r="K616" s="98">
        <f t="shared" si="27"/>
        <v>0</v>
      </c>
      <c r="L616" s="98" t="str">
        <f t="shared" si="28"/>
        <v>Lancar</v>
      </c>
      <c r="M616" s="5" t="str">
        <f t="shared" si="29"/>
        <v>001</v>
      </c>
      <c r="N616" s="55" t="str">
        <f>VLOOKUP(D616,Pinjaman!$E$7:$N$1900,10,FALSE)</f>
        <v>PRODUKTIF</v>
      </c>
      <c r="O616" s="55">
        <f>VLOOKUP(B616,'Data Angt'!$A$5:$H$5810,6,FALSE)</f>
        <v>48</v>
      </c>
      <c r="P616" s="55" t="str">
        <f>VLOOKUP(B616,'Data Angt'!$A$5:$H$5810,8,FALSE)</f>
        <v>Wiraswasta</v>
      </c>
    </row>
    <row r="617" spans="1:16" x14ac:dyDescent="0.3">
      <c r="A617" s="8">
        <v>610</v>
      </c>
      <c r="B617" s="9" t="s">
        <v>13630</v>
      </c>
      <c r="C617" s="10" t="str">
        <f>VLOOKUP(B617,'Data Angt'!$A$5:$B$5809,2,FALSE)</f>
        <v>A4876</v>
      </c>
      <c r="D617" s="12" t="s">
        <v>16264</v>
      </c>
      <c r="E617" s="13">
        <v>45520</v>
      </c>
      <c r="F617" s="14">
        <v>45916</v>
      </c>
      <c r="G617" s="15">
        <v>35000000</v>
      </c>
      <c r="H617" s="16">
        <v>36</v>
      </c>
      <c r="I617" s="17">
        <v>21</v>
      </c>
      <c r="J617" s="15">
        <v>24791500</v>
      </c>
      <c r="K617" s="98">
        <f t="shared" si="27"/>
        <v>0</v>
      </c>
      <c r="L617" s="98" t="str">
        <f t="shared" si="28"/>
        <v>Lancar</v>
      </c>
      <c r="M617" s="5" t="str">
        <f t="shared" si="29"/>
        <v>001</v>
      </c>
      <c r="N617" s="55" t="str">
        <f>VLOOKUP(D617,Pinjaman!$E$7:$N$1900,10,FALSE)</f>
        <v>KESEJAHTERAAN</v>
      </c>
      <c r="O617" s="55">
        <f>VLOOKUP(B617,'Data Angt'!$A$5:$H$5810,6,FALSE)</f>
        <v>25</v>
      </c>
      <c r="P617" s="55" t="str">
        <f>VLOOKUP(B617,'Data Angt'!$A$5:$H$5810,8,FALSE)</f>
        <v>Karyawan</v>
      </c>
    </row>
    <row r="618" spans="1:16" x14ac:dyDescent="0.3">
      <c r="A618" s="8">
        <v>611</v>
      </c>
      <c r="B618" s="9" t="s">
        <v>13643</v>
      </c>
      <c r="C618" s="10" t="str">
        <f>VLOOKUP(B618,'Data Angt'!$A$5:$B$5809,2,FALSE)</f>
        <v>A4882</v>
      </c>
      <c r="D618" s="12" t="s">
        <v>22755</v>
      </c>
      <c r="E618" s="13">
        <v>45863</v>
      </c>
      <c r="F618" s="14">
        <v>45920</v>
      </c>
      <c r="G618" s="15">
        <v>13000000</v>
      </c>
      <c r="H618" s="16">
        <v>24</v>
      </c>
      <c r="I618" s="17">
        <v>24</v>
      </c>
      <c r="J618" s="15">
        <v>12136700</v>
      </c>
      <c r="K618" s="98">
        <f t="shared" si="27"/>
        <v>0</v>
      </c>
      <c r="L618" s="98" t="str">
        <f t="shared" si="28"/>
        <v>Lancar</v>
      </c>
      <c r="M618" s="5" t="str">
        <f t="shared" si="29"/>
        <v>001</v>
      </c>
      <c r="N618" s="55" t="str">
        <f>VLOOKUP(D618,Pinjaman!$E$7:$N$1900,10,FALSE)</f>
        <v>PRODUKTIF</v>
      </c>
      <c r="O618" s="55">
        <f>VLOOKUP(B618,'Data Angt'!$A$5:$H$5810,6,FALSE)</f>
        <v>55</v>
      </c>
      <c r="P618" s="55" t="str">
        <f>VLOOKUP(B618,'Data Angt'!$A$5:$H$5810,8,FALSE)</f>
        <v>Tenaga Ahli</v>
      </c>
    </row>
    <row r="619" spans="1:16" x14ac:dyDescent="0.3">
      <c r="A619" s="8">
        <v>612</v>
      </c>
      <c r="B619" s="9" t="s">
        <v>13661</v>
      </c>
      <c r="C619" s="10" t="str">
        <f>VLOOKUP(B619,'Data Angt'!$A$5:$B$5809,2,FALSE)</f>
        <v>A4888</v>
      </c>
      <c r="D619" s="12" t="s">
        <v>22759</v>
      </c>
      <c r="E619" s="13">
        <v>45852</v>
      </c>
      <c r="F619" s="14">
        <v>45915</v>
      </c>
      <c r="G619" s="15">
        <v>1000000</v>
      </c>
      <c r="H619" s="16">
        <v>6</v>
      </c>
      <c r="I619" s="17">
        <v>24</v>
      </c>
      <c r="J619" s="15">
        <v>679700</v>
      </c>
      <c r="K619" s="98">
        <f t="shared" si="27"/>
        <v>0</v>
      </c>
      <c r="L619" s="98" t="str">
        <f t="shared" si="28"/>
        <v>Lancar</v>
      </c>
      <c r="M619" s="5" t="str">
        <f t="shared" si="29"/>
        <v>001</v>
      </c>
      <c r="N619" s="55" t="str">
        <f>VLOOKUP(D619,Pinjaman!$E$7:$N$1900,10,FALSE)</f>
        <v>PRODUKTIF</v>
      </c>
      <c r="O619" s="55">
        <f>VLOOKUP(B619,'Data Angt'!$A$5:$H$5810,6,FALSE)</f>
        <v>57</v>
      </c>
      <c r="P619" s="55" t="str">
        <f>VLOOKUP(B619,'Data Angt'!$A$5:$H$5810,8,FALSE)</f>
        <v>Wiraswasta</v>
      </c>
    </row>
    <row r="620" spans="1:16" x14ac:dyDescent="0.3">
      <c r="A620" s="8">
        <v>613</v>
      </c>
      <c r="B620" s="9" t="s">
        <v>13682</v>
      </c>
      <c r="C620" s="10" t="str">
        <f>VLOOKUP(B620,'Data Angt'!$A$5:$B$5809,2,FALSE)</f>
        <v>A4897</v>
      </c>
      <c r="D620" s="12" t="s">
        <v>22761</v>
      </c>
      <c r="E620" s="13">
        <v>45918</v>
      </c>
      <c r="F620" s="14">
        <v>45918</v>
      </c>
      <c r="G620" s="15">
        <v>3000000</v>
      </c>
      <c r="H620" s="16">
        <v>10</v>
      </c>
      <c r="I620" s="17">
        <v>24</v>
      </c>
      <c r="J620" s="15">
        <v>3000000</v>
      </c>
      <c r="K620" s="98">
        <f t="shared" si="27"/>
        <v>0</v>
      </c>
      <c r="L620" s="98" t="str">
        <f t="shared" si="28"/>
        <v>Lancar</v>
      </c>
      <c r="M620" s="5" t="str">
        <f t="shared" si="29"/>
        <v>001</v>
      </c>
      <c r="N620" s="55" t="str">
        <f>VLOOKUP(D620,Pinjaman!$E$7:$N$1900,10,FALSE)</f>
        <v>KONSUMTIF</v>
      </c>
      <c r="O620" s="55">
        <f>VLOOKUP(B620,'Data Angt'!$A$5:$H$5810,6,FALSE)</f>
        <v>43</v>
      </c>
      <c r="P620" s="55" t="str">
        <f>VLOOKUP(B620,'Data Angt'!$A$5:$H$5810,8,FALSE)</f>
        <v>Wiraswasta</v>
      </c>
    </row>
    <row r="621" spans="1:16" x14ac:dyDescent="0.3">
      <c r="A621" s="8">
        <v>614</v>
      </c>
      <c r="B621" s="9" t="s">
        <v>13693</v>
      </c>
      <c r="C621" s="10" t="str">
        <f>VLOOKUP(B621,'Data Angt'!$A$5:$B$5809,2,FALSE)</f>
        <v>A4902</v>
      </c>
      <c r="D621" s="12" t="s">
        <v>22764</v>
      </c>
      <c r="E621" s="13">
        <v>45899</v>
      </c>
      <c r="F621" s="14">
        <v>45926</v>
      </c>
      <c r="G621" s="15">
        <v>1000000</v>
      </c>
      <c r="H621" s="16">
        <v>4</v>
      </c>
      <c r="I621" s="17">
        <v>24</v>
      </c>
      <c r="J621" s="15">
        <v>757300</v>
      </c>
      <c r="K621" s="98">
        <f t="shared" si="27"/>
        <v>0</v>
      </c>
      <c r="L621" s="98" t="str">
        <f t="shared" si="28"/>
        <v>Lancar</v>
      </c>
      <c r="M621" s="5" t="str">
        <f t="shared" si="29"/>
        <v>001</v>
      </c>
      <c r="N621" s="55" t="str">
        <f>VLOOKUP(D621,Pinjaman!$E$7:$N$1900,10,FALSE)</f>
        <v>PRODUKTIF</v>
      </c>
      <c r="O621" s="55">
        <f>VLOOKUP(B621,'Data Angt'!$A$5:$H$5810,6,FALSE)</f>
        <v>60</v>
      </c>
      <c r="P621" s="55" t="str">
        <f>VLOOKUP(B621,'Data Angt'!$A$5:$H$5810,8,FALSE)</f>
        <v>Wiraswasta</v>
      </c>
    </row>
    <row r="622" spans="1:16" x14ac:dyDescent="0.3">
      <c r="A622" s="8">
        <v>615</v>
      </c>
      <c r="B622" s="9" t="s">
        <v>13697</v>
      </c>
      <c r="C622" s="10" t="str">
        <f>VLOOKUP(B622,'Data Angt'!$A$5:$B$5809,2,FALSE)</f>
        <v>A4904</v>
      </c>
      <c r="D622" s="12" t="s">
        <v>22766</v>
      </c>
      <c r="E622" s="13">
        <v>45874</v>
      </c>
      <c r="F622" s="14">
        <v>45908</v>
      </c>
      <c r="G622" s="15">
        <v>3800000</v>
      </c>
      <c r="H622" s="16">
        <v>5</v>
      </c>
      <c r="I622" s="17">
        <v>24</v>
      </c>
      <c r="J622" s="15">
        <v>3069700</v>
      </c>
      <c r="K622" s="98">
        <f t="shared" si="27"/>
        <v>0</v>
      </c>
      <c r="L622" s="98" t="str">
        <f t="shared" si="28"/>
        <v>Lancar</v>
      </c>
      <c r="M622" s="5" t="str">
        <f t="shared" si="29"/>
        <v>001</v>
      </c>
      <c r="N622" s="55" t="str">
        <f>VLOOKUP(D622,Pinjaman!$E$7:$N$1900,10,FALSE)</f>
        <v>KONSUMTIF</v>
      </c>
      <c r="O622" s="55">
        <f>VLOOKUP(B622,'Data Angt'!$A$5:$H$5810,6,FALSE)</f>
        <v>55</v>
      </c>
      <c r="P622" s="55" t="str">
        <f>VLOOKUP(B622,'Data Angt'!$A$5:$H$5810,8,FALSE)</f>
        <v>Karyawan</v>
      </c>
    </row>
    <row r="623" spans="1:16" x14ac:dyDescent="0.3">
      <c r="A623" s="8">
        <v>616</v>
      </c>
      <c r="B623" s="9" t="s">
        <v>13716</v>
      </c>
      <c r="C623" s="10" t="str">
        <f>VLOOKUP(B623,'Data Angt'!$A$5:$B$5809,2,FALSE)</f>
        <v>A4912</v>
      </c>
      <c r="D623" s="12" t="s">
        <v>16266</v>
      </c>
      <c r="E623" s="13">
        <v>45597</v>
      </c>
      <c r="F623" s="14">
        <v>45902</v>
      </c>
      <c r="G623" s="15">
        <v>10000000</v>
      </c>
      <c r="H623" s="16">
        <v>12</v>
      </c>
      <c r="I623" s="17">
        <v>24</v>
      </c>
      <c r="J623" s="15">
        <v>3600800</v>
      </c>
      <c r="K623" s="98">
        <f t="shared" si="27"/>
        <v>0</v>
      </c>
      <c r="L623" s="98" t="str">
        <f t="shared" si="28"/>
        <v>Lancar</v>
      </c>
      <c r="M623" s="5" t="str">
        <f t="shared" si="29"/>
        <v>001</v>
      </c>
      <c r="N623" s="55" t="str">
        <f>VLOOKUP(D623,Pinjaman!$E$7:$N$1900,10,FALSE)</f>
        <v>PRODUKTIF</v>
      </c>
      <c r="O623" s="55">
        <f>VLOOKUP(B623,'Data Angt'!$A$5:$H$5810,6,FALSE)</f>
        <v>52</v>
      </c>
      <c r="P623" s="55" t="str">
        <f>VLOOKUP(B623,'Data Angt'!$A$5:$H$5810,8,FALSE)</f>
        <v>Tenaga Pengajar</v>
      </c>
    </row>
    <row r="624" spans="1:16" x14ac:dyDescent="0.3">
      <c r="A624" s="8">
        <v>617</v>
      </c>
      <c r="B624" s="9" t="s">
        <v>13747</v>
      </c>
      <c r="C624" s="10" t="str">
        <f>VLOOKUP(B624,'Data Angt'!$A$5:$B$5809,2,FALSE)</f>
        <v>A4927</v>
      </c>
      <c r="D624" s="12" t="s">
        <v>16268</v>
      </c>
      <c r="E624" s="13">
        <v>45693</v>
      </c>
      <c r="F624" s="14">
        <v>45916</v>
      </c>
      <c r="G624" s="15">
        <v>2000000</v>
      </c>
      <c r="H624" s="16">
        <v>12</v>
      </c>
      <c r="I624" s="17">
        <v>24</v>
      </c>
      <c r="J624" s="15">
        <v>891100</v>
      </c>
      <c r="K624" s="98">
        <f t="shared" si="27"/>
        <v>0</v>
      </c>
      <c r="L624" s="98" t="str">
        <f t="shared" si="28"/>
        <v>Lancar</v>
      </c>
      <c r="M624" s="5" t="str">
        <f t="shared" si="29"/>
        <v>001</v>
      </c>
      <c r="N624" s="55" t="str">
        <f>VLOOKUP(D624,Pinjaman!$E$7:$N$1900,10,FALSE)</f>
        <v>KESEHATAN</v>
      </c>
      <c r="O624" s="55">
        <f>VLOOKUP(B624,'Data Angt'!$A$5:$H$5810,6,FALSE)</f>
        <v>57</v>
      </c>
      <c r="P624" s="55" t="str">
        <f>VLOOKUP(B624,'Data Angt'!$A$5:$H$5810,8,FALSE)</f>
        <v>Wiraswasta</v>
      </c>
    </row>
    <row r="625" spans="1:16" x14ac:dyDescent="0.3">
      <c r="A625" s="8">
        <v>618</v>
      </c>
      <c r="B625" s="9" t="s">
        <v>13754</v>
      </c>
      <c r="C625" s="10" t="str">
        <f>VLOOKUP(B625,'Data Angt'!$A$5:$B$5809,2,FALSE)</f>
        <v>A4930</v>
      </c>
      <c r="D625" s="12" t="s">
        <v>16271</v>
      </c>
      <c r="E625" s="13">
        <v>45611</v>
      </c>
      <c r="F625" s="14">
        <v>45915</v>
      </c>
      <c r="G625" s="15">
        <v>6500000</v>
      </c>
      <c r="H625" s="16">
        <v>12</v>
      </c>
      <c r="I625" s="17">
        <v>24</v>
      </c>
      <c r="J625" s="15">
        <v>1193300</v>
      </c>
      <c r="K625" s="98">
        <f t="shared" si="27"/>
        <v>0</v>
      </c>
      <c r="L625" s="98" t="str">
        <f t="shared" si="28"/>
        <v>Lancar</v>
      </c>
      <c r="M625" s="5" t="str">
        <f t="shared" si="29"/>
        <v>001</v>
      </c>
      <c r="N625" s="55" t="str">
        <f>VLOOKUP(D625,Pinjaman!$E$7:$N$1900,10,FALSE)</f>
        <v>KONSUMTIF</v>
      </c>
      <c r="O625" s="55">
        <f>VLOOKUP(B625,'Data Angt'!$A$5:$H$5810,6,FALSE)</f>
        <v>20</v>
      </c>
      <c r="P625" s="55" t="str">
        <f>VLOOKUP(B625,'Data Angt'!$A$5:$H$5810,8,FALSE)</f>
        <v>Karyawan</v>
      </c>
    </row>
    <row r="626" spans="1:16" x14ac:dyDescent="0.3">
      <c r="A626" s="8">
        <v>619</v>
      </c>
      <c r="B626" s="9" t="s">
        <v>13785</v>
      </c>
      <c r="C626" s="10" t="str">
        <f>VLOOKUP(B626,'Data Angt'!$A$5:$B$5809,2,FALSE)</f>
        <v>A4945</v>
      </c>
      <c r="D626" s="12" t="s">
        <v>16274</v>
      </c>
      <c r="E626" s="13">
        <v>45645</v>
      </c>
      <c r="F626" s="14">
        <v>45919</v>
      </c>
      <c r="G626" s="15">
        <v>6000000</v>
      </c>
      <c r="H626" s="16">
        <v>24</v>
      </c>
      <c r="I626" s="17">
        <v>24</v>
      </c>
      <c r="J626" s="15">
        <v>4075900</v>
      </c>
      <c r="K626" s="98">
        <f t="shared" si="27"/>
        <v>0</v>
      </c>
      <c r="L626" s="98" t="str">
        <f t="shared" si="28"/>
        <v>Lancar</v>
      </c>
      <c r="M626" s="5" t="str">
        <f t="shared" si="29"/>
        <v>001</v>
      </c>
      <c r="N626" s="55" t="str">
        <f>VLOOKUP(D626,Pinjaman!$E$7:$N$1900,10,FALSE)</f>
        <v>KESEJAHTERAAN</v>
      </c>
      <c r="O626" s="55">
        <f>VLOOKUP(B626,'Data Angt'!$A$5:$H$5810,6,FALSE)</f>
        <v>27</v>
      </c>
      <c r="P626" s="55" t="str">
        <f>VLOOKUP(B626,'Data Angt'!$A$5:$H$5810,8,FALSE)</f>
        <v>Karyawan</v>
      </c>
    </row>
    <row r="627" spans="1:16" x14ac:dyDescent="0.3">
      <c r="A627" s="8">
        <v>620</v>
      </c>
      <c r="B627" s="9" t="s">
        <v>13788</v>
      </c>
      <c r="C627" s="10" t="str">
        <f>VLOOKUP(B627,'Data Angt'!$A$5:$B$5809,2,FALSE)</f>
        <v>A4946</v>
      </c>
      <c r="D627" s="12" t="s">
        <v>22771</v>
      </c>
      <c r="E627" s="13">
        <v>45909</v>
      </c>
      <c r="F627" s="14">
        <v>45909</v>
      </c>
      <c r="G627" s="15">
        <v>2000000</v>
      </c>
      <c r="H627" s="16">
        <v>10</v>
      </c>
      <c r="I627" s="17">
        <v>24</v>
      </c>
      <c r="J627" s="15">
        <v>2000000</v>
      </c>
      <c r="K627" s="98">
        <f t="shared" si="27"/>
        <v>0</v>
      </c>
      <c r="L627" s="98" t="str">
        <f t="shared" si="28"/>
        <v>Lancar</v>
      </c>
      <c r="M627" s="5" t="str">
        <f t="shared" si="29"/>
        <v>001</v>
      </c>
      <c r="N627" s="55" t="str">
        <f>VLOOKUP(D627,Pinjaman!$E$7:$N$1900,10,FALSE)</f>
        <v>KONSUMTIF</v>
      </c>
      <c r="O627" s="55">
        <f>VLOOKUP(B627,'Data Angt'!$A$5:$H$5810,6,FALSE)</f>
        <v>20</v>
      </c>
      <c r="P627" s="55" t="str">
        <f>VLOOKUP(B627,'Data Angt'!$A$5:$H$5810,8,FALSE)</f>
        <v>Karyawan</v>
      </c>
    </row>
    <row r="628" spans="1:16" x14ac:dyDescent="0.3">
      <c r="A628" s="8">
        <v>621</v>
      </c>
      <c r="B628" s="9" t="s">
        <v>13791</v>
      </c>
      <c r="C628" s="10" t="str">
        <f>VLOOKUP(B628,'Data Angt'!$A$5:$B$5809,2,FALSE)</f>
        <v>A4947</v>
      </c>
      <c r="D628" s="12" t="s">
        <v>16276</v>
      </c>
      <c r="E628" s="13">
        <v>45712</v>
      </c>
      <c r="F628" s="14">
        <v>45920</v>
      </c>
      <c r="G628" s="15">
        <v>35000000</v>
      </c>
      <c r="H628" s="16">
        <v>36</v>
      </c>
      <c r="I628" s="17">
        <v>21</v>
      </c>
      <c r="J628" s="15">
        <v>29789700</v>
      </c>
      <c r="K628" s="98">
        <f t="shared" si="27"/>
        <v>0</v>
      </c>
      <c r="L628" s="98" t="str">
        <f t="shared" si="28"/>
        <v>Lancar</v>
      </c>
      <c r="M628" s="5" t="str">
        <f t="shared" si="29"/>
        <v>001</v>
      </c>
      <c r="N628" s="55" t="str">
        <f>VLOOKUP(D628,Pinjaman!$E$7:$N$1900,10,FALSE)</f>
        <v>PRODUKTIF</v>
      </c>
      <c r="O628" s="55">
        <f>VLOOKUP(B628,'Data Angt'!$A$5:$H$5810,6,FALSE)</f>
        <v>31</v>
      </c>
      <c r="P628" s="55" t="str">
        <f>VLOOKUP(B628,'Data Angt'!$A$5:$H$5810,8,FALSE)</f>
        <v>Wiraswasta</v>
      </c>
    </row>
    <row r="629" spans="1:16" x14ac:dyDescent="0.3">
      <c r="A629" s="8">
        <v>622</v>
      </c>
      <c r="B629" s="9" t="s">
        <v>13808</v>
      </c>
      <c r="C629" s="10" t="str">
        <f>VLOOKUP(B629,'Data Angt'!$A$5:$B$5809,2,FALSE)</f>
        <v>A4957</v>
      </c>
      <c r="D629" s="12" t="s">
        <v>16279</v>
      </c>
      <c r="E629" s="13">
        <v>45821</v>
      </c>
      <c r="F629" s="14">
        <v>45913</v>
      </c>
      <c r="G629" s="15">
        <v>10000000</v>
      </c>
      <c r="H629" s="16">
        <v>12</v>
      </c>
      <c r="I629" s="17">
        <v>24</v>
      </c>
      <c r="J629" s="15">
        <v>7718200</v>
      </c>
      <c r="K629" s="98">
        <f t="shared" si="27"/>
        <v>0</v>
      </c>
      <c r="L629" s="98" t="str">
        <f t="shared" si="28"/>
        <v>Lancar</v>
      </c>
      <c r="M629" s="5" t="str">
        <f t="shared" si="29"/>
        <v>001</v>
      </c>
      <c r="N629" s="55" t="str">
        <f>VLOOKUP(D629,Pinjaman!$E$7:$N$1900,10,FALSE)</f>
        <v>PRODUKTIF</v>
      </c>
      <c r="O629" s="55">
        <f>VLOOKUP(B629,'Data Angt'!$A$5:$H$5810,6,FALSE)</f>
        <v>38</v>
      </c>
      <c r="P629" s="55" t="str">
        <f>VLOOKUP(B629,'Data Angt'!$A$5:$H$5810,8,FALSE)</f>
        <v>Wiraswasta</v>
      </c>
    </row>
    <row r="630" spans="1:16" x14ac:dyDescent="0.3">
      <c r="A630" s="8">
        <v>623</v>
      </c>
      <c r="B630" s="9" t="s">
        <v>13831</v>
      </c>
      <c r="C630" s="10" t="str">
        <f>VLOOKUP(B630,'Data Angt'!$A$5:$B$5809,2,FALSE)</f>
        <v>A4969</v>
      </c>
      <c r="D630" s="12" t="s">
        <v>22774</v>
      </c>
      <c r="E630" s="13">
        <v>45903</v>
      </c>
      <c r="F630" s="14">
        <v>45903</v>
      </c>
      <c r="G630" s="15">
        <v>5000000</v>
      </c>
      <c r="H630" s="16">
        <v>7</v>
      </c>
      <c r="I630" s="17">
        <v>24</v>
      </c>
      <c r="J630" s="15">
        <v>5000000</v>
      </c>
      <c r="K630" s="98">
        <f t="shared" si="27"/>
        <v>0</v>
      </c>
      <c r="L630" s="98" t="str">
        <f t="shared" si="28"/>
        <v>Lancar</v>
      </c>
      <c r="M630" s="5" t="str">
        <f t="shared" si="29"/>
        <v>001</v>
      </c>
      <c r="N630" s="55" t="str">
        <f>VLOOKUP(D630,Pinjaman!$E$7:$N$1900,10,FALSE)</f>
        <v>KESEJAHTERAAN</v>
      </c>
      <c r="O630" s="55">
        <f>VLOOKUP(B630,'Data Angt'!$A$5:$H$5810,6,FALSE)</f>
        <v>24</v>
      </c>
      <c r="P630" s="55" t="str">
        <f>VLOOKUP(B630,'Data Angt'!$A$5:$H$5810,8,FALSE)</f>
        <v>Karyawan</v>
      </c>
    </row>
    <row r="631" spans="1:16" x14ac:dyDescent="0.3">
      <c r="A631" s="8">
        <v>624</v>
      </c>
      <c r="B631" s="9" t="s">
        <v>13844</v>
      </c>
      <c r="C631" s="10" t="str">
        <f>VLOOKUP(B631,'Data Angt'!$A$5:$B$5809,2,FALSE)</f>
        <v>A4973</v>
      </c>
      <c r="D631" s="12" t="s">
        <v>16281</v>
      </c>
      <c r="E631" s="13">
        <v>45644</v>
      </c>
      <c r="F631" s="14">
        <v>45924</v>
      </c>
      <c r="G631" s="15">
        <v>8000000</v>
      </c>
      <c r="H631" s="16">
        <v>24</v>
      </c>
      <c r="I631" s="17">
        <v>24</v>
      </c>
      <c r="J631" s="15">
        <v>5743200</v>
      </c>
      <c r="K631" s="98">
        <f t="shared" si="27"/>
        <v>0</v>
      </c>
      <c r="L631" s="98" t="str">
        <f t="shared" si="28"/>
        <v>Lancar</v>
      </c>
      <c r="M631" s="5" t="str">
        <f t="shared" si="29"/>
        <v>001</v>
      </c>
      <c r="N631" s="55" t="str">
        <f>VLOOKUP(D631,Pinjaman!$E$7:$N$1900,10,FALSE)</f>
        <v>PENDIDIKAN</v>
      </c>
      <c r="O631" s="55">
        <f>VLOOKUP(B631,'Data Angt'!$A$5:$H$5810,6,FALSE)</f>
        <v>53</v>
      </c>
      <c r="P631" s="55" t="str">
        <f>VLOOKUP(B631,'Data Angt'!$A$5:$H$5810,8,FALSE)</f>
        <v>Wiraswasta</v>
      </c>
    </row>
    <row r="632" spans="1:16" x14ac:dyDescent="0.3">
      <c r="A632" s="8">
        <v>625</v>
      </c>
      <c r="B632" s="9" t="s">
        <v>13885</v>
      </c>
      <c r="C632" s="10" t="str">
        <f>VLOOKUP(B632,'Data Angt'!$A$5:$B$5809,2,FALSE)</f>
        <v>A4993</v>
      </c>
      <c r="D632" s="12" t="s">
        <v>16284</v>
      </c>
      <c r="E632" s="13">
        <v>45679</v>
      </c>
      <c r="F632" s="14">
        <v>45909</v>
      </c>
      <c r="G632" s="15">
        <v>3500000</v>
      </c>
      <c r="H632" s="16">
        <v>12</v>
      </c>
      <c r="I632" s="17">
        <v>24</v>
      </c>
      <c r="J632" s="15">
        <v>1260100</v>
      </c>
      <c r="K632" s="98">
        <f t="shared" si="27"/>
        <v>0</v>
      </c>
      <c r="L632" s="98" t="str">
        <f t="shared" si="28"/>
        <v>Lancar</v>
      </c>
      <c r="M632" s="5" t="str">
        <f t="shared" si="29"/>
        <v>001</v>
      </c>
      <c r="N632" s="55" t="str">
        <f>VLOOKUP(D632,Pinjaman!$E$7:$N$1900,10,FALSE)</f>
        <v>PRODUKTIF</v>
      </c>
      <c r="O632" s="55">
        <f>VLOOKUP(B632,'Data Angt'!$A$5:$H$5810,6,FALSE)</f>
        <v>65</v>
      </c>
      <c r="P632" s="55" t="str">
        <f>VLOOKUP(B632,'Data Angt'!$A$5:$H$5810,8,FALSE)</f>
        <v>Wiraswasta</v>
      </c>
    </row>
    <row r="633" spans="1:16" x14ac:dyDescent="0.3">
      <c r="A633" s="8">
        <v>626</v>
      </c>
      <c r="B633" s="9" t="s">
        <v>13888</v>
      </c>
      <c r="C633" s="10" t="str">
        <f>VLOOKUP(B633,'Data Angt'!$A$5:$B$5809,2,FALSE)</f>
        <v>A4995</v>
      </c>
      <c r="D633" s="12" t="s">
        <v>22778</v>
      </c>
      <c r="E633" s="13">
        <v>45903</v>
      </c>
      <c r="F633" s="14">
        <v>45904</v>
      </c>
      <c r="G633" s="15">
        <v>3500000</v>
      </c>
      <c r="H633" s="16">
        <v>6</v>
      </c>
      <c r="I633" s="17">
        <v>24</v>
      </c>
      <c r="J633" s="15">
        <v>3500000</v>
      </c>
      <c r="K633" s="98">
        <f t="shared" si="27"/>
        <v>0</v>
      </c>
      <c r="L633" s="98" t="str">
        <f t="shared" si="28"/>
        <v>Lancar</v>
      </c>
      <c r="M633" s="5" t="str">
        <f t="shared" si="29"/>
        <v>001</v>
      </c>
      <c r="N633" s="55" t="str">
        <f>VLOOKUP(D633,Pinjaman!$E$7:$N$1900,10,FALSE)</f>
        <v>KESEJAHTERAAN</v>
      </c>
      <c r="O633" s="55">
        <f>VLOOKUP(B633,'Data Angt'!$A$5:$H$5810,6,FALSE)</f>
        <v>43</v>
      </c>
      <c r="P633" s="55" t="str">
        <f>VLOOKUP(B633,'Data Angt'!$A$5:$H$5810,8,FALSE)</f>
        <v>Karyawan</v>
      </c>
    </row>
    <row r="634" spans="1:16" x14ac:dyDescent="0.3">
      <c r="A634" s="8">
        <v>627</v>
      </c>
      <c r="B634" s="9" t="s">
        <v>13917</v>
      </c>
      <c r="C634" s="10" t="str">
        <f>VLOOKUP(B634,'Data Angt'!$A$5:$B$5809,2,FALSE)</f>
        <v>A5007</v>
      </c>
      <c r="D634" s="12" t="s">
        <v>16286</v>
      </c>
      <c r="E634" s="13">
        <v>45600</v>
      </c>
      <c r="F634" s="14">
        <v>45917</v>
      </c>
      <c r="G634" s="15">
        <v>5000000</v>
      </c>
      <c r="H634" s="16">
        <v>18</v>
      </c>
      <c r="I634" s="17">
        <v>24</v>
      </c>
      <c r="J634" s="15">
        <v>2442700</v>
      </c>
      <c r="K634" s="98">
        <f t="shared" si="27"/>
        <v>0</v>
      </c>
      <c r="L634" s="98" t="str">
        <f t="shared" si="28"/>
        <v>Lancar</v>
      </c>
      <c r="M634" s="5" t="str">
        <f t="shared" si="29"/>
        <v>001</v>
      </c>
      <c r="N634" s="55" t="str">
        <f>VLOOKUP(D634,Pinjaman!$E$7:$N$1900,10,FALSE)</f>
        <v>PRODUKTIF</v>
      </c>
      <c r="O634" s="55">
        <f>VLOOKUP(B634,'Data Angt'!$A$5:$H$5810,6,FALSE)</f>
        <v>39</v>
      </c>
      <c r="P634" s="55" t="str">
        <f>VLOOKUP(B634,'Data Angt'!$A$5:$H$5810,8,FALSE)</f>
        <v>Wiraswasta</v>
      </c>
    </row>
    <row r="635" spans="1:16" x14ac:dyDescent="0.3">
      <c r="A635" s="8">
        <v>628</v>
      </c>
      <c r="B635" s="9" t="s">
        <v>13929</v>
      </c>
      <c r="C635" s="10" t="str">
        <f>VLOOKUP(B635,'Data Angt'!$A$5:$B$5809,2,FALSE)</f>
        <v>A5012</v>
      </c>
      <c r="D635" s="12" t="s">
        <v>16288</v>
      </c>
      <c r="E635" s="13">
        <v>45761</v>
      </c>
      <c r="F635" s="14">
        <v>45915</v>
      </c>
      <c r="G635" s="15">
        <v>5000000</v>
      </c>
      <c r="H635" s="16">
        <v>12</v>
      </c>
      <c r="I635" s="17">
        <v>24</v>
      </c>
      <c r="J635" s="15">
        <v>3060100</v>
      </c>
      <c r="K635" s="98">
        <f t="shared" si="27"/>
        <v>0</v>
      </c>
      <c r="L635" s="98" t="str">
        <f t="shared" si="28"/>
        <v>Lancar</v>
      </c>
      <c r="M635" s="5" t="str">
        <f t="shared" si="29"/>
        <v>001</v>
      </c>
      <c r="N635" s="55" t="str">
        <f>VLOOKUP(D635,Pinjaman!$E$7:$N$1900,10,FALSE)</f>
        <v>PRODUKTIF</v>
      </c>
      <c r="O635" s="55">
        <f>VLOOKUP(B635,'Data Angt'!$A$5:$H$5810,6,FALSE)</f>
        <v>45</v>
      </c>
      <c r="P635" s="55" t="str">
        <f>VLOOKUP(B635,'Data Angt'!$A$5:$H$5810,8,FALSE)</f>
        <v>Tenaga Ahli</v>
      </c>
    </row>
    <row r="636" spans="1:16" x14ac:dyDescent="0.3">
      <c r="A636" s="8">
        <v>629</v>
      </c>
      <c r="B636" s="9" t="s">
        <v>13934</v>
      </c>
      <c r="C636" s="10" t="str">
        <f>VLOOKUP(B636,'Data Angt'!$A$5:$B$5809,2,FALSE)</f>
        <v>A5014</v>
      </c>
      <c r="D636" s="12" t="s">
        <v>16291</v>
      </c>
      <c r="E636" s="13">
        <v>45723</v>
      </c>
      <c r="F636" s="14">
        <v>45901</v>
      </c>
      <c r="G636" s="15">
        <v>3000000</v>
      </c>
      <c r="H636" s="16">
        <v>12</v>
      </c>
      <c r="I636" s="17">
        <v>24</v>
      </c>
      <c r="J636" s="15">
        <v>1589200</v>
      </c>
      <c r="K636" s="98">
        <f t="shared" si="27"/>
        <v>0</v>
      </c>
      <c r="L636" s="98" t="str">
        <f t="shared" si="28"/>
        <v>Lancar</v>
      </c>
      <c r="M636" s="5" t="str">
        <f t="shared" si="29"/>
        <v>001</v>
      </c>
      <c r="N636" s="55" t="str">
        <f>VLOOKUP(D636,Pinjaman!$E$7:$N$1900,10,FALSE)</f>
        <v>KESEJAHTERAAN</v>
      </c>
      <c r="O636" s="55">
        <f>VLOOKUP(B636,'Data Angt'!$A$5:$H$5810,6,FALSE)</f>
        <v>37</v>
      </c>
      <c r="P636" s="55" t="str">
        <f>VLOOKUP(B636,'Data Angt'!$A$5:$H$5810,8,FALSE)</f>
        <v>Karyawan</v>
      </c>
    </row>
    <row r="637" spans="1:16" x14ac:dyDescent="0.3">
      <c r="A637" s="8">
        <v>630</v>
      </c>
      <c r="B637" s="9" t="s">
        <v>13942</v>
      </c>
      <c r="C637" s="10" t="str">
        <f>VLOOKUP(B637,'Data Angt'!$A$5:$B$5809,2,FALSE)</f>
        <v>A5019</v>
      </c>
      <c r="D637" s="12" t="s">
        <v>16293</v>
      </c>
      <c r="E637" s="13">
        <v>45715</v>
      </c>
      <c r="F637" s="14">
        <v>45926</v>
      </c>
      <c r="G637" s="15">
        <v>2000000</v>
      </c>
      <c r="H637" s="16">
        <v>10</v>
      </c>
      <c r="I637" s="17">
        <v>24</v>
      </c>
      <c r="J637" s="15">
        <v>600000</v>
      </c>
      <c r="K637" s="98">
        <f t="shared" si="27"/>
        <v>0</v>
      </c>
      <c r="L637" s="98" t="str">
        <f t="shared" si="28"/>
        <v>Lancar</v>
      </c>
      <c r="M637" s="5" t="str">
        <f t="shared" si="29"/>
        <v>001</v>
      </c>
      <c r="N637" s="55" t="str">
        <f>VLOOKUP(D637,Pinjaman!$E$7:$N$1900,10,FALSE)</f>
        <v>KONSUMTIF</v>
      </c>
      <c r="O637" s="55">
        <f>VLOOKUP(B637,'Data Angt'!$A$5:$H$5810,6,FALSE)</f>
        <v>54</v>
      </c>
      <c r="P637" s="55" t="str">
        <f>VLOOKUP(B637,'Data Angt'!$A$5:$H$5810,8,FALSE)</f>
        <v>Tenaga Pengajar</v>
      </c>
    </row>
    <row r="638" spans="1:16" x14ac:dyDescent="0.3">
      <c r="A638" s="8">
        <v>631</v>
      </c>
      <c r="B638" s="9" t="s">
        <v>13945</v>
      </c>
      <c r="C638" s="10" t="str">
        <f>VLOOKUP(B638,'Data Angt'!$A$5:$B$5809,2,FALSE)</f>
        <v>A5020</v>
      </c>
      <c r="D638" s="12" t="s">
        <v>22783</v>
      </c>
      <c r="E638" s="13">
        <v>45849</v>
      </c>
      <c r="F638" s="14">
        <v>45912</v>
      </c>
      <c r="G638" s="15">
        <v>2000000</v>
      </c>
      <c r="H638" s="16">
        <v>8</v>
      </c>
      <c r="I638" s="17">
        <v>24</v>
      </c>
      <c r="J638" s="15">
        <v>1529200</v>
      </c>
      <c r="K638" s="98">
        <f t="shared" si="27"/>
        <v>0</v>
      </c>
      <c r="L638" s="98" t="str">
        <f t="shared" si="28"/>
        <v>Lancar</v>
      </c>
      <c r="M638" s="5" t="str">
        <f t="shared" si="29"/>
        <v>001</v>
      </c>
      <c r="N638" s="55" t="str">
        <f>VLOOKUP(D638,Pinjaman!$E$7:$N$1900,10,FALSE)</f>
        <v>PENDIDIKAN</v>
      </c>
      <c r="O638" s="55">
        <f>VLOOKUP(B638,'Data Angt'!$A$5:$H$5810,6,FALSE)</f>
        <v>36</v>
      </c>
      <c r="P638" s="55" t="str">
        <f>VLOOKUP(B638,'Data Angt'!$A$5:$H$5810,8,FALSE)</f>
        <v>Wiraswasta</v>
      </c>
    </row>
    <row r="639" spans="1:16" x14ac:dyDescent="0.3">
      <c r="A639" s="8">
        <v>632</v>
      </c>
      <c r="B639" s="9" t="s">
        <v>13951</v>
      </c>
      <c r="C639" s="10" t="str">
        <f>VLOOKUP(B639,'Data Angt'!$A$5:$B$5809,2,FALSE)</f>
        <v>A5022</v>
      </c>
      <c r="D639" s="12" t="s">
        <v>22785</v>
      </c>
      <c r="E639" s="13">
        <v>45870</v>
      </c>
      <c r="F639" s="14">
        <v>45909</v>
      </c>
      <c r="G639" s="15">
        <v>1700000</v>
      </c>
      <c r="H639" s="16">
        <v>8</v>
      </c>
      <c r="I639" s="17">
        <v>24</v>
      </c>
      <c r="J639" s="15">
        <v>1501900</v>
      </c>
      <c r="K639" s="98">
        <f t="shared" si="27"/>
        <v>0</v>
      </c>
      <c r="L639" s="98" t="str">
        <f t="shared" si="28"/>
        <v>Lancar</v>
      </c>
      <c r="M639" s="5" t="str">
        <f t="shared" si="29"/>
        <v>001</v>
      </c>
      <c r="N639" s="55" t="str">
        <f>VLOOKUP(D639,Pinjaman!$E$7:$N$1900,10,FALSE)</f>
        <v>PENDIDIKAN</v>
      </c>
      <c r="O639" s="55">
        <f>VLOOKUP(B639,'Data Angt'!$A$5:$H$5810,6,FALSE)</f>
        <v>49</v>
      </c>
      <c r="P639" s="55" t="str">
        <f>VLOOKUP(B639,'Data Angt'!$A$5:$H$5810,8,FALSE)</f>
        <v>Wiraswasta</v>
      </c>
    </row>
    <row r="640" spans="1:16" x14ac:dyDescent="0.3">
      <c r="A640" s="8">
        <v>633</v>
      </c>
      <c r="B640" s="9" t="s">
        <v>13953</v>
      </c>
      <c r="C640" s="10" t="str">
        <f>VLOOKUP(B640,'Data Angt'!$A$5:$B$5809,2,FALSE)</f>
        <v>A5023</v>
      </c>
      <c r="D640" s="12" t="s">
        <v>22788</v>
      </c>
      <c r="E640" s="13">
        <v>45870</v>
      </c>
      <c r="F640" s="14">
        <v>45904</v>
      </c>
      <c r="G640" s="15">
        <v>1700000</v>
      </c>
      <c r="H640" s="16">
        <v>8</v>
      </c>
      <c r="I640" s="17">
        <v>24</v>
      </c>
      <c r="J640" s="15">
        <v>1501900</v>
      </c>
      <c r="K640" s="98">
        <f t="shared" si="27"/>
        <v>0</v>
      </c>
      <c r="L640" s="98" t="str">
        <f t="shared" si="28"/>
        <v>Lancar</v>
      </c>
      <c r="M640" s="5" t="str">
        <f t="shared" si="29"/>
        <v>001</v>
      </c>
      <c r="N640" s="55" t="str">
        <f>VLOOKUP(D640,Pinjaman!$E$7:$N$1900,10,FALSE)</f>
        <v>PENDIDIKAN</v>
      </c>
      <c r="O640" s="55">
        <f>VLOOKUP(B640,'Data Angt'!$A$5:$H$5810,6,FALSE)</f>
        <v>20</v>
      </c>
      <c r="P640" s="55" t="str">
        <f>VLOOKUP(B640,'Data Angt'!$A$5:$H$5810,8,FALSE)</f>
        <v>Tenaga Pengajar</v>
      </c>
    </row>
    <row r="641" spans="1:16" x14ac:dyDescent="0.3">
      <c r="A641" s="8">
        <v>634</v>
      </c>
      <c r="B641" s="9" t="s">
        <v>13957</v>
      </c>
      <c r="C641" s="10" t="str">
        <f>VLOOKUP(B641,'Data Angt'!$A$5:$B$5809,2,FALSE)</f>
        <v>A5025</v>
      </c>
      <c r="D641" s="12" t="s">
        <v>16295</v>
      </c>
      <c r="E641" s="13">
        <v>45803</v>
      </c>
      <c r="F641" s="14">
        <v>45904</v>
      </c>
      <c r="G641" s="15">
        <v>5000000</v>
      </c>
      <c r="H641" s="16">
        <v>12</v>
      </c>
      <c r="I641" s="17">
        <v>24</v>
      </c>
      <c r="J641" s="15">
        <v>3333200</v>
      </c>
      <c r="K641" s="98">
        <f t="shared" si="27"/>
        <v>0</v>
      </c>
      <c r="L641" s="98" t="str">
        <f t="shared" si="28"/>
        <v>Lancar</v>
      </c>
      <c r="M641" s="5" t="str">
        <f t="shared" si="29"/>
        <v>001</v>
      </c>
      <c r="N641" s="55" t="str">
        <f>VLOOKUP(D641,Pinjaman!$E$7:$N$1900,10,FALSE)</f>
        <v>PRODUKTIF</v>
      </c>
      <c r="O641" s="55">
        <f>VLOOKUP(B641,'Data Angt'!$A$5:$H$5810,6,FALSE)</f>
        <v>42</v>
      </c>
      <c r="P641" s="55" t="str">
        <f>VLOOKUP(B641,'Data Angt'!$A$5:$H$5810,8,FALSE)</f>
        <v>Wiraswasta</v>
      </c>
    </row>
    <row r="642" spans="1:16" x14ac:dyDescent="0.3">
      <c r="A642" s="8">
        <v>635</v>
      </c>
      <c r="B642" s="9" t="s">
        <v>13978</v>
      </c>
      <c r="C642" s="10" t="str">
        <f>VLOOKUP(B642,'Data Angt'!$A$5:$B$5809,2,FALSE)</f>
        <v>A5032</v>
      </c>
      <c r="D642" s="12" t="s">
        <v>16297</v>
      </c>
      <c r="E642" s="13">
        <v>45699</v>
      </c>
      <c r="F642" s="14">
        <v>45908</v>
      </c>
      <c r="G642" s="15">
        <v>5000000</v>
      </c>
      <c r="H642" s="16">
        <v>12</v>
      </c>
      <c r="I642" s="17">
        <v>24</v>
      </c>
      <c r="J642" s="15">
        <v>2228800</v>
      </c>
      <c r="K642" s="98">
        <f t="shared" si="27"/>
        <v>0</v>
      </c>
      <c r="L642" s="98" t="str">
        <f t="shared" si="28"/>
        <v>Lancar</v>
      </c>
      <c r="M642" s="5" t="str">
        <f t="shared" si="29"/>
        <v>001</v>
      </c>
      <c r="N642" s="55" t="str">
        <f>VLOOKUP(D642,Pinjaman!$E$7:$N$1900,10,FALSE)</f>
        <v>PENDIDIKAN</v>
      </c>
      <c r="O642" s="55">
        <f>VLOOKUP(B642,'Data Angt'!$A$5:$H$5810,6,FALSE)</f>
        <v>48</v>
      </c>
      <c r="P642" s="55" t="str">
        <f>VLOOKUP(B642,'Data Angt'!$A$5:$H$5810,8,FALSE)</f>
        <v>Karyawan</v>
      </c>
    </row>
    <row r="643" spans="1:16" x14ac:dyDescent="0.3">
      <c r="A643" s="8">
        <v>636</v>
      </c>
      <c r="B643" s="9" t="s">
        <v>14002</v>
      </c>
      <c r="C643" s="10" t="str">
        <f>VLOOKUP(B643,'Data Angt'!$A$5:$B$5809,2,FALSE)</f>
        <v>A5042</v>
      </c>
      <c r="D643" s="12" t="s">
        <v>16300</v>
      </c>
      <c r="E643" s="13">
        <v>45787</v>
      </c>
      <c r="F643" s="14">
        <v>45911</v>
      </c>
      <c r="G643" s="15">
        <v>6200000</v>
      </c>
      <c r="H643" s="16">
        <v>10</v>
      </c>
      <c r="I643" s="17">
        <v>24</v>
      </c>
      <c r="J643" s="15">
        <v>3866100</v>
      </c>
      <c r="K643" s="98">
        <f t="shared" si="27"/>
        <v>0</v>
      </c>
      <c r="L643" s="98" t="str">
        <f t="shared" si="28"/>
        <v>Lancar</v>
      </c>
      <c r="M643" s="5" t="str">
        <f t="shared" si="29"/>
        <v>001</v>
      </c>
      <c r="N643" s="55" t="str">
        <f>VLOOKUP(D643,Pinjaman!$E$7:$N$1900,10,FALSE)</f>
        <v>PENDIDIKAN</v>
      </c>
      <c r="O643" s="55">
        <f>VLOOKUP(B643,'Data Angt'!$A$5:$H$5810,6,FALSE)</f>
        <v>21</v>
      </c>
      <c r="P643" s="55" t="str">
        <f>VLOOKUP(B643,'Data Angt'!$A$5:$H$5810,8,FALSE)</f>
        <v>Mengurus Rumah Tangga</v>
      </c>
    </row>
    <row r="644" spans="1:16" x14ac:dyDescent="0.3">
      <c r="A644" s="8">
        <v>637</v>
      </c>
      <c r="B644" s="9" t="s">
        <v>14009</v>
      </c>
      <c r="C644" s="10" t="str">
        <f>VLOOKUP(B644,'Data Angt'!$A$5:$B$5809,2,FALSE)</f>
        <v>A5046</v>
      </c>
      <c r="D644" s="12" t="s">
        <v>16303</v>
      </c>
      <c r="E644" s="13">
        <v>45821</v>
      </c>
      <c r="F644" s="14">
        <v>45913</v>
      </c>
      <c r="G644" s="15">
        <v>1000000</v>
      </c>
      <c r="H644" s="16">
        <v>10</v>
      </c>
      <c r="I644" s="17">
        <v>24</v>
      </c>
      <c r="J644" s="15">
        <v>720400</v>
      </c>
      <c r="K644" s="98">
        <f t="shared" si="27"/>
        <v>0</v>
      </c>
      <c r="L644" s="98" t="str">
        <f t="shared" si="28"/>
        <v>Lancar</v>
      </c>
      <c r="M644" s="5" t="str">
        <f t="shared" si="29"/>
        <v>001</v>
      </c>
      <c r="N644" s="55" t="str">
        <f>VLOOKUP(D644,Pinjaman!$E$7:$N$1900,10,FALSE)</f>
        <v>PRODUKTIF</v>
      </c>
      <c r="O644" s="55">
        <f>VLOOKUP(B644,'Data Angt'!$A$5:$H$5810,6,FALSE)</f>
        <v>35</v>
      </c>
      <c r="P644" s="55" t="str">
        <f>VLOOKUP(B644,'Data Angt'!$A$5:$H$5810,8,FALSE)</f>
        <v>Karyawan</v>
      </c>
    </row>
    <row r="645" spans="1:16" x14ac:dyDescent="0.3">
      <c r="A645" s="8">
        <v>638</v>
      </c>
      <c r="B645" s="9" t="s">
        <v>14015</v>
      </c>
      <c r="C645" s="10" t="str">
        <f>VLOOKUP(B645,'Data Angt'!$A$5:$B$5809,2,FALSE)</f>
        <v>A5049</v>
      </c>
      <c r="D645" s="12" t="s">
        <v>22794</v>
      </c>
      <c r="E645" s="13">
        <v>45847</v>
      </c>
      <c r="F645" s="14">
        <v>45908</v>
      </c>
      <c r="G645" s="15">
        <v>3000000</v>
      </c>
      <c r="H645" s="16">
        <v>12</v>
      </c>
      <c r="I645" s="17">
        <v>24</v>
      </c>
      <c r="J645" s="15">
        <v>2548200</v>
      </c>
      <c r="K645" s="98">
        <f t="shared" si="27"/>
        <v>0</v>
      </c>
      <c r="L645" s="98" t="str">
        <f t="shared" si="28"/>
        <v>Lancar</v>
      </c>
      <c r="M645" s="5" t="str">
        <f t="shared" si="29"/>
        <v>001</v>
      </c>
      <c r="N645" s="55" t="str">
        <f>VLOOKUP(D645,Pinjaman!$E$7:$N$1900,10,FALSE)</f>
        <v>PENDIDIKAN</v>
      </c>
      <c r="O645" s="55">
        <f>VLOOKUP(B645,'Data Angt'!$A$5:$H$5810,6,FALSE)</f>
        <v>39</v>
      </c>
      <c r="P645" s="55" t="str">
        <f>VLOOKUP(B645,'Data Angt'!$A$5:$H$5810,8,FALSE)</f>
        <v>Aparatur/Pejabat Negara</v>
      </c>
    </row>
    <row r="646" spans="1:16" x14ac:dyDescent="0.3">
      <c r="A646" s="8">
        <v>639</v>
      </c>
      <c r="B646" s="9" t="s">
        <v>14134</v>
      </c>
      <c r="C646" s="10" t="str">
        <f>VLOOKUP(B646,'Data Angt'!$A$5:$B$5809,2,FALSE)</f>
        <v>A5102</v>
      </c>
      <c r="D646" s="12" t="s">
        <v>16306</v>
      </c>
      <c r="E646" s="13">
        <v>45693</v>
      </c>
      <c r="F646" s="14">
        <v>45908</v>
      </c>
      <c r="G646" s="15">
        <v>2600000</v>
      </c>
      <c r="H646" s="16">
        <v>12</v>
      </c>
      <c r="I646" s="17">
        <v>12</v>
      </c>
      <c r="J646" s="15">
        <v>1120700</v>
      </c>
      <c r="K646" s="98">
        <f t="shared" si="27"/>
        <v>0</v>
      </c>
      <c r="L646" s="98" t="str">
        <f t="shared" si="28"/>
        <v>Lancar</v>
      </c>
      <c r="M646" s="5" t="str">
        <f t="shared" si="29"/>
        <v>001</v>
      </c>
      <c r="N646" s="55" t="str">
        <f>VLOOKUP(D646,Pinjaman!$E$7:$N$1900,10,FALSE)</f>
        <v>PRODUKTIF</v>
      </c>
      <c r="O646" s="55">
        <f>VLOOKUP(B646,'Data Angt'!$A$5:$H$5810,6,FALSE)</f>
        <v>53</v>
      </c>
      <c r="P646" s="55" t="str">
        <f>VLOOKUP(B646,'Data Angt'!$A$5:$H$5810,8,FALSE)</f>
        <v>Wiraswasta</v>
      </c>
    </row>
    <row r="647" spans="1:16" x14ac:dyDescent="0.3">
      <c r="A647" s="8">
        <v>640</v>
      </c>
      <c r="B647" s="9" t="s">
        <v>14137</v>
      </c>
      <c r="C647" s="10" t="str">
        <f>VLOOKUP(B647,'Data Angt'!$A$5:$B$5809,2,FALSE)</f>
        <v>A5104</v>
      </c>
      <c r="D647" s="12" t="s">
        <v>16308</v>
      </c>
      <c r="E647" s="13">
        <v>45628</v>
      </c>
      <c r="F647" s="14">
        <v>45903</v>
      </c>
      <c r="G647" s="15">
        <v>15000000</v>
      </c>
      <c r="H647" s="16">
        <v>24</v>
      </c>
      <c r="I647" s="17">
        <v>24</v>
      </c>
      <c r="J647" s="15">
        <v>10190300</v>
      </c>
      <c r="K647" s="98">
        <f t="shared" si="27"/>
        <v>0</v>
      </c>
      <c r="L647" s="98" t="str">
        <f t="shared" si="28"/>
        <v>Lancar</v>
      </c>
      <c r="M647" s="5" t="str">
        <f t="shared" si="29"/>
        <v>001</v>
      </c>
      <c r="N647" s="55" t="str">
        <f>VLOOKUP(D647,Pinjaman!$E$7:$N$1900,10,FALSE)</f>
        <v>KONSUMTIF</v>
      </c>
      <c r="O647" s="55">
        <f>VLOOKUP(B647,'Data Angt'!$A$5:$H$5810,6,FALSE)</f>
        <v>25</v>
      </c>
      <c r="P647" s="55" t="str">
        <f>VLOOKUP(B647,'Data Angt'!$A$5:$H$5810,8,FALSE)</f>
        <v>Karyawan</v>
      </c>
    </row>
    <row r="648" spans="1:16" x14ac:dyDescent="0.3">
      <c r="A648" s="8">
        <v>641</v>
      </c>
      <c r="B648" s="9" t="s">
        <v>14162</v>
      </c>
      <c r="C648" s="10" t="str">
        <f>VLOOKUP(B648,'Data Angt'!$A$5:$B$5809,2,FALSE)</f>
        <v>A5117</v>
      </c>
      <c r="D648" s="12" t="s">
        <v>22797</v>
      </c>
      <c r="E648" s="13">
        <v>45859</v>
      </c>
      <c r="F648" s="14">
        <v>45925</v>
      </c>
      <c r="G648" s="15">
        <v>2000000</v>
      </c>
      <c r="H648" s="16">
        <v>6</v>
      </c>
      <c r="I648" s="17">
        <v>24</v>
      </c>
      <c r="J648" s="15">
        <v>1359500</v>
      </c>
      <c r="K648" s="98">
        <f t="shared" si="27"/>
        <v>0</v>
      </c>
      <c r="L648" s="98" t="str">
        <f t="shared" si="28"/>
        <v>Lancar</v>
      </c>
      <c r="M648" s="5" t="str">
        <f t="shared" si="29"/>
        <v>001</v>
      </c>
      <c r="N648" s="55" t="str">
        <f>VLOOKUP(D648,Pinjaman!$E$7:$N$1900,10,FALSE)</f>
        <v>PENDIDIKAN</v>
      </c>
      <c r="O648" s="55">
        <f>VLOOKUP(B648,'Data Angt'!$A$5:$H$5810,6,FALSE)</f>
        <v>32</v>
      </c>
      <c r="P648" s="55">
        <f>VLOOKUP(B648,'Data Angt'!$A$5:$H$5810,8,FALSE)</f>
        <v>0</v>
      </c>
    </row>
    <row r="649" spans="1:16" x14ac:dyDescent="0.3">
      <c r="A649" s="8">
        <v>642</v>
      </c>
      <c r="B649" s="9" t="s">
        <v>14165</v>
      </c>
      <c r="C649" s="10" t="str">
        <f>VLOOKUP(B649,'Data Angt'!$A$5:$B$5809,2,FALSE)</f>
        <v>A5119</v>
      </c>
      <c r="D649" s="12" t="s">
        <v>16310</v>
      </c>
      <c r="E649" s="13">
        <v>45706</v>
      </c>
      <c r="F649" s="14">
        <v>45916</v>
      </c>
      <c r="G649" s="15">
        <v>3000000</v>
      </c>
      <c r="H649" s="16">
        <v>12</v>
      </c>
      <c r="I649" s="17">
        <v>24</v>
      </c>
      <c r="J649" s="15">
        <v>1337300</v>
      </c>
      <c r="K649" s="98">
        <f t="shared" ref="K649:K712" si="30">DATEDIF(F649,$K$6,"m")</f>
        <v>0</v>
      </c>
      <c r="L649" s="98" t="str">
        <f t="shared" ref="L649:L712" si="31">IF(K649&lt;=3,"Lancar",IF(K649&lt;=6,"Kurang lancar",IF(K649&lt;=12,"Diragukan","Macet")))</f>
        <v>Lancar</v>
      </c>
      <c r="M649" s="5" t="str">
        <f t="shared" ref="M649:M712" si="32">MID(B649,7,3)</f>
        <v>001</v>
      </c>
      <c r="N649" s="55" t="str">
        <f>VLOOKUP(D649,Pinjaman!$E$7:$N$1900,10,FALSE)</f>
        <v>KESEJAHTERAAN</v>
      </c>
      <c r="O649" s="55">
        <f>VLOOKUP(B649,'Data Angt'!$A$5:$H$5810,6,FALSE)</f>
        <v>32</v>
      </c>
      <c r="P649" s="55" t="str">
        <f>VLOOKUP(B649,'Data Angt'!$A$5:$H$5810,8,FALSE)</f>
        <v>Wiraswasta</v>
      </c>
    </row>
    <row r="650" spans="1:16" x14ac:dyDescent="0.3">
      <c r="A650" s="8">
        <v>643</v>
      </c>
      <c r="B650" s="9" t="s">
        <v>14228</v>
      </c>
      <c r="C650" s="10" t="str">
        <f>VLOOKUP(B650,'Data Angt'!$A$5:$B$5809,2,FALSE)</f>
        <v>A5147</v>
      </c>
      <c r="D650" s="12" t="s">
        <v>16312</v>
      </c>
      <c r="E650" s="13">
        <v>45640</v>
      </c>
      <c r="F650" s="14">
        <v>45915</v>
      </c>
      <c r="G650" s="15">
        <v>27000000</v>
      </c>
      <c r="H650" s="16">
        <v>24</v>
      </c>
      <c r="I650" s="17">
        <v>21</v>
      </c>
      <c r="J650" s="15">
        <v>18164700</v>
      </c>
      <c r="K650" s="98">
        <f t="shared" si="30"/>
        <v>0</v>
      </c>
      <c r="L650" s="98" t="str">
        <f t="shared" si="31"/>
        <v>Lancar</v>
      </c>
      <c r="M650" s="5" t="str">
        <f t="shared" si="32"/>
        <v>001</v>
      </c>
      <c r="N650" s="55" t="str">
        <f>VLOOKUP(D650,Pinjaman!$E$7:$N$1900,10,FALSE)</f>
        <v>KONSUMTIF</v>
      </c>
      <c r="O650" s="55">
        <f>VLOOKUP(B650,'Data Angt'!$A$5:$H$5810,6,FALSE)</f>
        <v>20</v>
      </c>
      <c r="P650" s="55" t="str">
        <f>VLOOKUP(B650,'Data Angt'!$A$5:$H$5810,8,FALSE)</f>
        <v>Karyawan</v>
      </c>
    </row>
    <row r="651" spans="1:16" x14ac:dyDescent="0.3">
      <c r="A651" s="8">
        <v>644</v>
      </c>
      <c r="B651" s="9" t="s">
        <v>14279</v>
      </c>
      <c r="C651" s="10" t="str">
        <f>VLOOKUP(B651,'Data Angt'!$A$5:$B$5809,2,FALSE)</f>
        <v>A5173</v>
      </c>
      <c r="D651" s="12" t="s">
        <v>22801</v>
      </c>
      <c r="E651" s="13">
        <v>45871</v>
      </c>
      <c r="F651" s="14">
        <v>45910</v>
      </c>
      <c r="G651" s="15">
        <v>1500000</v>
      </c>
      <c r="H651" s="16">
        <v>12</v>
      </c>
      <c r="I651" s="17">
        <v>24</v>
      </c>
      <c r="J651" s="15">
        <v>1388100</v>
      </c>
      <c r="K651" s="98">
        <f t="shared" si="30"/>
        <v>0</v>
      </c>
      <c r="L651" s="98" t="str">
        <f t="shared" si="31"/>
        <v>Lancar</v>
      </c>
      <c r="M651" s="5" t="str">
        <f t="shared" si="32"/>
        <v>001</v>
      </c>
      <c r="N651" s="55" t="str">
        <f>VLOOKUP(D651,Pinjaman!$E$7:$N$1900,10,FALSE)</f>
        <v>PRODUKTIF</v>
      </c>
      <c r="O651" s="55">
        <f>VLOOKUP(B651,'Data Angt'!$A$5:$H$5810,6,FALSE)</f>
        <v>55</v>
      </c>
      <c r="P651" s="55" t="str">
        <f>VLOOKUP(B651,'Data Angt'!$A$5:$H$5810,8,FALSE)</f>
        <v>Wiraswasta</v>
      </c>
    </row>
    <row r="652" spans="1:16" x14ac:dyDescent="0.3">
      <c r="A652" s="8">
        <v>645</v>
      </c>
      <c r="B652" s="9" t="s">
        <v>14361</v>
      </c>
      <c r="C652" s="10" t="str">
        <f>VLOOKUP(B652,'Data Angt'!$A$5:$B$5809,2,FALSE)</f>
        <v>A5177</v>
      </c>
      <c r="D652" s="12" t="s">
        <v>16315</v>
      </c>
      <c r="E652" s="13">
        <v>45793</v>
      </c>
      <c r="F652" s="14">
        <v>45930</v>
      </c>
      <c r="G652" s="15">
        <v>25000000</v>
      </c>
      <c r="H652" s="16">
        <v>24</v>
      </c>
      <c r="I652" s="17">
        <v>21</v>
      </c>
      <c r="J652" s="15">
        <v>21521300</v>
      </c>
      <c r="K652" s="98">
        <f t="shared" si="30"/>
        <v>0</v>
      </c>
      <c r="L652" s="98" t="str">
        <f t="shared" si="31"/>
        <v>Lancar</v>
      </c>
      <c r="M652" s="5" t="str">
        <f t="shared" si="32"/>
        <v>001</v>
      </c>
      <c r="N652" s="55" t="str">
        <f>VLOOKUP(D652,Pinjaman!$E$7:$N$1900,10,FALSE)</f>
        <v>KESEJAHTERAAN</v>
      </c>
      <c r="O652" s="55">
        <f>VLOOKUP(B652,'Data Angt'!$A$5:$H$5810,6,FALSE)</f>
        <v>70</v>
      </c>
      <c r="P652" s="55" t="str">
        <f>VLOOKUP(B652,'Data Angt'!$A$5:$H$5810,8,FALSE)</f>
        <v>Wiraswasta</v>
      </c>
    </row>
    <row r="653" spans="1:16" x14ac:dyDescent="0.3">
      <c r="A653" s="8">
        <v>646</v>
      </c>
      <c r="B653" s="9" t="s">
        <v>14368</v>
      </c>
      <c r="C653" s="10" t="str">
        <f>VLOOKUP(B653,'Data Angt'!$A$5:$B$5809,2,FALSE)</f>
        <v>A5180</v>
      </c>
      <c r="D653" s="12" t="s">
        <v>22805</v>
      </c>
      <c r="E653" s="13">
        <v>45842</v>
      </c>
      <c r="F653" s="14">
        <v>45904</v>
      </c>
      <c r="G653" s="15">
        <v>7000000</v>
      </c>
      <c r="H653" s="16">
        <v>12</v>
      </c>
      <c r="I653" s="17">
        <v>24</v>
      </c>
      <c r="J653" s="15">
        <v>5945600</v>
      </c>
      <c r="K653" s="98">
        <f t="shared" si="30"/>
        <v>0</v>
      </c>
      <c r="L653" s="98" t="str">
        <f t="shared" si="31"/>
        <v>Lancar</v>
      </c>
      <c r="M653" s="5" t="str">
        <f t="shared" si="32"/>
        <v>001</v>
      </c>
      <c r="N653" s="55" t="str">
        <f>VLOOKUP(D653,Pinjaman!$E$7:$N$1900,10,FALSE)</f>
        <v>PENDIDIKAN</v>
      </c>
      <c r="O653" s="55">
        <f>VLOOKUP(B653,'Data Angt'!$A$5:$H$5810,6,FALSE)</f>
        <v>43</v>
      </c>
      <c r="P653" s="55" t="str">
        <f>VLOOKUP(B653,'Data Angt'!$A$5:$H$5810,8,FALSE)</f>
        <v>Karyawan</v>
      </c>
    </row>
    <row r="654" spans="1:16" x14ac:dyDescent="0.3">
      <c r="A654" s="8">
        <v>647</v>
      </c>
      <c r="B654" s="9" t="s">
        <v>14390</v>
      </c>
      <c r="C654" s="10" t="str">
        <f>VLOOKUP(B654,'Data Angt'!$A$5:$B$5809,2,FALSE)</f>
        <v>A5189</v>
      </c>
      <c r="D654" s="12" t="s">
        <v>16318</v>
      </c>
      <c r="E654" s="13">
        <v>45785</v>
      </c>
      <c r="F654" s="14">
        <v>45922</v>
      </c>
      <c r="G654" s="15">
        <v>1500000</v>
      </c>
      <c r="H654" s="16">
        <v>5</v>
      </c>
      <c r="I654" s="17">
        <v>24</v>
      </c>
      <c r="J654" s="15">
        <v>917700</v>
      </c>
      <c r="K654" s="98">
        <f t="shared" si="30"/>
        <v>0</v>
      </c>
      <c r="L654" s="98" t="str">
        <f t="shared" si="31"/>
        <v>Lancar</v>
      </c>
      <c r="M654" s="5" t="str">
        <f t="shared" si="32"/>
        <v>001</v>
      </c>
      <c r="N654" s="55" t="str">
        <f>VLOOKUP(D654,Pinjaman!$E$7:$N$1900,10,FALSE)</f>
        <v>PRODUKTIF</v>
      </c>
      <c r="O654" s="55">
        <f>VLOOKUP(B654,'Data Angt'!$A$5:$H$5810,6,FALSE)</f>
        <v>60</v>
      </c>
      <c r="P654" s="55" t="str">
        <f>VLOOKUP(B654,'Data Angt'!$A$5:$H$5810,8,FALSE)</f>
        <v>Wiraswasta</v>
      </c>
    </row>
    <row r="655" spans="1:16" x14ac:dyDescent="0.3">
      <c r="A655" s="8">
        <v>648</v>
      </c>
      <c r="B655" s="9" t="s">
        <v>14393</v>
      </c>
      <c r="C655" s="10" t="str">
        <f>VLOOKUP(B655,'Data Angt'!$A$5:$B$5809,2,FALSE)</f>
        <v>A5190</v>
      </c>
      <c r="D655" s="12" t="s">
        <v>16320</v>
      </c>
      <c r="E655" s="13">
        <v>45785</v>
      </c>
      <c r="F655" s="14">
        <v>45922</v>
      </c>
      <c r="G655" s="15">
        <v>1500000</v>
      </c>
      <c r="H655" s="16">
        <v>5</v>
      </c>
      <c r="I655" s="17">
        <v>24</v>
      </c>
      <c r="J655" s="15">
        <v>617800</v>
      </c>
      <c r="K655" s="98">
        <f t="shared" si="30"/>
        <v>0</v>
      </c>
      <c r="L655" s="98" t="str">
        <f t="shared" si="31"/>
        <v>Lancar</v>
      </c>
      <c r="M655" s="5" t="str">
        <f t="shared" si="32"/>
        <v>001</v>
      </c>
      <c r="N655" s="55" t="str">
        <f>VLOOKUP(D655,Pinjaman!$E$7:$N$1900,10,FALSE)</f>
        <v>PRODUKTIF</v>
      </c>
      <c r="O655" s="55">
        <f>VLOOKUP(B655,'Data Angt'!$A$5:$H$5810,6,FALSE)</f>
        <v>49</v>
      </c>
      <c r="P655" s="55" t="str">
        <f>VLOOKUP(B655,'Data Angt'!$A$5:$H$5810,8,FALSE)</f>
        <v>Wiraswasta</v>
      </c>
    </row>
    <row r="656" spans="1:16" x14ac:dyDescent="0.3">
      <c r="A656" s="8">
        <v>649</v>
      </c>
      <c r="B656" s="9" t="s">
        <v>14394</v>
      </c>
      <c r="C656" s="10" t="str">
        <f>VLOOKUP(B656,'Data Angt'!$A$5:$B$5809,2,FALSE)</f>
        <v>A5191</v>
      </c>
      <c r="D656" s="12" t="s">
        <v>16322</v>
      </c>
      <c r="E656" s="13">
        <v>45785</v>
      </c>
      <c r="F656" s="14">
        <v>45922</v>
      </c>
      <c r="G656" s="15">
        <v>1500000</v>
      </c>
      <c r="H656" s="16">
        <v>5</v>
      </c>
      <c r="I656" s="17">
        <v>24</v>
      </c>
      <c r="J656" s="15">
        <v>617800</v>
      </c>
      <c r="K656" s="98">
        <f t="shared" si="30"/>
        <v>0</v>
      </c>
      <c r="L656" s="98" t="str">
        <f t="shared" si="31"/>
        <v>Lancar</v>
      </c>
      <c r="M656" s="5" t="str">
        <f t="shared" si="32"/>
        <v>001</v>
      </c>
      <c r="N656" s="55" t="str">
        <f>VLOOKUP(D656,Pinjaman!$E$7:$N$1900,10,FALSE)</f>
        <v>PRODUKTIF</v>
      </c>
      <c r="O656" s="55">
        <f>VLOOKUP(B656,'Data Angt'!$A$5:$H$5810,6,FALSE)</f>
        <v>51</v>
      </c>
      <c r="P656" s="55" t="str">
        <f>VLOOKUP(B656,'Data Angt'!$A$5:$H$5810,8,FALSE)</f>
        <v>Wiraswasta</v>
      </c>
    </row>
    <row r="657" spans="1:16" x14ac:dyDescent="0.3">
      <c r="A657" s="8">
        <v>650</v>
      </c>
      <c r="B657" s="9" t="s">
        <v>14397</v>
      </c>
      <c r="C657" s="10" t="str">
        <f>VLOOKUP(B657,'Data Angt'!$A$5:$B$5809,2,FALSE)</f>
        <v>A5192</v>
      </c>
      <c r="D657" s="12" t="s">
        <v>16324</v>
      </c>
      <c r="E657" s="13">
        <v>45785</v>
      </c>
      <c r="F657" s="14">
        <v>45922</v>
      </c>
      <c r="G657" s="15">
        <v>1500000</v>
      </c>
      <c r="H657" s="16">
        <v>5</v>
      </c>
      <c r="I657" s="17">
        <v>24</v>
      </c>
      <c r="J657" s="15">
        <v>617800</v>
      </c>
      <c r="K657" s="98">
        <f t="shared" si="30"/>
        <v>0</v>
      </c>
      <c r="L657" s="98" t="str">
        <f t="shared" si="31"/>
        <v>Lancar</v>
      </c>
      <c r="M657" s="5" t="str">
        <f t="shared" si="32"/>
        <v>001</v>
      </c>
      <c r="N657" s="55" t="str">
        <f>VLOOKUP(D657,Pinjaman!$E$7:$N$1900,10,FALSE)</f>
        <v>PRODUKTIF</v>
      </c>
      <c r="O657" s="55">
        <f>VLOOKUP(B657,'Data Angt'!$A$5:$H$5810,6,FALSE)</f>
        <v>49</v>
      </c>
      <c r="P657" s="55" t="str">
        <f>VLOOKUP(B657,'Data Angt'!$A$5:$H$5810,8,FALSE)</f>
        <v>Wiraswasta</v>
      </c>
    </row>
    <row r="658" spans="1:16" x14ac:dyDescent="0.3">
      <c r="A658" s="8">
        <v>651</v>
      </c>
      <c r="B658" s="9" t="s">
        <v>14408</v>
      </c>
      <c r="C658" s="10" t="str">
        <f>VLOOKUP(B658,'Data Angt'!$A$5:$B$5809,2,FALSE)</f>
        <v>A5197</v>
      </c>
      <c r="D658" s="12" t="s">
        <v>16326</v>
      </c>
      <c r="E658" s="13">
        <v>45681</v>
      </c>
      <c r="F658" s="14">
        <v>45903</v>
      </c>
      <c r="G658" s="15">
        <v>12000000</v>
      </c>
      <c r="H658" s="16">
        <v>10</v>
      </c>
      <c r="I658" s="17">
        <v>24</v>
      </c>
      <c r="J658" s="15">
        <v>2593500</v>
      </c>
      <c r="K658" s="98">
        <f t="shared" si="30"/>
        <v>0</v>
      </c>
      <c r="L658" s="98" t="str">
        <f t="shared" si="31"/>
        <v>Lancar</v>
      </c>
      <c r="M658" s="5" t="str">
        <f t="shared" si="32"/>
        <v>001</v>
      </c>
      <c r="N658" s="55" t="str">
        <f>VLOOKUP(D658,Pinjaman!$E$7:$N$1900,10,FALSE)</f>
        <v>PRODUKTIF</v>
      </c>
      <c r="O658" s="55">
        <f>VLOOKUP(B658,'Data Angt'!$A$5:$H$5810,6,FALSE)</f>
        <v>23</v>
      </c>
      <c r="P658" s="55" t="str">
        <f>VLOOKUP(B658,'Data Angt'!$A$5:$H$5810,8,FALSE)</f>
        <v>Karyawan</v>
      </c>
    </row>
    <row r="659" spans="1:16" x14ac:dyDescent="0.3">
      <c r="A659" s="8">
        <v>652</v>
      </c>
      <c r="B659" s="9" t="s">
        <v>14418</v>
      </c>
      <c r="C659" s="10" t="str">
        <f>VLOOKUP(B659,'Data Angt'!$A$5:$B$5809,2,FALSE)</f>
        <v>A5201</v>
      </c>
      <c r="D659" s="12" t="s">
        <v>16328</v>
      </c>
      <c r="E659" s="13">
        <v>45667</v>
      </c>
      <c r="F659" s="14">
        <v>45911</v>
      </c>
      <c r="G659" s="15">
        <v>3500000</v>
      </c>
      <c r="H659" s="16">
        <v>24</v>
      </c>
      <c r="I659" s="17">
        <v>24</v>
      </c>
      <c r="J659" s="15">
        <v>2512400</v>
      </c>
      <c r="K659" s="98">
        <f t="shared" si="30"/>
        <v>0</v>
      </c>
      <c r="L659" s="98" t="str">
        <f t="shared" si="31"/>
        <v>Lancar</v>
      </c>
      <c r="M659" s="5" t="str">
        <f t="shared" si="32"/>
        <v>001</v>
      </c>
      <c r="N659" s="55" t="str">
        <f>VLOOKUP(D659,Pinjaman!$E$7:$N$1900,10,FALSE)</f>
        <v>KONSUMTIF</v>
      </c>
      <c r="O659" s="55">
        <f>VLOOKUP(B659,'Data Angt'!$A$5:$H$5810,6,FALSE)</f>
        <v>53</v>
      </c>
      <c r="P659" s="55" t="str">
        <f>VLOOKUP(B659,'Data Angt'!$A$5:$H$5810,8,FALSE)</f>
        <v>Aparatur/Pejabat Negara</v>
      </c>
    </row>
    <row r="660" spans="1:16" x14ac:dyDescent="0.3">
      <c r="A660" s="8">
        <v>653</v>
      </c>
      <c r="B660" s="9" t="s">
        <v>14436</v>
      </c>
      <c r="C660" s="10" t="str">
        <f>VLOOKUP(B660,'Data Angt'!$A$5:$B$5809,2,FALSE)</f>
        <v>A5209</v>
      </c>
      <c r="D660" s="12" t="s">
        <v>16331</v>
      </c>
      <c r="E660" s="13">
        <v>45671</v>
      </c>
      <c r="F660" s="14">
        <v>45917</v>
      </c>
      <c r="G660" s="15">
        <v>5000000</v>
      </c>
      <c r="H660" s="16">
        <v>24</v>
      </c>
      <c r="I660" s="17">
        <v>24</v>
      </c>
      <c r="J660" s="15">
        <v>3589300</v>
      </c>
      <c r="K660" s="98">
        <f t="shared" si="30"/>
        <v>0</v>
      </c>
      <c r="L660" s="98" t="str">
        <f t="shared" si="31"/>
        <v>Lancar</v>
      </c>
      <c r="M660" s="5" t="str">
        <f t="shared" si="32"/>
        <v>001</v>
      </c>
      <c r="N660" s="55" t="str">
        <f>VLOOKUP(D660,Pinjaman!$E$7:$N$1900,10,FALSE)</f>
        <v>KONSUMTIF</v>
      </c>
      <c r="O660" s="55">
        <f>VLOOKUP(B660,'Data Angt'!$A$5:$H$5810,6,FALSE)</f>
        <v>41</v>
      </c>
      <c r="P660" s="55" t="str">
        <f>VLOOKUP(B660,'Data Angt'!$A$5:$H$5810,8,FALSE)</f>
        <v>Karyawan</v>
      </c>
    </row>
    <row r="661" spans="1:16" x14ac:dyDescent="0.3">
      <c r="A661" s="8">
        <v>654</v>
      </c>
      <c r="B661" s="9" t="s">
        <v>14443</v>
      </c>
      <c r="C661" s="10" t="str">
        <f>VLOOKUP(B661,'Data Angt'!$A$5:$B$5809,2,FALSE)</f>
        <v>A5212</v>
      </c>
      <c r="D661" s="12" t="s">
        <v>16334</v>
      </c>
      <c r="E661" s="13">
        <v>45672</v>
      </c>
      <c r="F661" s="14">
        <v>45929</v>
      </c>
      <c r="G661" s="15">
        <v>4500000</v>
      </c>
      <c r="H661" s="16">
        <v>12</v>
      </c>
      <c r="I661" s="17">
        <v>24</v>
      </c>
      <c r="J661" s="15">
        <v>1627500</v>
      </c>
      <c r="K661" s="98">
        <f t="shared" si="30"/>
        <v>0</v>
      </c>
      <c r="L661" s="98" t="str">
        <f t="shared" si="31"/>
        <v>Lancar</v>
      </c>
      <c r="M661" s="5" t="str">
        <f t="shared" si="32"/>
        <v>001</v>
      </c>
      <c r="N661" s="55" t="str">
        <f>VLOOKUP(D661,Pinjaman!$E$7:$N$1900,10,FALSE)</f>
        <v>PENDIDIKAN</v>
      </c>
      <c r="O661" s="55">
        <f>VLOOKUP(B661,'Data Angt'!$A$5:$H$5810,6,FALSE)</f>
        <v>30</v>
      </c>
      <c r="P661" s="55" t="str">
        <f>VLOOKUP(B661,'Data Angt'!$A$5:$H$5810,8,FALSE)</f>
        <v>Tenaga Pengajar</v>
      </c>
    </row>
    <row r="662" spans="1:16" x14ac:dyDescent="0.3">
      <c r="A662" s="8">
        <v>655</v>
      </c>
      <c r="B662" s="9" t="s">
        <v>14459</v>
      </c>
      <c r="C662" s="10" t="str">
        <f>VLOOKUP(B662,'Data Angt'!$A$5:$B$5809,2,FALSE)</f>
        <v>A5218</v>
      </c>
      <c r="D662" s="12" t="s">
        <v>16337</v>
      </c>
      <c r="E662" s="13">
        <v>45782</v>
      </c>
      <c r="F662" s="14">
        <v>45904</v>
      </c>
      <c r="G662" s="15">
        <v>2000000</v>
      </c>
      <c r="H662" s="16">
        <v>6</v>
      </c>
      <c r="I662" s="17">
        <v>24</v>
      </c>
      <c r="J662" s="15">
        <v>693100</v>
      </c>
      <c r="K662" s="98">
        <f t="shared" si="30"/>
        <v>0</v>
      </c>
      <c r="L662" s="98" t="str">
        <f t="shared" si="31"/>
        <v>Lancar</v>
      </c>
      <c r="M662" s="5" t="str">
        <f t="shared" si="32"/>
        <v>001</v>
      </c>
      <c r="N662" s="55" t="str">
        <f>VLOOKUP(D662,Pinjaman!$E$7:$N$1900,10,FALSE)</f>
        <v>KONSUMTIF</v>
      </c>
      <c r="O662" s="55">
        <f>VLOOKUP(B662,'Data Angt'!$A$5:$H$5810,6,FALSE)</f>
        <v>41</v>
      </c>
      <c r="P662" s="55" t="str">
        <f>VLOOKUP(B662,'Data Angt'!$A$5:$H$5810,8,FALSE)</f>
        <v>Wiraswasta</v>
      </c>
    </row>
    <row r="663" spans="1:16" x14ac:dyDescent="0.3">
      <c r="A663" s="8">
        <v>656</v>
      </c>
      <c r="B663" s="9" t="s">
        <v>14464</v>
      </c>
      <c r="C663" s="10" t="str">
        <f>VLOOKUP(B663,'Data Angt'!$A$5:$B$5809,2,FALSE)</f>
        <v>A5221</v>
      </c>
      <c r="D663" s="12" t="s">
        <v>16340</v>
      </c>
      <c r="E663" s="13">
        <v>45681</v>
      </c>
      <c r="F663" s="14">
        <v>45919</v>
      </c>
      <c r="G663" s="15">
        <v>5000000</v>
      </c>
      <c r="H663" s="16">
        <v>12</v>
      </c>
      <c r="I663" s="17">
        <v>24</v>
      </c>
      <c r="J663" s="15">
        <v>2228800</v>
      </c>
      <c r="K663" s="98">
        <f t="shared" si="30"/>
        <v>0</v>
      </c>
      <c r="L663" s="98" t="str">
        <f t="shared" si="31"/>
        <v>Lancar</v>
      </c>
      <c r="M663" s="5" t="str">
        <f t="shared" si="32"/>
        <v>001</v>
      </c>
      <c r="N663" s="55" t="str">
        <f>VLOOKUP(D663,Pinjaman!$E$7:$N$1900,10,FALSE)</f>
        <v>KESEJAHTERAAN</v>
      </c>
      <c r="O663" s="55">
        <f>VLOOKUP(B663,'Data Angt'!$A$5:$H$5810,6,FALSE)</f>
        <v>28</v>
      </c>
      <c r="P663" s="55" t="str">
        <f>VLOOKUP(B663,'Data Angt'!$A$5:$H$5810,8,FALSE)</f>
        <v>Karyawan</v>
      </c>
    </row>
    <row r="664" spans="1:16" x14ac:dyDescent="0.3">
      <c r="A664" s="8">
        <v>657</v>
      </c>
      <c r="B664" s="9" t="s">
        <v>14467</v>
      </c>
      <c r="C664" s="10" t="str">
        <f>VLOOKUP(B664,'Data Angt'!$A$5:$B$5809,2,FALSE)</f>
        <v>A5222</v>
      </c>
      <c r="D664" s="12" t="s">
        <v>16342</v>
      </c>
      <c r="E664" s="13">
        <v>45677</v>
      </c>
      <c r="F664" s="14">
        <v>45925</v>
      </c>
      <c r="G664" s="15">
        <v>4000000</v>
      </c>
      <c r="H664" s="16">
        <v>24</v>
      </c>
      <c r="I664" s="17">
        <v>24</v>
      </c>
      <c r="J664" s="15">
        <v>2871700</v>
      </c>
      <c r="K664" s="98">
        <f t="shared" si="30"/>
        <v>0</v>
      </c>
      <c r="L664" s="98" t="str">
        <f t="shared" si="31"/>
        <v>Lancar</v>
      </c>
      <c r="M664" s="5" t="str">
        <f t="shared" si="32"/>
        <v>001</v>
      </c>
      <c r="N664" s="55" t="str">
        <f>VLOOKUP(D664,Pinjaman!$E$7:$N$1900,10,FALSE)</f>
        <v>KESEJAHTERAAN</v>
      </c>
      <c r="O664" s="55">
        <f>VLOOKUP(B664,'Data Angt'!$A$5:$H$5810,6,FALSE)</f>
        <v>27</v>
      </c>
      <c r="P664" s="55" t="str">
        <f>VLOOKUP(B664,'Data Angt'!$A$5:$H$5810,8,FALSE)</f>
        <v>Karyawan</v>
      </c>
    </row>
    <row r="665" spans="1:16" x14ac:dyDescent="0.3">
      <c r="A665" s="8">
        <v>658</v>
      </c>
      <c r="B665" s="9" t="s">
        <v>14480</v>
      </c>
      <c r="C665" s="10" t="str">
        <f>VLOOKUP(B665,'Data Angt'!$A$5:$B$5809,2,FALSE)</f>
        <v>A5228</v>
      </c>
      <c r="D665" s="12" t="s">
        <v>16344</v>
      </c>
      <c r="E665" s="13">
        <v>45680</v>
      </c>
      <c r="F665" s="14">
        <v>45925</v>
      </c>
      <c r="G665" s="15">
        <v>10000000</v>
      </c>
      <c r="H665" s="16">
        <v>24</v>
      </c>
      <c r="I665" s="17">
        <v>24</v>
      </c>
      <c r="J665" s="15">
        <v>7178300</v>
      </c>
      <c r="K665" s="98">
        <f t="shared" si="30"/>
        <v>0</v>
      </c>
      <c r="L665" s="98" t="str">
        <f t="shared" si="31"/>
        <v>Lancar</v>
      </c>
      <c r="M665" s="5" t="str">
        <f t="shared" si="32"/>
        <v>001</v>
      </c>
      <c r="N665" s="55" t="str">
        <f>VLOOKUP(D665,Pinjaman!$E$7:$N$1900,10,FALSE)</f>
        <v>KESEJAHTERAAN</v>
      </c>
      <c r="O665" s="55">
        <f>VLOOKUP(B665,'Data Angt'!$A$5:$H$5810,6,FALSE)</f>
        <v>51</v>
      </c>
      <c r="P665" s="55" t="str">
        <f>VLOOKUP(B665,'Data Angt'!$A$5:$H$5810,8,FALSE)</f>
        <v>Karyawan</v>
      </c>
    </row>
    <row r="666" spans="1:16" x14ac:dyDescent="0.3">
      <c r="A666" s="8">
        <v>659</v>
      </c>
      <c r="B666" s="9" t="s">
        <v>14484</v>
      </c>
      <c r="C666" s="10" t="str">
        <f>VLOOKUP(B666,'Data Angt'!$A$5:$B$5809,2,FALSE)</f>
        <v>A5230</v>
      </c>
      <c r="D666" s="12" t="s">
        <v>16346</v>
      </c>
      <c r="E666" s="13">
        <v>45681</v>
      </c>
      <c r="F666" s="14">
        <v>45922</v>
      </c>
      <c r="G666" s="15">
        <v>5000000</v>
      </c>
      <c r="H666" s="16">
        <v>20</v>
      </c>
      <c r="I666" s="17">
        <v>24</v>
      </c>
      <c r="J666" s="15">
        <v>3470300</v>
      </c>
      <c r="K666" s="98">
        <f t="shared" si="30"/>
        <v>0</v>
      </c>
      <c r="L666" s="98" t="str">
        <f t="shared" si="31"/>
        <v>Lancar</v>
      </c>
      <c r="M666" s="5" t="str">
        <f t="shared" si="32"/>
        <v>001</v>
      </c>
      <c r="N666" s="55" t="str">
        <f>VLOOKUP(D666,Pinjaman!$E$7:$N$1900,10,FALSE)</f>
        <v>PRODUKTIF</v>
      </c>
      <c r="O666" s="55">
        <f>VLOOKUP(B666,'Data Angt'!$A$5:$H$5810,6,FALSE)</f>
        <v>42</v>
      </c>
      <c r="P666" s="55" t="str">
        <f>VLOOKUP(B666,'Data Angt'!$A$5:$H$5810,8,FALSE)</f>
        <v>Karyawan</v>
      </c>
    </row>
    <row r="667" spans="1:16" x14ac:dyDescent="0.3">
      <c r="A667" s="8">
        <v>660</v>
      </c>
      <c r="B667" s="9" t="s">
        <v>14519</v>
      </c>
      <c r="C667" s="10" t="str">
        <f>VLOOKUP(B667,'Data Angt'!$A$5:$B$5809,2,FALSE)</f>
        <v>A5245</v>
      </c>
      <c r="D667" s="12" t="s">
        <v>16348</v>
      </c>
      <c r="E667" s="13">
        <v>45706</v>
      </c>
      <c r="F667" s="14">
        <v>45918</v>
      </c>
      <c r="G667" s="15">
        <v>15000000</v>
      </c>
      <c r="H667" s="16">
        <v>12</v>
      </c>
      <c r="I667" s="17">
        <v>24</v>
      </c>
      <c r="J667" s="15">
        <v>6686000</v>
      </c>
      <c r="K667" s="98">
        <f t="shared" si="30"/>
        <v>0</v>
      </c>
      <c r="L667" s="98" t="str">
        <f t="shared" si="31"/>
        <v>Lancar</v>
      </c>
      <c r="M667" s="5" t="str">
        <f t="shared" si="32"/>
        <v>001</v>
      </c>
      <c r="N667" s="55" t="str">
        <f>VLOOKUP(D667,Pinjaman!$E$7:$N$1900,10,FALSE)</f>
        <v>KESEJAHTERAAN</v>
      </c>
      <c r="O667" s="55">
        <f>VLOOKUP(B667,'Data Angt'!$A$5:$H$5810,6,FALSE)</f>
        <v>52</v>
      </c>
      <c r="P667" s="55" t="str">
        <f>VLOOKUP(B667,'Data Angt'!$A$5:$H$5810,8,FALSE)</f>
        <v>Mengurus Rumah Tangga</v>
      </c>
    </row>
    <row r="668" spans="1:16" x14ac:dyDescent="0.3">
      <c r="A668" s="8">
        <v>661</v>
      </c>
      <c r="B668" s="9" t="s">
        <v>14521</v>
      </c>
      <c r="C668" s="10" t="str">
        <f>VLOOKUP(B668,'Data Angt'!$A$5:$B$5809,2,FALSE)</f>
        <v>A5246</v>
      </c>
      <c r="D668" s="12" t="s">
        <v>22815</v>
      </c>
      <c r="E668" s="13">
        <v>45882</v>
      </c>
      <c r="F668" s="14">
        <v>45915</v>
      </c>
      <c r="G668" s="15">
        <v>150000000</v>
      </c>
      <c r="H668" s="16">
        <v>30</v>
      </c>
      <c r="I668" s="17">
        <v>21</v>
      </c>
      <c r="J668" s="15">
        <v>146155500</v>
      </c>
      <c r="K668" s="98">
        <f t="shared" si="30"/>
        <v>0</v>
      </c>
      <c r="L668" s="98" t="str">
        <f t="shared" si="31"/>
        <v>Lancar</v>
      </c>
      <c r="M668" s="5" t="str">
        <f t="shared" si="32"/>
        <v>001</v>
      </c>
      <c r="N668" s="55" t="str">
        <f>VLOOKUP(D668,Pinjaman!$E$7:$N$1900,10,FALSE)</f>
        <v>PRODUKTIF</v>
      </c>
      <c r="O668" s="55">
        <f>VLOOKUP(B668,'Data Angt'!$A$5:$H$5810,6,FALSE)</f>
        <v>41</v>
      </c>
      <c r="P668" s="55" t="str">
        <f>VLOOKUP(B668,'Data Angt'!$A$5:$H$5810,8,FALSE)</f>
        <v>Karyawan</v>
      </c>
    </row>
    <row r="669" spans="1:16" x14ac:dyDescent="0.3">
      <c r="A669" s="8">
        <v>662</v>
      </c>
      <c r="B669" s="9" t="s">
        <v>14531</v>
      </c>
      <c r="C669" s="10" t="str">
        <f>VLOOKUP(B669,'Data Angt'!$A$5:$B$5809,2,FALSE)</f>
        <v>A5250</v>
      </c>
      <c r="D669" s="12" t="s">
        <v>16350</v>
      </c>
      <c r="E669" s="13">
        <v>45813</v>
      </c>
      <c r="F669" s="14">
        <v>45908</v>
      </c>
      <c r="G669" s="15">
        <v>5000000</v>
      </c>
      <c r="H669" s="16">
        <v>12</v>
      </c>
      <c r="I669" s="17">
        <v>24</v>
      </c>
      <c r="J669" s="15">
        <v>3749900</v>
      </c>
      <c r="K669" s="98">
        <f t="shared" si="30"/>
        <v>0</v>
      </c>
      <c r="L669" s="98" t="str">
        <f t="shared" si="31"/>
        <v>Lancar</v>
      </c>
      <c r="M669" s="5" t="str">
        <f t="shared" si="32"/>
        <v>001</v>
      </c>
      <c r="N669" s="55" t="str">
        <f>VLOOKUP(D669,Pinjaman!$E$7:$N$1900,10,FALSE)</f>
        <v>PENDIDIKAN</v>
      </c>
      <c r="O669" s="55">
        <f>VLOOKUP(B669,'Data Angt'!$A$5:$H$5810,6,FALSE)</f>
        <v>53</v>
      </c>
      <c r="P669" s="55" t="str">
        <f>VLOOKUP(B669,'Data Angt'!$A$5:$H$5810,8,FALSE)</f>
        <v>Aparatur/Pejabat Negara</v>
      </c>
    </row>
    <row r="670" spans="1:16" x14ac:dyDescent="0.3">
      <c r="A670" s="8">
        <v>663</v>
      </c>
      <c r="B670" s="9" t="s">
        <v>14538</v>
      </c>
      <c r="C670" s="10" t="str">
        <f>VLOOKUP(B670,'Data Angt'!$A$5:$B$5809,2,FALSE)</f>
        <v>A5253</v>
      </c>
      <c r="D670" s="12" t="s">
        <v>16352</v>
      </c>
      <c r="E670" s="13">
        <v>45813</v>
      </c>
      <c r="F670" s="14">
        <v>45901</v>
      </c>
      <c r="G670" s="15">
        <v>2000000</v>
      </c>
      <c r="H670" s="16">
        <v>10</v>
      </c>
      <c r="I670" s="17">
        <v>24</v>
      </c>
      <c r="J670" s="15">
        <v>1441000</v>
      </c>
      <c r="K670" s="98">
        <f t="shared" si="30"/>
        <v>0</v>
      </c>
      <c r="L670" s="98" t="str">
        <f t="shared" si="31"/>
        <v>Lancar</v>
      </c>
      <c r="M670" s="5" t="str">
        <f t="shared" si="32"/>
        <v>001</v>
      </c>
      <c r="N670" s="55" t="str">
        <f>VLOOKUP(D670,Pinjaman!$E$7:$N$1900,10,FALSE)</f>
        <v>PRODUKTIF</v>
      </c>
      <c r="O670" s="55">
        <f>VLOOKUP(B670,'Data Angt'!$A$5:$H$5810,6,FALSE)</f>
        <v>30</v>
      </c>
      <c r="P670" s="55" t="str">
        <f>VLOOKUP(B670,'Data Angt'!$A$5:$H$5810,8,FALSE)</f>
        <v>Karyawan</v>
      </c>
    </row>
    <row r="671" spans="1:16" x14ac:dyDescent="0.3">
      <c r="A671" s="8">
        <v>664</v>
      </c>
      <c r="B671" s="9" t="s">
        <v>14614</v>
      </c>
      <c r="C671" s="10" t="str">
        <f>VLOOKUP(B671,'Data Angt'!$A$5:$B$5809,2,FALSE)</f>
        <v>A5284</v>
      </c>
      <c r="D671" s="12" t="s">
        <v>22819</v>
      </c>
      <c r="E671" s="13">
        <v>45847</v>
      </c>
      <c r="F671" s="14">
        <v>45909</v>
      </c>
      <c r="G671" s="15">
        <v>1200000</v>
      </c>
      <c r="H671" s="16">
        <v>12</v>
      </c>
      <c r="I671" s="17">
        <v>24</v>
      </c>
      <c r="J671" s="15">
        <v>1019300</v>
      </c>
      <c r="K671" s="98">
        <f t="shared" si="30"/>
        <v>0</v>
      </c>
      <c r="L671" s="98" t="str">
        <f t="shared" si="31"/>
        <v>Lancar</v>
      </c>
      <c r="M671" s="5" t="str">
        <f t="shared" si="32"/>
        <v>001</v>
      </c>
      <c r="N671" s="55">
        <f>VLOOKUP(D671,Pinjaman!$E$7:$N$1900,10,FALSE)</f>
        <v>0</v>
      </c>
      <c r="O671" s="55">
        <f>VLOOKUP(B671,'Data Angt'!$A$5:$H$5810,6,FALSE)</f>
        <v>35</v>
      </c>
      <c r="P671" s="55" t="str">
        <f>VLOOKUP(B671,'Data Angt'!$A$5:$H$5810,8,FALSE)</f>
        <v>Karyawan</v>
      </c>
    </row>
    <row r="672" spans="1:16" x14ac:dyDescent="0.3">
      <c r="A672" s="8">
        <v>665</v>
      </c>
      <c r="B672" s="9" t="s">
        <v>14622</v>
      </c>
      <c r="C672" s="10" t="str">
        <f>VLOOKUP(B672,'Data Angt'!$A$5:$B$5809,2,FALSE)</f>
        <v>A5288</v>
      </c>
      <c r="D672" s="12" t="s">
        <v>16355</v>
      </c>
      <c r="E672" s="13">
        <v>45698</v>
      </c>
      <c r="F672" s="14">
        <v>45908</v>
      </c>
      <c r="G672" s="15">
        <v>5000000</v>
      </c>
      <c r="H672" s="16">
        <v>12</v>
      </c>
      <c r="I672" s="17">
        <v>24</v>
      </c>
      <c r="J672" s="15">
        <v>2228800</v>
      </c>
      <c r="K672" s="98">
        <f t="shared" si="30"/>
        <v>0</v>
      </c>
      <c r="L672" s="98" t="str">
        <f t="shared" si="31"/>
        <v>Lancar</v>
      </c>
      <c r="M672" s="5" t="str">
        <f t="shared" si="32"/>
        <v>001</v>
      </c>
      <c r="N672" s="55" t="str">
        <f>VLOOKUP(D672,Pinjaman!$E$7:$N$1900,10,FALSE)</f>
        <v>PENDIDIKAN</v>
      </c>
      <c r="O672" s="55">
        <f>VLOOKUP(B672,'Data Angt'!$A$5:$H$5810,6,FALSE)</f>
        <v>39</v>
      </c>
      <c r="P672" s="55" t="str">
        <f>VLOOKUP(B672,'Data Angt'!$A$5:$H$5810,8,FALSE)</f>
        <v>Karyawan</v>
      </c>
    </row>
    <row r="673" spans="1:16" x14ac:dyDescent="0.3">
      <c r="A673" s="8">
        <v>666</v>
      </c>
      <c r="B673" s="9" t="s">
        <v>14634</v>
      </c>
      <c r="C673" s="10" t="str">
        <f>VLOOKUP(B673,'Data Angt'!$A$5:$B$5809,2,FALSE)</f>
        <v>A5293</v>
      </c>
      <c r="D673" s="12" t="s">
        <v>22822</v>
      </c>
      <c r="E673" s="13">
        <v>45922</v>
      </c>
      <c r="F673" s="14">
        <v>45922</v>
      </c>
      <c r="G673" s="15">
        <v>15000000</v>
      </c>
      <c r="H673" s="16">
        <v>24</v>
      </c>
      <c r="I673" s="17">
        <v>24</v>
      </c>
      <c r="J673" s="15">
        <v>15000000</v>
      </c>
      <c r="K673" s="98">
        <f t="shared" si="30"/>
        <v>0</v>
      </c>
      <c r="L673" s="98" t="str">
        <f t="shared" si="31"/>
        <v>Lancar</v>
      </c>
      <c r="M673" s="5" t="str">
        <f t="shared" si="32"/>
        <v>001</v>
      </c>
      <c r="N673" s="55" t="str">
        <f>VLOOKUP(D673,Pinjaman!$E$7:$N$1900,10,FALSE)</f>
        <v>PRODUKTIF</v>
      </c>
      <c r="O673" s="55">
        <f>VLOOKUP(B673,'Data Angt'!$A$5:$H$5810,6,FALSE)</f>
        <v>57</v>
      </c>
      <c r="P673" s="55" t="str">
        <f>VLOOKUP(B673,'Data Angt'!$A$5:$H$5810,8,FALSE)</f>
        <v>Petani/Pekebun/Nelayan</v>
      </c>
    </row>
    <row r="674" spans="1:16" x14ac:dyDescent="0.3">
      <c r="A674" s="8">
        <v>667</v>
      </c>
      <c r="B674" s="9" t="s">
        <v>14653</v>
      </c>
      <c r="C674" s="10" t="str">
        <f>VLOOKUP(B674,'Data Angt'!$A$5:$B$5809,2,FALSE)</f>
        <v>A5301</v>
      </c>
      <c r="D674" s="12" t="s">
        <v>22825</v>
      </c>
      <c r="E674" s="13">
        <v>45894</v>
      </c>
      <c r="F674" s="14">
        <v>45927</v>
      </c>
      <c r="G674" s="15">
        <v>10000000</v>
      </c>
      <c r="H674" s="16">
        <v>10</v>
      </c>
      <c r="I674" s="17">
        <v>24</v>
      </c>
      <c r="J674" s="15">
        <v>9086700</v>
      </c>
      <c r="K674" s="98">
        <f t="shared" si="30"/>
        <v>0</v>
      </c>
      <c r="L674" s="98" t="str">
        <f t="shared" si="31"/>
        <v>Lancar</v>
      </c>
      <c r="M674" s="5" t="str">
        <f t="shared" si="32"/>
        <v>001</v>
      </c>
      <c r="N674" s="55" t="str">
        <f>VLOOKUP(D674,Pinjaman!$E$7:$N$1900,10,FALSE)</f>
        <v>PENDIDIKAN</v>
      </c>
      <c r="O674" s="55">
        <f>VLOOKUP(B674,'Data Angt'!$A$5:$H$5810,6,FALSE)</f>
        <v>56</v>
      </c>
      <c r="P674" s="55" t="str">
        <f>VLOOKUP(B674,'Data Angt'!$A$5:$H$5810,8,FALSE)</f>
        <v>Karyawan</v>
      </c>
    </row>
    <row r="675" spans="1:16" x14ac:dyDescent="0.3">
      <c r="A675" s="8">
        <v>668</v>
      </c>
      <c r="B675" s="9" t="s">
        <v>14664</v>
      </c>
      <c r="C675" s="10" t="str">
        <f>VLOOKUP(B675,'Data Angt'!$A$5:$B$5809,2,FALSE)</f>
        <v>A5306</v>
      </c>
      <c r="D675" s="12" t="s">
        <v>22828</v>
      </c>
      <c r="E675" s="13">
        <v>45882</v>
      </c>
      <c r="F675" s="14">
        <v>45911</v>
      </c>
      <c r="G675" s="15">
        <v>4000000</v>
      </c>
      <c r="H675" s="16">
        <v>12</v>
      </c>
      <c r="I675" s="17">
        <v>24</v>
      </c>
      <c r="J675" s="15">
        <v>3701700</v>
      </c>
      <c r="K675" s="98">
        <f t="shared" si="30"/>
        <v>0</v>
      </c>
      <c r="L675" s="98" t="str">
        <f t="shared" si="31"/>
        <v>Lancar</v>
      </c>
      <c r="M675" s="5" t="str">
        <f t="shared" si="32"/>
        <v>001</v>
      </c>
      <c r="N675" s="55" t="str">
        <f>VLOOKUP(D675,Pinjaman!$E$7:$N$1900,10,FALSE)</f>
        <v>KESEJAHTERAAN</v>
      </c>
      <c r="O675" s="55">
        <f>VLOOKUP(B675,'Data Angt'!$A$5:$H$5810,6,FALSE)</f>
        <v>26</v>
      </c>
      <c r="P675" s="55" t="str">
        <f>VLOOKUP(B675,'Data Angt'!$A$5:$H$5810,8,FALSE)</f>
        <v>Karyawan</v>
      </c>
    </row>
    <row r="676" spans="1:16" x14ac:dyDescent="0.3">
      <c r="A676" s="8">
        <v>669</v>
      </c>
      <c r="B676" s="9" t="s">
        <v>14698</v>
      </c>
      <c r="C676" s="10" t="str">
        <f>VLOOKUP(B676,'Data Angt'!$A$5:$B$5809,2,FALSE)</f>
        <v>A5321</v>
      </c>
      <c r="D676" s="12" t="s">
        <v>16357</v>
      </c>
      <c r="E676" s="13">
        <v>45710</v>
      </c>
      <c r="F676" s="14">
        <v>45920</v>
      </c>
      <c r="G676" s="15">
        <v>35415400</v>
      </c>
      <c r="H676" s="16">
        <v>36</v>
      </c>
      <c r="I676" s="17">
        <v>21</v>
      </c>
      <c r="J676" s="15">
        <v>30143600</v>
      </c>
      <c r="K676" s="98">
        <f t="shared" si="30"/>
        <v>0</v>
      </c>
      <c r="L676" s="98" t="str">
        <f t="shared" si="31"/>
        <v>Lancar</v>
      </c>
      <c r="M676" s="5" t="str">
        <f t="shared" si="32"/>
        <v>001</v>
      </c>
      <c r="N676" s="55" t="str">
        <f>VLOOKUP(D676,Pinjaman!$E$7:$N$1900,10,FALSE)</f>
        <v>KONSUMTIF</v>
      </c>
      <c r="O676" s="55">
        <f>VLOOKUP(B676,'Data Angt'!$A$5:$H$5810,6,FALSE)</f>
        <v>29</v>
      </c>
      <c r="P676" s="55" t="str">
        <f>VLOOKUP(B676,'Data Angt'!$A$5:$H$5810,8,FALSE)</f>
        <v>Karyawan</v>
      </c>
    </row>
    <row r="677" spans="1:16" x14ac:dyDescent="0.3">
      <c r="A677" s="8">
        <v>670</v>
      </c>
      <c r="B677" s="9" t="s">
        <v>14713</v>
      </c>
      <c r="C677" s="10" t="str">
        <f>VLOOKUP(B677,'Data Angt'!$A$5:$B$5809,2,FALSE)</f>
        <v>A5327</v>
      </c>
      <c r="D677" s="12" t="s">
        <v>22831</v>
      </c>
      <c r="E677" s="13">
        <v>45881</v>
      </c>
      <c r="F677" s="14">
        <v>45910</v>
      </c>
      <c r="G677" s="15">
        <v>2000000</v>
      </c>
      <c r="H677" s="16">
        <v>10</v>
      </c>
      <c r="I677" s="17">
        <v>24</v>
      </c>
      <c r="J677" s="15">
        <v>1817300</v>
      </c>
      <c r="K677" s="98">
        <f t="shared" si="30"/>
        <v>0</v>
      </c>
      <c r="L677" s="98" t="str">
        <f t="shared" si="31"/>
        <v>Lancar</v>
      </c>
      <c r="M677" s="5" t="str">
        <f t="shared" si="32"/>
        <v>001</v>
      </c>
      <c r="N677" s="55" t="str">
        <f>VLOOKUP(D677,Pinjaman!$E$7:$N$1900,10,FALSE)</f>
        <v>PENDIDIKAN</v>
      </c>
      <c r="O677" s="55">
        <f>VLOOKUP(B677,'Data Angt'!$A$5:$H$5810,6,FALSE)</f>
        <v>43</v>
      </c>
      <c r="P677" s="55" t="str">
        <f>VLOOKUP(B677,'Data Angt'!$A$5:$H$5810,8,FALSE)</f>
        <v>Karyawan</v>
      </c>
    </row>
    <row r="678" spans="1:16" x14ac:dyDescent="0.3">
      <c r="A678" s="8">
        <v>671</v>
      </c>
      <c r="B678" s="9" t="s">
        <v>14733</v>
      </c>
      <c r="C678" s="10" t="str">
        <f>VLOOKUP(B678,'Data Angt'!$A$5:$B$5809,2,FALSE)</f>
        <v>A5336</v>
      </c>
      <c r="D678" s="12" t="s">
        <v>16360</v>
      </c>
      <c r="E678" s="13">
        <v>45706</v>
      </c>
      <c r="F678" s="14">
        <v>45930</v>
      </c>
      <c r="G678" s="15">
        <v>2000000</v>
      </c>
      <c r="H678" s="16">
        <v>10</v>
      </c>
      <c r="I678" s="17">
        <v>24</v>
      </c>
      <c r="J678" s="15">
        <v>847800</v>
      </c>
      <c r="K678" s="98">
        <f t="shared" si="30"/>
        <v>0</v>
      </c>
      <c r="L678" s="98" t="str">
        <f t="shared" si="31"/>
        <v>Lancar</v>
      </c>
      <c r="M678" s="5" t="str">
        <f t="shared" si="32"/>
        <v>001</v>
      </c>
      <c r="N678" s="55" t="str">
        <f>VLOOKUP(D678,Pinjaman!$E$7:$N$1900,10,FALSE)</f>
        <v>PENDIDIKAN</v>
      </c>
      <c r="O678" s="55">
        <f>VLOOKUP(B678,'Data Angt'!$A$5:$H$5810,6,FALSE)</f>
        <v>40</v>
      </c>
      <c r="P678" s="55" t="str">
        <f>VLOOKUP(B678,'Data Angt'!$A$5:$H$5810,8,FALSE)</f>
        <v>Karyawan</v>
      </c>
    </row>
    <row r="679" spans="1:16" x14ac:dyDescent="0.3">
      <c r="A679" s="8">
        <v>672</v>
      </c>
      <c r="B679" s="9" t="s">
        <v>14735</v>
      </c>
      <c r="C679" s="10" t="str">
        <f>VLOOKUP(B679,'Data Angt'!$A$5:$B$5809,2,FALSE)</f>
        <v>A5337</v>
      </c>
      <c r="D679" s="12" t="s">
        <v>16362</v>
      </c>
      <c r="E679" s="13">
        <v>45743</v>
      </c>
      <c r="F679" s="14">
        <v>45917</v>
      </c>
      <c r="G679" s="15">
        <v>13000000</v>
      </c>
      <c r="H679" s="16">
        <v>24</v>
      </c>
      <c r="I679" s="17">
        <v>24</v>
      </c>
      <c r="J679" s="15">
        <v>10304200</v>
      </c>
      <c r="K679" s="98">
        <f t="shared" si="30"/>
        <v>0</v>
      </c>
      <c r="L679" s="98" t="str">
        <f t="shared" si="31"/>
        <v>Lancar</v>
      </c>
      <c r="M679" s="5" t="str">
        <f t="shared" si="32"/>
        <v>001</v>
      </c>
      <c r="N679" s="55" t="str">
        <f>VLOOKUP(D679,Pinjaman!$E$7:$N$1900,10,FALSE)</f>
        <v>KONSUMTIF</v>
      </c>
      <c r="O679" s="55">
        <f>VLOOKUP(B679,'Data Angt'!$A$5:$H$5810,6,FALSE)</f>
        <v>32</v>
      </c>
      <c r="P679" s="55" t="str">
        <f>VLOOKUP(B679,'Data Angt'!$A$5:$H$5810,8,FALSE)</f>
        <v>Karyawan</v>
      </c>
    </row>
    <row r="680" spans="1:16" x14ac:dyDescent="0.3">
      <c r="A680" s="8">
        <v>673</v>
      </c>
      <c r="B680" s="9" t="s">
        <v>14748</v>
      </c>
      <c r="C680" s="10" t="str">
        <f>VLOOKUP(B680,'Data Angt'!$A$5:$B$5809,2,FALSE)</f>
        <v>A5342</v>
      </c>
      <c r="D680" s="12" t="s">
        <v>16364</v>
      </c>
      <c r="E680" s="13">
        <v>45707</v>
      </c>
      <c r="F680" s="14">
        <v>45930</v>
      </c>
      <c r="G680" s="15">
        <v>2000000</v>
      </c>
      <c r="H680" s="16">
        <v>10</v>
      </c>
      <c r="I680" s="17">
        <v>24</v>
      </c>
      <c r="J680" s="15">
        <v>642100</v>
      </c>
      <c r="K680" s="98">
        <f t="shared" si="30"/>
        <v>0</v>
      </c>
      <c r="L680" s="98" t="str">
        <f t="shared" si="31"/>
        <v>Lancar</v>
      </c>
      <c r="M680" s="5" t="str">
        <f t="shared" si="32"/>
        <v>001</v>
      </c>
      <c r="N680" s="55" t="str">
        <f>VLOOKUP(D680,Pinjaman!$E$7:$N$1900,10,FALSE)</f>
        <v>KONSUMTIF</v>
      </c>
      <c r="O680" s="55">
        <f>VLOOKUP(B680,'Data Angt'!$A$5:$H$5810,6,FALSE)</f>
        <v>23</v>
      </c>
      <c r="P680" s="55" t="str">
        <f>VLOOKUP(B680,'Data Angt'!$A$5:$H$5810,8,FALSE)</f>
        <v>Karyawan</v>
      </c>
    </row>
    <row r="681" spans="1:16" x14ac:dyDescent="0.3">
      <c r="A681" s="8">
        <v>674</v>
      </c>
      <c r="B681" s="9" t="s">
        <v>14762</v>
      </c>
      <c r="C681" s="10" t="str">
        <f>VLOOKUP(B681,'Data Angt'!$A$5:$B$5809,2,FALSE)</f>
        <v>A5349</v>
      </c>
      <c r="D681" s="12" t="s">
        <v>22834</v>
      </c>
      <c r="E681" s="13">
        <v>45920</v>
      </c>
      <c r="F681" s="14">
        <v>45920</v>
      </c>
      <c r="G681" s="15">
        <v>3000000</v>
      </c>
      <c r="H681" s="16">
        <v>12</v>
      </c>
      <c r="I681" s="17">
        <v>24</v>
      </c>
      <c r="J681" s="15">
        <v>3000000</v>
      </c>
      <c r="K681" s="98">
        <f t="shared" si="30"/>
        <v>0</v>
      </c>
      <c r="L681" s="98" t="str">
        <f t="shared" si="31"/>
        <v>Lancar</v>
      </c>
      <c r="M681" s="5" t="str">
        <f t="shared" si="32"/>
        <v>001</v>
      </c>
      <c r="N681" s="55" t="str">
        <f>VLOOKUP(D681,Pinjaman!$E$7:$N$1900,10,FALSE)</f>
        <v>PRODUKTIF</v>
      </c>
      <c r="O681" s="55">
        <f>VLOOKUP(B681,'Data Angt'!$A$5:$H$5810,6,FALSE)</f>
        <v>21</v>
      </c>
      <c r="P681" s="55" t="str">
        <f>VLOOKUP(B681,'Data Angt'!$A$5:$H$5810,8,FALSE)</f>
        <v>Pelajar/Mahasiswa</v>
      </c>
    </row>
    <row r="682" spans="1:16" x14ac:dyDescent="0.3">
      <c r="A682" s="8">
        <v>675</v>
      </c>
      <c r="B682" s="9" t="s">
        <v>14776</v>
      </c>
      <c r="C682" s="10" t="str">
        <f>VLOOKUP(B682,'Data Angt'!$A$5:$B$5809,2,FALSE)</f>
        <v>A5356</v>
      </c>
      <c r="D682" s="12" t="s">
        <v>16366</v>
      </c>
      <c r="E682" s="13">
        <v>45720</v>
      </c>
      <c r="F682" s="14">
        <v>45908</v>
      </c>
      <c r="G682" s="15">
        <v>20500000</v>
      </c>
      <c r="H682" s="16">
        <v>36</v>
      </c>
      <c r="I682" s="17">
        <v>24</v>
      </c>
      <c r="J682" s="15">
        <v>18012900</v>
      </c>
      <c r="K682" s="98">
        <f t="shared" si="30"/>
        <v>0</v>
      </c>
      <c r="L682" s="98" t="str">
        <f t="shared" si="31"/>
        <v>Lancar</v>
      </c>
      <c r="M682" s="5" t="str">
        <f t="shared" si="32"/>
        <v>001</v>
      </c>
      <c r="N682" s="55" t="str">
        <f>VLOOKUP(D682,Pinjaman!$E$7:$N$1900,10,FALSE)</f>
        <v>KONSUMTIF</v>
      </c>
      <c r="O682" s="55">
        <f>VLOOKUP(B682,'Data Angt'!$A$5:$H$5810,6,FALSE)</f>
        <v>20</v>
      </c>
      <c r="P682" s="55" t="str">
        <f>VLOOKUP(B682,'Data Angt'!$A$5:$H$5810,8,FALSE)</f>
        <v>Karyawan</v>
      </c>
    </row>
    <row r="683" spans="1:16" x14ac:dyDescent="0.3">
      <c r="A683" s="8">
        <v>676</v>
      </c>
      <c r="B683" s="9" t="s">
        <v>14830</v>
      </c>
      <c r="C683" s="10" t="str">
        <f>VLOOKUP(B683,'Data Angt'!$A$5:$B$5809,2,FALSE)</f>
        <v>A5382</v>
      </c>
      <c r="D683" s="12" t="s">
        <v>16368</v>
      </c>
      <c r="E683" s="13">
        <v>45713</v>
      </c>
      <c r="F683" s="14">
        <v>45922</v>
      </c>
      <c r="G683" s="15">
        <v>15000000</v>
      </c>
      <c r="H683" s="16">
        <v>24</v>
      </c>
      <c r="I683" s="17">
        <v>24</v>
      </c>
      <c r="J683" s="15">
        <v>11334400</v>
      </c>
      <c r="K683" s="98">
        <f t="shared" si="30"/>
        <v>0</v>
      </c>
      <c r="L683" s="98" t="str">
        <f t="shared" si="31"/>
        <v>Lancar</v>
      </c>
      <c r="M683" s="5" t="str">
        <f t="shared" si="32"/>
        <v>001</v>
      </c>
      <c r="N683" s="55" t="str">
        <f>VLOOKUP(D683,Pinjaman!$E$7:$N$1900,10,FALSE)</f>
        <v>PRODUKTIF</v>
      </c>
      <c r="O683" s="55">
        <f>VLOOKUP(B683,'Data Angt'!$A$5:$H$5810,6,FALSE)</f>
        <v>39</v>
      </c>
      <c r="P683" s="55" t="str">
        <f>VLOOKUP(B683,'Data Angt'!$A$5:$H$5810,8,FALSE)</f>
        <v>Wiraswasta</v>
      </c>
    </row>
    <row r="684" spans="1:16" x14ac:dyDescent="0.3">
      <c r="A684" s="8">
        <v>677</v>
      </c>
      <c r="B684" s="9" t="s">
        <v>14861</v>
      </c>
      <c r="C684" s="10" t="str">
        <f>VLOOKUP(B684,'Data Angt'!$A$5:$B$5809,2,FALSE)</f>
        <v>A5395</v>
      </c>
      <c r="D684" s="12" t="s">
        <v>22837</v>
      </c>
      <c r="E684" s="13">
        <v>45894</v>
      </c>
      <c r="F684" s="14">
        <v>45927</v>
      </c>
      <c r="G684" s="15">
        <v>4000000</v>
      </c>
      <c r="H684" s="16">
        <v>10</v>
      </c>
      <c r="I684" s="17">
        <v>24</v>
      </c>
      <c r="J684" s="15">
        <v>3634600</v>
      </c>
      <c r="K684" s="98">
        <f t="shared" si="30"/>
        <v>0</v>
      </c>
      <c r="L684" s="98" t="str">
        <f t="shared" si="31"/>
        <v>Lancar</v>
      </c>
      <c r="M684" s="5" t="str">
        <f t="shared" si="32"/>
        <v>001</v>
      </c>
      <c r="N684" s="55" t="str">
        <f>VLOOKUP(D684,Pinjaman!$E$7:$N$1900,10,FALSE)</f>
        <v>KONSUMTIF</v>
      </c>
      <c r="O684" s="55">
        <f>VLOOKUP(B684,'Data Angt'!$A$5:$H$5810,6,FALSE)</f>
        <v>28</v>
      </c>
      <c r="P684" s="55" t="str">
        <f>VLOOKUP(B684,'Data Angt'!$A$5:$H$5810,8,FALSE)</f>
        <v>Karyawan</v>
      </c>
    </row>
    <row r="685" spans="1:16" x14ac:dyDescent="0.3">
      <c r="A685" s="8">
        <v>678</v>
      </c>
      <c r="B685" s="9" t="s">
        <v>14863</v>
      </c>
      <c r="C685" s="10" t="str">
        <f>VLOOKUP(B685,'Data Angt'!$A$5:$B$5809,2,FALSE)</f>
        <v>A5396</v>
      </c>
      <c r="D685" s="12" t="s">
        <v>16370</v>
      </c>
      <c r="E685" s="13">
        <v>45715</v>
      </c>
      <c r="F685" s="14">
        <v>45929</v>
      </c>
      <c r="G685" s="15">
        <v>2000000</v>
      </c>
      <c r="H685" s="16">
        <v>10</v>
      </c>
      <c r="I685" s="17">
        <v>24</v>
      </c>
      <c r="J685" s="15">
        <v>642100</v>
      </c>
      <c r="K685" s="98">
        <f t="shared" si="30"/>
        <v>0</v>
      </c>
      <c r="L685" s="98" t="str">
        <f t="shared" si="31"/>
        <v>Lancar</v>
      </c>
      <c r="M685" s="5" t="str">
        <f t="shared" si="32"/>
        <v>001</v>
      </c>
      <c r="N685" s="55" t="str">
        <f>VLOOKUP(D685,Pinjaman!$E$7:$N$1900,10,FALSE)</f>
        <v>KONSUMTIF</v>
      </c>
      <c r="O685" s="55">
        <f>VLOOKUP(B685,'Data Angt'!$A$5:$H$5810,6,FALSE)</f>
        <v>28</v>
      </c>
      <c r="P685" s="55" t="str">
        <f>VLOOKUP(B685,'Data Angt'!$A$5:$H$5810,8,FALSE)</f>
        <v>Karyawan</v>
      </c>
    </row>
    <row r="686" spans="1:16" x14ac:dyDescent="0.3">
      <c r="A686" s="8">
        <v>679</v>
      </c>
      <c r="B686" s="9" t="s">
        <v>14890</v>
      </c>
      <c r="C686" s="10" t="str">
        <f>VLOOKUP(B686,'Data Angt'!$A$5:$B$5809,2,FALSE)</f>
        <v>A5408</v>
      </c>
      <c r="D686" s="12" t="s">
        <v>22839</v>
      </c>
      <c r="E686" s="13">
        <v>45929</v>
      </c>
      <c r="F686" s="14">
        <v>45929</v>
      </c>
      <c r="G686" s="15">
        <v>10000000</v>
      </c>
      <c r="H686" s="16">
        <v>12</v>
      </c>
      <c r="I686" s="17">
        <v>24</v>
      </c>
      <c r="J686" s="15">
        <v>10000000</v>
      </c>
      <c r="K686" s="98">
        <f t="shared" si="30"/>
        <v>0</v>
      </c>
      <c r="L686" s="98" t="str">
        <f t="shared" si="31"/>
        <v>Lancar</v>
      </c>
      <c r="M686" s="5" t="str">
        <f t="shared" si="32"/>
        <v>001</v>
      </c>
      <c r="N686" s="55" t="str">
        <f>VLOOKUP(D686,Pinjaman!$E$7:$N$1900,10,FALSE)</f>
        <v>KESEJAHTERAAN</v>
      </c>
      <c r="O686" s="55">
        <f>VLOOKUP(B686,'Data Angt'!$A$5:$H$5810,6,FALSE)</f>
        <v>54</v>
      </c>
      <c r="P686" s="55" t="str">
        <f>VLOOKUP(B686,'Data Angt'!$A$5:$H$5810,8,FALSE)</f>
        <v>Aparatur/Pejabat Negara</v>
      </c>
    </row>
    <row r="687" spans="1:16" x14ac:dyDescent="0.3">
      <c r="A687" s="8">
        <v>680</v>
      </c>
      <c r="B687" s="9" t="s">
        <v>14893</v>
      </c>
      <c r="C687" s="10" t="str">
        <f>VLOOKUP(B687,'Data Angt'!$A$5:$B$5809,2,FALSE)</f>
        <v>A5409</v>
      </c>
      <c r="D687" s="12" t="s">
        <v>16372</v>
      </c>
      <c r="E687" s="13">
        <v>45721</v>
      </c>
      <c r="F687" s="14">
        <v>45902</v>
      </c>
      <c r="G687" s="15">
        <v>5000000</v>
      </c>
      <c r="H687" s="16">
        <v>12</v>
      </c>
      <c r="I687" s="17">
        <v>24</v>
      </c>
      <c r="J687" s="15">
        <v>2648600</v>
      </c>
      <c r="K687" s="98">
        <f t="shared" si="30"/>
        <v>0</v>
      </c>
      <c r="L687" s="98" t="str">
        <f t="shared" si="31"/>
        <v>Lancar</v>
      </c>
      <c r="M687" s="5" t="str">
        <f t="shared" si="32"/>
        <v>001</v>
      </c>
      <c r="N687" s="55" t="str">
        <f>VLOOKUP(D687,Pinjaman!$E$7:$N$1900,10,FALSE)</f>
        <v>KESEJAHTERAAN</v>
      </c>
      <c r="O687" s="55">
        <f>VLOOKUP(B687,'Data Angt'!$A$5:$H$5810,6,FALSE)</f>
        <v>51</v>
      </c>
      <c r="P687" s="55" t="str">
        <f>VLOOKUP(B687,'Data Angt'!$A$5:$H$5810,8,FALSE)</f>
        <v>Karyawan</v>
      </c>
    </row>
    <row r="688" spans="1:16" x14ac:dyDescent="0.3">
      <c r="A688" s="8">
        <v>681</v>
      </c>
      <c r="B688" s="9" t="s">
        <v>14909</v>
      </c>
      <c r="C688" s="10" t="str">
        <f>VLOOKUP(B688,'Data Angt'!$A$5:$B$5809,2,FALSE)</f>
        <v>A5416</v>
      </c>
      <c r="D688" s="12" t="s">
        <v>16374</v>
      </c>
      <c r="E688" s="13">
        <v>45793</v>
      </c>
      <c r="F688" s="14">
        <v>45919</v>
      </c>
      <c r="G688" s="15">
        <v>5000000</v>
      </c>
      <c r="H688" s="16">
        <v>12</v>
      </c>
      <c r="I688" s="17">
        <v>24</v>
      </c>
      <c r="J688" s="15">
        <v>3463600</v>
      </c>
      <c r="K688" s="98">
        <f t="shared" si="30"/>
        <v>0</v>
      </c>
      <c r="L688" s="98" t="str">
        <f t="shared" si="31"/>
        <v>Lancar</v>
      </c>
      <c r="M688" s="5" t="str">
        <f t="shared" si="32"/>
        <v>001</v>
      </c>
      <c r="N688" s="55" t="str">
        <f>VLOOKUP(D688,Pinjaman!$E$7:$N$1900,10,FALSE)</f>
        <v>KESEJAHTERAAN</v>
      </c>
      <c r="O688" s="55">
        <f>VLOOKUP(B688,'Data Angt'!$A$5:$H$5810,6,FALSE)</f>
        <v>30</v>
      </c>
      <c r="P688" s="55" t="str">
        <f>VLOOKUP(B688,'Data Angt'!$A$5:$H$5810,8,FALSE)</f>
        <v>Wiraswasta</v>
      </c>
    </row>
    <row r="689" spans="1:16" x14ac:dyDescent="0.3">
      <c r="A689" s="8">
        <v>682</v>
      </c>
      <c r="B689" s="9" t="s">
        <v>14925</v>
      </c>
      <c r="C689" s="10" t="str">
        <f>VLOOKUP(B689,'Data Angt'!$A$5:$B$5809,2,FALSE)</f>
        <v>A5422</v>
      </c>
      <c r="D689" s="12" t="s">
        <v>22843</v>
      </c>
      <c r="E689" s="13">
        <v>45842</v>
      </c>
      <c r="F689" s="14">
        <v>45903</v>
      </c>
      <c r="G689" s="15">
        <v>3000000</v>
      </c>
      <c r="H689" s="16">
        <v>5</v>
      </c>
      <c r="I689" s="17">
        <v>24</v>
      </c>
      <c r="J689" s="15">
        <v>1835500</v>
      </c>
      <c r="K689" s="98">
        <f t="shared" si="30"/>
        <v>0</v>
      </c>
      <c r="L689" s="98" t="str">
        <f t="shared" si="31"/>
        <v>Lancar</v>
      </c>
      <c r="M689" s="5" t="str">
        <f t="shared" si="32"/>
        <v>001</v>
      </c>
      <c r="N689" s="55" t="str">
        <f>VLOOKUP(D689,Pinjaman!$E$7:$N$1900,10,FALSE)</f>
        <v>KONSUMTIF</v>
      </c>
      <c r="O689" s="55">
        <f>VLOOKUP(B689,'Data Angt'!$A$5:$H$5810,6,FALSE)</f>
        <v>70</v>
      </c>
      <c r="P689" s="55" t="str">
        <f>VLOOKUP(B689,'Data Angt'!$A$5:$H$5810,8,FALSE)</f>
        <v>Mengurus Rumah Tangga</v>
      </c>
    </row>
    <row r="690" spans="1:16" x14ac:dyDescent="0.3">
      <c r="A690" s="8">
        <v>683</v>
      </c>
      <c r="B690" s="9" t="s">
        <v>14928</v>
      </c>
      <c r="C690" s="10" t="str">
        <f>VLOOKUP(B690,'Data Angt'!$A$5:$B$5809,2,FALSE)</f>
        <v>A5424</v>
      </c>
      <c r="D690" s="12" t="s">
        <v>16376</v>
      </c>
      <c r="E690" s="13">
        <v>45726</v>
      </c>
      <c r="F690" s="14">
        <v>45909</v>
      </c>
      <c r="G690" s="15">
        <v>2000000</v>
      </c>
      <c r="H690" s="16">
        <v>10</v>
      </c>
      <c r="I690" s="17">
        <v>24</v>
      </c>
      <c r="J690" s="15">
        <v>847800</v>
      </c>
      <c r="K690" s="98">
        <f t="shared" si="30"/>
        <v>0</v>
      </c>
      <c r="L690" s="98" t="str">
        <f t="shared" si="31"/>
        <v>Lancar</v>
      </c>
      <c r="M690" s="5" t="str">
        <f t="shared" si="32"/>
        <v>001</v>
      </c>
      <c r="N690" s="55" t="str">
        <f>VLOOKUP(D690,Pinjaman!$E$7:$N$1900,10,FALSE)</f>
        <v>KONSUMTIF</v>
      </c>
      <c r="O690" s="55">
        <f>VLOOKUP(B690,'Data Angt'!$A$5:$H$5810,6,FALSE)</f>
        <v>28</v>
      </c>
      <c r="P690" s="55" t="str">
        <f>VLOOKUP(B690,'Data Angt'!$A$5:$H$5810,8,FALSE)</f>
        <v>Karyawan</v>
      </c>
    </row>
    <row r="691" spans="1:16" x14ac:dyDescent="0.3">
      <c r="A691" s="8">
        <v>684</v>
      </c>
      <c r="B691" s="9" t="s">
        <v>14963</v>
      </c>
      <c r="C691" s="10" t="str">
        <f>VLOOKUP(B691,'Data Angt'!$A$5:$B$5809,2,FALSE)</f>
        <v>A5442</v>
      </c>
      <c r="D691" s="12" t="s">
        <v>16378</v>
      </c>
      <c r="E691" s="13">
        <v>45825</v>
      </c>
      <c r="F691" s="14">
        <v>45911</v>
      </c>
      <c r="G691" s="15">
        <v>10000000</v>
      </c>
      <c r="H691" s="16">
        <v>18</v>
      </c>
      <c r="I691" s="17">
        <v>24</v>
      </c>
      <c r="J691" s="15">
        <v>8570600</v>
      </c>
      <c r="K691" s="98">
        <f t="shared" si="30"/>
        <v>0</v>
      </c>
      <c r="L691" s="98" t="str">
        <f t="shared" si="31"/>
        <v>Lancar</v>
      </c>
      <c r="M691" s="5" t="str">
        <f t="shared" si="32"/>
        <v>001</v>
      </c>
      <c r="N691" s="55" t="str">
        <f>VLOOKUP(D691,Pinjaman!$E$7:$N$1900,10,FALSE)</f>
        <v>KESEHATAN</v>
      </c>
      <c r="O691" s="55">
        <f>VLOOKUP(B691,'Data Angt'!$A$5:$H$5810,6,FALSE)</f>
        <v>52</v>
      </c>
      <c r="P691" s="55" t="str">
        <f>VLOOKUP(B691,'Data Angt'!$A$5:$H$5810,8,FALSE)</f>
        <v>Karyawan</v>
      </c>
    </row>
    <row r="692" spans="1:16" x14ac:dyDescent="0.3">
      <c r="A692" s="8">
        <v>685</v>
      </c>
      <c r="B692" s="9" t="s">
        <v>14972</v>
      </c>
      <c r="C692" s="10" t="str">
        <f>VLOOKUP(B692,'Data Angt'!$A$5:$B$5809,2,FALSE)</f>
        <v>A5446</v>
      </c>
      <c r="D692" s="12" t="s">
        <v>16381</v>
      </c>
      <c r="E692" s="13">
        <v>45737</v>
      </c>
      <c r="F692" s="14">
        <v>45913</v>
      </c>
      <c r="G692" s="15">
        <v>44000000</v>
      </c>
      <c r="H692" s="16">
        <v>48</v>
      </c>
      <c r="I692" s="17">
        <v>21</v>
      </c>
      <c r="J692" s="15">
        <v>40286100</v>
      </c>
      <c r="K692" s="98">
        <f t="shared" si="30"/>
        <v>0</v>
      </c>
      <c r="L692" s="98" t="str">
        <f t="shared" si="31"/>
        <v>Lancar</v>
      </c>
      <c r="M692" s="5" t="str">
        <f t="shared" si="32"/>
        <v>001</v>
      </c>
      <c r="N692" s="55" t="str">
        <f>VLOOKUP(D692,Pinjaman!$E$7:$N$1900,10,FALSE)</f>
        <v>KONSUMTIF</v>
      </c>
      <c r="O692" s="55">
        <f>VLOOKUP(B692,'Data Angt'!$A$5:$H$5810,6,FALSE)</f>
        <v>22</v>
      </c>
      <c r="P692" s="55" t="str">
        <f>VLOOKUP(B692,'Data Angt'!$A$5:$H$5810,8,FALSE)</f>
        <v>Karyawan</v>
      </c>
    </row>
    <row r="693" spans="1:16" x14ac:dyDescent="0.3">
      <c r="A693" s="8">
        <v>686</v>
      </c>
      <c r="B693" s="9" t="s">
        <v>14979</v>
      </c>
      <c r="C693" s="10" t="str">
        <f>VLOOKUP(B693,'Data Angt'!$A$5:$B$5809,2,FALSE)</f>
        <v>A5449</v>
      </c>
      <c r="D693" s="12" t="s">
        <v>16383</v>
      </c>
      <c r="E693" s="13">
        <v>45738</v>
      </c>
      <c r="F693" s="14">
        <v>45925</v>
      </c>
      <c r="G693" s="15">
        <v>5000000</v>
      </c>
      <c r="H693" s="16">
        <v>12</v>
      </c>
      <c r="I693" s="17">
        <v>24</v>
      </c>
      <c r="J693" s="15">
        <v>2648600</v>
      </c>
      <c r="K693" s="98">
        <f t="shared" si="30"/>
        <v>0</v>
      </c>
      <c r="L693" s="98" t="str">
        <f t="shared" si="31"/>
        <v>Lancar</v>
      </c>
      <c r="M693" s="5" t="str">
        <f t="shared" si="32"/>
        <v>001</v>
      </c>
      <c r="N693" s="55" t="str">
        <f>VLOOKUP(D693,Pinjaman!$E$7:$N$1900,10,FALSE)</f>
        <v>KONSUMTIF</v>
      </c>
      <c r="O693" s="55">
        <f>VLOOKUP(B693,'Data Angt'!$A$5:$H$5810,6,FALSE)</f>
        <v>36</v>
      </c>
      <c r="P693" s="55" t="str">
        <f>VLOOKUP(B693,'Data Angt'!$A$5:$H$5810,8,FALSE)</f>
        <v>Karyawan</v>
      </c>
    </row>
    <row r="694" spans="1:16" x14ac:dyDescent="0.3">
      <c r="A694" s="8">
        <v>687</v>
      </c>
      <c r="B694" s="9" t="s">
        <v>14981</v>
      </c>
      <c r="C694" s="10" t="str">
        <f>VLOOKUP(B694,'Data Angt'!$A$5:$B$5809,2,FALSE)</f>
        <v>A5450</v>
      </c>
      <c r="D694" s="12" t="s">
        <v>16385</v>
      </c>
      <c r="E694" s="13">
        <v>45740</v>
      </c>
      <c r="F694" s="14">
        <v>45902</v>
      </c>
      <c r="G694" s="15">
        <v>3000000</v>
      </c>
      <c r="H694" s="16">
        <v>12</v>
      </c>
      <c r="I694" s="17">
        <v>24</v>
      </c>
      <c r="J694" s="15">
        <v>1589200</v>
      </c>
      <c r="K694" s="98">
        <f t="shared" si="30"/>
        <v>0</v>
      </c>
      <c r="L694" s="98" t="str">
        <f t="shared" si="31"/>
        <v>Lancar</v>
      </c>
      <c r="M694" s="5" t="str">
        <f t="shared" si="32"/>
        <v>001</v>
      </c>
      <c r="N694" s="55" t="str">
        <f>VLOOKUP(D694,Pinjaman!$E$7:$N$1900,10,FALSE)</f>
        <v>PRODUKTIF</v>
      </c>
      <c r="O694" s="55">
        <f>VLOOKUP(B694,'Data Angt'!$A$5:$H$5810,6,FALSE)</f>
        <v>33</v>
      </c>
      <c r="P694" s="55" t="str">
        <f>VLOOKUP(B694,'Data Angt'!$A$5:$H$5810,8,FALSE)</f>
        <v>Wiraswasta</v>
      </c>
    </row>
    <row r="695" spans="1:16" x14ac:dyDescent="0.3">
      <c r="A695" s="8">
        <v>688</v>
      </c>
      <c r="B695" s="9" t="s">
        <v>15011</v>
      </c>
      <c r="C695" s="10" t="str">
        <f>VLOOKUP(B695,'Data Angt'!$A$5:$B$5809,2,FALSE)</f>
        <v>A5465</v>
      </c>
      <c r="D695" s="12" t="s">
        <v>22849</v>
      </c>
      <c r="E695" s="13">
        <v>45874</v>
      </c>
      <c r="F695" s="14">
        <v>45908</v>
      </c>
      <c r="G695" s="15">
        <v>3000000</v>
      </c>
      <c r="H695" s="16">
        <v>6</v>
      </c>
      <c r="I695" s="17">
        <v>24</v>
      </c>
      <c r="J695" s="15">
        <v>2524400</v>
      </c>
      <c r="K695" s="98">
        <f t="shared" si="30"/>
        <v>0</v>
      </c>
      <c r="L695" s="98" t="str">
        <f t="shared" si="31"/>
        <v>Lancar</v>
      </c>
      <c r="M695" s="5" t="str">
        <f t="shared" si="32"/>
        <v>001</v>
      </c>
      <c r="N695" s="55" t="str">
        <f>VLOOKUP(D695,Pinjaman!$E$7:$N$1900,10,FALSE)</f>
        <v>PENDIDIKAN</v>
      </c>
      <c r="O695" s="55">
        <f>VLOOKUP(B695,'Data Angt'!$A$5:$H$5810,6,FALSE)</f>
        <v>33</v>
      </c>
      <c r="P695" s="55" t="str">
        <f>VLOOKUP(B695,'Data Angt'!$A$5:$H$5810,8,FALSE)</f>
        <v>Karyawan</v>
      </c>
    </row>
    <row r="696" spans="1:16" x14ac:dyDescent="0.3">
      <c r="A696" s="8">
        <v>689</v>
      </c>
      <c r="B696" s="9" t="s">
        <v>15020</v>
      </c>
      <c r="C696" s="10" t="str">
        <f>VLOOKUP(B696,'Data Angt'!$A$5:$B$5809,2,FALSE)</f>
        <v>A5469</v>
      </c>
      <c r="D696" s="12" t="s">
        <v>22851</v>
      </c>
      <c r="E696" s="13">
        <v>45856</v>
      </c>
      <c r="F696" s="14">
        <v>45910</v>
      </c>
      <c r="G696" s="15">
        <v>15000000</v>
      </c>
      <c r="H696" s="16">
        <v>24</v>
      </c>
      <c r="I696" s="17">
        <v>24</v>
      </c>
      <c r="J696" s="15">
        <v>14004000</v>
      </c>
      <c r="K696" s="98">
        <f t="shared" si="30"/>
        <v>0</v>
      </c>
      <c r="L696" s="98" t="str">
        <f t="shared" si="31"/>
        <v>Lancar</v>
      </c>
      <c r="M696" s="5" t="str">
        <f t="shared" si="32"/>
        <v>001</v>
      </c>
      <c r="N696" s="55" t="str">
        <f>VLOOKUP(D696,Pinjaman!$E$7:$N$1900,10,FALSE)</f>
        <v>PRODUKTIF</v>
      </c>
      <c r="O696" s="55">
        <f>VLOOKUP(B696,'Data Angt'!$A$5:$H$5810,6,FALSE)</f>
        <v>50</v>
      </c>
      <c r="P696" s="55" t="str">
        <f>VLOOKUP(B696,'Data Angt'!$A$5:$H$5810,8,FALSE)</f>
        <v>Wiraswasta</v>
      </c>
    </row>
    <row r="697" spans="1:16" x14ac:dyDescent="0.3">
      <c r="A697" s="8">
        <v>690</v>
      </c>
      <c r="B697" s="9" t="s">
        <v>15028</v>
      </c>
      <c r="C697" s="10" t="str">
        <f>VLOOKUP(B697,'Data Angt'!$A$5:$B$5809,2,FALSE)</f>
        <v>A5472</v>
      </c>
      <c r="D697" s="12" t="s">
        <v>16387</v>
      </c>
      <c r="E697" s="13">
        <v>45769</v>
      </c>
      <c r="F697" s="14">
        <v>45924</v>
      </c>
      <c r="G697" s="15">
        <v>1000000</v>
      </c>
      <c r="H697" s="16">
        <v>10</v>
      </c>
      <c r="I697" s="17">
        <v>24</v>
      </c>
      <c r="J697" s="15">
        <v>524600</v>
      </c>
      <c r="K697" s="98">
        <f t="shared" si="30"/>
        <v>0</v>
      </c>
      <c r="L697" s="98" t="str">
        <f t="shared" si="31"/>
        <v>Lancar</v>
      </c>
      <c r="M697" s="5" t="str">
        <f t="shared" si="32"/>
        <v>001</v>
      </c>
      <c r="N697" s="55" t="str">
        <f>VLOOKUP(D697,Pinjaman!$E$7:$N$1900,10,FALSE)</f>
        <v>KESEJAHTERAAN</v>
      </c>
      <c r="O697" s="55">
        <f>VLOOKUP(B697,'Data Angt'!$A$5:$H$5810,6,FALSE)</f>
        <v>68</v>
      </c>
      <c r="P697" s="55" t="str">
        <f>VLOOKUP(B697,'Data Angt'!$A$5:$H$5810,8,FALSE)</f>
        <v>Wiraswasta</v>
      </c>
    </row>
    <row r="698" spans="1:16" x14ac:dyDescent="0.3">
      <c r="A698" s="8">
        <v>691</v>
      </c>
      <c r="B698" s="9" t="s">
        <v>15063</v>
      </c>
      <c r="C698" s="10" t="str">
        <f>VLOOKUP(B698,'Data Angt'!$A$5:$B$5809,2,FALSE)</f>
        <v>A5488</v>
      </c>
      <c r="D698" s="12" t="s">
        <v>22854</v>
      </c>
      <c r="E698" s="13">
        <v>45870</v>
      </c>
      <c r="F698" s="14">
        <v>45925</v>
      </c>
      <c r="G698" s="15">
        <v>1000000</v>
      </c>
      <c r="H698" s="16">
        <v>3</v>
      </c>
      <c r="I698" s="17">
        <v>24</v>
      </c>
      <c r="J698" s="15">
        <v>673200</v>
      </c>
      <c r="K698" s="98">
        <f t="shared" si="30"/>
        <v>0</v>
      </c>
      <c r="L698" s="98" t="str">
        <f t="shared" si="31"/>
        <v>Lancar</v>
      </c>
      <c r="M698" s="5" t="str">
        <f t="shared" si="32"/>
        <v>001</v>
      </c>
      <c r="N698" s="55" t="str">
        <f>VLOOKUP(D698,Pinjaman!$E$7:$N$1900,10,FALSE)</f>
        <v>PRODUKTIF</v>
      </c>
      <c r="O698" s="55">
        <f>VLOOKUP(B698,'Data Angt'!$A$5:$H$5810,6,FALSE)</f>
        <v>24</v>
      </c>
      <c r="P698" s="55" t="str">
        <f>VLOOKUP(B698,'Data Angt'!$A$5:$H$5810,8,FALSE)</f>
        <v>Karyawan</v>
      </c>
    </row>
    <row r="699" spans="1:16" x14ac:dyDescent="0.3">
      <c r="A699" s="8">
        <v>692</v>
      </c>
      <c r="B699" s="9" t="s">
        <v>15082</v>
      </c>
      <c r="C699" s="10" t="str">
        <f>VLOOKUP(B699,'Data Angt'!$A$5:$B$5809,2,FALSE)</f>
        <v>A5495</v>
      </c>
      <c r="D699" s="12" t="s">
        <v>22857</v>
      </c>
      <c r="E699" s="13">
        <v>45878</v>
      </c>
      <c r="F699" s="14">
        <v>45901</v>
      </c>
      <c r="G699" s="15">
        <v>1000000</v>
      </c>
      <c r="H699" s="16">
        <v>6</v>
      </c>
      <c r="I699" s="17">
        <v>24</v>
      </c>
      <c r="J699" s="15">
        <v>841400</v>
      </c>
      <c r="K699" s="98">
        <f t="shared" si="30"/>
        <v>0</v>
      </c>
      <c r="L699" s="98" t="str">
        <f t="shared" si="31"/>
        <v>Lancar</v>
      </c>
      <c r="M699" s="5" t="str">
        <f t="shared" si="32"/>
        <v>001</v>
      </c>
      <c r="N699" s="55" t="str">
        <f>VLOOKUP(D699,Pinjaman!$E$7:$N$1900,10,FALSE)</f>
        <v>PENDIDIKAN</v>
      </c>
      <c r="O699" s="55">
        <f>VLOOKUP(B699,'Data Angt'!$A$5:$H$5810,6,FALSE)</f>
        <v>33</v>
      </c>
      <c r="P699" s="55" t="str">
        <f>VLOOKUP(B699,'Data Angt'!$A$5:$H$5810,8,FALSE)</f>
        <v>Mengurus Rumah Tangga</v>
      </c>
    </row>
    <row r="700" spans="1:16" x14ac:dyDescent="0.3">
      <c r="A700" s="8">
        <v>693</v>
      </c>
      <c r="B700" s="9" t="s">
        <v>15097</v>
      </c>
      <c r="C700" s="10" t="str">
        <f>VLOOKUP(B700,'Data Angt'!$A$5:$B$5809,2,FALSE)</f>
        <v>A5503</v>
      </c>
      <c r="D700" s="12" t="s">
        <v>22859</v>
      </c>
      <c r="E700" s="13">
        <v>45875</v>
      </c>
      <c r="F700" s="14">
        <v>45908</v>
      </c>
      <c r="G700" s="15">
        <v>1000000</v>
      </c>
      <c r="H700" s="16">
        <v>10</v>
      </c>
      <c r="I700" s="17">
        <v>24</v>
      </c>
      <c r="J700" s="15">
        <v>908600</v>
      </c>
      <c r="K700" s="98">
        <f t="shared" si="30"/>
        <v>0</v>
      </c>
      <c r="L700" s="98" t="str">
        <f t="shared" si="31"/>
        <v>Lancar</v>
      </c>
      <c r="M700" s="5" t="str">
        <f t="shared" si="32"/>
        <v>001</v>
      </c>
      <c r="N700" s="55" t="str">
        <f>VLOOKUP(D700,Pinjaman!$E$7:$N$1900,10,FALSE)</f>
        <v>PRODUKTIF</v>
      </c>
      <c r="O700" s="55">
        <f>VLOOKUP(B700,'Data Angt'!$A$5:$H$5810,6,FALSE)</f>
        <v>37</v>
      </c>
      <c r="P700" s="55" t="str">
        <f>VLOOKUP(B700,'Data Angt'!$A$5:$H$5810,8,FALSE)</f>
        <v>Wiraswasta</v>
      </c>
    </row>
    <row r="701" spans="1:16" x14ac:dyDescent="0.3">
      <c r="A701" s="8">
        <v>694</v>
      </c>
      <c r="B701" s="9" t="s">
        <v>15115</v>
      </c>
      <c r="C701" s="10" t="str">
        <f>VLOOKUP(B701,'Data Angt'!$A$5:$B$5809,2,FALSE)</f>
        <v>A5512</v>
      </c>
      <c r="D701" s="12" t="s">
        <v>16389</v>
      </c>
      <c r="E701" s="13">
        <v>45785</v>
      </c>
      <c r="F701" s="14">
        <v>45922</v>
      </c>
      <c r="G701" s="15">
        <v>1000000</v>
      </c>
      <c r="H701" s="16">
        <v>5</v>
      </c>
      <c r="I701" s="17">
        <v>24</v>
      </c>
      <c r="J701" s="15">
        <v>411900</v>
      </c>
      <c r="K701" s="98">
        <f t="shared" si="30"/>
        <v>0</v>
      </c>
      <c r="L701" s="98" t="str">
        <f t="shared" si="31"/>
        <v>Lancar</v>
      </c>
      <c r="M701" s="5" t="str">
        <f t="shared" si="32"/>
        <v>001</v>
      </c>
      <c r="N701" s="55" t="str">
        <f>VLOOKUP(D701,Pinjaman!$E$7:$N$1900,10,FALSE)</f>
        <v>PRODUKTIF</v>
      </c>
      <c r="O701" s="55">
        <f>VLOOKUP(B701,'Data Angt'!$A$5:$H$5810,6,FALSE)</f>
        <v>48</v>
      </c>
      <c r="P701" s="55" t="str">
        <f>VLOOKUP(B701,'Data Angt'!$A$5:$H$5810,8,FALSE)</f>
        <v>Wiraswasta</v>
      </c>
    </row>
    <row r="702" spans="1:16" x14ac:dyDescent="0.3">
      <c r="A702" s="8">
        <v>695</v>
      </c>
      <c r="B702" s="9" t="s">
        <v>15118</v>
      </c>
      <c r="C702" s="10" t="str">
        <f>VLOOKUP(B702,'Data Angt'!$A$5:$B$5809,2,FALSE)</f>
        <v>A5513</v>
      </c>
      <c r="D702" s="12" t="s">
        <v>16391</v>
      </c>
      <c r="E702" s="13">
        <v>45785</v>
      </c>
      <c r="F702" s="14">
        <v>45908</v>
      </c>
      <c r="G702" s="15">
        <v>40000000</v>
      </c>
      <c r="H702" s="16">
        <v>30</v>
      </c>
      <c r="I702" s="17">
        <v>21</v>
      </c>
      <c r="J702" s="15">
        <v>35790500</v>
      </c>
      <c r="K702" s="98">
        <f t="shared" si="30"/>
        <v>0</v>
      </c>
      <c r="L702" s="98" t="str">
        <f t="shared" si="31"/>
        <v>Lancar</v>
      </c>
      <c r="M702" s="5" t="str">
        <f t="shared" si="32"/>
        <v>001</v>
      </c>
      <c r="N702" s="55" t="str">
        <f>VLOOKUP(D702,Pinjaman!$E$7:$N$1900,10,FALSE)</f>
        <v>KESEJAHTERAAN</v>
      </c>
      <c r="O702" s="55">
        <f>VLOOKUP(B702,'Data Angt'!$A$5:$H$5810,6,FALSE)</f>
        <v>21</v>
      </c>
      <c r="P702" s="55" t="str">
        <f>VLOOKUP(B702,'Data Angt'!$A$5:$H$5810,8,FALSE)</f>
        <v>Karyawan</v>
      </c>
    </row>
    <row r="703" spans="1:16" x14ac:dyDescent="0.3">
      <c r="A703" s="8">
        <v>696</v>
      </c>
      <c r="B703" s="9" t="s">
        <v>15124</v>
      </c>
      <c r="C703" s="10" t="str">
        <f>VLOOKUP(B703,'Data Angt'!$A$5:$B$5809,2,FALSE)</f>
        <v>A5515</v>
      </c>
      <c r="D703" s="12" t="s">
        <v>16393</v>
      </c>
      <c r="E703" s="13">
        <v>45787</v>
      </c>
      <c r="F703" s="14">
        <v>45922</v>
      </c>
      <c r="G703" s="15">
        <v>1000000</v>
      </c>
      <c r="H703" s="16">
        <v>5</v>
      </c>
      <c r="I703" s="17">
        <v>24</v>
      </c>
      <c r="J703" s="15">
        <v>411900</v>
      </c>
      <c r="K703" s="98">
        <f t="shared" si="30"/>
        <v>0</v>
      </c>
      <c r="L703" s="98" t="str">
        <f t="shared" si="31"/>
        <v>Lancar</v>
      </c>
      <c r="M703" s="5" t="str">
        <f t="shared" si="32"/>
        <v>001</v>
      </c>
      <c r="N703" s="55" t="str">
        <f>VLOOKUP(D703,Pinjaman!$E$7:$N$1900,10,FALSE)</f>
        <v>PRODUKTIF</v>
      </c>
      <c r="O703" s="55">
        <f>VLOOKUP(B703,'Data Angt'!$A$5:$H$5810,6,FALSE)</f>
        <v>49</v>
      </c>
      <c r="P703" s="55" t="str">
        <f>VLOOKUP(B703,'Data Angt'!$A$5:$H$5810,8,FALSE)</f>
        <v>Wiraswasta</v>
      </c>
    </row>
    <row r="704" spans="1:16" x14ac:dyDescent="0.3">
      <c r="A704" s="8">
        <v>697</v>
      </c>
      <c r="B704" s="9" t="s">
        <v>15127</v>
      </c>
      <c r="C704" s="10" t="str">
        <f>VLOOKUP(B704,'Data Angt'!$A$5:$B$5809,2,FALSE)</f>
        <v>A5516</v>
      </c>
      <c r="D704" s="12" t="s">
        <v>16395</v>
      </c>
      <c r="E704" s="13">
        <v>45787</v>
      </c>
      <c r="F704" s="14">
        <v>45922</v>
      </c>
      <c r="G704" s="15">
        <v>1000000</v>
      </c>
      <c r="H704" s="16">
        <v>5</v>
      </c>
      <c r="I704" s="17">
        <v>24</v>
      </c>
      <c r="J704" s="15">
        <v>411900</v>
      </c>
      <c r="K704" s="98">
        <f t="shared" si="30"/>
        <v>0</v>
      </c>
      <c r="L704" s="98" t="str">
        <f t="shared" si="31"/>
        <v>Lancar</v>
      </c>
      <c r="M704" s="5" t="str">
        <f t="shared" si="32"/>
        <v>001</v>
      </c>
      <c r="N704" s="55" t="str">
        <f>VLOOKUP(D704,Pinjaman!$E$7:$N$1900,10,FALSE)</f>
        <v>PRODUKTIF</v>
      </c>
      <c r="O704" s="55">
        <f>VLOOKUP(B704,'Data Angt'!$A$5:$H$5810,6,FALSE)</f>
        <v>57</v>
      </c>
      <c r="P704" s="55" t="str">
        <f>VLOOKUP(B704,'Data Angt'!$A$5:$H$5810,8,FALSE)</f>
        <v>Mengurus Rumah Tangga</v>
      </c>
    </row>
    <row r="705" spans="1:16" x14ac:dyDescent="0.3">
      <c r="A705" s="8">
        <v>698</v>
      </c>
      <c r="B705" s="9" t="s">
        <v>15128</v>
      </c>
      <c r="C705" s="10" t="str">
        <f>VLOOKUP(B705,'Data Angt'!$A$5:$B$5809,2,FALSE)</f>
        <v>A5517</v>
      </c>
      <c r="D705" s="12" t="s">
        <v>16397</v>
      </c>
      <c r="E705" s="13">
        <v>45787</v>
      </c>
      <c r="F705" s="14">
        <v>45922</v>
      </c>
      <c r="G705" s="15">
        <v>1000000</v>
      </c>
      <c r="H705" s="16">
        <v>5</v>
      </c>
      <c r="I705" s="17">
        <v>24</v>
      </c>
      <c r="J705" s="15">
        <v>411900</v>
      </c>
      <c r="K705" s="98">
        <f t="shared" si="30"/>
        <v>0</v>
      </c>
      <c r="L705" s="98" t="str">
        <f t="shared" si="31"/>
        <v>Lancar</v>
      </c>
      <c r="M705" s="5" t="str">
        <f t="shared" si="32"/>
        <v>001</v>
      </c>
      <c r="N705" s="55" t="str">
        <f>VLOOKUP(D705,Pinjaman!$E$7:$N$1900,10,FALSE)</f>
        <v>PRODUKTIF</v>
      </c>
      <c r="O705" s="55">
        <f>VLOOKUP(B705,'Data Angt'!$A$5:$H$5810,6,FALSE)</f>
        <v>58</v>
      </c>
      <c r="P705" s="55" t="str">
        <f>VLOOKUP(B705,'Data Angt'!$A$5:$H$5810,8,FALSE)</f>
        <v>Wiraswasta</v>
      </c>
    </row>
    <row r="706" spans="1:16" x14ac:dyDescent="0.3">
      <c r="A706" s="8">
        <v>699</v>
      </c>
      <c r="B706" s="9" t="s">
        <v>15130</v>
      </c>
      <c r="C706" s="10" t="str">
        <f>VLOOKUP(B706,'Data Angt'!$A$5:$B$5809,2,FALSE)</f>
        <v>A5518</v>
      </c>
      <c r="D706" s="12" t="s">
        <v>16399</v>
      </c>
      <c r="E706" s="13">
        <v>45787</v>
      </c>
      <c r="F706" s="14">
        <v>45922</v>
      </c>
      <c r="G706" s="15">
        <v>1000000</v>
      </c>
      <c r="H706" s="16">
        <v>5</v>
      </c>
      <c r="I706" s="17">
        <v>24</v>
      </c>
      <c r="J706" s="15">
        <v>411900</v>
      </c>
      <c r="K706" s="98">
        <f t="shared" si="30"/>
        <v>0</v>
      </c>
      <c r="L706" s="98" t="str">
        <f t="shared" si="31"/>
        <v>Lancar</v>
      </c>
      <c r="M706" s="5" t="str">
        <f t="shared" si="32"/>
        <v>001</v>
      </c>
      <c r="N706" s="55" t="str">
        <f>VLOOKUP(D706,Pinjaman!$E$7:$N$1900,10,FALSE)</f>
        <v>PRODUKTIF</v>
      </c>
      <c r="O706" s="55">
        <f>VLOOKUP(B706,'Data Angt'!$A$5:$H$5810,6,FALSE)</f>
        <v>35</v>
      </c>
      <c r="P706" s="55" t="str">
        <f>VLOOKUP(B706,'Data Angt'!$A$5:$H$5810,8,FALSE)</f>
        <v>Wiraswasta</v>
      </c>
    </row>
    <row r="707" spans="1:16" x14ac:dyDescent="0.3">
      <c r="A707" s="8">
        <v>700</v>
      </c>
      <c r="B707" s="9" t="s">
        <v>15132</v>
      </c>
      <c r="C707" s="10" t="str">
        <f>VLOOKUP(B707,'Data Angt'!$A$5:$B$5809,2,FALSE)</f>
        <v>A5519</v>
      </c>
      <c r="D707" s="12" t="s">
        <v>16401</v>
      </c>
      <c r="E707" s="13">
        <v>45787</v>
      </c>
      <c r="F707" s="14">
        <v>45922</v>
      </c>
      <c r="G707" s="15">
        <v>1000000</v>
      </c>
      <c r="H707" s="16">
        <v>5</v>
      </c>
      <c r="I707" s="17">
        <v>24</v>
      </c>
      <c r="J707" s="15">
        <v>411900</v>
      </c>
      <c r="K707" s="98">
        <f t="shared" si="30"/>
        <v>0</v>
      </c>
      <c r="L707" s="98" t="str">
        <f t="shared" si="31"/>
        <v>Lancar</v>
      </c>
      <c r="M707" s="5" t="str">
        <f t="shared" si="32"/>
        <v>001</v>
      </c>
      <c r="N707" s="55" t="str">
        <f>VLOOKUP(D707,Pinjaman!$E$7:$N$1900,10,FALSE)</f>
        <v>PRODUKTIF</v>
      </c>
      <c r="O707" s="55">
        <f>VLOOKUP(B707,'Data Angt'!$A$5:$H$5810,6,FALSE)</f>
        <v>27</v>
      </c>
      <c r="P707" s="55" t="str">
        <f>VLOOKUP(B707,'Data Angt'!$A$5:$H$5810,8,FALSE)</f>
        <v>Mengurus Rumah Tangga</v>
      </c>
    </row>
    <row r="708" spans="1:16" x14ac:dyDescent="0.3">
      <c r="A708" s="8">
        <v>701</v>
      </c>
      <c r="B708" s="9" t="s">
        <v>15135</v>
      </c>
      <c r="C708" s="10" t="str">
        <f>VLOOKUP(B708,'Data Angt'!$A$5:$B$5809,2,FALSE)</f>
        <v>A5521</v>
      </c>
      <c r="D708" s="12" t="s">
        <v>16403</v>
      </c>
      <c r="E708" s="13">
        <v>45798</v>
      </c>
      <c r="F708" s="14">
        <v>45929</v>
      </c>
      <c r="G708" s="15">
        <v>15000000</v>
      </c>
      <c r="H708" s="16">
        <v>12</v>
      </c>
      <c r="I708" s="17">
        <v>24</v>
      </c>
      <c r="J708" s="15">
        <v>10390600</v>
      </c>
      <c r="K708" s="98">
        <f t="shared" si="30"/>
        <v>0</v>
      </c>
      <c r="L708" s="98" t="str">
        <f t="shared" si="31"/>
        <v>Lancar</v>
      </c>
      <c r="M708" s="5" t="str">
        <f t="shared" si="32"/>
        <v>001</v>
      </c>
      <c r="N708" s="55" t="str">
        <f>VLOOKUP(D708,Pinjaman!$E$7:$N$1900,10,FALSE)</f>
        <v>PRODUKTIF</v>
      </c>
      <c r="O708" s="55">
        <f>VLOOKUP(B708,'Data Angt'!$A$5:$H$5810,6,FALSE)</f>
        <v>50</v>
      </c>
      <c r="P708" s="55" t="str">
        <f>VLOOKUP(B708,'Data Angt'!$A$5:$H$5810,8,FALSE)</f>
        <v>Wiraswasta</v>
      </c>
    </row>
    <row r="709" spans="1:16" x14ac:dyDescent="0.3">
      <c r="A709" s="8">
        <v>702</v>
      </c>
      <c r="B709" s="9" t="s">
        <v>15137</v>
      </c>
      <c r="C709" s="10" t="str">
        <f>VLOOKUP(B709,'Data Angt'!$A$5:$B$5809,2,FALSE)</f>
        <v>A5522</v>
      </c>
      <c r="D709" s="12" t="s">
        <v>16406</v>
      </c>
      <c r="E709" s="13">
        <v>45791</v>
      </c>
      <c r="F709" s="14">
        <v>45908</v>
      </c>
      <c r="G709" s="15">
        <v>1000000</v>
      </c>
      <c r="H709" s="16">
        <v>10</v>
      </c>
      <c r="I709" s="17">
        <v>24</v>
      </c>
      <c r="J709" s="15">
        <v>623500</v>
      </c>
      <c r="K709" s="98">
        <f t="shared" si="30"/>
        <v>0</v>
      </c>
      <c r="L709" s="98" t="str">
        <f t="shared" si="31"/>
        <v>Lancar</v>
      </c>
      <c r="M709" s="5" t="str">
        <f t="shared" si="32"/>
        <v>001</v>
      </c>
      <c r="N709" s="55" t="str">
        <f>VLOOKUP(D709,Pinjaman!$E$7:$N$1900,10,FALSE)</f>
        <v>PENDIDIKAN</v>
      </c>
      <c r="O709" s="55">
        <f>VLOOKUP(B709,'Data Angt'!$A$5:$H$5810,6,FALSE)</f>
        <v>40</v>
      </c>
      <c r="P709" s="55" t="str">
        <f>VLOOKUP(B709,'Data Angt'!$A$5:$H$5810,8,FALSE)</f>
        <v>Karyawan</v>
      </c>
    </row>
    <row r="710" spans="1:16" x14ac:dyDescent="0.3">
      <c r="A710" s="8">
        <v>703</v>
      </c>
      <c r="B710" s="9" t="s">
        <v>15140</v>
      </c>
      <c r="C710" s="10" t="str">
        <f>VLOOKUP(B710,'Data Angt'!$A$5:$B$5809,2,FALSE)</f>
        <v>A5523</v>
      </c>
      <c r="D710" s="12" t="s">
        <v>16408</v>
      </c>
      <c r="E710" s="13">
        <v>45791</v>
      </c>
      <c r="F710" s="14">
        <v>45910</v>
      </c>
      <c r="G710" s="15">
        <v>1000000</v>
      </c>
      <c r="H710" s="16">
        <v>10</v>
      </c>
      <c r="I710" s="17">
        <v>24</v>
      </c>
      <c r="J710" s="15">
        <v>623500</v>
      </c>
      <c r="K710" s="98">
        <f t="shared" si="30"/>
        <v>0</v>
      </c>
      <c r="L710" s="98" t="str">
        <f t="shared" si="31"/>
        <v>Lancar</v>
      </c>
      <c r="M710" s="5" t="str">
        <f t="shared" si="32"/>
        <v>001</v>
      </c>
      <c r="N710" s="55" t="str">
        <f>VLOOKUP(D710,Pinjaman!$E$7:$N$1900,10,FALSE)</f>
        <v>PENDIDIKAN</v>
      </c>
      <c r="O710" s="55">
        <f>VLOOKUP(B710,'Data Angt'!$A$5:$H$5810,6,FALSE)</f>
        <v>35</v>
      </c>
      <c r="P710" s="55" t="str">
        <f>VLOOKUP(B710,'Data Angt'!$A$5:$H$5810,8,FALSE)</f>
        <v>Karyawan</v>
      </c>
    </row>
    <row r="711" spans="1:16" x14ac:dyDescent="0.3">
      <c r="A711" s="8">
        <v>704</v>
      </c>
      <c r="B711" s="9" t="s">
        <v>15160</v>
      </c>
      <c r="C711" s="10" t="str">
        <f>VLOOKUP(B711,'Data Angt'!$A$5:$B$5809,2,FALSE)</f>
        <v>A5533</v>
      </c>
      <c r="D711" s="12" t="s">
        <v>22862</v>
      </c>
      <c r="E711" s="13">
        <v>45890</v>
      </c>
      <c r="F711" s="14">
        <v>45923</v>
      </c>
      <c r="G711" s="15">
        <v>600000</v>
      </c>
      <c r="H711" s="16">
        <v>4</v>
      </c>
      <c r="I711" s="17">
        <v>24</v>
      </c>
      <c r="J711" s="15">
        <v>454400</v>
      </c>
      <c r="K711" s="98">
        <f t="shared" si="30"/>
        <v>0</v>
      </c>
      <c r="L711" s="98" t="str">
        <f t="shared" si="31"/>
        <v>Lancar</v>
      </c>
      <c r="M711" s="5" t="str">
        <f t="shared" si="32"/>
        <v>001</v>
      </c>
      <c r="N711" s="55" t="str">
        <f>VLOOKUP(D711,Pinjaman!$E$7:$N$1900,10,FALSE)</f>
        <v>PRODUKTIF</v>
      </c>
      <c r="O711" s="55">
        <f>VLOOKUP(B711,'Data Angt'!$A$5:$H$5810,6,FALSE)</f>
        <v>55</v>
      </c>
      <c r="P711" s="55" t="str">
        <f>VLOOKUP(B711,'Data Angt'!$A$5:$H$5810,8,FALSE)</f>
        <v>Wiraswasta</v>
      </c>
    </row>
    <row r="712" spans="1:16" x14ac:dyDescent="0.3">
      <c r="A712" s="8">
        <v>705</v>
      </c>
      <c r="B712" s="9" t="s">
        <v>15186</v>
      </c>
      <c r="C712" s="10" t="str">
        <f>VLOOKUP(B712,'Data Angt'!$A$5:$B$5809,2,FALSE)</f>
        <v>A5543</v>
      </c>
      <c r="D712" s="12" t="s">
        <v>22864</v>
      </c>
      <c r="E712" s="13">
        <v>45852</v>
      </c>
      <c r="F712" s="14">
        <v>45919</v>
      </c>
      <c r="G712" s="15">
        <v>9000000</v>
      </c>
      <c r="H712" s="16">
        <v>24</v>
      </c>
      <c r="I712" s="17">
        <v>24</v>
      </c>
      <c r="J712" s="15">
        <v>8402300</v>
      </c>
      <c r="K712" s="98">
        <f t="shared" si="30"/>
        <v>0</v>
      </c>
      <c r="L712" s="98" t="str">
        <f t="shared" si="31"/>
        <v>Lancar</v>
      </c>
      <c r="M712" s="5" t="str">
        <f t="shared" si="32"/>
        <v>001</v>
      </c>
      <c r="N712" s="55" t="str">
        <f>VLOOKUP(D712,Pinjaman!$E$7:$N$1900,10,FALSE)</f>
        <v>PENDIDIKAN</v>
      </c>
      <c r="O712" s="55">
        <f>VLOOKUP(B712,'Data Angt'!$A$5:$H$5810,6,FALSE)</f>
        <v>51</v>
      </c>
      <c r="P712" s="55" t="str">
        <f>VLOOKUP(B712,'Data Angt'!$A$5:$H$5810,8,FALSE)</f>
        <v>Mengurus Rumah Tangga</v>
      </c>
    </row>
    <row r="713" spans="1:16" x14ac:dyDescent="0.3">
      <c r="A713" s="8">
        <v>706</v>
      </c>
      <c r="B713" s="9" t="s">
        <v>15191</v>
      </c>
      <c r="C713" s="10" t="str">
        <f>VLOOKUP(B713,'Data Angt'!$A$5:$B$5809,2,FALSE)</f>
        <v>A5546</v>
      </c>
      <c r="D713" s="12" t="s">
        <v>16410</v>
      </c>
      <c r="E713" s="13">
        <v>45805</v>
      </c>
      <c r="F713" s="14">
        <v>45901</v>
      </c>
      <c r="G713" s="15">
        <v>1500000</v>
      </c>
      <c r="H713" s="16">
        <v>3</v>
      </c>
      <c r="I713" s="17">
        <v>24</v>
      </c>
      <c r="J713" s="15">
        <v>1009800</v>
      </c>
      <c r="K713" s="98">
        <f t="shared" ref="K713:K776" si="33">DATEDIF(F713,$K$6,"m")</f>
        <v>0</v>
      </c>
      <c r="L713" s="98" t="str">
        <f t="shared" ref="L713:L776" si="34">IF(K713&lt;=3,"Lancar",IF(K713&lt;=6,"Kurang lancar",IF(K713&lt;=12,"Diragukan","Macet")))</f>
        <v>Lancar</v>
      </c>
      <c r="M713" s="5" t="str">
        <f t="shared" ref="M713:M776" si="35">MID(B713,7,3)</f>
        <v>001</v>
      </c>
      <c r="N713" s="55" t="str">
        <f>VLOOKUP(D713,Pinjaman!$E$7:$N$1900,10,FALSE)</f>
        <v>PRODUKTIF</v>
      </c>
      <c r="O713" s="55">
        <f>VLOOKUP(B713,'Data Angt'!$A$5:$H$5810,6,FALSE)</f>
        <v>50</v>
      </c>
      <c r="P713" s="55" t="str">
        <f>VLOOKUP(B713,'Data Angt'!$A$5:$H$5810,8,FALSE)</f>
        <v>Wiraswasta</v>
      </c>
    </row>
    <row r="714" spans="1:16" x14ac:dyDescent="0.3">
      <c r="A714" s="8">
        <v>707</v>
      </c>
      <c r="B714" s="9" t="s">
        <v>15195</v>
      </c>
      <c r="C714" s="10" t="str">
        <f>VLOOKUP(B714,'Data Angt'!$A$5:$B$5809,2,FALSE)</f>
        <v>A5548</v>
      </c>
      <c r="D714" s="12" t="s">
        <v>16412</v>
      </c>
      <c r="E714" s="13">
        <v>45801</v>
      </c>
      <c r="F714" s="14">
        <v>45929</v>
      </c>
      <c r="G714" s="15">
        <v>2000000</v>
      </c>
      <c r="H714" s="16">
        <v>12</v>
      </c>
      <c r="I714" s="17">
        <v>24</v>
      </c>
      <c r="J714" s="15">
        <v>1385200</v>
      </c>
      <c r="K714" s="98">
        <f t="shared" si="33"/>
        <v>0</v>
      </c>
      <c r="L714" s="98" t="str">
        <f t="shared" si="34"/>
        <v>Lancar</v>
      </c>
      <c r="M714" s="5" t="str">
        <f t="shared" si="35"/>
        <v>001</v>
      </c>
      <c r="N714" s="55" t="str">
        <f>VLOOKUP(D714,Pinjaman!$E$7:$N$1900,10,FALSE)</f>
        <v>KESEJAHTERAAN</v>
      </c>
      <c r="O714" s="55">
        <f>VLOOKUP(B714,'Data Angt'!$A$5:$H$5810,6,FALSE)</f>
        <v>29</v>
      </c>
      <c r="P714" s="55" t="str">
        <f>VLOOKUP(B714,'Data Angt'!$A$5:$H$5810,8,FALSE)</f>
        <v>Tenaga Pengajar</v>
      </c>
    </row>
    <row r="715" spans="1:16" x14ac:dyDescent="0.3">
      <c r="A715" s="8">
        <v>708</v>
      </c>
      <c r="B715" s="9" t="s">
        <v>15203</v>
      </c>
      <c r="C715" s="10" t="str">
        <f>VLOOKUP(B715,'Data Angt'!$A$5:$B$5809,2,FALSE)</f>
        <v>A5551</v>
      </c>
      <c r="D715" s="12" t="s">
        <v>22867</v>
      </c>
      <c r="E715" s="13">
        <v>45883</v>
      </c>
      <c r="F715" s="14">
        <v>45927</v>
      </c>
      <c r="G715" s="15">
        <v>2500000</v>
      </c>
      <c r="H715" s="16">
        <v>10</v>
      </c>
      <c r="I715" s="17">
        <v>24</v>
      </c>
      <c r="J715" s="15">
        <v>2271600</v>
      </c>
      <c r="K715" s="98">
        <f t="shared" si="33"/>
        <v>0</v>
      </c>
      <c r="L715" s="98" t="str">
        <f t="shared" si="34"/>
        <v>Lancar</v>
      </c>
      <c r="M715" s="5" t="str">
        <f t="shared" si="35"/>
        <v>001</v>
      </c>
      <c r="N715" s="55" t="str">
        <f>VLOOKUP(D715,Pinjaman!$E$7:$N$1900,10,FALSE)</f>
        <v>KESEHATAN</v>
      </c>
      <c r="O715" s="55">
        <f>VLOOKUP(B715,'Data Angt'!$A$5:$H$5810,6,FALSE)</f>
        <v>26</v>
      </c>
      <c r="P715" s="55" t="str">
        <f>VLOOKUP(B715,'Data Angt'!$A$5:$H$5810,8,FALSE)</f>
        <v>Karyawan</v>
      </c>
    </row>
    <row r="716" spans="1:16" x14ac:dyDescent="0.3">
      <c r="A716" s="8">
        <v>709</v>
      </c>
      <c r="B716" s="9" t="s">
        <v>15205</v>
      </c>
      <c r="C716" s="10" t="str">
        <f>VLOOKUP(B716,'Data Angt'!$A$5:$B$5809,2,FALSE)</f>
        <v>A5552</v>
      </c>
      <c r="D716" s="12" t="s">
        <v>16414</v>
      </c>
      <c r="E716" s="13">
        <v>45804</v>
      </c>
      <c r="F716" s="14">
        <v>45927</v>
      </c>
      <c r="G716" s="15">
        <v>2000000</v>
      </c>
      <c r="H716" s="16">
        <v>10</v>
      </c>
      <c r="I716" s="17">
        <v>24</v>
      </c>
      <c r="J716" s="15">
        <v>1247200</v>
      </c>
      <c r="K716" s="98">
        <f t="shared" si="33"/>
        <v>0</v>
      </c>
      <c r="L716" s="98" t="str">
        <f t="shared" si="34"/>
        <v>Lancar</v>
      </c>
      <c r="M716" s="5" t="str">
        <f t="shared" si="35"/>
        <v>001</v>
      </c>
      <c r="N716" s="55" t="str">
        <f>VLOOKUP(D716,Pinjaman!$E$7:$N$1900,10,FALSE)</f>
        <v>KONSUMTIF</v>
      </c>
      <c r="O716" s="55">
        <f>VLOOKUP(B716,'Data Angt'!$A$5:$H$5810,6,FALSE)</f>
        <v>21</v>
      </c>
      <c r="P716" s="55" t="str">
        <f>VLOOKUP(B716,'Data Angt'!$A$5:$H$5810,8,FALSE)</f>
        <v>Karyawan</v>
      </c>
    </row>
    <row r="717" spans="1:16" x14ac:dyDescent="0.3">
      <c r="A717" s="8">
        <v>710</v>
      </c>
      <c r="B717" s="9" t="s">
        <v>15207</v>
      </c>
      <c r="C717" s="10" t="str">
        <f>VLOOKUP(B717,'Data Angt'!$A$5:$B$5809,2,FALSE)</f>
        <v>A5553</v>
      </c>
      <c r="D717" s="12" t="s">
        <v>22870</v>
      </c>
      <c r="E717" s="13">
        <v>45887</v>
      </c>
      <c r="F717" s="14">
        <v>45926</v>
      </c>
      <c r="G717" s="15">
        <v>2500000</v>
      </c>
      <c r="H717" s="16">
        <v>10</v>
      </c>
      <c r="I717" s="17">
        <v>24</v>
      </c>
      <c r="J717" s="15">
        <v>2271600</v>
      </c>
      <c r="K717" s="98">
        <f t="shared" si="33"/>
        <v>0</v>
      </c>
      <c r="L717" s="98" t="str">
        <f t="shared" si="34"/>
        <v>Lancar</v>
      </c>
      <c r="M717" s="5" t="str">
        <f t="shared" si="35"/>
        <v>001</v>
      </c>
      <c r="N717" s="55" t="str">
        <f>VLOOKUP(D717,Pinjaman!$E$7:$N$1900,10,FALSE)</f>
        <v>KESEHATAN</v>
      </c>
      <c r="O717" s="55">
        <f>VLOOKUP(B717,'Data Angt'!$A$5:$H$5810,6,FALSE)</f>
        <v>28</v>
      </c>
      <c r="P717" s="55" t="str">
        <f>VLOOKUP(B717,'Data Angt'!$A$5:$H$5810,8,FALSE)</f>
        <v>Karyawan</v>
      </c>
    </row>
    <row r="718" spans="1:16" x14ac:dyDescent="0.3">
      <c r="A718" s="8">
        <v>711</v>
      </c>
      <c r="B718" s="9" t="s">
        <v>15212</v>
      </c>
      <c r="C718" s="10" t="str">
        <f>VLOOKUP(B718,'Data Angt'!$A$5:$B$5809,2,FALSE)</f>
        <v>A5555</v>
      </c>
      <c r="D718" s="12" t="s">
        <v>22873</v>
      </c>
      <c r="E718" s="13">
        <v>45876</v>
      </c>
      <c r="F718" s="14">
        <v>45901</v>
      </c>
      <c r="G718" s="15">
        <v>2500000</v>
      </c>
      <c r="H718" s="16">
        <v>6</v>
      </c>
      <c r="I718" s="17">
        <v>24</v>
      </c>
      <c r="J718" s="15">
        <v>2103600</v>
      </c>
      <c r="K718" s="98">
        <f t="shared" si="33"/>
        <v>0</v>
      </c>
      <c r="L718" s="98" t="str">
        <f t="shared" si="34"/>
        <v>Lancar</v>
      </c>
      <c r="M718" s="5" t="str">
        <f t="shared" si="35"/>
        <v>001</v>
      </c>
      <c r="N718" s="55" t="str">
        <f>VLOOKUP(D718,Pinjaman!$E$7:$N$1900,10,FALSE)</f>
        <v>KONSUMTIF</v>
      </c>
      <c r="O718" s="55">
        <f>VLOOKUP(B718,'Data Angt'!$A$5:$H$5810,6,FALSE)</f>
        <v>42</v>
      </c>
      <c r="P718" s="55" t="str">
        <f>VLOOKUP(B718,'Data Angt'!$A$5:$H$5810,8,FALSE)</f>
        <v>Wiraswasta</v>
      </c>
    </row>
    <row r="719" spans="1:16" x14ac:dyDescent="0.3">
      <c r="A719" s="8">
        <v>712</v>
      </c>
      <c r="B719" s="9" t="s">
        <v>15237</v>
      </c>
      <c r="C719" s="10" t="str">
        <f>VLOOKUP(B719,'Data Angt'!$A$5:$B$5809,2,FALSE)</f>
        <v>A5565</v>
      </c>
      <c r="D719" s="12" t="s">
        <v>16416</v>
      </c>
      <c r="E719" s="13">
        <v>45812</v>
      </c>
      <c r="F719" s="14">
        <v>45904</v>
      </c>
      <c r="G719" s="15">
        <v>2000000</v>
      </c>
      <c r="H719" s="16">
        <v>12</v>
      </c>
      <c r="I719" s="17">
        <v>24</v>
      </c>
      <c r="J719" s="15">
        <v>1543500</v>
      </c>
      <c r="K719" s="98">
        <f t="shared" si="33"/>
        <v>0</v>
      </c>
      <c r="L719" s="98" t="str">
        <f t="shared" si="34"/>
        <v>Lancar</v>
      </c>
      <c r="M719" s="5" t="str">
        <f t="shared" si="35"/>
        <v>001</v>
      </c>
      <c r="N719" s="55" t="str">
        <f>VLOOKUP(D719,Pinjaman!$E$7:$N$1900,10,FALSE)</f>
        <v>KONSUMTIF</v>
      </c>
      <c r="O719" s="55">
        <f>VLOOKUP(B719,'Data Angt'!$A$5:$H$5810,6,FALSE)</f>
        <v>21</v>
      </c>
      <c r="P719" s="55" t="str">
        <f>VLOOKUP(B719,'Data Angt'!$A$5:$H$5810,8,FALSE)</f>
        <v>Karyawan</v>
      </c>
    </row>
    <row r="720" spans="1:16" x14ac:dyDescent="0.3">
      <c r="A720" s="8">
        <v>713</v>
      </c>
      <c r="B720" s="9" t="s">
        <v>15255</v>
      </c>
      <c r="C720" s="10" t="str">
        <f>VLOOKUP(B720,'Data Angt'!$A$5:$B$5809,2,FALSE)</f>
        <v>A5573</v>
      </c>
      <c r="D720" s="12" t="s">
        <v>22876</v>
      </c>
      <c r="E720" s="13">
        <v>45925</v>
      </c>
      <c r="F720" s="14">
        <v>45925</v>
      </c>
      <c r="G720" s="15">
        <v>3000000</v>
      </c>
      <c r="H720" s="16">
        <v>12</v>
      </c>
      <c r="I720" s="17">
        <v>24</v>
      </c>
      <c r="J720" s="15">
        <v>3000000</v>
      </c>
      <c r="K720" s="98">
        <f t="shared" si="33"/>
        <v>0</v>
      </c>
      <c r="L720" s="98" t="str">
        <f t="shared" si="34"/>
        <v>Lancar</v>
      </c>
      <c r="M720" s="5" t="str">
        <f t="shared" si="35"/>
        <v>001</v>
      </c>
      <c r="N720" s="55" t="str">
        <f>VLOOKUP(D720,Pinjaman!$E$7:$N$1900,10,FALSE)</f>
        <v>KONSUMTIF</v>
      </c>
      <c r="O720" s="55">
        <f>VLOOKUP(B720,'Data Angt'!$A$5:$H$5810,6,FALSE)</f>
        <v>29</v>
      </c>
      <c r="P720" s="55" t="str">
        <f>VLOOKUP(B720,'Data Angt'!$A$5:$H$5810,8,FALSE)</f>
        <v>Karyawan</v>
      </c>
    </row>
    <row r="721" spans="1:16" x14ac:dyDescent="0.3">
      <c r="A721" s="8">
        <v>714</v>
      </c>
      <c r="B721" s="9" t="s">
        <v>15267</v>
      </c>
      <c r="C721" s="10" t="str">
        <f>VLOOKUP(B721,'Data Angt'!$A$5:$B$5809,2,FALSE)</f>
        <v>A5581</v>
      </c>
      <c r="D721" s="12" t="s">
        <v>16418</v>
      </c>
      <c r="E721" s="13">
        <v>45821</v>
      </c>
      <c r="F721" s="14">
        <v>45913</v>
      </c>
      <c r="G721" s="15">
        <v>3500000</v>
      </c>
      <c r="H721" s="16">
        <v>6</v>
      </c>
      <c r="I721" s="17">
        <v>24</v>
      </c>
      <c r="J721" s="15">
        <v>1801900</v>
      </c>
      <c r="K721" s="98">
        <f t="shared" si="33"/>
        <v>0</v>
      </c>
      <c r="L721" s="98" t="str">
        <f t="shared" si="34"/>
        <v>Lancar</v>
      </c>
      <c r="M721" s="5" t="str">
        <f t="shared" si="35"/>
        <v>001</v>
      </c>
      <c r="N721" s="55" t="str">
        <f>VLOOKUP(D721,Pinjaman!$E$7:$N$1900,10,FALSE)</f>
        <v>KONSUMTIF</v>
      </c>
      <c r="O721" s="55">
        <f>VLOOKUP(B721,'Data Angt'!$A$5:$H$5810,6,FALSE)</f>
        <v>42</v>
      </c>
      <c r="P721" s="55" t="str">
        <f>VLOOKUP(B721,'Data Angt'!$A$5:$H$5810,8,FALSE)</f>
        <v>Mengurus Rumah Tangga</v>
      </c>
    </row>
    <row r="722" spans="1:16" x14ac:dyDescent="0.3">
      <c r="A722" s="8">
        <v>715</v>
      </c>
      <c r="B722" s="9" t="s">
        <v>15288</v>
      </c>
      <c r="C722" s="10" t="str">
        <f>VLOOKUP(B722,'Data Angt'!$A$5:$B$5809,2,FALSE)</f>
        <v>A5592</v>
      </c>
      <c r="D722" s="12" t="s">
        <v>16421</v>
      </c>
      <c r="E722" s="13">
        <v>45834</v>
      </c>
      <c r="F722" s="14">
        <v>45908</v>
      </c>
      <c r="G722" s="15">
        <v>3600000</v>
      </c>
      <c r="H722" s="16">
        <v>8</v>
      </c>
      <c r="I722" s="17">
        <v>24</v>
      </c>
      <c r="J722" s="15">
        <v>2316300</v>
      </c>
      <c r="K722" s="98">
        <f t="shared" si="33"/>
        <v>0</v>
      </c>
      <c r="L722" s="98" t="str">
        <f t="shared" si="34"/>
        <v>Lancar</v>
      </c>
      <c r="M722" s="5" t="str">
        <f t="shared" si="35"/>
        <v>001</v>
      </c>
      <c r="N722" s="55" t="str">
        <f>VLOOKUP(D722,Pinjaman!$E$7:$N$1900,10,FALSE)</f>
        <v>PRODUKTIF</v>
      </c>
      <c r="O722" s="55">
        <f>VLOOKUP(B722,'Data Angt'!$A$5:$H$5810,6,FALSE)</f>
        <v>38</v>
      </c>
      <c r="P722" s="55" t="str">
        <f>VLOOKUP(B722,'Data Angt'!$A$5:$H$5810,8,FALSE)</f>
        <v>Karyawan</v>
      </c>
    </row>
    <row r="723" spans="1:16" x14ac:dyDescent="0.3">
      <c r="A723" s="8">
        <v>716</v>
      </c>
      <c r="B723" s="9" t="s">
        <v>15291</v>
      </c>
      <c r="C723" s="10" t="str">
        <f>VLOOKUP(B723,'Data Angt'!$A$5:$B$5809,2,FALSE)</f>
        <v>A5593</v>
      </c>
      <c r="D723" s="12" t="s">
        <v>16424</v>
      </c>
      <c r="E723" s="13">
        <v>45831</v>
      </c>
      <c r="F723" s="14">
        <v>45923</v>
      </c>
      <c r="G723" s="15">
        <v>38500000</v>
      </c>
      <c r="H723" s="16">
        <v>36</v>
      </c>
      <c r="I723" s="17">
        <v>21</v>
      </c>
      <c r="J723" s="15">
        <v>36128900</v>
      </c>
      <c r="K723" s="98">
        <f t="shared" si="33"/>
        <v>0</v>
      </c>
      <c r="L723" s="98" t="str">
        <f t="shared" si="34"/>
        <v>Lancar</v>
      </c>
      <c r="M723" s="5" t="str">
        <f t="shared" si="35"/>
        <v>001</v>
      </c>
      <c r="N723" s="55" t="str">
        <f>VLOOKUP(D723,Pinjaman!$E$7:$N$1900,10,FALSE)</f>
        <v>KONSUMTIF</v>
      </c>
      <c r="O723" s="55">
        <f>VLOOKUP(B723,'Data Angt'!$A$5:$H$5810,6,FALSE)</f>
        <v>20</v>
      </c>
      <c r="P723" s="55" t="str">
        <f>VLOOKUP(B723,'Data Angt'!$A$5:$H$5810,8,FALSE)</f>
        <v>Pelajar/Mahasiswa</v>
      </c>
    </row>
    <row r="724" spans="1:16" x14ac:dyDescent="0.3">
      <c r="A724" s="8">
        <v>717</v>
      </c>
      <c r="B724" s="9" t="s">
        <v>15311</v>
      </c>
      <c r="C724" s="10" t="str">
        <f>VLOOKUP(B724,'Data Angt'!$A$5:$B$5809,2,FALSE)</f>
        <v>A5601</v>
      </c>
      <c r="D724" s="12" t="s">
        <v>22879</v>
      </c>
      <c r="E724" s="13">
        <v>45841</v>
      </c>
      <c r="F724" s="14">
        <v>45903</v>
      </c>
      <c r="G724" s="15">
        <v>5000000</v>
      </c>
      <c r="H724" s="16">
        <v>12</v>
      </c>
      <c r="I724" s="17">
        <v>24</v>
      </c>
      <c r="J724" s="15">
        <v>4247000</v>
      </c>
      <c r="K724" s="98">
        <f t="shared" si="33"/>
        <v>0</v>
      </c>
      <c r="L724" s="98" t="str">
        <f t="shared" si="34"/>
        <v>Lancar</v>
      </c>
      <c r="M724" s="5" t="str">
        <f t="shared" si="35"/>
        <v>001</v>
      </c>
      <c r="N724" s="55" t="str">
        <f>VLOOKUP(D724,Pinjaman!$E$7:$N$1900,10,FALSE)</f>
        <v>KONSUMTIF</v>
      </c>
      <c r="O724" s="55">
        <f>VLOOKUP(B724,'Data Angt'!$A$5:$H$5810,6,FALSE)</f>
        <v>19</v>
      </c>
      <c r="P724" s="55" t="str">
        <f>VLOOKUP(B724,'Data Angt'!$A$5:$H$5810,8,FALSE)</f>
        <v>Pelajar/Mahasiswa</v>
      </c>
    </row>
    <row r="725" spans="1:16" x14ac:dyDescent="0.3">
      <c r="A725" s="8">
        <v>718</v>
      </c>
      <c r="B725" s="9" t="s">
        <v>15320</v>
      </c>
      <c r="C725" s="10" t="str">
        <f>VLOOKUP(B725,'Data Angt'!$A$5:$B$5809,2,FALSE)</f>
        <v>A5605</v>
      </c>
      <c r="D725" s="12" t="s">
        <v>22881</v>
      </c>
      <c r="E725" s="13">
        <v>45869</v>
      </c>
      <c r="F725" s="14">
        <v>45926</v>
      </c>
      <c r="G725" s="15">
        <v>1250000</v>
      </c>
      <c r="H725" s="16">
        <v>6</v>
      </c>
      <c r="I725" s="17">
        <v>24</v>
      </c>
      <c r="J725" s="15">
        <v>849700</v>
      </c>
      <c r="K725" s="98">
        <f t="shared" si="33"/>
        <v>0</v>
      </c>
      <c r="L725" s="98" t="str">
        <f t="shared" si="34"/>
        <v>Lancar</v>
      </c>
      <c r="M725" s="5" t="str">
        <f t="shared" si="35"/>
        <v>001</v>
      </c>
      <c r="N725" s="55" t="str">
        <f>VLOOKUP(D725,Pinjaman!$E$7:$N$1900,10,FALSE)</f>
        <v>PRODUKTIF</v>
      </c>
      <c r="O725" s="55">
        <f>VLOOKUP(B725,'Data Angt'!$A$5:$H$5810,6,FALSE)</f>
        <v>50</v>
      </c>
      <c r="P725" s="55" t="str">
        <f>VLOOKUP(B725,'Data Angt'!$A$5:$H$5810,8,FALSE)</f>
        <v>Mengurus Rumah Tangga</v>
      </c>
    </row>
    <row r="726" spans="1:16" x14ac:dyDescent="0.3">
      <c r="A726" s="8">
        <v>719</v>
      </c>
      <c r="B726" s="9" t="s">
        <v>15329</v>
      </c>
      <c r="C726" s="10" t="str">
        <f>VLOOKUP(B726,'Data Angt'!$A$5:$B$5809,2,FALSE)</f>
        <v>A5609</v>
      </c>
      <c r="D726" s="12" t="s">
        <v>22884</v>
      </c>
      <c r="E726" s="13">
        <v>45867</v>
      </c>
      <c r="F726" s="14">
        <v>45926</v>
      </c>
      <c r="G726" s="15">
        <v>2000000</v>
      </c>
      <c r="H726" s="16">
        <v>5</v>
      </c>
      <c r="I726" s="17">
        <v>24</v>
      </c>
      <c r="J726" s="15">
        <v>1223600</v>
      </c>
      <c r="K726" s="98">
        <f t="shared" si="33"/>
        <v>0</v>
      </c>
      <c r="L726" s="98" t="str">
        <f t="shared" si="34"/>
        <v>Lancar</v>
      </c>
      <c r="M726" s="5" t="str">
        <f t="shared" si="35"/>
        <v>001</v>
      </c>
      <c r="N726" s="55" t="str">
        <f>VLOOKUP(D726,Pinjaman!$E$7:$N$1900,10,FALSE)</f>
        <v>PRODUKTIF</v>
      </c>
      <c r="O726" s="55">
        <f>VLOOKUP(B726,'Data Angt'!$A$5:$H$5810,6,FALSE)</f>
        <v>50</v>
      </c>
      <c r="P726" s="55" t="str">
        <f>VLOOKUP(B726,'Data Angt'!$A$5:$H$5810,8,FALSE)</f>
        <v>Wiraswasta</v>
      </c>
    </row>
    <row r="727" spans="1:16" x14ac:dyDescent="0.3">
      <c r="A727" s="8">
        <v>720</v>
      </c>
      <c r="B727" s="9" t="s">
        <v>18865</v>
      </c>
      <c r="C727" s="10" t="str">
        <f>VLOOKUP(B727,'Data Angt'!$A$5:$B$5809,2,FALSE)</f>
        <v>A5612</v>
      </c>
      <c r="D727" s="12" t="s">
        <v>22886</v>
      </c>
      <c r="E727" s="13">
        <v>45845</v>
      </c>
      <c r="F727" s="14">
        <v>45903</v>
      </c>
      <c r="G727" s="15">
        <v>10000000</v>
      </c>
      <c r="H727" s="16">
        <v>18</v>
      </c>
      <c r="I727" s="17">
        <v>24</v>
      </c>
      <c r="J727" s="15">
        <v>9056500</v>
      </c>
      <c r="K727" s="98">
        <f t="shared" si="33"/>
        <v>0</v>
      </c>
      <c r="L727" s="98" t="str">
        <f t="shared" si="34"/>
        <v>Lancar</v>
      </c>
      <c r="M727" s="5" t="str">
        <f t="shared" si="35"/>
        <v>001</v>
      </c>
      <c r="N727" s="55" t="str">
        <f>VLOOKUP(D727,Pinjaman!$E$7:$N$1900,10,FALSE)</f>
        <v>KESEJAHTERAAN</v>
      </c>
      <c r="O727" s="55">
        <f>VLOOKUP(B727,'Data Angt'!$A$5:$H$5810,6,FALSE)</f>
        <v>34</v>
      </c>
      <c r="P727" s="55" t="str">
        <f>VLOOKUP(B727,'Data Angt'!$A$5:$H$5810,8,FALSE)</f>
        <v>Karyawan</v>
      </c>
    </row>
    <row r="728" spans="1:16" x14ac:dyDescent="0.3">
      <c r="A728" s="8">
        <v>721</v>
      </c>
      <c r="B728" s="9" t="s">
        <v>18938</v>
      </c>
      <c r="C728" s="10" t="str">
        <f>VLOOKUP(B728,'Data Angt'!$A$5:$B$5809,2,FALSE)</f>
        <v>A5643</v>
      </c>
      <c r="D728" s="12" t="s">
        <v>22888</v>
      </c>
      <c r="E728" s="13">
        <v>45888</v>
      </c>
      <c r="F728" s="14">
        <v>45917</v>
      </c>
      <c r="G728" s="15">
        <v>1000000</v>
      </c>
      <c r="H728" s="16">
        <v>3</v>
      </c>
      <c r="I728" s="17">
        <v>24</v>
      </c>
      <c r="J728" s="15">
        <v>673200</v>
      </c>
      <c r="K728" s="98">
        <f t="shared" si="33"/>
        <v>0</v>
      </c>
      <c r="L728" s="98" t="str">
        <f t="shared" si="34"/>
        <v>Lancar</v>
      </c>
      <c r="M728" s="5" t="str">
        <f t="shared" si="35"/>
        <v>001</v>
      </c>
      <c r="N728" s="55" t="str">
        <f>VLOOKUP(D728,Pinjaman!$E$7:$N$1900,10,FALSE)</f>
        <v>PRODUKTIF</v>
      </c>
      <c r="O728" s="55">
        <f>VLOOKUP(B728,'Data Angt'!$A$5:$H$5810,6,FALSE)</f>
        <v>30</v>
      </c>
      <c r="P728" s="55" t="str">
        <f>VLOOKUP(B728,'Data Angt'!$A$5:$H$5810,8,FALSE)</f>
        <v>Wiraswasta</v>
      </c>
    </row>
    <row r="729" spans="1:16" x14ac:dyDescent="0.3">
      <c r="A729" s="8">
        <v>722</v>
      </c>
      <c r="B729" s="9" t="s">
        <v>19035</v>
      </c>
      <c r="C729" s="10" t="str">
        <f>VLOOKUP(B729,'Data Angt'!$A$5:$B$5809,2,FALSE)</f>
        <v>A5688</v>
      </c>
      <c r="D729" s="12" t="s">
        <v>22890</v>
      </c>
      <c r="E729" s="13">
        <v>45876</v>
      </c>
      <c r="F729" s="14">
        <v>45930</v>
      </c>
      <c r="G729" s="15">
        <v>3000000</v>
      </c>
      <c r="H729" s="16">
        <v>6</v>
      </c>
      <c r="I729" s="17">
        <v>24</v>
      </c>
      <c r="J729" s="15">
        <v>2524400</v>
      </c>
      <c r="K729" s="98">
        <f t="shared" si="33"/>
        <v>0</v>
      </c>
      <c r="L729" s="98" t="str">
        <f t="shared" si="34"/>
        <v>Lancar</v>
      </c>
      <c r="M729" s="5" t="str">
        <f t="shared" si="35"/>
        <v>001</v>
      </c>
      <c r="N729" s="55" t="str">
        <f>VLOOKUP(D729,Pinjaman!$E$7:$N$1900,10,FALSE)</f>
        <v>PRODUKTIF</v>
      </c>
      <c r="O729" s="55">
        <f>VLOOKUP(B729,'Data Angt'!$A$5:$H$5810,6,FALSE)</f>
        <v>26</v>
      </c>
      <c r="P729" s="55" t="str">
        <f>VLOOKUP(B729,'Data Angt'!$A$5:$H$5810,8,FALSE)</f>
        <v>Karyawan</v>
      </c>
    </row>
    <row r="730" spans="1:16" x14ac:dyDescent="0.3">
      <c r="A730" s="8">
        <v>723</v>
      </c>
      <c r="B730" s="9" t="s">
        <v>19039</v>
      </c>
      <c r="C730" s="10" t="str">
        <f>VLOOKUP(B730,'Data Angt'!$A$5:$B$5809,2,FALSE)</f>
        <v>A5690</v>
      </c>
      <c r="D730" s="12" t="s">
        <v>22892</v>
      </c>
      <c r="E730" s="13">
        <v>45883</v>
      </c>
      <c r="F730" s="14">
        <v>45913</v>
      </c>
      <c r="G730" s="15">
        <v>5000000</v>
      </c>
      <c r="H730" s="16">
        <v>12</v>
      </c>
      <c r="I730" s="17">
        <v>24</v>
      </c>
      <c r="J730" s="15">
        <v>4627200</v>
      </c>
      <c r="K730" s="98">
        <f t="shared" si="33"/>
        <v>0</v>
      </c>
      <c r="L730" s="98" t="str">
        <f t="shared" si="34"/>
        <v>Lancar</v>
      </c>
      <c r="M730" s="5" t="str">
        <f t="shared" si="35"/>
        <v>001</v>
      </c>
      <c r="N730" s="55" t="str">
        <f>VLOOKUP(D730,Pinjaman!$E$7:$N$1900,10,FALSE)</f>
        <v>KONSUMTIF</v>
      </c>
      <c r="O730" s="55">
        <f>VLOOKUP(B730,'Data Angt'!$A$5:$H$5810,6,FALSE)</f>
        <v>43</v>
      </c>
      <c r="P730" s="55" t="str">
        <f>VLOOKUP(B730,'Data Angt'!$A$5:$H$5810,8,FALSE)</f>
        <v>Lain-Lain</v>
      </c>
    </row>
    <row r="731" spans="1:16" x14ac:dyDescent="0.3">
      <c r="A731" s="8">
        <v>724</v>
      </c>
      <c r="B731" s="9" t="s">
        <v>19220</v>
      </c>
      <c r="C731" s="10" t="str">
        <f>VLOOKUP(B731,'Data Angt'!$A$5:$B$5809,2,FALSE)</f>
        <v>A5773</v>
      </c>
      <c r="D731" s="12" t="s">
        <v>22896</v>
      </c>
      <c r="E731" s="13">
        <v>45910</v>
      </c>
      <c r="F731" s="14">
        <v>45910</v>
      </c>
      <c r="G731" s="15">
        <v>2000000</v>
      </c>
      <c r="H731" s="16">
        <v>10</v>
      </c>
      <c r="I731" s="17">
        <v>24</v>
      </c>
      <c r="J731" s="15">
        <v>2000000</v>
      </c>
      <c r="K731" s="98">
        <f t="shared" si="33"/>
        <v>0</v>
      </c>
      <c r="L731" s="98" t="str">
        <f t="shared" si="34"/>
        <v>Lancar</v>
      </c>
      <c r="M731" s="5" t="str">
        <f t="shared" si="35"/>
        <v>001</v>
      </c>
      <c r="N731" s="55" t="str">
        <f>VLOOKUP(D731,Pinjaman!$E$7:$N$1900,10,FALSE)</f>
        <v>PRODUKTIF</v>
      </c>
      <c r="O731" s="55">
        <f>VLOOKUP(B731,'Data Angt'!$A$5:$H$5810,6,FALSE)</f>
        <v>29</v>
      </c>
      <c r="P731" s="55" t="str">
        <f>VLOOKUP(B731,'Data Angt'!$A$5:$H$5810,8,FALSE)</f>
        <v>Karyawan</v>
      </c>
    </row>
    <row r="732" spans="1:16" x14ac:dyDescent="0.3">
      <c r="A732" s="8">
        <v>725</v>
      </c>
      <c r="B732" s="9" t="s">
        <v>19252</v>
      </c>
      <c r="C732" s="10" t="str">
        <f>VLOOKUP(B732,'Data Angt'!$A$5:$B$5809,2,FALSE)</f>
        <v>A5786</v>
      </c>
      <c r="D732" s="12" t="s">
        <v>22899</v>
      </c>
      <c r="E732" s="13">
        <v>45920</v>
      </c>
      <c r="F732" s="14">
        <v>45920</v>
      </c>
      <c r="G732" s="15">
        <v>3000000</v>
      </c>
      <c r="H732" s="16">
        <v>6</v>
      </c>
      <c r="I732" s="17">
        <v>24</v>
      </c>
      <c r="J732" s="15">
        <v>3000000</v>
      </c>
      <c r="K732" s="98">
        <f t="shared" si="33"/>
        <v>0</v>
      </c>
      <c r="L732" s="98" t="str">
        <f t="shared" si="34"/>
        <v>Lancar</v>
      </c>
      <c r="M732" s="5" t="str">
        <f t="shared" si="35"/>
        <v>001</v>
      </c>
      <c r="N732" s="55" t="str">
        <f>VLOOKUP(D732,Pinjaman!$E$7:$N$1900,10,FALSE)</f>
        <v>KESEJAHTERAAN</v>
      </c>
      <c r="O732" s="55">
        <f>VLOOKUP(B732,'Data Angt'!$A$5:$H$5810,6,FALSE)</f>
        <v>21</v>
      </c>
      <c r="P732" s="55" t="str">
        <f>VLOOKUP(B732,'Data Angt'!$A$5:$H$5810,8,FALSE)</f>
        <v>Karyawan</v>
      </c>
    </row>
    <row r="733" spans="1:16" x14ac:dyDescent="0.3">
      <c r="A733" s="8">
        <v>726</v>
      </c>
      <c r="B733" s="9" t="s">
        <v>16426</v>
      </c>
      <c r="C733" s="10" t="e">
        <f>VLOOKUP(B733,'Data Angt'!$A$5:$B$5809,2,FALSE)</f>
        <v>#N/A</v>
      </c>
      <c r="D733" s="12" t="s">
        <v>16427</v>
      </c>
      <c r="E733" s="13">
        <v>45764</v>
      </c>
      <c r="F733" s="14">
        <v>45917</v>
      </c>
      <c r="G733" s="15">
        <v>2500000000</v>
      </c>
      <c r="H733" s="16">
        <v>70</v>
      </c>
      <c r="I733" s="17">
        <v>6</v>
      </c>
      <c r="J733" s="15">
        <v>2348914400</v>
      </c>
      <c r="K733" s="98">
        <f t="shared" si="33"/>
        <v>0</v>
      </c>
      <c r="L733" s="98" t="str">
        <f t="shared" si="34"/>
        <v>Lancar</v>
      </c>
      <c r="M733" s="5" t="str">
        <f t="shared" si="35"/>
        <v>001</v>
      </c>
      <c r="N733" s="55" t="str">
        <f>VLOOKUP(D733,Pinjaman!$E$7:$N$1900,10,FALSE)</f>
        <v>PRODUKTIF</v>
      </c>
      <c r="O733" s="55" t="e">
        <f>VLOOKUP(B733,'Data Angt'!$A$5:$H$5810,6,FALSE)</f>
        <v>#N/A</v>
      </c>
      <c r="P733" s="55" t="e">
        <f>VLOOKUP(B733,'Data Angt'!$A$5:$H$5810,8,FALSE)</f>
        <v>#N/A</v>
      </c>
    </row>
    <row r="734" spans="1:16" x14ac:dyDescent="0.3">
      <c r="A734" s="8">
        <v>727</v>
      </c>
      <c r="B734" s="9" t="s">
        <v>455</v>
      </c>
      <c r="C734" s="10" t="str">
        <f>VLOOKUP(B734,'Data Angt'!$A$5:$B$5809,2,FALSE)</f>
        <v>A160</v>
      </c>
      <c r="D734" s="12" t="s">
        <v>16430</v>
      </c>
      <c r="E734" s="13">
        <v>45710</v>
      </c>
      <c r="F734" s="14">
        <v>45922</v>
      </c>
      <c r="G734" s="15">
        <v>10000000</v>
      </c>
      <c r="H734" s="16">
        <v>36</v>
      </c>
      <c r="I734" s="17">
        <v>24</v>
      </c>
      <c r="J734" s="15">
        <v>8570000</v>
      </c>
      <c r="K734" s="98">
        <f t="shared" si="33"/>
        <v>0</v>
      </c>
      <c r="L734" s="98" t="str">
        <f t="shared" si="34"/>
        <v>Lancar</v>
      </c>
      <c r="M734" s="5" t="str">
        <f t="shared" si="35"/>
        <v>002</v>
      </c>
      <c r="N734" s="55" t="str">
        <f>VLOOKUP(D734,Pinjaman!$E$7:$N$1900,10,FALSE)</f>
        <v>KONSUMTIF</v>
      </c>
      <c r="O734" s="55">
        <f>VLOOKUP(B734,'Data Angt'!$A$5:$H$5810,6,FALSE)</f>
        <v>65</v>
      </c>
      <c r="P734" s="55" t="str">
        <f>VLOOKUP(B734,'Data Angt'!$A$5:$H$5810,8,FALSE)</f>
        <v>Pensiunan</v>
      </c>
    </row>
    <row r="735" spans="1:16" x14ac:dyDescent="0.3">
      <c r="A735" s="8">
        <v>728</v>
      </c>
      <c r="B735" s="9" t="s">
        <v>458</v>
      </c>
      <c r="C735" s="10" t="str">
        <f>VLOOKUP(B735,'Data Angt'!$A$5:$B$5809,2,FALSE)</f>
        <v>A161</v>
      </c>
      <c r="D735" s="12" t="s">
        <v>10218</v>
      </c>
      <c r="E735" s="13">
        <v>44968</v>
      </c>
      <c r="F735" s="14">
        <v>45908</v>
      </c>
      <c r="G735" s="15">
        <v>15000000</v>
      </c>
      <c r="H735" s="16">
        <v>48</v>
      </c>
      <c r="I735" s="17">
        <v>24</v>
      </c>
      <c r="J735" s="15">
        <v>6988100</v>
      </c>
      <c r="K735" s="98">
        <f t="shared" si="33"/>
        <v>0</v>
      </c>
      <c r="L735" s="98" t="str">
        <f t="shared" si="34"/>
        <v>Lancar</v>
      </c>
      <c r="M735" s="5" t="str">
        <f t="shared" si="35"/>
        <v>002</v>
      </c>
      <c r="N735" s="55" t="str">
        <f>VLOOKUP(D735,Pinjaman!$E$7:$N$1900,10,FALSE)</f>
        <v>KONSUMTIF</v>
      </c>
      <c r="O735" s="55">
        <f>VLOOKUP(B735,'Data Angt'!$A$5:$H$5810,6,FALSE)</f>
        <v>68</v>
      </c>
      <c r="P735" s="55" t="str">
        <f>VLOOKUP(B735,'Data Angt'!$A$5:$H$5810,8,FALSE)</f>
        <v>Pensiunan</v>
      </c>
    </row>
    <row r="736" spans="1:16" x14ac:dyDescent="0.3">
      <c r="A736" s="8">
        <v>729</v>
      </c>
      <c r="B736" s="9" t="s">
        <v>461</v>
      </c>
      <c r="C736" s="10" t="str">
        <f>VLOOKUP(B736,'Data Angt'!$A$5:$B$5809,2,FALSE)</f>
        <v>A162</v>
      </c>
      <c r="D736" s="12" t="s">
        <v>10221</v>
      </c>
      <c r="E736" s="13">
        <v>44081</v>
      </c>
      <c r="F736" s="14">
        <v>45908</v>
      </c>
      <c r="G736" s="15">
        <v>125000000</v>
      </c>
      <c r="H736" s="16">
        <v>120</v>
      </c>
      <c r="I736" s="17">
        <v>11.4</v>
      </c>
      <c r="J736" s="15">
        <v>79771300</v>
      </c>
      <c r="K736" s="98">
        <f t="shared" si="33"/>
        <v>0</v>
      </c>
      <c r="L736" s="98" t="str">
        <f t="shared" si="34"/>
        <v>Lancar</v>
      </c>
      <c r="M736" s="5" t="str">
        <f t="shared" si="35"/>
        <v>002</v>
      </c>
      <c r="N736" s="55" t="str">
        <f>VLOOKUP(D736,Pinjaman!$E$7:$N$1900,10,FALSE)</f>
        <v>KESEJAHTERAAN</v>
      </c>
      <c r="O736" s="55">
        <f>VLOOKUP(B736,'Data Angt'!$A$5:$H$5810,6,FALSE)</f>
        <v>65</v>
      </c>
      <c r="P736" s="55" t="str">
        <f>VLOOKUP(B736,'Data Angt'!$A$5:$H$5810,8,FALSE)</f>
        <v>Pensiunan</v>
      </c>
    </row>
    <row r="737" spans="1:16" x14ac:dyDescent="0.3">
      <c r="A737" s="8">
        <v>730</v>
      </c>
      <c r="B737" s="9" t="s">
        <v>479</v>
      </c>
      <c r="C737" s="10" t="str">
        <f>VLOOKUP(B737,'Data Angt'!$A$5:$B$5809,2,FALSE)</f>
        <v>A169</v>
      </c>
      <c r="D737" s="12" t="s">
        <v>10223</v>
      </c>
      <c r="E737" s="13">
        <v>45259</v>
      </c>
      <c r="F737" s="14">
        <v>45908</v>
      </c>
      <c r="G737" s="15">
        <v>11000000</v>
      </c>
      <c r="H737" s="16">
        <v>24</v>
      </c>
      <c r="I737" s="17">
        <v>11.64</v>
      </c>
      <c r="J737" s="15">
        <v>1017300</v>
      </c>
      <c r="K737" s="98">
        <f t="shared" si="33"/>
        <v>0</v>
      </c>
      <c r="L737" s="98" t="str">
        <f t="shared" si="34"/>
        <v>Lancar</v>
      </c>
      <c r="M737" s="5" t="str">
        <f t="shared" si="35"/>
        <v>002</v>
      </c>
      <c r="N737" s="55" t="str">
        <f>VLOOKUP(D737,Pinjaman!$E$7:$N$1900,10,FALSE)</f>
        <v>KONSUMTIF</v>
      </c>
      <c r="O737" s="55">
        <f>VLOOKUP(B737,'Data Angt'!$A$5:$H$5810,6,FALSE)</f>
        <v>51</v>
      </c>
      <c r="P737" s="55" t="str">
        <f>VLOOKUP(B737,'Data Angt'!$A$5:$H$5810,8,FALSE)</f>
        <v>Karyawan</v>
      </c>
    </row>
    <row r="738" spans="1:16" x14ac:dyDescent="0.3">
      <c r="A738" s="8">
        <v>731</v>
      </c>
      <c r="B738" s="9" t="s">
        <v>514</v>
      </c>
      <c r="C738" s="10" t="str">
        <f>VLOOKUP(B738,'Data Angt'!$A$5:$B$5809,2,FALSE)</f>
        <v>A184</v>
      </c>
      <c r="D738" s="12" t="s">
        <v>16433</v>
      </c>
      <c r="E738" s="13">
        <v>45596</v>
      </c>
      <c r="F738" s="14">
        <v>45929</v>
      </c>
      <c r="G738" s="15">
        <v>6000000</v>
      </c>
      <c r="H738" s="16">
        <v>12</v>
      </c>
      <c r="I738" s="17">
        <v>11.88</v>
      </c>
      <c r="J738" s="15">
        <v>527500</v>
      </c>
      <c r="K738" s="98">
        <f t="shared" si="33"/>
        <v>0</v>
      </c>
      <c r="L738" s="98" t="str">
        <f t="shared" si="34"/>
        <v>Lancar</v>
      </c>
      <c r="M738" s="5" t="str">
        <f t="shared" si="35"/>
        <v>002</v>
      </c>
      <c r="N738" s="55" t="str">
        <f>VLOOKUP(D738,Pinjaman!$E$7:$N$1900,10,FALSE)</f>
        <v>KONSUMTIF</v>
      </c>
      <c r="O738" s="55">
        <f>VLOOKUP(B738,'Data Angt'!$A$5:$H$5810,6,FALSE)</f>
        <v>64</v>
      </c>
      <c r="P738" s="55" t="str">
        <f>VLOOKUP(B738,'Data Angt'!$A$5:$H$5810,8,FALSE)</f>
        <v>Pensiunan</v>
      </c>
    </row>
    <row r="739" spans="1:16" x14ac:dyDescent="0.3">
      <c r="A739" s="8">
        <v>732</v>
      </c>
      <c r="B739" s="9" t="s">
        <v>538</v>
      </c>
      <c r="C739" s="10" t="str">
        <f>VLOOKUP(B739,'Data Angt'!$A$5:$B$5809,2,FALSE)</f>
        <v>A194</v>
      </c>
      <c r="D739" s="12" t="s">
        <v>10226</v>
      </c>
      <c r="E739" s="13">
        <v>40773</v>
      </c>
      <c r="F739" s="14">
        <v>45808</v>
      </c>
      <c r="G739" s="15">
        <v>100000000</v>
      </c>
      <c r="H739" s="16">
        <v>60</v>
      </c>
      <c r="I739" s="17">
        <v>21</v>
      </c>
      <c r="J739" s="15">
        <v>63332600</v>
      </c>
      <c r="K739" s="98">
        <f t="shared" si="33"/>
        <v>3</v>
      </c>
      <c r="L739" s="98" t="str">
        <f t="shared" si="34"/>
        <v>Lancar</v>
      </c>
      <c r="M739" s="5" t="str">
        <f t="shared" si="35"/>
        <v>002</v>
      </c>
      <c r="N739" s="55">
        <f>VLOOKUP(D739,Pinjaman!$E$7:$N$1900,10,FALSE)</f>
        <v>0</v>
      </c>
      <c r="O739" s="55">
        <f>VLOOKUP(B739,'Data Angt'!$A$5:$H$5810,6,FALSE)</f>
        <v>61</v>
      </c>
      <c r="P739" s="55" t="str">
        <f>VLOOKUP(B739,'Data Angt'!$A$5:$H$5810,8,FALSE)</f>
        <v>Petani/Pekebun/Nelayan</v>
      </c>
    </row>
    <row r="740" spans="1:16" x14ac:dyDescent="0.3">
      <c r="A740" s="8">
        <v>733</v>
      </c>
      <c r="B740" s="9" t="s">
        <v>691</v>
      </c>
      <c r="C740" s="10" t="str">
        <f>VLOOKUP(B740,'Data Angt'!$A$5:$B$5809,2,FALSE)</f>
        <v>A256</v>
      </c>
      <c r="D740" s="12" t="s">
        <v>16435</v>
      </c>
      <c r="E740" s="13">
        <v>45496</v>
      </c>
      <c r="F740" s="14">
        <v>45923</v>
      </c>
      <c r="G740" s="15">
        <v>15000000</v>
      </c>
      <c r="H740" s="16">
        <v>24</v>
      </c>
      <c r="I740" s="17">
        <v>24</v>
      </c>
      <c r="J740" s="15">
        <v>7761800</v>
      </c>
      <c r="K740" s="98">
        <f t="shared" si="33"/>
        <v>0</v>
      </c>
      <c r="L740" s="98" t="str">
        <f t="shared" si="34"/>
        <v>Lancar</v>
      </c>
      <c r="M740" s="5" t="str">
        <f t="shared" si="35"/>
        <v>002</v>
      </c>
      <c r="N740" s="55" t="str">
        <f>VLOOKUP(D740,Pinjaman!$E$7:$N$1900,10,FALSE)</f>
        <v>KONSUMTIF</v>
      </c>
      <c r="O740" s="55">
        <f>VLOOKUP(B740,'Data Angt'!$A$5:$H$5810,6,FALSE)</f>
        <v>62</v>
      </c>
      <c r="P740" s="55" t="str">
        <f>VLOOKUP(B740,'Data Angt'!$A$5:$H$5810,8,FALSE)</f>
        <v>Pensiunan</v>
      </c>
    </row>
    <row r="741" spans="1:16" x14ac:dyDescent="0.3">
      <c r="A741" s="8">
        <v>734</v>
      </c>
      <c r="B741" s="9" t="s">
        <v>714</v>
      </c>
      <c r="C741" s="10" t="str">
        <f>VLOOKUP(B741,'Data Angt'!$A$5:$B$5809,2,FALSE)</f>
        <v>A265</v>
      </c>
      <c r="D741" s="12" t="s">
        <v>16437</v>
      </c>
      <c r="E741" s="13">
        <v>45359</v>
      </c>
      <c r="F741" s="14">
        <v>45911</v>
      </c>
      <c r="G741" s="15">
        <v>25000000</v>
      </c>
      <c r="H741" s="16">
        <v>48</v>
      </c>
      <c r="I741" s="17">
        <v>21</v>
      </c>
      <c r="J741" s="15">
        <v>17956900</v>
      </c>
      <c r="K741" s="98">
        <f t="shared" si="33"/>
        <v>0</v>
      </c>
      <c r="L741" s="98" t="str">
        <f t="shared" si="34"/>
        <v>Lancar</v>
      </c>
      <c r="M741" s="5" t="str">
        <f t="shared" si="35"/>
        <v>002</v>
      </c>
      <c r="N741" s="55" t="str">
        <f>VLOOKUP(D741,Pinjaman!$E$7:$N$1900,10,FALSE)</f>
        <v>PRODUKTIF</v>
      </c>
      <c r="O741" s="55">
        <f>VLOOKUP(B741,'Data Angt'!$A$5:$H$5810,6,FALSE)</f>
        <v>51</v>
      </c>
      <c r="P741" s="55" t="str">
        <f>VLOOKUP(B741,'Data Angt'!$A$5:$H$5810,8,FALSE)</f>
        <v>Wiraswasta</v>
      </c>
    </row>
    <row r="742" spans="1:16" x14ac:dyDescent="0.3">
      <c r="A742" s="8">
        <v>735</v>
      </c>
      <c r="B742" s="9" t="s">
        <v>714</v>
      </c>
      <c r="C742" s="10" t="str">
        <f>VLOOKUP(B742,'Data Angt'!$A$5:$B$5809,2,FALSE)</f>
        <v>A265</v>
      </c>
      <c r="D742" s="12" t="s">
        <v>22903</v>
      </c>
      <c r="E742" s="13">
        <v>45856</v>
      </c>
      <c r="F742" s="14">
        <v>45922</v>
      </c>
      <c r="G742" s="15">
        <v>2000000</v>
      </c>
      <c r="H742" s="16">
        <v>12</v>
      </c>
      <c r="I742" s="17">
        <v>24</v>
      </c>
      <c r="J742" s="15">
        <v>1698700</v>
      </c>
      <c r="K742" s="98">
        <f t="shared" si="33"/>
        <v>0</v>
      </c>
      <c r="L742" s="98" t="str">
        <f t="shared" si="34"/>
        <v>Lancar</v>
      </c>
      <c r="M742" s="5" t="str">
        <f t="shared" si="35"/>
        <v>002</v>
      </c>
      <c r="N742" s="55" t="str">
        <f>VLOOKUP(D742,Pinjaman!$E$7:$N$1900,10,FALSE)</f>
        <v>PRODUKTIF</v>
      </c>
      <c r="O742" s="55">
        <f>VLOOKUP(B742,'Data Angt'!$A$5:$H$5810,6,FALSE)</f>
        <v>51</v>
      </c>
      <c r="P742" s="55" t="str">
        <f>VLOOKUP(B742,'Data Angt'!$A$5:$H$5810,8,FALSE)</f>
        <v>Wiraswasta</v>
      </c>
    </row>
    <row r="743" spans="1:16" x14ac:dyDescent="0.3">
      <c r="A743" s="8">
        <v>736</v>
      </c>
      <c r="B743" s="9" t="s">
        <v>771</v>
      </c>
      <c r="C743" s="10" t="str">
        <f>VLOOKUP(B743,'Data Angt'!$A$5:$B$5809,2,FALSE)</f>
        <v>A286</v>
      </c>
      <c r="D743" s="12" t="s">
        <v>10227</v>
      </c>
      <c r="E743" s="13">
        <v>41710</v>
      </c>
      <c r="F743" s="14">
        <v>44251</v>
      </c>
      <c r="G743" s="15">
        <v>50000000</v>
      </c>
      <c r="H743" s="16">
        <v>36</v>
      </c>
      <c r="I743" s="17">
        <v>21</v>
      </c>
      <c r="J743" s="15">
        <v>45833300</v>
      </c>
      <c r="K743" s="98">
        <f t="shared" si="33"/>
        <v>55</v>
      </c>
      <c r="L743" s="98" t="str">
        <f t="shared" si="34"/>
        <v>Macet</v>
      </c>
      <c r="M743" s="5" t="str">
        <f t="shared" si="35"/>
        <v>002</v>
      </c>
      <c r="N743" s="55">
        <f>VLOOKUP(D743,Pinjaman!$E$7:$N$1900,10,FALSE)</f>
        <v>0</v>
      </c>
      <c r="O743" s="55">
        <f>VLOOKUP(B743,'Data Angt'!$A$5:$H$5810,6,FALSE)</f>
        <v>62</v>
      </c>
      <c r="P743" s="55" t="str">
        <f>VLOOKUP(B743,'Data Angt'!$A$5:$H$5810,8,FALSE)</f>
        <v>Wiraswasta</v>
      </c>
    </row>
    <row r="744" spans="1:16" x14ac:dyDescent="0.3">
      <c r="A744" s="8">
        <v>737</v>
      </c>
      <c r="B744" s="9" t="s">
        <v>836</v>
      </c>
      <c r="C744" s="10" t="str">
        <f>VLOOKUP(B744,'Data Angt'!$A$5:$B$5809,2,FALSE)</f>
        <v>A312</v>
      </c>
      <c r="D744" s="12" t="s">
        <v>10228</v>
      </c>
      <c r="E744" s="13">
        <v>43546</v>
      </c>
      <c r="F744" s="14">
        <v>44439</v>
      </c>
      <c r="G744" s="15">
        <v>20000000</v>
      </c>
      <c r="H744" s="16">
        <v>48</v>
      </c>
      <c r="I744" s="17">
        <v>24</v>
      </c>
      <c r="J744" s="15">
        <v>13126700</v>
      </c>
      <c r="K744" s="98">
        <f t="shared" si="33"/>
        <v>48</v>
      </c>
      <c r="L744" s="98" t="str">
        <f t="shared" si="34"/>
        <v>Macet</v>
      </c>
      <c r="M744" s="5" t="str">
        <f t="shared" si="35"/>
        <v>002</v>
      </c>
      <c r="N744" s="55" t="str">
        <f>VLOOKUP(D744,Pinjaman!$E$7:$N$1900,10,FALSE)</f>
        <v>PRODUKTIF</v>
      </c>
      <c r="O744" s="55">
        <f>VLOOKUP(B744,'Data Angt'!$A$5:$H$5810,6,FALSE)</f>
        <v>56</v>
      </c>
      <c r="P744" s="55" t="str">
        <f>VLOOKUP(B744,'Data Angt'!$A$5:$H$5810,8,FALSE)</f>
        <v>Wiraswasta</v>
      </c>
    </row>
    <row r="745" spans="1:16" x14ac:dyDescent="0.3">
      <c r="A745" s="8">
        <v>738</v>
      </c>
      <c r="B745" s="9" t="s">
        <v>950</v>
      </c>
      <c r="C745" s="10" t="str">
        <f>VLOOKUP(B745,'Data Angt'!$A$5:$B$5809,2,FALSE)</f>
        <v>A363</v>
      </c>
      <c r="D745" s="12" t="s">
        <v>10231</v>
      </c>
      <c r="E745" s="13">
        <v>42584</v>
      </c>
      <c r="F745" s="14">
        <v>44251</v>
      </c>
      <c r="G745" s="15">
        <v>30000000</v>
      </c>
      <c r="H745" s="16">
        <v>36</v>
      </c>
      <c r="I745" s="17">
        <v>21</v>
      </c>
      <c r="J745" s="15">
        <v>24999600</v>
      </c>
      <c r="K745" s="98">
        <f t="shared" si="33"/>
        <v>55</v>
      </c>
      <c r="L745" s="98" t="str">
        <f t="shared" si="34"/>
        <v>Macet</v>
      </c>
      <c r="M745" s="5" t="str">
        <f t="shared" si="35"/>
        <v>002</v>
      </c>
      <c r="N745" s="55">
        <f>VLOOKUP(D745,Pinjaman!$E$7:$N$1900,10,FALSE)</f>
        <v>0</v>
      </c>
      <c r="O745" s="55">
        <f>VLOOKUP(B745,'Data Angt'!$A$5:$H$5810,6,FALSE)</f>
        <v>55</v>
      </c>
      <c r="P745" s="55" t="str">
        <f>VLOOKUP(B745,'Data Angt'!$A$5:$H$5810,8,FALSE)</f>
        <v>Wiraswasta</v>
      </c>
    </row>
    <row r="746" spans="1:16" x14ac:dyDescent="0.3">
      <c r="A746" s="8">
        <v>739</v>
      </c>
      <c r="B746" s="9" t="s">
        <v>1032</v>
      </c>
      <c r="C746" s="10" t="str">
        <f>VLOOKUP(B746,'Data Angt'!$A$5:$B$5809,2,FALSE)</f>
        <v>A394</v>
      </c>
      <c r="D746" s="12" t="s">
        <v>10233</v>
      </c>
      <c r="E746" s="13">
        <v>44091</v>
      </c>
      <c r="F746" s="14">
        <v>45898</v>
      </c>
      <c r="G746" s="15">
        <v>80000000</v>
      </c>
      <c r="H746" s="16">
        <v>60</v>
      </c>
      <c r="I746" s="17">
        <v>21</v>
      </c>
      <c r="J746" s="15">
        <v>3996200</v>
      </c>
      <c r="K746" s="98">
        <f t="shared" si="33"/>
        <v>1</v>
      </c>
      <c r="L746" s="98" t="str">
        <f t="shared" si="34"/>
        <v>Lancar</v>
      </c>
      <c r="M746" s="5" t="str">
        <f t="shared" si="35"/>
        <v>002</v>
      </c>
      <c r="N746" s="55">
        <f>VLOOKUP(D746,Pinjaman!$E$7:$N$1900,10,FALSE)</f>
        <v>0</v>
      </c>
      <c r="O746" s="55">
        <f>VLOOKUP(B746,'Data Angt'!$A$5:$H$5810,6,FALSE)</f>
        <v>52</v>
      </c>
      <c r="P746" s="55" t="str">
        <f>VLOOKUP(B746,'Data Angt'!$A$5:$H$5810,8,FALSE)</f>
        <v>Wiraswasta</v>
      </c>
    </row>
    <row r="747" spans="1:16" x14ac:dyDescent="0.3">
      <c r="A747" s="8">
        <v>740</v>
      </c>
      <c r="B747" s="9" t="s">
        <v>1075</v>
      </c>
      <c r="C747" s="10" t="str">
        <f>VLOOKUP(B747,'Data Angt'!$A$5:$B$5809,2,FALSE)</f>
        <v>A415</v>
      </c>
      <c r="D747" s="12" t="s">
        <v>22907</v>
      </c>
      <c r="E747" s="13">
        <v>45849</v>
      </c>
      <c r="F747" s="14">
        <v>45909</v>
      </c>
      <c r="G747" s="15">
        <v>15000000</v>
      </c>
      <c r="H747" s="16">
        <v>18</v>
      </c>
      <c r="I747" s="17">
        <v>24</v>
      </c>
      <c r="J747" s="15">
        <v>13584800</v>
      </c>
      <c r="K747" s="98">
        <f t="shared" si="33"/>
        <v>0</v>
      </c>
      <c r="L747" s="98" t="str">
        <f t="shared" si="34"/>
        <v>Lancar</v>
      </c>
      <c r="M747" s="5" t="str">
        <f t="shared" si="35"/>
        <v>002</v>
      </c>
      <c r="N747" s="55" t="str">
        <f>VLOOKUP(D747,Pinjaman!$E$7:$N$1900,10,FALSE)</f>
        <v>PRODUKTIF</v>
      </c>
      <c r="O747" s="55">
        <f>VLOOKUP(B747,'Data Angt'!$A$5:$H$5810,6,FALSE)</f>
        <v>63</v>
      </c>
      <c r="P747" s="55" t="str">
        <f>VLOOKUP(B747,'Data Angt'!$A$5:$H$5810,8,FALSE)</f>
        <v>Tenaga Pengajar</v>
      </c>
    </row>
    <row r="748" spans="1:16" x14ac:dyDescent="0.3">
      <c r="A748" s="8">
        <v>741</v>
      </c>
      <c r="B748" s="9" t="s">
        <v>1082</v>
      </c>
      <c r="C748" s="10" t="str">
        <f>VLOOKUP(B748,'Data Angt'!$A$5:$B$5809,2,FALSE)</f>
        <v>A418</v>
      </c>
      <c r="D748" s="12" t="s">
        <v>10235</v>
      </c>
      <c r="E748" s="13">
        <v>45083</v>
      </c>
      <c r="F748" s="14">
        <v>45908</v>
      </c>
      <c r="G748" s="15">
        <v>15000000</v>
      </c>
      <c r="H748" s="16">
        <v>48</v>
      </c>
      <c r="I748" s="17">
        <v>24</v>
      </c>
      <c r="J748" s="15">
        <v>8318000</v>
      </c>
      <c r="K748" s="98">
        <f t="shared" si="33"/>
        <v>0</v>
      </c>
      <c r="L748" s="98" t="str">
        <f t="shared" si="34"/>
        <v>Lancar</v>
      </c>
      <c r="M748" s="5" t="str">
        <f t="shared" si="35"/>
        <v>002</v>
      </c>
      <c r="N748" s="55" t="str">
        <f>VLOOKUP(D748,Pinjaman!$E$7:$N$1900,10,FALSE)</f>
        <v>KONSUMTIF</v>
      </c>
      <c r="O748" s="55">
        <f>VLOOKUP(B748,'Data Angt'!$A$5:$H$5810,6,FALSE)</f>
        <v>70</v>
      </c>
      <c r="P748" s="55" t="str">
        <f>VLOOKUP(B748,'Data Angt'!$A$5:$H$5810,8,FALSE)</f>
        <v>Pensiunan</v>
      </c>
    </row>
    <row r="749" spans="1:16" x14ac:dyDescent="0.3">
      <c r="A749" s="8">
        <v>742</v>
      </c>
      <c r="B749" s="9" t="s">
        <v>1089</v>
      </c>
      <c r="C749" s="10" t="str">
        <f>VLOOKUP(B749,'Data Angt'!$A$5:$B$5809,2,FALSE)</f>
        <v>A421</v>
      </c>
      <c r="D749" s="12" t="s">
        <v>10238</v>
      </c>
      <c r="E749" s="13">
        <v>40329</v>
      </c>
      <c r="F749" s="14">
        <v>44251</v>
      </c>
      <c r="G749" s="15">
        <v>49850000</v>
      </c>
      <c r="H749" s="16">
        <v>60</v>
      </c>
      <c r="I749" s="17">
        <v>24</v>
      </c>
      <c r="J749" s="15">
        <v>48776400</v>
      </c>
      <c r="K749" s="98">
        <f t="shared" si="33"/>
        <v>55</v>
      </c>
      <c r="L749" s="98" t="str">
        <f t="shared" si="34"/>
        <v>Macet</v>
      </c>
      <c r="M749" s="5" t="str">
        <f t="shared" si="35"/>
        <v>002</v>
      </c>
      <c r="N749" s="55">
        <f>VLOOKUP(D749,Pinjaman!$E$7:$N$1900,10,FALSE)</f>
        <v>0</v>
      </c>
      <c r="O749" s="55">
        <f>VLOOKUP(B749,'Data Angt'!$A$5:$H$5810,6,FALSE)</f>
        <v>48</v>
      </c>
      <c r="P749" s="55" t="str">
        <f>VLOOKUP(B749,'Data Angt'!$A$5:$H$5810,8,FALSE)</f>
        <v>Mengurus Rumah Tangga</v>
      </c>
    </row>
    <row r="750" spans="1:16" x14ac:dyDescent="0.3">
      <c r="A750" s="8">
        <v>743</v>
      </c>
      <c r="B750" s="9" t="s">
        <v>1092</v>
      </c>
      <c r="C750" s="10" t="str">
        <f>VLOOKUP(B750,'Data Angt'!$A$5:$B$5809,2,FALSE)</f>
        <v>A422</v>
      </c>
      <c r="D750" s="12" t="s">
        <v>10239</v>
      </c>
      <c r="E750" s="13">
        <v>45195</v>
      </c>
      <c r="F750" s="14">
        <v>45363</v>
      </c>
      <c r="G750" s="15">
        <v>354670000</v>
      </c>
      <c r="H750" s="16">
        <v>30</v>
      </c>
      <c r="I750" s="17">
        <v>21</v>
      </c>
      <c r="J750" s="15">
        <v>342847600</v>
      </c>
      <c r="K750" s="98">
        <f t="shared" si="33"/>
        <v>18</v>
      </c>
      <c r="L750" s="98" t="str">
        <f t="shared" si="34"/>
        <v>Macet</v>
      </c>
      <c r="M750" s="5" t="str">
        <f t="shared" si="35"/>
        <v>002</v>
      </c>
      <c r="N750" s="55" t="str">
        <f>VLOOKUP(D750,Pinjaman!$E$7:$N$1900,10,FALSE)</f>
        <v>KONSUMTIF</v>
      </c>
      <c r="O750" s="55">
        <f>VLOOKUP(B750,'Data Angt'!$A$5:$H$5810,6,FALSE)</f>
        <v>58</v>
      </c>
      <c r="P750" s="55" t="str">
        <f>VLOOKUP(B750,'Data Angt'!$A$5:$H$5810,8,FALSE)</f>
        <v>Aparatur/Pejabat Negara</v>
      </c>
    </row>
    <row r="751" spans="1:16" x14ac:dyDescent="0.3">
      <c r="A751" s="8">
        <v>744</v>
      </c>
      <c r="B751" s="9" t="s">
        <v>1104</v>
      </c>
      <c r="C751" s="10" t="str">
        <f>VLOOKUP(B751,'Data Angt'!$A$5:$B$5809,2,FALSE)</f>
        <v>A428</v>
      </c>
      <c r="D751" s="12" t="s">
        <v>16439</v>
      </c>
      <c r="E751" s="13">
        <v>45339</v>
      </c>
      <c r="F751" s="14">
        <v>45917</v>
      </c>
      <c r="G751" s="15">
        <v>17000000</v>
      </c>
      <c r="H751" s="16">
        <v>36</v>
      </c>
      <c r="I751" s="17">
        <v>11.4</v>
      </c>
      <c r="J751" s="15">
        <v>8750300</v>
      </c>
      <c r="K751" s="98">
        <f t="shared" si="33"/>
        <v>0</v>
      </c>
      <c r="L751" s="98" t="str">
        <f t="shared" si="34"/>
        <v>Lancar</v>
      </c>
      <c r="M751" s="5" t="str">
        <f t="shared" si="35"/>
        <v>002</v>
      </c>
      <c r="N751" s="55" t="str">
        <f>VLOOKUP(D751,Pinjaman!$E$7:$N$1900,10,FALSE)</f>
        <v>KONSUMTIF</v>
      </c>
      <c r="O751" s="55">
        <f>VLOOKUP(B751,'Data Angt'!$A$5:$H$5810,6,FALSE)</f>
        <v>56</v>
      </c>
      <c r="P751" s="55" t="str">
        <f>VLOOKUP(B751,'Data Angt'!$A$5:$H$5810,8,FALSE)</f>
        <v>Tenaga Pengajar</v>
      </c>
    </row>
    <row r="752" spans="1:16" x14ac:dyDescent="0.3">
      <c r="A752" s="8">
        <v>745</v>
      </c>
      <c r="B752" s="9" t="s">
        <v>1146</v>
      </c>
      <c r="C752" s="10" t="str">
        <f>VLOOKUP(B752,'Data Angt'!$A$5:$B$5809,2,FALSE)</f>
        <v>A447</v>
      </c>
      <c r="D752" s="12" t="s">
        <v>16441</v>
      </c>
      <c r="E752" s="13">
        <v>45637</v>
      </c>
      <c r="F752" s="14">
        <v>45927</v>
      </c>
      <c r="G752" s="15">
        <v>40000000</v>
      </c>
      <c r="H752" s="16">
        <v>36</v>
      </c>
      <c r="I752" s="17">
        <v>21</v>
      </c>
      <c r="J752" s="15">
        <v>29999200</v>
      </c>
      <c r="K752" s="98">
        <f t="shared" si="33"/>
        <v>0</v>
      </c>
      <c r="L752" s="98" t="str">
        <f t="shared" si="34"/>
        <v>Lancar</v>
      </c>
      <c r="M752" s="5" t="str">
        <f t="shared" si="35"/>
        <v>002</v>
      </c>
      <c r="N752" s="55" t="str">
        <f>VLOOKUP(D752,Pinjaman!$E$7:$N$1900,10,FALSE)</f>
        <v>PRODUKTIF</v>
      </c>
      <c r="O752" s="55">
        <f>VLOOKUP(B752,'Data Angt'!$A$5:$H$5810,6,FALSE)</f>
        <v>64</v>
      </c>
      <c r="P752" s="55" t="str">
        <f>VLOOKUP(B752,'Data Angt'!$A$5:$H$5810,8,FALSE)</f>
        <v>Wiraswasta</v>
      </c>
    </row>
    <row r="753" spans="1:16" x14ac:dyDescent="0.3">
      <c r="A753" s="8">
        <v>746</v>
      </c>
      <c r="B753" s="9" t="s">
        <v>1149</v>
      </c>
      <c r="C753" s="10" t="str">
        <f>VLOOKUP(B753,'Data Angt'!$A$5:$B$5809,2,FALSE)</f>
        <v>A448</v>
      </c>
      <c r="D753" s="12" t="s">
        <v>10243</v>
      </c>
      <c r="E753" s="13">
        <v>39177</v>
      </c>
      <c r="F753" s="14">
        <v>42369</v>
      </c>
      <c r="G753" s="15">
        <v>100000000</v>
      </c>
      <c r="H753" s="16">
        <v>60</v>
      </c>
      <c r="I753" s="17">
        <v>21</v>
      </c>
      <c r="J753" s="15">
        <v>81300000</v>
      </c>
      <c r="K753" s="98">
        <f t="shared" si="33"/>
        <v>116</v>
      </c>
      <c r="L753" s="98" t="str">
        <f t="shared" si="34"/>
        <v>Macet</v>
      </c>
      <c r="M753" s="5" t="str">
        <f t="shared" si="35"/>
        <v>002</v>
      </c>
      <c r="N753" s="55">
        <f>VLOOKUP(D753,Pinjaman!$E$7:$N$1900,10,FALSE)</f>
        <v>0</v>
      </c>
      <c r="O753" s="55">
        <f>VLOOKUP(B753,'Data Angt'!$A$5:$H$5810,6,FALSE)</f>
        <v>58</v>
      </c>
      <c r="P753" s="55" t="str">
        <f>VLOOKUP(B753,'Data Angt'!$A$5:$H$5810,8,FALSE)</f>
        <v>Mengurus Rumah Tangga</v>
      </c>
    </row>
    <row r="754" spans="1:16" x14ac:dyDescent="0.3">
      <c r="A754" s="8">
        <v>747</v>
      </c>
      <c r="B754" s="9" t="s">
        <v>1164</v>
      </c>
      <c r="C754" s="10" t="str">
        <f>VLOOKUP(B754,'Data Angt'!$A$5:$B$5809,2,FALSE)</f>
        <v>A455</v>
      </c>
      <c r="D754" s="12" t="s">
        <v>10244</v>
      </c>
      <c r="E754" s="13">
        <v>41936</v>
      </c>
      <c r="F754" s="14">
        <v>44251</v>
      </c>
      <c r="G754" s="15">
        <v>30000000</v>
      </c>
      <c r="H754" s="16">
        <v>36</v>
      </c>
      <c r="I754" s="17">
        <v>21</v>
      </c>
      <c r="J754" s="15">
        <v>20000100</v>
      </c>
      <c r="K754" s="98">
        <f t="shared" si="33"/>
        <v>55</v>
      </c>
      <c r="L754" s="98" t="str">
        <f t="shared" si="34"/>
        <v>Macet</v>
      </c>
      <c r="M754" s="5" t="str">
        <f t="shared" si="35"/>
        <v>002</v>
      </c>
      <c r="N754" s="55">
        <f>VLOOKUP(D754,Pinjaman!$E$7:$N$1900,10,FALSE)</f>
        <v>0</v>
      </c>
      <c r="O754" s="55">
        <f>VLOOKUP(B754,'Data Angt'!$A$5:$H$5810,6,FALSE)</f>
        <v>70</v>
      </c>
      <c r="P754" s="55" t="str">
        <f>VLOOKUP(B754,'Data Angt'!$A$5:$H$5810,8,FALSE)</f>
        <v>Pensiunan</v>
      </c>
    </row>
    <row r="755" spans="1:16" x14ac:dyDescent="0.3">
      <c r="A755" s="8">
        <v>748</v>
      </c>
      <c r="B755" s="9" t="s">
        <v>1176</v>
      </c>
      <c r="C755" s="10" t="str">
        <f>VLOOKUP(B755,'Data Angt'!$A$5:$B$5809,2,FALSE)</f>
        <v>A460</v>
      </c>
      <c r="D755" s="12" t="s">
        <v>16444</v>
      </c>
      <c r="E755" s="13">
        <v>45357</v>
      </c>
      <c r="F755" s="14">
        <v>45908</v>
      </c>
      <c r="G755" s="15">
        <v>6000000</v>
      </c>
      <c r="H755" s="16">
        <v>24</v>
      </c>
      <c r="I755" s="17">
        <v>11.64</v>
      </c>
      <c r="J755" s="15">
        <v>1632200</v>
      </c>
      <c r="K755" s="98">
        <f t="shared" si="33"/>
        <v>0</v>
      </c>
      <c r="L755" s="98" t="str">
        <f t="shared" si="34"/>
        <v>Lancar</v>
      </c>
      <c r="M755" s="5" t="str">
        <f t="shared" si="35"/>
        <v>002</v>
      </c>
      <c r="N755" s="55" t="str">
        <f>VLOOKUP(D755,Pinjaman!$E$7:$N$1900,10,FALSE)</f>
        <v>PENDIDIKAN</v>
      </c>
      <c r="O755" s="55">
        <f>VLOOKUP(B755,'Data Angt'!$A$5:$H$5810,6,FALSE)</f>
        <v>56</v>
      </c>
      <c r="P755" s="55" t="str">
        <f>VLOOKUP(B755,'Data Angt'!$A$5:$H$5810,8,FALSE)</f>
        <v>Tenaga Pengajar</v>
      </c>
    </row>
    <row r="756" spans="1:16" x14ac:dyDescent="0.3">
      <c r="A756" s="8">
        <v>749</v>
      </c>
      <c r="B756" s="9" t="s">
        <v>1176</v>
      </c>
      <c r="C756" s="10" t="str">
        <f>VLOOKUP(B756,'Data Angt'!$A$5:$B$5809,2,FALSE)</f>
        <v>A460</v>
      </c>
      <c r="D756" s="12" t="s">
        <v>10245</v>
      </c>
      <c r="E756" s="13">
        <v>44974</v>
      </c>
      <c r="F756" s="14">
        <v>45918</v>
      </c>
      <c r="G756" s="15">
        <v>75000000</v>
      </c>
      <c r="H756" s="16">
        <v>48</v>
      </c>
      <c r="I756" s="17">
        <v>21</v>
      </c>
      <c r="J756" s="15">
        <v>33895000</v>
      </c>
      <c r="K756" s="98">
        <f t="shared" si="33"/>
        <v>0</v>
      </c>
      <c r="L756" s="98" t="str">
        <f t="shared" si="34"/>
        <v>Lancar</v>
      </c>
      <c r="M756" s="5" t="str">
        <f t="shared" si="35"/>
        <v>002</v>
      </c>
      <c r="N756" s="55" t="str">
        <f>VLOOKUP(D756,Pinjaman!$E$7:$N$1900,10,FALSE)</f>
        <v>PENDIDIKAN</v>
      </c>
      <c r="O756" s="55">
        <f>VLOOKUP(B756,'Data Angt'!$A$5:$H$5810,6,FALSE)</f>
        <v>56</v>
      </c>
      <c r="P756" s="55" t="str">
        <f>VLOOKUP(B756,'Data Angt'!$A$5:$H$5810,8,FALSE)</f>
        <v>Tenaga Pengajar</v>
      </c>
    </row>
    <row r="757" spans="1:16" x14ac:dyDescent="0.3">
      <c r="A757" s="8">
        <v>750</v>
      </c>
      <c r="B757" s="9" t="s">
        <v>1228</v>
      </c>
      <c r="C757" s="10" t="str">
        <f>VLOOKUP(B757,'Data Angt'!$A$5:$B$5809,2,FALSE)</f>
        <v>A478</v>
      </c>
      <c r="D757" s="12" t="s">
        <v>10247</v>
      </c>
      <c r="E757" s="13">
        <v>45273</v>
      </c>
      <c r="F757" s="14">
        <v>45913</v>
      </c>
      <c r="G757" s="15">
        <v>15000000</v>
      </c>
      <c r="H757" s="16">
        <v>24</v>
      </c>
      <c r="I757" s="17">
        <v>11.64</v>
      </c>
      <c r="J757" s="15">
        <v>2071000</v>
      </c>
      <c r="K757" s="98">
        <f t="shared" si="33"/>
        <v>0</v>
      </c>
      <c r="L757" s="98" t="str">
        <f t="shared" si="34"/>
        <v>Lancar</v>
      </c>
      <c r="M757" s="5" t="str">
        <f t="shared" si="35"/>
        <v>002</v>
      </c>
      <c r="N757" s="55" t="str">
        <f>VLOOKUP(D757,Pinjaman!$E$7:$N$1900,10,FALSE)</f>
        <v>PRODUKTIF</v>
      </c>
      <c r="O757" s="55">
        <f>VLOOKUP(B757,'Data Angt'!$A$5:$H$5810,6,FALSE)</f>
        <v>63</v>
      </c>
      <c r="P757" s="55" t="str">
        <f>VLOOKUP(B757,'Data Angt'!$A$5:$H$5810,8,FALSE)</f>
        <v>Pensiunan</v>
      </c>
    </row>
    <row r="758" spans="1:16" x14ac:dyDescent="0.3">
      <c r="A758" s="8">
        <v>751</v>
      </c>
      <c r="B758" s="9" t="s">
        <v>1249</v>
      </c>
      <c r="C758" s="10" t="str">
        <f>VLOOKUP(B758,'Data Angt'!$A$5:$B$5809,2,FALSE)</f>
        <v>A486</v>
      </c>
      <c r="D758" s="12" t="s">
        <v>16446</v>
      </c>
      <c r="E758" s="13">
        <v>45451</v>
      </c>
      <c r="F758" s="14">
        <v>45908</v>
      </c>
      <c r="G758" s="15">
        <v>15000000</v>
      </c>
      <c r="H758" s="16">
        <v>24</v>
      </c>
      <c r="I758" s="17">
        <v>11.64</v>
      </c>
      <c r="J758" s="15">
        <v>6036200</v>
      </c>
      <c r="K758" s="98">
        <f t="shared" si="33"/>
        <v>0</v>
      </c>
      <c r="L758" s="98" t="str">
        <f t="shared" si="34"/>
        <v>Lancar</v>
      </c>
      <c r="M758" s="5" t="str">
        <f t="shared" si="35"/>
        <v>002</v>
      </c>
      <c r="N758" s="55" t="str">
        <f>VLOOKUP(D758,Pinjaman!$E$7:$N$1900,10,FALSE)</f>
        <v>PRODUKTIF</v>
      </c>
      <c r="O758" s="55">
        <f>VLOOKUP(B758,'Data Angt'!$A$5:$H$5810,6,FALSE)</f>
        <v>52</v>
      </c>
      <c r="P758" s="55" t="str">
        <f>VLOOKUP(B758,'Data Angt'!$A$5:$H$5810,8,FALSE)</f>
        <v>Wiraswasta</v>
      </c>
    </row>
    <row r="759" spans="1:16" x14ac:dyDescent="0.3">
      <c r="A759" s="8">
        <v>752</v>
      </c>
      <c r="B759" s="9" t="s">
        <v>1258</v>
      </c>
      <c r="C759" s="10" t="str">
        <f>VLOOKUP(B759,'Data Angt'!$A$5:$B$5809,2,FALSE)</f>
        <v>A490</v>
      </c>
      <c r="D759" s="12" t="s">
        <v>10251</v>
      </c>
      <c r="E759" s="13">
        <v>41478</v>
      </c>
      <c r="F759" s="14">
        <v>44251</v>
      </c>
      <c r="G759" s="15">
        <v>40000000</v>
      </c>
      <c r="H759" s="16">
        <v>24</v>
      </c>
      <c r="I759" s="17">
        <v>24</v>
      </c>
      <c r="J759" s="15">
        <v>24933400</v>
      </c>
      <c r="K759" s="98">
        <f t="shared" si="33"/>
        <v>55</v>
      </c>
      <c r="L759" s="98" t="str">
        <f t="shared" si="34"/>
        <v>Macet</v>
      </c>
      <c r="M759" s="5" t="str">
        <f t="shared" si="35"/>
        <v>002</v>
      </c>
      <c r="N759" s="55">
        <f>VLOOKUP(D759,Pinjaman!$E$7:$N$1900,10,FALSE)</f>
        <v>0</v>
      </c>
      <c r="O759" s="55">
        <f>VLOOKUP(B759,'Data Angt'!$A$5:$H$5810,6,FALSE)</f>
        <v>71</v>
      </c>
      <c r="P759" s="55" t="str">
        <f>VLOOKUP(B759,'Data Angt'!$A$5:$H$5810,8,FALSE)</f>
        <v>Wiraswasta</v>
      </c>
    </row>
    <row r="760" spans="1:16" x14ac:dyDescent="0.3">
      <c r="A760" s="8">
        <v>753</v>
      </c>
      <c r="B760" s="9" t="s">
        <v>1369</v>
      </c>
      <c r="C760" s="10" t="str">
        <f>VLOOKUP(B760,'Data Angt'!$A$5:$B$5809,2,FALSE)</f>
        <v>A536</v>
      </c>
      <c r="D760" s="12" t="s">
        <v>16449</v>
      </c>
      <c r="E760" s="13">
        <v>45513</v>
      </c>
      <c r="F760" s="14">
        <v>45904</v>
      </c>
      <c r="G760" s="15">
        <v>4000000</v>
      </c>
      <c r="H760" s="16">
        <v>24</v>
      </c>
      <c r="I760" s="17">
        <v>11.64</v>
      </c>
      <c r="J760" s="15">
        <v>1948200</v>
      </c>
      <c r="K760" s="98">
        <f t="shared" si="33"/>
        <v>0</v>
      </c>
      <c r="L760" s="98" t="str">
        <f t="shared" si="34"/>
        <v>Lancar</v>
      </c>
      <c r="M760" s="5" t="str">
        <f t="shared" si="35"/>
        <v>002</v>
      </c>
      <c r="N760" s="55" t="str">
        <f>VLOOKUP(D760,Pinjaman!$E$7:$N$1900,10,FALSE)</f>
        <v>PRODUKTIF</v>
      </c>
      <c r="O760" s="55">
        <f>VLOOKUP(B760,'Data Angt'!$A$5:$H$5810,6,FALSE)</f>
        <v>60</v>
      </c>
      <c r="P760" s="55" t="str">
        <f>VLOOKUP(B760,'Data Angt'!$A$5:$H$5810,8,FALSE)</f>
        <v>Wiraswasta</v>
      </c>
    </row>
    <row r="761" spans="1:16" x14ac:dyDescent="0.3">
      <c r="A761" s="8">
        <v>754</v>
      </c>
      <c r="B761" s="9" t="s">
        <v>1477</v>
      </c>
      <c r="C761" s="10" t="str">
        <f>VLOOKUP(B761,'Data Angt'!$A$5:$B$5809,2,FALSE)</f>
        <v>A581</v>
      </c>
      <c r="D761" s="12" t="s">
        <v>16451</v>
      </c>
      <c r="E761" s="13">
        <v>45478</v>
      </c>
      <c r="F761" s="14">
        <v>45908</v>
      </c>
      <c r="G761" s="15">
        <v>2000000000</v>
      </c>
      <c r="H761" s="16">
        <v>60</v>
      </c>
      <c r="I761" s="17">
        <v>11.4</v>
      </c>
      <c r="J761" s="15">
        <v>1629259800</v>
      </c>
      <c r="K761" s="98">
        <f t="shared" si="33"/>
        <v>0</v>
      </c>
      <c r="L761" s="98" t="str">
        <f t="shared" si="34"/>
        <v>Lancar</v>
      </c>
      <c r="M761" s="5" t="str">
        <f t="shared" si="35"/>
        <v>002</v>
      </c>
      <c r="N761" s="55" t="str">
        <f>VLOOKUP(D761,Pinjaman!$E$7:$N$1900,10,FALSE)</f>
        <v>PRODUKTIF</v>
      </c>
      <c r="O761" s="55">
        <f>VLOOKUP(B761,'Data Angt'!$A$5:$H$5810,6,FALSE)</f>
        <v>50</v>
      </c>
      <c r="P761" s="55" t="str">
        <f>VLOOKUP(B761,'Data Angt'!$A$5:$H$5810,8,FALSE)</f>
        <v>Wiraswasta</v>
      </c>
    </row>
    <row r="762" spans="1:16" x14ac:dyDescent="0.3">
      <c r="A762" s="8">
        <v>755</v>
      </c>
      <c r="B762" s="9" t="s">
        <v>1512</v>
      </c>
      <c r="C762" s="10" t="str">
        <f>VLOOKUP(B762,'Data Angt'!$A$5:$B$5809,2,FALSE)</f>
        <v>A598</v>
      </c>
      <c r="D762" s="12" t="s">
        <v>22919</v>
      </c>
      <c r="E762" s="13">
        <v>45882</v>
      </c>
      <c r="F762" s="14">
        <v>45909</v>
      </c>
      <c r="G762" s="15">
        <v>3000000</v>
      </c>
      <c r="H762" s="16">
        <v>12</v>
      </c>
      <c r="I762" s="17">
        <v>24</v>
      </c>
      <c r="J762" s="15">
        <v>2750000</v>
      </c>
      <c r="K762" s="98">
        <f t="shared" si="33"/>
        <v>0</v>
      </c>
      <c r="L762" s="98" t="str">
        <f t="shared" si="34"/>
        <v>Lancar</v>
      </c>
      <c r="M762" s="5" t="str">
        <f t="shared" si="35"/>
        <v>002</v>
      </c>
      <c r="N762" s="55" t="str">
        <f>VLOOKUP(D762,Pinjaman!$E$7:$N$1900,10,FALSE)</f>
        <v>KESEJAHTERAAN</v>
      </c>
      <c r="O762" s="55">
        <f>VLOOKUP(B762,'Data Angt'!$A$5:$H$5810,6,FALSE)</f>
        <v>65</v>
      </c>
      <c r="P762" s="55" t="str">
        <f>VLOOKUP(B762,'Data Angt'!$A$5:$H$5810,8,FALSE)</f>
        <v>Wiraswasta</v>
      </c>
    </row>
    <row r="763" spans="1:16" x14ac:dyDescent="0.3">
      <c r="A763" s="8">
        <v>756</v>
      </c>
      <c r="B763" s="9" t="s">
        <v>1590</v>
      </c>
      <c r="C763" s="10" t="str">
        <f>VLOOKUP(B763,'Data Angt'!$A$5:$B$5809,2,FALSE)</f>
        <v>A630</v>
      </c>
      <c r="D763" s="12" t="s">
        <v>10252</v>
      </c>
      <c r="E763" s="13">
        <v>44095</v>
      </c>
      <c r="F763" s="14">
        <v>44469</v>
      </c>
      <c r="G763" s="15">
        <v>100000000</v>
      </c>
      <c r="H763" s="16">
        <v>36</v>
      </c>
      <c r="I763" s="17">
        <v>11.4</v>
      </c>
      <c r="J763" s="15">
        <v>80621800</v>
      </c>
      <c r="K763" s="98">
        <f t="shared" si="33"/>
        <v>48</v>
      </c>
      <c r="L763" s="98" t="str">
        <f t="shared" si="34"/>
        <v>Macet</v>
      </c>
      <c r="M763" s="5" t="str">
        <f t="shared" si="35"/>
        <v>002</v>
      </c>
      <c r="N763" s="55" t="str">
        <f>VLOOKUP(D763,Pinjaman!$E$7:$N$1900,10,FALSE)</f>
        <v>KESEJAHTERAAN</v>
      </c>
      <c r="O763" s="55">
        <f>VLOOKUP(B763,'Data Angt'!$A$5:$H$5810,6,FALSE)</f>
        <v>56</v>
      </c>
      <c r="P763" s="55" t="str">
        <f>VLOOKUP(B763,'Data Angt'!$A$5:$H$5810,8,FALSE)</f>
        <v>Wiraswasta</v>
      </c>
    </row>
    <row r="764" spans="1:16" x14ac:dyDescent="0.3">
      <c r="A764" s="8">
        <v>757</v>
      </c>
      <c r="B764" s="9" t="s">
        <v>1594</v>
      </c>
      <c r="C764" s="10" t="str">
        <f>VLOOKUP(B764,'Data Angt'!$A$5:$B$5809,2,FALSE)</f>
        <v>A632</v>
      </c>
      <c r="D764" s="12" t="s">
        <v>22922</v>
      </c>
      <c r="E764" s="13">
        <v>45915</v>
      </c>
      <c r="F764" s="14">
        <v>45915</v>
      </c>
      <c r="G764" s="15">
        <v>20000000</v>
      </c>
      <c r="H764" s="16">
        <v>24</v>
      </c>
      <c r="I764" s="17">
        <v>24</v>
      </c>
      <c r="J764" s="15">
        <v>20000000</v>
      </c>
      <c r="K764" s="98">
        <f t="shared" si="33"/>
        <v>0</v>
      </c>
      <c r="L764" s="98" t="str">
        <f t="shared" si="34"/>
        <v>Lancar</v>
      </c>
      <c r="M764" s="5" t="str">
        <f t="shared" si="35"/>
        <v>002</v>
      </c>
      <c r="N764" s="55" t="str">
        <f>VLOOKUP(D764,Pinjaman!$E$7:$N$1900,10,FALSE)</f>
        <v>PRODUKTIF</v>
      </c>
      <c r="O764" s="55">
        <f>VLOOKUP(B764,'Data Angt'!$A$5:$H$5810,6,FALSE)</f>
        <v>50</v>
      </c>
      <c r="P764" s="55" t="str">
        <f>VLOOKUP(B764,'Data Angt'!$A$5:$H$5810,8,FALSE)</f>
        <v>Wiraswasta</v>
      </c>
    </row>
    <row r="765" spans="1:16" x14ac:dyDescent="0.3">
      <c r="A765" s="8">
        <v>758</v>
      </c>
      <c r="B765" s="9" t="s">
        <v>1892</v>
      </c>
      <c r="C765" s="10" t="str">
        <f>VLOOKUP(B765,'Data Angt'!$A$5:$B$5809,2,FALSE)</f>
        <v>A765</v>
      </c>
      <c r="D765" s="12" t="s">
        <v>10256</v>
      </c>
      <c r="E765" s="13">
        <v>39777</v>
      </c>
      <c r="F765" s="14">
        <v>42733</v>
      </c>
      <c r="G765" s="15">
        <v>100000000</v>
      </c>
      <c r="H765" s="16">
        <v>60</v>
      </c>
      <c r="I765" s="17">
        <v>21</v>
      </c>
      <c r="J765" s="15">
        <v>88100000</v>
      </c>
      <c r="K765" s="98">
        <f t="shared" si="33"/>
        <v>105</v>
      </c>
      <c r="L765" s="98" t="str">
        <f t="shared" si="34"/>
        <v>Macet</v>
      </c>
      <c r="M765" s="5" t="str">
        <f t="shared" si="35"/>
        <v>002</v>
      </c>
      <c r="N765" s="55">
        <f>VLOOKUP(D765,Pinjaman!$E$7:$N$1900,10,FALSE)</f>
        <v>0</v>
      </c>
      <c r="O765" s="55">
        <f>VLOOKUP(B765,'Data Angt'!$A$5:$H$5810,6,FALSE)</f>
        <v>49</v>
      </c>
      <c r="P765" s="55" t="str">
        <f>VLOOKUP(B765,'Data Angt'!$A$5:$H$5810,8,FALSE)</f>
        <v>Karyawan</v>
      </c>
    </row>
    <row r="766" spans="1:16" x14ac:dyDescent="0.3">
      <c r="A766" s="8">
        <v>759</v>
      </c>
      <c r="B766" s="9" t="s">
        <v>1940</v>
      </c>
      <c r="C766" s="10" t="str">
        <f>VLOOKUP(B766,'Data Angt'!$A$5:$B$5809,2,FALSE)</f>
        <v>A786</v>
      </c>
      <c r="D766" s="12" t="s">
        <v>10258</v>
      </c>
      <c r="E766" s="13">
        <v>44468</v>
      </c>
      <c r="F766" s="14">
        <v>45441</v>
      </c>
      <c r="G766" s="15">
        <v>200000000</v>
      </c>
      <c r="H766" s="16">
        <v>60</v>
      </c>
      <c r="I766" s="17">
        <v>21</v>
      </c>
      <c r="J766" s="15">
        <v>103331400</v>
      </c>
      <c r="K766" s="98">
        <f t="shared" si="33"/>
        <v>16</v>
      </c>
      <c r="L766" s="98" t="str">
        <f t="shared" si="34"/>
        <v>Macet</v>
      </c>
      <c r="M766" s="5" t="str">
        <f t="shared" si="35"/>
        <v>002</v>
      </c>
      <c r="N766" s="55" t="str">
        <f>VLOOKUP(D766,Pinjaman!$E$7:$N$1900,10,FALSE)</f>
        <v>PRODUKTIF</v>
      </c>
      <c r="O766" s="55">
        <f>VLOOKUP(B766,'Data Angt'!$A$5:$H$5810,6,FALSE)</f>
        <v>46</v>
      </c>
      <c r="P766" s="55" t="str">
        <f>VLOOKUP(B766,'Data Angt'!$A$5:$H$5810,8,FALSE)</f>
        <v>Wiraswasta</v>
      </c>
    </row>
    <row r="767" spans="1:16" x14ac:dyDescent="0.3">
      <c r="A767" s="8">
        <v>760</v>
      </c>
      <c r="B767" s="9" t="s">
        <v>2044</v>
      </c>
      <c r="C767" s="10" t="str">
        <f>VLOOKUP(B767,'Data Angt'!$A$5:$B$5809,2,FALSE)</f>
        <v>A840</v>
      </c>
      <c r="D767" s="12" t="s">
        <v>16454</v>
      </c>
      <c r="E767" s="13">
        <v>45575</v>
      </c>
      <c r="F767" s="14">
        <v>45902</v>
      </c>
      <c r="G767" s="15">
        <v>6000000</v>
      </c>
      <c r="H767" s="16">
        <v>24</v>
      </c>
      <c r="I767" s="17">
        <v>24</v>
      </c>
      <c r="J767" s="15">
        <v>3599800</v>
      </c>
      <c r="K767" s="98">
        <f t="shared" si="33"/>
        <v>0</v>
      </c>
      <c r="L767" s="98" t="str">
        <f t="shared" si="34"/>
        <v>Lancar</v>
      </c>
      <c r="M767" s="5" t="str">
        <f t="shared" si="35"/>
        <v>002</v>
      </c>
      <c r="N767" s="55" t="str">
        <f>VLOOKUP(D767,Pinjaman!$E$7:$N$1900,10,FALSE)</f>
        <v>PRODUKTIF</v>
      </c>
      <c r="O767" s="55">
        <f>VLOOKUP(B767,'Data Angt'!$A$5:$H$5810,6,FALSE)</f>
        <v>62</v>
      </c>
      <c r="P767" s="55" t="str">
        <f>VLOOKUP(B767,'Data Angt'!$A$5:$H$5810,8,FALSE)</f>
        <v>Lain-Lain</v>
      </c>
    </row>
    <row r="768" spans="1:16" x14ac:dyDescent="0.3">
      <c r="A768" s="8">
        <v>761</v>
      </c>
      <c r="B768" s="9" t="s">
        <v>2103</v>
      </c>
      <c r="C768" s="10" t="str">
        <f>VLOOKUP(B768,'Data Angt'!$A$5:$B$5809,2,FALSE)</f>
        <v>A864</v>
      </c>
      <c r="D768" s="12" t="s">
        <v>16457</v>
      </c>
      <c r="E768" s="13">
        <v>45447</v>
      </c>
      <c r="F768" s="14">
        <v>45908</v>
      </c>
      <c r="G768" s="15">
        <v>15000000</v>
      </c>
      <c r="H768" s="16">
        <v>36</v>
      </c>
      <c r="I768" s="17">
        <v>11.4</v>
      </c>
      <c r="J768" s="15">
        <v>9362500</v>
      </c>
      <c r="K768" s="98">
        <f t="shared" si="33"/>
        <v>0</v>
      </c>
      <c r="L768" s="98" t="str">
        <f t="shared" si="34"/>
        <v>Lancar</v>
      </c>
      <c r="M768" s="5" t="str">
        <f t="shared" si="35"/>
        <v>002</v>
      </c>
      <c r="N768" s="55" t="str">
        <f>VLOOKUP(D768,Pinjaman!$E$7:$N$1900,10,FALSE)</f>
        <v>PRODUKTIF</v>
      </c>
      <c r="O768" s="55">
        <f>VLOOKUP(B768,'Data Angt'!$A$5:$H$5810,6,FALSE)</f>
        <v>71</v>
      </c>
      <c r="P768" s="55" t="str">
        <f>VLOOKUP(B768,'Data Angt'!$A$5:$H$5810,8,FALSE)</f>
        <v>Pensiunan</v>
      </c>
    </row>
    <row r="769" spans="1:16" x14ac:dyDescent="0.3">
      <c r="A769" s="8">
        <v>762</v>
      </c>
      <c r="B769" s="9" t="s">
        <v>2103</v>
      </c>
      <c r="C769" s="10" t="str">
        <f>VLOOKUP(B769,'Data Angt'!$A$5:$B$5809,2,FALSE)</f>
        <v>A864</v>
      </c>
      <c r="D769" s="12" t="s">
        <v>16460</v>
      </c>
      <c r="E769" s="13">
        <v>45639</v>
      </c>
      <c r="F769" s="14">
        <v>45913</v>
      </c>
      <c r="G769" s="15">
        <v>65000000</v>
      </c>
      <c r="H769" s="16">
        <v>48</v>
      </c>
      <c r="I769" s="17">
        <v>21</v>
      </c>
      <c r="J769" s="15">
        <v>56548000</v>
      </c>
      <c r="K769" s="98">
        <f t="shared" si="33"/>
        <v>0</v>
      </c>
      <c r="L769" s="98" t="str">
        <f t="shared" si="34"/>
        <v>Lancar</v>
      </c>
      <c r="M769" s="5" t="str">
        <f t="shared" si="35"/>
        <v>002</v>
      </c>
      <c r="N769" s="55" t="str">
        <f>VLOOKUP(D769,Pinjaman!$E$7:$N$1900,10,FALSE)</f>
        <v>KESEHATAN</v>
      </c>
      <c r="O769" s="55">
        <f>VLOOKUP(B769,'Data Angt'!$A$5:$H$5810,6,FALSE)</f>
        <v>71</v>
      </c>
      <c r="P769" s="55" t="str">
        <f>VLOOKUP(B769,'Data Angt'!$A$5:$H$5810,8,FALSE)</f>
        <v>Pensiunan</v>
      </c>
    </row>
    <row r="770" spans="1:16" x14ac:dyDescent="0.3">
      <c r="A770" s="8">
        <v>763</v>
      </c>
      <c r="B770" s="9" t="s">
        <v>2116</v>
      </c>
      <c r="C770" s="10" t="str">
        <f>VLOOKUP(B770,'Data Angt'!$A$5:$B$5809,2,FALSE)</f>
        <v>A870</v>
      </c>
      <c r="D770" s="12" t="s">
        <v>16463</v>
      </c>
      <c r="E770" s="13">
        <v>45770</v>
      </c>
      <c r="F770" s="14">
        <v>45925</v>
      </c>
      <c r="G770" s="15">
        <v>49000000</v>
      </c>
      <c r="H770" s="16">
        <v>48</v>
      </c>
      <c r="I770" s="17">
        <v>21</v>
      </c>
      <c r="J770" s="15">
        <v>45583200</v>
      </c>
      <c r="K770" s="98">
        <f t="shared" si="33"/>
        <v>0</v>
      </c>
      <c r="L770" s="98" t="str">
        <f t="shared" si="34"/>
        <v>Lancar</v>
      </c>
      <c r="M770" s="5" t="str">
        <f t="shared" si="35"/>
        <v>002</v>
      </c>
      <c r="N770" s="55" t="str">
        <f>VLOOKUP(D770,Pinjaman!$E$7:$N$1900,10,FALSE)</f>
        <v>PRODUKTIF</v>
      </c>
      <c r="O770" s="55">
        <f>VLOOKUP(B770,'Data Angt'!$A$5:$H$5810,6,FALSE)</f>
        <v>57</v>
      </c>
      <c r="P770" s="55" t="str">
        <f>VLOOKUP(B770,'Data Angt'!$A$5:$H$5810,8,FALSE)</f>
        <v>Mengurus Rumah Tangga</v>
      </c>
    </row>
    <row r="771" spans="1:16" x14ac:dyDescent="0.3">
      <c r="A771" s="8">
        <v>764</v>
      </c>
      <c r="B771" s="9" t="s">
        <v>2376</v>
      </c>
      <c r="C771" s="10" t="str">
        <f>VLOOKUP(B771,'Data Angt'!$A$5:$B$5809,2,FALSE)</f>
        <v>A988</v>
      </c>
      <c r="D771" s="12" t="s">
        <v>10261</v>
      </c>
      <c r="E771" s="13">
        <v>43728</v>
      </c>
      <c r="F771" s="14">
        <v>44804</v>
      </c>
      <c r="G771" s="15">
        <v>125000000</v>
      </c>
      <c r="H771" s="16">
        <v>48</v>
      </c>
      <c r="I771" s="17">
        <v>21</v>
      </c>
      <c r="J771" s="15">
        <v>108745700</v>
      </c>
      <c r="K771" s="98">
        <f t="shared" si="33"/>
        <v>36</v>
      </c>
      <c r="L771" s="98" t="str">
        <f t="shared" si="34"/>
        <v>Macet</v>
      </c>
      <c r="M771" s="5" t="str">
        <f t="shared" si="35"/>
        <v>002</v>
      </c>
      <c r="N771" s="55" t="str">
        <f>VLOOKUP(D771,Pinjaman!$E$7:$N$1900,10,FALSE)</f>
        <v>PRODUKTIF</v>
      </c>
      <c r="O771" s="55">
        <f>VLOOKUP(B771,'Data Angt'!$A$5:$H$5810,6,FALSE)</f>
        <v>53</v>
      </c>
      <c r="P771" s="55" t="str">
        <f>VLOOKUP(B771,'Data Angt'!$A$5:$H$5810,8,FALSE)</f>
        <v>Wiraswasta</v>
      </c>
    </row>
    <row r="772" spans="1:16" x14ac:dyDescent="0.3">
      <c r="A772" s="8">
        <v>765</v>
      </c>
      <c r="B772" s="9" t="s">
        <v>2395</v>
      </c>
      <c r="C772" s="10" t="str">
        <f>VLOOKUP(B772,'Data Angt'!$A$5:$B$5809,2,FALSE)</f>
        <v>A997</v>
      </c>
      <c r="D772" s="12" t="s">
        <v>16466</v>
      </c>
      <c r="E772" s="13">
        <v>45680</v>
      </c>
      <c r="F772" s="14">
        <v>45925</v>
      </c>
      <c r="G772" s="15">
        <v>500000000</v>
      </c>
      <c r="H772" s="16">
        <v>24</v>
      </c>
      <c r="I772" s="17">
        <v>11.4</v>
      </c>
      <c r="J772" s="15">
        <v>345769600</v>
      </c>
      <c r="K772" s="98">
        <f t="shared" si="33"/>
        <v>0</v>
      </c>
      <c r="L772" s="98" t="str">
        <f t="shared" si="34"/>
        <v>Lancar</v>
      </c>
      <c r="M772" s="5" t="str">
        <f t="shared" si="35"/>
        <v>002</v>
      </c>
      <c r="N772" s="55" t="str">
        <f>VLOOKUP(D772,Pinjaman!$E$7:$N$1900,10,FALSE)</f>
        <v>KESEJAHTERAAN</v>
      </c>
      <c r="O772" s="55">
        <f>VLOOKUP(B772,'Data Angt'!$A$5:$H$5810,6,FALSE)</f>
        <v>37</v>
      </c>
      <c r="P772" s="55" t="str">
        <f>VLOOKUP(B772,'Data Angt'!$A$5:$H$5810,8,FALSE)</f>
        <v>Wiraswasta</v>
      </c>
    </row>
    <row r="773" spans="1:16" x14ac:dyDescent="0.3">
      <c r="A773" s="8">
        <v>766</v>
      </c>
      <c r="B773" s="9" t="s">
        <v>2408</v>
      </c>
      <c r="C773" s="10" t="str">
        <f>VLOOKUP(B773,'Data Angt'!$A$5:$B$5809,2,FALSE)</f>
        <v>A1003</v>
      </c>
      <c r="D773" s="12" t="s">
        <v>10264</v>
      </c>
      <c r="E773" s="13">
        <v>42527</v>
      </c>
      <c r="F773" s="14">
        <v>44253</v>
      </c>
      <c r="G773" s="15">
        <v>35000000</v>
      </c>
      <c r="H773" s="16">
        <v>6</v>
      </c>
      <c r="I773" s="17">
        <v>21</v>
      </c>
      <c r="J773" s="15">
        <v>4000000</v>
      </c>
      <c r="K773" s="98">
        <f t="shared" si="33"/>
        <v>55</v>
      </c>
      <c r="L773" s="98" t="str">
        <f t="shared" si="34"/>
        <v>Macet</v>
      </c>
      <c r="M773" s="5" t="str">
        <f t="shared" si="35"/>
        <v>002</v>
      </c>
      <c r="N773" s="55">
        <f>VLOOKUP(D773,Pinjaman!$E$7:$N$1900,10,FALSE)</f>
        <v>0</v>
      </c>
      <c r="O773" s="55">
        <f>VLOOKUP(B773,'Data Angt'!$A$5:$H$5810,6,FALSE)</f>
        <v>49</v>
      </c>
      <c r="P773" s="55" t="str">
        <f>VLOOKUP(B773,'Data Angt'!$A$5:$H$5810,8,FALSE)</f>
        <v>Mengurus Rumah Tangga</v>
      </c>
    </row>
    <row r="774" spans="1:16" x14ac:dyDescent="0.3">
      <c r="A774" s="8">
        <v>767</v>
      </c>
      <c r="B774" s="9" t="s">
        <v>2420</v>
      </c>
      <c r="C774" s="10" t="str">
        <f>VLOOKUP(B774,'Data Angt'!$A$5:$B$5809,2,FALSE)</f>
        <v>A1007</v>
      </c>
      <c r="D774" s="12" t="s">
        <v>10265</v>
      </c>
      <c r="E774" s="13">
        <v>44578</v>
      </c>
      <c r="F774" s="14">
        <v>45929</v>
      </c>
      <c r="G774" s="15">
        <v>200000000</v>
      </c>
      <c r="H774" s="16">
        <v>48</v>
      </c>
      <c r="I774" s="17">
        <v>21</v>
      </c>
      <c r="J774" s="15">
        <v>23724700</v>
      </c>
      <c r="K774" s="98">
        <f t="shared" si="33"/>
        <v>0</v>
      </c>
      <c r="L774" s="98" t="str">
        <f t="shared" si="34"/>
        <v>Lancar</v>
      </c>
      <c r="M774" s="5" t="str">
        <f t="shared" si="35"/>
        <v>002</v>
      </c>
      <c r="N774" s="55" t="str">
        <f>VLOOKUP(D774,Pinjaman!$E$7:$N$1900,10,FALSE)</f>
        <v>PRODUKTIF</v>
      </c>
      <c r="O774" s="55">
        <f>VLOOKUP(B774,'Data Angt'!$A$5:$H$5810,6,FALSE)</f>
        <v>49</v>
      </c>
      <c r="P774" s="55" t="str">
        <f>VLOOKUP(B774,'Data Angt'!$A$5:$H$5810,8,FALSE)</f>
        <v>Wiraswasta</v>
      </c>
    </row>
    <row r="775" spans="1:16" x14ac:dyDescent="0.3">
      <c r="A775" s="8">
        <v>768</v>
      </c>
      <c r="B775" s="9" t="s">
        <v>2637</v>
      </c>
      <c r="C775" s="10" t="str">
        <f>VLOOKUP(B775,'Data Angt'!$A$5:$B$5809,2,FALSE)</f>
        <v>A1103</v>
      </c>
      <c r="D775" s="12" t="s">
        <v>16472</v>
      </c>
      <c r="E775" s="13">
        <v>45567</v>
      </c>
      <c r="F775" s="14">
        <v>45903</v>
      </c>
      <c r="G775" s="15">
        <v>5000000</v>
      </c>
      <c r="H775" s="16">
        <v>12</v>
      </c>
      <c r="I775" s="17">
        <v>24</v>
      </c>
      <c r="J775" s="15">
        <v>464000</v>
      </c>
      <c r="K775" s="98">
        <f t="shared" si="33"/>
        <v>0</v>
      </c>
      <c r="L775" s="98" t="str">
        <f t="shared" si="34"/>
        <v>Lancar</v>
      </c>
      <c r="M775" s="5" t="str">
        <f t="shared" si="35"/>
        <v>002</v>
      </c>
      <c r="N775" s="55" t="str">
        <f>VLOOKUP(D775,Pinjaman!$E$7:$N$1900,10,FALSE)</f>
        <v>PRODUKTIF</v>
      </c>
      <c r="O775" s="55">
        <f>VLOOKUP(B775,'Data Angt'!$A$5:$H$5810,6,FALSE)</f>
        <v>42</v>
      </c>
      <c r="P775" s="55" t="str">
        <f>VLOOKUP(B775,'Data Angt'!$A$5:$H$5810,8,FALSE)</f>
        <v>Karyawan</v>
      </c>
    </row>
    <row r="776" spans="1:16" x14ac:dyDescent="0.3">
      <c r="A776" s="8">
        <v>769</v>
      </c>
      <c r="B776" s="9" t="s">
        <v>2637</v>
      </c>
      <c r="C776" s="10" t="str">
        <f>VLOOKUP(B776,'Data Angt'!$A$5:$B$5809,2,FALSE)</f>
        <v>A1103</v>
      </c>
      <c r="D776" s="12" t="s">
        <v>16469</v>
      </c>
      <c r="E776" s="13">
        <v>45358</v>
      </c>
      <c r="F776" s="14">
        <v>45903</v>
      </c>
      <c r="G776" s="15">
        <v>30000000</v>
      </c>
      <c r="H776" s="16">
        <v>36</v>
      </c>
      <c r="I776" s="17">
        <v>21</v>
      </c>
      <c r="J776" s="15">
        <v>17323400</v>
      </c>
      <c r="K776" s="98">
        <f t="shared" si="33"/>
        <v>0</v>
      </c>
      <c r="L776" s="98" t="str">
        <f t="shared" si="34"/>
        <v>Lancar</v>
      </c>
      <c r="M776" s="5" t="str">
        <f t="shared" si="35"/>
        <v>002</v>
      </c>
      <c r="N776" s="55" t="str">
        <f>VLOOKUP(D776,Pinjaman!$E$7:$N$1900,10,FALSE)</f>
        <v>KONSUMTIF</v>
      </c>
      <c r="O776" s="55">
        <f>VLOOKUP(B776,'Data Angt'!$A$5:$H$5810,6,FALSE)</f>
        <v>42</v>
      </c>
      <c r="P776" s="55" t="str">
        <f>VLOOKUP(B776,'Data Angt'!$A$5:$H$5810,8,FALSE)</f>
        <v>Karyawan</v>
      </c>
    </row>
    <row r="777" spans="1:16" x14ac:dyDescent="0.3">
      <c r="A777" s="8">
        <v>770</v>
      </c>
      <c r="B777" s="9" t="s">
        <v>2650</v>
      </c>
      <c r="C777" s="10" t="str">
        <f>VLOOKUP(B777,'Data Angt'!$A$5:$B$5809,2,FALSE)</f>
        <v>A1108</v>
      </c>
      <c r="D777" s="12" t="s">
        <v>16474</v>
      </c>
      <c r="E777" s="13">
        <v>45720</v>
      </c>
      <c r="F777" s="14">
        <v>45902</v>
      </c>
      <c r="G777" s="15">
        <v>10000000</v>
      </c>
      <c r="H777" s="16">
        <v>12</v>
      </c>
      <c r="I777" s="17">
        <v>24</v>
      </c>
      <c r="J777" s="15">
        <v>5296800</v>
      </c>
      <c r="K777" s="98">
        <f t="shared" ref="K777:K840" si="36">DATEDIF(F777,$K$6,"m")</f>
        <v>0</v>
      </c>
      <c r="L777" s="98" t="str">
        <f t="shared" ref="L777:L840" si="37">IF(K777&lt;=3,"Lancar",IF(K777&lt;=6,"Kurang lancar",IF(K777&lt;=12,"Diragukan","Macet")))</f>
        <v>Lancar</v>
      </c>
      <c r="M777" s="5" t="str">
        <f t="shared" ref="M777:M840" si="38">MID(B777,7,3)</f>
        <v>002</v>
      </c>
      <c r="N777" s="55">
        <f>VLOOKUP(D777,Pinjaman!$E$7:$N$1900,10,FALSE)</f>
        <v>0</v>
      </c>
      <c r="O777" s="55">
        <f>VLOOKUP(B777,'Data Angt'!$A$5:$H$5810,6,FALSE)</f>
        <v>57</v>
      </c>
      <c r="P777" s="55" t="str">
        <f>VLOOKUP(B777,'Data Angt'!$A$5:$H$5810,8,FALSE)</f>
        <v>Karyawan</v>
      </c>
    </row>
    <row r="778" spans="1:16" x14ac:dyDescent="0.3">
      <c r="A778" s="8">
        <v>771</v>
      </c>
      <c r="B778" s="9" t="s">
        <v>2650</v>
      </c>
      <c r="C778" s="10" t="str">
        <f>VLOOKUP(B778,'Data Angt'!$A$5:$B$5809,2,FALSE)</f>
        <v>A1108</v>
      </c>
      <c r="D778" s="12" t="s">
        <v>16476</v>
      </c>
      <c r="E778" s="13">
        <v>45811</v>
      </c>
      <c r="F778" s="14">
        <v>45902</v>
      </c>
      <c r="G778" s="15">
        <v>5000000</v>
      </c>
      <c r="H778" s="16">
        <v>10</v>
      </c>
      <c r="I778" s="17">
        <v>24</v>
      </c>
      <c r="J778" s="15">
        <v>3602400</v>
      </c>
      <c r="K778" s="98">
        <f t="shared" si="36"/>
        <v>0</v>
      </c>
      <c r="L778" s="98" t="str">
        <f t="shared" si="37"/>
        <v>Lancar</v>
      </c>
      <c r="M778" s="5" t="str">
        <f t="shared" si="38"/>
        <v>002</v>
      </c>
      <c r="N778" s="55" t="str">
        <f>VLOOKUP(D778,Pinjaman!$E$7:$N$1900,10,FALSE)</f>
        <v>PRODUKTIF</v>
      </c>
      <c r="O778" s="55">
        <f>VLOOKUP(B778,'Data Angt'!$A$5:$H$5810,6,FALSE)</f>
        <v>57</v>
      </c>
      <c r="P778" s="55" t="str">
        <f>VLOOKUP(B778,'Data Angt'!$A$5:$H$5810,8,FALSE)</f>
        <v>Karyawan</v>
      </c>
    </row>
    <row r="779" spans="1:16" x14ac:dyDescent="0.3">
      <c r="A779" s="8">
        <v>772</v>
      </c>
      <c r="B779" s="9" t="s">
        <v>2654</v>
      </c>
      <c r="C779" s="10" t="str">
        <f>VLOOKUP(B779,'Data Angt'!$A$5:$B$5809,2,FALSE)</f>
        <v>A1110</v>
      </c>
      <c r="D779" s="12" t="s">
        <v>22937</v>
      </c>
      <c r="E779" s="13">
        <v>45850</v>
      </c>
      <c r="F779" s="14">
        <v>45912</v>
      </c>
      <c r="G779" s="15">
        <v>3000000</v>
      </c>
      <c r="H779" s="16">
        <v>12</v>
      </c>
      <c r="I779" s="17">
        <v>24</v>
      </c>
      <c r="J779" s="15">
        <v>2548200</v>
      </c>
      <c r="K779" s="98">
        <f t="shared" si="36"/>
        <v>0</v>
      </c>
      <c r="L779" s="98" t="str">
        <f t="shared" si="37"/>
        <v>Lancar</v>
      </c>
      <c r="M779" s="5" t="str">
        <f t="shared" si="38"/>
        <v>002</v>
      </c>
      <c r="N779" s="55" t="str">
        <f>VLOOKUP(D779,Pinjaman!$E$7:$N$1900,10,FALSE)</f>
        <v>PENDIDIKAN</v>
      </c>
      <c r="O779" s="55">
        <f>VLOOKUP(B779,'Data Angt'!$A$5:$H$5810,6,FALSE)</f>
        <v>42</v>
      </c>
      <c r="P779" s="55" t="str">
        <f>VLOOKUP(B779,'Data Angt'!$A$5:$H$5810,8,FALSE)</f>
        <v>Tenaga Pengajar</v>
      </c>
    </row>
    <row r="780" spans="1:16" x14ac:dyDescent="0.3">
      <c r="A780" s="8">
        <v>773</v>
      </c>
      <c r="B780" s="9" t="s">
        <v>2750</v>
      </c>
      <c r="C780" s="10" t="str">
        <f>VLOOKUP(B780,'Data Angt'!$A$5:$B$5809,2,FALSE)</f>
        <v>A1153</v>
      </c>
      <c r="D780" s="12" t="s">
        <v>16478</v>
      </c>
      <c r="E780" s="13">
        <v>45342</v>
      </c>
      <c r="F780" s="14">
        <v>45920</v>
      </c>
      <c r="G780" s="15">
        <v>9000000</v>
      </c>
      <c r="H780" s="16">
        <v>36</v>
      </c>
      <c r="I780" s="17">
        <v>11.4</v>
      </c>
      <c r="J780" s="15">
        <v>4631800</v>
      </c>
      <c r="K780" s="98">
        <f t="shared" si="36"/>
        <v>0</v>
      </c>
      <c r="L780" s="98" t="str">
        <f t="shared" si="37"/>
        <v>Lancar</v>
      </c>
      <c r="M780" s="5" t="str">
        <f t="shared" si="38"/>
        <v>002</v>
      </c>
      <c r="N780" s="55" t="str">
        <f>VLOOKUP(D780,Pinjaman!$E$7:$N$1900,10,FALSE)</f>
        <v>KONSUMTIF</v>
      </c>
      <c r="O780" s="55">
        <f>VLOOKUP(B780,'Data Angt'!$A$5:$H$5810,6,FALSE)</f>
        <v>53</v>
      </c>
      <c r="P780" s="55" t="str">
        <f>VLOOKUP(B780,'Data Angt'!$A$5:$H$5810,8,FALSE)</f>
        <v>Mengurus Rumah Tangga</v>
      </c>
    </row>
    <row r="781" spans="1:16" x14ac:dyDescent="0.3">
      <c r="A781" s="8">
        <v>774</v>
      </c>
      <c r="B781" s="9" t="s">
        <v>12229</v>
      </c>
      <c r="C781" s="10" t="str">
        <f>VLOOKUP(B781,'Data Angt'!$A$5:$B$5809,2,FALSE)</f>
        <v>A1159</v>
      </c>
      <c r="D781" s="12" t="s">
        <v>16480</v>
      </c>
      <c r="E781" s="13">
        <v>45488</v>
      </c>
      <c r="F781" s="14">
        <v>45919</v>
      </c>
      <c r="G781" s="15">
        <v>5000000</v>
      </c>
      <c r="H781" s="16">
        <v>24</v>
      </c>
      <c r="I781" s="17">
        <v>11.64</v>
      </c>
      <c r="J781" s="15">
        <v>2224400</v>
      </c>
      <c r="K781" s="98">
        <f t="shared" si="36"/>
        <v>0</v>
      </c>
      <c r="L781" s="98" t="str">
        <f t="shared" si="37"/>
        <v>Lancar</v>
      </c>
      <c r="M781" s="5" t="str">
        <f t="shared" si="38"/>
        <v>002</v>
      </c>
      <c r="N781" s="55" t="str">
        <f>VLOOKUP(D781,Pinjaman!$E$7:$N$1900,10,FALSE)</f>
        <v>PENDIDIKAN</v>
      </c>
      <c r="O781" s="55">
        <f>VLOOKUP(B781,'Data Angt'!$A$5:$H$5810,6,FALSE)</f>
        <v>43</v>
      </c>
      <c r="P781" s="55" t="str">
        <f>VLOOKUP(B781,'Data Angt'!$A$5:$H$5810,8,FALSE)</f>
        <v>Aparatur/Pejabat Negara</v>
      </c>
    </row>
    <row r="782" spans="1:16" x14ac:dyDescent="0.3">
      <c r="A782" s="8">
        <v>775</v>
      </c>
      <c r="B782" s="9" t="s">
        <v>2782</v>
      </c>
      <c r="C782" s="10" t="str">
        <f>VLOOKUP(B782,'Data Angt'!$A$5:$B$5809,2,FALSE)</f>
        <v>A1169</v>
      </c>
      <c r="D782" s="12" t="s">
        <v>10269</v>
      </c>
      <c r="E782" s="13">
        <v>43595</v>
      </c>
      <c r="F782" s="14">
        <v>45624</v>
      </c>
      <c r="G782" s="15">
        <v>44500000</v>
      </c>
      <c r="H782" s="16">
        <v>60</v>
      </c>
      <c r="I782" s="17">
        <v>21</v>
      </c>
      <c r="J782" s="15">
        <v>31310600</v>
      </c>
      <c r="K782" s="98">
        <f t="shared" si="36"/>
        <v>10</v>
      </c>
      <c r="L782" s="98" t="str">
        <f t="shared" si="37"/>
        <v>Diragukan</v>
      </c>
      <c r="M782" s="5" t="str">
        <f t="shared" si="38"/>
        <v>002</v>
      </c>
      <c r="N782" s="55" t="str">
        <f>VLOOKUP(D782,Pinjaman!$E$7:$N$1900,10,FALSE)</f>
        <v>PRODUKTIF</v>
      </c>
      <c r="O782" s="55">
        <f>VLOOKUP(B782,'Data Angt'!$A$5:$H$5810,6,FALSE)</f>
        <v>44</v>
      </c>
      <c r="P782" s="55" t="str">
        <f>VLOOKUP(B782,'Data Angt'!$A$5:$H$5810,8,FALSE)</f>
        <v>Karyawan</v>
      </c>
    </row>
    <row r="783" spans="1:16" x14ac:dyDescent="0.3">
      <c r="A783" s="8">
        <v>776</v>
      </c>
      <c r="B783" s="9" t="s">
        <v>2789</v>
      </c>
      <c r="C783" s="10" t="str">
        <f>VLOOKUP(B783,'Data Angt'!$A$5:$B$5809,2,FALSE)</f>
        <v>A1172</v>
      </c>
      <c r="D783" s="12" t="s">
        <v>16482</v>
      </c>
      <c r="E783" s="13">
        <v>45780</v>
      </c>
      <c r="F783" s="14">
        <v>45903</v>
      </c>
      <c r="G783" s="15">
        <v>15000000</v>
      </c>
      <c r="H783" s="16">
        <v>24</v>
      </c>
      <c r="I783" s="17">
        <v>24</v>
      </c>
      <c r="J783" s="15">
        <v>12500000</v>
      </c>
      <c r="K783" s="98">
        <f t="shared" si="36"/>
        <v>0</v>
      </c>
      <c r="L783" s="98" t="str">
        <f t="shared" si="37"/>
        <v>Lancar</v>
      </c>
      <c r="M783" s="5" t="str">
        <f t="shared" si="38"/>
        <v>002</v>
      </c>
      <c r="N783" s="55" t="str">
        <f>VLOOKUP(D783,Pinjaman!$E$7:$N$1900,10,FALSE)</f>
        <v>PRODUKTIF</v>
      </c>
      <c r="O783" s="55">
        <f>VLOOKUP(B783,'Data Angt'!$A$5:$H$5810,6,FALSE)</f>
        <v>49</v>
      </c>
      <c r="P783" s="55" t="str">
        <f>VLOOKUP(B783,'Data Angt'!$A$5:$H$5810,8,FALSE)</f>
        <v>Wiraswasta</v>
      </c>
    </row>
    <row r="784" spans="1:16" x14ac:dyDescent="0.3">
      <c r="A784" s="8">
        <v>777</v>
      </c>
      <c r="B784" s="9" t="s">
        <v>2945</v>
      </c>
      <c r="C784" s="10" t="str">
        <f>VLOOKUP(B784,'Data Angt'!$A$5:$B$5809,2,FALSE)</f>
        <v>A1245</v>
      </c>
      <c r="D784" s="12" t="s">
        <v>10271</v>
      </c>
      <c r="E784" s="13">
        <v>43675</v>
      </c>
      <c r="F784" s="14">
        <v>44680</v>
      </c>
      <c r="G784" s="15">
        <v>125000000</v>
      </c>
      <c r="H784" s="16">
        <v>48</v>
      </c>
      <c r="I784" s="17">
        <v>21</v>
      </c>
      <c r="J784" s="15">
        <v>94227200</v>
      </c>
      <c r="K784" s="98">
        <f t="shared" si="36"/>
        <v>41</v>
      </c>
      <c r="L784" s="98" t="str">
        <f t="shared" si="37"/>
        <v>Macet</v>
      </c>
      <c r="M784" s="5" t="str">
        <f t="shared" si="38"/>
        <v>002</v>
      </c>
      <c r="N784" s="55" t="str">
        <f>VLOOKUP(D784,Pinjaman!$E$7:$N$1900,10,FALSE)</f>
        <v>PRODUKTIF</v>
      </c>
      <c r="O784" s="55">
        <f>VLOOKUP(B784,'Data Angt'!$A$5:$H$5810,6,FALSE)</f>
        <v>45</v>
      </c>
      <c r="P784" s="55" t="str">
        <f>VLOOKUP(B784,'Data Angt'!$A$5:$H$5810,8,FALSE)</f>
        <v>Wiraswasta</v>
      </c>
    </row>
    <row r="785" spans="1:16" x14ac:dyDescent="0.3">
      <c r="A785" s="8">
        <v>778</v>
      </c>
      <c r="B785" s="9" t="s">
        <v>2953</v>
      </c>
      <c r="C785" s="10" t="str">
        <f>VLOOKUP(B785,'Data Angt'!$A$5:$B$5809,2,FALSE)</f>
        <v>A1248</v>
      </c>
      <c r="D785" s="12" t="s">
        <v>10274</v>
      </c>
      <c r="E785" s="13">
        <v>44945</v>
      </c>
      <c r="F785" s="14">
        <v>45500</v>
      </c>
      <c r="G785" s="15">
        <v>100000000</v>
      </c>
      <c r="H785" s="16">
        <v>60</v>
      </c>
      <c r="I785" s="17">
        <v>21</v>
      </c>
      <c r="J785" s="15">
        <v>81273500</v>
      </c>
      <c r="K785" s="98">
        <f t="shared" si="36"/>
        <v>14</v>
      </c>
      <c r="L785" s="98" t="str">
        <f t="shared" si="37"/>
        <v>Macet</v>
      </c>
      <c r="M785" s="5" t="str">
        <f t="shared" si="38"/>
        <v>002</v>
      </c>
      <c r="N785" s="55" t="str">
        <f>VLOOKUP(D785,Pinjaman!$E$7:$N$1900,10,FALSE)</f>
        <v>PRODUKTIF</v>
      </c>
      <c r="O785" s="55">
        <f>VLOOKUP(B785,'Data Angt'!$A$5:$H$5810,6,FALSE)</f>
        <v>53</v>
      </c>
      <c r="P785" s="55" t="str">
        <f>VLOOKUP(B785,'Data Angt'!$A$5:$H$5810,8,FALSE)</f>
        <v>Tenaga Pengajar</v>
      </c>
    </row>
    <row r="786" spans="1:16" x14ac:dyDescent="0.3">
      <c r="A786" s="8">
        <v>779</v>
      </c>
      <c r="B786" s="9" t="s">
        <v>3026</v>
      </c>
      <c r="C786" s="10" t="str">
        <f>VLOOKUP(B786,'Data Angt'!$A$5:$B$5809,2,FALSE)</f>
        <v>A1280</v>
      </c>
      <c r="D786" s="12" t="s">
        <v>16484</v>
      </c>
      <c r="E786" s="13">
        <v>45712</v>
      </c>
      <c r="F786" s="14">
        <v>45918</v>
      </c>
      <c r="G786" s="15">
        <v>10000000</v>
      </c>
      <c r="H786" s="16">
        <v>12</v>
      </c>
      <c r="I786" s="17">
        <v>24</v>
      </c>
      <c r="J786" s="15">
        <v>4457200</v>
      </c>
      <c r="K786" s="98">
        <f t="shared" si="36"/>
        <v>0</v>
      </c>
      <c r="L786" s="98" t="str">
        <f t="shared" si="37"/>
        <v>Lancar</v>
      </c>
      <c r="M786" s="5" t="str">
        <f t="shared" si="38"/>
        <v>002</v>
      </c>
      <c r="N786" s="55" t="str">
        <f>VLOOKUP(D786,Pinjaman!$E$7:$N$1900,10,FALSE)</f>
        <v>PRODUKTIF</v>
      </c>
      <c r="O786" s="55">
        <f>VLOOKUP(B786,'Data Angt'!$A$5:$H$5810,6,FALSE)</f>
        <v>48</v>
      </c>
      <c r="P786" s="55" t="str">
        <f>VLOOKUP(B786,'Data Angt'!$A$5:$H$5810,8,FALSE)</f>
        <v>Wiraswasta</v>
      </c>
    </row>
    <row r="787" spans="1:16" x14ac:dyDescent="0.3">
      <c r="A787" s="8">
        <v>780</v>
      </c>
      <c r="B787" s="9" t="s">
        <v>3027</v>
      </c>
      <c r="C787" s="10" t="str">
        <f>VLOOKUP(B787,'Data Angt'!$A$5:$B$5809,2,FALSE)</f>
        <v>A1281</v>
      </c>
      <c r="D787" s="12" t="s">
        <v>16487</v>
      </c>
      <c r="E787" s="13">
        <v>45482</v>
      </c>
      <c r="F787" s="14">
        <v>45912</v>
      </c>
      <c r="G787" s="15">
        <v>5000000</v>
      </c>
      <c r="H787" s="16">
        <v>24</v>
      </c>
      <c r="I787" s="17">
        <v>24</v>
      </c>
      <c r="J787" s="15">
        <v>2082400</v>
      </c>
      <c r="K787" s="98">
        <f t="shared" si="36"/>
        <v>0</v>
      </c>
      <c r="L787" s="98" t="str">
        <f t="shared" si="37"/>
        <v>Lancar</v>
      </c>
      <c r="M787" s="5" t="str">
        <f t="shared" si="38"/>
        <v>002</v>
      </c>
      <c r="N787" s="55" t="str">
        <f>VLOOKUP(D787,Pinjaman!$E$7:$N$1900,10,FALSE)</f>
        <v>PRODUKTIF</v>
      </c>
      <c r="O787" s="55">
        <f>VLOOKUP(B787,'Data Angt'!$A$5:$H$5810,6,FALSE)</f>
        <v>37</v>
      </c>
      <c r="P787" s="55" t="str">
        <f>VLOOKUP(B787,'Data Angt'!$A$5:$H$5810,8,FALSE)</f>
        <v>Lain-Lain</v>
      </c>
    </row>
    <row r="788" spans="1:16" x14ac:dyDescent="0.3">
      <c r="A788" s="8">
        <v>781</v>
      </c>
      <c r="B788" s="9" t="s">
        <v>3080</v>
      </c>
      <c r="C788" s="10" t="str">
        <f>VLOOKUP(B788,'Data Angt'!$A$5:$B$5809,2,FALSE)</f>
        <v>A1304</v>
      </c>
      <c r="D788" s="12" t="s">
        <v>16490</v>
      </c>
      <c r="E788" s="13">
        <v>45502</v>
      </c>
      <c r="F788" s="14">
        <v>45929</v>
      </c>
      <c r="G788" s="15">
        <v>4000000</v>
      </c>
      <c r="H788" s="16">
        <v>24</v>
      </c>
      <c r="I788" s="17">
        <v>11.64</v>
      </c>
      <c r="J788" s="15">
        <v>1779400</v>
      </c>
      <c r="K788" s="98">
        <f t="shared" si="36"/>
        <v>0</v>
      </c>
      <c r="L788" s="98" t="str">
        <f t="shared" si="37"/>
        <v>Lancar</v>
      </c>
      <c r="M788" s="5" t="str">
        <f t="shared" si="38"/>
        <v>002</v>
      </c>
      <c r="N788" s="55" t="str">
        <f>VLOOKUP(D788,Pinjaman!$E$7:$N$1900,10,FALSE)</f>
        <v>PRODUKTIF</v>
      </c>
      <c r="O788" s="55">
        <f>VLOOKUP(B788,'Data Angt'!$A$5:$H$5810,6,FALSE)</f>
        <v>34</v>
      </c>
      <c r="P788" s="55" t="str">
        <f>VLOOKUP(B788,'Data Angt'!$A$5:$H$5810,8,FALSE)</f>
        <v>Wiraswasta</v>
      </c>
    </row>
    <row r="789" spans="1:16" x14ac:dyDescent="0.3">
      <c r="A789" s="8">
        <v>782</v>
      </c>
      <c r="B789" s="9" t="s">
        <v>3192</v>
      </c>
      <c r="C789" s="10" t="str">
        <f>VLOOKUP(B789,'Data Angt'!$A$5:$B$5809,2,FALSE)</f>
        <v>A1353</v>
      </c>
      <c r="D789" s="12" t="s">
        <v>16493</v>
      </c>
      <c r="E789" s="13">
        <v>45440</v>
      </c>
      <c r="F789" s="14">
        <v>45929</v>
      </c>
      <c r="G789" s="15">
        <v>4500000</v>
      </c>
      <c r="H789" s="16">
        <v>24</v>
      </c>
      <c r="I789" s="17">
        <v>24</v>
      </c>
      <c r="J789" s="15">
        <v>1500000</v>
      </c>
      <c r="K789" s="98">
        <f t="shared" si="36"/>
        <v>0</v>
      </c>
      <c r="L789" s="98" t="str">
        <f t="shared" si="37"/>
        <v>Lancar</v>
      </c>
      <c r="M789" s="5" t="str">
        <f t="shared" si="38"/>
        <v>002</v>
      </c>
      <c r="N789" s="55" t="str">
        <f>VLOOKUP(D789,Pinjaman!$E$7:$N$1900,10,FALSE)</f>
        <v>PRODUKTIF</v>
      </c>
      <c r="O789" s="55">
        <f>VLOOKUP(B789,'Data Angt'!$A$5:$H$5810,6,FALSE)</f>
        <v>50</v>
      </c>
      <c r="P789" s="55" t="str">
        <f>VLOOKUP(B789,'Data Angt'!$A$5:$H$5810,8,FALSE)</f>
        <v>Wiraswasta</v>
      </c>
    </row>
    <row r="790" spans="1:16" x14ac:dyDescent="0.3">
      <c r="A790" s="8">
        <v>783</v>
      </c>
      <c r="B790" s="9" t="s">
        <v>3222</v>
      </c>
      <c r="C790" s="10" t="str">
        <f>VLOOKUP(B790,'Data Angt'!$A$5:$B$5809,2,FALSE)</f>
        <v>A1367</v>
      </c>
      <c r="D790" s="12" t="s">
        <v>16495</v>
      </c>
      <c r="E790" s="13">
        <v>45803</v>
      </c>
      <c r="F790" s="14">
        <v>45925</v>
      </c>
      <c r="G790" s="15">
        <v>5000000</v>
      </c>
      <c r="H790" s="16">
        <v>10</v>
      </c>
      <c r="I790" s="17">
        <v>24</v>
      </c>
      <c r="J790" s="15">
        <v>3000000</v>
      </c>
      <c r="K790" s="98">
        <f t="shared" si="36"/>
        <v>0</v>
      </c>
      <c r="L790" s="98" t="str">
        <f t="shared" si="37"/>
        <v>Lancar</v>
      </c>
      <c r="M790" s="5" t="str">
        <f t="shared" si="38"/>
        <v>002</v>
      </c>
      <c r="N790" s="55" t="str">
        <f>VLOOKUP(D790,Pinjaman!$E$7:$N$1900,10,FALSE)</f>
        <v>KONSUMTIF</v>
      </c>
      <c r="O790" s="55">
        <f>VLOOKUP(B790,'Data Angt'!$A$5:$H$5810,6,FALSE)</f>
        <v>41</v>
      </c>
      <c r="P790" s="55" t="str">
        <f>VLOOKUP(B790,'Data Angt'!$A$5:$H$5810,8,FALSE)</f>
        <v>Karyawan</v>
      </c>
    </row>
    <row r="791" spans="1:16" x14ac:dyDescent="0.3">
      <c r="A791" s="8">
        <v>784</v>
      </c>
      <c r="B791" s="9" t="s">
        <v>3222</v>
      </c>
      <c r="C791" s="10" t="str">
        <f>VLOOKUP(B791,'Data Angt'!$A$5:$B$5809,2,FALSE)</f>
        <v>A1367</v>
      </c>
      <c r="D791" s="12" t="s">
        <v>10278</v>
      </c>
      <c r="E791" s="13">
        <v>44950</v>
      </c>
      <c r="F791" s="14">
        <v>45924</v>
      </c>
      <c r="G791" s="15">
        <v>45000000</v>
      </c>
      <c r="H791" s="16">
        <v>48</v>
      </c>
      <c r="I791" s="17">
        <v>21</v>
      </c>
      <c r="J791" s="15">
        <v>20337600</v>
      </c>
      <c r="K791" s="98">
        <f t="shared" si="36"/>
        <v>0</v>
      </c>
      <c r="L791" s="98" t="str">
        <f t="shared" si="37"/>
        <v>Lancar</v>
      </c>
      <c r="M791" s="5" t="str">
        <f t="shared" si="38"/>
        <v>002</v>
      </c>
      <c r="N791" s="55" t="str">
        <f>VLOOKUP(D791,Pinjaman!$E$7:$N$1900,10,FALSE)</f>
        <v>KONSUMTIF</v>
      </c>
      <c r="O791" s="55">
        <f>VLOOKUP(B791,'Data Angt'!$A$5:$H$5810,6,FALSE)</f>
        <v>41</v>
      </c>
      <c r="P791" s="55" t="str">
        <f>VLOOKUP(B791,'Data Angt'!$A$5:$H$5810,8,FALSE)</f>
        <v>Karyawan</v>
      </c>
    </row>
    <row r="792" spans="1:16" x14ac:dyDescent="0.3">
      <c r="A792" s="8">
        <v>785</v>
      </c>
      <c r="B792" s="9" t="s">
        <v>3224</v>
      </c>
      <c r="C792" s="10" t="str">
        <f>VLOOKUP(B792,'Data Angt'!$A$5:$B$5809,2,FALSE)</f>
        <v>A1368</v>
      </c>
      <c r="D792" s="12" t="s">
        <v>10280</v>
      </c>
      <c r="E792" s="13">
        <v>44580</v>
      </c>
      <c r="F792" s="14">
        <v>44879</v>
      </c>
      <c r="G792" s="15">
        <v>70000000</v>
      </c>
      <c r="H792" s="16">
        <v>48</v>
      </c>
      <c r="I792" s="17">
        <v>21</v>
      </c>
      <c r="J792" s="15">
        <v>60898200</v>
      </c>
      <c r="K792" s="98">
        <f t="shared" si="36"/>
        <v>34</v>
      </c>
      <c r="L792" s="98" t="str">
        <f t="shared" si="37"/>
        <v>Macet</v>
      </c>
      <c r="M792" s="5" t="str">
        <f t="shared" si="38"/>
        <v>002</v>
      </c>
      <c r="N792" s="55" t="str">
        <f>VLOOKUP(D792,Pinjaman!$E$7:$N$1900,10,FALSE)</f>
        <v>PRODUKTIF</v>
      </c>
      <c r="O792" s="55">
        <f>VLOOKUP(B792,'Data Angt'!$A$5:$H$5810,6,FALSE)</f>
        <v>38</v>
      </c>
      <c r="P792" s="55" t="str">
        <f>VLOOKUP(B792,'Data Angt'!$A$5:$H$5810,8,FALSE)</f>
        <v>Karyawan</v>
      </c>
    </row>
    <row r="793" spans="1:16" x14ac:dyDescent="0.3">
      <c r="A793" s="8">
        <v>786</v>
      </c>
      <c r="B793" s="9" t="s">
        <v>3224</v>
      </c>
      <c r="C793" s="10" t="str">
        <f>VLOOKUP(B793,'Data Angt'!$A$5:$B$5809,2,FALSE)</f>
        <v>A1368</v>
      </c>
      <c r="D793" s="12" t="s">
        <v>10283</v>
      </c>
      <c r="E793" s="13">
        <v>44818</v>
      </c>
      <c r="F793" s="14">
        <v>45152</v>
      </c>
      <c r="G793" s="15">
        <v>5000000</v>
      </c>
      <c r="H793" s="16">
        <v>12</v>
      </c>
      <c r="I793" s="17">
        <v>24</v>
      </c>
      <c r="J793" s="15">
        <v>3060100</v>
      </c>
      <c r="K793" s="98">
        <f t="shared" si="36"/>
        <v>25</v>
      </c>
      <c r="L793" s="98" t="str">
        <f t="shared" si="37"/>
        <v>Macet</v>
      </c>
      <c r="M793" s="5" t="str">
        <f t="shared" si="38"/>
        <v>002</v>
      </c>
      <c r="N793" s="55" t="str">
        <f>VLOOKUP(D793,Pinjaman!$E$7:$N$1900,10,FALSE)</f>
        <v>PRODUKTIF</v>
      </c>
      <c r="O793" s="55">
        <f>VLOOKUP(B793,'Data Angt'!$A$5:$H$5810,6,FALSE)</f>
        <v>38</v>
      </c>
      <c r="P793" s="55" t="str">
        <f>VLOOKUP(B793,'Data Angt'!$A$5:$H$5810,8,FALSE)</f>
        <v>Karyawan</v>
      </c>
    </row>
    <row r="794" spans="1:16" x14ac:dyDescent="0.3">
      <c r="A794" s="8">
        <v>787</v>
      </c>
      <c r="B794" s="9" t="s">
        <v>3271</v>
      </c>
      <c r="C794" s="10" t="str">
        <f>VLOOKUP(B794,'Data Angt'!$A$5:$B$5809,2,FALSE)</f>
        <v>A1388</v>
      </c>
      <c r="D794" s="12" t="s">
        <v>16497</v>
      </c>
      <c r="E794" s="13">
        <v>45724</v>
      </c>
      <c r="F794" s="14">
        <v>45908</v>
      </c>
      <c r="G794" s="15">
        <v>30000000</v>
      </c>
      <c r="H794" s="16">
        <v>30</v>
      </c>
      <c r="I794" s="17">
        <v>21</v>
      </c>
      <c r="J794" s="15">
        <v>24000000</v>
      </c>
      <c r="K794" s="98">
        <f t="shared" si="36"/>
        <v>0</v>
      </c>
      <c r="L794" s="98" t="str">
        <f t="shared" si="37"/>
        <v>Lancar</v>
      </c>
      <c r="M794" s="5" t="str">
        <f t="shared" si="38"/>
        <v>002</v>
      </c>
      <c r="N794" s="55" t="str">
        <f>VLOOKUP(D794,Pinjaman!$E$7:$N$1900,10,FALSE)</f>
        <v>PENDIDIKAN</v>
      </c>
      <c r="O794" s="55">
        <f>VLOOKUP(B794,'Data Angt'!$A$5:$H$5810,6,FALSE)</f>
        <v>55</v>
      </c>
      <c r="P794" s="55" t="str">
        <f>VLOOKUP(B794,'Data Angt'!$A$5:$H$5810,8,FALSE)</f>
        <v>Tenaga Pengajar</v>
      </c>
    </row>
    <row r="795" spans="1:16" x14ac:dyDescent="0.3">
      <c r="A795" s="8">
        <v>788</v>
      </c>
      <c r="B795" s="9" t="s">
        <v>3349</v>
      </c>
      <c r="C795" s="10" t="str">
        <f>VLOOKUP(B795,'Data Angt'!$A$5:$B$5809,2,FALSE)</f>
        <v>A1423</v>
      </c>
      <c r="D795" s="12" t="s">
        <v>16499</v>
      </c>
      <c r="E795" s="13">
        <v>45730</v>
      </c>
      <c r="F795" s="14">
        <v>45917</v>
      </c>
      <c r="G795" s="15">
        <v>11000000</v>
      </c>
      <c r="H795" s="16">
        <v>24</v>
      </c>
      <c r="I795" s="17">
        <v>24</v>
      </c>
      <c r="J795" s="15">
        <v>8719100</v>
      </c>
      <c r="K795" s="98">
        <f t="shared" si="36"/>
        <v>0</v>
      </c>
      <c r="L795" s="98" t="str">
        <f t="shared" si="37"/>
        <v>Lancar</v>
      </c>
      <c r="M795" s="5" t="str">
        <f t="shared" si="38"/>
        <v>002</v>
      </c>
      <c r="N795" s="55" t="str">
        <f>VLOOKUP(D795,Pinjaman!$E$7:$N$1900,10,FALSE)</f>
        <v>PRODUKTIF</v>
      </c>
      <c r="O795" s="55">
        <f>VLOOKUP(B795,'Data Angt'!$A$5:$H$5810,6,FALSE)</f>
        <v>43</v>
      </c>
      <c r="P795" s="55" t="str">
        <f>VLOOKUP(B795,'Data Angt'!$A$5:$H$5810,8,FALSE)</f>
        <v>Tenaga Pengajar</v>
      </c>
    </row>
    <row r="796" spans="1:16" x14ac:dyDescent="0.3">
      <c r="A796" s="8">
        <v>789</v>
      </c>
      <c r="B796" s="9" t="s">
        <v>3349</v>
      </c>
      <c r="C796" s="10" t="str">
        <f>VLOOKUP(B796,'Data Angt'!$A$5:$B$5809,2,FALSE)</f>
        <v>A1423</v>
      </c>
      <c r="D796" s="12" t="s">
        <v>16501</v>
      </c>
      <c r="E796" s="13">
        <v>45820</v>
      </c>
      <c r="F796" s="14">
        <v>45912</v>
      </c>
      <c r="G796" s="15">
        <v>5000000</v>
      </c>
      <c r="H796" s="16">
        <v>12</v>
      </c>
      <c r="I796" s="17">
        <v>24</v>
      </c>
      <c r="J796" s="15">
        <v>3859200</v>
      </c>
      <c r="K796" s="98">
        <f t="shared" si="36"/>
        <v>0</v>
      </c>
      <c r="L796" s="98" t="str">
        <f t="shared" si="37"/>
        <v>Lancar</v>
      </c>
      <c r="M796" s="5" t="str">
        <f t="shared" si="38"/>
        <v>002</v>
      </c>
      <c r="N796" s="55" t="str">
        <f>VLOOKUP(D796,Pinjaman!$E$7:$N$1900,10,FALSE)</f>
        <v>PRODUKTIF</v>
      </c>
      <c r="O796" s="55">
        <f>VLOOKUP(B796,'Data Angt'!$A$5:$H$5810,6,FALSE)</f>
        <v>43</v>
      </c>
      <c r="P796" s="55" t="str">
        <f>VLOOKUP(B796,'Data Angt'!$A$5:$H$5810,8,FALSE)</f>
        <v>Tenaga Pengajar</v>
      </c>
    </row>
    <row r="797" spans="1:16" x14ac:dyDescent="0.3">
      <c r="A797" s="8">
        <v>790</v>
      </c>
      <c r="B797" s="9" t="s">
        <v>3355</v>
      </c>
      <c r="C797" s="10" t="str">
        <f>VLOOKUP(B797,'Data Angt'!$A$5:$B$5809,2,FALSE)</f>
        <v>A1426</v>
      </c>
      <c r="D797" s="12" t="s">
        <v>10286</v>
      </c>
      <c r="E797" s="13">
        <v>43428</v>
      </c>
      <c r="F797" s="14">
        <v>45926</v>
      </c>
      <c r="G797" s="15">
        <v>150000000</v>
      </c>
      <c r="H797" s="16">
        <v>60</v>
      </c>
      <c r="I797" s="17">
        <v>21</v>
      </c>
      <c r="J797" s="15">
        <v>24220500</v>
      </c>
      <c r="K797" s="98">
        <f t="shared" si="36"/>
        <v>0</v>
      </c>
      <c r="L797" s="98" t="str">
        <f t="shared" si="37"/>
        <v>Lancar</v>
      </c>
      <c r="M797" s="5" t="str">
        <f t="shared" si="38"/>
        <v>002</v>
      </c>
      <c r="N797" s="55" t="str">
        <f>VLOOKUP(D797,Pinjaman!$E$7:$N$1900,10,FALSE)</f>
        <v>KONSUMTIF</v>
      </c>
      <c r="O797" s="55">
        <f>VLOOKUP(B797,'Data Angt'!$A$5:$H$5810,6,FALSE)</f>
        <v>56</v>
      </c>
      <c r="P797" s="55" t="str">
        <f>VLOOKUP(B797,'Data Angt'!$A$5:$H$5810,8,FALSE)</f>
        <v>Wiraswasta</v>
      </c>
    </row>
    <row r="798" spans="1:16" x14ac:dyDescent="0.3">
      <c r="A798" s="8">
        <v>791</v>
      </c>
      <c r="B798" s="9" t="s">
        <v>3383</v>
      </c>
      <c r="C798" s="10" t="str">
        <f>VLOOKUP(B798,'Data Angt'!$A$5:$B$5809,2,FALSE)</f>
        <v>A1437</v>
      </c>
      <c r="D798" s="12" t="s">
        <v>16503</v>
      </c>
      <c r="E798" s="13">
        <v>45772</v>
      </c>
      <c r="F798" s="14">
        <v>45927</v>
      </c>
      <c r="G798" s="15">
        <v>35000000</v>
      </c>
      <c r="H798" s="16">
        <v>48</v>
      </c>
      <c r="I798" s="17">
        <v>21</v>
      </c>
      <c r="J798" s="15">
        <v>31354000</v>
      </c>
      <c r="K798" s="98">
        <f t="shared" si="36"/>
        <v>0</v>
      </c>
      <c r="L798" s="98" t="str">
        <f t="shared" si="37"/>
        <v>Lancar</v>
      </c>
      <c r="M798" s="5" t="str">
        <f t="shared" si="38"/>
        <v>002</v>
      </c>
      <c r="N798" s="55" t="str">
        <f>VLOOKUP(D798,Pinjaman!$E$7:$N$1900,10,FALSE)</f>
        <v>PRODUKTIF</v>
      </c>
      <c r="O798" s="55">
        <f>VLOOKUP(B798,'Data Angt'!$A$5:$H$5810,6,FALSE)</f>
        <v>60</v>
      </c>
      <c r="P798" s="55" t="str">
        <f>VLOOKUP(B798,'Data Angt'!$A$5:$H$5810,8,FALSE)</f>
        <v>Wiraswasta</v>
      </c>
    </row>
    <row r="799" spans="1:16" x14ac:dyDescent="0.3">
      <c r="A799" s="8">
        <v>792</v>
      </c>
      <c r="B799" s="9" t="s">
        <v>3383</v>
      </c>
      <c r="C799" s="10" t="str">
        <f>VLOOKUP(B799,'Data Angt'!$A$5:$B$5809,2,FALSE)</f>
        <v>A1437</v>
      </c>
      <c r="D799" s="12" t="s">
        <v>16505</v>
      </c>
      <c r="E799" s="13">
        <v>45644</v>
      </c>
      <c r="F799" s="14">
        <v>45912</v>
      </c>
      <c r="G799" s="15">
        <v>5000000</v>
      </c>
      <c r="H799" s="16">
        <v>12</v>
      </c>
      <c r="I799" s="17">
        <v>11.88</v>
      </c>
      <c r="J799" s="15">
        <v>1305900</v>
      </c>
      <c r="K799" s="98">
        <f t="shared" si="36"/>
        <v>0</v>
      </c>
      <c r="L799" s="98" t="str">
        <f t="shared" si="37"/>
        <v>Lancar</v>
      </c>
      <c r="M799" s="5" t="str">
        <f t="shared" si="38"/>
        <v>002</v>
      </c>
      <c r="N799" s="55" t="str">
        <f>VLOOKUP(D799,Pinjaman!$E$7:$N$1900,10,FALSE)</f>
        <v>PRODUKTIF</v>
      </c>
      <c r="O799" s="55">
        <f>VLOOKUP(B799,'Data Angt'!$A$5:$H$5810,6,FALSE)</f>
        <v>60</v>
      </c>
      <c r="P799" s="55" t="str">
        <f>VLOOKUP(B799,'Data Angt'!$A$5:$H$5810,8,FALSE)</f>
        <v>Wiraswasta</v>
      </c>
    </row>
    <row r="800" spans="1:16" x14ac:dyDescent="0.3">
      <c r="A800" s="8">
        <v>793</v>
      </c>
      <c r="B800" s="9" t="s">
        <v>3441</v>
      </c>
      <c r="C800" s="10" t="str">
        <f>VLOOKUP(B800,'Data Angt'!$A$5:$B$5809,2,FALSE)</f>
        <v>A1467</v>
      </c>
      <c r="D800" s="12" t="s">
        <v>16507</v>
      </c>
      <c r="E800" s="13">
        <v>45801</v>
      </c>
      <c r="F800" s="14">
        <v>45925</v>
      </c>
      <c r="G800" s="15">
        <v>7000000</v>
      </c>
      <c r="H800" s="16">
        <v>10</v>
      </c>
      <c r="I800" s="17">
        <v>24</v>
      </c>
      <c r="J800" s="15">
        <v>4365200</v>
      </c>
      <c r="K800" s="98">
        <f t="shared" si="36"/>
        <v>0</v>
      </c>
      <c r="L800" s="98" t="str">
        <f t="shared" si="37"/>
        <v>Lancar</v>
      </c>
      <c r="M800" s="5" t="str">
        <f t="shared" si="38"/>
        <v>002</v>
      </c>
      <c r="N800" s="55" t="str">
        <f>VLOOKUP(D800,Pinjaman!$E$7:$N$1900,10,FALSE)</f>
        <v>PRODUKTIF</v>
      </c>
      <c r="O800" s="55">
        <f>VLOOKUP(B800,'Data Angt'!$A$5:$H$5810,6,FALSE)</f>
        <v>54</v>
      </c>
      <c r="P800" s="55" t="str">
        <f>VLOOKUP(B800,'Data Angt'!$A$5:$H$5810,8,FALSE)</f>
        <v>Petani/Pekebun/Nelayan</v>
      </c>
    </row>
    <row r="801" spans="1:16" x14ac:dyDescent="0.3">
      <c r="A801" s="8">
        <v>794</v>
      </c>
      <c r="B801" s="9" t="s">
        <v>3468</v>
      </c>
      <c r="C801" s="10" t="str">
        <f>VLOOKUP(B801,'Data Angt'!$A$5:$B$5809,2,FALSE)</f>
        <v>A1479</v>
      </c>
      <c r="D801" s="12" t="s">
        <v>16511</v>
      </c>
      <c r="E801" s="13">
        <v>45422</v>
      </c>
      <c r="F801" s="14">
        <v>45903</v>
      </c>
      <c r="G801" s="15">
        <v>12000000</v>
      </c>
      <c r="H801" s="16">
        <v>36</v>
      </c>
      <c r="I801" s="17">
        <v>24</v>
      </c>
      <c r="J801" s="15">
        <v>7698500</v>
      </c>
      <c r="K801" s="98">
        <f t="shared" si="36"/>
        <v>0</v>
      </c>
      <c r="L801" s="98" t="str">
        <f t="shared" si="37"/>
        <v>Lancar</v>
      </c>
      <c r="M801" s="5" t="str">
        <f t="shared" si="38"/>
        <v>002</v>
      </c>
      <c r="N801" s="55" t="str">
        <f>VLOOKUP(D801,Pinjaman!$E$7:$N$1900,10,FALSE)</f>
        <v>PRODUKTIF</v>
      </c>
      <c r="O801" s="55">
        <f>VLOOKUP(B801,'Data Angt'!$A$5:$H$5810,6,FALSE)</f>
        <v>58</v>
      </c>
      <c r="P801" s="55" t="str">
        <f>VLOOKUP(B801,'Data Angt'!$A$5:$H$5810,8,FALSE)</f>
        <v>Wiraswasta</v>
      </c>
    </row>
    <row r="802" spans="1:16" x14ac:dyDescent="0.3">
      <c r="A802" s="8">
        <v>795</v>
      </c>
      <c r="B802" s="9" t="s">
        <v>3468</v>
      </c>
      <c r="C802" s="10" t="str">
        <f>VLOOKUP(B802,'Data Angt'!$A$5:$B$5809,2,FALSE)</f>
        <v>A1479</v>
      </c>
      <c r="D802" s="12" t="s">
        <v>16509</v>
      </c>
      <c r="E802" s="13">
        <v>45770</v>
      </c>
      <c r="F802" s="14">
        <v>45903</v>
      </c>
      <c r="G802" s="15">
        <v>5000000</v>
      </c>
      <c r="H802" s="16">
        <v>12</v>
      </c>
      <c r="I802" s="17">
        <v>11.88</v>
      </c>
      <c r="J802" s="15">
        <v>2988200</v>
      </c>
      <c r="K802" s="98">
        <f t="shared" si="36"/>
        <v>0</v>
      </c>
      <c r="L802" s="98" t="str">
        <f t="shared" si="37"/>
        <v>Lancar</v>
      </c>
      <c r="M802" s="5" t="str">
        <f t="shared" si="38"/>
        <v>002</v>
      </c>
      <c r="N802" s="55" t="str">
        <f>VLOOKUP(D802,Pinjaman!$E$7:$N$1900,10,FALSE)</f>
        <v>PRODUKTIF</v>
      </c>
      <c r="O802" s="55">
        <f>VLOOKUP(B802,'Data Angt'!$A$5:$H$5810,6,FALSE)</f>
        <v>58</v>
      </c>
      <c r="P802" s="55" t="str">
        <f>VLOOKUP(B802,'Data Angt'!$A$5:$H$5810,8,FALSE)</f>
        <v>Wiraswasta</v>
      </c>
    </row>
    <row r="803" spans="1:16" x14ac:dyDescent="0.3">
      <c r="A803" s="8">
        <v>796</v>
      </c>
      <c r="B803" s="9" t="s">
        <v>3568</v>
      </c>
      <c r="C803" s="10" t="str">
        <f>VLOOKUP(B803,'Data Angt'!$A$5:$B$5809,2,FALSE)</f>
        <v>A1523</v>
      </c>
      <c r="D803" s="12" t="s">
        <v>10290</v>
      </c>
      <c r="E803" s="13">
        <v>43012</v>
      </c>
      <c r="F803" s="14">
        <v>44804</v>
      </c>
      <c r="G803" s="15">
        <v>35000000</v>
      </c>
      <c r="H803" s="16">
        <v>48</v>
      </c>
      <c r="I803" s="17">
        <v>11.88</v>
      </c>
      <c r="J803" s="15">
        <v>26249600</v>
      </c>
      <c r="K803" s="98">
        <f t="shared" si="36"/>
        <v>36</v>
      </c>
      <c r="L803" s="98" t="str">
        <f t="shared" si="37"/>
        <v>Macet</v>
      </c>
      <c r="M803" s="5" t="str">
        <f t="shared" si="38"/>
        <v>002</v>
      </c>
      <c r="N803" s="55">
        <f>VLOOKUP(D803,Pinjaman!$E$7:$N$1900,10,FALSE)</f>
        <v>0</v>
      </c>
      <c r="O803" s="55">
        <f>VLOOKUP(B803,'Data Angt'!$A$5:$H$5810,6,FALSE)</f>
        <v>59</v>
      </c>
      <c r="P803" s="55" t="str">
        <f>VLOOKUP(B803,'Data Angt'!$A$5:$H$5810,8,FALSE)</f>
        <v>Wiraswasta</v>
      </c>
    </row>
    <row r="804" spans="1:16" x14ac:dyDescent="0.3">
      <c r="A804" s="8">
        <v>797</v>
      </c>
      <c r="B804" s="9" t="s">
        <v>3609</v>
      </c>
      <c r="C804" s="10" t="str">
        <f>VLOOKUP(B804,'Data Angt'!$A$5:$B$5809,2,FALSE)</f>
        <v>A1545</v>
      </c>
      <c r="D804" s="12" t="s">
        <v>16514</v>
      </c>
      <c r="E804" s="13">
        <v>45555</v>
      </c>
      <c r="F804" s="14">
        <v>45923</v>
      </c>
      <c r="G804" s="15">
        <v>40000000</v>
      </c>
      <c r="H804" s="16">
        <v>48</v>
      </c>
      <c r="I804" s="17">
        <v>21</v>
      </c>
      <c r="J804" s="15">
        <v>32876200</v>
      </c>
      <c r="K804" s="98">
        <f t="shared" si="36"/>
        <v>0</v>
      </c>
      <c r="L804" s="98" t="str">
        <f t="shared" si="37"/>
        <v>Lancar</v>
      </c>
      <c r="M804" s="5" t="str">
        <f t="shared" si="38"/>
        <v>002</v>
      </c>
      <c r="N804" s="55" t="str">
        <f>VLOOKUP(D804,Pinjaman!$E$7:$N$1900,10,FALSE)</f>
        <v>PENDIDIKAN</v>
      </c>
      <c r="O804" s="55">
        <f>VLOOKUP(B804,'Data Angt'!$A$5:$H$5810,6,FALSE)</f>
        <v>39</v>
      </c>
      <c r="P804" s="55" t="str">
        <f>VLOOKUP(B804,'Data Angt'!$A$5:$H$5810,8,FALSE)</f>
        <v>Tenaga Pengajar</v>
      </c>
    </row>
    <row r="805" spans="1:16" x14ac:dyDescent="0.3">
      <c r="A805" s="8">
        <v>798</v>
      </c>
      <c r="B805" s="9" t="s">
        <v>3647</v>
      </c>
      <c r="C805" s="10" t="str">
        <f>VLOOKUP(B805,'Data Angt'!$A$5:$B$5809,2,FALSE)</f>
        <v>A1565</v>
      </c>
      <c r="D805" s="12" t="s">
        <v>22949</v>
      </c>
      <c r="E805" s="13">
        <v>45868</v>
      </c>
      <c r="F805" s="14">
        <v>45929</v>
      </c>
      <c r="G805" s="15">
        <v>1500000</v>
      </c>
      <c r="H805" s="16">
        <v>12</v>
      </c>
      <c r="I805" s="17">
        <v>24</v>
      </c>
      <c r="J805" s="15">
        <v>1274000</v>
      </c>
      <c r="K805" s="98">
        <f t="shared" si="36"/>
        <v>0</v>
      </c>
      <c r="L805" s="98" t="str">
        <f t="shared" si="37"/>
        <v>Lancar</v>
      </c>
      <c r="M805" s="5" t="str">
        <f t="shared" si="38"/>
        <v>002</v>
      </c>
      <c r="N805" s="55" t="str">
        <f>VLOOKUP(D805,Pinjaman!$E$7:$N$1900,10,FALSE)</f>
        <v>PRODUKTIF</v>
      </c>
      <c r="O805" s="55">
        <f>VLOOKUP(B805,'Data Angt'!$A$5:$H$5810,6,FALSE)</f>
        <v>61</v>
      </c>
      <c r="P805" s="55" t="str">
        <f>VLOOKUP(B805,'Data Angt'!$A$5:$H$5810,8,FALSE)</f>
        <v>Petani/Pekebun/Nelayan</v>
      </c>
    </row>
    <row r="806" spans="1:16" x14ac:dyDescent="0.3">
      <c r="A806" s="8">
        <v>799</v>
      </c>
      <c r="B806" s="9" t="s">
        <v>3698</v>
      </c>
      <c r="C806" s="10" t="str">
        <f>VLOOKUP(B806,'Data Angt'!$A$5:$B$5809,2,FALSE)</f>
        <v>A1589</v>
      </c>
      <c r="D806" s="12" t="s">
        <v>16516</v>
      </c>
      <c r="E806" s="13">
        <v>45482</v>
      </c>
      <c r="F806" s="14">
        <v>45910</v>
      </c>
      <c r="G806" s="15">
        <v>6000000</v>
      </c>
      <c r="H806" s="16">
        <v>24</v>
      </c>
      <c r="I806" s="17">
        <v>24</v>
      </c>
      <c r="J806" s="15">
        <v>2849100</v>
      </c>
      <c r="K806" s="98">
        <f t="shared" si="36"/>
        <v>0</v>
      </c>
      <c r="L806" s="98" t="str">
        <f t="shared" si="37"/>
        <v>Lancar</v>
      </c>
      <c r="M806" s="5" t="str">
        <f t="shared" si="38"/>
        <v>002</v>
      </c>
      <c r="N806" s="55" t="str">
        <f>VLOOKUP(D806,Pinjaman!$E$7:$N$1900,10,FALSE)</f>
        <v>KONSUMTIF</v>
      </c>
      <c r="O806" s="55">
        <f>VLOOKUP(B806,'Data Angt'!$A$5:$H$5810,6,FALSE)</f>
        <v>46</v>
      </c>
      <c r="P806" s="55" t="str">
        <f>VLOOKUP(B806,'Data Angt'!$A$5:$H$5810,8,FALSE)</f>
        <v>Wiraswasta</v>
      </c>
    </row>
    <row r="807" spans="1:16" x14ac:dyDescent="0.3">
      <c r="A807" s="8">
        <v>800</v>
      </c>
      <c r="B807" s="9" t="s">
        <v>3771</v>
      </c>
      <c r="C807" s="10" t="str">
        <f>VLOOKUP(B807,'Data Angt'!$A$5:$B$5809,2,FALSE)</f>
        <v>A1623</v>
      </c>
      <c r="D807" s="12" t="s">
        <v>16518</v>
      </c>
      <c r="E807" s="13">
        <v>45422</v>
      </c>
      <c r="F807" s="14">
        <v>45910</v>
      </c>
      <c r="G807" s="15">
        <v>8000000</v>
      </c>
      <c r="H807" s="16">
        <v>36</v>
      </c>
      <c r="I807" s="17">
        <v>24</v>
      </c>
      <c r="J807" s="15">
        <v>5132200</v>
      </c>
      <c r="K807" s="98">
        <f t="shared" si="36"/>
        <v>0</v>
      </c>
      <c r="L807" s="98" t="str">
        <f t="shared" si="37"/>
        <v>Lancar</v>
      </c>
      <c r="M807" s="5" t="str">
        <f t="shared" si="38"/>
        <v>002</v>
      </c>
      <c r="N807" s="55" t="str">
        <f>VLOOKUP(D807,Pinjaman!$E$7:$N$1900,10,FALSE)</f>
        <v>PRODUKTIF</v>
      </c>
      <c r="O807" s="55">
        <f>VLOOKUP(B807,'Data Angt'!$A$5:$H$5810,6,FALSE)</f>
        <v>38</v>
      </c>
      <c r="P807" s="55" t="str">
        <f>VLOOKUP(B807,'Data Angt'!$A$5:$H$5810,8,FALSE)</f>
        <v>Tenaga Pengajar</v>
      </c>
    </row>
    <row r="808" spans="1:16" x14ac:dyDescent="0.3">
      <c r="A808" s="8">
        <v>801</v>
      </c>
      <c r="B808" s="9" t="s">
        <v>3863</v>
      </c>
      <c r="C808" s="10" t="str">
        <f>VLOOKUP(B808,'Data Angt'!$A$5:$B$5809,2,FALSE)</f>
        <v>A1668</v>
      </c>
      <c r="D808" s="12" t="s">
        <v>22954</v>
      </c>
      <c r="E808" s="13">
        <v>45842</v>
      </c>
      <c r="F808" s="14">
        <v>45901</v>
      </c>
      <c r="G808" s="15">
        <v>7000000</v>
      </c>
      <c r="H808" s="16">
        <v>24</v>
      </c>
      <c r="I808" s="17">
        <v>24</v>
      </c>
      <c r="J808" s="15">
        <v>6535200</v>
      </c>
      <c r="K808" s="98">
        <f t="shared" si="36"/>
        <v>0</v>
      </c>
      <c r="L808" s="98" t="str">
        <f t="shared" si="37"/>
        <v>Lancar</v>
      </c>
      <c r="M808" s="5" t="str">
        <f t="shared" si="38"/>
        <v>002</v>
      </c>
      <c r="N808" s="55" t="str">
        <f>VLOOKUP(D808,Pinjaman!$E$7:$N$1900,10,FALSE)</f>
        <v>KONSUMTIF</v>
      </c>
      <c r="O808" s="55">
        <f>VLOOKUP(B808,'Data Angt'!$A$5:$H$5810,6,FALSE)</f>
        <v>56</v>
      </c>
      <c r="P808" s="55" t="str">
        <f>VLOOKUP(B808,'Data Angt'!$A$5:$H$5810,8,FALSE)</f>
        <v>Karyawan</v>
      </c>
    </row>
    <row r="809" spans="1:16" x14ac:dyDescent="0.3">
      <c r="A809" s="8">
        <v>802</v>
      </c>
      <c r="B809" s="9" t="s">
        <v>3909</v>
      </c>
      <c r="C809" s="10" t="str">
        <f>VLOOKUP(B809,'Data Angt'!$A$5:$B$5809,2,FALSE)</f>
        <v>A1691</v>
      </c>
      <c r="D809" s="12" t="s">
        <v>10291</v>
      </c>
      <c r="E809" s="13">
        <v>44659</v>
      </c>
      <c r="F809" s="14">
        <v>45833</v>
      </c>
      <c r="G809" s="15">
        <v>50000000</v>
      </c>
      <c r="H809" s="16">
        <v>48</v>
      </c>
      <c r="I809" s="17">
        <v>21</v>
      </c>
      <c r="J809" s="15">
        <v>40267100</v>
      </c>
      <c r="K809" s="98">
        <f t="shared" si="36"/>
        <v>3</v>
      </c>
      <c r="L809" s="98" t="str">
        <f t="shared" si="37"/>
        <v>Lancar</v>
      </c>
      <c r="M809" s="5" t="str">
        <f t="shared" si="38"/>
        <v>002</v>
      </c>
      <c r="N809" s="55" t="str">
        <f>VLOOKUP(D809,Pinjaman!$E$7:$N$1900,10,FALSE)</f>
        <v>PRODUKTIF</v>
      </c>
      <c r="O809" s="55">
        <f>VLOOKUP(B809,'Data Angt'!$A$5:$H$5810,6,FALSE)</f>
        <v>58</v>
      </c>
      <c r="P809" s="55" t="str">
        <f>VLOOKUP(B809,'Data Angt'!$A$5:$H$5810,8,FALSE)</f>
        <v>Aparatur/Pejabat Negara</v>
      </c>
    </row>
    <row r="810" spans="1:16" x14ac:dyDescent="0.3">
      <c r="A810" s="8">
        <v>803</v>
      </c>
      <c r="B810" s="9" t="s">
        <v>3969</v>
      </c>
      <c r="C810" s="10" t="str">
        <f>VLOOKUP(B810,'Data Angt'!$A$5:$B$5809,2,FALSE)</f>
        <v>A1714</v>
      </c>
      <c r="D810" s="12" t="s">
        <v>16520</v>
      </c>
      <c r="E810" s="13">
        <v>45569</v>
      </c>
      <c r="F810" s="14">
        <v>45929</v>
      </c>
      <c r="G810" s="15">
        <v>4000000</v>
      </c>
      <c r="H810" s="16">
        <v>18</v>
      </c>
      <c r="I810" s="17">
        <v>24</v>
      </c>
      <c r="J810" s="15">
        <v>1726200</v>
      </c>
      <c r="K810" s="98">
        <f t="shared" si="36"/>
        <v>0</v>
      </c>
      <c r="L810" s="98" t="str">
        <f t="shared" si="37"/>
        <v>Lancar</v>
      </c>
      <c r="M810" s="5" t="str">
        <f t="shared" si="38"/>
        <v>002</v>
      </c>
      <c r="N810" s="55" t="str">
        <f>VLOOKUP(D810,Pinjaman!$E$7:$N$1900,10,FALSE)</f>
        <v>PENDIDIKAN</v>
      </c>
      <c r="O810" s="55">
        <f>VLOOKUP(B810,'Data Angt'!$A$5:$H$5810,6,FALSE)</f>
        <v>47</v>
      </c>
      <c r="P810" s="55" t="str">
        <f>VLOOKUP(B810,'Data Angt'!$A$5:$H$5810,8,FALSE)</f>
        <v>Wiraswasta</v>
      </c>
    </row>
    <row r="811" spans="1:16" x14ac:dyDescent="0.3">
      <c r="A811" s="8">
        <v>804</v>
      </c>
      <c r="B811" s="9" t="s">
        <v>3991</v>
      </c>
      <c r="C811" s="10" t="str">
        <f>VLOOKUP(B811,'Data Angt'!$A$5:$B$5809,2,FALSE)</f>
        <v>A1725</v>
      </c>
      <c r="D811" s="12" t="s">
        <v>16522</v>
      </c>
      <c r="E811" s="13">
        <v>45598</v>
      </c>
      <c r="F811" s="14">
        <v>45901</v>
      </c>
      <c r="G811" s="15">
        <v>3000000</v>
      </c>
      <c r="H811" s="16">
        <v>12</v>
      </c>
      <c r="I811" s="17">
        <v>11.88</v>
      </c>
      <c r="J811" s="15">
        <v>525100</v>
      </c>
      <c r="K811" s="98">
        <f t="shared" si="36"/>
        <v>0</v>
      </c>
      <c r="L811" s="98" t="str">
        <f t="shared" si="37"/>
        <v>Lancar</v>
      </c>
      <c r="M811" s="5" t="str">
        <f t="shared" si="38"/>
        <v>002</v>
      </c>
      <c r="N811" s="55" t="str">
        <f>VLOOKUP(D811,Pinjaman!$E$7:$N$1900,10,FALSE)</f>
        <v>KONSUMTIF</v>
      </c>
      <c r="O811" s="55">
        <f>VLOOKUP(B811,'Data Angt'!$A$5:$H$5810,6,FALSE)</f>
        <v>48</v>
      </c>
      <c r="P811" s="55" t="str">
        <f>VLOOKUP(B811,'Data Angt'!$A$5:$H$5810,8,FALSE)</f>
        <v>Karyawan</v>
      </c>
    </row>
    <row r="812" spans="1:16" x14ac:dyDescent="0.3">
      <c r="A812" s="8">
        <v>805</v>
      </c>
      <c r="B812" s="9" t="s">
        <v>3991</v>
      </c>
      <c r="C812" s="10" t="str">
        <f>VLOOKUP(B812,'Data Angt'!$A$5:$B$5809,2,FALSE)</f>
        <v>A1725</v>
      </c>
      <c r="D812" s="12" t="s">
        <v>10294</v>
      </c>
      <c r="E812" s="13">
        <v>44594</v>
      </c>
      <c r="F812" s="14">
        <v>45894</v>
      </c>
      <c r="G812" s="15">
        <v>90000000</v>
      </c>
      <c r="H812" s="16">
        <v>48</v>
      </c>
      <c r="I812" s="17">
        <v>21</v>
      </c>
      <c r="J812" s="15">
        <v>38599400</v>
      </c>
      <c r="K812" s="98">
        <f t="shared" si="36"/>
        <v>1</v>
      </c>
      <c r="L812" s="98" t="str">
        <f t="shared" si="37"/>
        <v>Lancar</v>
      </c>
      <c r="M812" s="5" t="str">
        <f t="shared" si="38"/>
        <v>002</v>
      </c>
      <c r="N812" s="55" t="str">
        <f>VLOOKUP(D812,Pinjaman!$E$7:$N$1900,10,FALSE)</f>
        <v>KONSUMTIF</v>
      </c>
      <c r="O812" s="55">
        <f>VLOOKUP(B812,'Data Angt'!$A$5:$H$5810,6,FALSE)</f>
        <v>48</v>
      </c>
      <c r="P812" s="55" t="str">
        <f>VLOOKUP(B812,'Data Angt'!$A$5:$H$5810,8,FALSE)</f>
        <v>Karyawan</v>
      </c>
    </row>
    <row r="813" spans="1:16" x14ac:dyDescent="0.3">
      <c r="A813" s="8">
        <v>806</v>
      </c>
      <c r="B813" s="9" t="s">
        <v>4002</v>
      </c>
      <c r="C813" s="10" t="str">
        <f>VLOOKUP(B813,'Data Angt'!$A$5:$B$5809,2,FALSE)</f>
        <v>A1731</v>
      </c>
      <c r="D813" s="12" t="s">
        <v>10297</v>
      </c>
      <c r="E813" s="13">
        <v>44186</v>
      </c>
      <c r="F813" s="14">
        <v>45104</v>
      </c>
      <c r="G813" s="15">
        <v>203160000</v>
      </c>
      <c r="H813" s="16">
        <v>120</v>
      </c>
      <c r="I813" s="17">
        <v>9.6</v>
      </c>
      <c r="J813" s="15">
        <v>180075600</v>
      </c>
      <c r="K813" s="98">
        <f t="shared" si="36"/>
        <v>27</v>
      </c>
      <c r="L813" s="98" t="str">
        <f t="shared" si="37"/>
        <v>Macet</v>
      </c>
      <c r="M813" s="5" t="str">
        <f t="shared" si="38"/>
        <v>002</v>
      </c>
      <c r="N813" s="55" t="str">
        <f>VLOOKUP(D813,Pinjaman!$E$7:$N$1900,10,FALSE)</f>
        <v>KESEJAHTERAAN</v>
      </c>
      <c r="O813" s="55">
        <f>VLOOKUP(B813,'Data Angt'!$A$5:$H$5810,6,FALSE)</f>
        <v>55</v>
      </c>
      <c r="P813" s="55" t="str">
        <f>VLOOKUP(B813,'Data Angt'!$A$5:$H$5810,8,FALSE)</f>
        <v>Tenaga Pengajar</v>
      </c>
    </row>
    <row r="814" spans="1:16" x14ac:dyDescent="0.3">
      <c r="A814" s="8">
        <v>807</v>
      </c>
      <c r="B814" s="9" t="s">
        <v>4064</v>
      </c>
      <c r="C814" s="10" t="str">
        <f>VLOOKUP(B814,'Data Angt'!$A$5:$B$5809,2,FALSE)</f>
        <v>A1762</v>
      </c>
      <c r="D814" s="12" t="s">
        <v>16527</v>
      </c>
      <c r="E814" s="13">
        <v>45591</v>
      </c>
      <c r="F814" s="14">
        <v>45924</v>
      </c>
      <c r="G814" s="15">
        <v>15000000</v>
      </c>
      <c r="H814" s="16">
        <v>48</v>
      </c>
      <c r="I814" s="17">
        <v>24</v>
      </c>
      <c r="J814" s="15">
        <v>12699500</v>
      </c>
      <c r="K814" s="98">
        <f t="shared" si="36"/>
        <v>0</v>
      </c>
      <c r="L814" s="98" t="str">
        <f t="shared" si="37"/>
        <v>Lancar</v>
      </c>
      <c r="M814" s="5" t="str">
        <f t="shared" si="38"/>
        <v>002</v>
      </c>
      <c r="N814" s="55" t="str">
        <f>VLOOKUP(D814,Pinjaman!$E$7:$N$1900,10,FALSE)</f>
        <v>PRODUKTIF</v>
      </c>
      <c r="O814" s="55">
        <f>VLOOKUP(B814,'Data Angt'!$A$5:$H$5810,6,FALSE)</f>
        <v>56</v>
      </c>
      <c r="P814" s="55" t="str">
        <f>VLOOKUP(B814,'Data Angt'!$A$5:$H$5810,8,FALSE)</f>
        <v>Tenaga Pengajar</v>
      </c>
    </row>
    <row r="815" spans="1:16" x14ac:dyDescent="0.3">
      <c r="A815" s="8">
        <v>808</v>
      </c>
      <c r="B815" s="9" t="s">
        <v>4064</v>
      </c>
      <c r="C815" s="10" t="str">
        <f>VLOOKUP(B815,'Data Angt'!$A$5:$B$5809,2,FALSE)</f>
        <v>A1762</v>
      </c>
      <c r="D815" s="12" t="s">
        <v>16524</v>
      </c>
      <c r="E815" s="13">
        <v>45731</v>
      </c>
      <c r="F815" s="14">
        <v>45916</v>
      </c>
      <c r="G815" s="15">
        <v>5000000</v>
      </c>
      <c r="H815" s="16">
        <v>12</v>
      </c>
      <c r="I815" s="17">
        <v>24</v>
      </c>
      <c r="J815" s="15">
        <v>2648600</v>
      </c>
      <c r="K815" s="98">
        <f t="shared" si="36"/>
        <v>0</v>
      </c>
      <c r="L815" s="98" t="str">
        <f t="shared" si="37"/>
        <v>Lancar</v>
      </c>
      <c r="M815" s="5" t="str">
        <f t="shared" si="38"/>
        <v>002</v>
      </c>
      <c r="N815" s="55" t="str">
        <f>VLOOKUP(D815,Pinjaman!$E$7:$N$1900,10,FALSE)</f>
        <v>PRODUKTIF</v>
      </c>
      <c r="O815" s="55">
        <f>VLOOKUP(B815,'Data Angt'!$A$5:$H$5810,6,FALSE)</f>
        <v>56</v>
      </c>
      <c r="P815" s="55" t="str">
        <f>VLOOKUP(B815,'Data Angt'!$A$5:$H$5810,8,FALSE)</f>
        <v>Tenaga Pengajar</v>
      </c>
    </row>
    <row r="816" spans="1:16" x14ac:dyDescent="0.3">
      <c r="A816" s="8">
        <v>809</v>
      </c>
      <c r="B816" s="9" t="s">
        <v>4065</v>
      </c>
      <c r="C816" s="10" t="str">
        <f>VLOOKUP(B816,'Data Angt'!$A$5:$B$5809,2,FALSE)</f>
        <v>A1763</v>
      </c>
      <c r="D816" s="12" t="s">
        <v>16529</v>
      </c>
      <c r="E816" s="13">
        <v>45832</v>
      </c>
      <c r="F816" s="14">
        <v>45920</v>
      </c>
      <c r="G816" s="15">
        <v>5000000</v>
      </c>
      <c r="H816" s="16">
        <v>10</v>
      </c>
      <c r="I816" s="17">
        <v>24</v>
      </c>
      <c r="J816" s="15">
        <v>3500000</v>
      </c>
      <c r="K816" s="98">
        <f t="shared" si="36"/>
        <v>0</v>
      </c>
      <c r="L816" s="98" t="str">
        <f t="shared" si="37"/>
        <v>Lancar</v>
      </c>
      <c r="M816" s="5" t="str">
        <f t="shared" si="38"/>
        <v>002</v>
      </c>
      <c r="N816" s="55" t="str">
        <f>VLOOKUP(D816,Pinjaman!$E$7:$N$1900,10,FALSE)</f>
        <v>KONSUMTIF</v>
      </c>
      <c r="O816" s="55">
        <f>VLOOKUP(B816,'Data Angt'!$A$5:$H$5810,6,FALSE)</f>
        <v>64</v>
      </c>
      <c r="P816" s="55" t="str">
        <f>VLOOKUP(B816,'Data Angt'!$A$5:$H$5810,8,FALSE)</f>
        <v>Pensiunan</v>
      </c>
    </row>
    <row r="817" spans="1:16" x14ac:dyDescent="0.3">
      <c r="A817" s="8">
        <v>810</v>
      </c>
      <c r="B817" s="9" t="s">
        <v>4070</v>
      </c>
      <c r="C817" s="10" t="str">
        <f>VLOOKUP(B817,'Data Angt'!$A$5:$B$5809,2,FALSE)</f>
        <v>A1765</v>
      </c>
      <c r="D817" s="12" t="s">
        <v>16531</v>
      </c>
      <c r="E817" s="13">
        <v>45646</v>
      </c>
      <c r="F817" s="14">
        <v>45903</v>
      </c>
      <c r="G817" s="15">
        <v>4000000</v>
      </c>
      <c r="H817" s="16">
        <v>12</v>
      </c>
      <c r="I817" s="17">
        <v>24</v>
      </c>
      <c r="J817" s="15">
        <v>1090700</v>
      </c>
      <c r="K817" s="98">
        <f t="shared" si="36"/>
        <v>0</v>
      </c>
      <c r="L817" s="98" t="str">
        <f t="shared" si="37"/>
        <v>Lancar</v>
      </c>
      <c r="M817" s="5" t="str">
        <f t="shared" si="38"/>
        <v>002</v>
      </c>
      <c r="N817" s="55" t="str">
        <f>VLOOKUP(D817,Pinjaman!$E$7:$N$1900,10,FALSE)</f>
        <v>PENDIDIKAN</v>
      </c>
      <c r="O817" s="55">
        <f>VLOOKUP(B817,'Data Angt'!$A$5:$H$5810,6,FALSE)</f>
        <v>47</v>
      </c>
      <c r="P817" s="55" t="str">
        <f>VLOOKUP(B817,'Data Angt'!$A$5:$H$5810,8,FALSE)</f>
        <v>Tenaga Pengajar</v>
      </c>
    </row>
    <row r="818" spans="1:16" x14ac:dyDescent="0.3">
      <c r="A818" s="8">
        <v>811</v>
      </c>
      <c r="B818" s="9" t="s">
        <v>4070</v>
      </c>
      <c r="C818" s="10" t="str">
        <f>VLOOKUP(B818,'Data Angt'!$A$5:$B$5809,2,FALSE)</f>
        <v>A1765</v>
      </c>
      <c r="D818" s="12" t="s">
        <v>10300</v>
      </c>
      <c r="E818" s="13">
        <v>45233</v>
      </c>
      <c r="F818" s="14">
        <v>45903</v>
      </c>
      <c r="G818" s="15">
        <v>20000000</v>
      </c>
      <c r="H818" s="16">
        <v>36</v>
      </c>
      <c r="I818" s="17">
        <v>24</v>
      </c>
      <c r="J818" s="15">
        <v>9499300</v>
      </c>
      <c r="K818" s="98">
        <f t="shared" si="36"/>
        <v>0</v>
      </c>
      <c r="L818" s="98" t="str">
        <f t="shared" si="37"/>
        <v>Lancar</v>
      </c>
      <c r="M818" s="5" t="str">
        <f t="shared" si="38"/>
        <v>002</v>
      </c>
      <c r="N818" s="55" t="str">
        <f>VLOOKUP(D818,Pinjaman!$E$7:$N$1900,10,FALSE)</f>
        <v>KONSUMTIF</v>
      </c>
      <c r="O818" s="55">
        <f>VLOOKUP(B818,'Data Angt'!$A$5:$H$5810,6,FALSE)</f>
        <v>47</v>
      </c>
      <c r="P818" s="55" t="str">
        <f>VLOOKUP(B818,'Data Angt'!$A$5:$H$5810,8,FALSE)</f>
        <v>Tenaga Pengajar</v>
      </c>
    </row>
    <row r="819" spans="1:16" x14ac:dyDescent="0.3">
      <c r="A819" s="8">
        <v>812</v>
      </c>
      <c r="B819" s="9" t="s">
        <v>4103</v>
      </c>
      <c r="C819" s="10" t="str">
        <f>VLOOKUP(B819,'Data Angt'!$A$5:$B$5809,2,FALSE)</f>
        <v>A1781</v>
      </c>
      <c r="D819" s="12" t="s">
        <v>10302</v>
      </c>
      <c r="E819" s="13">
        <v>44671</v>
      </c>
      <c r="F819" s="14">
        <v>45924</v>
      </c>
      <c r="G819" s="15">
        <v>120000000</v>
      </c>
      <c r="H819" s="16">
        <v>84</v>
      </c>
      <c r="I819" s="17">
        <v>11.4</v>
      </c>
      <c r="J819" s="15">
        <v>73142600</v>
      </c>
      <c r="K819" s="98">
        <f t="shared" si="36"/>
        <v>0</v>
      </c>
      <c r="L819" s="98" t="str">
        <f t="shared" si="37"/>
        <v>Lancar</v>
      </c>
      <c r="M819" s="5" t="str">
        <f t="shared" si="38"/>
        <v>002</v>
      </c>
      <c r="N819" s="55" t="str">
        <f>VLOOKUP(D819,Pinjaman!$E$7:$N$1900,10,FALSE)</f>
        <v>KONSUMTIF</v>
      </c>
      <c r="O819" s="55">
        <f>VLOOKUP(B819,'Data Angt'!$A$5:$H$5810,6,FALSE)</f>
        <v>41</v>
      </c>
      <c r="P819" s="55" t="str">
        <f>VLOOKUP(B819,'Data Angt'!$A$5:$H$5810,8,FALSE)</f>
        <v>Wiraswasta</v>
      </c>
    </row>
    <row r="820" spans="1:16" x14ac:dyDescent="0.3">
      <c r="A820" s="8">
        <v>813</v>
      </c>
      <c r="B820" s="9" t="s">
        <v>4103</v>
      </c>
      <c r="C820" s="10" t="str">
        <f>VLOOKUP(B820,'Data Angt'!$A$5:$B$5809,2,FALSE)</f>
        <v>A1781</v>
      </c>
      <c r="D820" s="12" t="s">
        <v>16534</v>
      </c>
      <c r="E820" s="13">
        <v>45834</v>
      </c>
      <c r="F820" s="14">
        <v>45924</v>
      </c>
      <c r="G820" s="15">
        <v>10000000</v>
      </c>
      <c r="H820" s="16">
        <v>12</v>
      </c>
      <c r="I820" s="17">
        <v>11.88</v>
      </c>
      <c r="J820" s="15">
        <v>7609600</v>
      </c>
      <c r="K820" s="98">
        <f t="shared" si="36"/>
        <v>0</v>
      </c>
      <c r="L820" s="98" t="str">
        <f t="shared" si="37"/>
        <v>Lancar</v>
      </c>
      <c r="M820" s="5" t="str">
        <f t="shared" si="38"/>
        <v>002</v>
      </c>
      <c r="N820" s="55" t="str">
        <f>VLOOKUP(D820,Pinjaman!$E$7:$N$1900,10,FALSE)</f>
        <v>PRODUKTIF</v>
      </c>
      <c r="O820" s="55">
        <f>VLOOKUP(B820,'Data Angt'!$A$5:$H$5810,6,FALSE)</f>
        <v>41</v>
      </c>
      <c r="P820" s="55" t="str">
        <f>VLOOKUP(B820,'Data Angt'!$A$5:$H$5810,8,FALSE)</f>
        <v>Wiraswasta</v>
      </c>
    </row>
    <row r="821" spans="1:16" x14ac:dyDescent="0.3">
      <c r="A821" s="8">
        <v>814</v>
      </c>
      <c r="B821" s="9" t="s">
        <v>4166</v>
      </c>
      <c r="C821" s="10" t="str">
        <f>VLOOKUP(B821,'Data Angt'!$A$5:$B$5809,2,FALSE)</f>
        <v>A1807</v>
      </c>
      <c r="D821" s="12" t="s">
        <v>10304</v>
      </c>
      <c r="E821" s="13">
        <v>45246</v>
      </c>
      <c r="F821" s="14">
        <v>45917</v>
      </c>
      <c r="G821" s="15">
        <v>9000000</v>
      </c>
      <c r="H821" s="16">
        <v>24</v>
      </c>
      <c r="I821" s="17">
        <v>24</v>
      </c>
      <c r="J821" s="15">
        <v>923600</v>
      </c>
      <c r="K821" s="98">
        <f t="shared" si="36"/>
        <v>0</v>
      </c>
      <c r="L821" s="98" t="str">
        <f t="shared" si="37"/>
        <v>Lancar</v>
      </c>
      <c r="M821" s="5" t="str">
        <f t="shared" si="38"/>
        <v>002</v>
      </c>
      <c r="N821" s="55" t="str">
        <f>VLOOKUP(D821,Pinjaman!$E$7:$N$1900,10,FALSE)</f>
        <v>PRODUKTIF</v>
      </c>
      <c r="O821" s="55">
        <f>VLOOKUP(B821,'Data Angt'!$A$5:$H$5810,6,FALSE)</f>
        <v>25</v>
      </c>
      <c r="P821" s="55" t="str">
        <f>VLOOKUP(B821,'Data Angt'!$A$5:$H$5810,8,FALSE)</f>
        <v>Karyawan</v>
      </c>
    </row>
    <row r="822" spans="1:16" x14ac:dyDescent="0.3">
      <c r="A822" s="8">
        <v>815</v>
      </c>
      <c r="B822" s="9" t="s">
        <v>4251</v>
      </c>
      <c r="C822" s="10" t="str">
        <f>VLOOKUP(B822,'Data Angt'!$A$5:$B$5809,2,FALSE)</f>
        <v>A1842</v>
      </c>
      <c r="D822" s="12" t="s">
        <v>16537</v>
      </c>
      <c r="E822" s="13">
        <v>45621</v>
      </c>
      <c r="F822" s="14">
        <v>45912</v>
      </c>
      <c r="G822" s="15">
        <v>25000000</v>
      </c>
      <c r="H822" s="16">
        <v>36</v>
      </c>
      <c r="I822" s="17">
        <v>21</v>
      </c>
      <c r="J822" s="15">
        <v>19540000</v>
      </c>
      <c r="K822" s="98">
        <f t="shared" si="36"/>
        <v>0</v>
      </c>
      <c r="L822" s="98" t="str">
        <f t="shared" si="37"/>
        <v>Lancar</v>
      </c>
      <c r="M822" s="5" t="str">
        <f t="shared" si="38"/>
        <v>002</v>
      </c>
      <c r="N822" s="55" t="str">
        <f>VLOOKUP(D822,Pinjaman!$E$7:$N$1900,10,FALSE)</f>
        <v>PENDIDIKAN</v>
      </c>
      <c r="O822" s="55">
        <f>VLOOKUP(B822,'Data Angt'!$A$5:$H$5810,6,FALSE)</f>
        <v>48</v>
      </c>
      <c r="P822" s="55" t="str">
        <f>VLOOKUP(B822,'Data Angt'!$A$5:$H$5810,8,FALSE)</f>
        <v>Tenaga Medis</v>
      </c>
    </row>
    <row r="823" spans="1:16" x14ac:dyDescent="0.3">
      <c r="A823" s="8">
        <v>816</v>
      </c>
      <c r="B823" s="9" t="s">
        <v>4303</v>
      </c>
      <c r="C823" s="10" t="str">
        <f>VLOOKUP(B823,'Data Angt'!$A$5:$B$5809,2,FALSE)</f>
        <v>A1865</v>
      </c>
      <c r="D823" s="12" t="s">
        <v>10307</v>
      </c>
      <c r="E823" s="13">
        <v>43941</v>
      </c>
      <c r="F823" s="14">
        <v>44742</v>
      </c>
      <c r="G823" s="15">
        <v>30000000</v>
      </c>
      <c r="H823" s="16">
        <v>60</v>
      </c>
      <c r="I823" s="17">
        <v>21</v>
      </c>
      <c r="J823" s="15">
        <v>19500000</v>
      </c>
      <c r="K823" s="98">
        <f t="shared" si="36"/>
        <v>39</v>
      </c>
      <c r="L823" s="98" t="str">
        <f t="shared" si="37"/>
        <v>Macet</v>
      </c>
      <c r="M823" s="5" t="str">
        <f t="shared" si="38"/>
        <v>002</v>
      </c>
      <c r="N823" s="55" t="str">
        <f>VLOOKUP(D823,Pinjaman!$E$7:$N$1900,10,FALSE)</f>
        <v>KESEJAHTERAAN</v>
      </c>
      <c r="O823" s="55">
        <f>VLOOKUP(B823,'Data Angt'!$A$5:$H$5810,6,FALSE)</f>
        <v>56</v>
      </c>
      <c r="P823" s="55" t="str">
        <f>VLOOKUP(B823,'Data Angt'!$A$5:$H$5810,8,FALSE)</f>
        <v>Aparatur/Pejabat Negara</v>
      </c>
    </row>
    <row r="824" spans="1:16" x14ac:dyDescent="0.3">
      <c r="A824" s="8">
        <v>817</v>
      </c>
      <c r="B824" s="9" t="s">
        <v>4321</v>
      </c>
      <c r="C824" s="10" t="str">
        <f>VLOOKUP(B824,'Data Angt'!$A$5:$B$5809,2,FALSE)</f>
        <v>A1873</v>
      </c>
      <c r="D824" s="12" t="s">
        <v>16539</v>
      </c>
      <c r="E824" s="13">
        <v>45813</v>
      </c>
      <c r="F824" s="14">
        <v>45930</v>
      </c>
      <c r="G824" s="15">
        <v>6000000</v>
      </c>
      <c r="H824" s="16">
        <v>12</v>
      </c>
      <c r="I824" s="17">
        <v>24</v>
      </c>
      <c r="J824" s="15">
        <v>4500000</v>
      </c>
      <c r="K824" s="98">
        <f t="shared" si="36"/>
        <v>0</v>
      </c>
      <c r="L824" s="98" t="str">
        <f t="shared" si="37"/>
        <v>Lancar</v>
      </c>
      <c r="M824" s="5" t="str">
        <f t="shared" si="38"/>
        <v>002</v>
      </c>
      <c r="N824" s="55" t="str">
        <f>VLOOKUP(D824,Pinjaman!$E$7:$N$1900,10,FALSE)</f>
        <v>PRODUKTIF</v>
      </c>
      <c r="O824" s="55">
        <f>VLOOKUP(B824,'Data Angt'!$A$5:$H$5810,6,FALSE)</f>
        <v>34</v>
      </c>
      <c r="P824" s="55" t="str">
        <f>VLOOKUP(B824,'Data Angt'!$A$5:$H$5810,8,FALSE)</f>
        <v>Wiraswasta</v>
      </c>
    </row>
    <row r="825" spans="1:16" x14ac:dyDescent="0.3">
      <c r="A825" s="8">
        <v>818</v>
      </c>
      <c r="B825" s="9" t="s">
        <v>4352</v>
      </c>
      <c r="C825" s="10" t="str">
        <f>VLOOKUP(B825,'Data Angt'!$A$5:$B$5809,2,FALSE)</f>
        <v>A1890</v>
      </c>
      <c r="D825" s="12" t="s">
        <v>10310</v>
      </c>
      <c r="E825" s="13">
        <v>43165</v>
      </c>
      <c r="F825" s="14">
        <v>44251</v>
      </c>
      <c r="G825" s="15">
        <v>30000000</v>
      </c>
      <c r="H825" s="16">
        <v>36</v>
      </c>
      <c r="I825" s="17">
        <v>21</v>
      </c>
      <c r="J825" s="15">
        <v>25833000</v>
      </c>
      <c r="K825" s="98">
        <f t="shared" si="36"/>
        <v>55</v>
      </c>
      <c r="L825" s="98" t="str">
        <f t="shared" si="37"/>
        <v>Macet</v>
      </c>
      <c r="M825" s="5" t="str">
        <f t="shared" si="38"/>
        <v>002</v>
      </c>
      <c r="N825" s="55">
        <f>VLOOKUP(D825,Pinjaman!$E$7:$N$1900,10,FALSE)</f>
        <v>0</v>
      </c>
      <c r="O825" s="55">
        <f>VLOOKUP(B825,'Data Angt'!$A$5:$H$5810,6,FALSE)</f>
        <v>56</v>
      </c>
      <c r="P825" s="55">
        <f>VLOOKUP(B825,'Data Angt'!$A$5:$H$5810,8,FALSE)</f>
        <v>0</v>
      </c>
    </row>
    <row r="826" spans="1:16" x14ac:dyDescent="0.3">
      <c r="A826" s="8">
        <v>819</v>
      </c>
      <c r="B826" s="9" t="s">
        <v>4401</v>
      </c>
      <c r="C826" s="10" t="str">
        <f>VLOOKUP(B826,'Data Angt'!$A$5:$B$5809,2,FALSE)</f>
        <v>A1911</v>
      </c>
      <c r="D826" s="12" t="s">
        <v>10311</v>
      </c>
      <c r="E826" s="13">
        <v>44580</v>
      </c>
      <c r="F826" s="14">
        <v>44846</v>
      </c>
      <c r="G826" s="15">
        <v>150000000</v>
      </c>
      <c r="H826" s="16">
        <v>48</v>
      </c>
      <c r="I826" s="17">
        <v>21</v>
      </c>
      <c r="J826" s="15">
        <v>132815900</v>
      </c>
      <c r="K826" s="98">
        <f t="shared" si="36"/>
        <v>35</v>
      </c>
      <c r="L826" s="98" t="str">
        <f t="shared" si="37"/>
        <v>Macet</v>
      </c>
      <c r="M826" s="5" t="str">
        <f t="shared" si="38"/>
        <v>002</v>
      </c>
      <c r="N826" s="55" t="str">
        <f>VLOOKUP(D826,Pinjaman!$E$7:$N$1900,10,FALSE)</f>
        <v>KONSUMTIF</v>
      </c>
      <c r="O826" s="55">
        <f>VLOOKUP(B826,'Data Angt'!$A$5:$H$5810,6,FALSE)</f>
        <v>36</v>
      </c>
      <c r="P826" s="55" t="str">
        <f>VLOOKUP(B826,'Data Angt'!$A$5:$H$5810,8,FALSE)</f>
        <v>Karyawan</v>
      </c>
    </row>
    <row r="827" spans="1:16" x14ac:dyDescent="0.3">
      <c r="A827" s="8">
        <v>820</v>
      </c>
      <c r="B827" s="9" t="s">
        <v>4427</v>
      </c>
      <c r="C827" s="10" t="str">
        <f>VLOOKUP(B827,'Data Angt'!$A$5:$B$5809,2,FALSE)</f>
        <v>A1926</v>
      </c>
      <c r="D827" s="12" t="s">
        <v>10313</v>
      </c>
      <c r="E827" s="13">
        <v>44421</v>
      </c>
      <c r="F827" s="14">
        <v>45253</v>
      </c>
      <c r="G827" s="15">
        <v>200000000</v>
      </c>
      <c r="H827" s="16">
        <v>36</v>
      </c>
      <c r="I827" s="17">
        <v>21</v>
      </c>
      <c r="J827" s="15">
        <v>183431100</v>
      </c>
      <c r="K827" s="98">
        <f t="shared" si="36"/>
        <v>22</v>
      </c>
      <c r="L827" s="98" t="str">
        <f t="shared" si="37"/>
        <v>Macet</v>
      </c>
      <c r="M827" s="5" t="str">
        <f t="shared" si="38"/>
        <v>002</v>
      </c>
      <c r="N827" s="55" t="str">
        <f>VLOOKUP(D827,Pinjaman!$E$7:$N$1900,10,FALSE)</f>
        <v>PRODUKTIF</v>
      </c>
      <c r="O827" s="55">
        <f>VLOOKUP(B827,'Data Angt'!$A$5:$H$5810,6,FALSE)</f>
        <v>44</v>
      </c>
      <c r="P827" s="55" t="str">
        <f>VLOOKUP(B827,'Data Angt'!$A$5:$H$5810,8,FALSE)</f>
        <v>Tenaga Pengajar</v>
      </c>
    </row>
    <row r="828" spans="1:16" x14ac:dyDescent="0.3">
      <c r="A828" s="8">
        <v>821</v>
      </c>
      <c r="B828" s="9" t="s">
        <v>4463</v>
      </c>
      <c r="C828" s="10" t="str">
        <f>VLOOKUP(B828,'Data Angt'!$A$5:$B$5809,2,FALSE)</f>
        <v>A1943</v>
      </c>
      <c r="D828" s="12" t="s">
        <v>16541</v>
      </c>
      <c r="E828" s="13">
        <v>45364</v>
      </c>
      <c r="F828" s="14">
        <v>45913</v>
      </c>
      <c r="G828" s="15">
        <v>6000000</v>
      </c>
      <c r="H828" s="16">
        <v>24</v>
      </c>
      <c r="I828" s="17">
        <v>11.64</v>
      </c>
      <c r="J828" s="15">
        <v>1632200</v>
      </c>
      <c r="K828" s="98">
        <f t="shared" si="36"/>
        <v>0</v>
      </c>
      <c r="L828" s="98" t="str">
        <f t="shared" si="37"/>
        <v>Lancar</v>
      </c>
      <c r="M828" s="5" t="str">
        <f t="shared" si="38"/>
        <v>002</v>
      </c>
      <c r="N828" s="55" t="str">
        <f>VLOOKUP(D828,Pinjaman!$E$7:$N$1900,10,FALSE)</f>
        <v>PRODUKTIF</v>
      </c>
      <c r="O828" s="55">
        <f>VLOOKUP(B828,'Data Angt'!$A$5:$H$5810,6,FALSE)</f>
        <v>53</v>
      </c>
      <c r="P828" s="55" t="str">
        <f>VLOOKUP(B828,'Data Angt'!$A$5:$H$5810,8,FALSE)</f>
        <v>Wiraswasta</v>
      </c>
    </row>
    <row r="829" spans="1:16" x14ac:dyDescent="0.3">
      <c r="A829" s="8">
        <v>822</v>
      </c>
      <c r="B829" s="9" t="s">
        <v>4603</v>
      </c>
      <c r="C829" s="10" t="str">
        <f>VLOOKUP(B829,'Data Angt'!$A$5:$B$5809,2,FALSE)</f>
        <v>A2011</v>
      </c>
      <c r="D829" s="12" t="s">
        <v>10316</v>
      </c>
      <c r="E829" s="13">
        <v>43186</v>
      </c>
      <c r="F829" s="14">
        <v>44251</v>
      </c>
      <c r="G829" s="15">
        <v>8000000</v>
      </c>
      <c r="H829" s="16">
        <v>36</v>
      </c>
      <c r="I829" s="17">
        <v>24</v>
      </c>
      <c r="J829" s="15">
        <v>5332400</v>
      </c>
      <c r="K829" s="98">
        <f t="shared" si="36"/>
        <v>55</v>
      </c>
      <c r="L829" s="98" t="str">
        <f t="shared" si="37"/>
        <v>Macet</v>
      </c>
      <c r="M829" s="5" t="str">
        <f t="shared" si="38"/>
        <v>002</v>
      </c>
      <c r="N829" s="55">
        <f>VLOOKUP(D829,Pinjaman!$E$7:$N$1900,10,FALSE)</f>
        <v>0</v>
      </c>
      <c r="O829" s="55">
        <f>VLOOKUP(B829,'Data Angt'!$A$5:$H$5810,6,FALSE)</f>
        <v>54</v>
      </c>
      <c r="P829" s="55" t="str">
        <f>VLOOKUP(B829,'Data Angt'!$A$5:$H$5810,8,FALSE)</f>
        <v>Petani/Pekebun/Nelayan</v>
      </c>
    </row>
    <row r="830" spans="1:16" x14ac:dyDescent="0.3">
      <c r="A830" s="8">
        <v>823</v>
      </c>
      <c r="B830" s="9" t="s">
        <v>4637</v>
      </c>
      <c r="C830" s="10" t="str">
        <f>VLOOKUP(B830,'Data Angt'!$A$5:$B$5809,2,FALSE)</f>
        <v>A2024</v>
      </c>
      <c r="D830" s="12" t="s">
        <v>10317</v>
      </c>
      <c r="E830" s="13">
        <v>43346</v>
      </c>
      <c r="F830" s="14">
        <v>43638</v>
      </c>
      <c r="G830" s="15">
        <v>30000000</v>
      </c>
      <c r="H830" s="16">
        <v>24</v>
      </c>
      <c r="I830" s="17">
        <v>21</v>
      </c>
      <c r="J830" s="15">
        <v>18750000</v>
      </c>
      <c r="K830" s="98">
        <f t="shared" si="36"/>
        <v>75</v>
      </c>
      <c r="L830" s="98" t="str">
        <f t="shared" si="37"/>
        <v>Macet</v>
      </c>
      <c r="M830" s="5" t="str">
        <f t="shared" si="38"/>
        <v>002</v>
      </c>
      <c r="N830" s="55" t="str">
        <f>VLOOKUP(D830,Pinjaman!$E$7:$N$1900,10,FALSE)</f>
        <v>PRODUKTIF</v>
      </c>
      <c r="O830" s="55">
        <f>VLOOKUP(B830,'Data Angt'!$A$5:$H$5810,6,FALSE)</f>
        <v>45</v>
      </c>
      <c r="P830" s="55" t="str">
        <f>VLOOKUP(B830,'Data Angt'!$A$5:$H$5810,8,FALSE)</f>
        <v>Karyawan</v>
      </c>
    </row>
    <row r="831" spans="1:16" x14ac:dyDescent="0.3">
      <c r="A831" s="8">
        <v>824</v>
      </c>
      <c r="B831" s="9" t="s">
        <v>4637</v>
      </c>
      <c r="C831" s="10" t="str">
        <f>VLOOKUP(B831,'Data Angt'!$A$5:$B$5809,2,FALSE)</f>
        <v>A2024</v>
      </c>
      <c r="D831" s="12" t="s">
        <v>10320</v>
      </c>
      <c r="E831" s="13">
        <v>43500</v>
      </c>
      <c r="F831" s="14">
        <v>44251</v>
      </c>
      <c r="G831" s="15">
        <v>3000000</v>
      </c>
      <c r="H831" s="16">
        <v>12</v>
      </c>
      <c r="I831" s="17">
        <v>24</v>
      </c>
      <c r="J831" s="15">
        <v>1500000</v>
      </c>
      <c r="K831" s="98">
        <f t="shared" si="36"/>
        <v>55</v>
      </c>
      <c r="L831" s="98" t="str">
        <f t="shared" si="37"/>
        <v>Macet</v>
      </c>
      <c r="M831" s="5" t="str">
        <f t="shared" si="38"/>
        <v>002</v>
      </c>
      <c r="N831" s="55" t="str">
        <f>VLOOKUP(D831,Pinjaman!$E$7:$N$1900,10,FALSE)</f>
        <v>PRODUKTIF</v>
      </c>
      <c r="O831" s="55">
        <f>VLOOKUP(B831,'Data Angt'!$A$5:$H$5810,6,FALSE)</f>
        <v>45</v>
      </c>
      <c r="P831" s="55" t="str">
        <f>VLOOKUP(B831,'Data Angt'!$A$5:$H$5810,8,FALSE)</f>
        <v>Karyawan</v>
      </c>
    </row>
    <row r="832" spans="1:16" x14ac:dyDescent="0.3">
      <c r="A832" s="8">
        <v>825</v>
      </c>
      <c r="B832" s="9" t="s">
        <v>4645</v>
      </c>
      <c r="C832" s="10" t="str">
        <f>VLOOKUP(B832,'Data Angt'!$A$5:$B$5809,2,FALSE)</f>
        <v>A2028</v>
      </c>
      <c r="D832" s="12" t="s">
        <v>10323</v>
      </c>
      <c r="E832" s="13">
        <v>44214</v>
      </c>
      <c r="F832" s="14">
        <v>45699</v>
      </c>
      <c r="G832" s="15">
        <v>85000000</v>
      </c>
      <c r="H832" s="16">
        <v>48</v>
      </c>
      <c r="I832" s="17">
        <v>21</v>
      </c>
      <c r="J832" s="15">
        <v>56252900</v>
      </c>
      <c r="K832" s="98">
        <f t="shared" si="36"/>
        <v>7</v>
      </c>
      <c r="L832" s="98" t="str">
        <f t="shared" si="37"/>
        <v>Diragukan</v>
      </c>
      <c r="M832" s="5" t="str">
        <f t="shared" si="38"/>
        <v>002</v>
      </c>
      <c r="N832" s="55" t="str">
        <f>VLOOKUP(D832,Pinjaman!$E$7:$N$1900,10,FALSE)</f>
        <v>KONSUMTIF</v>
      </c>
      <c r="O832" s="55">
        <f>VLOOKUP(B832,'Data Angt'!$A$5:$H$5810,6,FALSE)</f>
        <v>44</v>
      </c>
      <c r="P832" s="55" t="str">
        <f>VLOOKUP(B832,'Data Angt'!$A$5:$H$5810,8,FALSE)</f>
        <v>Karyawan</v>
      </c>
    </row>
    <row r="833" spans="1:16" x14ac:dyDescent="0.3">
      <c r="A833" s="8">
        <v>826</v>
      </c>
      <c r="B833" s="9" t="s">
        <v>4748</v>
      </c>
      <c r="C833" s="10" t="str">
        <f>VLOOKUP(B833,'Data Angt'!$A$5:$B$5809,2,FALSE)</f>
        <v>A2075</v>
      </c>
      <c r="D833" s="12" t="s">
        <v>16544</v>
      </c>
      <c r="E833" s="13">
        <v>45821</v>
      </c>
      <c r="F833" s="14">
        <v>45915</v>
      </c>
      <c r="G833" s="15">
        <v>5000000</v>
      </c>
      <c r="H833" s="16">
        <v>10</v>
      </c>
      <c r="I833" s="17">
        <v>24</v>
      </c>
      <c r="J833" s="15">
        <v>3602400</v>
      </c>
      <c r="K833" s="98">
        <f t="shared" si="36"/>
        <v>0</v>
      </c>
      <c r="L833" s="98" t="str">
        <f t="shared" si="37"/>
        <v>Lancar</v>
      </c>
      <c r="M833" s="5" t="str">
        <f t="shared" si="38"/>
        <v>002</v>
      </c>
      <c r="N833" s="55" t="str">
        <f>VLOOKUP(D833,Pinjaman!$E$7:$N$1900,10,FALSE)</f>
        <v>PRODUKTIF</v>
      </c>
      <c r="O833" s="55">
        <f>VLOOKUP(B833,'Data Angt'!$A$5:$H$5810,6,FALSE)</f>
        <v>43</v>
      </c>
      <c r="P833" s="55" t="str">
        <f>VLOOKUP(B833,'Data Angt'!$A$5:$H$5810,8,FALSE)</f>
        <v>Karyawan</v>
      </c>
    </row>
    <row r="834" spans="1:16" x14ac:dyDescent="0.3">
      <c r="A834" s="8">
        <v>827</v>
      </c>
      <c r="B834" s="9" t="s">
        <v>4748</v>
      </c>
      <c r="C834" s="10" t="str">
        <f>VLOOKUP(B834,'Data Angt'!$A$5:$B$5809,2,FALSE)</f>
        <v>A2075</v>
      </c>
      <c r="D834" s="12" t="s">
        <v>22967</v>
      </c>
      <c r="E834" s="13">
        <v>45877</v>
      </c>
      <c r="F834" s="14">
        <v>45904</v>
      </c>
      <c r="G834" s="15">
        <v>15000000</v>
      </c>
      <c r="H834" s="16">
        <v>30</v>
      </c>
      <c r="I834" s="17">
        <v>24</v>
      </c>
      <c r="J834" s="15">
        <v>14630200</v>
      </c>
      <c r="K834" s="98">
        <f t="shared" si="36"/>
        <v>0</v>
      </c>
      <c r="L834" s="98" t="str">
        <f t="shared" si="37"/>
        <v>Lancar</v>
      </c>
      <c r="M834" s="5" t="str">
        <f t="shared" si="38"/>
        <v>002</v>
      </c>
      <c r="N834" s="55" t="str">
        <f>VLOOKUP(D834,Pinjaman!$E$7:$N$1900,10,FALSE)</f>
        <v>KONSUMTIF</v>
      </c>
      <c r="O834" s="55">
        <f>VLOOKUP(B834,'Data Angt'!$A$5:$H$5810,6,FALSE)</f>
        <v>43</v>
      </c>
      <c r="P834" s="55" t="str">
        <f>VLOOKUP(B834,'Data Angt'!$A$5:$H$5810,8,FALSE)</f>
        <v>Karyawan</v>
      </c>
    </row>
    <row r="835" spans="1:16" x14ac:dyDescent="0.3">
      <c r="A835" s="8">
        <v>828</v>
      </c>
      <c r="B835" s="9" t="s">
        <v>4752</v>
      </c>
      <c r="C835" s="10" t="str">
        <f>VLOOKUP(B835,'Data Angt'!$A$5:$B$5809,2,FALSE)</f>
        <v>A2078</v>
      </c>
      <c r="D835" s="12" t="s">
        <v>16546</v>
      </c>
      <c r="E835" s="13">
        <v>45457</v>
      </c>
      <c r="F835" s="14">
        <v>45908</v>
      </c>
      <c r="G835" s="15">
        <v>5000000</v>
      </c>
      <c r="H835" s="16">
        <v>24</v>
      </c>
      <c r="I835" s="17">
        <v>11.64</v>
      </c>
      <c r="J835" s="15">
        <v>2011400</v>
      </c>
      <c r="K835" s="98">
        <f t="shared" si="36"/>
        <v>0</v>
      </c>
      <c r="L835" s="98" t="str">
        <f t="shared" si="37"/>
        <v>Lancar</v>
      </c>
      <c r="M835" s="5" t="str">
        <f t="shared" si="38"/>
        <v>002</v>
      </c>
      <c r="N835" s="55" t="str">
        <f>VLOOKUP(D835,Pinjaman!$E$7:$N$1900,10,FALSE)</f>
        <v>PENDIDIKAN</v>
      </c>
      <c r="O835" s="55">
        <f>VLOOKUP(B835,'Data Angt'!$A$5:$H$5810,6,FALSE)</f>
        <v>50</v>
      </c>
      <c r="P835" s="55" t="str">
        <f>VLOOKUP(B835,'Data Angt'!$A$5:$H$5810,8,FALSE)</f>
        <v>Wiraswasta</v>
      </c>
    </row>
    <row r="836" spans="1:16" x14ac:dyDescent="0.3">
      <c r="A836" s="8">
        <v>829</v>
      </c>
      <c r="B836" s="9" t="s">
        <v>4865</v>
      </c>
      <c r="C836" s="10" t="str">
        <f>VLOOKUP(B836,'Data Angt'!$A$5:$B$5809,2,FALSE)</f>
        <v>A2130</v>
      </c>
      <c r="D836" s="12" t="s">
        <v>10326</v>
      </c>
      <c r="E836" s="13">
        <v>42451</v>
      </c>
      <c r="F836" s="14">
        <v>44251</v>
      </c>
      <c r="G836" s="15">
        <v>100000000</v>
      </c>
      <c r="H836" s="16">
        <v>48</v>
      </c>
      <c r="I836" s="17">
        <v>21</v>
      </c>
      <c r="J836" s="15">
        <v>27538800</v>
      </c>
      <c r="K836" s="98">
        <f t="shared" si="36"/>
        <v>55</v>
      </c>
      <c r="L836" s="98" t="str">
        <f t="shared" si="37"/>
        <v>Macet</v>
      </c>
      <c r="M836" s="5" t="str">
        <f t="shared" si="38"/>
        <v>002</v>
      </c>
      <c r="N836" s="55">
        <f>VLOOKUP(D836,Pinjaman!$E$7:$N$1900,10,FALSE)</f>
        <v>0</v>
      </c>
      <c r="O836" s="55">
        <f>VLOOKUP(B836,'Data Angt'!$A$5:$H$5810,6,FALSE)</f>
        <v>61</v>
      </c>
      <c r="P836" s="55" t="str">
        <f>VLOOKUP(B836,'Data Angt'!$A$5:$H$5810,8,FALSE)</f>
        <v>Wiraswasta</v>
      </c>
    </row>
    <row r="837" spans="1:16" x14ac:dyDescent="0.3">
      <c r="A837" s="8">
        <v>830</v>
      </c>
      <c r="B837" s="9" t="s">
        <v>4945</v>
      </c>
      <c r="C837" s="10" t="str">
        <f>VLOOKUP(B837,'Data Angt'!$A$5:$B$5809,2,FALSE)</f>
        <v>A2166</v>
      </c>
      <c r="D837" s="12" t="s">
        <v>16548</v>
      </c>
      <c r="E837" s="13">
        <v>45803</v>
      </c>
      <c r="F837" s="14">
        <v>45929</v>
      </c>
      <c r="G837" s="15">
        <v>20000000</v>
      </c>
      <c r="H837" s="16">
        <v>30</v>
      </c>
      <c r="I837" s="17">
        <v>24</v>
      </c>
      <c r="J837" s="15">
        <v>17333200</v>
      </c>
      <c r="K837" s="98">
        <f t="shared" si="36"/>
        <v>0</v>
      </c>
      <c r="L837" s="98" t="str">
        <f t="shared" si="37"/>
        <v>Lancar</v>
      </c>
      <c r="M837" s="5" t="str">
        <f t="shared" si="38"/>
        <v>002</v>
      </c>
      <c r="N837" s="55" t="str">
        <f>VLOOKUP(D837,Pinjaman!$E$7:$N$1900,10,FALSE)</f>
        <v>KONSUMTIF</v>
      </c>
      <c r="O837" s="55">
        <f>VLOOKUP(B837,'Data Angt'!$A$5:$H$5810,6,FALSE)</f>
        <v>39</v>
      </c>
      <c r="P837" s="55" t="str">
        <f>VLOOKUP(B837,'Data Angt'!$A$5:$H$5810,8,FALSE)</f>
        <v>Wiraswasta</v>
      </c>
    </row>
    <row r="838" spans="1:16" x14ac:dyDescent="0.3">
      <c r="A838" s="8">
        <v>831</v>
      </c>
      <c r="B838" s="9" t="s">
        <v>5105</v>
      </c>
      <c r="C838" s="10" t="str">
        <f>VLOOKUP(B838,'Data Angt'!$A$5:$B$5809,2,FALSE)</f>
        <v>A2243</v>
      </c>
      <c r="D838" s="12" t="s">
        <v>16550</v>
      </c>
      <c r="E838" s="13">
        <v>45512</v>
      </c>
      <c r="F838" s="14">
        <v>45908</v>
      </c>
      <c r="G838" s="15">
        <v>6000000</v>
      </c>
      <c r="H838" s="16">
        <v>30</v>
      </c>
      <c r="I838" s="17">
        <v>24</v>
      </c>
      <c r="J838" s="15">
        <v>3400000</v>
      </c>
      <c r="K838" s="98">
        <f t="shared" si="36"/>
        <v>0</v>
      </c>
      <c r="L838" s="98" t="str">
        <f t="shared" si="37"/>
        <v>Lancar</v>
      </c>
      <c r="M838" s="5" t="str">
        <f t="shared" si="38"/>
        <v>002</v>
      </c>
      <c r="N838" s="55" t="str">
        <f>VLOOKUP(D838,Pinjaman!$E$7:$N$1900,10,FALSE)</f>
        <v>KONSUMTIF</v>
      </c>
      <c r="O838" s="55">
        <f>VLOOKUP(B838,'Data Angt'!$A$5:$H$5810,6,FALSE)</f>
        <v>46</v>
      </c>
      <c r="P838" s="55" t="str">
        <f>VLOOKUP(B838,'Data Angt'!$A$5:$H$5810,8,FALSE)</f>
        <v>Karyawan</v>
      </c>
    </row>
    <row r="839" spans="1:16" x14ac:dyDescent="0.3">
      <c r="A839" s="8">
        <v>832</v>
      </c>
      <c r="B839" s="9" t="s">
        <v>5323</v>
      </c>
      <c r="C839" s="10" t="str">
        <f>VLOOKUP(B839,'Data Angt'!$A$5:$B$5809,2,FALSE)</f>
        <v>A2344</v>
      </c>
      <c r="D839" s="12" t="s">
        <v>22971</v>
      </c>
      <c r="E839" s="13">
        <v>45902</v>
      </c>
      <c r="F839" s="14">
        <v>45902</v>
      </c>
      <c r="G839" s="15">
        <v>10000000</v>
      </c>
      <c r="H839" s="16">
        <v>6</v>
      </c>
      <c r="I839" s="17">
        <v>24</v>
      </c>
      <c r="J839" s="15">
        <v>10000000</v>
      </c>
      <c r="K839" s="98">
        <f t="shared" si="36"/>
        <v>0</v>
      </c>
      <c r="L839" s="98" t="str">
        <f t="shared" si="37"/>
        <v>Lancar</v>
      </c>
      <c r="M839" s="5" t="str">
        <f t="shared" si="38"/>
        <v>002</v>
      </c>
      <c r="N839" s="55" t="str">
        <f>VLOOKUP(D839,Pinjaman!$E$7:$N$1900,10,FALSE)</f>
        <v>PRODUKTIF</v>
      </c>
      <c r="O839" s="55">
        <f>VLOOKUP(B839,'Data Angt'!$A$5:$H$5810,6,FALSE)</f>
        <v>44</v>
      </c>
      <c r="P839" s="55" t="str">
        <f>VLOOKUP(B839,'Data Angt'!$A$5:$H$5810,8,FALSE)</f>
        <v>Wiraswasta</v>
      </c>
    </row>
    <row r="840" spans="1:16" x14ac:dyDescent="0.3">
      <c r="A840" s="8">
        <v>833</v>
      </c>
      <c r="B840" s="9" t="s">
        <v>5413</v>
      </c>
      <c r="C840" s="10" t="str">
        <f>VLOOKUP(B840,'Data Angt'!$A$5:$B$5809,2,FALSE)</f>
        <v>A2388</v>
      </c>
      <c r="D840" s="12" t="s">
        <v>16552</v>
      </c>
      <c r="E840" s="13">
        <v>45315</v>
      </c>
      <c r="F840" s="14">
        <v>45742</v>
      </c>
      <c r="G840" s="15">
        <v>50000000</v>
      </c>
      <c r="H840" s="16">
        <v>48</v>
      </c>
      <c r="I840" s="17">
        <v>21</v>
      </c>
      <c r="J840" s="15">
        <v>45833200</v>
      </c>
      <c r="K840" s="98">
        <f t="shared" si="36"/>
        <v>6</v>
      </c>
      <c r="L840" s="98" t="str">
        <f t="shared" si="37"/>
        <v>Kurang lancar</v>
      </c>
      <c r="M840" s="5" t="str">
        <f t="shared" si="38"/>
        <v>002</v>
      </c>
      <c r="N840" s="55" t="str">
        <f>VLOOKUP(D840,Pinjaman!$E$7:$N$1900,10,FALSE)</f>
        <v>PRODUKTIF</v>
      </c>
      <c r="O840" s="55">
        <f>VLOOKUP(B840,'Data Angt'!$A$5:$H$5810,6,FALSE)</f>
        <v>47</v>
      </c>
      <c r="P840" s="55" t="str">
        <f>VLOOKUP(B840,'Data Angt'!$A$5:$H$5810,8,FALSE)</f>
        <v>Wiraswasta</v>
      </c>
    </row>
    <row r="841" spans="1:16" x14ac:dyDescent="0.3">
      <c r="A841" s="8">
        <v>834</v>
      </c>
      <c r="B841" s="9" t="s">
        <v>5439</v>
      </c>
      <c r="C841" s="10" t="str">
        <f>VLOOKUP(B841,'Data Angt'!$A$5:$B$5809,2,FALSE)</f>
        <v>A2401</v>
      </c>
      <c r="D841" s="12" t="s">
        <v>10327</v>
      </c>
      <c r="E841" s="13">
        <v>44166</v>
      </c>
      <c r="F841" s="14">
        <v>44436</v>
      </c>
      <c r="G841" s="15">
        <v>5000000</v>
      </c>
      <c r="H841" s="16">
        <v>12</v>
      </c>
      <c r="I841" s="17">
        <v>24</v>
      </c>
      <c r="J841" s="15">
        <v>3060100</v>
      </c>
      <c r="K841" s="98">
        <f t="shared" ref="K841:K904" si="39">DATEDIF(F841,$K$6,"m")</f>
        <v>49</v>
      </c>
      <c r="L841" s="98" t="str">
        <f t="shared" ref="L841:L904" si="40">IF(K841&lt;=3,"Lancar",IF(K841&lt;=6,"Kurang lancar",IF(K841&lt;=12,"Diragukan","Macet")))</f>
        <v>Macet</v>
      </c>
      <c r="M841" s="5" t="str">
        <f t="shared" ref="M841:M904" si="41">MID(B841,7,3)</f>
        <v>002</v>
      </c>
      <c r="N841" s="55" t="str">
        <f>VLOOKUP(D841,Pinjaman!$E$7:$N$1900,10,FALSE)</f>
        <v>KONSUMTIF</v>
      </c>
      <c r="O841" s="55">
        <f>VLOOKUP(B841,'Data Angt'!$A$5:$H$5810,6,FALSE)</f>
        <v>38</v>
      </c>
      <c r="P841" s="55" t="str">
        <f>VLOOKUP(B841,'Data Angt'!$A$5:$H$5810,8,FALSE)</f>
        <v>Tenaga Pengajar</v>
      </c>
    </row>
    <row r="842" spans="1:16" x14ac:dyDescent="0.3">
      <c r="A842" s="8">
        <v>835</v>
      </c>
      <c r="B842" s="9" t="s">
        <v>5439</v>
      </c>
      <c r="C842" s="10" t="str">
        <f>VLOOKUP(B842,'Data Angt'!$A$5:$B$5809,2,FALSE)</f>
        <v>A2401</v>
      </c>
      <c r="D842" s="12" t="s">
        <v>10330</v>
      </c>
      <c r="E842" s="13">
        <v>43596</v>
      </c>
      <c r="F842" s="14">
        <v>44436</v>
      </c>
      <c r="G842" s="15">
        <v>35000000</v>
      </c>
      <c r="H842" s="16">
        <v>60</v>
      </c>
      <c r="I842" s="17">
        <v>21</v>
      </c>
      <c r="J842" s="15">
        <v>22165200</v>
      </c>
      <c r="K842" s="98">
        <f t="shared" si="39"/>
        <v>49</v>
      </c>
      <c r="L842" s="98" t="str">
        <f t="shared" si="40"/>
        <v>Macet</v>
      </c>
      <c r="M842" s="5" t="str">
        <f t="shared" si="41"/>
        <v>002</v>
      </c>
      <c r="N842" s="55" t="str">
        <f>VLOOKUP(D842,Pinjaman!$E$7:$N$1900,10,FALSE)</f>
        <v>KONSUMTIF</v>
      </c>
      <c r="O842" s="55">
        <f>VLOOKUP(B842,'Data Angt'!$A$5:$H$5810,6,FALSE)</f>
        <v>38</v>
      </c>
      <c r="P842" s="55" t="str">
        <f>VLOOKUP(B842,'Data Angt'!$A$5:$H$5810,8,FALSE)</f>
        <v>Tenaga Pengajar</v>
      </c>
    </row>
    <row r="843" spans="1:16" x14ac:dyDescent="0.3">
      <c r="A843" s="8">
        <v>836</v>
      </c>
      <c r="B843" s="9" t="s">
        <v>5532</v>
      </c>
      <c r="C843" s="10" t="str">
        <f>VLOOKUP(B843,'Data Angt'!$A$5:$B$5809,2,FALSE)</f>
        <v>A2443</v>
      </c>
      <c r="D843" s="12" t="s">
        <v>10333</v>
      </c>
      <c r="E843" s="13">
        <v>43598</v>
      </c>
      <c r="F843" s="14">
        <v>44251</v>
      </c>
      <c r="G843" s="15">
        <v>30000000</v>
      </c>
      <c r="H843" s="16">
        <v>36</v>
      </c>
      <c r="I843" s="17">
        <v>21</v>
      </c>
      <c r="J843" s="15">
        <v>20832600</v>
      </c>
      <c r="K843" s="98">
        <f t="shared" si="39"/>
        <v>55</v>
      </c>
      <c r="L843" s="98" t="str">
        <f t="shared" si="40"/>
        <v>Macet</v>
      </c>
      <c r="M843" s="5" t="str">
        <f t="shared" si="41"/>
        <v>002</v>
      </c>
      <c r="N843" s="55" t="str">
        <f>VLOOKUP(D843,Pinjaman!$E$7:$N$1900,10,FALSE)</f>
        <v>PRODUKTIF</v>
      </c>
      <c r="O843" s="55">
        <f>VLOOKUP(B843,'Data Angt'!$A$5:$H$5810,6,FALSE)</f>
        <v>39</v>
      </c>
      <c r="P843" s="55" t="str">
        <f>VLOOKUP(B843,'Data Angt'!$A$5:$H$5810,8,FALSE)</f>
        <v>Tenaga Pengajar</v>
      </c>
    </row>
    <row r="844" spans="1:16" x14ac:dyDescent="0.3">
      <c r="A844" s="8">
        <v>837</v>
      </c>
      <c r="B844" s="9" t="s">
        <v>5579</v>
      </c>
      <c r="C844" s="10" t="str">
        <f>VLOOKUP(B844,'Data Angt'!$A$5:$B$5809,2,FALSE)</f>
        <v>A2464</v>
      </c>
      <c r="D844" s="12" t="s">
        <v>16555</v>
      </c>
      <c r="E844" s="13">
        <v>45695</v>
      </c>
      <c r="F844" s="14">
        <v>45909</v>
      </c>
      <c r="G844" s="15">
        <v>3700000</v>
      </c>
      <c r="H844" s="16">
        <v>18</v>
      </c>
      <c r="I844" s="17">
        <v>24</v>
      </c>
      <c r="J844" s="15">
        <v>2415800</v>
      </c>
      <c r="K844" s="98">
        <f t="shared" si="39"/>
        <v>0</v>
      </c>
      <c r="L844" s="98" t="str">
        <f t="shared" si="40"/>
        <v>Lancar</v>
      </c>
      <c r="M844" s="5" t="str">
        <f t="shared" si="41"/>
        <v>002</v>
      </c>
      <c r="N844" s="55" t="str">
        <f>VLOOKUP(D844,Pinjaman!$E$7:$N$1900,10,FALSE)</f>
        <v>KONSUMTIF</v>
      </c>
      <c r="O844" s="55">
        <f>VLOOKUP(B844,'Data Angt'!$A$5:$H$5810,6,FALSE)</f>
        <v>34</v>
      </c>
      <c r="P844" s="55" t="str">
        <f>VLOOKUP(B844,'Data Angt'!$A$5:$H$5810,8,FALSE)</f>
        <v>Tenaga Pengajar</v>
      </c>
    </row>
    <row r="845" spans="1:16" x14ac:dyDescent="0.3">
      <c r="A845" s="8">
        <v>838</v>
      </c>
      <c r="B845" s="9" t="s">
        <v>5588</v>
      </c>
      <c r="C845" s="10" t="str">
        <f>VLOOKUP(B845,'Data Angt'!$A$5:$B$5809,2,FALSE)</f>
        <v>A2468</v>
      </c>
      <c r="D845" s="12" t="s">
        <v>10336</v>
      </c>
      <c r="E845" s="13">
        <v>43241</v>
      </c>
      <c r="F845" s="14">
        <v>44804</v>
      </c>
      <c r="G845" s="15">
        <v>18500000</v>
      </c>
      <c r="H845" s="16">
        <v>48</v>
      </c>
      <c r="I845" s="17">
        <v>24</v>
      </c>
      <c r="J845" s="15">
        <v>12417400</v>
      </c>
      <c r="K845" s="98">
        <f t="shared" si="39"/>
        <v>36</v>
      </c>
      <c r="L845" s="98" t="str">
        <f t="shared" si="40"/>
        <v>Macet</v>
      </c>
      <c r="M845" s="5" t="str">
        <f t="shared" si="41"/>
        <v>002</v>
      </c>
      <c r="N845" s="55" t="str">
        <f>VLOOKUP(D845,Pinjaman!$E$7:$N$1900,10,FALSE)</f>
        <v>KONSUMTIF</v>
      </c>
      <c r="O845" s="55">
        <f>VLOOKUP(B845,'Data Angt'!$A$5:$H$5810,6,FALSE)</f>
        <v>39</v>
      </c>
      <c r="P845" s="55" t="str">
        <f>VLOOKUP(B845,'Data Angt'!$A$5:$H$5810,8,FALSE)</f>
        <v>Karyawan</v>
      </c>
    </row>
    <row r="846" spans="1:16" x14ac:dyDescent="0.3">
      <c r="A846" s="8">
        <v>839</v>
      </c>
      <c r="B846" s="9" t="s">
        <v>5666</v>
      </c>
      <c r="C846" s="10" t="str">
        <f>VLOOKUP(B846,'Data Angt'!$A$5:$B$5809,2,FALSE)</f>
        <v>A2500</v>
      </c>
      <c r="D846" s="12" t="s">
        <v>22983</v>
      </c>
      <c r="E846" s="13">
        <v>45853</v>
      </c>
      <c r="F846" s="14">
        <v>45912</v>
      </c>
      <c r="G846" s="15">
        <v>3000000</v>
      </c>
      <c r="H846" s="16">
        <v>24</v>
      </c>
      <c r="I846" s="17">
        <v>11.64</v>
      </c>
      <c r="J846" s="15">
        <v>2775600</v>
      </c>
      <c r="K846" s="98">
        <f t="shared" si="39"/>
        <v>0</v>
      </c>
      <c r="L846" s="98" t="str">
        <f t="shared" si="40"/>
        <v>Lancar</v>
      </c>
      <c r="M846" s="5" t="str">
        <f t="shared" si="41"/>
        <v>002</v>
      </c>
      <c r="N846" s="55" t="str">
        <f>VLOOKUP(D846,Pinjaman!$E$7:$N$1900,10,FALSE)</f>
        <v>PENDIDIKAN</v>
      </c>
      <c r="O846" s="55">
        <f>VLOOKUP(B846,'Data Angt'!$A$5:$H$5810,6,FALSE)</f>
        <v>43</v>
      </c>
      <c r="P846" s="55" t="str">
        <f>VLOOKUP(B846,'Data Angt'!$A$5:$H$5810,8,FALSE)</f>
        <v>Karyawan</v>
      </c>
    </row>
    <row r="847" spans="1:16" x14ac:dyDescent="0.3">
      <c r="A847" s="8">
        <v>840</v>
      </c>
      <c r="B847" s="9" t="s">
        <v>5955</v>
      </c>
      <c r="C847" s="10" t="str">
        <f>VLOOKUP(B847,'Data Angt'!$A$5:$B$5809,2,FALSE)</f>
        <v>A2628</v>
      </c>
      <c r="D847" s="12" t="s">
        <v>16557</v>
      </c>
      <c r="E847" s="13">
        <v>45680</v>
      </c>
      <c r="F847" s="14">
        <v>45912</v>
      </c>
      <c r="G847" s="15">
        <v>25000000</v>
      </c>
      <c r="H847" s="16">
        <v>24</v>
      </c>
      <c r="I847" s="17">
        <v>21</v>
      </c>
      <c r="J847" s="15">
        <v>16666400</v>
      </c>
      <c r="K847" s="98">
        <f t="shared" si="39"/>
        <v>0</v>
      </c>
      <c r="L847" s="98" t="str">
        <f t="shared" si="40"/>
        <v>Lancar</v>
      </c>
      <c r="M847" s="5" t="str">
        <f t="shared" si="41"/>
        <v>002</v>
      </c>
      <c r="N847" s="55" t="str">
        <f>VLOOKUP(D847,Pinjaman!$E$7:$N$1900,10,FALSE)</f>
        <v>PRODUKTIF</v>
      </c>
      <c r="O847" s="55">
        <f>VLOOKUP(B847,'Data Angt'!$A$5:$H$5810,6,FALSE)</f>
        <v>48</v>
      </c>
      <c r="P847" s="55" t="str">
        <f>VLOOKUP(B847,'Data Angt'!$A$5:$H$5810,8,FALSE)</f>
        <v>Karyawan</v>
      </c>
    </row>
    <row r="848" spans="1:16" x14ac:dyDescent="0.3">
      <c r="A848" s="8">
        <v>841</v>
      </c>
      <c r="B848" s="9" t="s">
        <v>5960</v>
      </c>
      <c r="C848" s="10" t="str">
        <f>VLOOKUP(B848,'Data Angt'!$A$5:$B$5809,2,FALSE)</f>
        <v>A2631</v>
      </c>
      <c r="D848" s="12" t="s">
        <v>22987</v>
      </c>
      <c r="E848" s="13">
        <v>45840</v>
      </c>
      <c r="F848" s="14">
        <v>45904</v>
      </c>
      <c r="G848" s="15">
        <v>20000000</v>
      </c>
      <c r="H848" s="16">
        <v>24</v>
      </c>
      <c r="I848" s="17">
        <v>24</v>
      </c>
      <c r="J848" s="15">
        <v>18671900</v>
      </c>
      <c r="K848" s="98">
        <f t="shared" si="39"/>
        <v>0</v>
      </c>
      <c r="L848" s="98" t="str">
        <f t="shared" si="40"/>
        <v>Lancar</v>
      </c>
      <c r="M848" s="5" t="str">
        <f t="shared" si="41"/>
        <v>002</v>
      </c>
      <c r="N848" s="55" t="str">
        <f>VLOOKUP(D848,Pinjaman!$E$7:$N$1900,10,FALSE)</f>
        <v>KESEJAHTERAAN</v>
      </c>
      <c r="O848" s="55">
        <f>VLOOKUP(B848,'Data Angt'!$A$5:$H$5810,6,FALSE)</f>
        <v>59</v>
      </c>
      <c r="P848" s="55" t="str">
        <f>VLOOKUP(B848,'Data Angt'!$A$5:$H$5810,8,FALSE)</f>
        <v>Wiraswasta</v>
      </c>
    </row>
    <row r="849" spans="1:16" x14ac:dyDescent="0.3">
      <c r="A849" s="8">
        <v>842</v>
      </c>
      <c r="B849" s="9" t="s">
        <v>6053</v>
      </c>
      <c r="C849" s="10" t="str">
        <f>VLOOKUP(B849,'Data Angt'!$A$5:$B$5809,2,FALSE)</f>
        <v>A2677</v>
      </c>
      <c r="D849" s="12" t="s">
        <v>10337</v>
      </c>
      <c r="E849" s="13">
        <v>42958</v>
      </c>
      <c r="F849" s="14">
        <v>44251</v>
      </c>
      <c r="G849" s="15">
        <v>40000000</v>
      </c>
      <c r="H849" s="16">
        <v>36</v>
      </c>
      <c r="I849" s="17">
        <v>11.88</v>
      </c>
      <c r="J849" s="15">
        <v>28888000</v>
      </c>
      <c r="K849" s="98">
        <f t="shared" si="39"/>
        <v>55</v>
      </c>
      <c r="L849" s="98" t="str">
        <f t="shared" si="40"/>
        <v>Macet</v>
      </c>
      <c r="M849" s="5" t="str">
        <f t="shared" si="41"/>
        <v>002</v>
      </c>
      <c r="N849" s="55">
        <f>VLOOKUP(D849,Pinjaman!$E$7:$N$1900,10,FALSE)</f>
        <v>0</v>
      </c>
      <c r="O849" s="55">
        <f>VLOOKUP(B849,'Data Angt'!$A$5:$H$5810,6,FALSE)</f>
        <v>39</v>
      </c>
      <c r="P849" s="55" t="str">
        <f>VLOOKUP(B849,'Data Angt'!$A$5:$H$5810,8,FALSE)</f>
        <v>Karyawan</v>
      </c>
    </row>
    <row r="850" spans="1:16" x14ac:dyDescent="0.3">
      <c r="A850" s="8">
        <v>843</v>
      </c>
      <c r="B850" s="9" t="s">
        <v>6095</v>
      </c>
      <c r="C850" s="10" t="str">
        <f>VLOOKUP(B850,'Data Angt'!$A$5:$B$5809,2,FALSE)</f>
        <v>A2698</v>
      </c>
      <c r="D850" s="12" t="s">
        <v>10338</v>
      </c>
      <c r="E850" s="13">
        <v>44512</v>
      </c>
      <c r="F850" s="14">
        <v>44613</v>
      </c>
      <c r="G850" s="15">
        <v>8000000</v>
      </c>
      <c r="H850" s="16">
        <v>24</v>
      </c>
      <c r="I850" s="17">
        <v>24</v>
      </c>
      <c r="J850" s="15">
        <v>7333200</v>
      </c>
      <c r="K850" s="98">
        <f t="shared" si="39"/>
        <v>43</v>
      </c>
      <c r="L850" s="98" t="str">
        <f t="shared" si="40"/>
        <v>Macet</v>
      </c>
      <c r="M850" s="5" t="str">
        <f t="shared" si="41"/>
        <v>002</v>
      </c>
      <c r="N850" s="55" t="str">
        <f>VLOOKUP(D850,Pinjaman!$E$7:$N$1900,10,FALSE)</f>
        <v>KONSUMTIF</v>
      </c>
      <c r="O850" s="55">
        <f>VLOOKUP(B850,'Data Angt'!$A$5:$H$5810,6,FALSE)</f>
        <v>42</v>
      </c>
      <c r="P850" s="55" t="str">
        <f>VLOOKUP(B850,'Data Angt'!$A$5:$H$5810,8,FALSE)</f>
        <v>Karyawan</v>
      </c>
    </row>
    <row r="851" spans="1:16" x14ac:dyDescent="0.3">
      <c r="A851" s="8">
        <v>844</v>
      </c>
      <c r="B851" s="9" t="s">
        <v>6100</v>
      </c>
      <c r="C851" s="10" t="str">
        <f>VLOOKUP(B851,'Data Angt'!$A$5:$B$5809,2,FALSE)</f>
        <v>A2700</v>
      </c>
      <c r="D851" s="12" t="s">
        <v>10341</v>
      </c>
      <c r="E851" s="13">
        <v>44098</v>
      </c>
      <c r="F851" s="14">
        <v>44439</v>
      </c>
      <c r="G851" s="15">
        <v>15000000</v>
      </c>
      <c r="H851" s="16">
        <v>36</v>
      </c>
      <c r="I851" s="17">
        <v>24</v>
      </c>
      <c r="J851" s="15">
        <v>14711500</v>
      </c>
      <c r="K851" s="98">
        <f t="shared" si="39"/>
        <v>48</v>
      </c>
      <c r="L851" s="98" t="str">
        <f t="shared" si="40"/>
        <v>Macet</v>
      </c>
      <c r="M851" s="5" t="str">
        <f t="shared" si="41"/>
        <v>002</v>
      </c>
      <c r="N851" s="55" t="str">
        <f>VLOOKUP(D851,Pinjaman!$E$7:$N$1900,10,FALSE)</f>
        <v>KONSUMTIF</v>
      </c>
      <c r="O851" s="55">
        <f>VLOOKUP(B851,'Data Angt'!$A$5:$H$5810,6,FALSE)</f>
        <v>45</v>
      </c>
      <c r="P851" s="55" t="str">
        <f>VLOOKUP(B851,'Data Angt'!$A$5:$H$5810,8,FALSE)</f>
        <v>Wiraswasta</v>
      </c>
    </row>
    <row r="852" spans="1:16" x14ac:dyDescent="0.3">
      <c r="A852" s="8">
        <v>845</v>
      </c>
      <c r="B852" s="9" t="s">
        <v>6192</v>
      </c>
      <c r="C852" s="10" t="str">
        <f>VLOOKUP(B852,'Data Angt'!$A$5:$B$5809,2,FALSE)</f>
        <v>A2743</v>
      </c>
      <c r="D852" s="12" t="s">
        <v>16560</v>
      </c>
      <c r="E852" s="13">
        <v>45779</v>
      </c>
      <c r="F852" s="14">
        <v>45901</v>
      </c>
      <c r="G852" s="15">
        <v>25000000</v>
      </c>
      <c r="H852" s="16">
        <v>48</v>
      </c>
      <c r="I852" s="17">
        <v>21</v>
      </c>
      <c r="J852" s="15">
        <v>23617700</v>
      </c>
      <c r="K852" s="98">
        <f t="shared" si="39"/>
        <v>0</v>
      </c>
      <c r="L852" s="98" t="str">
        <f t="shared" si="40"/>
        <v>Lancar</v>
      </c>
      <c r="M852" s="5" t="str">
        <f t="shared" si="41"/>
        <v>002</v>
      </c>
      <c r="N852" s="55" t="str">
        <f>VLOOKUP(D852,Pinjaman!$E$7:$N$1900,10,FALSE)</f>
        <v>KESEJAHTERAAN</v>
      </c>
      <c r="O852" s="55">
        <f>VLOOKUP(B852,'Data Angt'!$A$5:$H$5810,6,FALSE)</f>
        <v>45</v>
      </c>
      <c r="P852" s="55" t="str">
        <f>VLOOKUP(B852,'Data Angt'!$A$5:$H$5810,8,FALSE)</f>
        <v>Tenaga Medis</v>
      </c>
    </row>
    <row r="853" spans="1:16" x14ac:dyDescent="0.3">
      <c r="A853" s="8">
        <v>846</v>
      </c>
      <c r="B853" s="9" t="s">
        <v>6231</v>
      </c>
      <c r="C853" s="10" t="str">
        <f>VLOOKUP(B853,'Data Angt'!$A$5:$B$5809,2,FALSE)</f>
        <v>A2761</v>
      </c>
      <c r="D853" s="12" t="s">
        <v>16562</v>
      </c>
      <c r="E853" s="13">
        <v>45707</v>
      </c>
      <c r="F853" s="14">
        <v>45916</v>
      </c>
      <c r="G853" s="15">
        <v>5000000</v>
      </c>
      <c r="H853" s="16">
        <v>24</v>
      </c>
      <c r="I853" s="17">
        <v>24</v>
      </c>
      <c r="J853" s="15">
        <v>3778100</v>
      </c>
      <c r="K853" s="98">
        <f t="shared" si="39"/>
        <v>0</v>
      </c>
      <c r="L853" s="98" t="str">
        <f t="shared" si="40"/>
        <v>Lancar</v>
      </c>
      <c r="M853" s="5" t="str">
        <f t="shared" si="41"/>
        <v>002</v>
      </c>
      <c r="N853" s="55" t="str">
        <f>VLOOKUP(D853,Pinjaman!$E$7:$N$1900,10,FALSE)</f>
        <v>KONSUMTIF</v>
      </c>
      <c r="O853" s="55">
        <f>VLOOKUP(B853,'Data Angt'!$A$5:$H$5810,6,FALSE)</f>
        <v>32</v>
      </c>
      <c r="P853" s="55" t="str">
        <f>VLOOKUP(B853,'Data Angt'!$A$5:$H$5810,8,FALSE)</f>
        <v>Karyawan</v>
      </c>
    </row>
    <row r="854" spans="1:16" x14ac:dyDescent="0.3">
      <c r="A854" s="8">
        <v>847</v>
      </c>
      <c r="B854" s="9" t="s">
        <v>6337</v>
      </c>
      <c r="C854" s="10" t="str">
        <f>VLOOKUP(B854,'Data Angt'!$A$5:$B$5809,2,FALSE)</f>
        <v>A2809</v>
      </c>
      <c r="D854" s="12" t="s">
        <v>16564</v>
      </c>
      <c r="E854" s="13">
        <v>45580</v>
      </c>
      <c r="F854" s="14">
        <v>45912</v>
      </c>
      <c r="G854" s="15">
        <v>25000000</v>
      </c>
      <c r="H854" s="16">
        <v>36</v>
      </c>
      <c r="I854" s="17">
        <v>21</v>
      </c>
      <c r="J854" s="15">
        <v>18940100</v>
      </c>
      <c r="K854" s="98">
        <f t="shared" si="39"/>
        <v>0</v>
      </c>
      <c r="L854" s="98" t="str">
        <f t="shared" si="40"/>
        <v>Lancar</v>
      </c>
      <c r="M854" s="5" t="str">
        <f t="shared" si="41"/>
        <v>002</v>
      </c>
      <c r="N854" s="55" t="str">
        <f>VLOOKUP(D854,Pinjaman!$E$7:$N$1900,10,FALSE)</f>
        <v>PRODUKTIF</v>
      </c>
      <c r="O854" s="55">
        <f>VLOOKUP(B854,'Data Angt'!$A$5:$H$5810,6,FALSE)</f>
        <v>58</v>
      </c>
      <c r="P854" s="55" t="str">
        <f>VLOOKUP(B854,'Data Angt'!$A$5:$H$5810,8,FALSE)</f>
        <v>Karyawan</v>
      </c>
    </row>
    <row r="855" spans="1:16" x14ac:dyDescent="0.3">
      <c r="A855" s="8">
        <v>848</v>
      </c>
      <c r="B855" s="9" t="s">
        <v>6431</v>
      </c>
      <c r="C855" s="10" t="str">
        <f>VLOOKUP(B855,'Data Angt'!$A$5:$B$5809,2,FALSE)</f>
        <v>A2853</v>
      </c>
      <c r="D855" s="12" t="s">
        <v>10344</v>
      </c>
      <c r="E855" s="13">
        <v>44578</v>
      </c>
      <c r="F855" s="14">
        <v>45282</v>
      </c>
      <c r="G855" s="15">
        <v>45000000</v>
      </c>
      <c r="H855" s="16">
        <v>48</v>
      </c>
      <c r="I855" s="17">
        <v>21</v>
      </c>
      <c r="J855" s="15">
        <v>31480400</v>
      </c>
      <c r="K855" s="98">
        <f t="shared" si="39"/>
        <v>21</v>
      </c>
      <c r="L855" s="98" t="str">
        <f t="shared" si="40"/>
        <v>Macet</v>
      </c>
      <c r="M855" s="5" t="str">
        <f t="shared" si="41"/>
        <v>002</v>
      </c>
      <c r="N855" s="55" t="str">
        <f>VLOOKUP(D855,Pinjaman!$E$7:$N$1900,10,FALSE)</f>
        <v>KONSUMTIF</v>
      </c>
      <c r="O855" s="55">
        <f>VLOOKUP(B855,'Data Angt'!$A$5:$H$5810,6,FALSE)</f>
        <v>50</v>
      </c>
      <c r="P855" s="55" t="str">
        <f>VLOOKUP(B855,'Data Angt'!$A$5:$H$5810,8,FALSE)</f>
        <v>Karyawan</v>
      </c>
    </row>
    <row r="856" spans="1:16" x14ac:dyDescent="0.3">
      <c r="A856" s="8">
        <v>849</v>
      </c>
      <c r="B856" s="9" t="s">
        <v>6505</v>
      </c>
      <c r="C856" s="10" t="str">
        <f>VLOOKUP(B856,'Data Angt'!$A$5:$B$5809,2,FALSE)</f>
        <v>A2888</v>
      </c>
      <c r="D856" s="12" t="s">
        <v>10347</v>
      </c>
      <c r="E856" s="13">
        <v>43297</v>
      </c>
      <c r="F856" s="14">
        <v>44251</v>
      </c>
      <c r="G856" s="15">
        <v>15000000</v>
      </c>
      <c r="H856" s="16">
        <v>36</v>
      </c>
      <c r="I856" s="17">
        <v>24</v>
      </c>
      <c r="J856" s="15">
        <v>4322200</v>
      </c>
      <c r="K856" s="98">
        <f t="shared" si="39"/>
        <v>55</v>
      </c>
      <c r="L856" s="98" t="str">
        <f t="shared" si="40"/>
        <v>Macet</v>
      </c>
      <c r="M856" s="5" t="str">
        <f t="shared" si="41"/>
        <v>002</v>
      </c>
      <c r="N856" s="55" t="str">
        <f>VLOOKUP(D856,Pinjaman!$E$7:$N$1900,10,FALSE)</f>
        <v>KONSUMTIF</v>
      </c>
      <c r="O856" s="55">
        <f>VLOOKUP(B856,'Data Angt'!$A$5:$H$5810,6,FALSE)</f>
        <v>43</v>
      </c>
      <c r="P856" s="55">
        <f>VLOOKUP(B856,'Data Angt'!$A$5:$H$5810,8,FALSE)</f>
        <v>0</v>
      </c>
    </row>
    <row r="857" spans="1:16" x14ac:dyDescent="0.3">
      <c r="A857" s="8">
        <v>850</v>
      </c>
      <c r="B857" s="9" t="s">
        <v>6659</v>
      </c>
      <c r="C857" s="10" t="str">
        <f>VLOOKUP(B857,'Data Angt'!$A$5:$B$5809,2,FALSE)</f>
        <v>A2958</v>
      </c>
      <c r="D857" s="12" t="s">
        <v>10349</v>
      </c>
      <c r="E857" s="13">
        <v>45157</v>
      </c>
      <c r="F857" s="14">
        <v>45903</v>
      </c>
      <c r="G857" s="15">
        <v>35000000</v>
      </c>
      <c r="H857" s="16">
        <v>36</v>
      </c>
      <c r="I857" s="17">
        <v>21</v>
      </c>
      <c r="J857" s="15">
        <v>13090000</v>
      </c>
      <c r="K857" s="98">
        <f t="shared" si="39"/>
        <v>0</v>
      </c>
      <c r="L857" s="98" t="str">
        <f t="shared" si="40"/>
        <v>Lancar</v>
      </c>
      <c r="M857" s="5" t="str">
        <f t="shared" si="41"/>
        <v>002</v>
      </c>
      <c r="N857" s="55" t="str">
        <f>VLOOKUP(D857,Pinjaman!$E$7:$N$1900,10,FALSE)</f>
        <v>KONSUMTIF</v>
      </c>
      <c r="O857" s="55">
        <f>VLOOKUP(B857,'Data Angt'!$A$5:$H$5810,6,FALSE)</f>
        <v>35</v>
      </c>
      <c r="P857" s="55" t="str">
        <f>VLOOKUP(B857,'Data Angt'!$A$5:$H$5810,8,FALSE)</f>
        <v>Karyawan</v>
      </c>
    </row>
    <row r="858" spans="1:16" x14ac:dyDescent="0.3">
      <c r="A858" s="8">
        <v>851</v>
      </c>
      <c r="B858" s="9" t="s">
        <v>6659</v>
      </c>
      <c r="C858" s="10" t="str">
        <f>VLOOKUP(B858,'Data Angt'!$A$5:$B$5809,2,FALSE)</f>
        <v>A2958</v>
      </c>
      <c r="D858" s="12" t="s">
        <v>22996</v>
      </c>
      <c r="E858" s="13">
        <v>45876</v>
      </c>
      <c r="F858" s="14">
        <v>45903</v>
      </c>
      <c r="G858" s="15">
        <v>5000000</v>
      </c>
      <c r="H858" s="16">
        <v>10</v>
      </c>
      <c r="I858" s="17">
        <v>24</v>
      </c>
      <c r="J858" s="15">
        <v>4543300</v>
      </c>
      <c r="K858" s="98">
        <f t="shared" si="39"/>
        <v>0</v>
      </c>
      <c r="L858" s="98" t="str">
        <f t="shared" si="40"/>
        <v>Lancar</v>
      </c>
      <c r="M858" s="5" t="str">
        <f t="shared" si="41"/>
        <v>002</v>
      </c>
      <c r="N858" s="55" t="str">
        <f>VLOOKUP(D858,Pinjaman!$E$7:$N$1900,10,FALSE)</f>
        <v>PRODUKTIF</v>
      </c>
      <c r="O858" s="55">
        <f>VLOOKUP(B858,'Data Angt'!$A$5:$H$5810,6,FALSE)</f>
        <v>35</v>
      </c>
      <c r="P858" s="55" t="str">
        <f>VLOOKUP(B858,'Data Angt'!$A$5:$H$5810,8,FALSE)</f>
        <v>Karyawan</v>
      </c>
    </row>
    <row r="859" spans="1:16" x14ac:dyDescent="0.3">
      <c r="A859" s="8">
        <v>852</v>
      </c>
      <c r="B859" s="9" t="s">
        <v>6717</v>
      </c>
      <c r="C859" s="10" t="str">
        <f>VLOOKUP(B859,'Data Angt'!$A$5:$B$5809,2,FALSE)</f>
        <v>A2988</v>
      </c>
      <c r="D859" s="12" t="s">
        <v>10353</v>
      </c>
      <c r="E859" s="13">
        <v>44988</v>
      </c>
      <c r="F859" s="14">
        <v>45904</v>
      </c>
      <c r="G859" s="15">
        <v>30000000</v>
      </c>
      <c r="H859" s="16">
        <v>36</v>
      </c>
      <c r="I859" s="17">
        <v>21</v>
      </c>
      <c r="J859" s="15">
        <v>4998000</v>
      </c>
      <c r="K859" s="98">
        <f t="shared" si="39"/>
        <v>0</v>
      </c>
      <c r="L859" s="98" t="str">
        <f t="shared" si="40"/>
        <v>Lancar</v>
      </c>
      <c r="M859" s="5" t="str">
        <f t="shared" si="41"/>
        <v>002</v>
      </c>
      <c r="N859" s="55" t="str">
        <f>VLOOKUP(D859,Pinjaman!$E$7:$N$1900,10,FALSE)</f>
        <v>PRODUKTIF</v>
      </c>
      <c r="O859" s="55">
        <f>VLOOKUP(B859,'Data Angt'!$A$5:$H$5810,6,FALSE)</f>
        <v>56</v>
      </c>
      <c r="P859" s="55" t="str">
        <f>VLOOKUP(B859,'Data Angt'!$A$5:$H$5810,8,FALSE)</f>
        <v>Karyawan</v>
      </c>
    </row>
    <row r="860" spans="1:16" x14ac:dyDescent="0.3">
      <c r="A860" s="8">
        <v>853</v>
      </c>
      <c r="B860" s="9" t="s">
        <v>6731</v>
      </c>
      <c r="C860" s="10" t="str">
        <f>VLOOKUP(B860,'Data Angt'!$A$5:$B$5809,2,FALSE)</f>
        <v>A2994</v>
      </c>
      <c r="D860" s="12" t="s">
        <v>10356</v>
      </c>
      <c r="E860" s="13">
        <v>45274</v>
      </c>
      <c r="F860" s="14">
        <v>45903</v>
      </c>
      <c r="G860" s="15">
        <v>10000000</v>
      </c>
      <c r="H860" s="16">
        <v>24</v>
      </c>
      <c r="I860" s="17">
        <v>24</v>
      </c>
      <c r="J860" s="15">
        <v>1523700</v>
      </c>
      <c r="K860" s="98">
        <f t="shared" si="39"/>
        <v>0</v>
      </c>
      <c r="L860" s="98" t="str">
        <f t="shared" si="40"/>
        <v>Lancar</v>
      </c>
      <c r="M860" s="5" t="str">
        <f t="shared" si="41"/>
        <v>002</v>
      </c>
      <c r="N860" s="55" t="str">
        <f>VLOOKUP(D860,Pinjaman!$E$7:$N$1900,10,FALSE)</f>
        <v>KONSUMTIF</v>
      </c>
      <c r="O860" s="55">
        <f>VLOOKUP(B860,'Data Angt'!$A$5:$H$5810,6,FALSE)</f>
        <v>35</v>
      </c>
      <c r="P860" s="55" t="str">
        <f>VLOOKUP(B860,'Data Angt'!$A$5:$H$5810,8,FALSE)</f>
        <v>Mengurus Rumah Tangga</v>
      </c>
    </row>
    <row r="861" spans="1:16" x14ac:dyDescent="0.3">
      <c r="A861" s="8">
        <v>854</v>
      </c>
      <c r="B861" s="9" t="s">
        <v>6745</v>
      </c>
      <c r="C861" s="10" t="str">
        <f>VLOOKUP(B861,'Data Angt'!$A$5:$B$5809,2,FALSE)</f>
        <v>A3000</v>
      </c>
      <c r="D861" s="12" t="s">
        <v>22999</v>
      </c>
      <c r="E861" s="13">
        <v>45927</v>
      </c>
      <c r="F861" s="14">
        <v>45927</v>
      </c>
      <c r="G861" s="15">
        <v>1500000</v>
      </c>
      <c r="H861" s="16">
        <v>12</v>
      </c>
      <c r="I861" s="17">
        <v>24</v>
      </c>
      <c r="J861" s="15">
        <v>1500000</v>
      </c>
      <c r="K861" s="98">
        <f t="shared" si="39"/>
        <v>0</v>
      </c>
      <c r="L861" s="98" t="str">
        <f t="shared" si="40"/>
        <v>Lancar</v>
      </c>
      <c r="M861" s="5" t="str">
        <f t="shared" si="41"/>
        <v>002</v>
      </c>
      <c r="N861" s="55" t="str">
        <f>VLOOKUP(D861,Pinjaman!$E$7:$N$1900,10,FALSE)</f>
        <v>KESEJAHTERAAN</v>
      </c>
      <c r="O861" s="55">
        <f>VLOOKUP(B861,'Data Angt'!$A$5:$H$5810,6,FALSE)</f>
        <v>43</v>
      </c>
      <c r="P861" s="55" t="str">
        <f>VLOOKUP(B861,'Data Angt'!$A$5:$H$5810,8,FALSE)</f>
        <v>Karyawan</v>
      </c>
    </row>
    <row r="862" spans="1:16" x14ac:dyDescent="0.3">
      <c r="A862" s="8">
        <v>855</v>
      </c>
      <c r="B862" s="9" t="s">
        <v>6760</v>
      </c>
      <c r="C862" s="10" t="str">
        <f>VLOOKUP(B862,'Data Angt'!$A$5:$B$5809,2,FALSE)</f>
        <v>A3007</v>
      </c>
      <c r="D862" s="12" t="s">
        <v>23001</v>
      </c>
      <c r="E862" s="13">
        <v>45892</v>
      </c>
      <c r="F862" s="14">
        <v>45930</v>
      </c>
      <c r="G862" s="15">
        <v>6000000</v>
      </c>
      <c r="H862" s="16">
        <v>12</v>
      </c>
      <c r="I862" s="17">
        <v>24</v>
      </c>
      <c r="J862" s="15">
        <v>5552600</v>
      </c>
      <c r="K862" s="98">
        <f t="shared" si="39"/>
        <v>0</v>
      </c>
      <c r="L862" s="98" t="str">
        <f t="shared" si="40"/>
        <v>Lancar</v>
      </c>
      <c r="M862" s="5" t="str">
        <f t="shared" si="41"/>
        <v>002</v>
      </c>
      <c r="N862" s="55" t="str">
        <f>VLOOKUP(D862,Pinjaman!$E$7:$N$1900,10,FALSE)</f>
        <v>PRODUKTIF</v>
      </c>
      <c r="O862" s="55">
        <f>VLOOKUP(B862,'Data Angt'!$A$5:$H$5810,6,FALSE)</f>
        <v>46</v>
      </c>
      <c r="P862" s="55" t="str">
        <f>VLOOKUP(B862,'Data Angt'!$A$5:$H$5810,8,FALSE)</f>
        <v>Wiraswasta</v>
      </c>
    </row>
    <row r="863" spans="1:16" x14ac:dyDescent="0.3">
      <c r="A863" s="8">
        <v>856</v>
      </c>
      <c r="B863" s="9" t="s">
        <v>6769</v>
      </c>
      <c r="C863" s="10" t="str">
        <f>VLOOKUP(B863,'Data Angt'!$A$5:$B$5809,2,FALSE)</f>
        <v>A3012</v>
      </c>
      <c r="D863" s="12" t="s">
        <v>16567</v>
      </c>
      <c r="E863" s="13">
        <v>45425</v>
      </c>
      <c r="F863" s="14">
        <v>45902</v>
      </c>
      <c r="G863" s="15">
        <v>8000000</v>
      </c>
      <c r="H863" s="16">
        <v>30</v>
      </c>
      <c r="I863" s="17">
        <v>24</v>
      </c>
      <c r="J863" s="15">
        <v>4325400</v>
      </c>
      <c r="K863" s="98">
        <f t="shared" si="39"/>
        <v>0</v>
      </c>
      <c r="L863" s="98" t="str">
        <f t="shared" si="40"/>
        <v>Lancar</v>
      </c>
      <c r="M863" s="5" t="str">
        <f t="shared" si="41"/>
        <v>002</v>
      </c>
      <c r="N863" s="55" t="str">
        <f>VLOOKUP(D863,Pinjaman!$E$7:$N$1900,10,FALSE)</f>
        <v>KONSUMTIF</v>
      </c>
      <c r="O863" s="55">
        <f>VLOOKUP(B863,'Data Angt'!$A$5:$H$5810,6,FALSE)</f>
        <v>28</v>
      </c>
      <c r="P863" s="55" t="str">
        <f>VLOOKUP(B863,'Data Angt'!$A$5:$H$5810,8,FALSE)</f>
        <v>Tenaga Pengajar</v>
      </c>
    </row>
    <row r="864" spans="1:16" x14ac:dyDescent="0.3">
      <c r="A864" s="8">
        <v>857</v>
      </c>
      <c r="B864" s="9" t="s">
        <v>6793</v>
      </c>
      <c r="C864" s="10" t="str">
        <f>VLOOKUP(B864,'Data Angt'!$A$5:$B$5809,2,FALSE)</f>
        <v>A3023</v>
      </c>
      <c r="D864" s="12" t="s">
        <v>16569</v>
      </c>
      <c r="E864" s="13">
        <v>45489</v>
      </c>
      <c r="F864" s="14">
        <v>45901</v>
      </c>
      <c r="G864" s="15">
        <v>6000000</v>
      </c>
      <c r="H864" s="16">
        <v>24</v>
      </c>
      <c r="I864" s="17">
        <v>24</v>
      </c>
      <c r="J864" s="15">
        <v>2849100</v>
      </c>
      <c r="K864" s="98">
        <f t="shared" si="39"/>
        <v>0</v>
      </c>
      <c r="L864" s="98" t="str">
        <f t="shared" si="40"/>
        <v>Lancar</v>
      </c>
      <c r="M864" s="5" t="str">
        <f t="shared" si="41"/>
        <v>002</v>
      </c>
      <c r="N864" s="55" t="str">
        <f>VLOOKUP(D864,Pinjaman!$E$7:$N$1900,10,FALSE)</f>
        <v>PENDIDIKAN</v>
      </c>
      <c r="O864" s="55">
        <f>VLOOKUP(B864,'Data Angt'!$A$5:$H$5810,6,FALSE)</f>
        <v>42</v>
      </c>
      <c r="P864" s="55" t="str">
        <f>VLOOKUP(B864,'Data Angt'!$A$5:$H$5810,8,FALSE)</f>
        <v>Mengurus Rumah Tangga</v>
      </c>
    </row>
    <row r="865" spans="1:16" x14ac:dyDescent="0.3">
      <c r="A865" s="8">
        <v>858</v>
      </c>
      <c r="B865" s="9" t="s">
        <v>6808</v>
      </c>
      <c r="C865" s="10" t="str">
        <f>VLOOKUP(B865,'Data Angt'!$A$5:$B$5809,2,FALSE)</f>
        <v>A3030</v>
      </c>
      <c r="D865" s="12" t="s">
        <v>16573</v>
      </c>
      <c r="E865" s="13">
        <v>45355</v>
      </c>
      <c r="F865" s="14">
        <v>45783</v>
      </c>
      <c r="G865" s="15">
        <v>20000000</v>
      </c>
      <c r="H865" s="16">
        <v>36</v>
      </c>
      <c r="I865" s="17">
        <v>24</v>
      </c>
      <c r="J865" s="15">
        <v>14840900</v>
      </c>
      <c r="K865" s="98">
        <f t="shared" si="39"/>
        <v>4</v>
      </c>
      <c r="L865" s="98" t="str">
        <f t="shared" si="40"/>
        <v>Kurang lancar</v>
      </c>
      <c r="M865" s="5" t="str">
        <f t="shared" si="41"/>
        <v>002</v>
      </c>
      <c r="N865" s="55" t="str">
        <f>VLOOKUP(D865,Pinjaman!$E$7:$N$1900,10,FALSE)</f>
        <v>PRODUKTIF</v>
      </c>
      <c r="O865" s="55">
        <f>VLOOKUP(B865,'Data Angt'!$A$5:$H$5810,6,FALSE)</f>
        <v>45</v>
      </c>
      <c r="P865" s="55" t="str">
        <f>VLOOKUP(B865,'Data Angt'!$A$5:$H$5810,8,FALSE)</f>
        <v>Wiraswasta</v>
      </c>
    </row>
    <row r="866" spans="1:16" x14ac:dyDescent="0.3">
      <c r="A866" s="8">
        <v>859</v>
      </c>
      <c r="B866" s="9" t="s">
        <v>6808</v>
      </c>
      <c r="C866" s="10" t="str">
        <f>VLOOKUP(B866,'Data Angt'!$A$5:$B$5809,2,FALSE)</f>
        <v>A3030</v>
      </c>
      <c r="D866" s="12" t="s">
        <v>16571</v>
      </c>
      <c r="E866" s="13">
        <v>45633</v>
      </c>
      <c r="F866" s="14">
        <v>45783</v>
      </c>
      <c r="G866" s="15">
        <v>2700000</v>
      </c>
      <c r="H866" s="16">
        <v>12</v>
      </c>
      <c r="I866" s="17">
        <v>11.88</v>
      </c>
      <c r="J866" s="15">
        <v>1835200</v>
      </c>
      <c r="K866" s="98">
        <f t="shared" si="39"/>
        <v>4</v>
      </c>
      <c r="L866" s="98" t="str">
        <f t="shared" si="40"/>
        <v>Kurang lancar</v>
      </c>
      <c r="M866" s="5" t="str">
        <f t="shared" si="41"/>
        <v>002</v>
      </c>
      <c r="N866" s="55" t="str">
        <f>VLOOKUP(D866,Pinjaman!$E$7:$N$1900,10,FALSE)</f>
        <v>KONSUMTIF</v>
      </c>
      <c r="O866" s="55">
        <f>VLOOKUP(B866,'Data Angt'!$A$5:$H$5810,6,FALSE)</f>
        <v>45</v>
      </c>
      <c r="P866" s="55" t="str">
        <f>VLOOKUP(B866,'Data Angt'!$A$5:$H$5810,8,FALSE)</f>
        <v>Wiraswasta</v>
      </c>
    </row>
    <row r="867" spans="1:16" x14ac:dyDescent="0.3">
      <c r="A867" s="8">
        <v>860</v>
      </c>
      <c r="B867" s="9" t="s">
        <v>6813</v>
      </c>
      <c r="C867" s="10" t="str">
        <f>VLOOKUP(B867,'Data Angt'!$A$5:$B$5809,2,FALSE)</f>
        <v>A3033</v>
      </c>
      <c r="D867" s="12" t="s">
        <v>23006</v>
      </c>
      <c r="E867" s="13">
        <v>45897</v>
      </c>
      <c r="F867" s="14">
        <v>45902</v>
      </c>
      <c r="G867" s="15">
        <v>3000000</v>
      </c>
      <c r="H867" s="16">
        <v>12</v>
      </c>
      <c r="I867" s="17">
        <v>24</v>
      </c>
      <c r="J867" s="15">
        <v>2776300</v>
      </c>
      <c r="K867" s="98">
        <f t="shared" si="39"/>
        <v>0</v>
      </c>
      <c r="L867" s="98" t="str">
        <f t="shared" si="40"/>
        <v>Lancar</v>
      </c>
      <c r="M867" s="5" t="str">
        <f t="shared" si="41"/>
        <v>002</v>
      </c>
      <c r="N867" s="55" t="str">
        <f>VLOOKUP(D867,Pinjaman!$E$7:$N$1900,10,FALSE)</f>
        <v>KONSUMTIF</v>
      </c>
      <c r="O867" s="55">
        <f>VLOOKUP(B867,'Data Angt'!$A$5:$H$5810,6,FALSE)</f>
        <v>40</v>
      </c>
      <c r="P867" s="55" t="str">
        <f>VLOOKUP(B867,'Data Angt'!$A$5:$H$5810,8,FALSE)</f>
        <v>Mengurus Rumah Tangga</v>
      </c>
    </row>
    <row r="868" spans="1:16" x14ac:dyDescent="0.3">
      <c r="A868" s="8">
        <v>861</v>
      </c>
      <c r="B868" s="9" t="s">
        <v>6842</v>
      </c>
      <c r="C868" s="10" t="str">
        <f>VLOOKUP(B868,'Data Angt'!$A$5:$B$5809,2,FALSE)</f>
        <v>A3050</v>
      </c>
      <c r="D868" s="12" t="s">
        <v>16575</v>
      </c>
      <c r="E868" s="13">
        <v>45644</v>
      </c>
      <c r="F868" s="14">
        <v>45922</v>
      </c>
      <c r="G868" s="15">
        <v>8500000</v>
      </c>
      <c r="H868" s="16">
        <v>36</v>
      </c>
      <c r="I868" s="17">
        <v>24</v>
      </c>
      <c r="J868" s="15">
        <v>6374200</v>
      </c>
      <c r="K868" s="98">
        <f t="shared" si="39"/>
        <v>0</v>
      </c>
      <c r="L868" s="98" t="str">
        <f t="shared" si="40"/>
        <v>Lancar</v>
      </c>
      <c r="M868" s="5" t="str">
        <f t="shared" si="41"/>
        <v>002</v>
      </c>
      <c r="N868" s="55" t="str">
        <f>VLOOKUP(D868,Pinjaman!$E$7:$N$1900,10,FALSE)</f>
        <v>PRODUKTIF</v>
      </c>
      <c r="O868" s="55">
        <f>VLOOKUP(B868,'Data Angt'!$A$5:$H$5810,6,FALSE)</f>
        <v>56</v>
      </c>
      <c r="P868" s="55" t="str">
        <f>VLOOKUP(B868,'Data Angt'!$A$5:$H$5810,8,FALSE)</f>
        <v>Wiraswasta</v>
      </c>
    </row>
    <row r="869" spans="1:16" x14ac:dyDescent="0.3">
      <c r="A869" s="8">
        <v>862</v>
      </c>
      <c r="B869" s="9" t="s">
        <v>6861</v>
      </c>
      <c r="C869" s="10" t="str">
        <f>VLOOKUP(B869,'Data Angt'!$A$5:$B$5809,2,FALSE)</f>
        <v>A3061</v>
      </c>
      <c r="D869" s="12" t="s">
        <v>10360</v>
      </c>
      <c r="E869" s="13">
        <v>45282</v>
      </c>
      <c r="F869" s="14">
        <v>45910</v>
      </c>
      <c r="G869" s="15">
        <v>200000000</v>
      </c>
      <c r="H869" s="16">
        <v>156</v>
      </c>
      <c r="I869" s="17">
        <v>11.4</v>
      </c>
      <c r="J869" s="15">
        <v>186968300</v>
      </c>
      <c r="K869" s="98">
        <f t="shared" si="39"/>
        <v>0</v>
      </c>
      <c r="L869" s="98" t="str">
        <f t="shared" si="40"/>
        <v>Lancar</v>
      </c>
      <c r="M869" s="5" t="str">
        <f t="shared" si="41"/>
        <v>002</v>
      </c>
      <c r="N869" s="55" t="str">
        <f>VLOOKUP(D869,Pinjaman!$E$7:$N$1900,10,FALSE)</f>
        <v>KESEJAHTERAAN</v>
      </c>
      <c r="O869" s="55">
        <f>VLOOKUP(B869,'Data Angt'!$A$5:$H$5810,6,FALSE)</f>
        <v>42</v>
      </c>
      <c r="P869" s="55" t="str">
        <f>VLOOKUP(B869,'Data Angt'!$A$5:$H$5810,8,FALSE)</f>
        <v>Tenaga Pengajar</v>
      </c>
    </row>
    <row r="870" spans="1:16" x14ac:dyDescent="0.3">
      <c r="A870" s="8">
        <v>863</v>
      </c>
      <c r="B870" s="9" t="s">
        <v>6867</v>
      </c>
      <c r="C870" s="10" t="str">
        <f>VLOOKUP(B870,'Data Angt'!$A$5:$B$5809,2,FALSE)</f>
        <v>A3063</v>
      </c>
      <c r="D870" s="12" t="s">
        <v>10362</v>
      </c>
      <c r="E870" s="13">
        <v>44302</v>
      </c>
      <c r="F870" s="14">
        <v>44434</v>
      </c>
      <c r="G870" s="15">
        <v>80000000</v>
      </c>
      <c r="H870" s="16">
        <v>36</v>
      </c>
      <c r="I870" s="17">
        <v>21</v>
      </c>
      <c r="J870" s="15">
        <v>73372300</v>
      </c>
      <c r="K870" s="98">
        <f t="shared" si="39"/>
        <v>49</v>
      </c>
      <c r="L870" s="98" t="str">
        <f t="shared" si="40"/>
        <v>Macet</v>
      </c>
      <c r="M870" s="5" t="str">
        <f t="shared" si="41"/>
        <v>002</v>
      </c>
      <c r="N870" s="55" t="str">
        <f>VLOOKUP(D870,Pinjaman!$E$7:$N$1900,10,FALSE)</f>
        <v>PRODUKTIF</v>
      </c>
      <c r="O870" s="55">
        <f>VLOOKUP(B870,'Data Angt'!$A$5:$H$5810,6,FALSE)</f>
        <v>39</v>
      </c>
      <c r="P870" s="55" t="str">
        <f>VLOOKUP(B870,'Data Angt'!$A$5:$H$5810,8,FALSE)</f>
        <v>Wiraswasta</v>
      </c>
    </row>
    <row r="871" spans="1:16" x14ac:dyDescent="0.3">
      <c r="A871" s="8">
        <v>864</v>
      </c>
      <c r="B871" s="9" t="s">
        <v>6876</v>
      </c>
      <c r="C871" s="10" t="str">
        <f>VLOOKUP(B871,'Data Angt'!$A$5:$B$5809,2,FALSE)</f>
        <v>A3068</v>
      </c>
      <c r="D871" s="12" t="s">
        <v>16578</v>
      </c>
      <c r="E871" s="13">
        <v>45335</v>
      </c>
      <c r="F871" s="14">
        <v>45925</v>
      </c>
      <c r="G871" s="15">
        <v>15000000</v>
      </c>
      <c r="H871" s="16">
        <v>36</v>
      </c>
      <c r="I871" s="17">
        <v>24</v>
      </c>
      <c r="J871" s="15">
        <v>8411700</v>
      </c>
      <c r="K871" s="98">
        <f t="shared" si="39"/>
        <v>0</v>
      </c>
      <c r="L871" s="98" t="str">
        <f t="shared" si="40"/>
        <v>Lancar</v>
      </c>
      <c r="M871" s="5" t="str">
        <f t="shared" si="41"/>
        <v>002</v>
      </c>
      <c r="N871" s="55" t="str">
        <f>VLOOKUP(D871,Pinjaman!$E$7:$N$1900,10,FALSE)</f>
        <v>PRODUKTIF</v>
      </c>
      <c r="O871" s="55">
        <f>VLOOKUP(B871,'Data Angt'!$A$5:$H$5810,6,FALSE)</f>
        <v>30</v>
      </c>
      <c r="P871" s="55" t="str">
        <f>VLOOKUP(B871,'Data Angt'!$A$5:$H$5810,8,FALSE)</f>
        <v>Mengurus Rumah Tangga</v>
      </c>
    </row>
    <row r="872" spans="1:16" x14ac:dyDescent="0.3">
      <c r="A872" s="8">
        <v>865</v>
      </c>
      <c r="B872" s="9" t="s">
        <v>12456</v>
      </c>
      <c r="C872" s="10" t="str">
        <f>VLOOKUP(B872,'Data Angt'!$A$5:$B$5809,2,FALSE)</f>
        <v>A3071</v>
      </c>
      <c r="D872" s="12" t="s">
        <v>16581</v>
      </c>
      <c r="E872" s="13">
        <v>45772</v>
      </c>
      <c r="F872" s="14">
        <v>45925</v>
      </c>
      <c r="G872" s="15">
        <v>10000000</v>
      </c>
      <c r="H872" s="16">
        <v>12</v>
      </c>
      <c r="I872" s="17">
        <v>24</v>
      </c>
      <c r="J872" s="15">
        <v>6120000</v>
      </c>
      <c r="K872" s="98">
        <f t="shared" si="39"/>
        <v>0</v>
      </c>
      <c r="L872" s="98" t="str">
        <f t="shared" si="40"/>
        <v>Lancar</v>
      </c>
      <c r="M872" s="5" t="str">
        <f t="shared" si="41"/>
        <v>002</v>
      </c>
      <c r="N872" s="55" t="str">
        <f>VLOOKUP(D872,Pinjaman!$E$7:$N$1900,10,FALSE)</f>
        <v>PRODUKTIF</v>
      </c>
      <c r="O872" s="55">
        <f>VLOOKUP(B872,'Data Angt'!$A$5:$H$5810,6,FALSE)</f>
        <v>41</v>
      </c>
      <c r="P872" s="55" t="str">
        <f>VLOOKUP(B872,'Data Angt'!$A$5:$H$5810,8,FALSE)</f>
        <v>Wiraswasta</v>
      </c>
    </row>
    <row r="873" spans="1:16" x14ac:dyDescent="0.3">
      <c r="A873" s="8">
        <v>866</v>
      </c>
      <c r="B873" s="9" t="s">
        <v>6970</v>
      </c>
      <c r="C873" s="10" t="str">
        <f>VLOOKUP(B873,'Data Angt'!$A$5:$B$5809,2,FALSE)</f>
        <v>A3118</v>
      </c>
      <c r="D873" s="12" t="s">
        <v>23012</v>
      </c>
      <c r="E873" s="13">
        <v>45878</v>
      </c>
      <c r="F873" s="14">
        <v>45910</v>
      </c>
      <c r="G873" s="15">
        <v>4000000</v>
      </c>
      <c r="H873" s="16">
        <v>12</v>
      </c>
      <c r="I873" s="17">
        <v>11.88</v>
      </c>
      <c r="J873" s="15">
        <v>3684400</v>
      </c>
      <c r="K873" s="98">
        <f t="shared" si="39"/>
        <v>0</v>
      </c>
      <c r="L873" s="98" t="str">
        <f t="shared" si="40"/>
        <v>Lancar</v>
      </c>
      <c r="M873" s="5" t="str">
        <f t="shared" si="41"/>
        <v>002</v>
      </c>
      <c r="N873" s="55" t="str">
        <f>VLOOKUP(D873,Pinjaman!$E$7:$N$1900,10,FALSE)</f>
        <v>KONSUMTIF</v>
      </c>
      <c r="O873" s="55">
        <f>VLOOKUP(B873,'Data Angt'!$A$5:$H$5810,6,FALSE)</f>
        <v>47</v>
      </c>
      <c r="P873" s="55" t="str">
        <f>VLOOKUP(B873,'Data Angt'!$A$5:$H$5810,8,FALSE)</f>
        <v>Mengurus Rumah Tangga</v>
      </c>
    </row>
    <row r="874" spans="1:16" x14ac:dyDescent="0.3">
      <c r="A874" s="8">
        <v>867</v>
      </c>
      <c r="B874" s="9" t="s">
        <v>6990</v>
      </c>
      <c r="C874" s="10" t="str">
        <f>VLOOKUP(B874,'Data Angt'!$A$5:$B$5809,2,FALSE)</f>
        <v>A3128</v>
      </c>
      <c r="D874" s="12" t="s">
        <v>16583</v>
      </c>
      <c r="E874" s="13">
        <v>45792</v>
      </c>
      <c r="F874" s="14">
        <v>45915</v>
      </c>
      <c r="G874" s="15">
        <v>30000000</v>
      </c>
      <c r="H874" s="16">
        <v>48</v>
      </c>
      <c r="I874" s="17">
        <v>21</v>
      </c>
      <c r="J874" s="15">
        <v>28341300</v>
      </c>
      <c r="K874" s="98">
        <f t="shared" si="39"/>
        <v>0</v>
      </c>
      <c r="L874" s="98" t="str">
        <f t="shared" si="40"/>
        <v>Lancar</v>
      </c>
      <c r="M874" s="5" t="str">
        <f t="shared" si="41"/>
        <v>002</v>
      </c>
      <c r="N874" s="55" t="str">
        <f>VLOOKUP(D874,Pinjaman!$E$7:$N$1900,10,FALSE)</f>
        <v>PENDIDIKAN</v>
      </c>
      <c r="O874" s="55">
        <f>VLOOKUP(B874,'Data Angt'!$A$5:$H$5810,6,FALSE)</f>
        <v>50</v>
      </c>
      <c r="P874" s="55" t="str">
        <f>VLOOKUP(B874,'Data Angt'!$A$5:$H$5810,8,FALSE)</f>
        <v>Tenaga Pengajar</v>
      </c>
    </row>
    <row r="875" spans="1:16" x14ac:dyDescent="0.3">
      <c r="A875" s="8">
        <v>868</v>
      </c>
      <c r="B875" s="9" t="s">
        <v>7064</v>
      </c>
      <c r="C875" s="10" t="str">
        <f>VLOOKUP(B875,'Data Angt'!$A$5:$B$5809,2,FALSE)</f>
        <v>A3158</v>
      </c>
      <c r="D875" s="12" t="s">
        <v>10366</v>
      </c>
      <c r="E875" s="13">
        <v>44973</v>
      </c>
      <c r="F875" s="14">
        <v>45917</v>
      </c>
      <c r="G875" s="15">
        <v>15000000</v>
      </c>
      <c r="H875" s="16">
        <v>36</v>
      </c>
      <c r="I875" s="17">
        <v>24</v>
      </c>
      <c r="J875" s="15">
        <v>2775700</v>
      </c>
      <c r="K875" s="98">
        <f t="shared" si="39"/>
        <v>0</v>
      </c>
      <c r="L875" s="98" t="str">
        <f t="shared" si="40"/>
        <v>Lancar</v>
      </c>
      <c r="M875" s="5" t="str">
        <f t="shared" si="41"/>
        <v>002</v>
      </c>
      <c r="N875" s="55" t="str">
        <f>VLOOKUP(D875,Pinjaman!$E$7:$N$1900,10,FALSE)</f>
        <v>PRODUKTIF</v>
      </c>
      <c r="O875" s="55">
        <f>VLOOKUP(B875,'Data Angt'!$A$5:$H$5810,6,FALSE)</f>
        <v>28</v>
      </c>
      <c r="P875" s="55" t="str">
        <f>VLOOKUP(B875,'Data Angt'!$A$5:$H$5810,8,FALSE)</f>
        <v>Wiraswasta</v>
      </c>
    </row>
    <row r="876" spans="1:16" x14ac:dyDescent="0.3">
      <c r="A876" s="8">
        <v>869</v>
      </c>
      <c r="B876" s="9" t="s">
        <v>7105</v>
      </c>
      <c r="C876" s="10" t="str">
        <f>VLOOKUP(B876,'Data Angt'!$A$5:$B$5809,2,FALSE)</f>
        <v>A3179</v>
      </c>
      <c r="D876" s="12" t="s">
        <v>10369</v>
      </c>
      <c r="E876" s="13">
        <v>44678</v>
      </c>
      <c r="F876" s="14">
        <v>44769</v>
      </c>
      <c r="G876" s="15">
        <v>4000000</v>
      </c>
      <c r="H876" s="16">
        <v>12</v>
      </c>
      <c r="I876" s="17">
        <v>24</v>
      </c>
      <c r="J876" s="15">
        <v>3397500</v>
      </c>
      <c r="K876" s="98">
        <f t="shared" si="39"/>
        <v>38</v>
      </c>
      <c r="L876" s="98" t="str">
        <f t="shared" si="40"/>
        <v>Macet</v>
      </c>
      <c r="M876" s="5" t="str">
        <f t="shared" si="41"/>
        <v>002</v>
      </c>
      <c r="N876" s="55" t="str">
        <f>VLOOKUP(D876,Pinjaman!$E$7:$N$1900,10,FALSE)</f>
        <v>PRODUKTIF</v>
      </c>
      <c r="O876" s="55">
        <f>VLOOKUP(B876,'Data Angt'!$A$5:$H$5810,6,FALSE)</f>
        <v>54</v>
      </c>
      <c r="P876" s="55" t="str">
        <f>VLOOKUP(B876,'Data Angt'!$A$5:$H$5810,8,FALSE)</f>
        <v>Wiraswasta</v>
      </c>
    </row>
    <row r="877" spans="1:16" x14ac:dyDescent="0.3">
      <c r="A877" s="8">
        <v>870</v>
      </c>
      <c r="B877" s="9" t="s">
        <v>7182</v>
      </c>
      <c r="C877" s="10" t="str">
        <f>VLOOKUP(B877,'Data Angt'!$A$5:$B$5809,2,FALSE)</f>
        <v>A3212</v>
      </c>
      <c r="D877" s="12" t="s">
        <v>16588</v>
      </c>
      <c r="E877" s="13">
        <v>45552</v>
      </c>
      <c r="F877" s="14">
        <v>45910</v>
      </c>
      <c r="G877" s="15">
        <v>4300000</v>
      </c>
      <c r="H877" s="16">
        <v>24</v>
      </c>
      <c r="I877" s="17">
        <v>11.64</v>
      </c>
      <c r="J877" s="15">
        <v>2275000</v>
      </c>
      <c r="K877" s="98">
        <f t="shared" si="39"/>
        <v>0</v>
      </c>
      <c r="L877" s="98" t="str">
        <f t="shared" si="40"/>
        <v>Lancar</v>
      </c>
      <c r="M877" s="5" t="str">
        <f t="shared" si="41"/>
        <v>002</v>
      </c>
      <c r="N877" s="55" t="str">
        <f>VLOOKUP(D877,Pinjaman!$E$7:$N$1900,10,FALSE)</f>
        <v>KONSUMTIF</v>
      </c>
      <c r="O877" s="55">
        <f>VLOOKUP(B877,'Data Angt'!$A$5:$H$5810,6,FALSE)</f>
        <v>31</v>
      </c>
      <c r="P877" s="55" t="str">
        <f>VLOOKUP(B877,'Data Angt'!$A$5:$H$5810,8,FALSE)</f>
        <v>Karyawan</v>
      </c>
    </row>
    <row r="878" spans="1:16" x14ac:dyDescent="0.3">
      <c r="A878" s="8">
        <v>871</v>
      </c>
      <c r="B878" s="9" t="s">
        <v>7182</v>
      </c>
      <c r="C878" s="10" t="str">
        <f>VLOOKUP(B878,'Data Angt'!$A$5:$B$5809,2,FALSE)</f>
        <v>A3212</v>
      </c>
      <c r="D878" s="12" t="s">
        <v>16585</v>
      </c>
      <c r="E878" s="13">
        <v>45344</v>
      </c>
      <c r="F878" s="14">
        <v>45910</v>
      </c>
      <c r="G878" s="15">
        <v>15000000</v>
      </c>
      <c r="H878" s="16">
        <v>36</v>
      </c>
      <c r="I878" s="17">
        <v>24</v>
      </c>
      <c r="J878" s="15">
        <v>8411700</v>
      </c>
      <c r="K878" s="98">
        <f t="shared" si="39"/>
        <v>0</v>
      </c>
      <c r="L878" s="98" t="str">
        <f t="shared" si="40"/>
        <v>Lancar</v>
      </c>
      <c r="M878" s="5" t="str">
        <f t="shared" si="41"/>
        <v>002</v>
      </c>
      <c r="N878" s="55" t="str">
        <f>VLOOKUP(D878,Pinjaman!$E$7:$N$1900,10,FALSE)</f>
        <v>PRODUKTIF</v>
      </c>
      <c r="O878" s="55">
        <f>VLOOKUP(B878,'Data Angt'!$A$5:$H$5810,6,FALSE)</f>
        <v>31</v>
      </c>
      <c r="P878" s="55" t="str">
        <f>VLOOKUP(B878,'Data Angt'!$A$5:$H$5810,8,FALSE)</f>
        <v>Karyawan</v>
      </c>
    </row>
    <row r="879" spans="1:16" x14ac:dyDescent="0.3">
      <c r="A879" s="8">
        <v>872</v>
      </c>
      <c r="B879" s="9" t="s">
        <v>7197</v>
      </c>
      <c r="C879" s="10" t="str">
        <f>VLOOKUP(B879,'Data Angt'!$A$5:$B$5809,2,FALSE)</f>
        <v>A3218</v>
      </c>
      <c r="D879" s="12" t="s">
        <v>16591</v>
      </c>
      <c r="E879" s="13">
        <v>45674</v>
      </c>
      <c r="F879" s="14">
        <v>45916</v>
      </c>
      <c r="G879" s="15">
        <v>10000000</v>
      </c>
      <c r="H879" s="16">
        <v>24</v>
      </c>
      <c r="I879" s="17">
        <v>24</v>
      </c>
      <c r="J879" s="15">
        <v>7178300</v>
      </c>
      <c r="K879" s="98">
        <f t="shared" si="39"/>
        <v>0</v>
      </c>
      <c r="L879" s="98" t="str">
        <f t="shared" si="40"/>
        <v>Lancar</v>
      </c>
      <c r="M879" s="5" t="str">
        <f t="shared" si="41"/>
        <v>002</v>
      </c>
      <c r="N879" s="55" t="str">
        <f>VLOOKUP(D879,Pinjaman!$E$7:$N$1900,10,FALSE)</f>
        <v>PRODUKTIF</v>
      </c>
      <c r="O879" s="55">
        <f>VLOOKUP(B879,'Data Angt'!$A$5:$H$5810,6,FALSE)</f>
        <v>50</v>
      </c>
      <c r="P879" s="55" t="str">
        <f>VLOOKUP(B879,'Data Angt'!$A$5:$H$5810,8,FALSE)</f>
        <v>Petani/Pekebun/Nelayan</v>
      </c>
    </row>
    <row r="880" spans="1:16" x14ac:dyDescent="0.3">
      <c r="A880" s="8">
        <v>873</v>
      </c>
      <c r="B880" s="9" t="s">
        <v>7207</v>
      </c>
      <c r="C880" s="10" t="str">
        <f>VLOOKUP(B880,'Data Angt'!$A$5:$B$5809,2,FALSE)</f>
        <v>A3222</v>
      </c>
      <c r="D880" s="12" t="s">
        <v>16594</v>
      </c>
      <c r="E880" s="13">
        <v>45813</v>
      </c>
      <c r="F880" s="14">
        <v>45902</v>
      </c>
      <c r="G880" s="15">
        <v>3000000</v>
      </c>
      <c r="H880" s="16">
        <v>10</v>
      </c>
      <c r="I880" s="17">
        <v>24</v>
      </c>
      <c r="J880" s="15">
        <v>2161600</v>
      </c>
      <c r="K880" s="98">
        <f t="shared" si="39"/>
        <v>0</v>
      </c>
      <c r="L880" s="98" t="str">
        <f t="shared" si="40"/>
        <v>Lancar</v>
      </c>
      <c r="M880" s="5" t="str">
        <f t="shared" si="41"/>
        <v>002</v>
      </c>
      <c r="N880" s="55" t="str">
        <f>VLOOKUP(D880,Pinjaman!$E$7:$N$1900,10,FALSE)</f>
        <v>KONSUMTIF</v>
      </c>
      <c r="O880" s="55">
        <f>VLOOKUP(B880,'Data Angt'!$A$5:$H$5810,6,FALSE)</f>
        <v>57</v>
      </c>
      <c r="P880" s="55" t="str">
        <f>VLOOKUP(B880,'Data Angt'!$A$5:$H$5810,8,FALSE)</f>
        <v>Tenaga Pengajar</v>
      </c>
    </row>
    <row r="881" spans="1:16" x14ac:dyDescent="0.3">
      <c r="A881" s="8">
        <v>874</v>
      </c>
      <c r="B881" s="9" t="s">
        <v>7291</v>
      </c>
      <c r="C881" s="10" t="str">
        <f>VLOOKUP(B881,'Data Angt'!$A$5:$B$5809,2,FALSE)</f>
        <v>A3263</v>
      </c>
      <c r="D881" s="12" t="s">
        <v>16596</v>
      </c>
      <c r="E881" s="13">
        <v>45580</v>
      </c>
      <c r="F881" s="14">
        <v>45915</v>
      </c>
      <c r="G881" s="15">
        <v>5000000</v>
      </c>
      <c r="H881" s="16">
        <v>18</v>
      </c>
      <c r="I881" s="17">
        <v>24</v>
      </c>
      <c r="J881" s="15">
        <v>1944200</v>
      </c>
      <c r="K881" s="98">
        <f t="shared" si="39"/>
        <v>0</v>
      </c>
      <c r="L881" s="98" t="str">
        <f t="shared" si="40"/>
        <v>Lancar</v>
      </c>
      <c r="M881" s="5" t="str">
        <f t="shared" si="41"/>
        <v>002</v>
      </c>
      <c r="N881" s="55" t="str">
        <f>VLOOKUP(D881,Pinjaman!$E$7:$N$1900,10,FALSE)</f>
        <v>KONSUMTIF</v>
      </c>
      <c r="O881" s="55">
        <f>VLOOKUP(B881,'Data Angt'!$A$5:$H$5810,6,FALSE)</f>
        <v>34</v>
      </c>
      <c r="P881" s="55" t="str">
        <f>VLOOKUP(B881,'Data Angt'!$A$5:$H$5810,8,FALSE)</f>
        <v>Mengurus Rumah Tangga</v>
      </c>
    </row>
    <row r="882" spans="1:16" x14ac:dyDescent="0.3">
      <c r="A882" s="8">
        <v>875</v>
      </c>
      <c r="B882" s="9" t="s">
        <v>7358</v>
      </c>
      <c r="C882" s="10" t="str">
        <f>VLOOKUP(B882,'Data Angt'!$A$5:$B$5809,2,FALSE)</f>
        <v>A3291</v>
      </c>
      <c r="D882" s="12" t="s">
        <v>16598</v>
      </c>
      <c r="E882" s="13">
        <v>45713</v>
      </c>
      <c r="F882" s="14">
        <v>45920</v>
      </c>
      <c r="G882" s="15">
        <v>5000000</v>
      </c>
      <c r="H882" s="16">
        <v>12</v>
      </c>
      <c r="I882" s="17">
        <v>24</v>
      </c>
      <c r="J882" s="15">
        <v>2228800</v>
      </c>
      <c r="K882" s="98">
        <f t="shared" si="39"/>
        <v>0</v>
      </c>
      <c r="L882" s="98" t="str">
        <f t="shared" si="40"/>
        <v>Lancar</v>
      </c>
      <c r="M882" s="5" t="str">
        <f t="shared" si="41"/>
        <v>002</v>
      </c>
      <c r="N882" s="55" t="str">
        <f>VLOOKUP(D882,Pinjaman!$E$7:$N$1900,10,FALSE)</f>
        <v>PRODUKTIF</v>
      </c>
      <c r="O882" s="55">
        <f>VLOOKUP(B882,'Data Angt'!$A$5:$H$5810,6,FALSE)</f>
        <v>52</v>
      </c>
      <c r="P882" s="55" t="str">
        <f>VLOOKUP(B882,'Data Angt'!$A$5:$H$5810,8,FALSE)</f>
        <v>Aparatur/Pejabat Negara</v>
      </c>
    </row>
    <row r="883" spans="1:16" x14ac:dyDescent="0.3">
      <c r="A883" s="8">
        <v>876</v>
      </c>
      <c r="B883" s="9" t="s">
        <v>7358</v>
      </c>
      <c r="C883" s="10" t="str">
        <f>VLOOKUP(B883,'Data Angt'!$A$5:$B$5809,2,FALSE)</f>
        <v>A3291</v>
      </c>
      <c r="D883" s="12" t="s">
        <v>16601</v>
      </c>
      <c r="E883" s="13">
        <v>45527</v>
      </c>
      <c r="F883" s="14">
        <v>45930</v>
      </c>
      <c r="G883" s="15">
        <v>20000000</v>
      </c>
      <c r="H883" s="16">
        <v>24</v>
      </c>
      <c r="I883" s="17">
        <v>24</v>
      </c>
      <c r="J883" s="15">
        <v>9165800</v>
      </c>
      <c r="K883" s="98">
        <f t="shared" si="39"/>
        <v>0</v>
      </c>
      <c r="L883" s="98" t="str">
        <f t="shared" si="40"/>
        <v>Lancar</v>
      </c>
      <c r="M883" s="5" t="str">
        <f t="shared" si="41"/>
        <v>002</v>
      </c>
      <c r="N883" s="55" t="str">
        <f>VLOOKUP(D883,Pinjaman!$E$7:$N$1900,10,FALSE)</f>
        <v>PENDIDIKAN</v>
      </c>
      <c r="O883" s="55">
        <f>VLOOKUP(B883,'Data Angt'!$A$5:$H$5810,6,FALSE)</f>
        <v>52</v>
      </c>
      <c r="P883" s="55" t="str">
        <f>VLOOKUP(B883,'Data Angt'!$A$5:$H$5810,8,FALSE)</f>
        <v>Aparatur/Pejabat Negara</v>
      </c>
    </row>
    <row r="884" spans="1:16" x14ac:dyDescent="0.3">
      <c r="A884" s="8">
        <v>877</v>
      </c>
      <c r="B884" s="9" t="s">
        <v>7362</v>
      </c>
      <c r="C884" s="10" t="str">
        <f>VLOOKUP(B884,'Data Angt'!$A$5:$B$5809,2,FALSE)</f>
        <v>A3292</v>
      </c>
      <c r="D884" s="12" t="s">
        <v>16603</v>
      </c>
      <c r="E884" s="13">
        <v>45785</v>
      </c>
      <c r="F884" s="14">
        <v>45908</v>
      </c>
      <c r="G884" s="15">
        <v>15000000</v>
      </c>
      <c r="H884" s="16">
        <v>10</v>
      </c>
      <c r="I884" s="17">
        <v>24</v>
      </c>
      <c r="J884" s="15">
        <v>9000000</v>
      </c>
      <c r="K884" s="98">
        <f t="shared" si="39"/>
        <v>0</v>
      </c>
      <c r="L884" s="98" t="str">
        <f t="shared" si="40"/>
        <v>Lancar</v>
      </c>
      <c r="M884" s="5" t="str">
        <f t="shared" si="41"/>
        <v>002</v>
      </c>
      <c r="N884" s="55" t="str">
        <f>VLOOKUP(D884,Pinjaman!$E$7:$N$1900,10,FALSE)</f>
        <v>PRODUKTIF</v>
      </c>
      <c r="O884" s="55">
        <f>VLOOKUP(B884,'Data Angt'!$A$5:$H$5810,6,FALSE)</f>
        <v>20</v>
      </c>
      <c r="P884" s="55" t="str">
        <f>VLOOKUP(B884,'Data Angt'!$A$5:$H$5810,8,FALSE)</f>
        <v>Pelajar/Mahasiswa</v>
      </c>
    </row>
    <row r="885" spans="1:16" x14ac:dyDescent="0.3">
      <c r="A885" s="8">
        <v>878</v>
      </c>
      <c r="B885" s="9" t="s">
        <v>7426</v>
      </c>
      <c r="C885" s="10" t="str">
        <f>VLOOKUP(B885,'Data Angt'!$A$5:$B$5809,2,FALSE)</f>
        <v>A3322</v>
      </c>
      <c r="D885" s="12" t="s">
        <v>23022</v>
      </c>
      <c r="E885" s="13">
        <v>45876</v>
      </c>
      <c r="F885" s="14">
        <v>45908</v>
      </c>
      <c r="G885" s="15">
        <v>5000000</v>
      </c>
      <c r="H885" s="16">
        <v>12</v>
      </c>
      <c r="I885" s="17">
        <v>24</v>
      </c>
      <c r="J885" s="15">
        <v>4627200</v>
      </c>
      <c r="K885" s="98">
        <f t="shared" si="39"/>
        <v>0</v>
      </c>
      <c r="L885" s="98" t="str">
        <f t="shared" si="40"/>
        <v>Lancar</v>
      </c>
      <c r="M885" s="5" t="str">
        <f t="shared" si="41"/>
        <v>002</v>
      </c>
      <c r="N885" s="55" t="str">
        <f>VLOOKUP(D885,Pinjaman!$E$7:$N$1900,10,FALSE)</f>
        <v>KESEJAHTERAAN</v>
      </c>
      <c r="O885" s="55">
        <f>VLOOKUP(B885,'Data Angt'!$A$5:$H$5810,6,FALSE)</f>
        <v>40</v>
      </c>
      <c r="P885" s="55" t="str">
        <f>VLOOKUP(B885,'Data Angt'!$A$5:$H$5810,8,FALSE)</f>
        <v>Karyawan</v>
      </c>
    </row>
    <row r="886" spans="1:16" x14ac:dyDescent="0.3">
      <c r="A886" s="8">
        <v>879</v>
      </c>
      <c r="B886" s="9" t="s">
        <v>7426</v>
      </c>
      <c r="C886" s="10" t="str">
        <f>VLOOKUP(B886,'Data Angt'!$A$5:$B$5809,2,FALSE)</f>
        <v>A3322</v>
      </c>
      <c r="D886" s="12" t="s">
        <v>16605</v>
      </c>
      <c r="E886" s="13">
        <v>45493</v>
      </c>
      <c r="F886" s="14">
        <v>45908</v>
      </c>
      <c r="G886" s="15">
        <v>15000000</v>
      </c>
      <c r="H886" s="16">
        <v>24</v>
      </c>
      <c r="I886" s="17">
        <v>24</v>
      </c>
      <c r="J886" s="15">
        <v>7124000</v>
      </c>
      <c r="K886" s="98">
        <f t="shared" si="39"/>
        <v>0</v>
      </c>
      <c r="L886" s="98" t="str">
        <f t="shared" si="40"/>
        <v>Lancar</v>
      </c>
      <c r="M886" s="5" t="str">
        <f t="shared" si="41"/>
        <v>002</v>
      </c>
      <c r="N886" s="55" t="str">
        <f>VLOOKUP(D886,Pinjaman!$E$7:$N$1900,10,FALSE)</f>
        <v>PENDIDIKAN</v>
      </c>
      <c r="O886" s="55">
        <f>VLOOKUP(B886,'Data Angt'!$A$5:$H$5810,6,FALSE)</f>
        <v>40</v>
      </c>
      <c r="P886" s="55" t="str">
        <f>VLOOKUP(B886,'Data Angt'!$A$5:$H$5810,8,FALSE)</f>
        <v>Karyawan</v>
      </c>
    </row>
    <row r="887" spans="1:16" x14ac:dyDescent="0.3">
      <c r="A887" s="8">
        <v>880</v>
      </c>
      <c r="B887" s="9" t="s">
        <v>7433</v>
      </c>
      <c r="C887" s="10" t="str">
        <f>VLOOKUP(B887,'Data Angt'!$A$5:$B$5809,2,FALSE)</f>
        <v>A3325</v>
      </c>
      <c r="D887" s="12" t="s">
        <v>16607</v>
      </c>
      <c r="E887" s="13">
        <v>45591</v>
      </c>
      <c r="F887" s="14">
        <v>45916</v>
      </c>
      <c r="G887" s="15">
        <v>15000000</v>
      </c>
      <c r="H887" s="16">
        <v>48</v>
      </c>
      <c r="I887" s="17">
        <v>24</v>
      </c>
      <c r="J887" s="15">
        <v>12699500</v>
      </c>
      <c r="K887" s="98">
        <f t="shared" si="39"/>
        <v>0</v>
      </c>
      <c r="L887" s="98" t="str">
        <f t="shared" si="40"/>
        <v>Lancar</v>
      </c>
      <c r="M887" s="5" t="str">
        <f t="shared" si="41"/>
        <v>002</v>
      </c>
      <c r="N887" s="55" t="str">
        <f>VLOOKUP(D887,Pinjaman!$E$7:$N$1900,10,FALSE)</f>
        <v>PRODUKTIF</v>
      </c>
      <c r="O887" s="55">
        <f>VLOOKUP(B887,'Data Angt'!$A$5:$H$5810,6,FALSE)</f>
        <v>66</v>
      </c>
      <c r="P887" s="55" t="str">
        <f>VLOOKUP(B887,'Data Angt'!$A$5:$H$5810,8,FALSE)</f>
        <v>Aparatur/Pejabat Negara</v>
      </c>
    </row>
    <row r="888" spans="1:16" x14ac:dyDescent="0.3">
      <c r="A888" s="8">
        <v>881</v>
      </c>
      <c r="B888" s="9" t="s">
        <v>7507</v>
      </c>
      <c r="C888" s="10" t="str">
        <f>VLOOKUP(B888,'Data Angt'!$A$5:$B$5809,2,FALSE)</f>
        <v>A3361</v>
      </c>
      <c r="D888" s="12" t="s">
        <v>10372</v>
      </c>
      <c r="E888" s="13">
        <v>44539</v>
      </c>
      <c r="F888" s="14">
        <v>45908</v>
      </c>
      <c r="G888" s="15">
        <v>45000000</v>
      </c>
      <c r="H888" s="16">
        <v>48</v>
      </c>
      <c r="I888" s="17">
        <v>21</v>
      </c>
      <c r="J888" s="15">
        <v>12682100</v>
      </c>
      <c r="K888" s="98">
        <f t="shared" si="39"/>
        <v>0</v>
      </c>
      <c r="L888" s="98" t="str">
        <f t="shared" si="40"/>
        <v>Lancar</v>
      </c>
      <c r="M888" s="5" t="str">
        <f t="shared" si="41"/>
        <v>002</v>
      </c>
      <c r="N888" s="55" t="str">
        <f>VLOOKUP(D888,Pinjaman!$E$7:$N$1900,10,FALSE)</f>
        <v>KONSUMTIF</v>
      </c>
      <c r="O888" s="55">
        <f>VLOOKUP(B888,'Data Angt'!$A$5:$H$5810,6,FALSE)</f>
        <v>48</v>
      </c>
      <c r="P888" s="55" t="str">
        <f>VLOOKUP(B888,'Data Angt'!$A$5:$H$5810,8,FALSE)</f>
        <v>Karyawan</v>
      </c>
    </row>
    <row r="889" spans="1:16" x14ac:dyDescent="0.3">
      <c r="A889" s="8">
        <v>882</v>
      </c>
      <c r="B889" s="9" t="s">
        <v>7511</v>
      </c>
      <c r="C889" s="10" t="str">
        <f>VLOOKUP(B889,'Data Angt'!$A$5:$B$5809,2,FALSE)</f>
        <v>A3363</v>
      </c>
      <c r="D889" s="12" t="s">
        <v>23026</v>
      </c>
      <c r="E889" s="13">
        <v>45911</v>
      </c>
      <c r="F889" s="14">
        <v>45911</v>
      </c>
      <c r="G889" s="15">
        <v>3000000</v>
      </c>
      <c r="H889" s="16">
        <v>10</v>
      </c>
      <c r="I889" s="17">
        <v>24</v>
      </c>
      <c r="J889" s="15">
        <v>3000000</v>
      </c>
      <c r="K889" s="98">
        <f t="shared" si="39"/>
        <v>0</v>
      </c>
      <c r="L889" s="98" t="str">
        <f t="shared" si="40"/>
        <v>Lancar</v>
      </c>
      <c r="M889" s="5" t="str">
        <f t="shared" si="41"/>
        <v>002</v>
      </c>
      <c r="N889" s="55" t="str">
        <f>VLOOKUP(D889,Pinjaman!$E$7:$N$1900,10,FALSE)</f>
        <v>KONSUMTIF</v>
      </c>
      <c r="O889" s="55">
        <f>VLOOKUP(B889,'Data Angt'!$A$5:$H$5810,6,FALSE)</f>
        <v>32</v>
      </c>
      <c r="P889" s="55" t="str">
        <f>VLOOKUP(B889,'Data Angt'!$A$5:$H$5810,8,FALSE)</f>
        <v>Karyawan</v>
      </c>
    </row>
    <row r="890" spans="1:16" x14ac:dyDescent="0.3">
      <c r="A890" s="8">
        <v>883</v>
      </c>
      <c r="B890" s="9" t="s">
        <v>7595</v>
      </c>
      <c r="C890" s="10" t="str">
        <f>VLOOKUP(B890,'Data Angt'!$A$5:$B$5809,2,FALSE)</f>
        <v>A3402</v>
      </c>
      <c r="D890" s="12" t="s">
        <v>16610</v>
      </c>
      <c r="E890" s="13">
        <v>45334</v>
      </c>
      <c r="F890" s="14">
        <v>45910</v>
      </c>
      <c r="G890" s="15">
        <v>26000000</v>
      </c>
      <c r="H890" s="16">
        <v>36</v>
      </c>
      <c r="I890" s="17">
        <v>21</v>
      </c>
      <c r="J890" s="15">
        <v>14296500</v>
      </c>
      <c r="K890" s="98">
        <f t="shared" si="39"/>
        <v>0</v>
      </c>
      <c r="L890" s="98" t="str">
        <f t="shared" si="40"/>
        <v>Lancar</v>
      </c>
      <c r="M890" s="5" t="str">
        <f t="shared" si="41"/>
        <v>002</v>
      </c>
      <c r="N890" s="55" t="str">
        <f>VLOOKUP(D890,Pinjaman!$E$7:$N$1900,10,FALSE)</f>
        <v>PENDIDIKAN</v>
      </c>
      <c r="O890" s="55">
        <f>VLOOKUP(B890,'Data Angt'!$A$5:$H$5810,6,FALSE)</f>
        <v>51</v>
      </c>
      <c r="P890" s="55" t="str">
        <f>VLOOKUP(B890,'Data Angt'!$A$5:$H$5810,8,FALSE)</f>
        <v>Karyawan</v>
      </c>
    </row>
    <row r="891" spans="1:16" x14ac:dyDescent="0.3">
      <c r="A891" s="8">
        <v>884</v>
      </c>
      <c r="B891" s="9" t="s">
        <v>7766</v>
      </c>
      <c r="C891" s="10" t="str">
        <f>VLOOKUP(B891,'Data Angt'!$A$5:$B$5809,2,FALSE)</f>
        <v>A3488</v>
      </c>
      <c r="D891" s="12" t="s">
        <v>16612</v>
      </c>
      <c r="E891" s="13">
        <v>45603</v>
      </c>
      <c r="F891" s="14">
        <v>45908</v>
      </c>
      <c r="G891" s="15">
        <v>10500000</v>
      </c>
      <c r="H891" s="16">
        <v>36</v>
      </c>
      <c r="I891" s="17">
        <v>24</v>
      </c>
      <c r="J891" s="15">
        <v>8288600</v>
      </c>
      <c r="K891" s="98">
        <f t="shared" si="39"/>
        <v>0</v>
      </c>
      <c r="L891" s="98" t="str">
        <f t="shared" si="40"/>
        <v>Lancar</v>
      </c>
      <c r="M891" s="5" t="str">
        <f t="shared" si="41"/>
        <v>002</v>
      </c>
      <c r="N891" s="55" t="str">
        <f>VLOOKUP(D891,Pinjaman!$E$7:$N$1900,10,FALSE)</f>
        <v>KESEJAHTERAAN</v>
      </c>
      <c r="O891" s="55">
        <f>VLOOKUP(B891,'Data Angt'!$A$5:$H$5810,6,FALSE)</f>
        <v>45</v>
      </c>
      <c r="P891" s="55" t="str">
        <f>VLOOKUP(B891,'Data Angt'!$A$5:$H$5810,8,FALSE)</f>
        <v>Mengurus Rumah Tangga</v>
      </c>
    </row>
    <row r="892" spans="1:16" x14ac:dyDescent="0.3">
      <c r="A892" s="8">
        <v>885</v>
      </c>
      <c r="B892" s="9" t="s">
        <v>7791</v>
      </c>
      <c r="C892" s="10" t="str">
        <f>VLOOKUP(B892,'Data Angt'!$A$5:$B$5809,2,FALSE)</f>
        <v>A3501</v>
      </c>
      <c r="D892" s="12" t="s">
        <v>16614</v>
      </c>
      <c r="E892" s="13">
        <v>45687</v>
      </c>
      <c r="F892" s="14">
        <v>45920</v>
      </c>
      <c r="G892" s="15">
        <v>50000000</v>
      </c>
      <c r="H892" s="16">
        <v>36</v>
      </c>
      <c r="I892" s="17">
        <v>21</v>
      </c>
      <c r="J892" s="15">
        <v>41418000</v>
      </c>
      <c r="K892" s="98">
        <f t="shared" si="39"/>
        <v>0</v>
      </c>
      <c r="L892" s="98" t="str">
        <f t="shared" si="40"/>
        <v>Lancar</v>
      </c>
      <c r="M892" s="5" t="str">
        <f t="shared" si="41"/>
        <v>002</v>
      </c>
      <c r="N892" s="55" t="str">
        <f>VLOOKUP(D892,Pinjaman!$E$7:$N$1900,10,FALSE)</f>
        <v>KESEJAHTERAAN</v>
      </c>
      <c r="O892" s="55">
        <f>VLOOKUP(B892,'Data Angt'!$A$5:$H$5810,6,FALSE)</f>
        <v>37</v>
      </c>
      <c r="P892" s="55" t="str">
        <f>VLOOKUP(B892,'Data Angt'!$A$5:$H$5810,8,FALSE)</f>
        <v>Wiraswasta</v>
      </c>
    </row>
    <row r="893" spans="1:16" x14ac:dyDescent="0.3">
      <c r="A893" s="8">
        <v>886</v>
      </c>
      <c r="B893" s="9" t="s">
        <v>7856</v>
      </c>
      <c r="C893" s="10" t="str">
        <f>VLOOKUP(B893,'Data Angt'!$A$5:$B$5809,2,FALSE)</f>
        <v>A3532</v>
      </c>
      <c r="D893" s="12" t="s">
        <v>10374</v>
      </c>
      <c r="E893" s="13">
        <v>44303</v>
      </c>
      <c r="F893" s="14">
        <v>44804</v>
      </c>
      <c r="G893" s="15">
        <v>25000000</v>
      </c>
      <c r="H893" s="16">
        <v>20</v>
      </c>
      <c r="I893" s="17">
        <v>21</v>
      </c>
      <c r="J893" s="15">
        <v>19538400</v>
      </c>
      <c r="K893" s="98">
        <f t="shared" si="39"/>
        <v>36</v>
      </c>
      <c r="L893" s="98" t="str">
        <f t="shared" si="40"/>
        <v>Macet</v>
      </c>
      <c r="M893" s="5" t="str">
        <f t="shared" si="41"/>
        <v>002</v>
      </c>
      <c r="N893" s="55" t="str">
        <f>VLOOKUP(D893,Pinjaman!$E$7:$N$1900,10,FALSE)</f>
        <v>PRODUKTIF</v>
      </c>
      <c r="O893" s="55">
        <f>VLOOKUP(B893,'Data Angt'!$A$5:$H$5810,6,FALSE)</f>
        <v>28</v>
      </c>
      <c r="P893" s="55" t="str">
        <f>VLOOKUP(B893,'Data Angt'!$A$5:$H$5810,8,FALSE)</f>
        <v>Lain-Lain</v>
      </c>
    </row>
    <row r="894" spans="1:16" x14ac:dyDescent="0.3">
      <c r="A894" s="8">
        <v>887</v>
      </c>
      <c r="B894" s="9" t="s">
        <v>7872</v>
      </c>
      <c r="C894" s="10" t="str">
        <f>VLOOKUP(B894,'Data Angt'!$A$5:$B$5809,2,FALSE)</f>
        <v>A3539</v>
      </c>
      <c r="D894" s="12" t="s">
        <v>16617</v>
      </c>
      <c r="E894" s="13">
        <v>45420</v>
      </c>
      <c r="F894" s="14">
        <v>45917</v>
      </c>
      <c r="G894" s="15">
        <v>7000000</v>
      </c>
      <c r="H894" s="16">
        <v>18</v>
      </c>
      <c r="I894" s="17">
        <v>24</v>
      </c>
      <c r="J894" s="15">
        <v>1345600</v>
      </c>
      <c r="K894" s="98">
        <f t="shared" si="39"/>
        <v>0</v>
      </c>
      <c r="L894" s="98" t="str">
        <f t="shared" si="40"/>
        <v>Lancar</v>
      </c>
      <c r="M894" s="5" t="str">
        <f t="shared" si="41"/>
        <v>002</v>
      </c>
      <c r="N894" s="55" t="str">
        <f>VLOOKUP(D894,Pinjaman!$E$7:$N$1900,10,FALSE)</f>
        <v>KONSUMTIF</v>
      </c>
      <c r="O894" s="55">
        <f>VLOOKUP(B894,'Data Angt'!$A$5:$H$5810,6,FALSE)</f>
        <v>44</v>
      </c>
      <c r="P894" s="55" t="str">
        <f>VLOOKUP(B894,'Data Angt'!$A$5:$H$5810,8,FALSE)</f>
        <v>Karyawan</v>
      </c>
    </row>
    <row r="895" spans="1:16" x14ac:dyDescent="0.3">
      <c r="A895" s="8">
        <v>888</v>
      </c>
      <c r="B895" s="9" t="s">
        <v>7909</v>
      </c>
      <c r="C895" s="10" t="str">
        <f>VLOOKUP(B895,'Data Angt'!$A$5:$B$5809,2,FALSE)</f>
        <v>A3563</v>
      </c>
      <c r="D895" s="12" t="s">
        <v>10377</v>
      </c>
      <c r="E895" s="13">
        <v>44706</v>
      </c>
      <c r="F895" s="14">
        <v>45930</v>
      </c>
      <c r="G895" s="15">
        <v>35000000</v>
      </c>
      <c r="H895" s="16">
        <v>36</v>
      </c>
      <c r="I895" s="17">
        <v>21</v>
      </c>
      <c r="J895" s="15">
        <v>18577900</v>
      </c>
      <c r="K895" s="98">
        <f t="shared" si="39"/>
        <v>0</v>
      </c>
      <c r="L895" s="98" t="str">
        <f t="shared" si="40"/>
        <v>Lancar</v>
      </c>
      <c r="M895" s="5" t="str">
        <f t="shared" si="41"/>
        <v>002</v>
      </c>
      <c r="N895" s="55" t="str">
        <f>VLOOKUP(D895,Pinjaman!$E$7:$N$1900,10,FALSE)</f>
        <v>PRODUKTIF</v>
      </c>
      <c r="O895" s="55">
        <f>VLOOKUP(B895,'Data Angt'!$A$5:$H$5810,6,FALSE)</f>
        <v>63</v>
      </c>
      <c r="P895" s="55" t="str">
        <f>VLOOKUP(B895,'Data Angt'!$A$5:$H$5810,8,FALSE)</f>
        <v>Wiraswasta</v>
      </c>
    </row>
    <row r="896" spans="1:16" x14ac:dyDescent="0.3">
      <c r="A896" s="8">
        <v>889</v>
      </c>
      <c r="B896" s="9" t="s">
        <v>7914</v>
      </c>
      <c r="C896" s="10" t="str">
        <f>VLOOKUP(B896,'Data Angt'!$A$5:$B$5809,2,FALSE)</f>
        <v>A3566</v>
      </c>
      <c r="D896" s="12" t="s">
        <v>10379</v>
      </c>
      <c r="E896" s="13">
        <v>44729</v>
      </c>
      <c r="F896" s="14">
        <v>45902</v>
      </c>
      <c r="G896" s="15">
        <v>100000000</v>
      </c>
      <c r="H896" s="16">
        <v>36</v>
      </c>
      <c r="I896" s="17">
        <v>21</v>
      </c>
      <c r="J896" s="15">
        <v>54446400</v>
      </c>
      <c r="K896" s="98">
        <f t="shared" si="39"/>
        <v>0</v>
      </c>
      <c r="L896" s="98" t="str">
        <f t="shared" si="40"/>
        <v>Lancar</v>
      </c>
      <c r="M896" s="5" t="str">
        <f t="shared" si="41"/>
        <v>002</v>
      </c>
      <c r="N896" s="55" t="str">
        <f>VLOOKUP(D896,Pinjaman!$E$7:$N$1900,10,FALSE)</f>
        <v>PRODUKTIF</v>
      </c>
      <c r="O896" s="55">
        <f>VLOOKUP(B896,'Data Angt'!$A$5:$H$5810,6,FALSE)</f>
        <v>68</v>
      </c>
      <c r="P896" s="55" t="str">
        <f>VLOOKUP(B896,'Data Angt'!$A$5:$H$5810,8,FALSE)</f>
        <v>Wiraswasta</v>
      </c>
    </row>
    <row r="897" spans="1:16" x14ac:dyDescent="0.3">
      <c r="A897" s="8">
        <v>890</v>
      </c>
      <c r="B897" s="9" t="s">
        <v>7916</v>
      </c>
      <c r="C897" s="10" t="str">
        <f>VLOOKUP(B897,'Data Angt'!$A$5:$B$5809,2,FALSE)</f>
        <v>A3568</v>
      </c>
      <c r="D897" s="12" t="s">
        <v>16620</v>
      </c>
      <c r="E897" s="13">
        <v>45701</v>
      </c>
      <c r="F897" s="14">
        <v>45913</v>
      </c>
      <c r="G897" s="15">
        <v>3500000</v>
      </c>
      <c r="H897" s="16">
        <v>12</v>
      </c>
      <c r="I897" s="17">
        <v>12</v>
      </c>
      <c r="J897" s="15">
        <v>1509400</v>
      </c>
      <c r="K897" s="98">
        <f t="shared" si="39"/>
        <v>0</v>
      </c>
      <c r="L897" s="98" t="str">
        <f t="shared" si="40"/>
        <v>Lancar</v>
      </c>
      <c r="M897" s="5" t="str">
        <f t="shared" si="41"/>
        <v>002</v>
      </c>
      <c r="N897" s="55" t="str">
        <f>VLOOKUP(D897,Pinjaman!$E$7:$N$1900,10,FALSE)</f>
        <v>KONSUMTIF</v>
      </c>
      <c r="O897" s="55">
        <f>VLOOKUP(B897,'Data Angt'!$A$5:$H$5810,6,FALSE)</f>
        <v>42</v>
      </c>
      <c r="P897" s="55" t="str">
        <f>VLOOKUP(B897,'Data Angt'!$A$5:$H$5810,8,FALSE)</f>
        <v>Tenaga Pengajar</v>
      </c>
    </row>
    <row r="898" spans="1:16" x14ac:dyDescent="0.3">
      <c r="A898" s="8">
        <v>891</v>
      </c>
      <c r="B898" s="9" t="s">
        <v>7962</v>
      </c>
      <c r="C898" s="10" t="str">
        <f>VLOOKUP(B898,'Data Angt'!$A$5:$B$5809,2,FALSE)</f>
        <v>A3589</v>
      </c>
      <c r="D898" s="12" t="s">
        <v>10381</v>
      </c>
      <c r="E898" s="13">
        <v>44756</v>
      </c>
      <c r="F898" s="14">
        <v>45930</v>
      </c>
      <c r="G898" s="15">
        <v>115000000</v>
      </c>
      <c r="H898" s="16">
        <v>48</v>
      </c>
      <c r="I898" s="17">
        <v>21</v>
      </c>
      <c r="J898" s="15">
        <v>92613400</v>
      </c>
      <c r="K898" s="98">
        <f t="shared" si="39"/>
        <v>0</v>
      </c>
      <c r="L898" s="98" t="str">
        <f t="shared" si="40"/>
        <v>Lancar</v>
      </c>
      <c r="M898" s="5" t="str">
        <f t="shared" si="41"/>
        <v>002</v>
      </c>
      <c r="N898" s="55" t="str">
        <f>VLOOKUP(D898,Pinjaman!$E$7:$N$1900,10,FALSE)</f>
        <v>PRODUKTIF</v>
      </c>
      <c r="O898" s="55">
        <f>VLOOKUP(B898,'Data Angt'!$A$5:$H$5810,6,FALSE)</f>
        <v>44</v>
      </c>
      <c r="P898" s="55" t="str">
        <f>VLOOKUP(B898,'Data Angt'!$A$5:$H$5810,8,FALSE)</f>
        <v>Aparatur/Pejabat Negara</v>
      </c>
    </row>
    <row r="899" spans="1:16" x14ac:dyDescent="0.3">
      <c r="A899" s="8">
        <v>892</v>
      </c>
      <c r="B899" s="9" t="s">
        <v>8045</v>
      </c>
      <c r="C899" s="10" t="str">
        <f>VLOOKUP(B899,'Data Angt'!$A$5:$B$5809,2,FALSE)</f>
        <v>A3633</v>
      </c>
      <c r="D899" s="12" t="s">
        <v>10383</v>
      </c>
      <c r="E899" s="13">
        <v>44231</v>
      </c>
      <c r="F899" s="14">
        <v>44804</v>
      </c>
      <c r="G899" s="15">
        <v>5000000</v>
      </c>
      <c r="H899" s="16">
        <v>18</v>
      </c>
      <c r="I899" s="17">
        <v>24</v>
      </c>
      <c r="J899" s="15">
        <v>3789400</v>
      </c>
      <c r="K899" s="98">
        <f t="shared" si="39"/>
        <v>36</v>
      </c>
      <c r="L899" s="98" t="str">
        <f t="shared" si="40"/>
        <v>Macet</v>
      </c>
      <c r="M899" s="5" t="str">
        <f t="shared" si="41"/>
        <v>002</v>
      </c>
      <c r="N899" s="55" t="str">
        <f>VLOOKUP(D899,Pinjaman!$E$7:$N$1900,10,FALSE)</f>
        <v>PRODUKTIF</v>
      </c>
      <c r="O899" s="55">
        <f>VLOOKUP(B899,'Data Angt'!$A$5:$H$5810,6,FALSE)</f>
        <v>27</v>
      </c>
      <c r="P899" s="55">
        <f>VLOOKUP(B899,'Data Angt'!$A$5:$H$5810,8,FALSE)</f>
        <v>0</v>
      </c>
    </row>
    <row r="900" spans="1:16" x14ac:dyDescent="0.3">
      <c r="A900" s="8">
        <v>893</v>
      </c>
      <c r="B900" s="9" t="s">
        <v>8117</v>
      </c>
      <c r="C900" s="10" t="str">
        <f>VLOOKUP(B900,'Data Angt'!$A$5:$B$5809,2,FALSE)</f>
        <v>A3673</v>
      </c>
      <c r="D900" s="12" t="s">
        <v>10386</v>
      </c>
      <c r="E900" s="13">
        <v>44235</v>
      </c>
      <c r="F900" s="14">
        <v>45379</v>
      </c>
      <c r="G900" s="15">
        <v>35000000</v>
      </c>
      <c r="H900" s="16">
        <v>48</v>
      </c>
      <c r="I900" s="17">
        <v>21</v>
      </c>
      <c r="J900" s="15">
        <v>26069800</v>
      </c>
      <c r="K900" s="98">
        <f t="shared" si="39"/>
        <v>18</v>
      </c>
      <c r="L900" s="98" t="str">
        <f t="shared" si="40"/>
        <v>Macet</v>
      </c>
      <c r="M900" s="5" t="str">
        <f t="shared" si="41"/>
        <v>002</v>
      </c>
      <c r="N900" s="55" t="str">
        <f>VLOOKUP(D900,Pinjaman!$E$7:$N$1900,10,FALSE)</f>
        <v>PRODUKTIF</v>
      </c>
      <c r="O900" s="55">
        <f>VLOOKUP(B900,'Data Angt'!$A$5:$H$5810,6,FALSE)</f>
        <v>36</v>
      </c>
      <c r="P900" s="55">
        <f>VLOOKUP(B900,'Data Angt'!$A$5:$H$5810,8,FALSE)</f>
        <v>0</v>
      </c>
    </row>
    <row r="901" spans="1:16" x14ac:dyDescent="0.3">
      <c r="A901" s="8">
        <v>894</v>
      </c>
      <c r="B901" s="9" t="s">
        <v>8130</v>
      </c>
      <c r="C901" s="10" t="str">
        <f>VLOOKUP(B901,'Data Angt'!$A$5:$B$5809,2,FALSE)</f>
        <v>A3680</v>
      </c>
      <c r="D901" s="12" t="s">
        <v>16622</v>
      </c>
      <c r="E901" s="13">
        <v>45827</v>
      </c>
      <c r="F901" s="14">
        <v>45918</v>
      </c>
      <c r="G901" s="15">
        <v>10000000</v>
      </c>
      <c r="H901" s="16">
        <v>12</v>
      </c>
      <c r="I901" s="17">
        <v>24</v>
      </c>
      <c r="J901" s="15">
        <v>7718200</v>
      </c>
      <c r="K901" s="98">
        <f t="shared" si="39"/>
        <v>0</v>
      </c>
      <c r="L901" s="98" t="str">
        <f t="shared" si="40"/>
        <v>Lancar</v>
      </c>
      <c r="M901" s="5" t="str">
        <f t="shared" si="41"/>
        <v>002</v>
      </c>
      <c r="N901" s="55" t="str">
        <f>VLOOKUP(D901,Pinjaman!$E$7:$N$1900,10,FALSE)</f>
        <v>PRODUKTIF</v>
      </c>
      <c r="O901" s="55">
        <f>VLOOKUP(B901,'Data Angt'!$A$5:$H$5810,6,FALSE)</f>
        <v>56</v>
      </c>
      <c r="P901" s="55" t="str">
        <f>VLOOKUP(B901,'Data Angt'!$A$5:$H$5810,8,FALSE)</f>
        <v>Lain-Lain</v>
      </c>
    </row>
    <row r="902" spans="1:16" x14ac:dyDescent="0.3">
      <c r="A902" s="8">
        <v>895</v>
      </c>
      <c r="B902" s="9" t="s">
        <v>8135</v>
      </c>
      <c r="C902" s="10" t="str">
        <f>VLOOKUP(B902,'Data Angt'!$A$5:$B$5809,2,FALSE)</f>
        <v>A3682</v>
      </c>
      <c r="D902" s="12" t="s">
        <v>16624</v>
      </c>
      <c r="E902" s="13">
        <v>45528</v>
      </c>
      <c r="F902" s="14">
        <v>45912</v>
      </c>
      <c r="G902" s="15">
        <v>10000000</v>
      </c>
      <c r="H902" s="16">
        <v>36</v>
      </c>
      <c r="I902" s="17">
        <v>24</v>
      </c>
      <c r="J902" s="15">
        <v>7176000</v>
      </c>
      <c r="K902" s="98">
        <f t="shared" si="39"/>
        <v>0</v>
      </c>
      <c r="L902" s="98" t="str">
        <f t="shared" si="40"/>
        <v>Lancar</v>
      </c>
      <c r="M902" s="5" t="str">
        <f t="shared" si="41"/>
        <v>002</v>
      </c>
      <c r="N902" s="55" t="str">
        <f>VLOOKUP(D902,Pinjaman!$E$7:$N$1900,10,FALSE)</f>
        <v>PRODUKTIF</v>
      </c>
      <c r="O902" s="55">
        <f>VLOOKUP(B902,'Data Angt'!$A$5:$H$5810,6,FALSE)</f>
        <v>45</v>
      </c>
      <c r="P902" s="55" t="str">
        <f>VLOOKUP(B902,'Data Angt'!$A$5:$H$5810,8,FALSE)</f>
        <v>Karyawan</v>
      </c>
    </row>
    <row r="903" spans="1:16" x14ac:dyDescent="0.3">
      <c r="A903" s="8">
        <v>896</v>
      </c>
      <c r="B903" s="9" t="s">
        <v>12544</v>
      </c>
      <c r="C903" s="10" t="str">
        <f>VLOOKUP(B903,'Data Angt'!$A$5:$B$5809,2,FALSE)</f>
        <v>A3683</v>
      </c>
      <c r="D903" s="12" t="s">
        <v>23038</v>
      </c>
      <c r="E903" s="13">
        <v>45873</v>
      </c>
      <c r="F903" s="14">
        <v>45904</v>
      </c>
      <c r="G903" s="15">
        <v>3000000</v>
      </c>
      <c r="H903" s="16">
        <v>36</v>
      </c>
      <c r="I903" s="17">
        <v>24</v>
      </c>
      <c r="J903" s="15">
        <v>2942300</v>
      </c>
      <c r="K903" s="98">
        <f t="shared" si="39"/>
        <v>0</v>
      </c>
      <c r="L903" s="98" t="str">
        <f t="shared" si="40"/>
        <v>Lancar</v>
      </c>
      <c r="M903" s="5" t="str">
        <f t="shared" si="41"/>
        <v>002</v>
      </c>
      <c r="N903" s="55" t="str">
        <f>VLOOKUP(D903,Pinjaman!$E$7:$N$1900,10,FALSE)</f>
        <v>KESEJAHTERAAN</v>
      </c>
      <c r="O903" s="55">
        <f>VLOOKUP(B903,'Data Angt'!$A$5:$H$5810,6,FALSE)</f>
        <v>37</v>
      </c>
      <c r="P903" s="55" t="str">
        <f>VLOOKUP(B903,'Data Angt'!$A$5:$H$5810,8,FALSE)</f>
        <v>Mengurus Rumah Tangga</v>
      </c>
    </row>
    <row r="904" spans="1:16" x14ac:dyDescent="0.3">
      <c r="A904" s="8">
        <v>897</v>
      </c>
      <c r="B904" s="9" t="s">
        <v>8318</v>
      </c>
      <c r="C904" s="10" t="str">
        <f>VLOOKUP(B904,'Data Angt'!$A$5:$B$5809,2,FALSE)</f>
        <v>A3771</v>
      </c>
      <c r="D904" s="12" t="s">
        <v>16627</v>
      </c>
      <c r="E904" s="13">
        <v>45299</v>
      </c>
      <c r="F904" s="14">
        <v>45908</v>
      </c>
      <c r="G904" s="15">
        <v>8000000</v>
      </c>
      <c r="H904" s="16">
        <v>24</v>
      </c>
      <c r="I904" s="17">
        <v>24</v>
      </c>
      <c r="J904" s="15">
        <v>1611000</v>
      </c>
      <c r="K904" s="98">
        <f t="shared" si="39"/>
        <v>0</v>
      </c>
      <c r="L904" s="98" t="str">
        <f t="shared" si="40"/>
        <v>Lancar</v>
      </c>
      <c r="M904" s="5" t="str">
        <f t="shared" si="41"/>
        <v>002</v>
      </c>
      <c r="N904" s="55" t="str">
        <f>VLOOKUP(D904,Pinjaman!$E$7:$N$1900,10,FALSE)</f>
        <v>KONSUMTIF</v>
      </c>
      <c r="O904" s="55">
        <f>VLOOKUP(B904,'Data Angt'!$A$5:$H$5810,6,FALSE)</f>
        <v>29</v>
      </c>
      <c r="P904" s="55" t="str">
        <f>VLOOKUP(B904,'Data Angt'!$A$5:$H$5810,8,FALSE)</f>
        <v>Karyawan</v>
      </c>
    </row>
    <row r="905" spans="1:16" x14ac:dyDescent="0.3">
      <c r="A905" s="8">
        <v>898</v>
      </c>
      <c r="B905" s="9" t="s">
        <v>8398</v>
      </c>
      <c r="C905" s="10" t="str">
        <f>VLOOKUP(B905,'Data Angt'!$A$5:$B$5809,2,FALSE)</f>
        <v>A3807</v>
      </c>
      <c r="D905" s="12" t="s">
        <v>16629</v>
      </c>
      <c r="E905" s="13">
        <v>45612</v>
      </c>
      <c r="F905" s="14">
        <v>45929</v>
      </c>
      <c r="G905" s="15">
        <v>2000000</v>
      </c>
      <c r="H905" s="16">
        <v>12</v>
      </c>
      <c r="I905" s="17">
        <v>24</v>
      </c>
      <c r="J905" s="15">
        <v>366700</v>
      </c>
      <c r="K905" s="98">
        <f t="shared" ref="K905:K968" si="42">DATEDIF(F905,$K$6,"m")</f>
        <v>0</v>
      </c>
      <c r="L905" s="98" t="str">
        <f t="shared" ref="L905:L968" si="43">IF(K905&lt;=3,"Lancar",IF(K905&lt;=6,"Kurang lancar",IF(K905&lt;=12,"Diragukan","Macet")))</f>
        <v>Lancar</v>
      </c>
      <c r="M905" s="5" t="str">
        <f t="shared" ref="M905:M968" si="44">MID(B905,7,3)</f>
        <v>002</v>
      </c>
      <c r="N905" s="55" t="str">
        <f>VLOOKUP(D905,Pinjaman!$E$7:$N$1900,10,FALSE)</f>
        <v>PRODUKTIF</v>
      </c>
      <c r="O905" s="55">
        <f>VLOOKUP(B905,'Data Angt'!$A$5:$H$5810,6,FALSE)</f>
        <v>26</v>
      </c>
      <c r="P905" s="55" t="str">
        <f>VLOOKUP(B905,'Data Angt'!$A$5:$H$5810,8,FALSE)</f>
        <v>Karyawan</v>
      </c>
    </row>
    <row r="906" spans="1:16" x14ac:dyDescent="0.3">
      <c r="A906" s="8">
        <v>899</v>
      </c>
      <c r="B906" s="9" t="s">
        <v>8509</v>
      </c>
      <c r="C906" s="10" t="str">
        <f>VLOOKUP(B906,'Data Angt'!$A$5:$B$5809,2,FALSE)</f>
        <v>A3859</v>
      </c>
      <c r="D906" s="12" t="s">
        <v>16631</v>
      </c>
      <c r="E906" s="13">
        <v>45762</v>
      </c>
      <c r="F906" s="14">
        <v>45915</v>
      </c>
      <c r="G906" s="15">
        <v>4000000</v>
      </c>
      <c r="H906" s="16">
        <v>30</v>
      </c>
      <c r="I906" s="17">
        <v>24</v>
      </c>
      <c r="J906" s="15">
        <v>3487100</v>
      </c>
      <c r="K906" s="98">
        <f t="shared" si="42"/>
        <v>0</v>
      </c>
      <c r="L906" s="98" t="str">
        <f t="shared" si="43"/>
        <v>Lancar</v>
      </c>
      <c r="M906" s="5" t="str">
        <f t="shared" si="44"/>
        <v>002</v>
      </c>
      <c r="N906" s="55" t="str">
        <f>VLOOKUP(D906,Pinjaman!$E$7:$N$1900,10,FALSE)</f>
        <v>KONSUMTIF</v>
      </c>
      <c r="O906" s="55">
        <f>VLOOKUP(B906,'Data Angt'!$A$5:$H$5810,6,FALSE)</f>
        <v>45</v>
      </c>
      <c r="P906" s="55" t="str">
        <f>VLOOKUP(B906,'Data Angt'!$A$5:$H$5810,8,FALSE)</f>
        <v>Lain-Lain</v>
      </c>
    </row>
    <row r="907" spans="1:16" x14ac:dyDescent="0.3">
      <c r="A907" s="8">
        <v>900</v>
      </c>
      <c r="B907" s="9" t="s">
        <v>8534</v>
      </c>
      <c r="C907" s="10" t="str">
        <f>VLOOKUP(B907,'Data Angt'!$A$5:$B$5809,2,FALSE)</f>
        <v>A3872</v>
      </c>
      <c r="D907" s="12" t="s">
        <v>16633</v>
      </c>
      <c r="E907" s="13">
        <v>45708</v>
      </c>
      <c r="F907" s="14">
        <v>45922</v>
      </c>
      <c r="G907" s="15">
        <v>15000000</v>
      </c>
      <c r="H907" s="16">
        <v>24</v>
      </c>
      <c r="I907" s="17">
        <v>24</v>
      </c>
      <c r="J907" s="15">
        <v>11334400</v>
      </c>
      <c r="K907" s="98">
        <f t="shared" si="42"/>
        <v>0</v>
      </c>
      <c r="L907" s="98" t="str">
        <f t="shared" si="43"/>
        <v>Lancar</v>
      </c>
      <c r="M907" s="5" t="str">
        <f t="shared" si="44"/>
        <v>002</v>
      </c>
      <c r="N907" s="55" t="str">
        <f>VLOOKUP(D907,Pinjaman!$E$7:$N$1900,10,FALSE)</f>
        <v>KONSUMTIF</v>
      </c>
      <c r="O907" s="55">
        <f>VLOOKUP(B907,'Data Angt'!$A$5:$H$5810,6,FALSE)</f>
        <v>25</v>
      </c>
      <c r="P907" s="55" t="str">
        <f>VLOOKUP(B907,'Data Angt'!$A$5:$H$5810,8,FALSE)</f>
        <v>Karyawan</v>
      </c>
    </row>
    <row r="908" spans="1:16" x14ac:dyDescent="0.3">
      <c r="A908" s="8">
        <v>901</v>
      </c>
      <c r="B908" s="9" t="s">
        <v>8563</v>
      </c>
      <c r="C908" s="10" t="str">
        <f>VLOOKUP(B908,'Data Angt'!$A$5:$B$5809,2,FALSE)</f>
        <v>A3884</v>
      </c>
      <c r="D908" s="12" t="s">
        <v>16635</v>
      </c>
      <c r="E908" s="13">
        <v>45360</v>
      </c>
      <c r="F908" s="14">
        <v>45930</v>
      </c>
      <c r="G908" s="15">
        <v>15000000</v>
      </c>
      <c r="H908" s="16">
        <v>36</v>
      </c>
      <c r="I908" s="17">
        <v>24</v>
      </c>
      <c r="J908" s="15">
        <v>8839500</v>
      </c>
      <c r="K908" s="98">
        <f t="shared" si="42"/>
        <v>0</v>
      </c>
      <c r="L908" s="98" t="str">
        <f t="shared" si="43"/>
        <v>Lancar</v>
      </c>
      <c r="M908" s="5" t="str">
        <f t="shared" si="44"/>
        <v>002</v>
      </c>
      <c r="N908" s="55" t="str">
        <f>VLOOKUP(D908,Pinjaman!$E$7:$N$1900,10,FALSE)</f>
        <v>PRODUKTIF</v>
      </c>
      <c r="O908" s="55">
        <f>VLOOKUP(B908,'Data Angt'!$A$5:$H$5810,6,FALSE)</f>
        <v>50</v>
      </c>
      <c r="P908" s="55" t="str">
        <f>VLOOKUP(B908,'Data Angt'!$A$5:$H$5810,8,FALSE)</f>
        <v>Belum/Tidak Bekerja</v>
      </c>
    </row>
    <row r="909" spans="1:16" x14ac:dyDescent="0.3">
      <c r="A909" s="8">
        <v>902</v>
      </c>
      <c r="B909" s="9" t="s">
        <v>8572</v>
      </c>
      <c r="C909" s="10" t="str">
        <f>VLOOKUP(B909,'Data Angt'!$A$5:$B$5809,2,FALSE)</f>
        <v>A3888</v>
      </c>
      <c r="D909" s="12" t="s">
        <v>16638</v>
      </c>
      <c r="E909" s="13">
        <v>45647</v>
      </c>
      <c r="F909" s="14">
        <v>45901</v>
      </c>
      <c r="G909" s="15">
        <v>3000000</v>
      </c>
      <c r="H909" s="16">
        <v>12</v>
      </c>
      <c r="I909" s="17">
        <v>12</v>
      </c>
      <c r="J909" s="15">
        <v>783800</v>
      </c>
      <c r="K909" s="98">
        <f t="shared" si="42"/>
        <v>0</v>
      </c>
      <c r="L909" s="98" t="str">
        <f t="shared" si="43"/>
        <v>Lancar</v>
      </c>
      <c r="M909" s="5" t="str">
        <f t="shared" si="44"/>
        <v>002</v>
      </c>
      <c r="N909" s="55" t="str">
        <f>VLOOKUP(D909,Pinjaman!$E$7:$N$1900,10,FALSE)</f>
        <v>KESEJAHTERAAN</v>
      </c>
      <c r="O909" s="55">
        <f>VLOOKUP(B909,'Data Angt'!$A$5:$H$5810,6,FALSE)</f>
        <v>25</v>
      </c>
      <c r="P909" s="55" t="str">
        <f>VLOOKUP(B909,'Data Angt'!$A$5:$H$5810,8,FALSE)</f>
        <v>Karyawan</v>
      </c>
    </row>
    <row r="910" spans="1:16" x14ac:dyDescent="0.3">
      <c r="A910" s="8">
        <v>903</v>
      </c>
      <c r="B910" s="9" t="s">
        <v>8666</v>
      </c>
      <c r="C910" s="10" t="str">
        <f>VLOOKUP(B910,'Data Angt'!$A$5:$B$5809,2,FALSE)</f>
        <v>A3931</v>
      </c>
      <c r="D910" s="12" t="s">
        <v>16640</v>
      </c>
      <c r="E910" s="13">
        <v>45541</v>
      </c>
      <c r="F910" s="14">
        <v>45911</v>
      </c>
      <c r="G910" s="15">
        <v>15000000</v>
      </c>
      <c r="H910" s="16">
        <v>24</v>
      </c>
      <c r="I910" s="17">
        <v>24</v>
      </c>
      <c r="J910" s="15">
        <v>8387100</v>
      </c>
      <c r="K910" s="98">
        <f t="shared" si="42"/>
        <v>0</v>
      </c>
      <c r="L910" s="98" t="str">
        <f t="shared" si="43"/>
        <v>Lancar</v>
      </c>
      <c r="M910" s="5" t="str">
        <f t="shared" si="44"/>
        <v>002</v>
      </c>
      <c r="N910" s="55" t="str">
        <f>VLOOKUP(D910,Pinjaman!$E$7:$N$1900,10,FALSE)</f>
        <v>PRODUKTIF</v>
      </c>
      <c r="O910" s="55">
        <f>VLOOKUP(B910,'Data Angt'!$A$5:$H$5810,6,FALSE)</f>
        <v>42</v>
      </c>
      <c r="P910" s="55" t="str">
        <f>VLOOKUP(B910,'Data Angt'!$A$5:$H$5810,8,FALSE)</f>
        <v>Wiraswasta</v>
      </c>
    </row>
    <row r="911" spans="1:16" x14ac:dyDescent="0.3">
      <c r="A911" s="8">
        <v>904</v>
      </c>
      <c r="B911" s="9" t="s">
        <v>8688</v>
      </c>
      <c r="C911" s="10" t="str">
        <f>VLOOKUP(B911,'Data Angt'!$A$5:$B$5809,2,FALSE)</f>
        <v>A3943</v>
      </c>
      <c r="D911" s="12" t="s">
        <v>16642</v>
      </c>
      <c r="E911" s="13">
        <v>45769</v>
      </c>
      <c r="F911" s="14">
        <v>45922</v>
      </c>
      <c r="G911" s="15">
        <v>30000000</v>
      </c>
      <c r="H911" s="16">
        <v>48</v>
      </c>
      <c r="I911" s="17">
        <v>21</v>
      </c>
      <c r="J911" s="15">
        <v>27908300</v>
      </c>
      <c r="K911" s="98">
        <f t="shared" si="42"/>
        <v>0</v>
      </c>
      <c r="L911" s="98" t="str">
        <f t="shared" si="43"/>
        <v>Lancar</v>
      </c>
      <c r="M911" s="5" t="str">
        <f t="shared" si="44"/>
        <v>002</v>
      </c>
      <c r="N911" s="55" t="str">
        <f>VLOOKUP(D911,Pinjaman!$E$7:$N$1900,10,FALSE)</f>
        <v>KONSUMTIF</v>
      </c>
      <c r="O911" s="55">
        <f>VLOOKUP(B911,'Data Angt'!$A$5:$H$5810,6,FALSE)</f>
        <v>61</v>
      </c>
      <c r="P911" s="55" t="str">
        <f>VLOOKUP(B911,'Data Angt'!$A$5:$H$5810,8,FALSE)</f>
        <v>Wiraswasta</v>
      </c>
    </row>
    <row r="912" spans="1:16" x14ac:dyDescent="0.3">
      <c r="A912" s="8">
        <v>905</v>
      </c>
      <c r="B912" s="9" t="s">
        <v>8694</v>
      </c>
      <c r="C912" s="10" t="str">
        <f>VLOOKUP(B912,'Data Angt'!$A$5:$B$5809,2,FALSE)</f>
        <v>A3945</v>
      </c>
      <c r="D912" s="12" t="s">
        <v>16645</v>
      </c>
      <c r="E912" s="13">
        <v>45469</v>
      </c>
      <c r="F912" s="14">
        <v>45920</v>
      </c>
      <c r="G912" s="15">
        <v>45000000</v>
      </c>
      <c r="H912" s="16">
        <v>30</v>
      </c>
      <c r="I912" s="17">
        <v>21</v>
      </c>
      <c r="J912" s="15">
        <v>25410700</v>
      </c>
      <c r="K912" s="98">
        <f t="shared" si="42"/>
        <v>0</v>
      </c>
      <c r="L912" s="98" t="str">
        <f t="shared" si="43"/>
        <v>Lancar</v>
      </c>
      <c r="M912" s="5" t="str">
        <f t="shared" si="44"/>
        <v>002</v>
      </c>
      <c r="N912" s="55" t="str">
        <f>VLOOKUP(D912,Pinjaman!$E$7:$N$1900,10,FALSE)</f>
        <v>PRODUKTIF</v>
      </c>
      <c r="O912" s="55">
        <f>VLOOKUP(B912,'Data Angt'!$A$5:$H$5810,6,FALSE)</f>
        <v>44</v>
      </c>
      <c r="P912" s="55" t="str">
        <f>VLOOKUP(B912,'Data Angt'!$A$5:$H$5810,8,FALSE)</f>
        <v>Petani/Pekebun/Nelayan</v>
      </c>
    </row>
    <row r="913" spans="1:16" x14ac:dyDescent="0.3">
      <c r="A913" s="8">
        <v>906</v>
      </c>
      <c r="B913" s="9" t="s">
        <v>8706</v>
      </c>
      <c r="C913" s="10" t="str">
        <f>VLOOKUP(B913,'Data Angt'!$A$5:$B$5809,2,FALSE)</f>
        <v>A3951</v>
      </c>
      <c r="D913" s="12" t="s">
        <v>16648</v>
      </c>
      <c r="E913" s="13">
        <v>45730</v>
      </c>
      <c r="F913" s="14">
        <v>45917</v>
      </c>
      <c r="G913" s="15">
        <v>70000000</v>
      </c>
      <c r="H913" s="16">
        <v>36</v>
      </c>
      <c r="I913" s="17">
        <v>21</v>
      </c>
      <c r="J913" s="15">
        <v>61147000</v>
      </c>
      <c r="K913" s="98">
        <f t="shared" si="42"/>
        <v>0</v>
      </c>
      <c r="L913" s="98" t="str">
        <f t="shared" si="43"/>
        <v>Lancar</v>
      </c>
      <c r="M913" s="5" t="str">
        <f t="shared" si="44"/>
        <v>002</v>
      </c>
      <c r="N913" s="55" t="str">
        <f>VLOOKUP(D913,Pinjaman!$E$7:$N$1900,10,FALSE)</f>
        <v>KONSUMTIF</v>
      </c>
      <c r="O913" s="55">
        <f>VLOOKUP(B913,'Data Angt'!$A$5:$H$5810,6,FALSE)</f>
        <v>39</v>
      </c>
      <c r="P913" s="55" t="str">
        <f>VLOOKUP(B913,'Data Angt'!$A$5:$H$5810,8,FALSE)</f>
        <v>Wiraswasta</v>
      </c>
    </row>
    <row r="914" spans="1:16" x14ac:dyDescent="0.3">
      <c r="A914" s="8">
        <v>907</v>
      </c>
      <c r="B914" s="9" t="s">
        <v>8720</v>
      </c>
      <c r="C914" s="10" t="str">
        <f>VLOOKUP(B914,'Data Angt'!$A$5:$B$5809,2,FALSE)</f>
        <v>A3957</v>
      </c>
      <c r="D914" s="12" t="s">
        <v>16650</v>
      </c>
      <c r="E914" s="13">
        <v>45603</v>
      </c>
      <c r="F914" s="14">
        <v>45908</v>
      </c>
      <c r="G914" s="15">
        <v>25000000</v>
      </c>
      <c r="H914" s="16">
        <v>48</v>
      </c>
      <c r="I914" s="17">
        <v>21</v>
      </c>
      <c r="J914" s="15">
        <v>21355700</v>
      </c>
      <c r="K914" s="98">
        <f t="shared" si="42"/>
        <v>0</v>
      </c>
      <c r="L914" s="98" t="str">
        <f t="shared" si="43"/>
        <v>Lancar</v>
      </c>
      <c r="M914" s="5" t="str">
        <f t="shared" si="44"/>
        <v>002</v>
      </c>
      <c r="N914" s="55" t="str">
        <f>VLOOKUP(D914,Pinjaman!$E$7:$N$1900,10,FALSE)</f>
        <v>KESEJAHTERAAN</v>
      </c>
      <c r="O914" s="55">
        <f>VLOOKUP(B914,'Data Angt'!$A$5:$H$5810,6,FALSE)</f>
        <v>64</v>
      </c>
      <c r="P914" s="55">
        <f>VLOOKUP(B914,'Data Angt'!$A$5:$H$5810,8,FALSE)</f>
        <v>0</v>
      </c>
    </row>
    <row r="915" spans="1:16" x14ac:dyDescent="0.3">
      <c r="A915" s="8">
        <v>908</v>
      </c>
      <c r="B915" s="9" t="s">
        <v>8736</v>
      </c>
      <c r="C915" s="10" t="str">
        <f>VLOOKUP(B915,'Data Angt'!$A$5:$B$5809,2,FALSE)</f>
        <v>A3965</v>
      </c>
      <c r="D915" s="12" t="s">
        <v>23053</v>
      </c>
      <c r="E915" s="13">
        <v>45876</v>
      </c>
      <c r="F915" s="14">
        <v>45908</v>
      </c>
      <c r="G915" s="15">
        <v>2000000</v>
      </c>
      <c r="H915" s="16">
        <v>12</v>
      </c>
      <c r="I915" s="17">
        <v>24</v>
      </c>
      <c r="J915" s="15">
        <v>1850800</v>
      </c>
      <c r="K915" s="98">
        <f t="shared" si="42"/>
        <v>0</v>
      </c>
      <c r="L915" s="98" t="str">
        <f t="shared" si="43"/>
        <v>Lancar</v>
      </c>
      <c r="M915" s="5" t="str">
        <f t="shared" si="44"/>
        <v>002</v>
      </c>
      <c r="N915" s="55" t="str">
        <f>VLOOKUP(D915,Pinjaman!$E$7:$N$1900,10,FALSE)</f>
        <v>KESEJAHTERAAN</v>
      </c>
      <c r="O915" s="55">
        <f>VLOOKUP(B915,'Data Angt'!$A$5:$H$5810,6,FALSE)</f>
        <v>24</v>
      </c>
      <c r="P915" s="55" t="str">
        <f>VLOOKUP(B915,'Data Angt'!$A$5:$H$5810,8,FALSE)</f>
        <v>Mengurus Rumah Tangga</v>
      </c>
    </row>
    <row r="916" spans="1:16" x14ac:dyDescent="0.3">
      <c r="A916" s="8">
        <v>909</v>
      </c>
      <c r="B916" s="9" t="s">
        <v>8739</v>
      </c>
      <c r="C916" s="10" t="str">
        <f>VLOOKUP(B916,'Data Angt'!$A$5:$B$5809,2,FALSE)</f>
        <v>A3967</v>
      </c>
      <c r="D916" s="12" t="s">
        <v>10389</v>
      </c>
      <c r="E916" s="13">
        <v>44995</v>
      </c>
      <c r="F916" s="14">
        <v>45164</v>
      </c>
      <c r="G916" s="15">
        <v>60000000</v>
      </c>
      <c r="H916" s="16">
        <v>48</v>
      </c>
      <c r="I916" s="17">
        <v>21</v>
      </c>
      <c r="J916" s="15">
        <v>56682300</v>
      </c>
      <c r="K916" s="98">
        <f t="shared" si="42"/>
        <v>25</v>
      </c>
      <c r="L916" s="98" t="str">
        <f t="shared" si="43"/>
        <v>Macet</v>
      </c>
      <c r="M916" s="5" t="str">
        <f t="shared" si="44"/>
        <v>002</v>
      </c>
      <c r="N916" s="55" t="str">
        <f>VLOOKUP(D916,Pinjaman!$E$7:$N$1900,10,FALSE)</f>
        <v>PRODUKTIF</v>
      </c>
      <c r="O916" s="55">
        <f>VLOOKUP(B916,'Data Angt'!$A$5:$H$5810,6,FALSE)</f>
        <v>39</v>
      </c>
      <c r="P916" s="55" t="str">
        <f>VLOOKUP(B916,'Data Angt'!$A$5:$H$5810,8,FALSE)</f>
        <v>Karyawan</v>
      </c>
    </row>
    <row r="917" spans="1:16" x14ac:dyDescent="0.3">
      <c r="A917" s="8">
        <v>910</v>
      </c>
      <c r="B917" s="9" t="s">
        <v>8741</v>
      </c>
      <c r="C917" s="10" t="str">
        <f>VLOOKUP(B917,'Data Angt'!$A$5:$B$5809,2,FALSE)</f>
        <v>A3969</v>
      </c>
      <c r="D917" s="12" t="s">
        <v>16652</v>
      </c>
      <c r="E917" s="13">
        <v>45671</v>
      </c>
      <c r="F917" s="14">
        <v>45915</v>
      </c>
      <c r="G917" s="15">
        <v>11000000</v>
      </c>
      <c r="H917" s="16">
        <v>18</v>
      </c>
      <c r="I917" s="17">
        <v>24</v>
      </c>
      <c r="J917" s="15">
        <v>6590500</v>
      </c>
      <c r="K917" s="98">
        <f t="shared" si="42"/>
        <v>0</v>
      </c>
      <c r="L917" s="98" t="str">
        <f t="shared" si="43"/>
        <v>Lancar</v>
      </c>
      <c r="M917" s="5" t="str">
        <f t="shared" si="44"/>
        <v>002</v>
      </c>
      <c r="N917" s="55" t="str">
        <f>VLOOKUP(D917,Pinjaman!$E$7:$N$1900,10,FALSE)</f>
        <v>KONSUMTIF</v>
      </c>
      <c r="O917" s="55">
        <f>VLOOKUP(B917,'Data Angt'!$A$5:$H$5810,6,FALSE)</f>
        <v>51</v>
      </c>
      <c r="P917" s="55" t="str">
        <f>VLOOKUP(B917,'Data Angt'!$A$5:$H$5810,8,FALSE)</f>
        <v>Lain-Lain</v>
      </c>
    </row>
    <row r="918" spans="1:16" x14ac:dyDescent="0.3">
      <c r="A918" s="8">
        <v>911</v>
      </c>
      <c r="B918" s="9" t="s">
        <v>8778</v>
      </c>
      <c r="C918" s="10" t="str">
        <f>VLOOKUP(B918,'Data Angt'!$A$5:$B$5809,2,FALSE)</f>
        <v>A3985</v>
      </c>
      <c r="D918" s="12" t="s">
        <v>10392</v>
      </c>
      <c r="E918" s="13">
        <v>44788</v>
      </c>
      <c r="F918" s="14">
        <v>45317</v>
      </c>
      <c r="G918" s="15">
        <v>5000000</v>
      </c>
      <c r="H918" s="16">
        <v>18</v>
      </c>
      <c r="I918" s="17">
        <v>27</v>
      </c>
      <c r="J918" s="15">
        <v>2185700</v>
      </c>
      <c r="K918" s="98">
        <f t="shared" si="42"/>
        <v>20</v>
      </c>
      <c r="L918" s="98" t="str">
        <f t="shared" si="43"/>
        <v>Macet</v>
      </c>
      <c r="M918" s="5" t="str">
        <f t="shared" si="44"/>
        <v>002</v>
      </c>
      <c r="N918" s="55" t="str">
        <f>VLOOKUP(D918,Pinjaman!$E$7:$N$1900,10,FALSE)</f>
        <v>PRODUKTIF</v>
      </c>
      <c r="O918" s="55">
        <f>VLOOKUP(B918,'Data Angt'!$A$5:$H$5810,6,FALSE)</f>
        <v>39</v>
      </c>
      <c r="P918" s="55" t="str">
        <f>VLOOKUP(B918,'Data Angt'!$A$5:$H$5810,8,FALSE)</f>
        <v>Wiraswasta</v>
      </c>
    </row>
    <row r="919" spans="1:16" x14ac:dyDescent="0.3">
      <c r="A919" s="8">
        <v>912</v>
      </c>
      <c r="B919" s="9" t="s">
        <v>8796</v>
      </c>
      <c r="C919" s="10" t="str">
        <f>VLOOKUP(B919,'Data Angt'!$A$5:$B$5809,2,FALSE)</f>
        <v>A3994</v>
      </c>
      <c r="D919" s="12" t="s">
        <v>16655</v>
      </c>
      <c r="E919" s="13">
        <v>45498</v>
      </c>
      <c r="F919" s="14">
        <v>45773</v>
      </c>
      <c r="G919" s="15">
        <v>12000000</v>
      </c>
      <c r="H919" s="16">
        <v>24</v>
      </c>
      <c r="I919" s="17">
        <v>24</v>
      </c>
      <c r="J919" s="15">
        <v>8614400</v>
      </c>
      <c r="K919" s="98">
        <f t="shared" si="42"/>
        <v>5</v>
      </c>
      <c r="L919" s="98" t="str">
        <f t="shared" si="43"/>
        <v>Kurang lancar</v>
      </c>
      <c r="M919" s="5" t="str">
        <f t="shared" si="44"/>
        <v>002</v>
      </c>
      <c r="N919" s="55" t="str">
        <f>VLOOKUP(D919,Pinjaman!$E$7:$N$1900,10,FALSE)</f>
        <v>PRODUKTIF</v>
      </c>
      <c r="O919" s="55">
        <f>VLOOKUP(B919,'Data Angt'!$A$5:$H$5810,6,FALSE)</f>
        <v>28</v>
      </c>
      <c r="P919" s="55" t="str">
        <f>VLOOKUP(B919,'Data Angt'!$A$5:$H$5810,8,FALSE)</f>
        <v>Karyawan</v>
      </c>
    </row>
    <row r="920" spans="1:16" x14ac:dyDescent="0.3">
      <c r="A920" s="8">
        <v>913</v>
      </c>
      <c r="B920" s="9" t="s">
        <v>8806</v>
      </c>
      <c r="C920" s="10" t="str">
        <f>VLOOKUP(B920,'Data Angt'!$A$5:$B$5809,2,FALSE)</f>
        <v>A3998</v>
      </c>
      <c r="D920" s="12" t="s">
        <v>23061</v>
      </c>
      <c r="E920" s="13">
        <v>45875</v>
      </c>
      <c r="F920" s="14">
        <v>45901</v>
      </c>
      <c r="G920" s="15">
        <v>4000000</v>
      </c>
      <c r="H920" s="16">
        <v>12</v>
      </c>
      <c r="I920" s="17">
        <v>24</v>
      </c>
      <c r="J920" s="15">
        <v>3701700</v>
      </c>
      <c r="K920" s="98">
        <f t="shared" si="42"/>
        <v>0</v>
      </c>
      <c r="L920" s="98" t="str">
        <f t="shared" si="43"/>
        <v>Lancar</v>
      </c>
      <c r="M920" s="5" t="str">
        <f t="shared" si="44"/>
        <v>002</v>
      </c>
      <c r="N920" s="55" t="str">
        <f>VLOOKUP(D920,Pinjaman!$E$7:$N$1900,10,FALSE)</f>
        <v>PENDIDIKAN</v>
      </c>
      <c r="O920" s="55">
        <f>VLOOKUP(B920,'Data Angt'!$A$5:$H$5810,6,FALSE)</f>
        <v>47</v>
      </c>
      <c r="P920" s="55" t="str">
        <f>VLOOKUP(B920,'Data Angt'!$A$5:$H$5810,8,FALSE)</f>
        <v>Belum/Tidak Bekerja</v>
      </c>
    </row>
    <row r="921" spans="1:16" x14ac:dyDescent="0.3">
      <c r="A921" s="8">
        <v>914</v>
      </c>
      <c r="B921" s="9" t="s">
        <v>8943</v>
      </c>
      <c r="C921" s="10" t="str">
        <f>VLOOKUP(B921,'Data Angt'!$A$5:$B$5809,2,FALSE)</f>
        <v>A4065</v>
      </c>
      <c r="D921" s="12" t="s">
        <v>16658</v>
      </c>
      <c r="E921" s="13">
        <v>45804</v>
      </c>
      <c r="F921" s="14">
        <v>45929</v>
      </c>
      <c r="G921" s="15">
        <v>5000000</v>
      </c>
      <c r="H921" s="16">
        <v>24</v>
      </c>
      <c r="I921" s="17">
        <v>24</v>
      </c>
      <c r="J921" s="15">
        <v>4322600</v>
      </c>
      <c r="K921" s="98">
        <f t="shared" si="42"/>
        <v>0</v>
      </c>
      <c r="L921" s="98" t="str">
        <f t="shared" si="43"/>
        <v>Lancar</v>
      </c>
      <c r="M921" s="5" t="str">
        <f t="shared" si="44"/>
        <v>002</v>
      </c>
      <c r="N921" s="55" t="str">
        <f>VLOOKUP(D921,Pinjaman!$E$7:$N$1900,10,FALSE)</f>
        <v>PRODUKTIF</v>
      </c>
      <c r="O921" s="55">
        <f>VLOOKUP(B921,'Data Angt'!$A$5:$H$5810,6,FALSE)</f>
        <v>35</v>
      </c>
      <c r="P921" s="55" t="str">
        <f>VLOOKUP(B921,'Data Angt'!$A$5:$H$5810,8,FALSE)</f>
        <v>Lain-Lain</v>
      </c>
    </row>
    <row r="922" spans="1:16" x14ac:dyDescent="0.3">
      <c r="A922" s="8">
        <v>915</v>
      </c>
      <c r="B922" s="9" t="s">
        <v>8954</v>
      </c>
      <c r="C922" s="10" t="str">
        <f>VLOOKUP(B922,'Data Angt'!$A$5:$B$5809,2,FALSE)</f>
        <v>A4072</v>
      </c>
      <c r="D922" s="12" t="s">
        <v>23064</v>
      </c>
      <c r="E922" s="13">
        <v>45883</v>
      </c>
      <c r="F922" s="14">
        <v>45909</v>
      </c>
      <c r="G922" s="15">
        <v>25000000</v>
      </c>
      <c r="H922" s="16">
        <v>48</v>
      </c>
      <c r="I922" s="17">
        <v>21</v>
      </c>
      <c r="J922" s="15">
        <v>24663300</v>
      </c>
      <c r="K922" s="98">
        <f t="shared" si="42"/>
        <v>0</v>
      </c>
      <c r="L922" s="98" t="str">
        <f t="shared" si="43"/>
        <v>Lancar</v>
      </c>
      <c r="M922" s="5" t="str">
        <f t="shared" si="44"/>
        <v>002</v>
      </c>
      <c r="N922" s="55" t="str">
        <f>VLOOKUP(D922,Pinjaman!$E$7:$N$1900,10,FALSE)</f>
        <v>KONSUMTIF</v>
      </c>
      <c r="O922" s="55">
        <f>VLOOKUP(B922,'Data Angt'!$A$5:$H$5810,6,FALSE)</f>
        <v>34</v>
      </c>
      <c r="P922" s="55" t="str">
        <f>VLOOKUP(B922,'Data Angt'!$A$5:$H$5810,8,FALSE)</f>
        <v>Karyawan</v>
      </c>
    </row>
    <row r="923" spans="1:16" x14ac:dyDescent="0.3">
      <c r="A923" s="8">
        <v>916</v>
      </c>
      <c r="B923" s="9" t="s">
        <v>9056</v>
      </c>
      <c r="C923" s="10" t="str">
        <f>VLOOKUP(B923,'Data Angt'!$A$5:$B$5809,2,FALSE)</f>
        <v>A4118</v>
      </c>
      <c r="D923" s="12" t="s">
        <v>16660</v>
      </c>
      <c r="E923" s="13">
        <v>45519</v>
      </c>
      <c r="F923" s="14">
        <v>45913</v>
      </c>
      <c r="G923" s="15">
        <v>20000000</v>
      </c>
      <c r="H923" s="16">
        <v>36</v>
      </c>
      <c r="I923" s="17">
        <v>24</v>
      </c>
      <c r="J923" s="15">
        <v>14353100</v>
      </c>
      <c r="K923" s="98">
        <f t="shared" si="42"/>
        <v>0</v>
      </c>
      <c r="L923" s="98" t="str">
        <f t="shared" si="43"/>
        <v>Lancar</v>
      </c>
      <c r="M923" s="5" t="str">
        <f t="shared" si="44"/>
        <v>002</v>
      </c>
      <c r="N923" s="55" t="str">
        <f>VLOOKUP(D923,Pinjaman!$E$7:$N$1900,10,FALSE)</f>
        <v>PENDIDIKAN</v>
      </c>
      <c r="O923" s="55">
        <f>VLOOKUP(B923,'Data Angt'!$A$5:$H$5810,6,FALSE)</f>
        <v>52</v>
      </c>
      <c r="P923" s="55" t="str">
        <f>VLOOKUP(B923,'Data Angt'!$A$5:$H$5810,8,FALSE)</f>
        <v>Karyawan</v>
      </c>
    </row>
    <row r="924" spans="1:16" x14ac:dyDescent="0.3">
      <c r="A924" s="8">
        <v>917</v>
      </c>
      <c r="B924" s="9" t="s">
        <v>9105</v>
      </c>
      <c r="C924" s="10" t="str">
        <f>VLOOKUP(B924,'Data Angt'!$A$5:$B$5809,2,FALSE)</f>
        <v>A4142</v>
      </c>
      <c r="D924" s="12" t="s">
        <v>16662</v>
      </c>
      <c r="E924" s="13">
        <v>45685</v>
      </c>
      <c r="F924" s="14">
        <v>45925</v>
      </c>
      <c r="G924" s="15">
        <v>8500000</v>
      </c>
      <c r="H924" s="16">
        <v>36</v>
      </c>
      <c r="I924" s="17">
        <v>24</v>
      </c>
      <c r="J924" s="15">
        <v>7284700</v>
      </c>
      <c r="K924" s="98">
        <f t="shared" si="42"/>
        <v>0</v>
      </c>
      <c r="L924" s="98" t="str">
        <f t="shared" si="43"/>
        <v>Lancar</v>
      </c>
      <c r="M924" s="5" t="str">
        <f t="shared" si="44"/>
        <v>002</v>
      </c>
      <c r="N924" s="55" t="str">
        <f>VLOOKUP(D924,Pinjaman!$E$7:$N$1900,10,FALSE)</f>
        <v>PRODUKTIF</v>
      </c>
      <c r="O924" s="55">
        <f>VLOOKUP(B924,'Data Angt'!$A$5:$H$5810,6,FALSE)</f>
        <v>27</v>
      </c>
      <c r="P924" s="55" t="str">
        <f>VLOOKUP(B924,'Data Angt'!$A$5:$H$5810,8,FALSE)</f>
        <v>Karyawan</v>
      </c>
    </row>
    <row r="925" spans="1:16" x14ac:dyDescent="0.3">
      <c r="A925" s="8">
        <v>918</v>
      </c>
      <c r="B925" s="9" t="s">
        <v>9152</v>
      </c>
      <c r="C925" s="10" t="str">
        <f>VLOOKUP(B925,'Data Angt'!$A$5:$B$5809,2,FALSE)</f>
        <v>A4163</v>
      </c>
      <c r="D925" s="12" t="s">
        <v>16664</v>
      </c>
      <c r="E925" s="13">
        <v>45692</v>
      </c>
      <c r="F925" s="14">
        <v>45922</v>
      </c>
      <c r="G925" s="15">
        <v>4000000</v>
      </c>
      <c r="H925" s="16">
        <v>18</v>
      </c>
      <c r="I925" s="17">
        <v>24</v>
      </c>
      <c r="J925" s="15">
        <v>2610800</v>
      </c>
      <c r="K925" s="98">
        <f t="shared" si="42"/>
        <v>0</v>
      </c>
      <c r="L925" s="98" t="str">
        <f t="shared" si="43"/>
        <v>Lancar</v>
      </c>
      <c r="M925" s="5" t="str">
        <f t="shared" si="44"/>
        <v>002</v>
      </c>
      <c r="N925" s="55" t="str">
        <f>VLOOKUP(D925,Pinjaman!$E$7:$N$1900,10,FALSE)</f>
        <v>PRODUKTIF</v>
      </c>
      <c r="O925" s="55">
        <f>VLOOKUP(B925,'Data Angt'!$A$5:$H$5810,6,FALSE)</f>
        <v>44</v>
      </c>
      <c r="P925" s="55" t="str">
        <f>VLOOKUP(B925,'Data Angt'!$A$5:$H$5810,8,FALSE)</f>
        <v>Mengurus Rumah Tangga</v>
      </c>
    </row>
    <row r="926" spans="1:16" x14ac:dyDescent="0.3">
      <c r="A926" s="8">
        <v>919</v>
      </c>
      <c r="B926" s="9" t="s">
        <v>9347</v>
      </c>
      <c r="C926" s="10" t="str">
        <f>VLOOKUP(B926,'Data Angt'!$A$5:$B$5809,2,FALSE)</f>
        <v>A4251</v>
      </c>
      <c r="D926" s="12" t="s">
        <v>16666</v>
      </c>
      <c r="E926" s="13">
        <v>45785</v>
      </c>
      <c r="F926" s="14">
        <v>45908</v>
      </c>
      <c r="G926" s="15">
        <v>17000000</v>
      </c>
      <c r="H926" s="16">
        <v>36</v>
      </c>
      <c r="I926" s="17">
        <v>24</v>
      </c>
      <c r="J926" s="15">
        <v>15652300</v>
      </c>
      <c r="K926" s="98">
        <f t="shared" si="42"/>
        <v>0</v>
      </c>
      <c r="L926" s="98" t="str">
        <f t="shared" si="43"/>
        <v>Lancar</v>
      </c>
      <c r="M926" s="5" t="str">
        <f t="shared" si="44"/>
        <v>002</v>
      </c>
      <c r="N926" s="55" t="str">
        <f>VLOOKUP(D926,Pinjaman!$E$7:$N$1900,10,FALSE)</f>
        <v>PENDIDIKAN</v>
      </c>
      <c r="O926" s="55">
        <f>VLOOKUP(B926,'Data Angt'!$A$5:$H$5810,6,FALSE)</f>
        <v>37</v>
      </c>
      <c r="P926" s="55" t="str">
        <f>VLOOKUP(B926,'Data Angt'!$A$5:$H$5810,8,FALSE)</f>
        <v>Karyawan</v>
      </c>
    </row>
    <row r="927" spans="1:16" x14ac:dyDescent="0.3">
      <c r="A927" s="8">
        <v>920</v>
      </c>
      <c r="B927" s="9" t="s">
        <v>9364</v>
      </c>
      <c r="C927" s="10" t="str">
        <f>VLOOKUP(B927,'Data Angt'!$A$5:$B$5809,2,FALSE)</f>
        <v>A4260</v>
      </c>
      <c r="D927" s="12" t="s">
        <v>16668</v>
      </c>
      <c r="E927" s="13">
        <v>45372</v>
      </c>
      <c r="F927" s="14">
        <v>45716</v>
      </c>
      <c r="G927" s="15">
        <v>7000000</v>
      </c>
      <c r="H927" s="16">
        <v>12</v>
      </c>
      <c r="I927" s="17">
        <v>24</v>
      </c>
      <c r="J927" s="15">
        <v>4848700</v>
      </c>
      <c r="K927" s="98">
        <f t="shared" si="42"/>
        <v>7</v>
      </c>
      <c r="L927" s="98" t="str">
        <f t="shared" si="43"/>
        <v>Diragukan</v>
      </c>
      <c r="M927" s="5" t="str">
        <f t="shared" si="44"/>
        <v>002</v>
      </c>
      <c r="N927" s="55" t="str">
        <f>VLOOKUP(D927,Pinjaman!$E$7:$N$1900,10,FALSE)</f>
        <v>PRODUKTIF</v>
      </c>
      <c r="O927" s="55">
        <f>VLOOKUP(B927,'Data Angt'!$A$5:$H$5810,6,FALSE)</f>
        <v>48</v>
      </c>
      <c r="P927" s="55" t="str">
        <f>VLOOKUP(B927,'Data Angt'!$A$5:$H$5810,8,FALSE)</f>
        <v>Aparatur/Pejabat Negara</v>
      </c>
    </row>
    <row r="928" spans="1:16" x14ac:dyDescent="0.3">
      <c r="A928" s="8">
        <v>921</v>
      </c>
      <c r="B928" s="9" t="s">
        <v>9444</v>
      </c>
      <c r="C928" s="10" t="str">
        <f>VLOOKUP(B928,'Data Angt'!$A$5:$B$5809,2,FALSE)</f>
        <v>A4296</v>
      </c>
      <c r="D928" s="12" t="s">
        <v>23071</v>
      </c>
      <c r="E928" s="13">
        <v>45881</v>
      </c>
      <c r="F928" s="14">
        <v>45912</v>
      </c>
      <c r="G928" s="15">
        <v>5000000</v>
      </c>
      <c r="H928" s="16">
        <v>12</v>
      </c>
      <c r="I928" s="17">
        <v>24</v>
      </c>
      <c r="J928" s="15">
        <v>4627200</v>
      </c>
      <c r="K928" s="98">
        <f t="shared" si="42"/>
        <v>0</v>
      </c>
      <c r="L928" s="98" t="str">
        <f t="shared" si="43"/>
        <v>Lancar</v>
      </c>
      <c r="M928" s="5" t="str">
        <f t="shared" si="44"/>
        <v>002</v>
      </c>
      <c r="N928" s="55" t="str">
        <f>VLOOKUP(D928,Pinjaman!$E$7:$N$1900,10,FALSE)</f>
        <v>PRODUKTIF</v>
      </c>
      <c r="O928" s="55">
        <f>VLOOKUP(B928,'Data Angt'!$A$5:$H$5810,6,FALSE)</f>
        <v>31</v>
      </c>
      <c r="P928" s="55" t="str">
        <f>VLOOKUP(B928,'Data Angt'!$A$5:$H$5810,8,FALSE)</f>
        <v>Karyawan</v>
      </c>
    </row>
    <row r="929" spans="1:16" x14ac:dyDescent="0.3">
      <c r="A929" s="8">
        <v>922</v>
      </c>
      <c r="B929" s="9" t="s">
        <v>12644</v>
      </c>
      <c r="C929" s="10" t="str">
        <f>VLOOKUP(B929,'Data Angt'!$A$5:$B$5809,2,FALSE)</f>
        <v>A4375</v>
      </c>
      <c r="D929" s="12" t="s">
        <v>16670</v>
      </c>
      <c r="E929" s="13">
        <v>45309</v>
      </c>
      <c r="F929" s="14">
        <v>45901</v>
      </c>
      <c r="G929" s="15">
        <v>36000000</v>
      </c>
      <c r="H929" s="16">
        <v>30</v>
      </c>
      <c r="I929" s="17">
        <v>21</v>
      </c>
      <c r="J929" s="15">
        <v>12000000</v>
      </c>
      <c r="K929" s="98">
        <f t="shared" si="42"/>
        <v>0</v>
      </c>
      <c r="L929" s="98" t="str">
        <f t="shared" si="43"/>
        <v>Lancar</v>
      </c>
      <c r="M929" s="5" t="str">
        <f t="shared" si="44"/>
        <v>002</v>
      </c>
      <c r="N929" s="55" t="str">
        <f>VLOOKUP(D929,Pinjaman!$E$7:$N$1900,10,FALSE)</f>
        <v>KONSUMTIF</v>
      </c>
      <c r="O929" s="55">
        <f>VLOOKUP(B929,'Data Angt'!$A$5:$H$5810,6,FALSE)</f>
        <v>42</v>
      </c>
      <c r="P929" s="55" t="str">
        <f>VLOOKUP(B929,'Data Angt'!$A$5:$H$5810,8,FALSE)</f>
        <v>Karyawan</v>
      </c>
    </row>
    <row r="930" spans="1:16" x14ac:dyDescent="0.3">
      <c r="A930" s="8">
        <v>923</v>
      </c>
      <c r="B930" s="9" t="s">
        <v>12644</v>
      </c>
      <c r="C930" s="10" t="str">
        <f>VLOOKUP(B930,'Data Angt'!$A$5:$B$5809,2,FALSE)</f>
        <v>A4375</v>
      </c>
      <c r="D930" s="12" t="s">
        <v>23075</v>
      </c>
      <c r="E930" s="13">
        <v>45842</v>
      </c>
      <c r="F930" s="14">
        <v>45901</v>
      </c>
      <c r="G930" s="15">
        <v>5000000</v>
      </c>
      <c r="H930" s="16">
        <v>12</v>
      </c>
      <c r="I930" s="17">
        <v>24</v>
      </c>
      <c r="J930" s="15">
        <v>4247000</v>
      </c>
      <c r="K930" s="98">
        <f t="shared" si="42"/>
        <v>0</v>
      </c>
      <c r="L930" s="98" t="str">
        <f t="shared" si="43"/>
        <v>Lancar</v>
      </c>
      <c r="M930" s="5" t="str">
        <f t="shared" si="44"/>
        <v>002</v>
      </c>
      <c r="N930" s="55" t="str">
        <f>VLOOKUP(D930,Pinjaman!$E$7:$N$1900,10,FALSE)</f>
        <v>PENDIDIKAN</v>
      </c>
      <c r="O930" s="55">
        <f>VLOOKUP(B930,'Data Angt'!$A$5:$H$5810,6,FALSE)</f>
        <v>42</v>
      </c>
      <c r="P930" s="55" t="str">
        <f>VLOOKUP(B930,'Data Angt'!$A$5:$H$5810,8,FALSE)</f>
        <v>Karyawan</v>
      </c>
    </row>
    <row r="931" spans="1:16" x14ac:dyDescent="0.3">
      <c r="A931" s="8">
        <v>924</v>
      </c>
      <c r="B931" s="9" t="s">
        <v>12655</v>
      </c>
      <c r="C931" s="10" t="str">
        <f>VLOOKUP(B931,'Data Angt'!$A$5:$B$5809,2,FALSE)</f>
        <v>A4381</v>
      </c>
      <c r="D931" s="12" t="s">
        <v>16672</v>
      </c>
      <c r="E931" s="13">
        <v>45593</v>
      </c>
      <c r="F931" s="14">
        <v>45920</v>
      </c>
      <c r="G931" s="15">
        <v>75000000</v>
      </c>
      <c r="H931" s="16">
        <v>36</v>
      </c>
      <c r="I931" s="17">
        <v>21</v>
      </c>
      <c r="J931" s="15">
        <v>56819700</v>
      </c>
      <c r="K931" s="98">
        <f t="shared" si="42"/>
        <v>0</v>
      </c>
      <c r="L931" s="98" t="str">
        <f t="shared" si="43"/>
        <v>Lancar</v>
      </c>
      <c r="M931" s="5" t="str">
        <f t="shared" si="44"/>
        <v>002</v>
      </c>
      <c r="N931" s="55" t="str">
        <f>VLOOKUP(D931,Pinjaman!$E$7:$N$1900,10,FALSE)</f>
        <v>PRODUKTIF</v>
      </c>
      <c r="O931" s="55">
        <f>VLOOKUP(B931,'Data Angt'!$A$5:$H$5810,6,FALSE)</f>
        <v>56</v>
      </c>
      <c r="P931" s="55" t="str">
        <f>VLOOKUP(B931,'Data Angt'!$A$5:$H$5810,8,FALSE)</f>
        <v>Tenaga Pengajar</v>
      </c>
    </row>
    <row r="932" spans="1:16" x14ac:dyDescent="0.3">
      <c r="A932" s="8">
        <v>925</v>
      </c>
      <c r="B932" s="9" t="s">
        <v>12681</v>
      </c>
      <c r="C932" s="10" t="str">
        <f>VLOOKUP(B932,'Data Angt'!$A$5:$B$5809,2,FALSE)</f>
        <v>A4393</v>
      </c>
      <c r="D932" s="12" t="s">
        <v>23079</v>
      </c>
      <c r="E932" s="13">
        <v>45855</v>
      </c>
      <c r="F932" s="14">
        <v>45912</v>
      </c>
      <c r="G932" s="15">
        <v>15000000</v>
      </c>
      <c r="H932" s="16">
        <v>36</v>
      </c>
      <c r="I932" s="17">
        <v>24</v>
      </c>
      <c r="J932" s="15">
        <v>14417300</v>
      </c>
      <c r="K932" s="98">
        <f t="shared" si="42"/>
        <v>0</v>
      </c>
      <c r="L932" s="98" t="str">
        <f t="shared" si="43"/>
        <v>Lancar</v>
      </c>
      <c r="M932" s="5" t="str">
        <f t="shared" si="44"/>
        <v>002</v>
      </c>
      <c r="N932" s="55" t="str">
        <f>VLOOKUP(D932,Pinjaman!$E$7:$N$1900,10,FALSE)</f>
        <v>PENDIDIKAN</v>
      </c>
      <c r="O932" s="55">
        <f>VLOOKUP(B932,'Data Angt'!$A$5:$H$5810,6,FALSE)</f>
        <v>47</v>
      </c>
      <c r="P932" s="55" t="str">
        <f>VLOOKUP(B932,'Data Angt'!$A$5:$H$5810,8,FALSE)</f>
        <v>Aparatur/Pejabat Negara</v>
      </c>
    </row>
    <row r="933" spans="1:16" x14ac:dyDescent="0.3">
      <c r="A933" s="8">
        <v>926</v>
      </c>
      <c r="B933" s="9" t="s">
        <v>12706</v>
      </c>
      <c r="C933" s="10" t="str">
        <f>VLOOKUP(B933,'Data Angt'!$A$5:$B$5809,2,FALSE)</f>
        <v>A4403</v>
      </c>
      <c r="D933" s="12" t="s">
        <v>23082</v>
      </c>
      <c r="E933" s="13">
        <v>45927</v>
      </c>
      <c r="F933" s="14">
        <v>45927</v>
      </c>
      <c r="G933" s="15">
        <v>25000000</v>
      </c>
      <c r="H933" s="16">
        <v>24</v>
      </c>
      <c r="I933" s="17">
        <v>21</v>
      </c>
      <c r="J933" s="15">
        <v>25000000</v>
      </c>
      <c r="K933" s="98">
        <f t="shared" si="42"/>
        <v>0</v>
      </c>
      <c r="L933" s="98" t="str">
        <f t="shared" si="43"/>
        <v>Lancar</v>
      </c>
      <c r="M933" s="5" t="str">
        <f t="shared" si="44"/>
        <v>002</v>
      </c>
      <c r="N933" s="55" t="str">
        <f>VLOOKUP(D933,Pinjaman!$E$7:$N$1900,10,FALSE)</f>
        <v>KESEJAHTERAAN</v>
      </c>
      <c r="O933" s="55">
        <f>VLOOKUP(B933,'Data Angt'!$A$5:$H$5810,6,FALSE)</f>
        <v>44</v>
      </c>
      <c r="P933" s="55" t="str">
        <f>VLOOKUP(B933,'Data Angt'!$A$5:$H$5810,8,FALSE)</f>
        <v>Karyawan</v>
      </c>
    </row>
    <row r="934" spans="1:16" x14ac:dyDescent="0.3">
      <c r="A934" s="8">
        <v>927</v>
      </c>
      <c r="B934" s="9" t="s">
        <v>12752</v>
      </c>
      <c r="C934" s="10" t="str">
        <f>VLOOKUP(B934,'Data Angt'!$A$5:$B$5809,2,FALSE)</f>
        <v>A4422</v>
      </c>
      <c r="D934" s="12" t="s">
        <v>23085</v>
      </c>
      <c r="E934" s="13">
        <v>45843</v>
      </c>
      <c r="F934" s="14">
        <v>45904</v>
      </c>
      <c r="G934" s="15">
        <v>20000000</v>
      </c>
      <c r="H934" s="16">
        <v>36</v>
      </c>
      <c r="I934" s="17">
        <v>24</v>
      </c>
      <c r="J934" s="15">
        <v>19223000</v>
      </c>
      <c r="K934" s="98">
        <f t="shared" si="42"/>
        <v>0</v>
      </c>
      <c r="L934" s="98" t="str">
        <f t="shared" si="43"/>
        <v>Lancar</v>
      </c>
      <c r="M934" s="5" t="str">
        <f t="shared" si="44"/>
        <v>002</v>
      </c>
      <c r="N934" s="55" t="str">
        <f>VLOOKUP(D934,Pinjaman!$E$7:$N$1900,10,FALSE)</f>
        <v>KONSUMTIF</v>
      </c>
      <c r="O934" s="55">
        <f>VLOOKUP(B934,'Data Angt'!$A$5:$H$5810,6,FALSE)</f>
        <v>45</v>
      </c>
      <c r="P934" s="55" t="str">
        <f>VLOOKUP(B934,'Data Angt'!$A$5:$H$5810,8,FALSE)</f>
        <v>Lain-Lain</v>
      </c>
    </row>
    <row r="935" spans="1:16" x14ac:dyDescent="0.3">
      <c r="A935" s="8">
        <v>928</v>
      </c>
      <c r="B935" s="9" t="s">
        <v>12775</v>
      </c>
      <c r="C935" s="10" t="str">
        <f>VLOOKUP(B935,'Data Angt'!$A$5:$B$5809,2,FALSE)</f>
        <v>A4431</v>
      </c>
      <c r="D935" s="12" t="s">
        <v>16675</v>
      </c>
      <c r="E935" s="13">
        <v>45337</v>
      </c>
      <c r="F935" s="14">
        <v>45836</v>
      </c>
      <c r="G935" s="15">
        <v>15000000</v>
      </c>
      <c r="H935" s="16">
        <v>18</v>
      </c>
      <c r="I935" s="17">
        <v>24</v>
      </c>
      <c r="J935" s="15">
        <v>4715600</v>
      </c>
      <c r="K935" s="98">
        <f t="shared" si="42"/>
        <v>3</v>
      </c>
      <c r="L935" s="98" t="str">
        <f t="shared" si="43"/>
        <v>Lancar</v>
      </c>
      <c r="M935" s="5" t="str">
        <f t="shared" si="44"/>
        <v>002</v>
      </c>
      <c r="N935" s="55" t="str">
        <f>VLOOKUP(D935,Pinjaman!$E$7:$N$1900,10,FALSE)</f>
        <v>PRODUKTIF</v>
      </c>
      <c r="O935" s="55">
        <f>VLOOKUP(B935,'Data Angt'!$A$5:$H$5810,6,FALSE)</f>
        <v>37</v>
      </c>
      <c r="P935" s="55" t="str">
        <f>VLOOKUP(B935,'Data Angt'!$A$5:$H$5810,8,FALSE)</f>
        <v>Tenaga Pengajar</v>
      </c>
    </row>
    <row r="936" spans="1:16" x14ac:dyDescent="0.3">
      <c r="A936" s="8">
        <v>929</v>
      </c>
      <c r="B936" s="9" t="s">
        <v>12816</v>
      </c>
      <c r="C936" s="10" t="str">
        <f>VLOOKUP(B936,'Data Angt'!$A$5:$B$5809,2,FALSE)</f>
        <v>A4449</v>
      </c>
      <c r="D936" s="12" t="s">
        <v>23090</v>
      </c>
      <c r="E936" s="13">
        <v>45904</v>
      </c>
      <c r="F936" s="14">
        <v>45904</v>
      </c>
      <c r="G936" s="15">
        <v>2000000</v>
      </c>
      <c r="H936" s="16">
        <v>10</v>
      </c>
      <c r="I936" s="17">
        <v>24</v>
      </c>
      <c r="J936" s="15">
        <v>2000000</v>
      </c>
      <c r="K936" s="98">
        <f t="shared" si="42"/>
        <v>0</v>
      </c>
      <c r="L936" s="98" t="str">
        <f t="shared" si="43"/>
        <v>Lancar</v>
      </c>
      <c r="M936" s="5" t="str">
        <f t="shared" si="44"/>
        <v>002</v>
      </c>
      <c r="N936" s="55" t="str">
        <f>VLOOKUP(D936,Pinjaman!$E$7:$N$1900,10,FALSE)</f>
        <v>PENDIDIKAN</v>
      </c>
      <c r="O936" s="55">
        <f>VLOOKUP(B936,'Data Angt'!$A$5:$H$5810,6,FALSE)</f>
        <v>39</v>
      </c>
      <c r="P936" s="55" t="str">
        <f>VLOOKUP(B936,'Data Angt'!$A$5:$H$5810,8,FALSE)</f>
        <v>Tenaga Pengajar</v>
      </c>
    </row>
    <row r="937" spans="1:16" x14ac:dyDescent="0.3">
      <c r="A937" s="8">
        <v>930</v>
      </c>
      <c r="B937" s="9" t="s">
        <v>12818</v>
      </c>
      <c r="C937" s="10" t="str">
        <f>VLOOKUP(B937,'Data Angt'!$A$5:$B$5809,2,FALSE)</f>
        <v>A4450</v>
      </c>
      <c r="D937" s="12" t="s">
        <v>23092</v>
      </c>
      <c r="E937" s="13">
        <v>45847</v>
      </c>
      <c r="F937" s="14">
        <v>45902</v>
      </c>
      <c r="G937" s="15">
        <v>3000000</v>
      </c>
      <c r="H937" s="16">
        <v>10</v>
      </c>
      <c r="I937" s="17">
        <v>24</v>
      </c>
      <c r="J937" s="15">
        <v>2446600</v>
      </c>
      <c r="K937" s="98">
        <f t="shared" si="42"/>
        <v>0</v>
      </c>
      <c r="L937" s="98" t="str">
        <f t="shared" si="43"/>
        <v>Lancar</v>
      </c>
      <c r="M937" s="5" t="str">
        <f t="shared" si="44"/>
        <v>002</v>
      </c>
      <c r="N937" s="55" t="str">
        <f>VLOOKUP(D937,Pinjaman!$E$7:$N$1900,10,FALSE)</f>
        <v>PENDIDIKAN</v>
      </c>
      <c r="O937" s="55">
        <f>VLOOKUP(B937,'Data Angt'!$A$5:$H$5810,6,FALSE)</f>
        <v>45</v>
      </c>
      <c r="P937" s="55" t="str">
        <f>VLOOKUP(B937,'Data Angt'!$A$5:$H$5810,8,FALSE)</f>
        <v>Tenaga Pengajar</v>
      </c>
    </row>
    <row r="938" spans="1:16" x14ac:dyDescent="0.3">
      <c r="A938" s="8">
        <v>931</v>
      </c>
      <c r="B938" s="9" t="s">
        <v>12857</v>
      </c>
      <c r="C938" s="10" t="str">
        <f>VLOOKUP(B938,'Data Angt'!$A$5:$B$5809,2,FALSE)</f>
        <v>A4468</v>
      </c>
      <c r="D938" s="12" t="s">
        <v>23094</v>
      </c>
      <c r="E938" s="13">
        <v>45895</v>
      </c>
      <c r="F938" s="14">
        <v>45930</v>
      </c>
      <c r="G938" s="15">
        <v>10000000</v>
      </c>
      <c r="H938" s="16">
        <v>24</v>
      </c>
      <c r="I938" s="17">
        <v>24</v>
      </c>
      <c r="J938" s="15">
        <v>9671200</v>
      </c>
      <c r="K938" s="98">
        <f t="shared" si="42"/>
        <v>0</v>
      </c>
      <c r="L938" s="98" t="str">
        <f t="shared" si="43"/>
        <v>Lancar</v>
      </c>
      <c r="M938" s="5" t="str">
        <f t="shared" si="44"/>
        <v>002</v>
      </c>
      <c r="N938" s="55" t="str">
        <f>VLOOKUP(D938,Pinjaman!$E$7:$N$1900,10,FALSE)</f>
        <v>PRODUKTIF</v>
      </c>
      <c r="O938" s="55">
        <f>VLOOKUP(B938,'Data Angt'!$A$5:$H$5810,6,FALSE)</f>
        <v>60</v>
      </c>
      <c r="P938" s="55" t="str">
        <f>VLOOKUP(B938,'Data Angt'!$A$5:$H$5810,8,FALSE)</f>
        <v>Pensiunan</v>
      </c>
    </row>
    <row r="939" spans="1:16" x14ac:dyDescent="0.3">
      <c r="A939" s="8">
        <v>932</v>
      </c>
      <c r="B939" s="9" t="s">
        <v>12885</v>
      </c>
      <c r="C939" s="10" t="str">
        <f>VLOOKUP(B939,'Data Angt'!$A$5:$B$5809,2,FALSE)</f>
        <v>A4481</v>
      </c>
      <c r="D939" s="12" t="s">
        <v>16678</v>
      </c>
      <c r="E939" s="13">
        <v>45416</v>
      </c>
      <c r="F939" s="14">
        <v>45782</v>
      </c>
      <c r="G939" s="15">
        <v>6000000</v>
      </c>
      <c r="H939" s="16">
        <v>24</v>
      </c>
      <c r="I939" s="17">
        <v>24</v>
      </c>
      <c r="J939" s="15">
        <v>3378100</v>
      </c>
      <c r="K939" s="98">
        <f t="shared" si="42"/>
        <v>4</v>
      </c>
      <c r="L939" s="98" t="str">
        <f t="shared" si="43"/>
        <v>Kurang lancar</v>
      </c>
      <c r="M939" s="5" t="str">
        <f t="shared" si="44"/>
        <v>002</v>
      </c>
      <c r="N939" s="55" t="str">
        <f>VLOOKUP(D939,Pinjaman!$E$7:$N$1900,10,FALSE)</f>
        <v>KONSUMTIF</v>
      </c>
      <c r="O939" s="55">
        <f>VLOOKUP(B939,'Data Angt'!$A$5:$H$5810,6,FALSE)</f>
        <v>51</v>
      </c>
      <c r="P939" s="55" t="str">
        <f>VLOOKUP(B939,'Data Angt'!$A$5:$H$5810,8,FALSE)</f>
        <v>Karyawan</v>
      </c>
    </row>
    <row r="940" spans="1:16" x14ac:dyDescent="0.3">
      <c r="A940" s="8">
        <v>933</v>
      </c>
      <c r="B940" s="9" t="s">
        <v>12900</v>
      </c>
      <c r="C940" s="10" t="str">
        <f>VLOOKUP(B940,'Data Angt'!$A$5:$B$5809,2,FALSE)</f>
        <v>A4488</v>
      </c>
      <c r="D940" s="12" t="s">
        <v>16680</v>
      </c>
      <c r="E940" s="13">
        <v>45807</v>
      </c>
      <c r="F940" s="14">
        <v>45917</v>
      </c>
      <c r="G940" s="15">
        <v>3000000</v>
      </c>
      <c r="H940" s="16">
        <v>12</v>
      </c>
      <c r="I940" s="17">
        <v>24</v>
      </c>
      <c r="J940" s="15">
        <v>2078200</v>
      </c>
      <c r="K940" s="98">
        <f t="shared" si="42"/>
        <v>0</v>
      </c>
      <c r="L940" s="98" t="str">
        <f t="shared" si="43"/>
        <v>Lancar</v>
      </c>
      <c r="M940" s="5" t="str">
        <f t="shared" si="44"/>
        <v>002</v>
      </c>
      <c r="N940" s="55" t="str">
        <f>VLOOKUP(D940,Pinjaman!$E$7:$N$1900,10,FALSE)</f>
        <v>PRODUKTIF</v>
      </c>
      <c r="O940" s="55">
        <f>VLOOKUP(B940,'Data Angt'!$A$5:$H$5810,6,FALSE)</f>
        <v>26</v>
      </c>
      <c r="P940" s="55" t="str">
        <f>VLOOKUP(B940,'Data Angt'!$A$5:$H$5810,8,FALSE)</f>
        <v>Karyawan</v>
      </c>
    </row>
    <row r="941" spans="1:16" x14ac:dyDescent="0.3">
      <c r="A941" s="8">
        <v>934</v>
      </c>
      <c r="B941" s="9" t="s">
        <v>12905</v>
      </c>
      <c r="C941" s="10" t="str">
        <f>VLOOKUP(B941,'Data Angt'!$A$5:$B$5809,2,FALSE)</f>
        <v>A4491</v>
      </c>
      <c r="D941" s="12" t="s">
        <v>23097</v>
      </c>
      <c r="E941" s="13">
        <v>45841</v>
      </c>
      <c r="F941" s="14">
        <v>45904</v>
      </c>
      <c r="G941" s="15">
        <v>5000000</v>
      </c>
      <c r="H941" s="16">
        <v>24</v>
      </c>
      <c r="I941" s="17">
        <v>24</v>
      </c>
      <c r="J941" s="15">
        <v>4668000</v>
      </c>
      <c r="K941" s="98">
        <f t="shared" si="42"/>
        <v>0</v>
      </c>
      <c r="L941" s="98" t="str">
        <f t="shared" si="43"/>
        <v>Lancar</v>
      </c>
      <c r="M941" s="5" t="str">
        <f t="shared" si="44"/>
        <v>002</v>
      </c>
      <c r="N941" s="55" t="str">
        <f>VLOOKUP(D941,Pinjaman!$E$7:$N$1900,10,FALSE)</f>
        <v>PRODUKTIF</v>
      </c>
      <c r="O941" s="55">
        <f>VLOOKUP(B941,'Data Angt'!$A$5:$H$5810,6,FALSE)</f>
        <v>40</v>
      </c>
      <c r="P941" s="55" t="str">
        <f>VLOOKUP(B941,'Data Angt'!$A$5:$H$5810,8,FALSE)</f>
        <v>Tenaga Pengajar</v>
      </c>
    </row>
    <row r="942" spans="1:16" x14ac:dyDescent="0.3">
      <c r="A942" s="8">
        <v>935</v>
      </c>
      <c r="B942" s="9" t="s">
        <v>12914</v>
      </c>
      <c r="C942" s="10" t="str">
        <f>VLOOKUP(B942,'Data Angt'!$A$5:$B$5809,2,FALSE)</f>
        <v>A4496</v>
      </c>
      <c r="D942" s="12" t="s">
        <v>16682</v>
      </c>
      <c r="E942" s="13">
        <v>45812</v>
      </c>
      <c r="F942" s="14">
        <v>45908</v>
      </c>
      <c r="G942" s="15">
        <v>5000000</v>
      </c>
      <c r="H942" s="16">
        <v>12</v>
      </c>
      <c r="I942" s="17">
        <v>24</v>
      </c>
      <c r="J942" s="15">
        <v>3859200</v>
      </c>
      <c r="K942" s="98">
        <f t="shared" si="42"/>
        <v>0</v>
      </c>
      <c r="L942" s="98" t="str">
        <f t="shared" si="43"/>
        <v>Lancar</v>
      </c>
      <c r="M942" s="5" t="str">
        <f t="shared" si="44"/>
        <v>002</v>
      </c>
      <c r="N942" s="55" t="str">
        <f>VLOOKUP(D942,Pinjaman!$E$7:$N$1900,10,FALSE)</f>
        <v>KONSUMTIF</v>
      </c>
      <c r="O942" s="55">
        <f>VLOOKUP(B942,'Data Angt'!$A$5:$H$5810,6,FALSE)</f>
        <v>28</v>
      </c>
      <c r="P942" s="55" t="str">
        <f>VLOOKUP(B942,'Data Angt'!$A$5:$H$5810,8,FALSE)</f>
        <v>Karyawan</v>
      </c>
    </row>
    <row r="943" spans="1:16" x14ac:dyDescent="0.3">
      <c r="A943" s="8">
        <v>936</v>
      </c>
      <c r="B943" s="9" t="s">
        <v>12914</v>
      </c>
      <c r="C943" s="10" t="str">
        <f>VLOOKUP(B943,'Data Angt'!$A$5:$B$5809,2,FALSE)</f>
        <v>A4496</v>
      </c>
      <c r="D943" s="12" t="s">
        <v>23100</v>
      </c>
      <c r="E943" s="13">
        <v>45863</v>
      </c>
      <c r="F943" s="14">
        <v>45927</v>
      </c>
      <c r="G943" s="15">
        <v>15000000</v>
      </c>
      <c r="H943" s="16">
        <v>36</v>
      </c>
      <c r="I943" s="17">
        <v>24</v>
      </c>
      <c r="J943" s="15">
        <v>14417300</v>
      </c>
      <c r="K943" s="98">
        <f t="shared" si="42"/>
        <v>0</v>
      </c>
      <c r="L943" s="98" t="str">
        <f t="shared" si="43"/>
        <v>Lancar</v>
      </c>
      <c r="M943" s="5" t="str">
        <f t="shared" si="44"/>
        <v>002</v>
      </c>
      <c r="N943" s="55" t="str">
        <f>VLOOKUP(D943,Pinjaman!$E$7:$N$1900,10,FALSE)</f>
        <v>KONSUMTIF</v>
      </c>
      <c r="O943" s="55">
        <f>VLOOKUP(B943,'Data Angt'!$A$5:$H$5810,6,FALSE)</f>
        <v>28</v>
      </c>
      <c r="P943" s="55" t="str">
        <f>VLOOKUP(B943,'Data Angt'!$A$5:$H$5810,8,FALSE)</f>
        <v>Karyawan</v>
      </c>
    </row>
    <row r="944" spans="1:16" x14ac:dyDescent="0.3">
      <c r="A944" s="8">
        <v>937</v>
      </c>
      <c r="B944" s="9" t="s">
        <v>12929</v>
      </c>
      <c r="C944" s="10" t="str">
        <f>VLOOKUP(B944,'Data Angt'!$A$5:$B$5809,2,FALSE)</f>
        <v>A4503</v>
      </c>
      <c r="D944" s="12" t="s">
        <v>16684</v>
      </c>
      <c r="E944" s="13">
        <v>45702</v>
      </c>
      <c r="F944" s="14">
        <v>45912</v>
      </c>
      <c r="G944" s="15">
        <v>8500000</v>
      </c>
      <c r="H944" s="16">
        <v>30</v>
      </c>
      <c r="I944" s="17">
        <v>24</v>
      </c>
      <c r="J944" s="15">
        <v>6942100</v>
      </c>
      <c r="K944" s="98">
        <f t="shared" si="42"/>
        <v>0</v>
      </c>
      <c r="L944" s="98" t="str">
        <f t="shared" si="43"/>
        <v>Lancar</v>
      </c>
      <c r="M944" s="5" t="str">
        <f t="shared" si="44"/>
        <v>002</v>
      </c>
      <c r="N944" s="55" t="str">
        <f>VLOOKUP(D944,Pinjaman!$E$7:$N$1900,10,FALSE)</f>
        <v>PENDIDIKAN</v>
      </c>
      <c r="O944" s="55">
        <f>VLOOKUP(B944,'Data Angt'!$A$5:$H$5810,6,FALSE)</f>
        <v>47</v>
      </c>
      <c r="P944" s="55" t="str">
        <f>VLOOKUP(B944,'Data Angt'!$A$5:$H$5810,8,FALSE)</f>
        <v>Wiraswasta</v>
      </c>
    </row>
    <row r="945" spans="1:16" x14ac:dyDescent="0.3">
      <c r="A945" s="8">
        <v>938</v>
      </c>
      <c r="B945" s="9" t="s">
        <v>12954</v>
      </c>
      <c r="C945" s="10" t="str">
        <f>VLOOKUP(B945,'Data Angt'!$A$5:$B$5809,2,FALSE)</f>
        <v>A4513</v>
      </c>
      <c r="D945" s="12" t="s">
        <v>16686</v>
      </c>
      <c r="E945" s="13">
        <v>45709</v>
      </c>
      <c r="F945" s="14">
        <v>45922</v>
      </c>
      <c r="G945" s="15">
        <v>5000000</v>
      </c>
      <c r="H945" s="16">
        <v>12</v>
      </c>
      <c r="I945" s="17">
        <v>24</v>
      </c>
      <c r="J945" s="15">
        <v>2228800</v>
      </c>
      <c r="K945" s="98">
        <f t="shared" si="42"/>
        <v>0</v>
      </c>
      <c r="L945" s="98" t="str">
        <f t="shared" si="43"/>
        <v>Lancar</v>
      </c>
      <c r="M945" s="5" t="str">
        <f t="shared" si="44"/>
        <v>002</v>
      </c>
      <c r="N945" s="55" t="str">
        <f>VLOOKUP(D945,Pinjaman!$E$7:$N$1900,10,FALSE)</f>
        <v>PRODUKTIF</v>
      </c>
      <c r="O945" s="55">
        <f>VLOOKUP(B945,'Data Angt'!$A$5:$H$5810,6,FALSE)</f>
        <v>61</v>
      </c>
      <c r="P945" s="55" t="str">
        <f>VLOOKUP(B945,'Data Angt'!$A$5:$H$5810,8,FALSE)</f>
        <v>Aparatur/Pejabat Negara</v>
      </c>
    </row>
    <row r="946" spans="1:16" x14ac:dyDescent="0.3">
      <c r="A946" s="8">
        <v>939</v>
      </c>
      <c r="B946" s="9" t="s">
        <v>12954</v>
      </c>
      <c r="C946" s="10" t="str">
        <f>VLOOKUP(B946,'Data Angt'!$A$5:$B$5809,2,FALSE)</f>
        <v>A4513</v>
      </c>
      <c r="D946" s="12" t="s">
        <v>16688</v>
      </c>
      <c r="E946" s="13">
        <v>45829</v>
      </c>
      <c r="F946" s="14">
        <v>45904</v>
      </c>
      <c r="G946" s="15">
        <v>15000000</v>
      </c>
      <c r="H946" s="16">
        <v>48</v>
      </c>
      <c r="I946" s="17">
        <v>24</v>
      </c>
      <c r="J946" s="15">
        <v>14421400</v>
      </c>
      <c r="K946" s="98">
        <f t="shared" si="42"/>
        <v>0</v>
      </c>
      <c r="L946" s="98" t="str">
        <f t="shared" si="43"/>
        <v>Lancar</v>
      </c>
      <c r="M946" s="5" t="str">
        <f t="shared" si="44"/>
        <v>002</v>
      </c>
      <c r="N946" s="55" t="str">
        <f>VLOOKUP(D946,Pinjaman!$E$7:$N$1900,10,FALSE)</f>
        <v>KONSUMTIF</v>
      </c>
      <c r="O946" s="55">
        <f>VLOOKUP(B946,'Data Angt'!$A$5:$H$5810,6,FALSE)</f>
        <v>61</v>
      </c>
      <c r="P946" s="55" t="str">
        <f>VLOOKUP(B946,'Data Angt'!$A$5:$H$5810,8,FALSE)</f>
        <v>Aparatur/Pejabat Negara</v>
      </c>
    </row>
    <row r="947" spans="1:16" x14ac:dyDescent="0.3">
      <c r="A947" s="8">
        <v>940</v>
      </c>
      <c r="B947" s="9" t="s">
        <v>12966</v>
      </c>
      <c r="C947" s="10" t="str">
        <f>VLOOKUP(B947,'Data Angt'!$A$5:$B$5809,2,FALSE)</f>
        <v>A4519</v>
      </c>
      <c r="D947" s="12" t="s">
        <v>16690</v>
      </c>
      <c r="E947" s="13">
        <v>45405</v>
      </c>
      <c r="F947" s="14">
        <v>45915</v>
      </c>
      <c r="G947" s="15">
        <v>15000000</v>
      </c>
      <c r="H947" s="16">
        <v>24</v>
      </c>
      <c r="I947" s="17">
        <v>24</v>
      </c>
      <c r="J947" s="15">
        <v>5132900</v>
      </c>
      <c r="K947" s="98">
        <f t="shared" si="42"/>
        <v>0</v>
      </c>
      <c r="L947" s="98" t="str">
        <f t="shared" si="43"/>
        <v>Lancar</v>
      </c>
      <c r="M947" s="5" t="str">
        <f t="shared" si="44"/>
        <v>002</v>
      </c>
      <c r="N947" s="55" t="str">
        <f>VLOOKUP(D947,Pinjaman!$E$7:$N$1900,10,FALSE)</f>
        <v>PRODUKTIF</v>
      </c>
      <c r="O947" s="55">
        <f>VLOOKUP(B947,'Data Angt'!$A$5:$H$5810,6,FALSE)</f>
        <v>28</v>
      </c>
      <c r="P947" s="55" t="str">
        <f>VLOOKUP(B947,'Data Angt'!$A$5:$H$5810,8,FALSE)</f>
        <v>Karyawan</v>
      </c>
    </row>
    <row r="948" spans="1:16" x14ac:dyDescent="0.3">
      <c r="A948" s="8">
        <v>941</v>
      </c>
      <c r="B948" s="9" t="s">
        <v>13005</v>
      </c>
      <c r="C948" s="10" t="str">
        <f>VLOOKUP(B948,'Data Angt'!$A$5:$B$5809,2,FALSE)</f>
        <v>A4536</v>
      </c>
      <c r="D948" s="12" t="s">
        <v>16693</v>
      </c>
      <c r="E948" s="13">
        <v>45784</v>
      </c>
      <c r="F948" s="14">
        <v>45903</v>
      </c>
      <c r="G948" s="15">
        <v>2000000</v>
      </c>
      <c r="H948" s="16">
        <v>5</v>
      </c>
      <c r="I948" s="17">
        <v>24</v>
      </c>
      <c r="J948" s="15">
        <v>415800</v>
      </c>
      <c r="K948" s="98">
        <f t="shared" si="42"/>
        <v>0</v>
      </c>
      <c r="L948" s="98" t="str">
        <f t="shared" si="43"/>
        <v>Lancar</v>
      </c>
      <c r="M948" s="5" t="str">
        <f t="shared" si="44"/>
        <v>002</v>
      </c>
      <c r="N948" s="55" t="str">
        <f>VLOOKUP(D948,Pinjaman!$E$7:$N$1900,10,FALSE)</f>
        <v>KONSUMTIF</v>
      </c>
      <c r="O948" s="55">
        <f>VLOOKUP(B948,'Data Angt'!$A$5:$H$5810,6,FALSE)</f>
        <v>37</v>
      </c>
      <c r="P948" s="55" t="str">
        <f>VLOOKUP(B948,'Data Angt'!$A$5:$H$5810,8,FALSE)</f>
        <v>Wiraswasta</v>
      </c>
    </row>
    <row r="949" spans="1:16" x14ac:dyDescent="0.3">
      <c r="A949" s="8">
        <v>942</v>
      </c>
      <c r="B949" s="9" t="s">
        <v>13044</v>
      </c>
      <c r="C949" s="10" t="str">
        <f>VLOOKUP(B949,'Data Angt'!$A$5:$B$5809,2,FALSE)</f>
        <v>A4555</v>
      </c>
      <c r="D949" s="12" t="s">
        <v>16695</v>
      </c>
      <c r="E949" s="13">
        <v>45440</v>
      </c>
      <c r="F949" s="14">
        <v>45904</v>
      </c>
      <c r="G949" s="15">
        <v>15000000</v>
      </c>
      <c r="H949" s="16">
        <v>36</v>
      </c>
      <c r="I949" s="17">
        <v>24</v>
      </c>
      <c r="J949" s="15">
        <v>9623600</v>
      </c>
      <c r="K949" s="98">
        <f t="shared" si="42"/>
        <v>0</v>
      </c>
      <c r="L949" s="98" t="str">
        <f t="shared" si="43"/>
        <v>Lancar</v>
      </c>
      <c r="M949" s="5" t="str">
        <f t="shared" si="44"/>
        <v>002</v>
      </c>
      <c r="N949" s="55" t="str">
        <f>VLOOKUP(D949,Pinjaman!$E$7:$N$1900,10,FALSE)</f>
        <v>PRODUKTIF</v>
      </c>
      <c r="O949" s="55">
        <f>VLOOKUP(B949,'Data Angt'!$A$5:$H$5810,6,FALSE)</f>
        <v>29</v>
      </c>
      <c r="P949" s="55" t="str">
        <f>VLOOKUP(B949,'Data Angt'!$A$5:$H$5810,8,FALSE)</f>
        <v>Mengurus Rumah Tangga</v>
      </c>
    </row>
    <row r="950" spans="1:16" x14ac:dyDescent="0.3">
      <c r="A950" s="8">
        <v>943</v>
      </c>
      <c r="B950" s="9" t="s">
        <v>13044</v>
      </c>
      <c r="C950" s="10" t="str">
        <f>VLOOKUP(B950,'Data Angt'!$A$5:$B$5809,2,FALSE)</f>
        <v>A4555</v>
      </c>
      <c r="D950" s="12" t="s">
        <v>16697</v>
      </c>
      <c r="E950" s="13">
        <v>45787</v>
      </c>
      <c r="F950" s="14">
        <v>45910</v>
      </c>
      <c r="G950" s="15">
        <v>3000000</v>
      </c>
      <c r="H950" s="16">
        <v>12</v>
      </c>
      <c r="I950" s="17">
        <v>24</v>
      </c>
      <c r="J950" s="15">
        <v>2078200</v>
      </c>
      <c r="K950" s="98">
        <f t="shared" si="42"/>
        <v>0</v>
      </c>
      <c r="L950" s="98" t="str">
        <f t="shared" si="43"/>
        <v>Lancar</v>
      </c>
      <c r="M950" s="5" t="str">
        <f t="shared" si="44"/>
        <v>002</v>
      </c>
      <c r="N950" s="55" t="str">
        <f>VLOOKUP(D950,Pinjaman!$E$7:$N$1900,10,FALSE)</f>
        <v>KONSUMTIF</v>
      </c>
      <c r="O950" s="55">
        <f>VLOOKUP(B950,'Data Angt'!$A$5:$H$5810,6,FALSE)</f>
        <v>29</v>
      </c>
      <c r="P950" s="55" t="str">
        <f>VLOOKUP(B950,'Data Angt'!$A$5:$H$5810,8,FALSE)</f>
        <v>Mengurus Rumah Tangga</v>
      </c>
    </row>
    <row r="951" spans="1:16" x14ac:dyDescent="0.3">
      <c r="A951" s="8">
        <v>944</v>
      </c>
      <c r="B951" s="9" t="s">
        <v>13089</v>
      </c>
      <c r="C951" s="10" t="str">
        <f>VLOOKUP(B951,'Data Angt'!$A$5:$B$5809,2,FALSE)</f>
        <v>A4579</v>
      </c>
      <c r="D951" s="12" t="s">
        <v>23108</v>
      </c>
      <c r="E951" s="13">
        <v>45846</v>
      </c>
      <c r="F951" s="14">
        <v>45917</v>
      </c>
      <c r="G951" s="15">
        <v>12000000</v>
      </c>
      <c r="H951" s="16">
        <v>12</v>
      </c>
      <c r="I951" s="17">
        <v>24</v>
      </c>
      <c r="J951" s="15">
        <v>10192600</v>
      </c>
      <c r="K951" s="98">
        <f t="shared" si="42"/>
        <v>0</v>
      </c>
      <c r="L951" s="98" t="str">
        <f t="shared" si="43"/>
        <v>Lancar</v>
      </c>
      <c r="M951" s="5" t="str">
        <f t="shared" si="44"/>
        <v>002</v>
      </c>
      <c r="N951" s="55" t="str">
        <f>VLOOKUP(D951,Pinjaman!$E$7:$N$1900,10,FALSE)</f>
        <v>PENDIDIKAN</v>
      </c>
      <c r="O951" s="55">
        <f>VLOOKUP(B951,'Data Angt'!$A$5:$H$5810,6,FALSE)</f>
        <v>38</v>
      </c>
      <c r="P951" s="55" t="str">
        <f>VLOOKUP(B951,'Data Angt'!$A$5:$H$5810,8,FALSE)</f>
        <v>Tenaga Pengajar</v>
      </c>
    </row>
    <row r="952" spans="1:16" x14ac:dyDescent="0.3">
      <c r="A952" s="8">
        <v>945</v>
      </c>
      <c r="B952" s="9" t="s">
        <v>13138</v>
      </c>
      <c r="C952" s="10" t="str">
        <f>VLOOKUP(B952,'Data Angt'!$A$5:$B$5809,2,FALSE)</f>
        <v>A4601</v>
      </c>
      <c r="D952" s="12" t="s">
        <v>16699</v>
      </c>
      <c r="E952" s="13">
        <v>45477</v>
      </c>
      <c r="F952" s="14">
        <v>45908</v>
      </c>
      <c r="G952" s="15">
        <v>15000000</v>
      </c>
      <c r="H952" s="16">
        <v>24</v>
      </c>
      <c r="I952" s="17">
        <v>24</v>
      </c>
      <c r="J952" s="15">
        <v>7124000</v>
      </c>
      <c r="K952" s="98">
        <f t="shared" si="42"/>
        <v>0</v>
      </c>
      <c r="L952" s="98" t="str">
        <f t="shared" si="43"/>
        <v>Lancar</v>
      </c>
      <c r="M952" s="5" t="str">
        <f t="shared" si="44"/>
        <v>002</v>
      </c>
      <c r="N952" s="55" t="str">
        <f>VLOOKUP(D952,Pinjaman!$E$7:$N$1900,10,FALSE)</f>
        <v>PRODUKTIF</v>
      </c>
      <c r="O952" s="55">
        <f>VLOOKUP(B952,'Data Angt'!$A$5:$H$5810,6,FALSE)</f>
        <v>30</v>
      </c>
      <c r="P952" s="55" t="str">
        <f>VLOOKUP(B952,'Data Angt'!$A$5:$H$5810,8,FALSE)</f>
        <v>Karyawan</v>
      </c>
    </row>
    <row r="953" spans="1:16" x14ac:dyDescent="0.3">
      <c r="A953" s="8">
        <v>946</v>
      </c>
      <c r="B953" s="9" t="s">
        <v>13174</v>
      </c>
      <c r="C953" s="10" t="str">
        <f>VLOOKUP(B953,'Data Angt'!$A$5:$B$5809,2,FALSE)</f>
        <v>A4615</v>
      </c>
      <c r="D953" s="12" t="s">
        <v>16701</v>
      </c>
      <c r="E953" s="13">
        <v>45618</v>
      </c>
      <c r="F953" s="14">
        <v>45890</v>
      </c>
      <c r="G953" s="15">
        <v>125000000</v>
      </c>
      <c r="H953" s="16">
        <v>48</v>
      </c>
      <c r="I953" s="17">
        <v>21</v>
      </c>
      <c r="J953" s="15">
        <v>110679600</v>
      </c>
      <c r="K953" s="98">
        <f t="shared" si="42"/>
        <v>1</v>
      </c>
      <c r="L953" s="98" t="str">
        <f t="shared" si="43"/>
        <v>Lancar</v>
      </c>
      <c r="M953" s="5" t="str">
        <f t="shared" si="44"/>
        <v>002</v>
      </c>
      <c r="N953" s="55" t="str">
        <f>VLOOKUP(D953,Pinjaman!$E$7:$N$1900,10,FALSE)</f>
        <v>KONSUMTIF</v>
      </c>
      <c r="O953" s="55">
        <f>VLOOKUP(B953,'Data Angt'!$A$5:$H$5810,6,FALSE)</f>
        <v>32</v>
      </c>
      <c r="P953" s="55" t="str">
        <f>VLOOKUP(B953,'Data Angt'!$A$5:$H$5810,8,FALSE)</f>
        <v>Wiraswasta</v>
      </c>
    </row>
    <row r="954" spans="1:16" x14ac:dyDescent="0.3">
      <c r="A954" s="8">
        <v>947</v>
      </c>
      <c r="B954" s="9" t="s">
        <v>13214</v>
      </c>
      <c r="C954" s="10" t="str">
        <f>VLOOKUP(B954,'Data Angt'!$A$5:$B$5809,2,FALSE)</f>
        <v>A4632</v>
      </c>
      <c r="D954" s="12" t="s">
        <v>23113</v>
      </c>
      <c r="E954" s="13">
        <v>45853</v>
      </c>
      <c r="F954" s="14">
        <v>45915</v>
      </c>
      <c r="G954" s="15">
        <v>7000000</v>
      </c>
      <c r="H954" s="16">
        <v>24</v>
      </c>
      <c r="I954" s="17">
        <v>24</v>
      </c>
      <c r="J954" s="15">
        <v>6535200</v>
      </c>
      <c r="K954" s="98">
        <f t="shared" si="42"/>
        <v>0</v>
      </c>
      <c r="L954" s="98" t="str">
        <f t="shared" si="43"/>
        <v>Lancar</v>
      </c>
      <c r="M954" s="5" t="str">
        <f t="shared" si="44"/>
        <v>002</v>
      </c>
      <c r="N954" s="55" t="str">
        <f>VLOOKUP(D954,Pinjaman!$E$7:$N$1900,10,FALSE)</f>
        <v>KONSUMTIF</v>
      </c>
      <c r="O954" s="55">
        <f>VLOOKUP(B954,'Data Angt'!$A$5:$H$5810,6,FALSE)</f>
        <v>41</v>
      </c>
      <c r="P954" s="55" t="str">
        <f>VLOOKUP(B954,'Data Angt'!$A$5:$H$5810,8,FALSE)</f>
        <v>Tenaga Pengajar</v>
      </c>
    </row>
    <row r="955" spans="1:16" x14ac:dyDescent="0.3">
      <c r="A955" s="8">
        <v>948</v>
      </c>
      <c r="B955" s="9" t="s">
        <v>13531</v>
      </c>
      <c r="C955" s="10" t="str">
        <f>VLOOKUP(B955,'Data Angt'!$A$5:$B$5809,2,FALSE)</f>
        <v>A4832</v>
      </c>
      <c r="D955" s="12" t="s">
        <v>16704</v>
      </c>
      <c r="E955" s="13">
        <v>45727</v>
      </c>
      <c r="F955" s="14">
        <v>45908</v>
      </c>
      <c r="G955" s="15">
        <v>2000000</v>
      </c>
      <c r="H955" s="16">
        <v>12</v>
      </c>
      <c r="I955" s="17">
        <v>24</v>
      </c>
      <c r="J955" s="15">
        <v>1059100</v>
      </c>
      <c r="K955" s="98">
        <f t="shared" si="42"/>
        <v>0</v>
      </c>
      <c r="L955" s="98" t="str">
        <f t="shared" si="43"/>
        <v>Lancar</v>
      </c>
      <c r="M955" s="5" t="str">
        <f t="shared" si="44"/>
        <v>002</v>
      </c>
      <c r="N955" s="55" t="str">
        <f>VLOOKUP(D955,Pinjaman!$E$7:$N$1900,10,FALSE)</f>
        <v>PRODUKTIF</v>
      </c>
      <c r="O955" s="55">
        <f>VLOOKUP(B955,'Data Angt'!$A$5:$H$5810,6,FALSE)</f>
        <v>58</v>
      </c>
      <c r="P955" s="55" t="str">
        <f>VLOOKUP(B955,'Data Angt'!$A$5:$H$5810,8,FALSE)</f>
        <v>Wiraswasta</v>
      </c>
    </row>
    <row r="956" spans="1:16" x14ac:dyDescent="0.3">
      <c r="A956" s="8">
        <v>949</v>
      </c>
      <c r="B956" s="9" t="s">
        <v>13540</v>
      </c>
      <c r="C956" s="10" t="str">
        <f>VLOOKUP(B956,'Data Angt'!$A$5:$B$5809,2,FALSE)</f>
        <v>A4836</v>
      </c>
      <c r="D956" s="12" t="s">
        <v>16707</v>
      </c>
      <c r="E956" s="13">
        <v>45656</v>
      </c>
      <c r="F956" s="14">
        <v>45908</v>
      </c>
      <c r="G956" s="15">
        <v>102000000</v>
      </c>
      <c r="H956" s="16">
        <v>51</v>
      </c>
      <c r="I956" s="17">
        <v>0</v>
      </c>
      <c r="J956" s="15">
        <v>84000000</v>
      </c>
      <c r="K956" s="98">
        <f t="shared" si="42"/>
        <v>0</v>
      </c>
      <c r="L956" s="98" t="str">
        <f t="shared" si="43"/>
        <v>Lancar</v>
      </c>
      <c r="M956" s="5" t="str">
        <f t="shared" si="44"/>
        <v>002</v>
      </c>
      <c r="N956" s="55" t="str">
        <f>VLOOKUP(D956,Pinjaman!$E$7:$N$1900,10,FALSE)</f>
        <v>KONSUMTIF</v>
      </c>
      <c r="O956" s="55">
        <f>VLOOKUP(B956,'Data Angt'!$A$5:$H$5810,6,FALSE)</f>
        <v>28</v>
      </c>
      <c r="P956" s="55" t="str">
        <f>VLOOKUP(B956,'Data Angt'!$A$5:$H$5810,8,FALSE)</f>
        <v>Karyawan</v>
      </c>
    </row>
    <row r="957" spans="1:16" x14ac:dyDescent="0.3">
      <c r="A957" s="8">
        <v>950</v>
      </c>
      <c r="B957" s="9" t="s">
        <v>13550</v>
      </c>
      <c r="C957" s="10" t="str">
        <f>VLOOKUP(B957,'Data Angt'!$A$5:$B$5809,2,FALSE)</f>
        <v>A4840</v>
      </c>
      <c r="D957" s="12" t="s">
        <v>16710</v>
      </c>
      <c r="E957" s="13">
        <v>45730</v>
      </c>
      <c r="F957" s="14">
        <v>45917</v>
      </c>
      <c r="G957" s="15">
        <v>5000000</v>
      </c>
      <c r="H957" s="16">
        <v>18</v>
      </c>
      <c r="I957" s="17">
        <v>24</v>
      </c>
      <c r="J957" s="15">
        <v>3526700</v>
      </c>
      <c r="K957" s="98">
        <f t="shared" si="42"/>
        <v>0</v>
      </c>
      <c r="L957" s="98" t="str">
        <f t="shared" si="43"/>
        <v>Lancar</v>
      </c>
      <c r="M957" s="5" t="str">
        <f t="shared" si="44"/>
        <v>002</v>
      </c>
      <c r="N957" s="55" t="str">
        <f>VLOOKUP(D957,Pinjaman!$E$7:$N$1900,10,FALSE)</f>
        <v>PRODUKTIF</v>
      </c>
      <c r="O957" s="55">
        <f>VLOOKUP(B957,'Data Angt'!$A$5:$H$5810,6,FALSE)</f>
        <v>56</v>
      </c>
      <c r="P957" s="55" t="str">
        <f>VLOOKUP(B957,'Data Angt'!$A$5:$H$5810,8,FALSE)</f>
        <v>Wiraswasta</v>
      </c>
    </row>
    <row r="958" spans="1:16" x14ac:dyDescent="0.3">
      <c r="A958" s="8">
        <v>951</v>
      </c>
      <c r="B958" s="9" t="s">
        <v>13587</v>
      </c>
      <c r="C958" s="10" t="str">
        <f>VLOOKUP(B958,'Data Angt'!$A$5:$B$5809,2,FALSE)</f>
        <v>A4857</v>
      </c>
      <c r="D958" s="12" t="s">
        <v>23118</v>
      </c>
      <c r="E958" s="13">
        <v>45862</v>
      </c>
      <c r="F958" s="14">
        <v>45902</v>
      </c>
      <c r="G958" s="15">
        <v>1000000</v>
      </c>
      <c r="H958" s="16">
        <v>12</v>
      </c>
      <c r="I958" s="17">
        <v>24</v>
      </c>
      <c r="J958" s="15">
        <v>849400</v>
      </c>
      <c r="K958" s="98">
        <f t="shared" si="42"/>
        <v>0</v>
      </c>
      <c r="L958" s="98" t="str">
        <f t="shared" si="43"/>
        <v>Lancar</v>
      </c>
      <c r="M958" s="5" t="str">
        <f t="shared" si="44"/>
        <v>002</v>
      </c>
      <c r="N958" s="55" t="str">
        <f>VLOOKUP(D958,Pinjaman!$E$7:$N$1900,10,FALSE)</f>
        <v>KONSUMTIF</v>
      </c>
      <c r="O958" s="55">
        <f>VLOOKUP(B958,'Data Angt'!$A$5:$H$5810,6,FALSE)</f>
        <v>30</v>
      </c>
      <c r="P958" s="55" t="str">
        <f>VLOOKUP(B958,'Data Angt'!$A$5:$H$5810,8,FALSE)</f>
        <v>Lain-Lain</v>
      </c>
    </row>
    <row r="959" spans="1:16" x14ac:dyDescent="0.3">
      <c r="A959" s="8">
        <v>952</v>
      </c>
      <c r="B959" s="9" t="s">
        <v>13616</v>
      </c>
      <c r="C959" s="10" t="str">
        <f>VLOOKUP(B959,'Data Angt'!$A$5:$B$5809,2,FALSE)</f>
        <v>A4870</v>
      </c>
      <c r="D959" s="12" t="s">
        <v>16713</v>
      </c>
      <c r="E959" s="13">
        <v>45516</v>
      </c>
      <c r="F959" s="14">
        <v>45926</v>
      </c>
      <c r="G959" s="15">
        <v>15000000</v>
      </c>
      <c r="H959" s="16">
        <v>24</v>
      </c>
      <c r="I959" s="17">
        <v>24</v>
      </c>
      <c r="J959" s="15">
        <v>7785900</v>
      </c>
      <c r="K959" s="98">
        <f t="shared" si="42"/>
        <v>0</v>
      </c>
      <c r="L959" s="98" t="str">
        <f t="shared" si="43"/>
        <v>Lancar</v>
      </c>
      <c r="M959" s="5" t="str">
        <f t="shared" si="44"/>
        <v>002</v>
      </c>
      <c r="N959" s="55" t="str">
        <f>VLOOKUP(D959,Pinjaman!$E$7:$N$1900,10,FALSE)</f>
        <v>PRODUKTIF</v>
      </c>
      <c r="O959" s="55">
        <f>VLOOKUP(B959,'Data Angt'!$A$5:$H$5810,6,FALSE)</f>
        <v>26</v>
      </c>
      <c r="P959" s="55" t="str">
        <f>VLOOKUP(B959,'Data Angt'!$A$5:$H$5810,8,FALSE)</f>
        <v>Karyawan</v>
      </c>
    </row>
    <row r="960" spans="1:16" x14ac:dyDescent="0.3">
      <c r="A960" s="8">
        <v>953</v>
      </c>
      <c r="B960" s="9" t="s">
        <v>13635</v>
      </c>
      <c r="C960" s="10" t="str">
        <f>VLOOKUP(B960,'Data Angt'!$A$5:$B$5809,2,FALSE)</f>
        <v>A4878</v>
      </c>
      <c r="D960" s="12" t="s">
        <v>16715</v>
      </c>
      <c r="E960" s="13">
        <v>45769</v>
      </c>
      <c r="F960" s="14">
        <v>45924</v>
      </c>
      <c r="G960" s="15">
        <v>2000000</v>
      </c>
      <c r="H960" s="16">
        <v>10</v>
      </c>
      <c r="I960" s="17">
        <v>24</v>
      </c>
      <c r="J960" s="15">
        <v>1049500</v>
      </c>
      <c r="K960" s="98">
        <f t="shared" si="42"/>
        <v>0</v>
      </c>
      <c r="L960" s="98" t="str">
        <f t="shared" si="43"/>
        <v>Lancar</v>
      </c>
      <c r="M960" s="5" t="str">
        <f t="shared" si="44"/>
        <v>002</v>
      </c>
      <c r="N960" s="55" t="str">
        <f>VLOOKUP(D960,Pinjaman!$E$7:$N$1900,10,FALSE)</f>
        <v>PRODUKTIF</v>
      </c>
      <c r="O960" s="55">
        <f>VLOOKUP(B960,'Data Angt'!$A$5:$H$5810,6,FALSE)</f>
        <v>49</v>
      </c>
      <c r="P960" s="55" t="str">
        <f>VLOOKUP(B960,'Data Angt'!$A$5:$H$5810,8,FALSE)</f>
        <v>Tenaga Pengajar</v>
      </c>
    </row>
    <row r="961" spans="1:16" x14ac:dyDescent="0.3">
      <c r="A961" s="8">
        <v>954</v>
      </c>
      <c r="B961" s="9" t="s">
        <v>13649</v>
      </c>
      <c r="C961" s="10" t="str">
        <f>VLOOKUP(B961,'Data Angt'!$A$5:$B$5809,2,FALSE)</f>
        <v>A4884</v>
      </c>
      <c r="D961" s="12" t="s">
        <v>23121</v>
      </c>
      <c r="E961" s="13">
        <v>45929</v>
      </c>
      <c r="F961" s="14">
        <v>45929</v>
      </c>
      <c r="G961" s="15">
        <v>3000000</v>
      </c>
      <c r="H961" s="16">
        <v>10</v>
      </c>
      <c r="I961" s="17">
        <v>24</v>
      </c>
      <c r="J961" s="15">
        <v>3000000</v>
      </c>
      <c r="K961" s="98">
        <f t="shared" si="42"/>
        <v>0</v>
      </c>
      <c r="L961" s="98" t="str">
        <f t="shared" si="43"/>
        <v>Lancar</v>
      </c>
      <c r="M961" s="5" t="str">
        <f t="shared" si="44"/>
        <v>002</v>
      </c>
      <c r="N961" s="55" t="str">
        <f>VLOOKUP(D961,Pinjaman!$E$7:$N$1900,10,FALSE)</f>
        <v>KONSUMTIF</v>
      </c>
      <c r="O961" s="55">
        <f>VLOOKUP(B961,'Data Angt'!$A$5:$H$5810,6,FALSE)</f>
        <v>42</v>
      </c>
      <c r="P961" s="55" t="str">
        <f>VLOOKUP(B961,'Data Angt'!$A$5:$H$5810,8,FALSE)</f>
        <v>Wiraswasta</v>
      </c>
    </row>
    <row r="962" spans="1:16" x14ac:dyDescent="0.3">
      <c r="A962" s="8">
        <v>955</v>
      </c>
      <c r="B962" s="9" t="s">
        <v>13668</v>
      </c>
      <c r="C962" s="10" t="str">
        <f>VLOOKUP(B962,'Data Angt'!$A$5:$B$5809,2,FALSE)</f>
        <v>A4891</v>
      </c>
      <c r="D962" s="12" t="s">
        <v>16717</v>
      </c>
      <c r="E962" s="13">
        <v>45764</v>
      </c>
      <c r="F962" s="14">
        <v>45929</v>
      </c>
      <c r="G962" s="15">
        <v>5000000</v>
      </c>
      <c r="H962" s="16">
        <v>10</v>
      </c>
      <c r="I962" s="17">
        <v>24</v>
      </c>
      <c r="J962" s="15">
        <v>2623500</v>
      </c>
      <c r="K962" s="98">
        <f t="shared" si="42"/>
        <v>0</v>
      </c>
      <c r="L962" s="98" t="str">
        <f t="shared" si="43"/>
        <v>Lancar</v>
      </c>
      <c r="M962" s="5" t="str">
        <f t="shared" si="44"/>
        <v>002</v>
      </c>
      <c r="N962" s="55" t="str">
        <f>VLOOKUP(D962,Pinjaman!$E$7:$N$1900,10,FALSE)</f>
        <v>PRODUKTIF</v>
      </c>
      <c r="O962" s="55">
        <f>VLOOKUP(B962,'Data Angt'!$A$5:$H$5810,6,FALSE)</f>
        <v>50</v>
      </c>
      <c r="P962" s="55" t="str">
        <f>VLOOKUP(B962,'Data Angt'!$A$5:$H$5810,8,FALSE)</f>
        <v>Wiraswasta</v>
      </c>
    </row>
    <row r="963" spans="1:16" x14ac:dyDescent="0.3">
      <c r="A963" s="8">
        <v>956</v>
      </c>
      <c r="B963" s="9" t="s">
        <v>13673</v>
      </c>
      <c r="C963" s="10" t="str">
        <f>VLOOKUP(B963,'Data Angt'!$A$5:$B$5809,2,FALSE)</f>
        <v>A4893</v>
      </c>
      <c r="D963" s="12" t="s">
        <v>16720</v>
      </c>
      <c r="E963" s="13">
        <v>45692</v>
      </c>
      <c r="F963" s="14">
        <v>45908</v>
      </c>
      <c r="G963" s="15">
        <v>2000000</v>
      </c>
      <c r="H963" s="16">
        <v>10</v>
      </c>
      <c r="I963" s="17">
        <v>24</v>
      </c>
      <c r="J963" s="15">
        <v>642100</v>
      </c>
      <c r="K963" s="98">
        <f t="shared" si="42"/>
        <v>0</v>
      </c>
      <c r="L963" s="98" t="str">
        <f t="shared" si="43"/>
        <v>Lancar</v>
      </c>
      <c r="M963" s="5" t="str">
        <f t="shared" si="44"/>
        <v>002</v>
      </c>
      <c r="N963" s="55">
        <f>VLOOKUP(D963,Pinjaman!$E$7:$N$1900,10,FALSE)</f>
        <v>0</v>
      </c>
      <c r="O963" s="55">
        <f>VLOOKUP(B963,'Data Angt'!$A$5:$H$5810,6,FALSE)</f>
        <v>29</v>
      </c>
      <c r="P963" s="55" t="str">
        <f>VLOOKUP(B963,'Data Angt'!$A$5:$H$5810,8,FALSE)</f>
        <v>Wiraswasta</v>
      </c>
    </row>
    <row r="964" spans="1:16" x14ac:dyDescent="0.3">
      <c r="A964" s="8">
        <v>957</v>
      </c>
      <c r="B964" s="9" t="s">
        <v>13757</v>
      </c>
      <c r="C964" s="10" t="str">
        <f>VLOOKUP(B964,'Data Angt'!$A$5:$B$5809,2,FALSE)</f>
        <v>A4931</v>
      </c>
      <c r="D964" s="12" t="s">
        <v>16722</v>
      </c>
      <c r="E964" s="13">
        <v>45712</v>
      </c>
      <c r="F964" s="14">
        <v>45896</v>
      </c>
      <c r="G964" s="15">
        <v>5000000</v>
      </c>
      <c r="H964" s="16">
        <v>12</v>
      </c>
      <c r="I964" s="17">
        <v>24</v>
      </c>
      <c r="J964" s="15">
        <v>2648600</v>
      </c>
      <c r="K964" s="98">
        <f t="shared" si="42"/>
        <v>1</v>
      </c>
      <c r="L964" s="98" t="str">
        <f t="shared" si="43"/>
        <v>Lancar</v>
      </c>
      <c r="M964" s="5" t="str">
        <f t="shared" si="44"/>
        <v>002</v>
      </c>
      <c r="N964" s="55" t="str">
        <f>VLOOKUP(D964,Pinjaman!$E$7:$N$1900,10,FALSE)</f>
        <v>PRODUKTIF</v>
      </c>
      <c r="O964" s="55">
        <f>VLOOKUP(B964,'Data Angt'!$A$5:$H$5810,6,FALSE)</f>
        <v>40</v>
      </c>
      <c r="P964" s="55" t="str">
        <f>VLOOKUP(B964,'Data Angt'!$A$5:$H$5810,8,FALSE)</f>
        <v>Karyawan</v>
      </c>
    </row>
    <row r="965" spans="1:16" x14ac:dyDescent="0.3">
      <c r="A965" s="8">
        <v>958</v>
      </c>
      <c r="B965" s="9" t="s">
        <v>13851</v>
      </c>
      <c r="C965" s="10" t="str">
        <f>VLOOKUP(B965,'Data Angt'!$A$5:$B$5809,2,FALSE)</f>
        <v>A4976</v>
      </c>
      <c r="D965" s="12" t="s">
        <v>23125</v>
      </c>
      <c r="E965" s="13">
        <v>45912</v>
      </c>
      <c r="F965" s="14">
        <v>45912</v>
      </c>
      <c r="G965" s="15">
        <v>22000000</v>
      </c>
      <c r="H965" s="16">
        <v>24</v>
      </c>
      <c r="I965" s="17">
        <v>24</v>
      </c>
      <c r="J965" s="15">
        <v>22000000</v>
      </c>
      <c r="K965" s="98">
        <f t="shared" si="42"/>
        <v>0</v>
      </c>
      <c r="L965" s="98" t="str">
        <f t="shared" si="43"/>
        <v>Lancar</v>
      </c>
      <c r="M965" s="5" t="str">
        <f t="shared" si="44"/>
        <v>002</v>
      </c>
      <c r="N965" s="55" t="str">
        <f>VLOOKUP(D965,Pinjaman!$E$7:$N$1900,10,FALSE)</f>
        <v>KESEJAHTERAAN</v>
      </c>
      <c r="O965" s="55">
        <f>VLOOKUP(B965,'Data Angt'!$A$5:$H$5810,6,FALSE)</f>
        <v>38</v>
      </c>
      <c r="P965" s="55" t="str">
        <f>VLOOKUP(B965,'Data Angt'!$A$5:$H$5810,8,FALSE)</f>
        <v>Mengurus Rumah Tangga</v>
      </c>
    </row>
    <row r="966" spans="1:16" x14ac:dyDescent="0.3">
      <c r="A966" s="8">
        <v>959</v>
      </c>
      <c r="B966" s="9" t="s">
        <v>13864</v>
      </c>
      <c r="C966" s="10" t="str">
        <f>VLOOKUP(B966,'Data Angt'!$A$5:$B$5809,2,FALSE)</f>
        <v>A4983</v>
      </c>
      <c r="D966" s="12" t="s">
        <v>23128</v>
      </c>
      <c r="E966" s="13">
        <v>45875</v>
      </c>
      <c r="F966" s="14">
        <v>45908</v>
      </c>
      <c r="G966" s="15">
        <v>20000000</v>
      </c>
      <c r="H966" s="16">
        <v>24</v>
      </c>
      <c r="I966" s="17">
        <v>24</v>
      </c>
      <c r="J966" s="15">
        <v>19342500</v>
      </c>
      <c r="K966" s="98">
        <f t="shared" si="42"/>
        <v>0</v>
      </c>
      <c r="L966" s="98" t="str">
        <f t="shared" si="43"/>
        <v>Lancar</v>
      </c>
      <c r="M966" s="5" t="str">
        <f t="shared" si="44"/>
        <v>002</v>
      </c>
      <c r="N966" s="55" t="str">
        <f>VLOOKUP(D966,Pinjaman!$E$7:$N$1900,10,FALSE)</f>
        <v>PRODUKTIF</v>
      </c>
      <c r="O966" s="55">
        <f>VLOOKUP(B966,'Data Angt'!$A$5:$H$5810,6,FALSE)</f>
        <v>48</v>
      </c>
      <c r="P966" s="55" t="str">
        <f>VLOOKUP(B966,'Data Angt'!$A$5:$H$5810,8,FALSE)</f>
        <v>Wiraswasta</v>
      </c>
    </row>
    <row r="967" spans="1:16" x14ac:dyDescent="0.3">
      <c r="A967" s="8">
        <v>960</v>
      </c>
      <c r="B967" s="9" t="s">
        <v>13995</v>
      </c>
      <c r="C967" s="10" t="str">
        <f>VLOOKUP(B967,'Data Angt'!$A$5:$B$5809,2,FALSE)</f>
        <v>A5039</v>
      </c>
      <c r="D967" s="12" t="s">
        <v>16724</v>
      </c>
      <c r="E967" s="13">
        <v>45644</v>
      </c>
      <c r="F967" s="14">
        <v>45902</v>
      </c>
      <c r="G967" s="15">
        <v>1000000</v>
      </c>
      <c r="H967" s="16">
        <v>10</v>
      </c>
      <c r="I967" s="17">
        <v>24</v>
      </c>
      <c r="J967" s="15">
        <v>108900</v>
      </c>
      <c r="K967" s="98">
        <f t="shared" si="42"/>
        <v>0</v>
      </c>
      <c r="L967" s="98" t="str">
        <f t="shared" si="43"/>
        <v>Lancar</v>
      </c>
      <c r="M967" s="5" t="str">
        <f t="shared" si="44"/>
        <v>002</v>
      </c>
      <c r="N967" s="55" t="str">
        <f>VLOOKUP(D967,Pinjaman!$E$7:$N$1900,10,FALSE)</f>
        <v>PRODUKTIF</v>
      </c>
      <c r="O967" s="55">
        <f>VLOOKUP(B967,'Data Angt'!$A$5:$H$5810,6,FALSE)</f>
        <v>19</v>
      </c>
      <c r="P967" s="55" t="str">
        <f>VLOOKUP(B967,'Data Angt'!$A$5:$H$5810,8,FALSE)</f>
        <v>Pelajar/Mahasiswa</v>
      </c>
    </row>
    <row r="968" spans="1:16" x14ac:dyDescent="0.3">
      <c r="A968" s="8">
        <v>961</v>
      </c>
      <c r="B968" s="9" t="s">
        <v>14032</v>
      </c>
      <c r="C968" s="10" t="str">
        <f>VLOOKUP(B968,'Data Angt'!$A$5:$B$5809,2,FALSE)</f>
        <v>A5057</v>
      </c>
      <c r="D968" s="12" t="s">
        <v>16727</v>
      </c>
      <c r="E968" s="13">
        <v>45608</v>
      </c>
      <c r="F968" s="14">
        <v>45912</v>
      </c>
      <c r="G968" s="15">
        <v>15000000</v>
      </c>
      <c r="H968" s="16">
        <v>36</v>
      </c>
      <c r="I968" s="17">
        <v>24</v>
      </c>
      <c r="J968" s="15">
        <v>11841600</v>
      </c>
      <c r="K968" s="98">
        <f t="shared" si="42"/>
        <v>0</v>
      </c>
      <c r="L968" s="98" t="str">
        <f t="shared" si="43"/>
        <v>Lancar</v>
      </c>
      <c r="M968" s="5" t="str">
        <f t="shared" si="44"/>
        <v>002</v>
      </c>
      <c r="N968" s="55" t="str">
        <f>VLOOKUP(D968,Pinjaman!$E$7:$N$1900,10,FALSE)</f>
        <v>PRODUKTIF</v>
      </c>
      <c r="O968" s="55">
        <f>VLOOKUP(B968,'Data Angt'!$A$5:$H$5810,6,FALSE)</f>
        <v>42</v>
      </c>
      <c r="P968" s="55" t="str">
        <f>VLOOKUP(B968,'Data Angt'!$A$5:$H$5810,8,FALSE)</f>
        <v>Karyawan</v>
      </c>
    </row>
    <row r="969" spans="1:16" x14ac:dyDescent="0.3">
      <c r="A969" s="8">
        <v>962</v>
      </c>
      <c r="B969" s="9" t="s">
        <v>14064</v>
      </c>
      <c r="C969" s="10" t="str">
        <f>VLOOKUP(B969,'Data Angt'!$A$5:$B$5809,2,FALSE)</f>
        <v>A5069</v>
      </c>
      <c r="D969" s="12" t="s">
        <v>16730</v>
      </c>
      <c r="E969" s="13">
        <v>45822</v>
      </c>
      <c r="F969" s="14">
        <v>45889</v>
      </c>
      <c r="G969" s="15">
        <v>5000000</v>
      </c>
      <c r="H969" s="16">
        <v>12</v>
      </c>
      <c r="I969" s="17">
        <v>24</v>
      </c>
      <c r="J969" s="15">
        <v>4247000</v>
      </c>
      <c r="K969" s="98">
        <f t="shared" ref="K969:K1032" si="45">DATEDIF(F969,$K$6,"m")</f>
        <v>1</v>
      </c>
      <c r="L969" s="98" t="str">
        <f t="shared" ref="L969:L1032" si="46">IF(K969&lt;=3,"Lancar",IF(K969&lt;=6,"Kurang lancar",IF(K969&lt;=12,"Diragukan","Macet")))</f>
        <v>Lancar</v>
      </c>
      <c r="M969" s="5" t="str">
        <f t="shared" ref="M969:M1032" si="47">MID(B969,7,3)</f>
        <v>002</v>
      </c>
      <c r="N969" s="55" t="str">
        <f>VLOOKUP(D969,Pinjaman!$E$7:$N$1900,10,FALSE)</f>
        <v>PENDIDIKAN</v>
      </c>
      <c r="O969" s="55">
        <f>VLOOKUP(B969,'Data Angt'!$A$5:$H$5810,6,FALSE)</f>
        <v>49</v>
      </c>
      <c r="P969" s="55" t="str">
        <f>VLOOKUP(B969,'Data Angt'!$A$5:$H$5810,8,FALSE)</f>
        <v>Karyawan</v>
      </c>
    </row>
    <row r="970" spans="1:16" x14ac:dyDescent="0.3">
      <c r="A970" s="8">
        <v>963</v>
      </c>
      <c r="B970" s="9" t="s">
        <v>14069</v>
      </c>
      <c r="C970" s="10" t="str">
        <f>VLOOKUP(B970,'Data Angt'!$A$5:$B$5809,2,FALSE)</f>
        <v>A5071</v>
      </c>
      <c r="D970" s="12" t="s">
        <v>16733</v>
      </c>
      <c r="E970" s="13">
        <v>45612</v>
      </c>
      <c r="F970" s="14">
        <v>45915</v>
      </c>
      <c r="G970" s="15">
        <v>5500000</v>
      </c>
      <c r="H970" s="16">
        <v>12</v>
      </c>
      <c r="I970" s="17">
        <v>24</v>
      </c>
      <c r="J970" s="15">
        <v>1009900</v>
      </c>
      <c r="K970" s="98">
        <f t="shared" si="45"/>
        <v>0</v>
      </c>
      <c r="L970" s="98" t="str">
        <f t="shared" si="46"/>
        <v>Lancar</v>
      </c>
      <c r="M970" s="5" t="str">
        <f t="shared" si="47"/>
        <v>002</v>
      </c>
      <c r="N970" s="55" t="str">
        <f>VLOOKUP(D970,Pinjaman!$E$7:$N$1900,10,FALSE)</f>
        <v>PRODUKTIF</v>
      </c>
      <c r="O970" s="55">
        <f>VLOOKUP(B970,'Data Angt'!$A$5:$H$5810,6,FALSE)</f>
        <v>32</v>
      </c>
      <c r="P970" s="55" t="str">
        <f>VLOOKUP(B970,'Data Angt'!$A$5:$H$5810,8,FALSE)</f>
        <v>Wiraswasta</v>
      </c>
    </row>
    <row r="971" spans="1:16" x14ac:dyDescent="0.3">
      <c r="A971" s="8">
        <v>964</v>
      </c>
      <c r="B971" s="9" t="s">
        <v>14076</v>
      </c>
      <c r="C971" s="10" t="str">
        <f>VLOOKUP(B971,'Data Angt'!$A$5:$B$5809,2,FALSE)</f>
        <v>A5074</v>
      </c>
      <c r="D971" s="12" t="s">
        <v>16736</v>
      </c>
      <c r="E971" s="13">
        <v>45614</v>
      </c>
      <c r="F971" s="14">
        <v>45911</v>
      </c>
      <c r="G971" s="15">
        <v>26100000</v>
      </c>
      <c r="H971" s="16">
        <v>36</v>
      </c>
      <c r="I971" s="17">
        <v>21</v>
      </c>
      <c r="J971" s="15">
        <v>20399400</v>
      </c>
      <c r="K971" s="98">
        <f t="shared" si="45"/>
        <v>0</v>
      </c>
      <c r="L971" s="98" t="str">
        <f t="shared" si="46"/>
        <v>Lancar</v>
      </c>
      <c r="M971" s="5" t="str">
        <f t="shared" si="47"/>
        <v>002</v>
      </c>
      <c r="N971" s="55" t="str">
        <f>VLOOKUP(D971,Pinjaman!$E$7:$N$1900,10,FALSE)</f>
        <v>KESEJAHTERAAN</v>
      </c>
      <c r="O971" s="55">
        <f>VLOOKUP(B971,'Data Angt'!$A$5:$H$5810,6,FALSE)</f>
        <v>23</v>
      </c>
      <c r="P971" s="55" t="str">
        <f>VLOOKUP(B971,'Data Angt'!$A$5:$H$5810,8,FALSE)</f>
        <v>Karyawan</v>
      </c>
    </row>
    <row r="972" spans="1:16" x14ac:dyDescent="0.3">
      <c r="A972" s="8">
        <v>965</v>
      </c>
      <c r="B972" s="9" t="s">
        <v>14104</v>
      </c>
      <c r="C972" s="10" t="str">
        <f>VLOOKUP(B972,'Data Angt'!$A$5:$B$5809,2,FALSE)</f>
        <v>A5086</v>
      </c>
      <c r="D972" s="12" t="s">
        <v>16738</v>
      </c>
      <c r="E972" s="13">
        <v>45617</v>
      </c>
      <c r="F972" s="14">
        <v>45898</v>
      </c>
      <c r="G972" s="15">
        <v>2000000</v>
      </c>
      <c r="H972" s="16">
        <v>10</v>
      </c>
      <c r="I972" s="17">
        <v>24</v>
      </c>
      <c r="J972" s="15">
        <v>432300</v>
      </c>
      <c r="K972" s="98">
        <f t="shared" si="45"/>
        <v>1</v>
      </c>
      <c r="L972" s="98" t="str">
        <f t="shared" si="46"/>
        <v>Lancar</v>
      </c>
      <c r="M972" s="5" t="str">
        <f t="shared" si="47"/>
        <v>002</v>
      </c>
      <c r="N972" s="55" t="str">
        <f>VLOOKUP(D972,Pinjaman!$E$7:$N$1900,10,FALSE)</f>
        <v>PRODUKTIF</v>
      </c>
      <c r="O972" s="55">
        <f>VLOOKUP(B972,'Data Angt'!$A$5:$H$5810,6,FALSE)</f>
        <v>65</v>
      </c>
      <c r="P972" s="55" t="str">
        <f>VLOOKUP(B972,'Data Angt'!$A$5:$H$5810,8,FALSE)</f>
        <v>Karyawan</v>
      </c>
    </row>
    <row r="973" spans="1:16" x14ac:dyDescent="0.3">
      <c r="A973" s="8">
        <v>966</v>
      </c>
      <c r="B973" s="9" t="s">
        <v>14120</v>
      </c>
      <c r="C973" s="10" t="str">
        <f>VLOOKUP(B973,'Data Angt'!$A$5:$B$5809,2,FALSE)</f>
        <v>A5095</v>
      </c>
      <c r="D973" s="12" t="s">
        <v>23136</v>
      </c>
      <c r="E973" s="13">
        <v>45854</v>
      </c>
      <c r="F973" s="14">
        <v>45916</v>
      </c>
      <c r="G973" s="15">
        <v>2000000</v>
      </c>
      <c r="H973" s="16">
        <v>12</v>
      </c>
      <c r="I973" s="17">
        <v>24</v>
      </c>
      <c r="J973" s="15">
        <v>1698700</v>
      </c>
      <c r="K973" s="98">
        <f t="shared" si="45"/>
        <v>0</v>
      </c>
      <c r="L973" s="98" t="str">
        <f t="shared" si="46"/>
        <v>Lancar</v>
      </c>
      <c r="M973" s="5" t="str">
        <f t="shared" si="47"/>
        <v>002</v>
      </c>
      <c r="N973" s="55" t="str">
        <f>VLOOKUP(D973,Pinjaman!$E$7:$N$1900,10,FALSE)</f>
        <v>KONSUMTIF</v>
      </c>
      <c r="O973" s="55">
        <f>VLOOKUP(B973,'Data Angt'!$A$5:$H$5810,6,FALSE)</f>
        <v>25</v>
      </c>
      <c r="P973" s="55" t="str">
        <f>VLOOKUP(B973,'Data Angt'!$A$5:$H$5810,8,FALSE)</f>
        <v>Lain-Lain</v>
      </c>
    </row>
    <row r="974" spans="1:16" x14ac:dyDescent="0.3">
      <c r="A974" s="8">
        <v>967</v>
      </c>
      <c r="B974" s="9" t="s">
        <v>14150</v>
      </c>
      <c r="C974" s="10" t="str">
        <f>VLOOKUP(B974,'Data Angt'!$A$5:$B$5809,2,FALSE)</f>
        <v>A5110</v>
      </c>
      <c r="D974" s="12" t="s">
        <v>23139</v>
      </c>
      <c r="E974" s="13">
        <v>45897</v>
      </c>
      <c r="F974" s="14">
        <v>45920</v>
      </c>
      <c r="G974" s="15">
        <v>2500000</v>
      </c>
      <c r="H974" s="16">
        <v>12</v>
      </c>
      <c r="I974" s="17">
        <v>24</v>
      </c>
      <c r="J974" s="15">
        <v>2313600</v>
      </c>
      <c r="K974" s="98">
        <f t="shared" si="45"/>
        <v>0</v>
      </c>
      <c r="L974" s="98" t="str">
        <f t="shared" si="46"/>
        <v>Lancar</v>
      </c>
      <c r="M974" s="5" t="str">
        <f t="shared" si="47"/>
        <v>002</v>
      </c>
      <c r="N974" s="55" t="str">
        <f>VLOOKUP(D974,Pinjaman!$E$7:$N$1900,10,FALSE)</f>
        <v>PRODUKTIF</v>
      </c>
      <c r="O974" s="55">
        <f>VLOOKUP(B974,'Data Angt'!$A$5:$H$5810,6,FALSE)</f>
        <v>43</v>
      </c>
      <c r="P974" s="55" t="str">
        <f>VLOOKUP(B974,'Data Angt'!$A$5:$H$5810,8,FALSE)</f>
        <v>Karyawan</v>
      </c>
    </row>
    <row r="975" spans="1:16" x14ac:dyDescent="0.3">
      <c r="A975" s="8">
        <v>968</v>
      </c>
      <c r="B975" s="9" t="s">
        <v>14153</v>
      </c>
      <c r="C975" s="10" t="str">
        <f>VLOOKUP(B975,'Data Angt'!$A$5:$B$5809,2,FALSE)</f>
        <v>A5112</v>
      </c>
      <c r="D975" s="12" t="s">
        <v>23141</v>
      </c>
      <c r="E975" s="13">
        <v>45897</v>
      </c>
      <c r="F975" s="14">
        <v>45920</v>
      </c>
      <c r="G975" s="15">
        <v>2500000</v>
      </c>
      <c r="H975" s="16">
        <v>12</v>
      </c>
      <c r="I975" s="17">
        <v>24</v>
      </c>
      <c r="J975" s="15">
        <v>2313600</v>
      </c>
      <c r="K975" s="98">
        <f t="shared" si="45"/>
        <v>0</v>
      </c>
      <c r="L975" s="98" t="str">
        <f t="shared" si="46"/>
        <v>Lancar</v>
      </c>
      <c r="M975" s="5" t="str">
        <f t="shared" si="47"/>
        <v>002</v>
      </c>
      <c r="N975" s="55" t="str">
        <f>VLOOKUP(D975,Pinjaman!$E$7:$N$1900,10,FALSE)</f>
        <v>PRODUKTIF</v>
      </c>
      <c r="O975" s="55">
        <f>VLOOKUP(B975,'Data Angt'!$A$5:$H$5810,6,FALSE)</f>
        <v>47</v>
      </c>
      <c r="P975" s="55" t="str">
        <f>VLOOKUP(B975,'Data Angt'!$A$5:$H$5810,8,FALSE)</f>
        <v>Karyawan</v>
      </c>
    </row>
    <row r="976" spans="1:16" x14ac:dyDescent="0.3">
      <c r="A976" s="8">
        <v>969</v>
      </c>
      <c r="B976" s="9" t="s">
        <v>14156</v>
      </c>
      <c r="C976" s="10" t="str">
        <f>VLOOKUP(B976,'Data Angt'!$A$5:$B$5809,2,FALSE)</f>
        <v>A5113</v>
      </c>
      <c r="D976" s="12" t="s">
        <v>23143</v>
      </c>
      <c r="E976" s="13">
        <v>45897</v>
      </c>
      <c r="F976" s="14">
        <v>45920</v>
      </c>
      <c r="G976" s="15">
        <v>2500000</v>
      </c>
      <c r="H976" s="16">
        <v>12</v>
      </c>
      <c r="I976" s="17">
        <v>24</v>
      </c>
      <c r="J976" s="15">
        <v>2313600</v>
      </c>
      <c r="K976" s="98">
        <f t="shared" si="45"/>
        <v>0</v>
      </c>
      <c r="L976" s="98" t="str">
        <f t="shared" si="46"/>
        <v>Lancar</v>
      </c>
      <c r="M976" s="5" t="str">
        <f t="shared" si="47"/>
        <v>002</v>
      </c>
      <c r="N976" s="55" t="str">
        <f>VLOOKUP(D976,Pinjaman!$E$7:$N$1900,10,FALSE)</f>
        <v>PRODUKTIF</v>
      </c>
      <c r="O976" s="55">
        <f>VLOOKUP(B976,'Data Angt'!$A$5:$H$5810,6,FALSE)</f>
        <v>47</v>
      </c>
      <c r="P976" s="55" t="str">
        <f>VLOOKUP(B976,'Data Angt'!$A$5:$H$5810,8,FALSE)</f>
        <v>Karyawan</v>
      </c>
    </row>
    <row r="977" spans="1:16" x14ac:dyDescent="0.3">
      <c r="A977" s="8">
        <v>970</v>
      </c>
      <c r="B977" s="9" t="s">
        <v>14158</v>
      </c>
      <c r="C977" s="10" t="str">
        <f>VLOOKUP(B977,'Data Angt'!$A$5:$B$5809,2,FALSE)</f>
        <v>A5114</v>
      </c>
      <c r="D977" s="12" t="s">
        <v>16741</v>
      </c>
      <c r="E977" s="13">
        <v>45624</v>
      </c>
      <c r="F977" s="14">
        <v>45898</v>
      </c>
      <c r="G977" s="15">
        <v>2000000</v>
      </c>
      <c r="H977" s="16">
        <v>10</v>
      </c>
      <c r="I977" s="17">
        <v>24</v>
      </c>
      <c r="J977" s="15">
        <v>436400</v>
      </c>
      <c r="K977" s="98">
        <f t="shared" si="45"/>
        <v>1</v>
      </c>
      <c r="L977" s="98" t="str">
        <f t="shared" si="46"/>
        <v>Lancar</v>
      </c>
      <c r="M977" s="5" t="str">
        <f t="shared" si="47"/>
        <v>002</v>
      </c>
      <c r="N977" s="55" t="str">
        <f>VLOOKUP(D977,Pinjaman!$E$7:$N$1900,10,FALSE)</f>
        <v>PRODUKTIF</v>
      </c>
      <c r="O977" s="55">
        <f>VLOOKUP(B977,'Data Angt'!$A$5:$H$5810,6,FALSE)</f>
        <v>39</v>
      </c>
      <c r="P977" s="55" t="str">
        <f>VLOOKUP(B977,'Data Angt'!$A$5:$H$5810,8,FALSE)</f>
        <v>Karyawan</v>
      </c>
    </row>
    <row r="978" spans="1:16" x14ac:dyDescent="0.3">
      <c r="A978" s="8">
        <v>971</v>
      </c>
      <c r="B978" s="9" t="s">
        <v>14160</v>
      </c>
      <c r="C978" s="10" t="str">
        <f>VLOOKUP(B978,'Data Angt'!$A$5:$B$5809,2,FALSE)</f>
        <v>A5115</v>
      </c>
      <c r="D978" s="12" t="s">
        <v>16743</v>
      </c>
      <c r="E978" s="13">
        <v>45624</v>
      </c>
      <c r="F978" s="14">
        <v>45898</v>
      </c>
      <c r="G978" s="15">
        <v>2000000</v>
      </c>
      <c r="H978" s="16">
        <v>10</v>
      </c>
      <c r="I978" s="17">
        <v>24</v>
      </c>
      <c r="J978" s="15">
        <v>436400</v>
      </c>
      <c r="K978" s="98">
        <f t="shared" si="45"/>
        <v>1</v>
      </c>
      <c r="L978" s="98" t="str">
        <f t="shared" si="46"/>
        <v>Lancar</v>
      </c>
      <c r="M978" s="5" t="str">
        <f t="shared" si="47"/>
        <v>002</v>
      </c>
      <c r="N978" s="55" t="str">
        <f>VLOOKUP(D978,Pinjaman!$E$7:$N$1900,10,FALSE)</f>
        <v>PRODUKTIF</v>
      </c>
      <c r="O978" s="55">
        <f>VLOOKUP(B978,'Data Angt'!$A$5:$H$5810,6,FALSE)</f>
        <v>65</v>
      </c>
      <c r="P978" s="55" t="str">
        <f>VLOOKUP(B978,'Data Angt'!$A$5:$H$5810,8,FALSE)</f>
        <v>Karyawan</v>
      </c>
    </row>
    <row r="979" spans="1:16" x14ac:dyDescent="0.3">
      <c r="A979" s="8">
        <v>972</v>
      </c>
      <c r="B979" s="9" t="s">
        <v>14161</v>
      </c>
      <c r="C979" s="10" t="str">
        <f>VLOOKUP(B979,'Data Angt'!$A$5:$B$5809,2,FALSE)</f>
        <v>A5116</v>
      </c>
      <c r="D979" s="12" t="s">
        <v>16745</v>
      </c>
      <c r="E979" s="13">
        <v>45624</v>
      </c>
      <c r="F979" s="14">
        <v>45898</v>
      </c>
      <c r="G979" s="15">
        <v>2000000</v>
      </c>
      <c r="H979" s="16">
        <v>10</v>
      </c>
      <c r="I979" s="17">
        <v>24</v>
      </c>
      <c r="J979" s="15">
        <v>432300</v>
      </c>
      <c r="K979" s="98">
        <f t="shared" si="45"/>
        <v>1</v>
      </c>
      <c r="L979" s="98" t="str">
        <f t="shared" si="46"/>
        <v>Lancar</v>
      </c>
      <c r="M979" s="5" t="str">
        <f t="shared" si="47"/>
        <v>002</v>
      </c>
      <c r="N979" s="55" t="str">
        <f>VLOOKUP(D979,Pinjaman!$E$7:$N$1900,10,FALSE)</f>
        <v>PRODUKTIF</v>
      </c>
      <c r="O979" s="55">
        <f>VLOOKUP(B979,'Data Angt'!$A$5:$H$5810,6,FALSE)</f>
        <v>47</v>
      </c>
      <c r="P979" s="55" t="str">
        <f>VLOOKUP(B979,'Data Angt'!$A$5:$H$5810,8,FALSE)</f>
        <v>Karyawan</v>
      </c>
    </row>
    <row r="980" spans="1:16" x14ac:dyDescent="0.3">
      <c r="A980" s="8">
        <v>973</v>
      </c>
      <c r="B980" s="9" t="s">
        <v>14179</v>
      </c>
      <c r="C980" s="10" t="str">
        <f>VLOOKUP(B980,'Data Angt'!$A$5:$B$5809,2,FALSE)</f>
        <v>A5126</v>
      </c>
      <c r="D980" s="12" t="s">
        <v>16747</v>
      </c>
      <c r="E980" s="13">
        <v>45807</v>
      </c>
      <c r="F980" s="14">
        <v>45930</v>
      </c>
      <c r="G980" s="15">
        <v>3000000</v>
      </c>
      <c r="H980" s="16">
        <v>18</v>
      </c>
      <c r="I980" s="17">
        <v>24</v>
      </c>
      <c r="J980" s="15">
        <v>2422300</v>
      </c>
      <c r="K980" s="98">
        <f t="shared" si="45"/>
        <v>0</v>
      </c>
      <c r="L980" s="98" t="str">
        <f t="shared" si="46"/>
        <v>Lancar</v>
      </c>
      <c r="M980" s="5" t="str">
        <f t="shared" si="47"/>
        <v>002</v>
      </c>
      <c r="N980" s="55" t="str">
        <f>VLOOKUP(D980,Pinjaman!$E$7:$N$1900,10,FALSE)</f>
        <v>KESEHATAN</v>
      </c>
      <c r="O980" s="55">
        <f>VLOOKUP(B980,'Data Angt'!$A$5:$H$5810,6,FALSE)</f>
        <v>41</v>
      </c>
      <c r="P980" s="55" t="str">
        <f>VLOOKUP(B980,'Data Angt'!$A$5:$H$5810,8,FALSE)</f>
        <v>Lain-Lain</v>
      </c>
    </row>
    <row r="981" spans="1:16" x14ac:dyDescent="0.3">
      <c r="A981" s="8">
        <v>974</v>
      </c>
      <c r="B981" s="9" t="s">
        <v>14190</v>
      </c>
      <c r="C981" s="10" t="str">
        <f>VLOOKUP(B981,'Data Angt'!$A$5:$B$5809,2,FALSE)</f>
        <v>A5131</v>
      </c>
      <c r="D981" s="12" t="s">
        <v>16750</v>
      </c>
      <c r="E981" s="13">
        <v>45833</v>
      </c>
      <c r="F981" s="14">
        <v>45902</v>
      </c>
      <c r="G981" s="15">
        <v>2500000</v>
      </c>
      <c r="H981" s="16">
        <v>12</v>
      </c>
      <c r="I981" s="17">
        <v>24</v>
      </c>
      <c r="J981" s="15">
        <v>1929600</v>
      </c>
      <c r="K981" s="98">
        <f t="shared" si="45"/>
        <v>0</v>
      </c>
      <c r="L981" s="98" t="str">
        <f t="shared" si="46"/>
        <v>Lancar</v>
      </c>
      <c r="M981" s="5" t="str">
        <f t="shared" si="47"/>
        <v>002</v>
      </c>
      <c r="N981" s="55" t="str">
        <f>VLOOKUP(D981,Pinjaman!$E$7:$N$1900,10,FALSE)</f>
        <v>KONSUMTIF</v>
      </c>
      <c r="O981" s="55">
        <f>VLOOKUP(B981,'Data Angt'!$A$5:$H$5810,6,FALSE)</f>
        <v>45</v>
      </c>
      <c r="P981" s="55" t="str">
        <f>VLOOKUP(B981,'Data Angt'!$A$5:$H$5810,8,FALSE)</f>
        <v>Mengurus Rumah Tangga</v>
      </c>
    </row>
    <row r="982" spans="1:16" x14ac:dyDescent="0.3">
      <c r="A982" s="8">
        <v>975</v>
      </c>
      <c r="B982" s="9" t="s">
        <v>14199</v>
      </c>
      <c r="C982" s="10" t="str">
        <f>VLOOKUP(B982,'Data Angt'!$A$5:$B$5809,2,FALSE)</f>
        <v>A5135</v>
      </c>
      <c r="D982" s="12" t="s">
        <v>23145</v>
      </c>
      <c r="E982" s="13">
        <v>45898</v>
      </c>
      <c r="F982" s="14">
        <v>45923</v>
      </c>
      <c r="G982" s="15">
        <v>35000000</v>
      </c>
      <c r="H982" s="16">
        <v>36</v>
      </c>
      <c r="I982" s="17">
        <v>21</v>
      </c>
      <c r="J982" s="15">
        <v>34293800</v>
      </c>
      <c r="K982" s="98">
        <f t="shared" si="45"/>
        <v>0</v>
      </c>
      <c r="L982" s="98" t="str">
        <f t="shared" si="46"/>
        <v>Lancar</v>
      </c>
      <c r="M982" s="5" t="str">
        <f t="shared" si="47"/>
        <v>002</v>
      </c>
      <c r="N982" s="55" t="str">
        <f>VLOOKUP(D982,Pinjaman!$E$7:$N$1900,10,FALSE)</f>
        <v>PRODUKTIF</v>
      </c>
      <c r="O982" s="55">
        <f>VLOOKUP(B982,'Data Angt'!$A$5:$H$5810,6,FALSE)</f>
        <v>38</v>
      </c>
      <c r="P982" s="55" t="str">
        <f>VLOOKUP(B982,'Data Angt'!$A$5:$H$5810,8,FALSE)</f>
        <v>Wiraswasta</v>
      </c>
    </row>
    <row r="983" spans="1:16" x14ac:dyDescent="0.3">
      <c r="A983" s="8">
        <v>976</v>
      </c>
      <c r="B983" s="9" t="s">
        <v>14230</v>
      </c>
      <c r="C983" s="10" t="str">
        <f>VLOOKUP(B983,'Data Angt'!$A$5:$B$5809,2,FALSE)</f>
        <v>A5148</v>
      </c>
      <c r="D983" s="12" t="s">
        <v>23148</v>
      </c>
      <c r="E983" s="13">
        <v>45866</v>
      </c>
      <c r="F983" s="14">
        <v>45917</v>
      </c>
      <c r="G983" s="15">
        <v>2500000</v>
      </c>
      <c r="H983" s="16">
        <v>12</v>
      </c>
      <c r="I983" s="17">
        <v>24</v>
      </c>
      <c r="J983" s="15">
        <v>2123500</v>
      </c>
      <c r="K983" s="98">
        <f t="shared" si="45"/>
        <v>0</v>
      </c>
      <c r="L983" s="98" t="str">
        <f t="shared" si="46"/>
        <v>Lancar</v>
      </c>
      <c r="M983" s="5" t="str">
        <f t="shared" si="47"/>
        <v>002</v>
      </c>
      <c r="N983" s="55" t="str">
        <f>VLOOKUP(D983,Pinjaman!$E$7:$N$1900,10,FALSE)</f>
        <v>KONSUMTIF</v>
      </c>
      <c r="O983" s="55">
        <f>VLOOKUP(B983,'Data Angt'!$A$5:$H$5810,6,FALSE)</f>
        <v>45</v>
      </c>
      <c r="P983" s="55" t="str">
        <f>VLOOKUP(B983,'Data Angt'!$A$5:$H$5810,8,FALSE)</f>
        <v>Karyawan</v>
      </c>
    </row>
    <row r="984" spans="1:16" x14ac:dyDescent="0.3">
      <c r="A984" s="8">
        <v>977</v>
      </c>
      <c r="B984" s="9" t="s">
        <v>14233</v>
      </c>
      <c r="C984" s="10" t="str">
        <f>VLOOKUP(B984,'Data Angt'!$A$5:$B$5809,2,FALSE)</f>
        <v>A5149</v>
      </c>
      <c r="D984" s="12" t="s">
        <v>23150</v>
      </c>
      <c r="E984" s="13">
        <v>45866</v>
      </c>
      <c r="F984" s="14">
        <v>45930</v>
      </c>
      <c r="G984" s="15">
        <v>2500000</v>
      </c>
      <c r="H984" s="16">
        <v>12</v>
      </c>
      <c r="I984" s="17">
        <v>24</v>
      </c>
      <c r="J984" s="15">
        <v>2123500</v>
      </c>
      <c r="K984" s="98">
        <f t="shared" si="45"/>
        <v>0</v>
      </c>
      <c r="L984" s="98" t="str">
        <f t="shared" si="46"/>
        <v>Lancar</v>
      </c>
      <c r="M984" s="5" t="str">
        <f t="shared" si="47"/>
        <v>002</v>
      </c>
      <c r="N984" s="55" t="str">
        <f>VLOOKUP(D984,Pinjaman!$E$7:$N$1900,10,FALSE)</f>
        <v>PENDIDIKAN</v>
      </c>
      <c r="O984" s="55">
        <f>VLOOKUP(B984,'Data Angt'!$A$5:$H$5810,6,FALSE)</f>
        <v>50</v>
      </c>
      <c r="P984" s="55" t="str">
        <f>VLOOKUP(B984,'Data Angt'!$A$5:$H$5810,8,FALSE)</f>
        <v>Karyawan</v>
      </c>
    </row>
    <row r="985" spans="1:16" x14ac:dyDescent="0.3">
      <c r="A985" s="8">
        <v>978</v>
      </c>
      <c r="B985" s="9" t="s">
        <v>14247</v>
      </c>
      <c r="C985" s="10" t="str">
        <f>VLOOKUP(B985,'Data Angt'!$A$5:$B$5809,2,FALSE)</f>
        <v>A5157</v>
      </c>
      <c r="D985" s="12" t="s">
        <v>23153</v>
      </c>
      <c r="E985" s="13">
        <v>45904</v>
      </c>
      <c r="F985" s="14">
        <v>45904</v>
      </c>
      <c r="G985" s="15">
        <v>3700000</v>
      </c>
      <c r="H985" s="16">
        <v>12</v>
      </c>
      <c r="I985" s="17">
        <v>12</v>
      </c>
      <c r="J985" s="15">
        <v>3700000</v>
      </c>
      <c r="K985" s="98">
        <f t="shared" si="45"/>
        <v>0</v>
      </c>
      <c r="L985" s="98" t="str">
        <f t="shared" si="46"/>
        <v>Lancar</v>
      </c>
      <c r="M985" s="5" t="str">
        <f t="shared" si="47"/>
        <v>002</v>
      </c>
      <c r="N985" s="55" t="str">
        <f>VLOOKUP(D985,Pinjaman!$E$7:$N$1900,10,FALSE)</f>
        <v>KONSUMTIF</v>
      </c>
      <c r="O985" s="55">
        <f>VLOOKUP(B985,'Data Angt'!$A$5:$H$5810,6,FALSE)</f>
        <v>32</v>
      </c>
      <c r="P985" s="55" t="str">
        <f>VLOOKUP(B985,'Data Angt'!$A$5:$H$5810,8,FALSE)</f>
        <v>Karyawan</v>
      </c>
    </row>
    <row r="986" spans="1:16" x14ac:dyDescent="0.3">
      <c r="A986" s="8">
        <v>979</v>
      </c>
      <c r="B986" s="9" t="s">
        <v>14247</v>
      </c>
      <c r="C986" s="10" t="str">
        <f>VLOOKUP(B986,'Data Angt'!$A$5:$B$5809,2,FALSE)</f>
        <v>A5157</v>
      </c>
      <c r="D986" s="12" t="s">
        <v>16752</v>
      </c>
      <c r="E986" s="13">
        <v>45646</v>
      </c>
      <c r="F986" s="14">
        <v>45923</v>
      </c>
      <c r="G986" s="15">
        <v>15000000</v>
      </c>
      <c r="H986" s="16">
        <v>36</v>
      </c>
      <c r="I986" s="17">
        <v>24</v>
      </c>
      <c r="J986" s="15">
        <v>12186300</v>
      </c>
      <c r="K986" s="98">
        <f t="shared" si="45"/>
        <v>0</v>
      </c>
      <c r="L986" s="98" t="str">
        <f t="shared" si="46"/>
        <v>Lancar</v>
      </c>
      <c r="M986" s="5" t="str">
        <f t="shared" si="47"/>
        <v>002</v>
      </c>
      <c r="N986" s="55" t="str">
        <f>VLOOKUP(D986,Pinjaman!$E$7:$N$1900,10,FALSE)</f>
        <v>KONSUMTIF</v>
      </c>
      <c r="O986" s="55">
        <f>VLOOKUP(B986,'Data Angt'!$A$5:$H$5810,6,FALSE)</f>
        <v>32</v>
      </c>
      <c r="P986" s="55" t="str">
        <f>VLOOKUP(B986,'Data Angt'!$A$5:$H$5810,8,FALSE)</f>
        <v>Karyawan</v>
      </c>
    </row>
    <row r="987" spans="1:16" x14ac:dyDescent="0.3">
      <c r="A987" s="8">
        <v>980</v>
      </c>
      <c r="B987" s="9" t="s">
        <v>14269</v>
      </c>
      <c r="C987" s="10" t="str">
        <f>VLOOKUP(B987,'Data Angt'!$A$5:$B$5809,2,FALSE)</f>
        <v>A5168</v>
      </c>
      <c r="D987" s="12" t="s">
        <v>16754</v>
      </c>
      <c r="E987" s="13">
        <v>45647</v>
      </c>
      <c r="F987" s="14">
        <v>45922</v>
      </c>
      <c r="G987" s="15">
        <v>12000000</v>
      </c>
      <c r="H987" s="16">
        <v>24</v>
      </c>
      <c r="I987" s="17">
        <v>24</v>
      </c>
      <c r="J987" s="15">
        <v>8152200</v>
      </c>
      <c r="K987" s="98">
        <f t="shared" si="45"/>
        <v>0</v>
      </c>
      <c r="L987" s="98" t="str">
        <f t="shared" si="46"/>
        <v>Lancar</v>
      </c>
      <c r="M987" s="5" t="str">
        <f t="shared" si="47"/>
        <v>002</v>
      </c>
      <c r="N987" s="55" t="str">
        <f>VLOOKUP(D987,Pinjaman!$E$7:$N$1900,10,FALSE)</f>
        <v>PRODUKTIF</v>
      </c>
      <c r="O987" s="55">
        <f>VLOOKUP(B987,'Data Angt'!$A$5:$H$5810,6,FALSE)</f>
        <v>43</v>
      </c>
      <c r="P987" s="55" t="str">
        <f>VLOOKUP(B987,'Data Angt'!$A$5:$H$5810,8,FALSE)</f>
        <v>Wiraswasta</v>
      </c>
    </row>
    <row r="988" spans="1:16" x14ac:dyDescent="0.3">
      <c r="A988" s="8">
        <v>981</v>
      </c>
      <c r="B988" s="9" t="s">
        <v>14367</v>
      </c>
      <c r="C988" s="10" t="str">
        <f>VLOOKUP(B988,'Data Angt'!$A$5:$B$5809,2,FALSE)</f>
        <v>A5179</v>
      </c>
      <c r="D988" s="12" t="s">
        <v>16757</v>
      </c>
      <c r="E988" s="13">
        <v>45826</v>
      </c>
      <c r="F988" s="14">
        <v>45918</v>
      </c>
      <c r="G988" s="15">
        <v>6000000</v>
      </c>
      <c r="H988" s="16">
        <v>24</v>
      </c>
      <c r="I988" s="17">
        <v>24</v>
      </c>
      <c r="J988" s="15">
        <v>5396300</v>
      </c>
      <c r="K988" s="98">
        <f t="shared" si="45"/>
        <v>0</v>
      </c>
      <c r="L988" s="98" t="str">
        <f t="shared" si="46"/>
        <v>Lancar</v>
      </c>
      <c r="M988" s="5" t="str">
        <f t="shared" si="47"/>
        <v>002</v>
      </c>
      <c r="N988" s="55" t="str">
        <f>VLOOKUP(D988,Pinjaman!$E$7:$N$1900,10,FALSE)</f>
        <v>PENDIDIKAN</v>
      </c>
      <c r="O988" s="55">
        <f>VLOOKUP(B988,'Data Angt'!$A$5:$H$5810,6,FALSE)</f>
        <v>41</v>
      </c>
      <c r="P988" s="55" t="str">
        <f>VLOOKUP(B988,'Data Angt'!$A$5:$H$5810,8,FALSE)</f>
        <v>Tenaga Pengajar</v>
      </c>
    </row>
    <row r="989" spans="1:16" x14ac:dyDescent="0.3">
      <c r="A989" s="8">
        <v>982</v>
      </c>
      <c r="B989" s="9" t="s">
        <v>14414</v>
      </c>
      <c r="C989" s="10" t="str">
        <f>VLOOKUP(B989,'Data Angt'!$A$5:$B$5809,2,FALSE)</f>
        <v>A5199</v>
      </c>
      <c r="D989" s="12" t="s">
        <v>16759</v>
      </c>
      <c r="E989" s="13">
        <v>45727</v>
      </c>
      <c r="F989" s="14">
        <v>45930</v>
      </c>
      <c r="G989" s="15">
        <v>15000000</v>
      </c>
      <c r="H989" s="16">
        <v>18</v>
      </c>
      <c r="I989" s="17">
        <v>24</v>
      </c>
      <c r="J989" s="15">
        <v>10580700</v>
      </c>
      <c r="K989" s="98">
        <f t="shared" si="45"/>
        <v>0</v>
      </c>
      <c r="L989" s="98" t="str">
        <f t="shared" si="46"/>
        <v>Lancar</v>
      </c>
      <c r="M989" s="5" t="str">
        <f t="shared" si="47"/>
        <v>002</v>
      </c>
      <c r="N989" s="55" t="str">
        <f>VLOOKUP(D989,Pinjaman!$E$7:$N$1900,10,FALSE)</f>
        <v>PRODUKTIF</v>
      </c>
      <c r="O989" s="55">
        <f>VLOOKUP(B989,'Data Angt'!$A$5:$H$5810,6,FALSE)</f>
        <v>41</v>
      </c>
      <c r="P989" s="55" t="str">
        <f>VLOOKUP(B989,'Data Angt'!$A$5:$H$5810,8,FALSE)</f>
        <v>Wiraswasta</v>
      </c>
    </row>
    <row r="990" spans="1:16" x14ac:dyDescent="0.3">
      <c r="A990" s="8">
        <v>983</v>
      </c>
      <c r="B990" s="9" t="s">
        <v>14427</v>
      </c>
      <c r="C990" s="10" t="str">
        <f>VLOOKUP(B990,'Data Angt'!$A$5:$B$5809,2,FALSE)</f>
        <v>A5206</v>
      </c>
      <c r="D990" s="12" t="s">
        <v>16761</v>
      </c>
      <c r="E990" s="13">
        <v>45682</v>
      </c>
      <c r="F990" s="14">
        <v>45922</v>
      </c>
      <c r="G990" s="15">
        <v>10000000</v>
      </c>
      <c r="H990" s="16">
        <v>18</v>
      </c>
      <c r="I990" s="17">
        <v>24</v>
      </c>
      <c r="J990" s="15">
        <v>5991200</v>
      </c>
      <c r="K990" s="98">
        <f t="shared" si="45"/>
        <v>0</v>
      </c>
      <c r="L990" s="98" t="str">
        <f t="shared" si="46"/>
        <v>Lancar</v>
      </c>
      <c r="M990" s="5" t="str">
        <f t="shared" si="47"/>
        <v>002</v>
      </c>
      <c r="N990" s="55" t="str">
        <f>VLOOKUP(D990,Pinjaman!$E$7:$N$1900,10,FALSE)</f>
        <v>PRODUKTIF</v>
      </c>
      <c r="O990" s="55">
        <f>VLOOKUP(B990,'Data Angt'!$A$5:$H$5810,6,FALSE)</f>
        <v>35</v>
      </c>
      <c r="P990" s="55" t="str">
        <f>VLOOKUP(B990,'Data Angt'!$A$5:$H$5810,8,FALSE)</f>
        <v>Wiraswasta</v>
      </c>
    </row>
    <row r="991" spans="1:16" x14ac:dyDescent="0.3">
      <c r="A991" s="8">
        <v>984</v>
      </c>
      <c r="B991" s="9" t="s">
        <v>14430</v>
      </c>
      <c r="C991" s="10" t="str">
        <f>VLOOKUP(B991,'Data Angt'!$A$5:$B$5809,2,FALSE)</f>
        <v>A5207</v>
      </c>
      <c r="D991" s="12" t="s">
        <v>16764</v>
      </c>
      <c r="E991" s="13">
        <v>45672</v>
      </c>
      <c r="F991" s="14">
        <v>45915</v>
      </c>
      <c r="G991" s="15">
        <v>50000000</v>
      </c>
      <c r="H991" s="16">
        <v>24</v>
      </c>
      <c r="I991" s="17">
        <v>21</v>
      </c>
      <c r="J991" s="15">
        <v>33332800</v>
      </c>
      <c r="K991" s="98">
        <f t="shared" si="45"/>
        <v>0</v>
      </c>
      <c r="L991" s="98" t="str">
        <f t="shared" si="46"/>
        <v>Lancar</v>
      </c>
      <c r="M991" s="5" t="str">
        <f t="shared" si="47"/>
        <v>002</v>
      </c>
      <c r="N991" s="55" t="str">
        <f>VLOOKUP(D991,Pinjaman!$E$7:$N$1900,10,FALSE)</f>
        <v>PRODUKTIF</v>
      </c>
      <c r="O991" s="55">
        <f>VLOOKUP(B991,'Data Angt'!$A$5:$H$5810,6,FALSE)</f>
        <v>68</v>
      </c>
      <c r="P991" s="55" t="str">
        <f>VLOOKUP(B991,'Data Angt'!$A$5:$H$5810,8,FALSE)</f>
        <v>Wiraswasta</v>
      </c>
    </row>
    <row r="992" spans="1:16" x14ac:dyDescent="0.3">
      <c r="A992" s="8">
        <v>985</v>
      </c>
      <c r="B992" s="9" t="s">
        <v>14444</v>
      </c>
      <c r="C992" s="10" t="str">
        <f>VLOOKUP(B992,'Data Angt'!$A$5:$B$5809,2,FALSE)</f>
        <v>A5213</v>
      </c>
      <c r="D992" s="12" t="s">
        <v>16767</v>
      </c>
      <c r="E992" s="13">
        <v>45673</v>
      </c>
      <c r="F992" s="14">
        <v>45916</v>
      </c>
      <c r="G992" s="15">
        <v>60000000</v>
      </c>
      <c r="H992" s="16">
        <v>36</v>
      </c>
      <c r="I992" s="17">
        <v>21</v>
      </c>
      <c r="J992" s="15">
        <v>49701300</v>
      </c>
      <c r="K992" s="98">
        <f t="shared" si="45"/>
        <v>0</v>
      </c>
      <c r="L992" s="98" t="str">
        <f t="shared" si="46"/>
        <v>Lancar</v>
      </c>
      <c r="M992" s="5" t="str">
        <f t="shared" si="47"/>
        <v>002</v>
      </c>
      <c r="N992" s="55" t="str">
        <f>VLOOKUP(D992,Pinjaman!$E$7:$N$1900,10,FALSE)</f>
        <v>KONSUMTIF</v>
      </c>
      <c r="O992" s="55">
        <f>VLOOKUP(B992,'Data Angt'!$A$5:$H$5810,6,FALSE)</f>
        <v>49</v>
      </c>
      <c r="P992" s="55" t="str">
        <f>VLOOKUP(B992,'Data Angt'!$A$5:$H$5810,8,FALSE)</f>
        <v>Karyawan</v>
      </c>
    </row>
    <row r="993" spans="1:16" x14ac:dyDescent="0.3">
      <c r="A993" s="8">
        <v>986</v>
      </c>
      <c r="B993" s="9" t="s">
        <v>14489</v>
      </c>
      <c r="C993" s="10" t="str">
        <f>VLOOKUP(B993,'Data Angt'!$A$5:$B$5809,2,FALSE)</f>
        <v>A5232</v>
      </c>
      <c r="D993" s="12" t="s">
        <v>16769</v>
      </c>
      <c r="E993" s="13">
        <v>45682</v>
      </c>
      <c r="F993" s="14">
        <v>45925</v>
      </c>
      <c r="G993" s="15">
        <v>15000000</v>
      </c>
      <c r="H993" s="16">
        <v>36</v>
      </c>
      <c r="I993" s="17">
        <v>24</v>
      </c>
      <c r="J993" s="15">
        <v>12524300</v>
      </c>
      <c r="K993" s="98">
        <f t="shared" si="45"/>
        <v>0</v>
      </c>
      <c r="L993" s="98" t="str">
        <f t="shared" si="46"/>
        <v>Lancar</v>
      </c>
      <c r="M993" s="5" t="str">
        <f t="shared" si="47"/>
        <v>002</v>
      </c>
      <c r="N993" s="55" t="str">
        <f>VLOOKUP(D993,Pinjaman!$E$7:$N$1900,10,FALSE)</f>
        <v>KESEJAHTERAAN</v>
      </c>
      <c r="O993" s="55">
        <f>VLOOKUP(B993,'Data Angt'!$A$5:$H$5810,6,FALSE)</f>
        <v>28</v>
      </c>
      <c r="P993" s="55" t="str">
        <f>VLOOKUP(B993,'Data Angt'!$A$5:$H$5810,8,FALSE)</f>
        <v>Karyawan</v>
      </c>
    </row>
    <row r="994" spans="1:16" x14ac:dyDescent="0.3">
      <c r="A994" s="8">
        <v>987</v>
      </c>
      <c r="B994" s="9" t="s">
        <v>14516</v>
      </c>
      <c r="C994" s="10" t="str">
        <f>VLOOKUP(B994,'Data Angt'!$A$5:$B$5809,2,FALSE)</f>
        <v>A5243</v>
      </c>
      <c r="D994" s="12" t="s">
        <v>16771</v>
      </c>
      <c r="E994" s="13">
        <v>45687</v>
      </c>
      <c r="F994" s="14">
        <v>45874</v>
      </c>
      <c r="G994" s="15">
        <v>15000000</v>
      </c>
      <c r="H994" s="16">
        <v>24</v>
      </c>
      <c r="I994" s="17">
        <v>24</v>
      </c>
      <c r="J994" s="15">
        <v>12434100</v>
      </c>
      <c r="K994" s="98">
        <f t="shared" si="45"/>
        <v>1</v>
      </c>
      <c r="L994" s="98" t="str">
        <f t="shared" si="46"/>
        <v>Lancar</v>
      </c>
      <c r="M994" s="5" t="str">
        <f t="shared" si="47"/>
        <v>002</v>
      </c>
      <c r="N994" s="55" t="str">
        <f>VLOOKUP(D994,Pinjaman!$E$7:$N$1900,10,FALSE)</f>
        <v>PRODUKTIF</v>
      </c>
      <c r="O994" s="55">
        <f>VLOOKUP(B994,'Data Angt'!$A$5:$H$5810,6,FALSE)</f>
        <v>39</v>
      </c>
      <c r="P994" s="55" t="str">
        <f>VLOOKUP(B994,'Data Angt'!$A$5:$H$5810,8,FALSE)</f>
        <v>Wiraswasta</v>
      </c>
    </row>
    <row r="995" spans="1:16" x14ac:dyDescent="0.3">
      <c r="A995" s="8">
        <v>988</v>
      </c>
      <c r="B995" s="9" t="s">
        <v>14564</v>
      </c>
      <c r="C995" s="10" t="str">
        <f>VLOOKUP(B995,'Data Angt'!$A$5:$B$5809,2,FALSE)</f>
        <v>A5263</v>
      </c>
      <c r="D995" s="12" t="s">
        <v>23165</v>
      </c>
      <c r="E995" s="13">
        <v>45902</v>
      </c>
      <c r="F995" s="14">
        <v>45902</v>
      </c>
      <c r="G995" s="15">
        <v>15000000</v>
      </c>
      <c r="H995" s="16">
        <v>10</v>
      </c>
      <c r="I995" s="17">
        <v>24</v>
      </c>
      <c r="J995" s="15">
        <v>15000000</v>
      </c>
      <c r="K995" s="98">
        <f t="shared" si="45"/>
        <v>0</v>
      </c>
      <c r="L995" s="98" t="str">
        <f t="shared" si="46"/>
        <v>Lancar</v>
      </c>
      <c r="M995" s="5" t="str">
        <f t="shared" si="47"/>
        <v>002</v>
      </c>
      <c r="N995" s="55" t="str">
        <f>VLOOKUP(D995,Pinjaman!$E$7:$N$1900,10,FALSE)</f>
        <v>PENDIDIKAN</v>
      </c>
      <c r="O995" s="55">
        <f>VLOOKUP(B995,'Data Angt'!$A$5:$H$5810,6,FALSE)</f>
        <v>58</v>
      </c>
      <c r="P995" s="55" t="str">
        <f>VLOOKUP(B995,'Data Angt'!$A$5:$H$5810,8,FALSE)</f>
        <v>Aparatur/Pejabat Negara</v>
      </c>
    </row>
    <row r="996" spans="1:16" x14ac:dyDescent="0.3">
      <c r="A996" s="8">
        <v>989</v>
      </c>
      <c r="B996" s="9" t="s">
        <v>14568</v>
      </c>
      <c r="C996" s="10" t="str">
        <f>VLOOKUP(B996,'Data Angt'!$A$5:$B$5809,2,FALSE)</f>
        <v>A5265</v>
      </c>
      <c r="D996" s="12" t="s">
        <v>23168</v>
      </c>
      <c r="E996" s="13">
        <v>45917</v>
      </c>
      <c r="F996" s="14">
        <v>45917</v>
      </c>
      <c r="G996" s="15">
        <v>6000000</v>
      </c>
      <c r="H996" s="16">
        <v>5</v>
      </c>
      <c r="I996" s="17">
        <v>24</v>
      </c>
      <c r="J996" s="15">
        <v>6000000</v>
      </c>
      <c r="K996" s="98">
        <f t="shared" si="45"/>
        <v>0</v>
      </c>
      <c r="L996" s="98" t="str">
        <f t="shared" si="46"/>
        <v>Lancar</v>
      </c>
      <c r="M996" s="5" t="str">
        <f t="shared" si="47"/>
        <v>002</v>
      </c>
      <c r="N996" s="55" t="str">
        <f>VLOOKUP(D996,Pinjaman!$E$7:$N$1900,10,FALSE)</f>
        <v>PRODUKTIF</v>
      </c>
      <c r="O996" s="55">
        <f>VLOOKUP(B996,'Data Angt'!$A$5:$H$5810,6,FALSE)</f>
        <v>41</v>
      </c>
      <c r="P996" s="55" t="str">
        <f>VLOOKUP(B996,'Data Angt'!$A$5:$H$5810,8,FALSE)</f>
        <v>Karyawan</v>
      </c>
    </row>
    <row r="997" spans="1:16" x14ac:dyDescent="0.3">
      <c r="A997" s="8">
        <v>990</v>
      </c>
      <c r="B997" s="9" t="s">
        <v>14573</v>
      </c>
      <c r="C997" s="10" t="str">
        <f>VLOOKUP(B997,'Data Angt'!$A$5:$B$5809,2,FALSE)</f>
        <v>A5267</v>
      </c>
      <c r="D997" s="12" t="s">
        <v>16773</v>
      </c>
      <c r="E997" s="13">
        <v>45741</v>
      </c>
      <c r="F997" s="14">
        <v>45926</v>
      </c>
      <c r="G997" s="15">
        <v>1500000</v>
      </c>
      <c r="H997" s="16">
        <v>10</v>
      </c>
      <c r="I997" s="17">
        <v>24</v>
      </c>
      <c r="J997" s="15">
        <v>636100</v>
      </c>
      <c r="K997" s="98">
        <f t="shared" si="45"/>
        <v>0</v>
      </c>
      <c r="L997" s="98" t="str">
        <f t="shared" si="46"/>
        <v>Lancar</v>
      </c>
      <c r="M997" s="5" t="str">
        <f t="shared" si="47"/>
        <v>002</v>
      </c>
      <c r="N997" s="55" t="str">
        <f>VLOOKUP(D997,Pinjaman!$E$7:$N$1900,10,FALSE)</f>
        <v>KONSUMTIF</v>
      </c>
      <c r="O997" s="55">
        <f>VLOOKUP(B997,'Data Angt'!$A$5:$H$5810,6,FALSE)</f>
        <v>37</v>
      </c>
      <c r="P997" s="55" t="str">
        <f>VLOOKUP(B997,'Data Angt'!$A$5:$H$5810,8,FALSE)</f>
        <v>Tenaga Pengajar</v>
      </c>
    </row>
    <row r="998" spans="1:16" x14ac:dyDescent="0.3">
      <c r="A998" s="8">
        <v>991</v>
      </c>
      <c r="B998" s="9" t="s">
        <v>14604</v>
      </c>
      <c r="C998" s="10" t="str">
        <f>VLOOKUP(B998,'Data Angt'!$A$5:$B$5809,2,FALSE)</f>
        <v>A5280</v>
      </c>
      <c r="D998" s="12" t="s">
        <v>16775</v>
      </c>
      <c r="E998" s="13">
        <v>45695</v>
      </c>
      <c r="F998" s="14">
        <v>45908</v>
      </c>
      <c r="G998" s="15">
        <v>1500000</v>
      </c>
      <c r="H998" s="16">
        <v>10</v>
      </c>
      <c r="I998" s="17">
        <v>24</v>
      </c>
      <c r="J998" s="15">
        <v>481900</v>
      </c>
      <c r="K998" s="98">
        <f t="shared" si="45"/>
        <v>0</v>
      </c>
      <c r="L998" s="98" t="str">
        <f t="shared" si="46"/>
        <v>Lancar</v>
      </c>
      <c r="M998" s="5" t="str">
        <f t="shared" si="47"/>
        <v>002</v>
      </c>
      <c r="N998" s="55" t="str">
        <f>VLOOKUP(D998,Pinjaman!$E$7:$N$1900,10,FALSE)</f>
        <v>PRODUKTIF</v>
      </c>
      <c r="O998" s="55">
        <f>VLOOKUP(B998,'Data Angt'!$A$5:$H$5810,6,FALSE)</f>
        <v>23</v>
      </c>
      <c r="P998" s="55" t="str">
        <f>VLOOKUP(B998,'Data Angt'!$A$5:$H$5810,8,FALSE)</f>
        <v>Wiraswasta</v>
      </c>
    </row>
    <row r="999" spans="1:16" x14ac:dyDescent="0.3">
      <c r="A999" s="8">
        <v>992</v>
      </c>
      <c r="B999" s="9" t="s">
        <v>14642</v>
      </c>
      <c r="C999" s="10" t="str">
        <f>VLOOKUP(B999,'Data Angt'!$A$5:$B$5809,2,FALSE)</f>
        <v>A5297</v>
      </c>
      <c r="D999" s="12" t="s">
        <v>23171</v>
      </c>
      <c r="E999" s="13">
        <v>45890</v>
      </c>
      <c r="F999" s="14">
        <v>45920</v>
      </c>
      <c r="G999" s="15">
        <v>1000000</v>
      </c>
      <c r="H999" s="16">
        <v>12</v>
      </c>
      <c r="I999" s="17">
        <v>24</v>
      </c>
      <c r="J999" s="15">
        <v>925400</v>
      </c>
      <c r="K999" s="98">
        <f t="shared" si="45"/>
        <v>0</v>
      </c>
      <c r="L999" s="98" t="str">
        <f t="shared" si="46"/>
        <v>Lancar</v>
      </c>
      <c r="M999" s="5" t="str">
        <f t="shared" si="47"/>
        <v>002</v>
      </c>
      <c r="N999" s="55" t="str">
        <f>VLOOKUP(D999,Pinjaman!$E$7:$N$1900,10,FALSE)</f>
        <v>PENDIDIKAN</v>
      </c>
      <c r="O999" s="55">
        <f>VLOOKUP(B999,'Data Angt'!$A$5:$H$5810,6,FALSE)</f>
        <v>35</v>
      </c>
      <c r="P999" s="55" t="str">
        <f>VLOOKUP(B999,'Data Angt'!$A$5:$H$5810,8,FALSE)</f>
        <v>Karyawan</v>
      </c>
    </row>
    <row r="1000" spans="1:16" x14ac:dyDescent="0.3">
      <c r="A1000" s="8">
        <v>993</v>
      </c>
      <c r="B1000" s="9" t="s">
        <v>14723</v>
      </c>
      <c r="C1000" s="10" t="str">
        <f>VLOOKUP(B1000,'Data Angt'!$A$5:$B$5809,2,FALSE)</f>
        <v>A5330</v>
      </c>
      <c r="D1000" s="12" t="s">
        <v>16777</v>
      </c>
      <c r="E1000" s="13">
        <v>45726</v>
      </c>
      <c r="F1000" s="14">
        <v>45909</v>
      </c>
      <c r="G1000" s="15">
        <v>35000000</v>
      </c>
      <c r="H1000" s="16">
        <v>30</v>
      </c>
      <c r="I1000" s="17">
        <v>21</v>
      </c>
      <c r="J1000" s="15">
        <v>29376700</v>
      </c>
      <c r="K1000" s="98">
        <f t="shared" si="45"/>
        <v>0</v>
      </c>
      <c r="L1000" s="98" t="str">
        <f t="shared" si="46"/>
        <v>Lancar</v>
      </c>
      <c r="M1000" s="5" t="str">
        <f t="shared" si="47"/>
        <v>002</v>
      </c>
      <c r="N1000" s="55" t="str">
        <f>VLOOKUP(D1000,Pinjaman!$E$7:$N$1900,10,FALSE)</f>
        <v>PRODUKTIF</v>
      </c>
      <c r="O1000" s="55">
        <f>VLOOKUP(B1000,'Data Angt'!$A$5:$H$5810,6,FALSE)</f>
        <v>40</v>
      </c>
      <c r="P1000" s="55" t="str">
        <f>VLOOKUP(B1000,'Data Angt'!$A$5:$H$5810,8,FALSE)</f>
        <v>Aparatur/Pejabat Negara</v>
      </c>
    </row>
    <row r="1001" spans="1:16" x14ac:dyDescent="0.3">
      <c r="A1001" s="8">
        <v>994</v>
      </c>
      <c r="B1001" s="9" t="s">
        <v>14755</v>
      </c>
      <c r="C1001" s="10" t="str">
        <f>VLOOKUP(B1001,'Data Angt'!$A$5:$B$5809,2,FALSE)</f>
        <v>A5345</v>
      </c>
      <c r="D1001" s="12" t="s">
        <v>16780</v>
      </c>
      <c r="E1001" s="13">
        <v>45723</v>
      </c>
      <c r="F1001" s="14">
        <v>45908</v>
      </c>
      <c r="G1001" s="15">
        <v>25000000</v>
      </c>
      <c r="H1001" s="16">
        <v>24</v>
      </c>
      <c r="I1001" s="17">
        <v>21</v>
      </c>
      <c r="J1001" s="15">
        <v>19689400</v>
      </c>
      <c r="K1001" s="98">
        <f t="shared" si="45"/>
        <v>0</v>
      </c>
      <c r="L1001" s="98" t="str">
        <f t="shared" si="46"/>
        <v>Lancar</v>
      </c>
      <c r="M1001" s="5" t="str">
        <f t="shared" si="47"/>
        <v>002</v>
      </c>
      <c r="N1001" s="55" t="str">
        <f>VLOOKUP(D1001,Pinjaman!$E$7:$N$1900,10,FALSE)</f>
        <v>PENDIDIKAN</v>
      </c>
      <c r="O1001" s="55">
        <f>VLOOKUP(B1001,'Data Angt'!$A$5:$H$5810,6,FALSE)</f>
        <v>47</v>
      </c>
      <c r="P1001" s="55" t="str">
        <f>VLOOKUP(B1001,'Data Angt'!$A$5:$H$5810,8,FALSE)</f>
        <v>Aparatur/Pejabat Negara</v>
      </c>
    </row>
    <row r="1002" spans="1:16" x14ac:dyDescent="0.3">
      <c r="A1002" s="8">
        <v>995</v>
      </c>
      <c r="B1002" s="9" t="s">
        <v>14767</v>
      </c>
      <c r="C1002" s="10" t="str">
        <f>VLOOKUP(B1002,'Data Angt'!$A$5:$B$5809,2,FALSE)</f>
        <v>A5351</v>
      </c>
      <c r="D1002" s="12" t="s">
        <v>16782</v>
      </c>
      <c r="E1002" s="13">
        <v>45709</v>
      </c>
      <c r="F1002" s="14">
        <v>45773</v>
      </c>
      <c r="G1002" s="15">
        <v>5000000</v>
      </c>
      <c r="H1002" s="16">
        <v>12</v>
      </c>
      <c r="I1002" s="17">
        <v>24</v>
      </c>
      <c r="J1002" s="15">
        <v>4247000</v>
      </c>
      <c r="K1002" s="98">
        <f t="shared" si="45"/>
        <v>5</v>
      </c>
      <c r="L1002" s="98" t="str">
        <f t="shared" si="46"/>
        <v>Kurang lancar</v>
      </c>
      <c r="M1002" s="5" t="str">
        <f t="shared" si="47"/>
        <v>002</v>
      </c>
      <c r="N1002" s="55" t="str">
        <f>VLOOKUP(D1002,Pinjaman!$E$7:$N$1900,10,FALSE)</f>
        <v>KESEJAHTERAAN</v>
      </c>
      <c r="O1002" s="55">
        <f>VLOOKUP(B1002,'Data Angt'!$A$5:$H$5810,6,FALSE)</f>
        <v>52</v>
      </c>
      <c r="P1002" s="55" t="str">
        <f>VLOOKUP(B1002,'Data Angt'!$A$5:$H$5810,8,FALSE)</f>
        <v>Karyawan</v>
      </c>
    </row>
    <row r="1003" spans="1:16" x14ac:dyDescent="0.3">
      <c r="A1003" s="8">
        <v>996</v>
      </c>
      <c r="B1003" s="9" t="s">
        <v>14769</v>
      </c>
      <c r="C1003" s="10" t="str">
        <f>VLOOKUP(B1003,'Data Angt'!$A$5:$B$5809,2,FALSE)</f>
        <v>A5352</v>
      </c>
      <c r="D1003" s="12" t="s">
        <v>16784</v>
      </c>
      <c r="E1003" s="13">
        <v>45709</v>
      </c>
      <c r="F1003" s="14">
        <v>45930</v>
      </c>
      <c r="G1003" s="15">
        <v>1500000</v>
      </c>
      <c r="H1003" s="16">
        <v>10</v>
      </c>
      <c r="I1003" s="17">
        <v>24</v>
      </c>
      <c r="J1003" s="15">
        <v>636100</v>
      </c>
      <c r="K1003" s="98">
        <f t="shared" si="45"/>
        <v>0</v>
      </c>
      <c r="L1003" s="98" t="str">
        <f t="shared" si="46"/>
        <v>Lancar</v>
      </c>
      <c r="M1003" s="5" t="str">
        <f t="shared" si="47"/>
        <v>002</v>
      </c>
      <c r="N1003" s="55" t="str">
        <f>VLOOKUP(D1003,Pinjaman!$E$7:$N$1900,10,FALSE)</f>
        <v>PRODUKTIF</v>
      </c>
      <c r="O1003" s="55">
        <f>VLOOKUP(B1003,'Data Angt'!$A$5:$H$5810,6,FALSE)</f>
        <v>24</v>
      </c>
      <c r="P1003" s="55" t="str">
        <f>VLOOKUP(B1003,'Data Angt'!$A$5:$H$5810,8,FALSE)</f>
        <v>Wiraswasta</v>
      </c>
    </row>
    <row r="1004" spans="1:16" x14ac:dyDescent="0.3">
      <c r="A1004" s="8">
        <v>997</v>
      </c>
      <c r="B1004" s="9" t="s">
        <v>14771</v>
      </c>
      <c r="C1004" s="10" t="str">
        <f>VLOOKUP(B1004,'Data Angt'!$A$5:$B$5809,2,FALSE)</f>
        <v>A5353</v>
      </c>
      <c r="D1004" s="12" t="s">
        <v>16786</v>
      </c>
      <c r="E1004" s="13">
        <v>45709</v>
      </c>
      <c r="F1004" s="14">
        <v>45930</v>
      </c>
      <c r="G1004" s="15">
        <v>1500000</v>
      </c>
      <c r="H1004" s="16">
        <v>10</v>
      </c>
      <c r="I1004" s="17">
        <v>24</v>
      </c>
      <c r="J1004" s="15">
        <v>481900</v>
      </c>
      <c r="K1004" s="98">
        <f t="shared" si="45"/>
        <v>0</v>
      </c>
      <c r="L1004" s="98" t="str">
        <f t="shared" si="46"/>
        <v>Lancar</v>
      </c>
      <c r="M1004" s="5" t="str">
        <f t="shared" si="47"/>
        <v>002</v>
      </c>
      <c r="N1004" s="55" t="str">
        <f>VLOOKUP(D1004,Pinjaman!$E$7:$N$1900,10,FALSE)</f>
        <v>PRODUKTIF</v>
      </c>
      <c r="O1004" s="55">
        <f>VLOOKUP(B1004,'Data Angt'!$A$5:$H$5810,6,FALSE)</f>
        <v>49</v>
      </c>
      <c r="P1004" s="55" t="str">
        <f>VLOOKUP(B1004,'Data Angt'!$A$5:$H$5810,8,FALSE)</f>
        <v>Mengurus Rumah Tangga</v>
      </c>
    </row>
    <row r="1005" spans="1:16" x14ac:dyDescent="0.3">
      <c r="A1005" s="8">
        <v>998</v>
      </c>
      <c r="B1005" s="9" t="s">
        <v>14773</v>
      </c>
      <c r="C1005" s="10" t="str">
        <f>VLOOKUP(B1005,'Data Angt'!$A$5:$B$5809,2,FALSE)</f>
        <v>A5354</v>
      </c>
      <c r="D1005" s="12" t="s">
        <v>16788</v>
      </c>
      <c r="E1005" s="13">
        <v>45709</v>
      </c>
      <c r="F1005" s="14">
        <v>45917</v>
      </c>
      <c r="G1005" s="15">
        <v>1500000</v>
      </c>
      <c r="H1005" s="16">
        <v>10</v>
      </c>
      <c r="I1005" s="17">
        <v>24</v>
      </c>
      <c r="J1005" s="15">
        <v>481900</v>
      </c>
      <c r="K1005" s="98">
        <f t="shared" si="45"/>
        <v>0</v>
      </c>
      <c r="L1005" s="98" t="str">
        <f t="shared" si="46"/>
        <v>Lancar</v>
      </c>
      <c r="M1005" s="5" t="str">
        <f t="shared" si="47"/>
        <v>002</v>
      </c>
      <c r="N1005" s="55" t="str">
        <f>VLOOKUP(D1005,Pinjaman!$E$7:$N$1900,10,FALSE)</f>
        <v>KONSUMTIF</v>
      </c>
      <c r="O1005" s="55">
        <f>VLOOKUP(B1005,'Data Angt'!$A$5:$H$5810,6,FALSE)</f>
        <v>45</v>
      </c>
      <c r="P1005" s="55" t="str">
        <f>VLOOKUP(B1005,'Data Angt'!$A$5:$H$5810,8,FALSE)</f>
        <v>Mengurus Rumah Tangga</v>
      </c>
    </row>
    <row r="1006" spans="1:16" x14ac:dyDescent="0.3">
      <c r="A1006" s="8">
        <v>999</v>
      </c>
      <c r="B1006" s="9" t="s">
        <v>14775</v>
      </c>
      <c r="C1006" s="10" t="str">
        <f>VLOOKUP(B1006,'Data Angt'!$A$5:$B$5809,2,FALSE)</f>
        <v>A5355</v>
      </c>
      <c r="D1006" s="12" t="s">
        <v>16790</v>
      </c>
      <c r="E1006" s="13">
        <v>45709</v>
      </c>
      <c r="F1006" s="14">
        <v>45917</v>
      </c>
      <c r="G1006" s="15">
        <v>1500000</v>
      </c>
      <c r="H1006" s="16">
        <v>10</v>
      </c>
      <c r="I1006" s="17">
        <v>24</v>
      </c>
      <c r="J1006" s="15">
        <v>481900</v>
      </c>
      <c r="K1006" s="98">
        <f t="shared" si="45"/>
        <v>0</v>
      </c>
      <c r="L1006" s="98" t="str">
        <f t="shared" si="46"/>
        <v>Lancar</v>
      </c>
      <c r="M1006" s="5" t="str">
        <f t="shared" si="47"/>
        <v>002</v>
      </c>
      <c r="N1006" s="55" t="str">
        <f>VLOOKUP(D1006,Pinjaman!$E$7:$N$1900,10,FALSE)</f>
        <v>PENDIDIKAN</v>
      </c>
      <c r="O1006" s="55">
        <f>VLOOKUP(B1006,'Data Angt'!$A$5:$H$5810,6,FALSE)</f>
        <v>47</v>
      </c>
      <c r="P1006" s="55" t="str">
        <f>VLOOKUP(B1006,'Data Angt'!$A$5:$H$5810,8,FALSE)</f>
        <v>Mengurus Rumah Tangga</v>
      </c>
    </row>
    <row r="1007" spans="1:16" x14ac:dyDescent="0.3">
      <c r="A1007" s="8">
        <v>1000</v>
      </c>
      <c r="B1007" s="9" t="s">
        <v>14821</v>
      </c>
      <c r="C1007" s="10" t="str">
        <f>VLOOKUP(B1007,'Data Angt'!$A$5:$B$5809,2,FALSE)</f>
        <v>A5378</v>
      </c>
      <c r="D1007" s="12" t="s">
        <v>16792</v>
      </c>
      <c r="E1007" s="13">
        <v>45812</v>
      </c>
      <c r="F1007" s="14">
        <v>45904</v>
      </c>
      <c r="G1007" s="15">
        <v>5000000</v>
      </c>
      <c r="H1007" s="16">
        <v>12</v>
      </c>
      <c r="I1007" s="17">
        <v>24</v>
      </c>
      <c r="J1007" s="15">
        <v>3859200</v>
      </c>
      <c r="K1007" s="98">
        <f t="shared" si="45"/>
        <v>0</v>
      </c>
      <c r="L1007" s="98" t="str">
        <f t="shared" si="46"/>
        <v>Lancar</v>
      </c>
      <c r="M1007" s="5" t="str">
        <f t="shared" si="47"/>
        <v>002</v>
      </c>
      <c r="N1007" s="55" t="str">
        <f>VLOOKUP(D1007,Pinjaman!$E$7:$N$1900,10,FALSE)</f>
        <v>PRODUKTIF</v>
      </c>
      <c r="O1007" s="55">
        <f>VLOOKUP(B1007,'Data Angt'!$A$5:$H$5810,6,FALSE)</f>
        <v>56</v>
      </c>
      <c r="P1007" s="55" t="str">
        <f>VLOOKUP(B1007,'Data Angt'!$A$5:$H$5810,8,FALSE)</f>
        <v>Karyawan</v>
      </c>
    </row>
    <row r="1008" spans="1:16" x14ac:dyDescent="0.3">
      <c r="A1008" s="8">
        <v>1001</v>
      </c>
      <c r="B1008" s="9" t="s">
        <v>14886</v>
      </c>
      <c r="C1008" s="10" t="str">
        <f>VLOOKUP(B1008,'Data Angt'!$A$5:$B$5809,2,FALSE)</f>
        <v>A5406</v>
      </c>
      <c r="D1008" s="12" t="s">
        <v>16794</v>
      </c>
      <c r="E1008" s="13">
        <v>45722</v>
      </c>
      <c r="F1008" s="14">
        <v>45912</v>
      </c>
      <c r="G1008" s="15">
        <v>1500000</v>
      </c>
      <c r="H1008" s="16">
        <v>10</v>
      </c>
      <c r="I1008" s="17">
        <v>24</v>
      </c>
      <c r="J1008" s="15">
        <v>636100</v>
      </c>
      <c r="K1008" s="98">
        <f t="shared" si="45"/>
        <v>0</v>
      </c>
      <c r="L1008" s="98" t="str">
        <f t="shared" si="46"/>
        <v>Lancar</v>
      </c>
      <c r="M1008" s="5" t="str">
        <f t="shared" si="47"/>
        <v>002</v>
      </c>
      <c r="N1008" s="55" t="str">
        <f>VLOOKUP(D1008,Pinjaman!$E$7:$N$1900,10,FALSE)</f>
        <v>PRODUKTIF</v>
      </c>
      <c r="O1008" s="55">
        <f>VLOOKUP(B1008,'Data Angt'!$A$5:$H$5810,6,FALSE)</f>
        <v>34</v>
      </c>
      <c r="P1008" s="55" t="str">
        <f>VLOOKUP(B1008,'Data Angt'!$A$5:$H$5810,8,FALSE)</f>
        <v>Wiraswasta</v>
      </c>
    </row>
    <row r="1009" spans="1:16" x14ac:dyDescent="0.3">
      <c r="A1009" s="8">
        <v>1002</v>
      </c>
      <c r="B1009" s="9" t="s">
        <v>14888</v>
      </c>
      <c r="C1009" s="10" t="str">
        <f>VLOOKUP(B1009,'Data Angt'!$A$5:$B$5809,2,FALSE)</f>
        <v>A5407</v>
      </c>
      <c r="D1009" s="12" t="s">
        <v>16797</v>
      </c>
      <c r="E1009" s="13">
        <v>45722</v>
      </c>
      <c r="F1009" s="14">
        <v>45908</v>
      </c>
      <c r="G1009" s="15">
        <v>1500000</v>
      </c>
      <c r="H1009" s="16">
        <v>10</v>
      </c>
      <c r="I1009" s="17">
        <v>24</v>
      </c>
      <c r="J1009" s="15">
        <v>636100</v>
      </c>
      <c r="K1009" s="98">
        <f t="shared" si="45"/>
        <v>0</v>
      </c>
      <c r="L1009" s="98" t="str">
        <f t="shared" si="46"/>
        <v>Lancar</v>
      </c>
      <c r="M1009" s="5" t="str">
        <f t="shared" si="47"/>
        <v>002</v>
      </c>
      <c r="N1009" s="55" t="str">
        <f>VLOOKUP(D1009,Pinjaman!$E$7:$N$1900,10,FALSE)</f>
        <v>PRODUKTIF</v>
      </c>
      <c r="O1009" s="55">
        <f>VLOOKUP(B1009,'Data Angt'!$A$5:$H$5810,6,FALSE)</f>
        <v>23</v>
      </c>
      <c r="P1009" s="55" t="str">
        <f>VLOOKUP(B1009,'Data Angt'!$A$5:$H$5810,8,FALSE)</f>
        <v>Wiraswasta</v>
      </c>
    </row>
    <row r="1010" spans="1:16" x14ac:dyDescent="0.3">
      <c r="A1010" s="8">
        <v>1003</v>
      </c>
      <c r="B1010" s="9" t="s">
        <v>14895</v>
      </c>
      <c r="C1010" s="10" t="str">
        <f>VLOOKUP(B1010,'Data Angt'!$A$5:$B$5809,2,FALSE)</f>
        <v>A5410</v>
      </c>
      <c r="D1010" s="12" t="s">
        <v>16799</v>
      </c>
      <c r="E1010" s="13">
        <v>45797</v>
      </c>
      <c r="F1010" s="14">
        <v>45930</v>
      </c>
      <c r="G1010" s="15">
        <v>10000000</v>
      </c>
      <c r="H1010" s="16">
        <v>30</v>
      </c>
      <c r="I1010" s="17">
        <v>24</v>
      </c>
      <c r="J1010" s="15">
        <v>8984200</v>
      </c>
      <c r="K1010" s="98">
        <f t="shared" si="45"/>
        <v>0</v>
      </c>
      <c r="L1010" s="98" t="str">
        <f t="shared" si="46"/>
        <v>Lancar</v>
      </c>
      <c r="M1010" s="5" t="str">
        <f t="shared" si="47"/>
        <v>002</v>
      </c>
      <c r="N1010" s="55" t="str">
        <f>VLOOKUP(D1010,Pinjaman!$E$7:$N$1900,10,FALSE)</f>
        <v>PRODUKTIF</v>
      </c>
      <c r="O1010" s="55">
        <f>VLOOKUP(B1010,'Data Angt'!$A$5:$H$5810,6,FALSE)</f>
        <v>33</v>
      </c>
      <c r="P1010" s="55" t="str">
        <f>VLOOKUP(B1010,'Data Angt'!$A$5:$H$5810,8,FALSE)</f>
        <v>Karyawan</v>
      </c>
    </row>
    <row r="1011" spans="1:16" x14ac:dyDescent="0.3">
      <c r="A1011" s="8">
        <v>1004</v>
      </c>
      <c r="B1011" s="9" t="s">
        <v>14939</v>
      </c>
      <c r="C1011" s="10" t="str">
        <f>VLOOKUP(B1011,'Data Angt'!$A$5:$B$5809,2,FALSE)</f>
        <v>A5429</v>
      </c>
      <c r="D1011" s="12" t="s">
        <v>16801</v>
      </c>
      <c r="E1011" s="13">
        <v>45805</v>
      </c>
      <c r="F1011" s="14">
        <v>45930</v>
      </c>
      <c r="G1011" s="15">
        <v>6000000</v>
      </c>
      <c r="H1011" s="16">
        <v>24</v>
      </c>
      <c r="I1011" s="17">
        <v>24</v>
      </c>
      <c r="J1011" s="15">
        <v>5187000</v>
      </c>
      <c r="K1011" s="98">
        <f t="shared" si="45"/>
        <v>0</v>
      </c>
      <c r="L1011" s="98" t="str">
        <f t="shared" si="46"/>
        <v>Lancar</v>
      </c>
      <c r="M1011" s="5" t="str">
        <f t="shared" si="47"/>
        <v>002</v>
      </c>
      <c r="N1011" s="55" t="str">
        <f>VLOOKUP(D1011,Pinjaman!$E$7:$N$1900,10,FALSE)</f>
        <v>KONSUMTIF</v>
      </c>
      <c r="O1011" s="55">
        <f>VLOOKUP(B1011,'Data Angt'!$A$5:$H$5810,6,FALSE)</f>
        <v>47</v>
      </c>
      <c r="P1011" s="55" t="str">
        <f>VLOOKUP(B1011,'Data Angt'!$A$5:$H$5810,8,FALSE)</f>
        <v>Lain-Lain</v>
      </c>
    </row>
    <row r="1012" spans="1:16" x14ac:dyDescent="0.3">
      <c r="A1012" s="8">
        <v>1005</v>
      </c>
      <c r="B1012" s="9" t="s">
        <v>14949</v>
      </c>
      <c r="C1012" s="10" t="str">
        <f>VLOOKUP(B1012,'Data Angt'!$A$5:$B$5809,2,FALSE)</f>
        <v>A5436</v>
      </c>
      <c r="D1012" s="12" t="s">
        <v>16803</v>
      </c>
      <c r="E1012" s="13">
        <v>45740</v>
      </c>
      <c r="F1012" s="14">
        <v>45923</v>
      </c>
      <c r="G1012" s="15">
        <v>1500000</v>
      </c>
      <c r="H1012" s="16">
        <v>10</v>
      </c>
      <c r="I1012" s="17">
        <v>24</v>
      </c>
      <c r="J1012" s="15">
        <v>636100</v>
      </c>
      <c r="K1012" s="98">
        <f t="shared" si="45"/>
        <v>0</v>
      </c>
      <c r="L1012" s="98" t="str">
        <f t="shared" si="46"/>
        <v>Lancar</v>
      </c>
      <c r="M1012" s="5" t="str">
        <f t="shared" si="47"/>
        <v>002</v>
      </c>
      <c r="N1012" s="55" t="str">
        <f>VLOOKUP(D1012,Pinjaman!$E$7:$N$1900,10,FALSE)</f>
        <v>PRODUKTIF</v>
      </c>
      <c r="O1012" s="55">
        <f>VLOOKUP(B1012,'Data Angt'!$A$5:$H$5810,6,FALSE)</f>
        <v>54</v>
      </c>
      <c r="P1012" s="55" t="str">
        <f>VLOOKUP(B1012,'Data Angt'!$A$5:$H$5810,8,FALSE)</f>
        <v>Lain-Lain</v>
      </c>
    </row>
    <row r="1013" spans="1:16" x14ac:dyDescent="0.3">
      <c r="A1013" s="8">
        <v>1006</v>
      </c>
      <c r="B1013" s="9" t="s">
        <v>14957</v>
      </c>
      <c r="C1013" s="10" t="str">
        <f>VLOOKUP(B1013,'Data Angt'!$A$5:$B$5809,2,FALSE)</f>
        <v>A5439</v>
      </c>
      <c r="D1013" s="12" t="s">
        <v>23179</v>
      </c>
      <c r="E1013" s="13">
        <v>45862</v>
      </c>
      <c r="F1013" s="14">
        <v>45925</v>
      </c>
      <c r="G1013" s="15">
        <v>2500000</v>
      </c>
      <c r="H1013" s="16">
        <v>12</v>
      </c>
      <c r="I1013" s="17">
        <v>24</v>
      </c>
      <c r="J1013" s="15">
        <v>2123500</v>
      </c>
      <c r="K1013" s="98">
        <f t="shared" si="45"/>
        <v>0</v>
      </c>
      <c r="L1013" s="98" t="str">
        <f t="shared" si="46"/>
        <v>Lancar</v>
      </c>
      <c r="M1013" s="5" t="str">
        <f t="shared" si="47"/>
        <v>002</v>
      </c>
      <c r="N1013" s="55" t="str">
        <f>VLOOKUP(D1013,Pinjaman!$E$7:$N$1900,10,FALSE)</f>
        <v>PRODUKTIF</v>
      </c>
      <c r="O1013" s="55">
        <f>VLOOKUP(B1013,'Data Angt'!$A$5:$H$5810,6,FALSE)</f>
        <v>55</v>
      </c>
      <c r="P1013" s="55" t="str">
        <f>VLOOKUP(B1013,'Data Angt'!$A$5:$H$5810,8,FALSE)</f>
        <v>Wiraswasta</v>
      </c>
    </row>
    <row r="1014" spans="1:16" x14ac:dyDescent="0.3">
      <c r="A1014" s="8">
        <v>1007</v>
      </c>
      <c r="B1014" s="9" t="s">
        <v>14982</v>
      </c>
      <c r="C1014" s="10" t="str">
        <f>VLOOKUP(B1014,'Data Angt'!$A$5:$B$5809,2,FALSE)</f>
        <v>A5451</v>
      </c>
      <c r="D1014" s="12" t="s">
        <v>23181</v>
      </c>
      <c r="E1014" s="13">
        <v>45895</v>
      </c>
      <c r="F1014" s="14">
        <v>45926</v>
      </c>
      <c r="G1014" s="15">
        <v>7000000</v>
      </c>
      <c r="H1014" s="16">
        <v>12</v>
      </c>
      <c r="I1014" s="17">
        <v>24</v>
      </c>
      <c r="J1014" s="15">
        <v>6478000</v>
      </c>
      <c r="K1014" s="98">
        <f t="shared" si="45"/>
        <v>0</v>
      </c>
      <c r="L1014" s="98" t="str">
        <f t="shared" si="46"/>
        <v>Lancar</v>
      </c>
      <c r="M1014" s="5" t="str">
        <f t="shared" si="47"/>
        <v>002</v>
      </c>
      <c r="N1014" s="55" t="str">
        <f>VLOOKUP(D1014,Pinjaman!$E$7:$N$1900,10,FALSE)</f>
        <v>PRODUKTIF</v>
      </c>
      <c r="O1014" s="55">
        <f>VLOOKUP(B1014,'Data Angt'!$A$5:$H$5810,6,FALSE)</f>
        <v>37</v>
      </c>
      <c r="P1014" s="55" t="str">
        <f>VLOOKUP(B1014,'Data Angt'!$A$5:$H$5810,8,FALSE)</f>
        <v>Wiraswasta</v>
      </c>
    </row>
    <row r="1015" spans="1:16" x14ac:dyDescent="0.3">
      <c r="A1015" s="8">
        <v>1008</v>
      </c>
      <c r="B1015" s="9" t="s">
        <v>14985</v>
      </c>
      <c r="C1015" s="10" t="str">
        <f>VLOOKUP(B1015,'Data Angt'!$A$5:$B$5809,2,FALSE)</f>
        <v>A5452</v>
      </c>
      <c r="D1015" s="12" t="s">
        <v>23185</v>
      </c>
      <c r="E1015" s="13">
        <v>45849</v>
      </c>
      <c r="F1015" s="14">
        <v>45912</v>
      </c>
      <c r="G1015" s="15">
        <v>10000000</v>
      </c>
      <c r="H1015" s="16">
        <v>24</v>
      </c>
      <c r="I1015" s="17">
        <v>24</v>
      </c>
      <c r="J1015" s="15">
        <v>9335900</v>
      </c>
      <c r="K1015" s="98">
        <f t="shared" si="45"/>
        <v>0</v>
      </c>
      <c r="L1015" s="98" t="str">
        <f t="shared" si="46"/>
        <v>Lancar</v>
      </c>
      <c r="M1015" s="5" t="str">
        <f t="shared" si="47"/>
        <v>002</v>
      </c>
      <c r="N1015" s="55" t="str">
        <f>VLOOKUP(D1015,Pinjaman!$E$7:$N$1900,10,FALSE)</f>
        <v>PRODUKTIF</v>
      </c>
      <c r="O1015" s="55">
        <f>VLOOKUP(B1015,'Data Angt'!$A$5:$H$5810,6,FALSE)</f>
        <v>59</v>
      </c>
      <c r="P1015" s="55" t="str">
        <f>VLOOKUP(B1015,'Data Angt'!$A$5:$H$5810,8,FALSE)</f>
        <v>Wiraswasta</v>
      </c>
    </row>
    <row r="1016" spans="1:16" x14ac:dyDescent="0.3">
      <c r="A1016" s="8">
        <v>1009</v>
      </c>
      <c r="B1016" s="9" t="s">
        <v>15016</v>
      </c>
      <c r="C1016" s="10" t="str">
        <f>VLOOKUP(B1016,'Data Angt'!$A$5:$B$5809,2,FALSE)</f>
        <v>A5467</v>
      </c>
      <c r="D1016" s="12" t="s">
        <v>23188</v>
      </c>
      <c r="E1016" s="13">
        <v>45857</v>
      </c>
      <c r="F1016" s="14">
        <v>45913</v>
      </c>
      <c r="G1016" s="15">
        <v>1500000</v>
      </c>
      <c r="H1016" s="16">
        <v>10</v>
      </c>
      <c r="I1016" s="17">
        <v>24</v>
      </c>
      <c r="J1016" s="15">
        <v>1223300</v>
      </c>
      <c r="K1016" s="98">
        <f t="shared" si="45"/>
        <v>0</v>
      </c>
      <c r="L1016" s="98" t="str">
        <f t="shared" si="46"/>
        <v>Lancar</v>
      </c>
      <c r="M1016" s="5" t="str">
        <f t="shared" si="47"/>
        <v>002</v>
      </c>
      <c r="N1016" s="55" t="str">
        <f>VLOOKUP(D1016,Pinjaman!$E$7:$N$1900,10,FALSE)</f>
        <v>KESEJAHTERAAN</v>
      </c>
      <c r="O1016" s="55">
        <f>VLOOKUP(B1016,'Data Angt'!$A$5:$H$5810,6,FALSE)</f>
        <v>82</v>
      </c>
      <c r="P1016" s="55" t="str">
        <f>VLOOKUP(B1016,'Data Angt'!$A$5:$H$5810,8,FALSE)</f>
        <v>Aparatur/Pejabat Negara</v>
      </c>
    </row>
    <row r="1017" spans="1:16" x14ac:dyDescent="0.3">
      <c r="A1017" s="8">
        <v>1010</v>
      </c>
      <c r="B1017" s="9" t="s">
        <v>15032</v>
      </c>
      <c r="C1017" s="10" t="str">
        <f>VLOOKUP(B1017,'Data Angt'!$A$5:$B$5809,2,FALSE)</f>
        <v>A5474</v>
      </c>
      <c r="D1017" s="12" t="s">
        <v>16806</v>
      </c>
      <c r="E1017" s="13">
        <v>45770</v>
      </c>
      <c r="F1017" s="14">
        <v>45919</v>
      </c>
      <c r="G1017" s="15">
        <v>3000000</v>
      </c>
      <c r="H1017" s="16">
        <v>12</v>
      </c>
      <c r="I1017" s="17">
        <v>24</v>
      </c>
      <c r="J1017" s="15">
        <v>1836100</v>
      </c>
      <c r="K1017" s="98">
        <f t="shared" si="45"/>
        <v>0</v>
      </c>
      <c r="L1017" s="98" t="str">
        <f t="shared" si="46"/>
        <v>Lancar</v>
      </c>
      <c r="M1017" s="5" t="str">
        <f t="shared" si="47"/>
        <v>002</v>
      </c>
      <c r="N1017" s="55" t="str">
        <f>VLOOKUP(D1017,Pinjaman!$E$7:$N$1900,10,FALSE)</f>
        <v>PENDIDIKAN</v>
      </c>
      <c r="O1017" s="55">
        <f>VLOOKUP(B1017,'Data Angt'!$A$5:$H$5810,6,FALSE)</f>
        <v>49</v>
      </c>
      <c r="P1017" s="55" t="str">
        <f>VLOOKUP(B1017,'Data Angt'!$A$5:$H$5810,8,FALSE)</f>
        <v>Karyawan</v>
      </c>
    </row>
    <row r="1018" spans="1:16" x14ac:dyDescent="0.3">
      <c r="A1018" s="8">
        <v>1011</v>
      </c>
      <c r="B1018" s="9" t="s">
        <v>15034</v>
      </c>
      <c r="C1018" s="10" t="str">
        <f>VLOOKUP(B1018,'Data Angt'!$A$5:$B$5809,2,FALSE)</f>
        <v>A5475</v>
      </c>
      <c r="D1018" s="12" t="s">
        <v>16809</v>
      </c>
      <c r="E1018" s="13">
        <v>45776</v>
      </c>
      <c r="F1018" s="14">
        <v>45924</v>
      </c>
      <c r="G1018" s="15">
        <v>15000000</v>
      </c>
      <c r="H1018" s="16">
        <v>36</v>
      </c>
      <c r="I1018" s="17">
        <v>24</v>
      </c>
      <c r="J1018" s="15">
        <v>13498900</v>
      </c>
      <c r="K1018" s="98">
        <f t="shared" si="45"/>
        <v>0</v>
      </c>
      <c r="L1018" s="98" t="str">
        <f t="shared" si="46"/>
        <v>Lancar</v>
      </c>
      <c r="M1018" s="5" t="str">
        <f t="shared" si="47"/>
        <v>002</v>
      </c>
      <c r="N1018" s="55" t="str">
        <f>VLOOKUP(D1018,Pinjaman!$E$7:$N$1900,10,FALSE)</f>
        <v>PRODUKTIF</v>
      </c>
      <c r="O1018" s="55">
        <f>VLOOKUP(B1018,'Data Angt'!$A$5:$H$5810,6,FALSE)</f>
        <v>42</v>
      </c>
      <c r="P1018" s="55" t="str">
        <f>VLOOKUP(B1018,'Data Angt'!$A$5:$H$5810,8,FALSE)</f>
        <v>Wiraswasta</v>
      </c>
    </row>
    <row r="1019" spans="1:16" x14ac:dyDescent="0.3">
      <c r="A1019" s="8">
        <v>1012</v>
      </c>
      <c r="B1019" s="9" t="s">
        <v>15051</v>
      </c>
      <c r="C1019" s="10" t="str">
        <f>VLOOKUP(B1019,'Data Angt'!$A$5:$B$5809,2,FALSE)</f>
        <v>A5482</v>
      </c>
      <c r="D1019" s="12" t="s">
        <v>16811</v>
      </c>
      <c r="E1019" s="13">
        <v>45775</v>
      </c>
      <c r="F1019" s="14">
        <v>45929</v>
      </c>
      <c r="G1019" s="15">
        <v>1500000</v>
      </c>
      <c r="H1019" s="16">
        <v>10</v>
      </c>
      <c r="I1019" s="17">
        <v>24</v>
      </c>
      <c r="J1019" s="15">
        <v>787300</v>
      </c>
      <c r="K1019" s="98">
        <f t="shared" si="45"/>
        <v>0</v>
      </c>
      <c r="L1019" s="98" t="str">
        <f t="shared" si="46"/>
        <v>Lancar</v>
      </c>
      <c r="M1019" s="5" t="str">
        <f t="shared" si="47"/>
        <v>002</v>
      </c>
      <c r="N1019" s="55" t="str">
        <f>VLOOKUP(D1019,Pinjaman!$E$7:$N$1900,10,FALSE)</f>
        <v>PRODUKTIF</v>
      </c>
      <c r="O1019" s="55">
        <f>VLOOKUP(B1019,'Data Angt'!$A$5:$H$5810,6,FALSE)</f>
        <v>65</v>
      </c>
      <c r="P1019" s="55" t="str">
        <f>VLOOKUP(B1019,'Data Angt'!$A$5:$H$5810,8,FALSE)</f>
        <v>Mengurus Rumah Tangga</v>
      </c>
    </row>
    <row r="1020" spans="1:16" x14ac:dyDescent="0.3">
      <c r="A1020" s="8">
        <v>1013</v>
      </c>
      <c r="B1020" s="9" t="s">
        <v>15076</v>
      </c>
      <c r="C1020" s="10" t="str">
        <f>VLOOKUP(B1020,'Data Angt'!$A$5:$B$5809,2,FALSE)</f>
        <v>A5493</v>
      </c>
      <c r="D1020" s="12" t="s">
        <v>16813</v>
      </c>
      <c r="E1020" s="13">
        <v>45776</v>
      </c>
      <c r="F1020" s="14">
        <v>45929</v>
      </c>
      <c r="G1020" s="15">
        <v>1500000</v>
      </c>
      <c r="H1020" s="16">
        <v>10</v>
      </c>
      <c r="I1020" s="17">
        <v>24</v>
      </c>
      <c r="J1020" s="15">
        <v>787300</v>
      </c>
      <c r="K1020" s="98">
        <f t="shared" si="45"/>
        <v>0</v>
      </c>
      <c r="L1020" s="98" t="str">
        <f t="shared" si="46"/>
        <v>Lancar</v>
      </c>
      <c r="M1020" s="5" t="str">
        <f t="shared" si="47"/>
        <v>002</v>
      </c>
      <c r="N1020" s="55" t="str">
        <f>VLOOKUP(D1020,Pinjaman!$E$7:$N$1900,10,FALSE)</f>
        <v>PENDIDIKAN</v>
      </c>
      <c r="O1020" s="55">
        <f>VLOOKUP(B1020,'Data Angt'!$A$5:$H$5810,6,FALSE)</f>
        <v>45</v>
      </c>
      <c r="P1020" s="55" t="str">
        <f>VLOOKUP(B1020,'Data Angt'!$A$5:$H$5810,8,FALSE)</f>
        <v>Tenaga Pengajar</v>
      </c>
    </row>
    <row r="1021" spans="1:16" x14ac:dyDescent="0.3">
      <c r="A1021" s="8">
        <v>1014</v>
      </c>
      <c r="B1021" s="9" t="s">
        <v>15112</v>
      </c>
      <c r="C1021" s="10" t="str">
        <f>VLOOKUP(B1021,'Data Angt'!$A$5:$B$5809,2,FALSE)</f>
        <v>A5510</v>
      </c>
      <c r="D1021" s="12" t="s">
        <v>16815</v>
      </c>
      <c r="E1021" s="13">
        <v>45786</v>
      </c>
      <c r="F1021" s="14">
        <v>45912</v>
      </c>
      <c r="G1021" s="15">
        <v>2000000</v>
      </c>
      <c r="H1021" s="16">
        <v>12</v>
      </c>
      <c r="I1021" s="17">
        <v>24</v>
      </c>
      <c r="J1021" s="15">
        <v>1385200</v>
      </c>
      <c r="K1021" s="98">
        <f t="shared" si="45"/>
        <v>0</v>
      </c>
      <c r="L1021" s="98" t="str">
        <f t="shared" si="46"/>
        <v>Lancar</v>
      </c>
      <c r="M1021" s="5" t="str">
        <f t="shared" si="47"/>
        <v>002</v>
      </c>
      <c r="N1021" s="55" t="str">
        <f>VLOOKUP(D1021,Pinjaman!$E$7:$N$1900,10,FALSE)</f>
        <v>KONSUMTIF</v>
      </c>
      <c r="O1021" s="55">
        <f>VLOOKUP(B1021,'Data Angt'!$A$5:$H$5810,6,FALSE)</f>
        <v>29</v>
      </c>
      <c r="P1021" s="55" t="str">
        <f>VLOOKUP(B1021,'Data Angt'!$A$5:$H$5810,8,FALSE)</f>
        <v>Wiraswasta</v>
      </c>
    </row>
    <row r="1022" spans="1:16" x14ac:dyDescent="0.3">
      <c r="A1022" s="8">
        <v>1015</v>
      </c>
      <c r="B1022" s="9" t="s">
        <v>15114</v>
      </c>
      <c r="C1022" s="10" t="str">
        <f>VLOOKUP(B1022,'Data Angt'!$A$5:$B$5809,2,FALSE)</f>
        <v>A5511</v>
      </c>
      <c r="D1022" s="12" t="s">
        <v>16817</v>
      </c>
      <c r="E1022" s="13">
        <v>45786</v>
      </c>
      <c r="F1022" s="14">
        <v>45908</v>
      </c>
      <c r="G1022" s="15">
        <v>2000000</v>
      </c>
      <c r="H1022" s="16">
        <v>12</v>
      </c>
      <c r="I1022" s="17">
        <v>24</v>
      </c>
      <c r="J1022" s="15">
        <v>1385200</v>
      </c>
      <c r="K1022" s="98">
        <f t="shared" si="45"/>
        <v>0</v>
      </c>
      <c r="L1022" s="98" t="str">
        <f t="shared" si="46"/>
        <v>Lancar</v>
      </c>
      <c r="M1022" s="5" t="str">
        <f t="shared" si="47"/>
        <v>002</v>
      </c>
      <c r="N1022" s="55" t="str">
        <f>VLOOKUP(D1022,Pinjaman!$E$7:$N$1900,10,FALSE)</f>
        <v>PENDIDIKAN</v>
      </c>
      <c r="O1022" s="55">
        <f>VLOOKUP(B1022,'Data Angt'!$A$5:$H$5810,6,FALSE)</f>
        <v>39</v>
      </c>
      <c r="P1022" s="55" t="str">
        <f>VLOOKUP(B1022,'Data Angt'!$A$5:$H$5810,8,FALSE)</f>
        <v>Karyawan</v>
      </c>
    </row>
    <row r="1023" spans="1:16" x14ac:dyDescent="0.3">
      <c r="A1023" s="8">
        <v>1016</v>
      </c>
      <c r="B1023" s="9" t="s">
        <v>15149</v>
      </c>
      <c r="C1023" s="10" t="str">
        <f>VLOOKUP(B1023,'Data Angt'!$A$5:$B$5809,2,FALSE)</f>
        <v>A5529</v>
      </c>
      <c r="D1023" s="12" t="s">
        <v>23191</v>
      </c>
      <c r="E1023" s="13">
        <v>45848</v>
      </c>
      <c r="F1023" s="14">
        <v>45911</v>
      </c>
      <c r="G1023" s="15">
        <v>90000000</v>
      </c>
      <c r="H1023" s="16">
        <v>48</v>
      </c>
      <c r="I1023" s="17">
        <v>21</v>
      </c>
      <c r="J1023" s="15">
        <v>87554800</v>
      </c>
      <c r="K1023" s="98">
        <f t="shared" si="45"/>
        <v>0</v>
      </c>
      <c r="L1023" s="98" t="str">
        <f t="shared" si="46"/>
        <v>Lancar</v>
      </c>
      <c r="M1023" s="5" t="str">
        <f t="shared" si="47"/>
        <v>002</v>
      </c>
      <c r="N1023" s="55" t="str">
        <f>VLOOKUP(D1023,Pinjaman!$E$7:$N$1900,10,FALSE)</f>
        <v>PRODUKTIF</v>
      </c>
      <c r="O1023" s="55">
        <f>VLOOKUP(B1023,'Data Angt'!$A$5:$H$5810,6,FALSE)</f>
        <v>32</v>
      </c>
      <c r="P1023" s="55" t="str">
        <f>VLOOKUP(B1023,'Data Angt'!$A$5:$H$5810,8,FALSE)</f>
        <v>Wiraswasta</v>
      </c>
    </row>
    <row r="1024" spans="1:16" x14ac:dyDescent="0.3">
      <c r="A1024" s="8">
        <v>1017</v>
      </c>
      <c r="B1024" s="9" t="s">
        <v>15163</v>
      </c>
      <c r="C1024" s="10" t="str">
        <f>VLOOKUP(B1024,'Data Angt'!$A$5:$B$5809,2,FALSE)</f>
        <v>A5534</v>
      </c>
      <c r="D1024" s="12" t="s">
        <v>23194</v>
      </c>
      <c r="E1024" s="13">
        <v>45840</v>
      </c>
      <c r="F1024" s="14">
        <v>45908</v>
      </c>
      <c r="G1024" s="15">
        <v>20000000</v>
      </c>
      <c r="H1024" s="16">
        <v>24</v>
      </c>
      <c r="I1024" s="17">
        <v>24</v>
      </c>
      <c r="J1024" s="15">
        <v>18671900</v>
      </c>
      <c r="K1024" s="98">
        <f t="shared" si="45"/>
        <v>0</v>
      </c>
      <c r="L1024" s="98" t="str">
        <f t="shared" si="46"/>
        <v>Lancar</v>
      </c>
      <c r="M1024" s="5" t="str">
        <f t="shared" si="47"/>
        <v>002</v>
      </c>
      <c r="N1024" s="55" t="str">
        <f>VLOOKUP(D1024,Pinjaman!$E$7:$N$1900,10,FALSE)</f>
        <v>KESEJAHTERAAN</v>
      </c>
      <c r="O1024" s="55">
        <f>VLOOKUP(B1024,'Data Angt'!$A$5:$H$5810,6,FALSE)</f>
        <v>49</v>
      </c>
      <c r="P1024" s="55" t="str">
        <f>VLOOKUP(B1024,'Data Angt'!$A$5:$H$5810,8,FALSE)</f>
        <v>Petani/Pekebun/Nelayan</v>
      </c>
    </row>
    <row r="1025" spans="1:16" x14ac:dyDescent="0.3">
      <c r="A1025" s="8">
        <v>1018</v>
      </c>
      <c r="B1025" s="9" t="s">
        <v>15215</v>
      </c>
      <c r="C1025" s="10" t="str">
        <f>VLOOKUP(B1025,'Data Angt'!$A$5:$B$5809,2,FALSE)</f>
        <v>A5556</v>
      </c>
      <c r="D1025" s="12" t="s">
        <v>16819</v>
      </c>
      <c r="E1025" s="13">
        <v>45805</v>
      </c>
      <c r="F1025" s="14">
        <v>45901</v>
      </c>
      <c r="G1025" s="15">
        <v>15000000</v>
      </c>
      <c r="H1025" s="16">
        <v>6</v>
      </c>
      <c r="I1025" s="17">
        <v>24</v>
      </c>
      <c r="J1025" s="15">
        <v>15000000</v>
      </c>
      <c r="K1025" s="98">
        <f t="shared" si="45"/>
        <v>0</v>
      </c>
      <c r="L1025" s="98" t="str">
        <f t="shared" si="46"/>
        <v>Lancar</v>
      </c>
      <c r="M1025" s="5" t="str">
        <f t="shared" si="47"/>
        <v>002</v>
      </c>
      <c r="N1025" s="55" t="str">
        <f>VLOOKUP(D1025,Pinjaman!$E$7:$N$1900,10,FALSE)</f>
        <v>PRODUKTIF</v>
      </c>
      <c r="O1025" s="55">
        <f>VLOOKUP(B1025,'Data Angt'!$A$5:$H$5810,6,FALSE)</f>
        <v>48</v>
      </c>
      <c r="P1025" s="55" t="str">
        <f>VLOOKUP(B1025,'Data Angt'!$A$5:$H$5810,8,FALSE)</f>
        <v>Wiraswasta</v>
      </c>
    </row>
    <row r="1026" spans="1:16" x14ac:dyDescent="0.3">
      <c r="A1026" s="8">
        <v>1019</v>
      </c>
      <c r="B1026" s="9" t="s">
        <v>15250</v>
      </c>
      <c r="C1026" s="10" t="str">
        <f>VLOOKUP(B1026,'Data Angt'!$A$5:$B$5809,2,FALSE)</f>
        <v>A5571</v>
      </c>
      <c r="D1026" s="12" t="s">
        <v>16821</v>
      </c>
      <c r="E1026" s="13">
        <v>45819</v>
      </c>
      <c r="F1026" s="14">
        <v>45911</v>
      </c>
      <c r="G1026" s="15">
        <v>1500000</v>
      </c>
      <c r="H1026" s="16">
        <v>10</v>
      </c>
      <c r="I1026" s="17">
        <v>24</v>
      </c>
      <c r="J1026" s="15">
        <v>1080800</v>
      </c>
      <c r="K1026" s="98">
        <f t="shared" si="45"/>
        <v>0</v>
      </c>
      <c r="L1026" s="98" t="str">
        <f t="shared" si="46"/>
        <v>Lancar</v>
      </c>
      <c r="M1026" s="5" t="str">
        <f t="shared" si="47"/>
        <v>002</v>
      </c>
      <c r="N1026" s="55" t="str">
        <f>VLOOKUP(D1026,Pinjaman!$E$7:$N$1900,10,FALSE)</f>
        <v>KONSUMTIF</v>
      </c>
      <c r="O1026" s="55">
        <f>VLOOKUP(B1026,'Data Angt'!$A$5:$H$5810,6,FALSE)</f>
        <v>71</v>
      </c>
      <c r="P1026" s="55" t="str">
        <f>VLOOKUP(B1026,'Data Angt'!$A$5:$H$5810,8,FALSE)</f>
        <v>Pensiunan</v>
      </c>
    </row>
    <row r="1027" spans="1:16" x14ac:dyDescent="0.3">
      <c r="A1027" s="8">
        <v>1020</v>
      </c>
      <c r="B1027" s="9" t="s">
        <v>15257</v>
      </c>
      <c r="C1027" s="10" t="str">
        <f>VLOOKUP(B1027,'Data Angt'!$A$5:$B$5809,2,FALSE)</f>
        <v>A5574</v>
      </c>
      <c r="D1027" s="12" t="s">
        <v>16823</v>
      </c>
      <c r="E1027" s="13">
        <v>45813</v>
      </c>
      <c r="F1027" s="14">
        <v>45901</v>
      </c>
      <c r="G1027" s="15">
        <v>6000000</v>
      </c>
      <c r="H1027" s="16">
        <v>6</v>
      </c>
      <c r="I1027" s="17">
        <v>24</v>
      </c>
      <c r="J1027" s="15">
        <v>6000000</v>
      </c>
      <c r="K1027" s="98">
        <f t="shared" si="45"/>
        <v>0</v>
      </c>
      <c r="L1027" s="98" t="str">
        <f t="shared" si="46"/>
        <v>Lancar</v>
      </c>
      <c r="M1027" s="5" t="str">
        <f t="shared" si="47"/>
        <v>002</v>
      </c>
      <c r="N1027" s="55" t="str">
        <f>VLOOKUP(D1027,Pinjaman!$E$7:$N$1900,10,FALSE)</f>
        <v>PRODUKTIF</v>
      </c>
      <c r="O1027" s="55">
        <f>VLOOKUP(B1027,'Data Angt'!$A$5:$H$5810,6,FALSE)</f>
        <v>45</v>
      </c>
      <c r="P1027" s="55" t="str">
        <f>VLOOKUP(B1027,'Data Angt'!$A$5:$H$5810,8,FALSE)</f>
        <v>Lain-Lain</v>
      </c>
    </row>
    <row r="1028" spans="1:16" x14ac:dyDescent="0.3">
      <c r="A1028" s="8">
        <v>1021</v>
      </c>
      <c r="B1028" s="9" t="s">
        <v>15264</v>
      </c>
      <c r="C1028" s="10" t="str">
        <f>VLOOKUP(B1028,'Data Angt'!$A$5:$B$5809,2,FALSE)</f>
        <v>A5578</v>
      </c>
      <c r="D1028" s="12" t="s">
        <v>23199</v>
      </c>
      <c r="E1028" s="13">
        <v>45839</v>
      </c>
      <c r="F1028" s="14">
        <v>45901</v>
      </c>
      <c r="G1028" s="15">
        <v>13000000</v>
      </c>
      <c r="H1028" s="16">
        <v>48</v>
      </c>
      <c r="I1028" s="17">
        <v>24</v>
      </c>
      <c r="J1028" s="15">
        <v>12669000</v>
      </c>
      <c r="K1028" s="98">
        <f t="shared" si="45"/>
        <v>0</v>
      </c>
      <c r="L1028" s="98" t="str">
        <f t="shared" si="46"/>
        <v>Lancar</v>
      </c>
      <c r="M1028" s="5" t="str">
        <f t="shared" si="47"/>
        <v>002</v>
      </c>
      <c r="N1028" s="55" t="str">
        <f>VLOOKUP(D1028,Pinjaman!$E$7:$N$1900,10,FALSE)</f>
        <v>PRODUKTIF</v>
      </c>
      <c r="O1028" s="55">
        <f>VLOOKUP(B1028,'Data Angt'!$A$5:$H$5810,6,FALSE)</f>
        <v>37</v>
      </c>
      <c r="P1028" s="55" t="str">
        <f>VLOOKUP(B1028,'Data Angt'!$A$5:$H$5810,8,FALSE)</f>
        <v>Wiraswasta</v>
      </c>
    </row>
    <row r="1029" spans="1:16" x14ac:dyDescent="0.3">
      <c r="A1029" s="8">
        <v>1022</v>
      </c>
      <c r="B1029" s="9" t="s">
        <v>15275</v>
      </c>
      <c r="C1029" s="10" t="str">
        <f>VLOOKUP(B1029,'Data Angt'!$A$5:$B$5809,2,FALSE)</f>
        <v>A5585</v>
      </c>
      <c r="D1029" s="12" t="s">
        <v>23202</v>
      </c>
      <c r="E1029" s="13">
        <v>45923</v>
      </c>
      <c r="F1029" s="14">
        <v>45923</v>
      </c>
      <c r="G1029" s="15">
        <v>4000000</v>
      </c>
      <c r="H1029" s="16">
        <v>5</v>
      </c>
      <c r="I1029" s="17">
        <v>24</v>
      </c>
      <c r="J1029" s="15">
        <v>4000000</v>
      </c>
      <c r="K1029" s="98">
        <f t="shared" si="45"/>
        <v>0</v>
      </c>
      <c r="L1029" s="98" t="str">
        <f t="shared" si="46"/>
        <v>Lancar</v>
      </c>
      <c r="M1029" s="5" t="str">
        <f t="shared" si="47"/>
        <v>002</v>
      </c>
      <c r="N1029" s="55" t="str">
        <f>VLOOKUP(D1029,Pinjaman!$E$7:$N$1900,10,FALSE)</f>
        <v>PRODUKTIF</v>
      </c>
      <c r="O1029" s="55">
        <f>VLOOKUP(B1029,'Data Angt'!$A$5:$H$5810,6,FALSE)</f>
        <v>49</v>
      </c>
      <c r="P1029" s="55" t="str">
        <f>VLOOKUP(B1029,'Data Angt'!$A$5:$H$5810,8,FALSE)</f>
        <v>Mengurus Rumah Tangga</v>
      </c>
    </row>
    <row r="1030" spans="1:16" x14ac:dyDescent="0.3">
      <c r="A1030" s="8">
        <v>1023</v>
      </c>
      <c r="B1030" s="9" t="s">
        <v>15281</v>
      </c>
      <c r="C1030" s="10" t="str">
        <f>VLOOKUP(B1030,'Data Angt'!$A$5:$B$5809,2,FALSE)</f>
        <v>A5588</v>
      </c>
      <c r="D1030" s="12" t="s">
        <v>23205</v>
      </c>
      <c r="E1030" s="13">
        <v>45920</v>
      </c>
      <c r="F1030" s="14">
        <v>45920</v>
      </c>
      <c r="G1030" s="15">
        <v>13000000</v>
      </c>
      <c r="H1030" s="16">
        <v>6</v>
      </c>
      <c r="I1030" s="17">
        <v>24</v>
      </c>
      <c r="J1030" s="15">
        <v>13000000</v>
      </c>
      <c r="K1030" s="98">
        <f t="shared" si="45"/>
        <v>0</v>
      </c>
      <c r="L1030" s="98" t="str">
        <f t="shared" si="46"/>
        <v>Lancar</v>
      </c>
      <c r="M1030" s="5" t="str">
        <f t="shared" si="47"/>
        <v>002</v>
      </c>
      <c r="N1030" s="55" t="str">
        <f>VLOOKUP(D1030,Pinjaman!$E$7:$N$1900,10,FALSE)</f>
        <v>PRODUKTIF</v>
      </c>
      <c r="O1030" s="55">
        <f>VLOOKUP(B1030,'Data Angt'!$A$5:$H$5810,6,FALSE)</f>
        <v>44</v>
      </c>
      <c r="P1030" s="55" t="str">
        <f>VLOOKUP(B1030,'Data Angt'!$A$5:$H$5810,8,FALSE)</f>
        <v>Petani/Pekebun/Nelayan</v>
      </c>
    </row>
    <row r="1031" spans="1:16" x14ac:dyDescent="0.3">
      <c r="A1031" s="8">
        <v>1024</v>
      </c>
      <c r="B1031" s="9" t="s">
        <v>18931</v>
      </c>
      <c r="C1031" s="10" t="str">
        <f>VLOOKUP(B1031,'Data Angt'!$A$5:$B$5809,2,FALSE)</f>
        <v>A5639</v>
      </c>
      <c r="D1031" s="12" t="s">
        <v>23208</v>
      </c>
      <c r="E1031" s="13">
        <v>45856</v>
      </c>
      <c r="F1031" s="14">
        <v>45901</v>
      </c>
      <c r="G1031" s="15">
        <v>6000000</v>
      </c>
      <c r="H1031" s="16">
        <v>12</v>
      </c>
      <c r="I1031" s="17">
        <v>24</v>
      </c>
      <c r="J1031" s="15">
        <v>5096300</v>
      </c>
      <c r="K1031" s="98">
        <f t="shared" si="45"/>
        <v>0</v>
      </c>
      <c r="L1031" s="98" t="str">
        <f t="shared" si="46"/>
        <v>Lancar</v>
      </c>
      <c r="M1031" s="5" t="str">
        <f t="shared" si="47"/>
        <v>002</v>
      </c>
      <c r="N1031" s="55" t="str">
        <f>VLOOKUP(D1031,Pinjaman!$E$7:$N$1900,10,FALSE)</f>
        <v>PENDIDIKAN</v>
      </c>
      <c r="O1031" s="55">
        <f>VLOOKUP(B1031,'Data Angt'!$A$5:$H$5810,6,FALSE)</f>
        <v>41</v>
      </c>
      <c r="P1031" s="55" t="str">
        <f>VLOOKUP(B1031,'Data Angt'!$A$5:$H$5810,8,FALSE)</f>
        <v>Mengurus Rumah Tangga</v>
      </c>
    </row>
    <row r="1032" spans="1:16" x14ac:dyDescent="0.3">
      <c r="A1032" s="8">
        <v>1025</v>
      </c>
      <c r="B1032" s="9" t="s">
        <v>18940</v>
      </c>
      <c r="C1032" s="10" t="str">
        <f>VLOOKUP(B1032,'Data Angt'!$A$5:$B$5809,2,FALSE)</f>
        <v>A5644</v>
      </c>
      <c r="D1032" s="12" t="s">
        <v>23212</v>
      </c>
      <c r="E1032" s="13">
        <v>45857</v>
      </c>
      <c r="F1032" s="14">
        <v>45919</v>
      </c>
      <c r="G1032" s="15">
        <v>3500000</v>
      </c>
      <c r="H1032" s="16">
        <v>36</v>
      </c>
      <c r="I1032" s="17">
        <v>24</v>
      </c>
      <c r="J1032" s="15">
        <v>3363900</v>
      </c>
      <c r="K1032" s="98">
        <f t="shared" si="45"/>
        <v>0</v>
      </c>
      <c r="L1032" s="98" t="str">
        <f t="shared" si="46"/>
        <v>Lancar</v>
      </c>
      <c r="M1032" s="5" t="str">
        <f t="shared" si="47"/>
        <v>002</v>
      </c>
      <c r="N1032" s="55" t="str">
        <f>VLOOKUP(D1032,Pinjaman!$E$7:$N$1900,10,FALSE)</f>
        <v>PRODUKTIF</v>
      </c>
      <c r="O1032" s="55">
        <f>VLOOKUP(B1032,'Data Angt'!$A$5:$H$5810,6,FALSE)</f>
        <v>40</v>
      </c>
      <c r="P1032" s="55" t="str">
        <f>VLOOKUP(B1032,'Data Angt'!$A$5:$H$5810,8,FALSE)</f>
        <v>Wiraswasta</v>
      </c>
    </row>
    <row r="1033" spans="1:16" x14ac:dyDescent="0.3">
      <c r="A1033" s="8">
        <v>1026</v>
      </c>
      <c r="B1033" s="9" t="s">
        <v>18943</v>
      </c>
      <c r="C1033" s="10" t="str">
        <f>VLOOKUP(B1033,'Data Angt'!$A$5:$B$5809,2,FALSE)</f>
        <v>A5645</v>
      </c>
      <c r="D1033" s="12" t="s">
        <v>23215</v>
      </c>
      <c r="E1033" s="13">
        <v>45857</v>
      </c>
      <c r="F1033" s="14">
        <v>45913</v>
      </c>
      <c r="G1033" s="15">
        <v>1500000</v>
      </c>
      <c r="H1033" s="16">
        <v>10</v>
      </c>
      <c r="I1033" s="17">
        <v>24</v>
      </c>
      <c r="J1033" s="15">
        <v>1223300</v>
      </c>
      <c r="K1033" s="98">
        <f t="shared" ref="K1033:K1096" si="48">DATEDIF(F1033,$K$6,"m")</f>
        <v>0</v>
      </c>
      <c r="L1033" s="98" t="str">
        <f t="shared" ref="L1033:L1096" si="49">IF(K1033&lt;=3,"Lancar",IF(K1033&lt;=6,"Kurang lancar",IF(K1033&lt;=12,"Diragukan","Macet")))</f>
        <v>Lancar</v>
      </c>
      <c r="M1033" s="5" t="str">
        <f t="shared" ref="M1033:M1096" si="50">MID(B1033,7,3)</f>
        <v>002</v>
      </c>
      <c r="N1033" s="55" t="str">
        <f>VLOOKUP(D1033,Pinjaman!$E$7:$N$1900,10,FALSE)</f>
        <v>PENDIDIKAN</v>
      </c>
      <c r="O1033" s="55">
        <f>VLOOKUP(B1033,'Data Angt'!$A$5:$H$5810,6,FALSE)</f>
        <v>44</v>
      </c>
      <c r="P1033" s="55" t="str">
        <f>VLOOKUP(B1033,'Data Angt'!$A$5:$H$5810,8,FALSE)</f>
        <v>Lain-Lain</v>
      </c>
    </row>
    <row r="1034" spans="1:16" x14ac:dyDescent="0.3">
      <c r="A1034" s="8">
        <v>1027</v>
      </c>
      <c r="B1034" s="9" t="s">
        <v>18945</v>
      </c>
      <c r="C1034" s="10" t="str">
        <f>VLOOKUP(B1034,'Data Angt'!$A$5:$B$5809,2,FALSE)</f>
        <v>A5646</v>
      </c>
      <c r="D1034" s="12" t="s">
        <v>23217</v>
      </c>
      <c r="E1034" s="13">
        <v>45857</v>
      </c>
      <c r="F1034" s="14">
        <v>45919</v>
      </c>
      <c r="G1034" s="15">
        <v>1500000</v>
      </c>
      <c r="H1034" s="16">
        <v>10</v>
      </c>
      <c r="I1034" s="17">
        <v>24</v>
      </c>
      <c r="J1034" s="15">
        <v>1223300</v>
      </c>
      <c r="K1034" s="98">
        <f t="shared" si="48"/>
        <v>0</v>
      </c>
      <c r="L1034" s="98" t="str">
        <f t="shared" si="49"/>
        <v>Lancar</v>
      </c>
      <c r="M1034" s="5" t="str">
        <f t="shared" si="50"/>
        <v>002</v>
      </c>
      <c r="N1034" s="55" t="str">
        <f>VLOOKUP(D1034,Pinjaman!$E$7:$N$1900,10,FALSE)</f>
        <v>KONSUMTIF</v>
      </c>
      <c r="O1034" s="55">
        <f>VLOOKUP(B1034,'Data Angt'!$A$5:$H$5810,6,FALSE)</f>
        <v>43</v>
      </c>
      <c r="P1034" s="55" t="str">
        <f>VLOOKUP(B1034,'Data Angt'!$A$5:$H$5810,8,FALSE)</f>
        <v>Wiraswasta</v>
      </c>
    </row>
    <row r="1035" spans="1:16" x14ac:dyDescent="0.3">
      <c r="A1035" s="8">
        <v>1028</v>
      </c>
      <c r="B1035" s="9" t="s">
        <v>18960</v>
      </c>
      <c r="C1035" s="10" t="str">
        <f>VLOOKUP(B1035,'Data Angt'!$A$5:$B$5809,2,FALSE)</f>
        <v>A5654</v>
      </c>
      <c r="D1035" s="12" t="s">
        <v>23220</v>
      </c>
      <c r="E1035" s="13">
        <v>45862</v>
      </c>
      <c r="F1035" s="14">
        <v>45924</v>
      </c>
      <c r="G1035" s="15">
        <v>15000000</v>
      </c>
      <c r="H1035" s="16">
        <v>36</v>
      </c>
      <c r="I1035" s="17">
        <v>24</v>
      </c>
      <c r="J1035" s="15">
        <v>14417300</v>
      </c>
      <c r="K1035" s="98">
        <f t="shared" si="48"/>
        <v>0</v>
      </c>
      <c r="L1035" s="98" t="str">
        <f t="shared" si="49"/>
        <v>Lancar</v>
      </c>
      <c r="M1035" s="5" t="str">
        <f t="shared" si="50"/>
        <v>002</v>
      </c>
      <c r="N1035" s="55" t="str">
        <f>VLOOKUP(D1035,Pinjaman!$E$7:$N$1900,10,FALSE)</f>
        <v>PRODUKTIF</v>
      </c>
      <c r="O1035" s="55">
        <f>VLOOKUP(B1035,'Data Angt'!$A$5:$H$5810,6,FALSE)</f>
        <v>53</v>
      </c>
      <c r="P1035" s="55" t="str">
        <f>VLOOKUP(B1035,'Data Angt'!$A$5:$H$5810,8,FALSE)</f>
        <v>Wiraswasta</v>
      </c>
    </row>
    <row r="1036" spans="1:16" x14ac:dyDescent="0.3">
      <c r="A1036" s="8">
        <v>1029</v>
      </c>
      <c r="B1036" s="9" t="s">
        <v>18962</v>
      </c>
      <c r="C1036" s="10" t="str">
        <f>VLOOKUP(B1036,'Data Angt'!$A$5:$B$5809,2,FALSE)</f>
        <v>A5655</v>
      </c>
      <c r="D1036" s="12" t="s">
        <v>23224</v>
      </c>
      <c r="E1036" s="13">
        <v>45862</v>
      </c>
      <c r="F1036" s="14">
        <v>45930</v>
      </c>
      <c r="G1036" s="15">
        <v>1500000</v>
      </c>
      <c r="H1036" s="16">
        <v>10</v>
      </c>
      <c r="I1036" s="17">
        <v>24</v>
      </c>
      <c r="J1036" s="15">
        <v>1223300</v>
      </c>
      <c r="K1036" s="98">
        <f t="shared" si="48"/>
        <v>0</v>
      </c>
      <c r="L1036" s="98" t="str">
        <f t="shared" si="49"/>
        <v>Lancar</v>
      </c>
      <c r="M1036" s="5" t="str">
        <f t="shared" si="50"/>
        <v>002</v>
      </c>
      <c r="N1036" s="55" t="str">
        <f>VLOOKUP(D1036,Pinjaman!$E$7:$N$1900,10,FALSE)</f>
        <v>KONSUMTIF</v>
      </c>
      <c r="O1036" s="55">
        <f>VLOOKUP(B1036,'Data Angt'!$A$5:$H$5810,6,FALSE)</f>
        <v>55</v>
      </c>
      <c r="P1036" s="55" t="str">
        <f>VLOOKUP(B1036,'Data Angt'!$A$5:$H$5810,8,FALSE)</f>
        <v>Wiraswasta</v>
      </c>
    </row>
    <row r="1037" spans="1:16" x14ac:dyDescent="0.3">
      <c r="A1037" s="8">
        <v>1030</v>
      </c>
      <c r="B1037" s="9" t="s">
        <v>18966</v>
      </c>
      <c r="C1037" s="10" t="str">
        <f>VLOOKUP(B1037,'Data Angt'!$A$5:$B$5809,2,FALSE)</f>
        <v>A5657</v>
      </c>
      <c r="D1037" s="12" t="s">
        <v>23226</v>
      </c>
      <c r="E1037" s="13">
        <v>45862</v>
      </c>
      <c r="F1037" s="14">
        <v>45924</v>
      </c>
      <c r="G1037" s="15">
        <v>2000000</v>
      </c>
      <c r="H1037" s="16">
        <v>12</v>
      </c>
      <c r="I1037" s="17">
        <v>24</v>
      </c>
      <c r="J1037" s="15">
        <v>1698700</v>
      </c>
      <c r="K1037" s="98">
        <f t="shared" si="48"/>
        <v>0</v>
      </c>
      <c r="L1037" s="98" t="str">
        <f t="shared" si="49"/>
        <v>Lancar</v>
      </c>
      <c r="M1037" s="5" t="str">
        <f t="shared" si="50"/>
        <v>002</v>
      </c>
      <c r="N1037" s="55" t="str">
        <f>VLOOKUP(D1037,Pinjaman!$E$7:$N$1900,10,FALSE)</f>
        <v>KONSUMTIF</v>
      </c>
      <c r="O1037" s="55">
        <f>VLOOKUP(B1037,'Data Angt'!$A$5:$H$5810,6,FALSE)</f>
        <v>36</v>
      </c>
      <c r="P1037" s="55" t="str">
        <f>VLOOKUP(B1037,'Data Angt'!$A$5:$H$5810,8,FALSE)</f>
        <v>Lain-Lain</v>
      </c>
    </row>
    <row r="1038" spans="1:16" x14ac:dyDescent="0.3">
      <c r="A1038" s="8">
        <v>1031</v>
      </c>
      <c r="B1038" s="9" t="s">
        <v>18990</v>
      </c>
      <c r="C1038" s="10" t="str">
        <f>VLOOKUP(B1038,'Data Angt'!$A$5:$B$5809,2,FALSE)</f>
        <v>A5667</v>
      </c>
      <c r="D1038" s="12" t="s">
        <v>23228</v>
      </c>
      <c r="E1038" s="13">
        <v>45866</v>
      </c>
      <c r="F1038" s="14">
        <v>45920</v>
      </c>
      <c r="G1038" s="15">
        <v>7000000</v>
      </c>
      <c r="H1038" s="16">
        <v>24</v>
      </c>
      <c r="I1038" s="17">
        <v>24</v>
      </c>
      <c r="J1038" s="15">
        <v>6535200</v>
      </c>
      <c r="K1038" s="98">
        <f t="shared" si="48"/>
        <v>0</v>
      </c>
      <c r="L1038" s="98" t="str">
        <f t="shared" si="49"/>
        <v>Lancar</v>
      </c>
      <c r="M1038" s="5" t="str">
        <f t="shared" si="50"/>
        <v>002</v>
      </c>
      <c r="N1038" s="55" t="str">
        <f>VLOOKUP(D1038,Pinjaman!$E$7:$N$1900,10,FALSE)</f>
        <v>PRODUKTIF</v>
      </c>
      <c r="O1038" s="55">
        <f>VLOOKUP(B1038,'Data Angt'!$A$5:$H$5810,6,FALSE)</f>
        <v>46</v>
      </c>
      <c r="P1038" s="55" t="str">
        <f>VLOOKUP(B1038,'Data Angt'!$A$5:$H$5810,8,FALSE)</f>
        <v>karyawan</v>
      </c>
    </row>
    <row r="1039" spans="1:16" x14ac:dyDescent="0.3">
      <c r="A1039" s="8">
        <v>1032</v>
      </c>
      <c r="B1039" s="9" t="s">
        <v>18996</v>
      </c>
      <c r="C1039" s="10" t="str">
        <f>VLOOKUP(B1039,'Data Angt'!$A$5:$B$5809,2,FALSE)</f>
        <v>A5670</v>
      </c>
      <c r="D1039" s="12" t="s">
        <v>23231</v>
      </c>
      <c r="E1039" s="13">
        <v>45867</v>
      </c>
      <c r="F1039" s="14">
        <v>45929</v>
      </c>
      <c r="G1039" s="15">
        <v>5000000</v>
      </c>
      <c r="H1039" s="16">
        <v>12</v>
      </c>
      <c r="I1039" s="17">
        <v>24</v>
      </c>
      <c r="J1039" s="15">
        <v>4247000</v>
      </c>
      <c r="K1039" s="98">
        <f t="shared" si="48"/>
        <v>0</v>
      </c>
      <c r="L1039" s="98" t="str">
        <f t="shared" si="49"/>
        <v>Lancar</v>
      </c>
      <c r="M1039" s="5" t="str">
        <f t="shared" si="50"/>
        <v>002</v>
      </c>
      <c r="N1039" s="55" t="str">
        <f>VLOOKUP(D1039,Pinjaman!$E$7:$N$1900,10,FALSE)</f>
        <v>PRODUKTIF</v>
      </c>
      <c r="O1039" s="55">
        <f>VLOOKUP(B1039,'Data Angt'!$A$5:$H$5810,6,FALSE)</f>
        <v>53</v>
      </c>
      <c r="P1039" s="55" t="str">
        <f>VLOOKUP(B1039,'Data Angt'!$A$5:$H$5810,8,FALSE)</f>
        <v>Wiraswasta</v>
      </c>
    </row>
    <row r="1040" spans="1:16" x14ac:dyDescent="0.3">
      <c r="A1040" s="8">
        <v>1033</v>
      </c>
      <c r="B1040" s="9" t="s">
        <v>18998</v>
      </c>
      <c r="C1040" s="10" t="str">
        <f>VLOOKUP(B1040,'Data Angt'!$A$5:$B$5809,2,FALSE)</f>
        <v>A5671</v>
      </c>
      <c r="D1040" s="12" t="s">
        <v>23235</v>
      </c>
      <c r="E1040" s="13">
        <v>45867</v>
      </c>
      <c r="F1040" s="14">
        <v>45917</v>
      </c>
      <c r="G1040" s="15">
        <v>10000000</v>
      </c>
      <c r="H1040" s="16">
        <v>24</v>
      </c>
      <c r="I1040" s="17">
        <v>24</v>
      </c>
      <c r="J1040" s="15">
        <v>9335900</v>
      </c>
      <c r="K1040" s="98">
        <f t="shared" si="48"/>
        <v>0</v>
      </c>
      <c r="L1040" s="98" t="str">
        <f t="shared" si="49"/>
        <v>Lancar</v>
      </c>
      <c r="M1040" s="5" t="str">
        <f t="shared" si="50"/>
        <v>002</v>
      </c>
      <c r="N1040" s="55" t="str">
        <f>VLOOKUP(D1040,Pinjaman!$E$7:$N$1900,10,FALSE)</f>
        <v>PRODUKTIF</v>
      </c>
      <c r="O1040" s="55">
        <f>VLOOKUP(B1040,'Data Angt'!$A$5:$H$5810,6,FALSE)</f>
        <v>42</v>
      </c>
      <c r="P1040" s="55" t="str">
        <f>VLOOKUP(B1040,'Data Angt'!$A$5:$H$5810,8,FALSE)</f>
        <v>Karyawan</v>
      </c>
    </row>
    <row r="1041" spans="1:16" x14ac:dyDescent="0.3">
      <c r="A1041" s="8">
        <v>1034</v>
      </c>
      <c r="B1041" s="9" t="s">
        <v>19019</v>
      </c>
      <c r="C1041" s="10" t="str">
        <f>VLOOKUP(B1041,'Data Angt'!$A$5:$B$5809,2,FALSE)</f>
        <v>A5680</v>
      </c>
      <c r="D1041" s="12" t="s">
        <v>23238</v>
      </c>
      <c r="E1041" s="13">
        <v>45919</v>
      </c>
      <c r="F1041" s="14">
        <v>45919</v>
      </c>
      <c r="G1041" s="15">
        <v>500000</v>
      </c>
      <c r="H1041" s="16">
        <v>5</v>
      </c>
      <c r="I1041" s="17">
        <v>24</v>
      </c>
      <c r="J1041" s="15">
        <v>500000</v>
      </c>
      <c r="K1041" s="98">
        <f t="shared" si="48"/>
        <v>0</v>
      </c>
      <c r="L1041" s="98" t="str">
        <f t="shared" si="49"/>
        <v>Lancar</v>
      </c>
      <c r="M1041" s="5" t="str">
        <f t="shared" si="50"/>
        <v>002</v>
      </c>
      <c r="N1041" s="55" t="str">
        <f>VLOOKUP(D1041,Pinjaman!$E$7:$N$1900,10,FALSE)</f>
        <v>PRODUKTIF</v>
      </c>
      <c r="O1041" s="55">
        <f>VLOOKUP(B1041,'Data Angt'!$A$5:$H$5810,6,FALSE)</f>
        <v>73</v>
      </c>
      <c r="P1041" s="55" t="str">
        <f>VLOOKUP(B1041,'Data Angt'!$A$5:$H$5810,8,FALSE)</f>
        <v>Wiraswasta</v>
      </c>
    </row>
    <row r="1042" spans="1:16" x14ac:dyDescent="0.3">
      <c r="A1042" s="8">
        <v>1035</v>
      </c>
      <c r="B1042" s="9" t="s">
        <v>19036</v>
      </c>
      <c r="C1042" s="10" t="str">
        <f>VLOOKUP(B1042,'Data Angt'!$A$5:$B$5809,2,FALSE)</f>
        <v>A5689</v>
      </c>
      <c r="D1042" s="12" t="s">
        <v>23240</v>
      </c>
      <c r="E1042" s="13">
        <v>45876</v>
      </c>
      <c r="F1042" s="14">
        <v>45908</v>
      </c>
      <c r="G1042" s="15">
        <v>10000000</v>
      </c>
      <c r="H1042" s="16">
        <v>24</v>
      </c>
      <c r="I1042" s="17">
        <v>24</v>
      </c>
      <c r="J1042" s="15">
        <v>9671200</v>
      </c>
      <c r="K1042" s="98">
        <f t="shared" si="48"/>
        <v>0</v>
      </c>
      <c r="L1042" s="98" t="str">
        <f t="shared" si="49"/>
        <v>Lancar</v>
      </c>
      <c r="M1042" s="5" t="str">
        <f t="shared" si="50"/>
        <v>002</v>
      </c>
      <c r="N1042" s="55" t="str">
        <f>VLOOKUP(D1042,Pinjaman!$E$7:$N$1900,10,FALSE)</f>
        <v>PRODUKTIF</v>
      </c>
      <c r="O1042" s="55">
        <f>VLOOKUP(B1042,'Data Angt'!$A$5:$H$5810,6,FALSE)</f>
        <v>31</v>
      </c>
      <c r="P1042" s="55" t="str">
        <f>VLOOKUP(B1042,'Data Angt'!$A$5:$H$5810,8,FALSE)</f>
        <v>Wiraswasta</v>
      </c>
    </row>
    <row r="1043" spans="1:16" x14ac:dyDescent="0.3">
      <c r="A1043" s="8">
        <v>1036</v>
      </c>
      <c r="B1043" s="9" t="s">
        <v>19043</v>
      </c>
      <c r="C1043" s="10" t="str">
        <f>VLOOKUP(B1043,'Data Angt'!$A$5:$B$5809,2,FALSE)</f>
        <v>A5692</v>
      </c>
      <c r="D1043" s="12" t="s">
        <v>23243</v>
      </c>
      <c r="E1043" s="13">
        <v>45877</v>
      </c>
      <c r="F1043" s="14">
        <v>45913</v>
      </c>
      <c r="G1043" s="15">
        <v>2000000</v>
      </c>
      <c r="H1043" s="16">
        <v>12</v>
      </c>
      <c r="I1043" s="17">
        <v>24</v>
      </c>
      <c r="J1043" s="15">
        <v>1850800</v>
      </c>
      <c r="K1043" s="98">
        <f t="shared" si="48"/>
        <v>0</v>
      </c>
      <c r="L1043" s="98" t="str">
        <f t="shared" si="49"/>
        <v>Lancar</v>
      </c>
      <c r="M1043" s="5" t="str">
        <f t="shared" si="50"/>
        <v>002</v>
      </c>
      <c r="N1043" s="55" t="str">
        <f>VLOOKUP(D1043,Pinjaman!$E$7:$N$1900,10,FALSE)</f>
        <v>KONSUMTIF</v>
      </c>
      <c r="O1043" s="55">
        <f>VLOOKUP(B1043,'Data Angt'!$A$5:$H$5810,6,FALSE)</f>
        <v>38</v>
      </c>
      <c r="P1043" s="55" t="str">
        <f>VLOOKUP(B1043,'Data Angt'!$A$5:$H$5810,8,FALSE)</f>
        <v>Wiraswasta</v>
      </c>
    </row>
    <row r="1044" spans="1:16" x14ac:dyDescent="0.3">
      <c r="A1044" s="8">
        <v>1037</v>
      </c>
      <c r="B1044" s="9" t="s">
        <v>19046</v>
      </c>
      <c r="C1044" s="10" t="str">
        <f>VLOOKUP(B1044,'Data Angt'!$A$5:$B$5809,2,FALSE)</f>
        <v>A5693</v>
      </c>
      <c r="D1044" s="12" t="s">
        <v>23245</v>
      </c>
      <c r="E1044" s="13">
        <v>45877</v>
      </c>
      <c r="F1044" s="14">
        <v>45911</v>
      </c>
      <c r="G1044" s="15">
        <v>1500000</v>
      </c>
      <c r="H1044" s="16">
        <v>10</v>
      </c>
      <c r="I1044" s="17">
        <v>24</v>
      </c>
      <c r="J1044" s="15">
        <v>1363000</v>
      </c>
      <c r="K1044" s="98">
        <f t="shared" si="48"/>
        <v>0</v>
      </c>
      <c r="L1044" s="98" t="str">
        <f t="shared" si="49"/>
        <v>Lancar</v>
      </c>
      <c r="M1044" s="5" t="str">
        <f t="shared" si="50"/>
        <v>002</v>
      </c>
      <c r="N1044" s="55" t="str">
        <f>VLOOKUP(D1044,Pinjaman!$E$7:$N$1900,10,FALSE)</f>
        <v>PRODUKTIF</v>
      </c>
      <c r="O1044" s="55">
        <f>VLOOKUP(B1044,'Data Angt'!$A$5:$H$5810,6,FALSE)</f>
        <v>30</v>
      </c>
      <c r="P1044" s="55" t="str">
        <f>VLOOKUP(B1044,'Data Angt'!$A$5:$H$5810,8,FALSE)</f>
        <v>Wiraswasta</v>
      </c>
    </row>
    <row r="1045" spans="1:16" x14ac:dyDescent="0.3">
      <c r="A1045" s="8">
        <v>1038</v>
      </c>
      <c r="B1045" s="9" t="s">
        <v>19052</v>
      </c>
      <c r="C1045" s="10" t="str">
        <f>VLOOKUP(B1045,'Data Angt'!$A$5:$B$5809,2,FALSE)</f>
        <v>A5696</v>
      </c>
      <c r="D1045" s="12" t="s">
        <v>23247</v>
      </c>
      <c r="E1045" s="13">
        <v>45877</v>
      </c>
      <c r="F1045" s="14">
        <v>45909</v>
      </c>
      <c r="G1045" s="15">
        <v>2500000</v>
      </c>
      <c r="H1045" s="16">
        <v>12</v>
      </c>
      <c r="I1045" s="17">
        <v>24</v>
      </c>
      <c r="J1045" s="15">
        <v>2313600</v>
      </c>
      <c r="K1045" s="98">
        <f t="shared" si="48"/>
        <v>0</v>
      </c>
      <c r="L1045" s="98" t="str">
        <f t="shared" si="49"/>
        <v>Lancar</v>
      </c>
      <c r="M1045" s="5" t="str">
        <f t="shared" si="50"/>
        <v>002</v>
      </c>
      <c r="N1045" s="55" t="str">
        <f>VLOOKUP(D1045,Pinjaman!$E$7:$N$1900,10,FALSE)</f>
        <v>PRODUKTIF</v>
      </c>
      <c r="O1045" s="55">
        <f>VLOOKUP(B1045,'Data Angt'!$A$5:$H$5810,6,FALSE)</f>
        <v>33</v>
      </c>
      <c r="P1045" s="55" t="str">
        <f>VLOOKUP(B1045,'Data Angt'!$A$5:$H$5810,8,FALSE)</f>
        <v>Mengurus Rumah Tangga</v>
      </c>
    </row>
    <row r="1046" spans="1:16" x14ac:dyDescent="0.3">
      <c r="A1046" s="8">
        <v>1039</v>
      </c>
      <c r="B1046" s="9" t="s">
        <v>19073</v>
      </c>
      <c r="C1046" s="10" t="str">
        <f>VLOOKUP(B1046,'Data Angt'!$A$5:$B$5809,2,FALSE)</f>
        <v>A5706</v>
      </c>
      <c r="D1046" s="12" t="s">
        <v>23249</v>
      </c>
      <c r="E1046" s="13">
        <v>45882</v>
      </c>
      <c r="F1046" s="14">
        <v>45915</v>
      </c>
      <c r="G1046" s="15">
        <v>3500000</v>
      </c>
      <c r="H1046" s="16">
        <v>18</v>
      </c>
      <c r="I1046" s="17">
        <v>24</v>
      </c>
      <c r="J1046" s="15">
        <v>3336500</v>
      </c>
      <c r="K1046" s="98">
        <f t="shared" si="48"/>
        <v>0</v>
      </c>
      <c r="L1046" s="98" t="str">
        <f t="shared" si="49"/>
        <v>Lancar</v>
      </c>
      <c r="M1046" s="5" t="str">
        <f t="shared" si="50"/>
        <v>002</v>
      </c>
      <c r="N1046" s="55" t="str">
        <f>VLOOKUP(D1046,Pinjaman!$E$7:$N$1900,10,FALSE)</f>
        <v>PENDIDIKAN</v>
      </c>
      <c r="O1046" s="55">
        <f>VLOOKUP(B1046,'Data Angt'!$A$5:$H$5810,6,FALSE)</f>
        <v>42</v>
      </c>
      <c r="P1046" s="55" t="str">
        <f>VLOOKUP(B1046,'Data Angt'!$A$5:$H$5810,8,FALSE)</f>
        <v>Tenaga Medis</v>
      </c>
    </row>
    <row r="1047" spans="1:16" x14ac:dyDescent="0.3">
      <c r="A1047" s="8">
        <v>1040</v>
      </c>
      <c r="B1047" s="9" t="s">
        <v>19126</v>
      </c>
      <c r="C1047" s="10" t="str">
        <f>VLOOKUP(B1047,'Data Angt'!$A$5:$B$5809,2,FALSE)</f>
        <v>A5730</v>
      </c>
      <c r="D1047" s="12" t="s">
        <v>23252</v>
      </c>
      <c r="E1047" s="13">
        <v>45890</v>
      </c>
      <c r="F1047" s="14">
        <v>45920</v>
      </c>
      <c r="G1047" s="15">
        <v>1500000</v>
      </c>
      <c r="H1047" s="16">
        <v>10</v>
      </c>
      <c r="I1047" s="17">
        <v>24</v>
      </c>
      <c r="J1047" s="15">
        <v>1363000</v>
      </c>
      <c r="K1047" s="98">
        <f t="shared" si="48"/>
        <v>0</v>
      </c>
      <c r="L1047" s="98" t="str">
        <f t="shared" si="49"/>
        <v>Lancar</v>
      </c>
      <c r="M1047" s="5" t="str">
        <f t="shared" si="50"/>
        <v>002</v>
      </c>
      <c r="N1047" s="55" t="str">
        <f>VLOOKUP(D1047,Pinjaman!$E$7:$N$1900,10,FALSE)</f>
        <v>PRODUKTIF</v>
      </c>
      <c r="O1047" s="55">
        <f>VLOOKUP(B1047,'Data Angt'!$A$5:$H$5810,6,FALSE)</f>
        <v>61</v>
      </c>
      <c r="P1047" s="55" t="str">
        <f>VLOOKUP(B1047,'Data Angt'!$A$5:$H$5810,8,FALSE)</f>
        <v>Petani/Pekebun/Nelayan</v>
      </c>
    </row>
    <row r="1048" spans="1:16" x14ac:dyDescent="0.3">
      <c r="A1048" s="8">
        <v>1041</v>
      </c>
      <c r="B1048" s="9" t="s">
        <v>19129</v>
      </c>
      <c r="C1048" s="10" t="str">
        <f>VLOOKUP(B1048,'Data Angt'!$A$5:$B$5809,2,FALSE)</f>
        <v>A5732</v>
      </c>
      <c r="D1048" s="12" t="s">
        <v>23254</v>
      </c>
      <c r="E1048" s="13">
        <v>45891</v>
      </c>
      <c r="F1048" s="14">
        <v>45922</v>
      </c>
      <c r="G1048" s="15">
        <v>6000000</v>
      </c>
      <c r="H1048" s="16">
        <v>6</v>
      </c>
      <c r="I1048" s="17">
        <v>24</v>
      </c>
      <c r="J1048" s="15">
        <v>6000000</v>
      </c>
      <c r="K1048" s="98">
        <f t="shared" si="48"/>
        <v>0</v>
      </c>
      <c r="L1048" s="98" t="str">
        <f t="shared" si="49"/>
        <v>Lancar</v>
      </c>
      <c r="M1048" s="5" t="str">
        <f t="shared" si="50"/>
        <v>002</v>
      </c>
      <c r="N1048" s="55" t="str">
        <f>VLOOKUP(D1048,Pinjaman!$E$7:$N$1900,10,FALSE)</f>
        <v>PRODUKTIF</v>
      </c>
      <c r="O1048" s="55">
        <f>VLOOKUP(B1048,'Data Angt'!$A$5:$H$5810,6,FALSE)</f>
        <v>37</v>
      </c>
      <c r="P1048" s="55" t="str">
        <f>VLOOKUP(B1048,'Data Angt'!$A$5:$H$5810,8,FALSE)</f>
        <v>Petani/Pekebun/Nelayan</v>
      </c>
    </row>
    <row r="1049" spans="1:16" x14ac:dyDescent="0.3">
      <c r="A1049" s="8">
        <v>1042</v>
      </c>
      <c r="B1049" s="9" t="s">
        <v>19134</v>
      </c>
      <c r="C1049" s="10" t="str">
        <f>VLOOKUP(B1049,'Data Angt'!$A$5:$B$5809,2,FALSE)</f>
        <v>A5734</v>
      </c>
      <c r="D1049" s="12" t="s">
        <v>23257</v>
      </c>
      <c r="E1049" s="13">
        <v>45892</v>
      </c>
      <c r="F1049" s="14">
        <v>45924</v>
      </c>
      <c r="G1049" s="15">
        <v>2000000</v>
      </c>
      <c r="H1049" s="16">
        <v>10</v>
      </c>
      <c r="I1049" s="17">
        <v>24</v>
      </c>
      <c r="J1049" s="15">
        <v>1817300</v>
      </c>
      <c r="K1049" s="98">
        <f t="shared" si="48"/>
        <v>0</v>
      </c>
      <c r="L1049" s="98" t="str">
        <f t="shared" si="49"/>
        <v>Lancar</v>
      </c>
      <c r="M1049" s="5" t="str">
        <f t="shared" si="50"/>
        <v>002</v>
      </c>
      <c r="N1049" s="55" t="str">
        <f>VLOOKUP(D1049,Pinjaman!$E$7:$N$1900,10,FALSE)</f>
        <v>PRODUKTIF</v>
      </c>
      <c r="O1049" s="55">
        <f>VLOOKUP(B1049,'Data Angt'!$A$5:$H$5810,6,FALSE)</f>
        <v>49</v>
      </c>
      <c r="P1049" s="55" t="str">
        <f>VLOOKUP(B1049,'Data Angt'!$A$5:$H$5810,8,FALSE)</f>
        <v>Karyawan</v>
      </c>
    </row>
    <row r="1050" spans="1:16" x14ac:dyDescent="0.3">
      <c r="A1050" s="8">
        <v>1043</v>
      </c>
      <c r="B1050" s="9" t="s">
        <v>19151</v>
      </c>
      <c r="C1050" s="10" t="str">
        <f>VLOOKUP(B1050,'Data Angt'!$A$5:$B$5809,2,FALSE)</f>
        <v>A5742</v>
      </c>
      <c r="D1050" s="12" t="s">
        <v>23259</v>
      </c>
      <c r="E1050" s="13">
        <v>45896</v>
      </c>
      <c r="F1050" s="14">
        <v>45917</v>
      </c>
      <c r="G1050" s="15">
        <v>15000000</v>
      </c>
      <c r="H1050" s="16">
        <v>36</v>
      </c>
      <c r="I1050" s="17">
        <v>24</v>
      </c>
      <c r="J1050" s="15">
        <v>14711500</v>
      </c>
      <c r="K1050" s="98">
        <f t="shared" si="48"/>
        <v>0</v>
      </c>
      <c r="L1050" s="98" t="str">
        <f t="shared" si="49"/>
        <v>Lancar</v>
      </c>
      <c r="M1050" s="5" t="str">
        <f t="shared" si="50"/>
        <v>002</v>
      </c>
      <c r="N1050" s="55" t="str">
        <f>VLOOKUP(D1050,Pinjaman!$E$7:$N$1900,10,FALSE)</f>
        <v>PRODUKTIF</v>
      </c>
      <c r="O1050" s="55">
        <f>VLOOKUP(B1050,'Data Angt'!$A$5:$H$5810,6,FALSE)</f>
        <v>43</v>
      </c>
      <c r="P1050" s="55" t="str">
        <f>VLOOKUP(B1050,'Data Angt'!$A$5:$H$5810,8,FALSE)</f>
        <v>Wiraswasta</v>
      </c>
    </row>
    <row r="1051" spans="1:16" x14ac:dyDescent="0.3">
      <c r="A1051" s="8">
        <v>1044</v>
      </c>
      <c r="B1051" s="9" t="s">
        <v>19195</v>
      </c>
      <c r="C1051" s="10" t="str">
        <f>VLOOKUP(B1051,'Data Angt'!$A$5:$B$5809,2,FALSE)</f>
        <v>A5760</v>
      </c>
      <c r="D1051" s="12" t="s">
        <v>23262</v>
      </c>
      <c r="E1051" s="13">
        <v>45904</v>
      </c>
      <c r="F1051" s="14">
        <v>45904</v>
      </c>
      <c r="G1051" s="15">
        <v>15000000</v>
      </c>
      <c r="H1051" s="16">
        <v>24</v>
      </c>
      <c r="I1051" s="17">
        <v>24</v>
      </c>
      <c r="J1051" s="15">
        <v>15000000</v>
      </c>
      <c r="K1051" s="98">
        <f t="shared" si="48"/>
        <v>0</v>
      </c>
      <c r="L1051" s="98" t="str">
        <f t="shared" si="49"/>
        <v>Lancar</v>
      </c>
      <c r="M1051" s="5" t="str">
        <f t="shared" si="50"/>
        <v>002</v>
      </c>
      <c r="N1051" s="55" t="str">
        <f>VLOOKUP(D1051,Pinjaman!$E$7:$N$1900,10,FALSE)</f>
        <v>PRODUKTIF</v>
      </c>
      <c r="O1051" s="55">
        <f>VLOOKUP(B1051,'Data Angt'!$A$5:$H$5810,6,FALSE)</f>
        <v>37</v>
      </c>
      <c r="P1051" s="55" t="str">
        <f>VLOOKUP(B1051,'Data Angt'!$A$5:$H$5810,8,FALSE)</f>
        <v>Karyawan</v>
      </c>
    </row>
    <row r="1052" spans="1:16" x14ac:dyDescent="0.3">
      <c r="A1052" s="8">
        <v>1045</v>
      </c>
      <c r="B1052" s="9" t="s">
        <v>19207</v>
      </c>
      <c r="C1052" s="10" t="str">
        <f>VLOOKUP(B1052,'Data Angt'!$A$5:$B$5809,2,FALSE)</f>
        <v>A5765</v>
      </c>
      <c r="D1052" s="12" t="s">
        <v>23266</v>
      </c>
      <c r="E1052" s="13">
        <v>45909</v>
      </c>
      <c r="F1052" s="14">
        <v>45909</v>
      </c>
      <c r="G1052" s="15">
        <v>15000000</v>
      </c>
      <c r="H1052" s="16">
        <v>24</v>
      </c>
      <c r="I1052" s="17">
        <v>24</v>
      </c>
      <c r="J1052" s="15">
        <v>15000000</v>
      </c>
      <c r="K1052" s="98">
        <f t="shared" si="48"/>
        <v>0</v>
      </c>
      <c r="L1052" s="98" t="str">
        <f t="shared" si="49"/>
        <v>Lancar</v>
      </c>
      <c r="M1052" s="5" t="str">
        <f t="shared" si="50"/>
        <v>002</v>
      </c>
      <c r="N1052" s="55" t="str">
        <f>VLOOKUP(D1052,Pinjaman!$E$7:$N$1900,10,FALSE)</f>
        <v>PRODUKTIF</v>
      </c>
      <c r="O1052" s="55">
        <f>VLOOKUP(B1052,'Data Angt'!$A$5:$H$5810,6,FALSE)</f>
        <v>48</v>
      </c>
      <c r="P1052" s="55" t="str">
        <f>VLOOKUP(B1052,'Data Angt'!$A$5:$H$5810,8,FALSE)</f>
        <v>Karyawan</v>
      </c>
    </row>
    <row r="1053" spans="1:16" x14ac:dyDescent="0.3">
      <c r="A1053" s="8">
        <v>1046</v>
      </c>
      <c r="B1053" s="9" t="s">
        <v>19209</v>
      </c>
      <c r="C1053" s="10" t="str">
        <f>VLOOKUP(B1053,'Data Angt'!$A$5:$B$5809,2,FALSE)</f>
        <v>A5766</v>
      </c>
      <c r="D1053" s="12" t="s">
        <v>23270</v>
      </c>
      <c r="E1053" s="13">
        <v>45909</v>
      </c>
      <c r="F1053" s="14">
        <v>45909</v>
      </c>
      <c r="G1053" s="15">
        <v>2000000</v>
      </c>
      <c r="H1053" s="16">
        <v>10</v>
      </c>
      <c r="I1053" s="17">
        <v>24</v>
      </c>
      <c r="J1053" s="15">
        <v>2000000</v>
      </c>
      <c r="K1053" s="98">
        <f t="shared" si="48"/>
        <v>0</v>
      </c>
      <c r="L1053" s="98" t="str">
        <f t="shared" si="49"/>
        <v>Lancar</v>
      </c>
      <c r="M1053" s="5" t="str">
        <f t="shared" si="50"/>
        <v>002</v>
      </c>
      <c r="N1053" s="55" t="str">
        <f>VLOOKUP(D1053,Pinjaman!$E$7:$N$1900,10,FALSE)</f>
        <v>PRODUKTIF</v>
      </c>
      <c r="O1053" s="55">
        <f>VLOOKUP(B1053,'Data Angt'!$A$5:$H$5810,6,FALSE)</f>
        <v>41</v>
      </c>
      <c r="P1053" s="55" t="str">
        <f>VLOOKUP(B1053,'Data Angt'!$A$5:$H$5810,8,FALSE)</f>
        <v>Karyawan</v>
      </c>
    </row>
    <row r="1054" spans="1:16" x14ac:dyDescent="0.3">
      <c r="A1054" s="8">
        <v>1047</v>
      </c>
      <c r="B1054" s="9" t="s">
        <v>19210</v>
      </c>
      <c r="C1054" s="10" t="str">
        <f>VLOOKUP(B1054,'Data Angt'!$A$5:$B$5809,2,FALSE)</f>
        <v>A5767</v>
      </c>
      <c r="D1054" s="12" t="s">
        <v>23272</v>
      </c>
      <c r="E1054" s="13">
        <v>45909</v>
      </c>
      <c r="F1054" s="14">
        <v>45909</v>
      </c>
      <c r="G1054" s="15">
        <v>1500000</v>
      </c>
      <c r="H1054" s="16">
        <v>10</v>
      </c>
      <c r="I1054" s="17">
        <v>24</v>
      </c>
      <c r="J1054" s="15">
        <v>1500000</v>
      </c>
      <c r="K1054" s="98">
        <f t="shared" si="48"/>
        <v>0</v>
      </c>
      <c r="L1054" s="98" t="str">
        <f t="shared" si="49"/>
        <v>Lancar</v>
      </c>
      <c r="M1054" s="5" t="str">
        <f t="shared" si="50"/>
        <v>002</v>
      </c>
      <c r="N1054" s="55" t="str">
        <f>VLOOKUP(D1054,Pinjaman!$E$7:$N$1900,10,FALSE)</f>
        <v>PRODUKTIF</v>
      </c>
      <c r="O1054" s="55">
        <f>VLOOKUP(B1054,'Data Angt'!$A$5:$H$5810,6,FALSE)</f>
        <v>38</v>
      </c>
      <c r="P1054" s="55" t="str">
        <f>VLOOKUP(B1054,'Data Angt'!$A$5:$H$5810,8,FALSE)</f>
        <v>Mengurus Rumah Tangga</v>
      </c>
    </row>
    <row r="1055" spans="1:16" x14ac:dyDescent="0.3">
      <c r="A1055" s="8">
        <v>1048</v>
      </c>
      <c r="B1055" s="9" t="s">
        <v>19211</v>
      </c>
      <c r="C1055" s="10" t="str">
        <f>VLOOKUP(B1055,'Data Angt'!$A$5:$B$5809,2,FALSE)</f>
        <v>A5768</v>
      </c>
      <c r="D1055" s="12" t="s">
        <v>23275</v>
      </c>
      <c r="E1055" s="13">
        <v>45929</v>
      </c>
      <c r="F1055" s="14">
        <v>45929</v>
      </c>
      <c r="G1055" s="15">
        <v>1500000</v>
      </c>
      <c r="H1055" s="16">
        <v>10</v>
      </c>
      <c r="I1055" s="17">
        <v>24</v>
      </c>
      <c r="J1055" s="15">
        <v>1500000</v>
      </c>
      <c r="K1055" s="98">
        <f t="shared" si="48"/>
        <v>0</v>
      </c>
      <c r="L1055" s="98" t="str">
        <f t="shared" si="49"/>
        <v>Lancar</v>
      </c>
      <c r="M1055" s="5" t="str">
        <f t="shared" si="50"/>
        <v>002</v>
      </c>
      <c r="N1055" s="55" t="str">
        <f>VLOOKUP(D1055,Pinjaman!$E$7:$N$1900,10,FALSE)</f>
        <v>PRODUKTIF</v>
      </c>
      <c r="O1055" s="55">
        <f>VLOOKUP(B1055,'Data Angt'!$A$5:$H$5810,6,FALSE)</f>
        <v>60</v>
      </c>
      <c r="P1055" s="55" t="str">
        <f>VLOOKUP(B1055,'Data Angt'!$A$5:$H$5810,8,FALSE)</f>
        <v>Petani/Pekebun/Nelayan</v>
      </c>
    </row>
    <row r="1056" spans="1:16" x14ac:dyDescent="0.3">
      <c r="A1056" s="8">
        <v>1049</v>
      </c>
      <c r="B1056" s="9" t="s">
        <v>19216</v>
      </c>
      <c r="C1056" s="10" t="str">
        <f>VLOOKUP(B1056,'Data Angt'!$A$5:$B$5809,2,FALSE)</f>
        <v>A5771</v>
      </c>
      <c r="D1056" s="12" t="s">
        <v>23277</v>
      </c>
      <c r="E1056" s="13">
        <v>45910</v>
      </c>
      <c r="F1056" s="14">
        <v>45910</v>
      </c>
      <c r="G1056" s="15">
        <v>1500000</v>
      </c>
      <c r="H1056" s="16">
        <v>10</v>
      </c>
      <c r="I1056" s="17">
        <v>24</v>
      </c>
      <c r="J1056" s="15">
        <v>1500000</v>
      </c>
      <c r="K1056" s="98">
        <f t="shared" si="48"/>
        <v>0</v>
      </c>
      <c r="L1056" s="98" t="str">
        <f t="shared" si="49"/>
        <v>Lancar</v>
      </c>
      <c r="M1056" s="5" t="str">
        <f t="shared" si="50"/>
        <v>002</v>
      </c>
      <c r="N1056" s="55" t="str">
        <f>VLOOKUP(D1056,Pinjaman!$E$7:$N$1900,10,FALSE)</f>
        <v>PRODUKTIF</v>
      </c>
      <c r="O1056" s="55">
        <f>VLOOKUP(B1056,'Data Angt'!$A$5:$H$5810,6,FALSE)</f>
        <v>52</v>
      </c>
      <c r="P1056" s="55" t="str">
        <f>VLOOKUP(B1056,'Data Angt'!$A$5:$H$5810,8,FALSE)</f>
        <v>Wiraswasta</v>
      </c>
    </row>
    <row r="1057" spans="1:16" x14ac:dyDescent="0.3">
      <c r="A1057" s="8">
        <v>1050</v>
      </c>
      <c r="B1057" s="9" t="s">
        <v>19219</v>
      </c>
      <c r="C1057" s="10" t="str">
        <f>VLOOKUP(B1057,'Data Angt'!$A$5:$B$5809,2,FALSE)</f>
        <v>A5772</v>
      </c>
      <c r="D1057" s="12" t="s">
        <v>23279</v>
      </c>
      <c r="E1057" s="13">
        <v>45910</v>
      </c>
      <c r="F1057" s="14">
        <v>45910</v>
      </c>
      <c r="G1057" s="15">
        <v>1500000</v>
      </c>
      <c r="H1057" s="16">
        <v>10</v>
      </c>
      <c r="I1057" s="17">
        <v>24</v>
      </c>
      <c r="J1057" s="15">
        <v>1500000</v>
      </c>
      <c r="K1057" s="98">
        <f t="shared" si="48"/>
        <v>0</v>
      </c>
      <c r="L1057" s="98" t="str">
        <f t="shared" si="49"/>
        <v>Lancar</v>
      </c>
      <c r="M1057" s="5" t="str">
        <f t="shared" si="50"/>
        <v>002</v>
      </c>
      <c r="N1057" s="55" t="str">
        <f>VLOOKUP(D1057,Pinjaman!$E$7:$N$1900,10,FALSE)</f>
        <v>KONSUMTIF</v>
      </c>
      <c r="O1057" s="55">
        <f>VLOOKUP(B1057,'Data Angt'!$A$5:$H$5810,6,FALSE)</f>
        <v>56</v>
      </c>
      <c r="P1057" s="55" t="str">
        <f>VLOOKUP(B1057,'Data Angt'!$A$5:$H$5810,8,FALSE)</f>
        <v>Wiraswasta</v>
      </c>
    </row>
    <row r="1058" spans="1:16" x14ac:dyDescent="0.3">
      <c r="A1058" s="8">
        <v>1051</v>
      </c>
      <c r="B1058" s="9" t="s">
        <v>19233</v>
      </c>
      <c r="C1058" s="10" t="str">
        <f>VLOOKUP(B1058,'Data Angt'!$A$5:$B$5809,2,FALSE)</f>
        <v>A5779</v>
      </c>
      <c r="D1058" s="12" t="s">
        <v>23281</v>
      </c>
      <c r="E1058" s="13">
        <v>45913</v>
      </c>
      <c r="F1058" s="14">
        <v>45913</v>
      </c>
      <c r="G1058" s="15">
        <v>2000000</v>
      </c>
      <c r="H1058" s="16">
        <v>12</v>
      </c>
      <c r="I1058" s="17">
        <v>24</v>
      </c>
      <c r="J1058" s="15">
        <v>2000000</v>
      </c>
      <c r="K1058" s="98">
        <f t="shared" si="48"/>
        <v>0</v>
      </c>
      <c r="L1058" s="98" t="str">
        <f t="shared" si="49"/>
        <v>Lancar</v>
      </c>
      <c r="M1058" s="5" t="str">
        <f t="shared" si="50"/>
        <v>002</v>
      </c>
      <c r="N1058" s="55" t="str">
        <f>VLOOKUP(D1058,Pinjaman!$E$7:$N$1900,10,FALSE)</f>
        <v>PRODUKTIF</v>
      </c>
      <c r="O1058" s="55">
        <f>VLOOKUP(B1058,'Data Angt'!$A$5:$H$5810,6,FALSE)</f>
        <v>59</v>
      </c>
      <c r="P1058" s="55" t="str">
        <f>VLOOKUP(B1058,'Data Angt'!$A$5:$H$5810,8,FALSE)</f>
        <v>Petani/Pekebun/Nelayan</v>
      </c>
    </row>
    <row r="1059" spans="1:16" x14ac:dyDescent="0.3">
      <c r="A1059" s="8">
        <v>1052</v>
      </c>
      <c r="B1059" s="9" t="s">
        <v>22179</v>
      </c>
      <c r="C1059" s="10" t="str">
        <f>VLOOKUP(B1059,'Data Angt'!$A$5:$B$5809,2,FALSE)</f>
        <v>A5802</v>
      </c>
      <c r="D1059" s="12" t="s">
        <v>23284</v>
      </c>
      <c r="E1059" s="13">
        <v>45930</v>
      </c>
      <c r="F1059" s="14">
        <v>45930</v>
      </c>
      <c r="G1059" s="15">
        <v>48000000</v>
      </c>
      <c r="H1059" s="16">
        <v>48</v>
      </c>
      <c r="I1059" s="17">
        <v>21</v>
      </c>
      <c r="J1059" s="15">
        <v>48000000</v>
      </c>
      <c r="K1059" s="98">
        <f t="shared" si="48"/>
        <v>0</v>
      </c>
      <c r="L1059" s="98" t="str">
        <f t="shared" si="49"/>
        <v>Lancar</v>
      </c>
      <c r="M1059" s="5" t="str">
        <f t="shared" si="50"/>
        <v>002</v>
      </c>
      <c r="N1059" s="55" t="str">
        <f>VLOOKUP(D1059,Pinjaman!$E$7:$N$1900,10,FALSE)</f>
        <v>PRODUKTIF</v>
      </c>
      <c r="O1059" s="55">
        <f>VLOOKUP(B1059,'Data Angt'!$A$5:$H$5810,6,FALSE)</f>
        <v>45</v>
      </c>
      <c r="P1059" s="55" t="str">
        <f>VLOOKUP(B1059,'Data Angt'!$A$5:$H$5810,8,FALSE)</f>
        <v>Wiraswasta</v>
      </c>
    </row>
    <row r="1060" spans="1:16" x14ac:dyDescent="0.3">
      <c r="A1060" s="8">
        <v>1053</v>
      </c>
      <c r="B1060" s="9" t="s">
        <v>567</v>
      </c>
      <c r="C1060" s="10" t="str">
        <f>VLOOKUP(B1060,'Data Angt'!$A$5:$B$5809,2,FALSE)</f>
        <v>A205</v>
      </c>
      <c r="D1060" s="12" t="s">
        <v>16825</v>
      </c>
      <c r="E1060" s="13">
        <v>45609</v>
      </c>
      <c r="F1060" s="14">
        <v>45913</v>
      </c>
      <c r="G1060" s="15">
        <v>20000000</v>
      </c>
      <c r="H1060" s="16">
        <v>12</v>
      </c>
      <c r="I1060" s="17">
        <v>24</v>
      </c>
      <c r="J1060" s="15">
        <v>3333000</v>
      </c>
      <c r="K1060" s="98">
        <f t="shared" si="48"/>
        <v>0</v>
      </c>
      <c r="L1060" s="98" t="str">
        <f t="shared" si="49"/>
        <v>Lancar</v>
      </c>
      <c r="M1060" s="5" t="str">
        <f t="shared" si="50"/>
        <v>003</v>
      </c>
      <c r="N1060" s="55" t="str">
        <f>VLOOKUP(D1060,Pinjaman!$E$7:$N$1900,10,FALSE)</f>
        <v>KESEJAHTERAAN</v>
      </c>
      <c r="O1060" s="55">
        <f>VLOOKUP(B1060,'Data Angt'!$A$5:$H$5810,6,FALSE)</f>
        <v>65</v>
      </c>
      <c r="P1060" s="55" t="str">
        <f>VLOOKUP(B1060,'Data Angt'!$A$5:$H$5810,8,FALSE)</f>
        <v>Pensiunan</v>
      </c>
    </row>
    <row r="1061" spans="1:16" x14ac:dyDescent="0.3">
      <c r="A1061" s="8">
        <v>1054</v>
      </c>
      <c r="B1061" s="9" t="s">
        <v>580</v>
      </c>
      <c r="C1061" s="10" t="str">
        <f>VLOOKUP(B1061,'Data Angt'!$A$5:$B$5809,2,FALSE)</f>
        <v>A209</v>
      </c>
      <c r="D1061" s="12" t="s">
        <v>16827</v>
      </c>
      <c r="E1061" s="13">
        <v>45329</v>
      </c>
      <c r="F1061" s="14">
        <v>45909</v>
      </c>
      <c r="G1061" s="15">
        <v>10000000</v>
      </c>
      <c r="H1061" s="16">
        <v>36</v>
      </c>
      <c r="I1061" s="17">
        <v>11.9</v>
      </c>
      <c r="J1061" s="15">
        <v>5165600</v>
      </c>
      <c r="K1061" s="98">
        <f t="shared" si="48"/>
        <v>0</v>
      </c>
      <c r="L1061" s="98" t="str">
        <f t="shared" si="49"/>
        <v>Lancar</v>
      </c>
      <c r="M1061" s="5" t="str">
        <f t="shared" si="50"/>
        <v>003</v>
      </c>
      <c r="N1061" s="55" t="str">
        <f>VLOOKUP(D1061,Pinjaman!$E$7:$N$1900,10,FALSE)</f>
        <v>KESEHATAN</v>
      </c>
      <c r="O1061" s="55">
        <f>VLOOKUP(B1061,'Data Angt'!$A$5:$H$5810,6,FALSE)</f>
        <v>70</v>
      </c>
      <c r="P1061" s="55" t="str">
        <f>VLOOKUP(B1061,'Data Angt'!$A$5:$H$5810,8,FALSE)</f>
        <v>Pensiunan</v>
      </c>
    </row>
    <row r="1062" spans="1:16" x14ac:dyDescent="0.3">
      <c r="A1062" s="8">
        <v>1055</v>
      </c>
      <c r="B1062" s="9" t="s">
        <v>608</v>
      </c>
      <c r="C1062" s="10" t="str">
        <f>VLOOKUP(B1062,'Data Angt'!$A$5:$B$5809,2,FALSE)</f>
        <v>A221</v>
      </c>
      <c r="D1062" s="12" t="s">
        <v>16829</v>
      </c>
      <c r="E1062" s="13">
        <v>45808</v>
      </c>
      <c r="F1062" s="14">
        <v>45929</v>
      </c>
      <c r="G1062" s="15">
        <v>6000000</v>
      </c>
      <c r="H1062" s="16">
        <v>24</v>
      </c>
      <c r="I1062" s="17">
        <v>11.9</v>
      </c>
      <c r="J1062" s="15">
        <v>5096000</v>
      </c>
      <c r="K1062" s="98">
        <f t="shared" si="48"/>
        <v>0</v>
      </c>
      <c r="L1062" s="98" t="str">
        <f t="shared" si="49"/>
        <v>Lancar</v>
      </c>
      <c r="M1062" s="5" t="str">
        <f t="shared" si="50"/>
        <v>003</v>
      </c>
      <c r="N1062" s="55" t="str">
        <f>VLOOKUP(D1062,Pinjaman!$E$7:$N$1900,10,FALSE)</f>
        <v>PENDIDIKAN</v>
      </c>
      <c r="O1062" s="55">
        <f>VLOOKUP(B1062,'Data Angt'!$A$5:$H$5810,6,FALSE)</f>
        <v>56</v>
      </c>
      <c r="P1062" s="55" t="str">
        <f>VLOOKUP(B1062,'Data Angt'!$A$5:$H$5810,8,FALSE)</f>
        <v>Tenaga Pengajar</v>
      </c>
    </row>
    <row r="1063" spans="1:16" x14ac:dyDescent="0.3">
      <c r="A1063" s="8">
        <v>1056</v>
      </c>
      <c r="B1063" s="9" t="s">
        <v>608</v>
      </c>
      <c r="C1063" s="10" t="str">
        <f>VLOOKUP(B1063,'Data Angt'!$A$5:$B$5809,2,FALSE)</f>
        <v>A221</v>
      </c>
      <c r="D1063" s="12" t="s">
        <v>16831</v>
      </c>
      <c r="E1063" s="13">
        <v>45577</v>
      </c>
      <c r="F1063" s="14">
        <v>45912</v>
      </c>
      <c r="G1063" s="15">
        <v>17000000</v>
      </c>
      <c r="H1063" s="16">
        <v>30</v>
      </c>
      <c r="I1063" s="17">
        <v>24</v>
      </c>
      <c r="J1063" s="15">
        <v>10766300</v>
      </c>
      <c r="K1063" s="98">
        <f t="shared" si="48"/>
        <v>0</v>
      </c>
      <c r="L1063" s="98" t="str">
        <f t="shared" si="49"/>
        <v>Lancar</v>
      </c>
      <c r="M1063" s="5" t="str">
        <f t="shared" si="50"/>
        <v>003</v>
      </c>
      <c r="N1063" s="55" t="str">
        <f>VLOOKUP(D1063,Pinjaman!$E$7:$N$1900,10,FALSE)</f>
        <v>KESEJAHTERAAN</v>
      </c>
      <c r="O1063" s="55">
        <f>VLOOKUP(B1063,'Data Angt'!$A$5:$H$5810,6,FALSE)</f>
        <v>56</v>
      </c>
      <c r="P1063" s="55" t="str">
        <f>VLOOKUP(B1063,'Data Angt'!$A$5:$H$5810,8,FALSE)</f>
        <v>Tenaga Pengajar</v>
      </c>
    </row>
    <row r="1064" spans="1:16" x14ac:dyDescent="0.3">
      <c r="A1064" s="8">
        <v>1057</v>
      </c>
      <c r="B1064" s="9" t="s">
        <v>611</v>
      </c>
      <c r="C1064" s="10" t="str">
        <f>VLOOKUP(B1064,'Data Angt'!$A$5:$B$5809,2,FALSE)</f>
        <v>A222</v>
      </c>
      <c r="D1064" s="12" t="s">
        <v>16833</v>
      </c>
      <c r="E1064" s="13">
        <v>45783</v>
      </c>
      <c r="F1064" s="14">
        <v>45908</v>
      </c>
      <c r="G1064" s="15">
        <v>5000000</v>
      </c>
      <c r="H1064" s="16">
        <v>24</v>
      </c>
      <c r="I1064" s="17">
        <v>24</v>
      </c>
      <c r="J1064" s="15">
        <v>4166400</v>
      </c>
      <c r="K1064" s="98">
        <f t="shared" si="48"/>
        <v>0</v>
      </c>
      <c r="L1064" s="98" t="str">
        <f t="shared" si="49"/>
        <v>Lancar</v>
      </c>
      <c r="M1064" s="5" t="str">
        <f t="shared" si="50"/>
        <v>003</v>
      </c>
      <c r="N1064" s="55" t="str">
        <f>VLOOKUP(D1064,Pinjaman!$E$7:$N$1900,10,FALSE)</f>
        <v>KONSUMTIF</v>
      </c>
      <c r="O1064" s="55">
        <f>VLOOKUP(B1064,'Data Angt'!$A$5:$H$5810,6,FALSE)</f>
        <v>65</v>
      </c>
      <c r="P1064" s="55" t="str">
        <f>VLOOKUP(B1064,'Data Angt'!$A$5:$H$5810,8,FALSE)</f>
        <v>Lain-Lain</v>
      </c>
    </row>
    <row r="1065" spans="1:16" x14ac:dyDescent="0.3">
      <c r="A1065" s="8">
        <v>1058</v>
      </c>
      <c r="B1065" s="9" t="s">
        <v>805</v>
      </c>
      <c r="C1065" s="10" t="str">
        <f>VLOOKUP(B1065,'Data Angt'!$A$5:$B$5809,2,FALSE)</f>
        <v>A300</v>
      </c>
      <c r="D1065" s="12" t="s">
        <v>16835</v>
      </c>
      <c r="E1065" s="13">
        <v>45769</v>
      </c>
      <c r="F1065" s="14">
        <v>45923</v>
      </c>
      <c r="G1065" s="15">
        <v>10000000</v>
      </c>
      <c r="H1065" s="16">
        <v>12</v>
      </c>
      <c r="I1065" s="17">
        <v>11.9</v>
      </c>
      <c r="J1065" s="15">
        <v>5976600</v>
      </c>
      <c r="K1065" s="98">
        <f t="shared" si="48"/>
        <v>0</v>
      </c>
      <c r="L1065" s="98" t="str">
        <f t="shared" si="49"/>
        <v>Lancar</v>
      </c>
      <c r="M1065" s="5" t="str">
        <f t="shared" si="50"/>
        <v>003</v>
      </c>
      <c r="N1065" s="55" t="str">
        <f>VLOOKUP(D1065,Pinjaman!$E$7:$N$1900,10,FALSE)</f>
        <v>KESEJAHTERAAN</v>
      </c>
      <c r="O1065" s="55">
        <f>VLOOKUP(B1065,'Data Angt'!$A$5:$H$5810,6,FALSE)</f>
        <v>57</v>
      </c>
      <c r="P1065" s="55" t="str">
        <f>VLOOKUP(B1065,'Data Angt'!$A$5:$H$5810,8,FALSE)</f>
        <v>Tenaga Pengajar</v>
      </c>
    </row>
    <row r="1066" spans="1:16" x14ac:dyDescent="0.3">
      <c r="A1066" s="8">
        <v>1059</v>
      </c>
      <c r="B1066" s="9" t="s">
        <v>808</v>
      </c>
      <c r="C1066" s="10" t="str">
        <f>VLOOKUP(B1066,'Data Angt'!$A$5:$B$5809,2,FALSE)</f>
        <v>A301</v>
      </c>
      <c r="D1066" s="12" t="s">
        <v>23289</v>
      </c>
      <c r="E1066" s="13">
        <v>45847</v>
      </c>
      <c r="F1066" s="14">
        <v>45909</v>
      </c>
      <c r="G1066" s="15">
        <v>9000000</v>
      </c>
      <c r="H1066" s="16">
        <v>9</v>
      </c>
      <c r="I1066" s="17">
        <v>11.9</v>
      </c>
      <c r="J1066" s="15">
        <v>7068500</v>
      </c>
      <c r="K1066" s="98">
        <f t="shared" si="48"/>
        <v>0</v>
      </c>
      <c r="L1066" s="98" t="str">
        <f t="shared" si="49"/>
        <v>Lancar</v>
      </c>
      <c r="M1066" s="5" t="str">
        <f t="shared" si="50"/>
        <v>003</v>
      </c>
      <c r="N1066" s="55" t="str">
        <f>VLOOKUP(D1066,Pinjaman!$E$7:$N$1900,10,FALSE)</f>
        <v>PENDIDIKAN</v>
      </c>
      <c r="O1066" s="55">
        <f>VLOOKUP(B1066,'Data Angt'!$A$5:$H$5810,6,FALSE)</f>
        <v>56</v>
      </c>
      <c r="P1066" s="55" t="str">
        <f>VLOOKUP(B1066,'Data Angt'!$A$5:$H$5810,8,FALSE)</f>
        <v>Tenaga Pengajar</v>
      </c>
    </row>
    <row r="1067" spans="1:16" x14ac:dyDescent="0.3">
      <c r="A1067" s="8">
        <v>1060</v>
      </c>
      <c r="B1067" s="9" t="s">
        <v>858</v>
      </c>
      <c r="C1067" s="10" t="str">
        <f>VLOOKUP(B1067,'Data Angt'!$A$5:$B$5809,2,FALSE)</f>
        <v>A324</v>
      </c>
      <c r="D1067" s="12" t="s">
        <v>10396</v>
      </c>
      <c r="E1067" s="13">
        <v>44544</v>
      </c>
      <c r="F1067" s="14">
        <v>45922</v>
      </c>
      <c r="G1067" s="15">
        <v>30000000</v>
      </c>
      <c r="H1067" s="16">
        <v>48</v>
      </c>
      <c r="I1067" s="17">
        <v>21</v>
      </c>
      <c r="J1067" s="15">
        <v>1875000</v>
      </c>
      <c r="K1067" s="98">
        <f t="shared" si="48"/>
        <v>0</v>
      </c>
      <c r="L1067" s="98" t="str">
        <f t="shared" si="49"/>
        <v>Lancar</v>
      </c>
      <c r="M1067" s="5" t="str">
        <f t="shared" si="50"/>
        <v>003</v>
      </c>
      <c r="N1067" s="55" t="str">
        <f>VLOOKUP(D1067,Pinjaman!$E$7:$N$1900,10,FALSE)</f>
        <v>PRODUKTIF</v>
      </c>
      <c r="O1067" s="55">
        <f>VLOOKUP(B1067,'Data Angt'!$A$5:$H$5810,6,FALSE)</f>
        <v>61</v>
      </c>
      <c r="P1067" s="55" t="str">
        <f>VLOOKUP(B1067,'Data Angt'!$A$5:$H$5810,8,FALSE)</f>
        <v>Pensiunan</v>
      </c>
    </row>
    <row r="1068" spans="1:16" x14ac:dyDescent="0.3">
      <c r="A1068" s="8">
        <v>1061</v>
      </c>
      <c r="B1068" s="9" t="s">
        <v>858</v>
      </c>
      <c r="C1068" s="10" t="str">
        <f>VLOOKUP(B1068,'Data Angt'!$A$5:$B$5809,2,FALSE)</f>
        <v>A324</v>
      </c>
      <c r="D1068" s="12" t="s">
        <v>23291</v>
      </c>
      <c r="E1068" s="13">
        <v>45859</v>
      </c>
      <c r="F1068" s="14">
        <v>45913</v>
      </c>
      <c r="G1068" s="15">
        <v>23000000</v>
      </c>
      <c r="H1068" s="16">
        <v>36</v>
      </c>
      <c r="I1068" s="17">
        <v>11.4</v>
      </c>
      <c r="J1068" s="15">
        <v>21917100</v>
      </c>
      <c r="K1068" s="98">
        <f t="shared" si="48"/>
        <v>0</v>
      </c>
      <c r="L1068" s="98" t="str">
        <f t="shared" si="49"/>
        <v>Lancar</v>
      </c>
      <c r="M1068" s="5" t="str">
        <f t="shared" si="50"/>
        <v>003</v>
      </c>
      <c r="N1068" s="55" t="str">
        <f>VLOOKUP(D1068,Pinjaman!$E$7:$N$1900,10,FALSE)</f>
        <v>KESEJAHTERAAN</v>
      </c>
      <c r="O1068" s="55">
        <f>VLOOKUP(B1068,'Data Angt'!$A$5:$H$5810,6,FALSE)</f>
        <v>61</v>
      </c>
      <c r="P1068" s="55" t="str">
        <f>VLOOKUP(B1068,'Data Angt'!$A$5:$H$5810,8,FALSE)</f>
        <v>Pensiunan</v>
      </c>
    </row>
    <row r="1069" spans="1:16" x14ac:dyDescent="0.3">
      <c r="A1069" s="8">
        <v>1062</v>
      </c>
      <c r="B1069" s="9" t="s">
        <v>863</v>
      </c>
      <c r="C1069" s="10" t="str">
        <f>VLOOKUP(B1069,'Data Angt'!$A$5:$B$5809,2,FALSE)</f>
        <v>A326</v>
      </c>
      <c r="D1069" s="12" t="s">
        <v>16837</v>
      </c>
      <c r="E1069" s="13">
        <v>45486</v>
      </c>
      <c r="F1069" s="14">
        <v>45913</v>
      </c>
      <c r="G1069" s="15">
        <v>25000000</v>
      </c>
      <c r="H1069" s="16">
        <v>48</v>
      </c>
      <c r="I1069" s="17">
        <v>21</v>
      </c>
      <c r="J1069" s="15">
        <v>17707400</v>
      </c>
      <c r="K1069" s="98">
        <f t="shared" si="48"/>
        <v>0</v>
      </c>
      <c r="L1069" s="98" t="str">
        <f t="shared" si="49"/>
        <v>Lancar</v>
      </c>
      <c r="M1069" s="5" t="str">
        <f t="shared" si="50"/>
        <v>003</v>
      </c>
      <c r="N1069" s="55" t="str">
        <f>VLOOKUP(D1069,Pinjaman!$E$7:$N$1900,10,FALSE)</f>
        <v>KESEJAHTERAAN</v>
      </c>
      <c r="O1069" s="55">
        <f>VLOOKUP(B1069,'Data Angt'!$A$5:$H$5810,6,FALSE)</f>
        <v>67</v>
      </c>
      <c r="P1069" s="55" t="str">
        <f>VLOOKUP(B1069,'Data Angt'!$A$5:$H$5810,8,FALSE)</f>
        <v>Mengurus Rumah Tangga</v>
      </c>
    </row>
    <row r="1070" spans="1:16" x14ac:dyDescent="0.3">
      <c r="A1070" s="8">
        <v>1063</v>
      </c>
      <c r="B1070" s="9" t="s">
        <v>1009</v>
      </c>
      <c r="C1070" s="10" t="str">
        <f>VLOOKUP(B1070,'Data Angt'!$A$5:$B$5809,2,FALSE)</f>
        <v>A385</v>
      </c>
      <c r="D1070" s="12" t="s">
        <v>10399</v>
      </c>
      <c r="E1070" s="13">
        <v>45225</v>
      </c>
      <c r="F1070" s="14">
        <v>45930</v>
      </c>
      <c r="G1070" s="15">
        <v>120000000</v>
      </c>
      <c r="H1070" s="16">
        <v>84</v>
      </c>
      <c r="I1070" s="17">
        <v>11.4</v>
      </c>
      <c r="J1070" s="15">
        <v>98265500</v>
      </c>
      <c r="K1070" s="98">
        <f t="shared" si="48"/>
        <v>0</v>
      </c>
      <c r="L1070" s="98" t="str">
        <f t="shared" si="49"/>
        <v>Lancar</v>
      </c>
      <c r="M1070" s="5" t="str">
        <f t="shared" si="50"/>
        <v>003</v>
      </c>
      <c r="N1070" s="55" t="str">
        <f>VLOOKUP(D1070,Pinjaman!$E$7:$N$1900,10,FALSE)</f>
        <v>KESEJAHTERAAN</v>
      </c>
      <c r="O1070" s="55">
        <f>VLOOKUP(B1070,'Data Angt'!$A$5:$H$5810,6,FALSE)</f>
        <v>49</v>
      </c>
      <c r="P1070" s="55" t="str">
        <f>VLOOKUP(B1070,'Data Angt'!$A$5:$H$5810,8,FALSE)</f>
        <v>Karyawan</v>
      </c>
    </row>
    <row r="1071" spans="1:16" x14ac:dyDescent="0.3">
      <c r="A1071" s="8">
        <v>1064</v>
      </c>
      <c r="B1071" s="9" t="s">
        <v>1066</v>
      </c>
      <c r="C1071" s="10" t="str">
        <f>VLOOKUP(B1071,'Data Angt'!$A$5:$B$5809,2,FALSE)</f>
        <v>A410</v>
      </c>
      <c r="D1071" s="12" t="s">
        <v>16839</v>
      </c>
      <c r="E1071" s="13">
        <v>45408</v>
      </c>
      <c r="F1071" s="14">
        <v>45929</v>
      </c>
      <c r="G1071" s="15">
        <v>16000000</v>
      </c>
      <c r="H1071" s="16">
        <v>36</v>
      </c>
      <c r="I1071" s="17">
        <v>11.4</v>
      </c>
      <c r="J1071" s="15">
        <v>9119500</v>
      </c>
      <c r="K1071" s="98">
        <f t="shared" si="48"/>
        <v>0</v>
      </c>
      <c r="L1071" s="98" t="str">
        <f t="shared" si="49"/>
        <v>Lancar</v>
      </c>
      <c r="M1071" s="5" t="str">
        <f t="shared" si="50"/>
        <v>003</v>
      </c>
      <c r="N1071" s="55" t="str">
        <f>VLOOKUP(D1071,Pinjaman!$E$7:$N$1900,10,FALSE)</f>
        <v>PRODUKTIF</v>
      </c>
      <c r="O1071" s="55">
        <f>VLOOKUP(B1071,'Data Angt'!$A$5:$H$5810,6,FALSE)</f>
        <v>76</v>
      </c>
      <c r="P1071" s="55" t="str">
        <f>VLOOKUP(B1071,'Data Angt'!$A$5:$H$5810,8,FALSE)</f>
        <v>Mengurus Rumah Tangga</v>
      </c>
    </row>
    <row r="1072" spans="1:16" x14ac:dyDescent="0.3">
      <c r="A1072" s="8">
        <v>1065</v>
      </c>
      <c r="B1072" s="9" t="s">
        <v>1123</v>
      </c>
      <c r="C1072" s="10" t="str">
        <f>VLOOKUP(B1072,'Data Angt'!$A$5:$B$5809,2,FALSE)</f>
        <v>A438</v>
      </c>
      <c r="D1072" s="12" t="s">
        <v>10401</v>
      </c>
      <c r="E1072" s="13">
        <v>44494</v>
      </c>
      <c r="F1072" s="14">
        <v>45924</v>
      </c>
      <c r="G1072" s="15">
        <v>75000000</v>
      </c>
      <c r="H1072" s="16">
        <v>60</v>
      </c>
      <c r="I1072" s="17">
        <v>11.4</v>
      </c>
      <c r="J1072" s="15">
        <v>35369200</v>
      </c>
      <c r="K1072" s="98">
        <f t="shared" si="48"/>
        <v>0</v>
      </c>
      <c r="L1072" s="98" t="str">
        <f t="shared" si="49"/>
        <v>Lancar</v>
      </c>
      <c r="M1072" s="5" t="str">
        <f t="shared" si="50"/>
        <v>003</v>
      </c>
      <c r="N1072" s="55" t="str">
        <f>VLOOKUP(D1072,Pinjaman!$E$7:$N$1900,10,FALSE)</f>
        <v>KESEJAHTERAAN</v>
      </c>
      <c r="O1072" s="55">
        <f>VLOOKUP(B1072,'Data Angt'!$A$5:$H$5810,6,FALSE)</f>
        <v>60</v>
      </c>
      <c r="P1072" s="55" t="str">
        <f>VLOOKUP(B1072,'Data Angt'!$A$5:$H$5810,8,FALSE)</f>
        <v>Karyawan</v>
      </c>
    </row>
    <row r="1073" spans="1:16" x14ac:dyDescent="0.3">
      <c r="A1073" s="8">
        <v>1066</v>
      </c>
      <c r="B1073" s="9" t="s">
        <v>1155</v>
      </c>
      <c r="C1073" s="10" t="str">
        <f>VLOOKUP(B1073,'Data Angt'!$A$5:$B$5809,2,FALSE)</f>
        <v>A451</v>
      </c>
      <c r="D1073" s="12" t="s">
        <v>23296</v>
      </c>
      <c r="E1073" s="13">
        <v>45910</v>
      </c>
      <c r="F1073" s="14">
        <v>45910</v>
      </c>
      <c r="G1073" s="15">
        <v>7500000</v>
      </c>
      <c r="H1073" s="16">
        <v>15</v>
      </c>
      <c r="I1073" s="17">
        <v>24</v>
      </c>
      <c r="J1073" s="15">
        <v>7500000</v>
      </c>
      <c r="K1073" s="98">
        <f t="shared" si="48"/>
        <v>0</v>
      </c>
      <c r="L1073" s="98" t="str">
        <f t="shared" si="49"/>
        <v>Lancar</v>
      </c>
      <c r="M1073" s="5" t="str">
        <f t="shared" si="50"/>
        <v>003</v>
      </c>
      <c r="N1073" s="55" t="str">
        <f>VLOOKUP(D1073,Pinjaman!$E$7:$N$1900,10,FALSE)</f>
        <v>KONSUMTIF</v>
      </c>
      <c r="O1073" s="55">
        <f>VLOOKUP(B1073,'Data Angt'!$A$5:$H$5810,6,FALSE)</f>
        <v>58</v>
      </c>
      <c r="P1073" s="55" t="str">
        <f>VLOOKUP(B1073,'Data Angt'!$A$5:$H$5810,8,FALSE)</f>
        <v>Mengurus Rumah Tangga</v>
      </c>
    </row>
    <row r="1074" spans="1:16" x14ac:dyDescent="0.3">
      <c r="A1074" s="8">
        <v>1067</v>
      </c>
      <c r="B1074" s="9" t="s">
        <v>1263</v>
      </c>
      <c r="C1074" s="10" t="str">
        <f>VLOOKUP(B1074,'Data Angt'!$A$5:$B$5809,2,FALSE)</f>
        <v>A492</v>
      </c>
      <c r="D1074" s="12" t="s">
        <v>10403</v>
      </c>
      <c r="E1074" s="13">
        <v>40936</v>
      </c>
      <c r="F1074" s="14">
        <v>42908</v>
      </c>
      <c r="G1074" s="15">
        <v>125000000</v>
      </c>
      <c r="H1074" s="16">
        <v>120</v>
      </c>
      <c r="I1074" s="17">
        <v>8.02</v>
      </c>
      <c r="J1074" s="15">
        <v>104816700</v>
      </c>
      <c r="K1074" s="98">
        <f t="shared" si="48"/>
        <v>99</v>
      </c>
      <c r="L1074" s="98" t="str">
        <f t="shared" si="49"/>
        <v>Macet</v>
      </c>
      <c r="M1074" s="5" t="str">
        <f t="shared" si="50"/>
        <v>003</v>
      </c>
      <c r="N1074" s="55">
        <f>VLOOKUP(D1074,Pinjaman!$E$7:$N$1900,10,FALSE)</f>
        <v>0</v>
      </c>
      <c r="O1074" s="55">
        <f>VLOOKUP(B1074,'Data Angt'!$A$5:$H$5810,6,FALSE)</f>
        <v>57</v>
      </c>
      <c r="P1074" s="55" t="str">
        <f>VLOOKUP(B1074,'Data Angt'!$A$5:$H$5810,8,FALSE)</f>
        <v>Mengurus Rumah Tangga</v>
      </c>
    </row>
    <row r="1075" spans="1:16" x14ac:dyDescent="0.3">
      <c r="A1075" s="8">
        <v>1068</v>
      </c>
      <c r="B1075" s="9" t="s">
        <v>1265</v>
      </c>
      <c r="C1075" s="10" t="str">
        <f>VLOOKUP(B1075,'Data Angt'!$A$5:$B$5809,2,FALSE)</f>
        <v>A493</v>
      </c>
      <c r="D1075" s="12" t="s">
        <v>10404</v>
      </c>
      <c r="E1075" s="13">
        <v>41536</v>
      </c>
      <c r="F1075" s="14">
        <v>42602</v>
      </c>
      <c r="G1075" s="15">
        <v>100000000</v>
      </c>
      <c r="H1075" s="16">
        <v>60</v>
      </c>
      <c r="I1075" s="17">
        <v>11.88</v>
      </c>
      <c r="J1075" s="15">
        <v>88333100</v>
      </c>
      <c r="K1075" s="98">
        <f t="shared" si="48"/>
        <v>109</v>
      </c>
      <c r="L1075" s="98" t="str">
        <f t="shared" si="49"/>
        <v>Macet</v>
      </c>
      <c r="M1075" s="5" t="str">
        <f t="shared" si="50"/>
        <v>003</v>
      </c>
      <c r="N1075" s="55">
        <f>VLOOKUP(D1075,Pinjaman!$E$7:$N$1900,10,FALSE)</f>
        <v>0</v>
      </c>
      <c r="O1075" s="55">
        <f>VLOOKUP(B1075,'Data Angt'!$A$5:$H$5810,6,FALSE)</f>
        <v>67</v>
      </c>
      <c r="P1075" s="55" t="str">
        <f>VLOOKUP(B1075,'Data Angt'!$A$5:$H$5810,8,FALSE)</f>
        <v>Wiraswasta</v>
      </c>
    </row>
    <row r="1076" spans="1:16" x14ac:dyDescent="0.3">
      <c r="A1076" s="8">
        <v>1069</v>
      </c>
      <c r="B1076" s="9" t="s">
        <v>1280</v>
      </c>
      <c r="C1076" s="10" t="str">
        <f>VLOOKUP(B1076,'Data Angt'!$A$5:$B$5809,2,FALSE)</f>
        <v>A498</v>
      </c>
      <c r="D1076" s="12" t="s">
        <v>16841</v>
      </c>
      <c r="E1076" s="13">
        <v>45666</v>
      </c>
      <c r="F1076" s="14">
        <v>45909</v>
      </c>
      <c r="G1076" s="15">
        <v>10000000</v>
      </c>
      <c r="H1076" s="16">
        <v>10</v>
      </c>
      <c r="I1076" s="17">
        <v>24</v>
      </c>
      <c r="J1076" s="15">
        <v>2000000</v>
      </c>
      <c r="K1076" s="98">
        <f t="shared" si="48"/>
        <v>0</v>
      </c>
      <c r="L1076" s="98" t="str">
        <f t="shared" si="49"/>
        <v>Lancar</v>
      </c>
      <c r="M1076" s="5" t="str">
        <f t="shared" si="50"/>
        <v>003</v>
      </c>
      <c r="N1076" s="55" t="str">
        <f>VLOOKUP(D1076,Pinjaman!$E$7:$N$1900,10,FALSE)</f>
        <v>PENDIDIKAN</v>
      </c>
      <c r="O1076" s="55">
        <f>VLOOKUP(B1076,'Data Angt'!$A$5:$H$5810,6,FALSE)</f>
        <v>46</v>
      </c>
      <c r="P1076" s="55" t="str">
        <f>VLOOKUP(B1076,'Data Angt'!$A$5:$H$5810,8,FALSE)</f>
        <v>Tenaga Pengajar</v>
      </c>
    </row>
    <row r="1077" spans="1:16" x14ac:dyDescent="0.3">
      <c r="A1077" s="8">
        <v>1070</v>
      </c>
      <c r="B1077" s="9" t="s">
        <v>1313</v>
      </c>
      <c r="C1077" s="10" t="str">
        <f>VLOOKUP(B1077,'Data Angt'!$A$5:$B$5809,2,FALSE)</f>
        <v>A511</v>
      </c>
      <c r="D1077" s="12" t="s">
        <v>16843</v>
      </c>
      <c r="E1077" s="13">
        <v>45359</v>
      </c>
      <c r="F1077" s="14">
        <v>45908</v>
      </c>
      <c r="G1077" s="15">
        <v>150000000</v>
      </c>
      <c r="H1077" s="16">
        <v>120</v>
      </c>
      <c r="I1077" s="17">
        <v>11.4</v>
      </c>
      <c r="J1077" s="15">
        <v>136810400</v>
      </c>
      <c r="K1077" s="98">
        <f t="shared" si="48"/>
        <v>0</v>
      </c>
      <c r="L1077" s="98" t="str">
        <f t="shared" si="49"/>
        <v>Lancar</v>
      </c>
      <c r="M1077" s="5" t="str">
        <f t="shared" si="50"/>
        <v>003</v>
      </c>
      <c r="N1077" s="55" t="str">
        <f>VLOOKUP(D1077,Pinjaman!$E$7:$N$1900,10,FALSE)</f>
        <v>KESEJAHTERAAN</v>
      </c>
      <c r="O1077" s="55">
        <f>VLOOKUP(B1077,'Data Angt'!$A$5:$H$5810,6,FALSE)</f>
        <v>59</v>
      </c>
      <c r="P1077" s="55" t="str">
        <f>VLOOKUP(B1077,'Data Angt'!$A$5:$H$5810,8,FALSE)</f>
        <v>Tenaga Pengajar</v>
      </c>
    </row>
    <row r="1078" spans="1:16" x14ac:dyDescent="0.3">
      <c r="A1078" s="8">
        <v>1071</v>
      </c>
      <c r="B1078" s="9" t="s">
        <v>1339</v>
      </c>
      <c r="C1078" s="10" t="str">
        <f>VLOOKUP(B1078,'Data Angt'!$A$5:$B$5809,2,FALSE)</f>
        <v>A522</v>
      </c>
      <c r="D1078" s="12" t="s">
        <v>16845</v>
      </c>
      <c r="E1078" s="13">
        <v>45811</v>
      </c>
      <c r="F1078" s="14">
        <v>45903</v>
      </c>
      <c r="G1078" s="15">
        <v>6500000</v>
      </c>
      <c r="H1078" s="16">
        <v>18</v>
      </c>
      <c r="I1078" s="17">
        <v>24</v>
      </c>
      <c r="J1078" s="15">
        <v>5416400</v>
      </c>
      <c r="K1078" s="98">
        <f t="shared" si="48"/>
        <v>0</v>
      </c>
      <c r="L1078" s="98" t="str">
        <f t="shared" si="49"/>
        <v>Lancar</v>
      </c>
      <c r="M1078" s="5" t="str">
        <f t="shared" si="50"/>
        <v>003</v>
      </c>
      <c r="N1078" s="55" t="str">
        <f>VLOOKUP(D1078,Pinjaman!$E$7:$N$1900,10,FALSE)</f>
        <v>KESEJAHTERAAN</v>
      </c>
      <c r="O1078" s="55">
        <f>VLOOKUP(B1078,'Data Angt'!$A$5:$H$5810,6,FALSE)</f>
        <v>59</v>
      </c>
      <c r="P1078" s="55" t="str">
        <f>VLOOKUP(B1078,'Data Angt'!$A$5:$H$5810,8,FALSE)</f>
        <v>Karyawan</v>
      </c>
    </row>
    <row r="1079" spans="1:16" x14ac:dyDescent="0.3">
      <c r="A1079" s="8">
        <v>1072</v>
      </c>
      <c r="B1079" s="9" t="s">
        <v>1410</v>
      </c>
      <c r="C1079" s="10" t="str">
        <f>VLOOKUP(B1079,'Data Angt'!$A$5:$B$5809,2,FALSE)</f>
        <v>A553</v>
      </c>
      <c r="D1079" s="12" t="s">
        <v>23300</v>
      </c>
      <c r="E1079" s="13">
        <v>45867</v>
      </c>
      <c r="F1079" s="14">
        <v>45929</v>
      </c>
      <c r="G1079" s="15">
        <v>4000000</v>
      </c>
      <c r="H1079" s="16">
        <v>12</v>
      </c>
      <c r="I1079" s="17">
        <v>11.9</v>
      </c>
      <c r="J1079" s="15">
        <v>3365700</v>
      </c>
      <c r="K1079" s="98">
        <f t="shared" si="48"/>
        <v>0</v>
      </c>
      <c r="L1079" s="98" t="str">
        <f t="shared" si="49"/>
        <v>Lancar</v>
      </c>
      <c r="M1079" s="5" t="str">
        <f t="shared" si="50"/>
        <v>003</v>
      </c>
      <c r="N1079" s="55" t="str">
        <f>VLOOKUP(D1079,Pinjaman!$E$7:$N$1900,10,FALSE)</f>
        <v>PRODUKTIF</v>
      </c>
      <c r="O1079" s="55">
        <f>VLOOKUP(B1079,'Data Angt'!$A$5:$H$5810,6,FALSE)</f>
        <v>62</v>
      </c>
      <c r="P1079" s="55" t="str">
        <f>VLOOKUP(B1079,'Data Angt'!$A$5:$H$5810,8,FALSE)</f>
        <v>Wiraswasta</v>
      </c>
    </row>
    <row r="1080" spans="1:16" x14ac:dyDescent="0.3">
      <c r="A1080" s="8">
        <v>1073</v>
      </c>
      <c r="B1080" s="9" t="s">
        <v>1429</v>
      </c>
      <c r="C1080" s="10" t="str">
        <f>VLOOKUP(B1080,'Data Angt'!$A$5:$B$5809,2,FALSE)</f>
        <v>A561</v>
      </c>
      <c r="D1080" s="12" t="s">
        <v>23302</v>
      </c>
      <c r="E1080" s="13">
        <v>45902</v>
      </c>
      <c r="F1080" s="14">
        <v>45902</v>
      </c>
      <c r="G1080" s="15">
        <v>6000000</v>
      </c>
      <c r="H1080" s="16">
        <v>18</v>
      </c>
      <c r="I1080" s="17">
        <v>24</v>
      </c>
      <c r="J1080" s="15">
        <v>6000000</v>
      </c>
      <c r="K1080" s="98">
        <f t="shared" si="48"/>
        <v>0</v>
      </c>
      <c r="L1080" s="98" t="str">
        <f t="shared" si="49"/>
        <v>Lancar</v>
      </c>
      <c r="M1080" s="5" t="str">
        <f t="shared" si="50"/>
        <v>003</v>
      </c>
      <c r="N1080" s="55" t="str">
        <f>VLOOKUP(D1080,Pinjaman!$E$7:$N$1900,10,FALSE)</f>
        <v>KESEJAHTERAAN</v>
      </c>
      <c r="O1080" s="55">
        <f>VLOOKUP(B1080,'Data Angt'!$A$5:$H$5810,6,FALSE)</f>
        <v>26</v>
      </c>
      <c r="P1080" s="55" t="str">
        <f>VLOOKUP(B1080,'Data Angt'!$A$5:$H$5810,8,FALSE)</f>
        <v>Karyawan</v>
      </c>
    </row>
    <row r="1081" spans="1:16" x14ac:dyDescent="0.3">
      <c r="A1081" s="8">
        <v>1074</v>
      </c>
      <c r="B1081" s="9" t="s">
        <v>1475</v>
      </c>
      <c r="C1081" s="10" t="str">
        <f>VLOOKUP(B1081,'Data Angt'!$A$5:$B$5809,2,FALSE)</f>
        <v>A580</v>
      </c>
      <c r="D1081" s="12" t="s">
        <v>16847</v>
      </c>
      <c r="E1081" s="13">
        <v>45364</v>
      </c>
      <c r="F1081" s="14">
        <v>45930</v>
      </c>
      <c r="G1081" s="15">
        <v>13000000</v>
      </c>
      <c r="H1081" s="16">
        <v>40</v>
      </c>
      <c r="I1081" s="17">
        <v>24</v>
      </c>
      <c r="J1081" s="15">
        <v>9834500</v>
      </c>
      <c r="K1081" s="98">
        <f t="shared" si="48"/>
        <v>0</v>
      </c>
      <c r="L1081" s="98" t="str">
        <f t="shared" si="49"/>
        <v>Lancar</v>
      </c>
      <c r="M1081" s="5" t="str">
        <f t="shared" si="50"/>
        <v>003</v>
      </c>
      <c r="N1081" s="55" t="str">
        <f>VLOOKUP(D1081,Pinjaman!$E$7:$N$1900,10,FALSE)</f>
        <v>PRODUKTIF</v>
      </c>
      <c r="O1081" s="55">
        <f>VLOOKUP(B1081,'Data Angt'!$A$5:$H$5810,6,FALSE)</f>
        <v>56</v>
      </c>
      <c r="P1081" s="55" t="str">
        <f>VLOOKUP(B1081,'Data Angt'!$A$5:$H$5810,8,FALSE)</f>
        <v>Lain-Lain</v>
      </c>
    </row>
    <row r="1082" spans="1:16" x14ac:dyDescent="0.3">
      <c r="A1082" s="8">
        <v>1075</v>
      </c>
      <c r="B1082" s="9" t="s">
        <v>1532</v>
      </c>
      <c r="C1082" s="10" t="str">
        <f>VLOOKUP(B1082,'Data Angt'!$A$5:$B$5809,2,FALSE)</f>
        <v>A606</v>
      </c>
      <c r="D1082" s="12" t="s">
        <v>23306</v>
      </c>
      <c r="E1082" s="13">
        <v>45891</v>
      </c>
      <c r="F1082" s="14">
        <v>45916</v>
      </c>
      <c r="G1082" s="15">
        <v>5000000</v>
      </c>
      <c r="H1082" s="16">
        <v>18</v>
      </c>
      <c r="I1082" s="17">
        <v>11.88</v>
      </c>
      <c r="J1082" s="15">
        <v>4744800</v>
      </c>
      <c r="K1082" s="98">
        <f t="shared" si="48"/>
        <v>0</v>
      </c>
      <c r="L1082" s="98" t="str">
        <f t="shared" si="49"/>
        <v>Lancar</v>
      </c>
      <c r="M1082" s="5" t="str">
        <f t="shared" si="50"/>
        <v>003</v>
      </c>
      <c r="N1082" s="55" t="str">
        <f>VLOOKUP(D1082,Pinjaman!$E$7:$N$1900,10,FALSE)</f>
        <v>KESEJAHTERAAN</v>
      </c>
      <c r="O1082" s="55">
        <f>VLOOKUP(B1082,'Data Angt'!$A$5:$H$5810,6,FALSE)</f>
        <v>60</v>
      </c>
      <c r="P1082" s="55" t="str">
        <f>VLOOKUP(B1082,'Data Angt'!$A$5:$H$5810,8,FALSE)</f>
        <v>Karyawan</v>
      </c>
    </row>
    <row r="1083" spans="1:16" x14ac:dyDescent="0.3">
      <c r="A1083" s="8">
        <v>1076</v>
      </c>
      <c r="B1083" s="9" t="s">
        <v>1719</v>
      </c>
      <c r="C1083" s="10" t="str">
        <f>VLOOKUP(B1083,'Data Angt'!$A$5:$B$5809,2,FALSE)</f>
        <v>A690</v>
      </c>
      <c r="D1083" s="12" t="s">
        <v>10405</v>
      </c>
      <c r="E1083" s="13">
        <v>45255</v>
      </c>
      <c r="F1083" s="14">
        <v>45925</v>
      </c>
      <c r="G1083" s="15">
        <v>125000000</v>
      </c>
      <c r="H1083" s="16">
        <v>36</v>
      </c>
      <c r="I1083" s="17">
        <v>21</v>
      </c>
      <c r="J1083" s="15">
        <v>48609400</v>
      </c>
      <c r="K1083" s="98">
        <f t="shared" si="48"/>
        <v>0</v>
      </c>
      <c r="L1083" s="98" t="str">
        <f t="shared" si="49"/>
        <v>Lancar</v>
      </c>
      <c r="M1083" s="5" t="str">
        <f t="shared" si="50"/>
        <v>003</v>
      </c>
      <c r="N1083" s="55" t="str">
        <f>VLOOKUP(D1083,Pinjaman!$E$7:$N$1900,10,FALSE)</f>
        <v>PRODUKTIF</v>
      </c>
      <c r="O1083" s="55">
        <f>VLOOKUP(B1083,'Data Angt'!$A$5:$H$5810,6,FALSE)</f>
        <v>48</v>
      </c>
      <c r="P1083" s="55" t="str">
        <f>VLOOKUP(B1083,'Data Angt'!$A$5:$H$5810,8,FALSE)</f>
        <v>Mengurus Rumah Tangga</v>
      </c>
    </row>
    <row r="1084" spans="1:16" x14ac:dyDescent="0.3">
      <c r="A1084" s="8">
        <v>1077</v>
      </c>
      <c r="B1084" s="9" t="s">
        <v>1756</v>
      </c>
      <c r="C1084" s="10" t="str">
        <f>VLOOKUP(B1084,'Data Angt'!$A$5:$B$5809,2,FALSE)</f>
        <v>A708</v>
      </c>
      <c r="D1084" s="12" t="s">
        <v>16451</v>
      </c>
      <c r="E1084" s="13">
        <v>45485</v>
      </c>
      <c r="F1084" s="14">
        <v>45916</v>
      </c>
      <c r="G1084" s="15">
        <v>300000000</v>
      </c>
      <c r="H1084" s="16">
        <v>36</v>
      </c>
      <c r="I1084" s="17">
        <v>11.4</v>
      </c>
      <c r="J1084" s="15">
        <v>195287200</v>
      </c>
      <c r="K1084" s="98">
        <f t="shared" si="48"/>
        <v>0</v>
      </c>
      <c r="L1084" s="98" t="str">
        <f t="shared" si="49"/>
        <v>Lancar</v>
      </c>
      <c r="M1084" s="5" t="str">
        <f t="shared" si="50"/>
        <v>003</v>
      </c>
      <c r="N1084" s="55" t="str">
        <f>VLOOKUP(D1084,Pinjaman!$E$7:$N$1900,10,FALSE)</f>
        <v>PRODUKTIF</v>
      </c>
      <c r="O1084" s="55">
        <f>VLOOKUP(B1084,'Data Angt'!$A$5:$H$5810,6,FALSE)</f>
        <v>44</v>
      </c>
      <c r="P1084" s="55" t="str">
        <f>VLOOKUP(B1084,'Data Angt'!$A$5:$H$5810,8,FALSE)</f>
        <v>Wiraswasta</v>
      </c>
    </row>
    <row r="1085" spans="1:16" x14ac:dyDescent="0.3">
      <c r="A1085" s="8">
        <v>1078</v>
      </c>
      <c r="B1085" s="9" t="s">
        <v>1919</v>
      </c>
      <c r="C1085" s="10" t="str">
        <f>VLOOKUP(B1085,'Data Angt'!$A$5:$B$5809,2,FALSE)</f>
        <v>A776</v>
      </c>
      <c r="D1085" s="12" t="s">
        <v>23310</v>
      </c>
      <c r="E1085" s="13">
        <v>45873</v>
      </c>
      <c r="F1085" s="14">
        <v>45904</v>
      </c>
      <c r="G1085" s="15">
        <v>5000000</v>
      </c>
      <c r="H1085" s="16">
        <v>12</v>
      </c>
      <c r="I1085" s="17">
        <v>24</v>
      </c>
      <c r="J1085" s="15">
        <v>4583300</v>
      </c>
      <c r="K1085" s="98">
        <f t="shared" si="48"/>
        <v>0</v>
      </c>
      <c r="L1085" s="98" t="str">
        <f t="shared" si="49"/>
        <v>Lancar</v>
      </c>
      <c r="M1085" s="5" t="str">
        <f t="shared" si="50"/>
        <v>003</v>
      </c>
      <c r="N1085" s="55" t="str">
        <f>VLOOKUP(D1085,Pinjaman!$E$7:$N$1900,10,FALSE)</f>
        <v>PENDIDIKAN</v>
      </c>
      <c r="O1085" s="55">
        <f>VLOOKUP(B1085,'Data Angt'!$A$5:$H$5810,6,FALSE)</f>
        <v>48</v>
      </c>
      <c r="P1085" s="55" t="str">
        <f>VLOOKUP(B1085,'Data Angt'!$A$5:$H$5810,8,FALSE)</f>
        <v>Mengurus Rumah Tangga</v>
      </c>
    </row>
    <row r="1086" spans="1:16" x14ac:dyDescent="0.3">
      <c r="A1086" s="8">
        <v>1079</v>
      </c>
      <c r="B1086" s="9" t="s">
        <v>1919</v>
      </c>
      <c r="C1086" s="10" t="str">
        <f>VLOOKUP(B1086,'Data Angt'!$A$5:$B$5809,2,FALSE)</f>
        <v>A776</v>
      </c>
      <c r="D1086" s="12" t="s">
        <v>16850</v>
      </c>
      <c r="E1086" s="13">
        <v>45777</v>
      </c>
      <c r="F1086" s="14">
        <v>45930</v>
      </c>
      <c r="G1086" s="15">
        <v>10000000</v>
      </c>
      <c r="H1086" s="16">
        <v>12</v>
      </c>
      <c r="I1086" s="17">
        <v>24</v>
      </c>
      <c r="J1086" s="15">
        <v>5833000</v>
      </c>
      <c r="K1086" s="98">
        <f t="shared" si="48"/>
        <v>0</v>
      </c>
      <c r="L1086" s="98" t="str">
        <f t="shared" si="49"/>
        <v>Lancar</v>
      </c>
      <c r="M1086" s="5" t="str">
        <f t="shared" si="50"/>
        <v>003</v>
      </c>
      <c r="N1086" s="55" t="str">
        <f>VLOOKUP(D1086,Pinjaman!$E$7:$N$1900,10,FALSE)</f>
        <v>PRODUKTIF</v>
      </c>
      <c r="O1086" s="55">
        <f>VLOOKUP(B1086,'Data Angt'!$A$5:$H$5810,6,FALSE)</f>
        <v>48</v>
      </c>
      <c r="P1086" s="55" t="str">
        <f>VLOOKUP(B1086,'Data Angt'!$A$5:$H$5810,8,FALSE)</f>
        <v>Mengurus Rumah Tangga</v>
      </c>
    </row>
    <row r="1087" spans="1:16" x14ac:dyDescent="0.3">
      <c r="A1087" s="8">
        <v>1080</v>
      </c>
      <c r="B1087" s="9" t="s">
        <v>1926</v>
      </c>
      <c r="C1087" s="10" t="str">
        <f>VLOOKUP(B1087,'Data Angt'!$A$5:$B$5809,2,FALSE)</f>
        <v>A778</v>
      </c>
      <c r="D1087" s="12" t="s">
        <v>16852</v>
      </c>
      <c r="E1087" s="13">
        <v>45303</v>
      </c>
      <c r="F1087" s="14">
        <v>45912</v>
      </c>
      <c r="G1087" s="15">
        <v>15000000</v>
      </c>
      <c r="H1087" s="16">
        <v>24</v>
      </c>
      <c r="I1087" s="17">
        <v>12</v>
      </c>
      <c r="J1087" s="15">
        <v>2754000</v>
      </c>
      <c r="K1087" s="98">
        <f t="shared" si="48"/>
        <v>0</v>
      </c>
      <c r="L1087" s="98" t="str">
        <f t="shared" si="49"/>
        <v>Lancar</v>
      </c>
      <c r="M1087" s="5" t="str">
        <f t="shared" si="50"/>
        <v>003</v>
      </c>
      <c r="N1087" s="55" t="str">
        <f>VLOOKUP(D1087,Pinjaman!$E$7:$N$1900,10,FALSE)</f>
        <v>PRODUKTIF</v>
      </c>
      <c r="O1087" s="55">
        <f>VLOOKUP(B1087,'Data Angt'!$A$5:$H$5810,6,FALSE)</f>
        <v>55</v>
      </c>
      <c r="P1087" s="55" t="str">
        <f>VLOOKUP(B1087,'Data Angt'!$A$5:$H$5810,8,FALSE)</f>
        <v>Karyawan</v>
      </c>
    </row>
    <row r="1088" spans="1:16" x14ac:dyDescent="0.3">
      <c r="A1088" s="8">
        <v>1081</v>
      </c>
      <c r="B1088" s="9" t="s">
        <v>1926</v>
      </c>
      <c r="C1088" s="10" t="str">
        <f>VLOOKUP(B1088,'Data Angt'!$A$5:$B$5809,2,FALSE)</f>
        <v>A778</v>
      </c>
      <c r="D1088" s="12" t="s">
        <v>10408</v>
      </c>
      <c r="E1088" s="13">
        <v>43197</v>
      </c>
      <c r="F1088" s="14">
        <v>45908</v>
      </c>
      <c r="G1088" s="15">
        <v>110000000</v>
      </c>
      <c r="H1088" s="16">
        <v>120</v>
      </c>
      <c r="I1088" s="17">
        <v>11.4</v>
      </c>
      <c r="J1088" s="15">
        <v>41192900</v>
      </c>
      <c r="K1088" s="98">
        <f t="shared" si="48"/>
        <v>0</v>
      </c>
      <c r="L1088" s="98" t="str">
        <f t="shared" si="49"/>
        <v>Lancar</v>
      </c>
      <c r="M1088" s="5" t="str">
        <f t="shared" si="50"/>
        <v>003</v>
      </c>
      <c r="N1088" s="55" t="str">
        <f>VLOOKUP(D1088,Pinjaman!$E$7:$N$1900,10,FALSE)</f>
        <v>KESEJAHTERAAN</v>
      </c>
      <c r="O1088" s="55">
        <f>VLOOKUP(B1088,'Data Angt'!$A$5:$H$5810,6,FALSE)</f>
        <v>55</v>
      </c>
      <c r="P1088" s="55" t="str">
        <f>VLOOKUP(B1088,'Data Angt'!$A$5:$H$5810,8,FALSE)</f>
        <v>Karyawan</v>
      </c>
    </row>
    <row r="1089" spans="1:16" x14ac:dyDescent="0.3">
      <c r="A1089" s="8">
        <v>1082</v>
      </c>
      <c r="B1089" s="9" t="s">
        <v>1962</v>
      </c>
      <c r="C1089" s="10" t="str">
        <f>VLOOKUP(B1089,'Data Angt'!$A$5:$B$5809,2,FALSE)</f>
        <v>A798</v>
      </c>
      <c r="D1089" s="12" t="s">
        <v>23312</v>
      </c>
      <c r="E1089" s="13">
        <v>45896</v>
      </c>
      <c r="F1089" s="14">
        <v>45927</v>
      </c>
      <c r="G1089" s="15">
        <v>8500000</v>
      </c>
      <c r="H1089" s="16">
        <v>24</v>
      </c>
      <c r="I1089" s="17">
        <v>24</v>
      </c>
      <c r="J1089" s="15">
        <v>8145800</v>
      </c>
      <c r="K1089" s="98">
        <f t="shared" si="48"/>
        <v>0</v>
      </c>
      <c r="L1089" s="98" t="str">
        <f t="shared" si="49"/>
        <v>Lancar</v>
      </c>
      <c r="M1089" s="5" t="str">
        <f t="shared" si="50"/>
        <v>003</v>
      </c>
      <c r="N1089" s="55" t="str">
        <f>VLOOKUP(D1089,Pinjaman!$E$7:$N$1900,10,FALSE)</f>
        <v>PENDIDIKAN</v>
      </c>
      <c r="O1089" s="55">
        <f>VLOOKUP(B1089,'Data Angt'!$A$5:$H$5810,6,FALSE)</f>
        <v>46</v>
      </c>
      <c r="P1089" s="55" t="str">
        <f>VLOOKUP(B1089,'Data Angt'!$A$5:$H$5810,8,FALSE)</f>
        <v>Mengurus Rumah Tangga</v>
      </c>
    </row>
    <row r="1090" spans="1:16" x14ac:dyDescent="0.3">
      <c r="A1090" s="8">
        <v>1083</v>
      </c>
      <c r="B1090" s="9" t="s">
        <v>1981</v>
      </c>
      <c r="C1090" s="10" t="str">
        <f>VLOOKUP(B1090,'Data Angt'!$A$5:$B$5809,2,FALSE)</f>
        <v>A810</v>
      </c>
      <c r="D1090" s="12" t="s">
        <v>10410</v>
      </c>
      <c r="E1090" s="13">
        <v>44946</v>
      </c>
      <c r="F1090" s="14">
        <v>45920</v>
      </c>
      <c r="G1090" s="15">
        <v>15000000</v>
      </c>
      <c r="H1090" s="16">
        <v>36</v>
      </c>
      <c r="I1090" s="17">
        <v>24</v>
      </c>
      <c r="J1090" s="15">
        <v>4616800</v>
      </c>
      <c r="K1090" s="98">
        <f t="shared" si="48"/>
        <v>0</v>
      </c>
      <c r="L1090" s="98" t="str">
        <f t="shared" si="49"/>
        <v>Lancar</v>
      </c>
      <c r="M1090" s="5" t="str">
        <f t="shared" si="50"/>
        <v>003</v>
      </c>
      <c r="N1090" s="55" t="str">
        <f>VLOOKUP(D1090,Pinjaman!$E$7:$N$1900,10,FALSE)</f>
        <v>KESEJAHTERAAN</v>
      </c>
      <c r="O1090" s="55">
        <f>VLOOKUP(B1090,'Data Angt'!$A$5:$H$5810,6,FALSE)</f>
        <v>70</v>
      </c>
      <c r="P1090" s="55" t="str">
        <f>VLOOKUP(B1090,'Data Angt'!$A$5:$H$5810,8,FALSE)</f>
        <v>Karyawan</v>
      </c>
    </row>
    <row r="1091" spans="1:16" x14ac:dyDescent="0.3">
      <c r="A1091" s="8">
        <v>1084</v>
      </c>
      <c r="B1091" s="9" t="s">
        <v>2025</v>
      </c>
      <c r="C1091" s="10" t="str">
        <f>VLOOKUP(B1091,'Data Angt'!$A$5:$B$5809,2,FALSE)</f>
        <v>A831</v>
      </c>
      <c r="D1091" s="12" t="s">
        <v>16854</v>
      </c>
      <c r="E1091" s="13">
        <v>45356</v>
      </c>
      <c r="F1091" s="14">
        <v>45904</v>
      </c>
      <c r="G1091" s="15">
        <v>4000000</v>
      </c>
      <c r="H1091" s="16">
        <v>24</v>
      </c>
      <c r="I1091" s="17">
        <v>11.88</v>
      </c>
      <c r="J1091" s="15">
        <v>1090900</v>
      </c>
      <c r="K1091" s="98">
        <f t="shared" si="48"/>
        <v>0</v>
      </c>
      <c r="L1091" s="98" t="str">
        <f t="shared" si="49"/>
        <v>Lancar</v>
      </c>
      <c r="M1091" s="5" t="str">
        <f t="shared" si="50"/>
        <v>003</v>
      </c>
      <c r="N1091" s="55" t="str">
        <f>VLOOKUP(D1091,Pinjaman!$E$7:$N$1900,10,FALSE)</f>
        <v>KONSUMTIF</v>
      </c>
      <c r="O1091" s="55">
        <f>VLOOKUP(B1091,'Data Angt'!$A$5:$H$5810,6,FALSE)</f>
        <v>51</v>
      </c>
      <c r="P1091" s="55" t="str">
        <f>VLOOKUP(B1091,'Data Angt'!$A$5:$H$5810,8,FALSE)</f>
        <v>Tenaga Medis</v>
      </c>
    </row>
    <row r="1092" spans="1:16" x14ac:dyDescent="0.3">
      <c r="A1092" s="8">
        <v>1085</v>
      </c>
      <c r="B1092" s="9" t="s">
        <v>2080</v>
      </c>
      <c r="C1092" s="10" t="str">
        <f>VLOOKUP(B1092,'Data Angt'!$A$5:$B$5809,2,FALSE)</f>
        <v>A854</v>
      </c>
      <c r="D1092" s="12" t="s">
        <v>10412</v>
      </c>
      <c r="E1092" s="13">
        <v>41057</v>
      </c>
      <c r="F1092" s="14">
        <v>45807</v>
      </c>
      <c r="G1092" s="15">
        <v>75000000</v>
      </c>
      <c r="H1092" s="16">
        <v>180</v>
      </c>
      <c r="I1092" s="17">
        <v>11.4</v>
      </c>
      <c r="J1092" s="15">
        <v>35771500</v>
      </c>
      <c r="K1092" s="98">
        <f t="shared" si="48"/>
        <v>4</v>
      </c>
      <c r="L1092" s="98" t="str">
        <f t="shared" si="49"/>
        <v>Kurang lancar</v>
      </c>
      <c r="M1092" s="5" t="str">
        <f t="shared" si="50"/>
        <v>003</v>
      </c>
      <c r="N1092" s="55">
        <f>VLOOKUP(D1092,Pinjaman!$E$7:$N$1900,10,FALSE)</f>
        <v>0</v>
      </c>
      <c r="O1092" s="55">
        <f>VLOOKUP(B1092,'Data Angt'!$A$5:$H$5810,6,FALSE)</f>
        <v>64</v>
      </c>
      <c r="P1092" s="55" t="str">
        <f>VLOOKUP(B1092,'Data Angt'!$A$5:$H$5810,8,FALSE)</f>
        <v>Karyawan</v>
      </c>
    </row>
    <row r="1093" spans="1:16" x14ac:dyDescent="0.3">
      <c r="A1093" s="8">
        <v>1086</v>
      </c>
      <c r="B1093" s="9" t="s">
        <v>2086</v>
      </c>
      <c r="C1093" s="10" t="str">
        <f>VLOOKUP(B1093,'Data Angt'!$A$5:$B$5809,2,FALSE)</f>
        <v>A856</v>
      </c>
      <c r="D1093" s="12" t="s">
        <v>16857</v>
      </c>
      <c r="E1093" s="13">
        <v>45666</v>
      </c>
      <c r="F1093" s="14">
        <v>45912</v>
      </c>
      <c r="G1093" s="15">
        <v>7000000</v>
      </c>
      <c r="H1093" s="16">
        <v>12</v>
      </c>
      <c r="I1093" s="17">
        <v>24</v>
      </c>
      <c r="J1093" s="15">
        <v>2332800</v>
      </c>
      <c r="K1093" s="98">
        <f t="shared" si="48"/>
        <v>0</v>
      </c>
      <c r="L1093" s="98" t="str">
        <f t="shared" si="49"/>
        <v>Lancar</v>
      </c>
      <c r="M1093" s="5" t="str">
        <f t="shared" si="50"/>
        <v>003</v>
      </c>
      <c r="N1093" s="55" t="str">
        <f>VLOOKUP(D1093,Pinjaman!$E$7:$N$1900,10,FALSE)</f>
        <v>PRODUKTIF</v>
      </c>
      <c r="O1093" s="55">
        <f>VLOOKUP(B1093,'Data Angt'!$A$5:$H$5810,6,FALSE)</f>
        <v>50</v>
      </c>
      <c r="P1093" s="55" t="str">
        <f>VLOOKUP(B1093,'Data Angt'!$A$5:$H$5810,8,FALSE)</f>
        <v>Tenaga Pengajar</v>
      </c>
    </row>
    <row r="1094" spans="1:16" x14ac:dyDescent="0.3">
      <c r="A1094" s="8">
        <v>1087</v>
      </c>
      <c r="B1094" s="9" t="s">
        <v>2089</v>
      </c>
      <c r="C1094" s="10" t="str">
        <f>VLOOKUP(B1094,'Data Angt'!$A$5:$B$5809,2,FALSE)</f>
        <v>A857</v>
      </c>
      <c r="D1094" s="12" t="s">
        <v>16859</v>
      </c>
      <c r="E1094" s="13">
        <v>45306</v>
      </c>
      <c r="F1094" s="14">
        <v>45915</v>
      </c>
      <c r="G1094" s="15">
        <v>15000000</v>
      </c>
      <c r="H1094" s="16">
        <v>48</v>
      </c>
      <c r="I1094" s="17">
        <v>24</v>
      </c>
      <c r="J1094" s="15">
        <v>8750000</v>
      </c>
      <c r="K1094" s="98">
        <f t="shared" si="48"/>
        <v>0</v>
      </c>
      <c r="L1094" s="98" t="str">
        <f t="shared" si="49"/>
        <v>Lancar</v>
      </c>
      <c r="M1094" s="5" t="str">
        <f t="shared" si="50"/>
        <v>003</v>
      </c>
      <c r="N1094" s="55" t="str">
        <f>VLOOKUP(D1094,Pinjaman!$E$7:$N$1900,10,FALSE)</f>
        <v>PRODUKTIF</v>
      </c>
      <c r="O1094" s="55">
        <f>VLOOKUP(B1094,'Data Angt'!$A$5:$H$5810,6,FALSE)</f>
        <v>53</v>
      </c>
      <c r="P1094" s="55" t="str">
        <f>VLOOKUP(B1094,'Data Angt'!$A$5:$H$5810,8,FALSE)</f>
        <v>Karyawan</v>
      </c>
    </row>
    <row r="1095" spans="1:16" x14ac:dyDescent="0.3">
      <c r="A1095" s="8">
        <v>1088</v>
      </c>
      <c r="B1095" s="9" t="s">
        <v>2089</v>
      </c>
      <c r="C1095" s="10" t="str">
        <f>VLOOKUP(B1095,'Data Angt'!$A$5:$B$5809,2,FALSE)</f>
        <v>A857</v>
      </c>
      <c r="D1095" s="12" t="s">
        <v>23315</v>
      </c>
      <c r="E1095" s="13">
        <v>45859</v>
      </c>
      <c r="F1095" s="14">
        <v>45915</v>
      </c>
      <c r="G1095" s="15">
        <v>3000000</v>
      </c>
      <c r="H1095" s="16">
        <v>12</v>
      </c>
      <c r="I1095" s="17">
        <v>24</v>
      </c>
      <c r="J1095" s="15">
        <v>2500000</v>
      </c>
      <c r="K1095" s="98">
        <f t="shared" si="48"/>
        <v>0</v>
      </c>
      <c r="L1095" s="98" t="str">
        <f t="shared" si="49"/>
        <v>Lancar</v>
      </c>
      <c r="M1095" s="5" t="str">
        <f t="shared" si="50"/>
        <v>003</v>
      </c>
      <c r="N1095" s="55" t="str">
        <f>VLOOKUP(D1095,Pinjaman!$E$7:$N$1900,10,FALSE)</f>
        <v>PENDIDIKAN</v>
      </c>
      <c r="O1095" s="55">
        <f>VLOOKUP(B1095,'Data Angt'!$A$5:$H$5810,6,FALSE)</f>
        <v>53</v>
      </c>
      <c r="P1095" s="55" t="str">
        <f>VLOOKUP(B1095,'Data Angt'!$A$5:$H$5810,8,FALSE)</f>
        <v>Karyawan</v>
      </c>
    </row>
    <row r="1096" spans="1:16" x14ac:dyDescent="0.3">
      <c r="A1096" s="8">
        <v>1089</v>
      </c>
      <c r="B1096" s="9" t="s">
        <v>2192</v>
      </c>
      <c r="C1096" s="10" t="str">
        <f>VLOOKUP(B1096,'Data Angt'!$A$5:$B$5809,2,FALSE)</f>
        <v>A911</v>
      </c>
      <c r="D1096" s="12" t="s">
        <v>16861</v>
      </c>
      <c r="E1096" s="13">
        <v>45664</v>
      </c>
      <c r="F1096" s="14">
        <v>45908</v>
      </c>
      <c r="G1096" s="15">
        <v>2000000</v>
      </c>
      <c r="H1096" s="16">
        <v>12</v>
      </c>
      <c r="I1096" s="17">
        <v>12</v>
      </c>
      <c r="J1096" s="15">
        <v>693800</v>
      </c>
      <c r="K1096" s="98">
        <f t="shared" si="48"/>
        <v>0</v>
      </c>
      <c r="L1096" s="98" t="str">
        <f t="shared" si="49"/>
        <v>Lancar</v>
      </c>
      <c r="M1096" s="5" t="str">
        <f t="shared" si="50"/>
        <v>003</v>
      </c>
      <c r="N1096" s="55" t="str">
        <f>VLOOKUP(D1096,Pinjaman!$E$7:$N$1900,10,FALSE)</f>
        <v>KONSUMTIF</v>
      </c>
      <c r="O1096" s="55">
        <f>VLOOKUP(B1096,'Data Angt'!$A$5:$H$5810,6,FALSE)</f>
        <v>58</v>
      </c>
      <c r="P1096" s="55" t="str">
        <f>VLOOKUP(B1096,'Data Angt'!$A$5:$H$5810,8,FALSE)</f>
        <v>Wiraswasta</v>
      </c>
    </row>
    <row r="1097" spans="1:16" x14ac:dyDescent="0.3">
      <c r="A1097" s="8">
        <v>1090</v>
      </c>
      <c r="B1097" s="9" t="s">
        <v>2192</v>
      </c>
      <c r="C1097" s="10" t="str">
        <f>VLOOKUP(B1097,'Data Angt'!$A$5:$B$5809,2,FALSE)</f>
        <v>A911</v>
      </c>
      <c r="D1097" s="12" t="s">
        <v>23317</v>
      </c>
      <c r="E1097" s="13">
        <v>45852</v>
      </c>
      <c r="F1097" s="14">
        <v>45915</v>
      </c>
      <c r="G1097" s="15">
        <v>21000000</v>
      </c>
      <c r="H1097" s="16">
        <v>24</v>
      </c>
      <c r="I1097" s="17">
        <v>11.4</v>
      </c>
      <c r="J1097" s="15">
        <v>19426200</v>
      </c>
      <c r="K1097" s="98">
        <f t="shared" ref="K1097:K1160" si="51">DATEDIF(F1097,$K$6,"m")</f>
        <v>0</v>
      </c>
      <c r="L1097" s="98" t="str">
        <f t="shared" ref="L1097:L1160" si="52">IF(K1097&lt;=3,"Lancar",IF(K1097&lt;=6,"Kurang lancar",IF(K1097&lt;=12,"Diragukan","Macet")))</f>
        <v>Lancar</v>
      </c>
      <c r="M1097" s="5" t="str">
        <f t="shared" ref="M1097:M1160" si="53">MID(B1097,7,3)</f>
        <v>003</v>
      </c>
      <c r="N1097" s="55" t="str">
        <f>VLOOKUP(D1097,Pinjaman!$E$7:$N$1900,10,FALSE)</f>
        <v>KESEJAHTERAAN</v>
      </c>
      <c r="O1097" s="55">
        <f>VLOOKUP(B1097,'Data Angt'!$A$5:$H$5810,6,FALSE)</f>
        <v>58</v>
      </c>
      <c r="P1097" s="55" t="str">
        <f>VLOOKUP(B1097,'Data Angt'!$A$5:$H$5810,8,FALSE)</f>
        <v>Wiraswasta</v>
      </c>
    </row>
    <row r="1098" spans="1:16" x14ac:dyDescent="0.3">
      <c r="A1098" s="8">
        <v>1091</v>
      </c>
      <c r="B1098" s="9" t="s">
        <v>2285</v>
      </c>
      <c r="C1098" s="10" t="str">
        <f>VLOOKUP(B1098,'Data Angt'!$A$5:$B$5809,2,FALSE)</f>
        <v>A950</v>
      </c>
      <c r="D1098" s="12" t="s">
        <v>23319</v>
      </c>
      <c r="E1098" s="13">
        <v>45880</v>
      </c>
      <c r="F1098" s="14">
        <v>45903</v>
      </c>
      <c r="G1098" s="15">
        <v>4000000</v>
      </c>
      <c r="H1098" s="16">
        <v>24</v>
      </c>
      <c r="I1098" s="17">
        <v>11.88</v>
      </c>
      <c r="J1098" s="15">
        <v>3851500</v>
      </c>
      <c r="K1098" s="98">
        <f t="shared" si="51"/>
        <v>0</v>
      </c>
      <c r="L1098" s="98" t="str">
        <f t="shared" si="52"/>
        <v>Lancar</v>
      </c>
      <c r="M1098" s="5" t="str">
        <f t="shared" si="53"/>
        <v>003</v>
      </c>
      <c r="N1098" s="55" t="str">
        <f>VLOOKUP(D1098,Pinjaman!$E$7:$N$1900,10,FALSE)</f>
        <v>PRODUKTIF</v>
      </c>
      <c r="O1098" s="55">
        <f>VLOOKUP(B1098,'Data Angt'!$A$5:$H$5810,6,FALSE)</f>
        <v>25</v>
      </c>
      <c r="P1098" s="55" t="str">
        <f>VLOOKUP(B1098,'Data Angt'!$A$5:$H$5810,8,FALSE)</f>
        <v>Pelajar/Mahasiswa</v>
      </c>
    </row>
    <row r="1099" spans="1:16" x14ac:dyDescent="0.3">
      <c r="A1099" s="8">
        <v>1092</v>
      </c>
      <c r="B1099" s="9" t="s">
        <v>2295</v>
      </c>
      <c r="C1099" s="10" t="str">
        <f>VLOOKUP(B1099,'Data Angt'!$A$5:$B$5809,2,FALSE)</f>
        <v>A955</v>
      </c>
      <c r="D1099" s="12" t="s">
        <v>23321</v>
      </c>
      <c r="E1099" s="13">
        <v>45845</v>
      </c>
      <c r="F1099" s="14">
        <v>45908</v>
      </c>
      <c r="G1099" s="15">
        <v>10000000</v>
      </c>
      <c r="H1099" s="16">
        <v>24</v>
      </c>
      <c r="I1099" s="17">
        <v>24</v>
      </c>
      <c r="J1099" s="15">
        <v>9166600</v>
      </c>
      <c r="K1099" s="98">
        <f t="shared" si="51"/>
        <v>0</v>
      </c>
      <c r="L1099" s="98" t="str">
        <f t="shared" si="52"/>
        <v>Lancar</v>
      </c>
      <c r="M1099" s="5" t="str">
        <f t="shared" si="53"/>
        <v>003</v>
      </c>
      <c r="N1099" s="55" t="str">
        <f>VLOOKUP(D1099,Pinjaman!$E$7:$N$1900,10,FALSE)</f>
        <v>PRODUKTIF</v>
      </c>
      <c r="O1099" s="55">
        <f>VLOOKUP(B1099,'Data Angt'!$A$5:$H$5810,6,FALSE)</f>
        <v>67</v>
      </c>
      <c r="P1099" s="55" t="str">
        <f>VLOOKUP(B1099,'Data Angt'!$A$5:$H$5810,8,FALSE)</f>
        <v>Mengurus Rumah Tangga</v>
      </c>
    </row>
    <row r="1100" spans="1:16" x14ac:dyDescent="0.3">
      <c r="A1100" s="8">
        <v>1093</v>
      </c>
      <c r="B1100" s="9" t="s">
        <v>2349</v>
      </c>
      <c r="C1100" s="10" t="str">
        <f>VLOOKUP(B1100,'Data Angt'!$A$5:$B$5809,2,FALSE)</f>
        <v>A976</v>
      </c>
      <c r="D1100" s="12" t="s">
        <v>10413</v>
      </c>
      <c r="E1100" s="13">
        <v>44636</v>
      </c>
      <c r="F1100" s="14">
        <v>45793</v>
      </c>
      <c r="G1100" s="15">
        <v>40000000</v>
      </c>
      <c r="H1100" s="16">
        <v>36</v>
      </c>
      <c r="I1100" s="17">
        <v>21</v>
      </c>
      <c r="J1100" s="15">
        <v>17575900</v>
      </c>
      <c r="K1100" s="98">
        <f t="shared" si="51"/>
        <v>4</v>
      </c>
      <c r="L1100" s="98" t="str">
        <f t="shared" si="52"/>
        <v>Kurang lancar</v>
      </c>
      <c r="M1100" s="5" t="str">
        <f t="shared" si="53"/>
        <v>003</v>
      </c>
      <c r="N1100" s="55" t="str">
        <f>VLOOKUP(D1100,Pinjaman!$E$7:$N$1900,10,FALSE)</f>
        <v>PRODUKTIF</v>
      </c>
      <c r="O1100" s="55">
        <f>VLOOKUP(B1100,'Data Angt'!$A$5:$H$5810,6,FALSE)</f>
        <v>61</v>
      </c>
      <c r="P1100" s="55" t="str">
        <f>VLOOKUP(B1100,'Data Angt'!$A$5:$H$5810,8,FALSE)</f>
        <v>Aparatur/Pejabat Negara</v>
      </c>
    </row>
    <row r="1101" spans="1:16" x14ac:dyDescent="0.3">
      <c r="A1101" s="8">
        <v>1094</v>
      </c>
      <c r="B1101" s="9" t="s">
        <v>2363</v>
      </c>
      <c r="C1101" s="10" t="str">
        <f>VLOOKUP(B1101,'Data Angt'!$A$5:$B$5809,2,FALSE)</f>
        <v>A983</v>
      </c>
      <c r="D1101" s="12" t="s">
        <v>10416</v>
      </c>
      <c r="E1101" s="13">
        <v>42100</v>
      </c>
      <c r="F1101" s="14">
        <v>45777</v>
      </c>
      <c r="G1101" s="15">
        <v>150000000</v>
      </c>
      <c r="H1101" s="16">
        <v>120</v>
      </c>
      <c r="I1101" s="17">
        <v>11.4</v>
      </c>
      <c r="J1101" s="15">
        <v>49987400</v>
      </c>
      <c r="K1101" s="98">
        <f t="shared" si="51"/>
        <v>5</v>
      </c>
      <c r="L1101" s="98" t="str">
        <f t="shared" si="52"/>
        <v>Kurang lancar</v>
      </c>
      <c r="M1101" s="5" t="str">
        <f t="shared" si="53"/>
        <v>003</v>
      </c>
      <c r="N1101" s="55">
        <f>VLOOKUP(D1101,Pinjaman!$E$7:$N$1900,10,FALSE)</f>
        <v>0</v>
      </c>
      <c r="O1101" s="55">
        <f>VLOOKUP(B1101,'Data Angt'!$A$5:$H$5810,6,FALSE)</f>
        <v>57</v>
      </c>
      <c r="P1101" s="55" t="str">
        <f>VLOOKUP(B1101,'Data Angt'!$A$5:$H$5810,8,FALSE)</f>
        <v>Tenaga Medis</v>
      </c>
    </row>
    <row r="1102" spans="1:16" x14ac:dyDescent="0.3">
      <c r="A1102" s="8">
        <v>1095</v>
      </c>
      <c r="B1102" s="9" t="s">
        <v>2390</v>
      </c>
      <c r="C1102" s="10" t="str">
        <f>VLOOKUP(B1102,'Data Angt'!$A$5:$B$5809,2,FALSE)</f>
        <v>A995</v>
      </c>
      <c r="D1102" s="12" t="s">
        <v>16863</v>
      </c>
      <c r="E1102" s="13">
        <v>45517</v>
      </c>
      <c r="F1102" s="14">
        <v>45916</v>
      </c>
      <c r="G1102" s="15">
        <v>10000000</v>
      </c>
      <c r="H1102" s="16">
        <v>24</v>
      </c>
      <c r="I1102" s="17">
        <v>24</v>
      </c>
      <c r="J1102" s="15">
        <v>4582900</v>
      </c>
      <c r="K1102" s="98">
        <f t="shared" si="51"/>
        <v>0</v>
      </c>
      <c r="L1102" s="98" t="str">
        <f t="shared" si="52"/>
        <v>Lancar</v>
      </c>
      <c r="M1102" s="5" t="str">
        <f t="shared" si="53"/>
        <v>003</v>
      </c>
      <c r="N1102" s="55" t="str">
        <f>VLOOKUP(D1102,Pinjaman!$E$7:$N$1900,10,FALSE)</f>
        <v>PRODUKTIF</v>
      </c>
      <c r="O1102" s="55">
        <f>VLOOKUP(B1102,'Data Angt'!$A$5:$H$5810,6,FALSE)</f>
        <v>58</v>
      </c>
      <c r="P1102" s="55" t="str">
        <f>VLOOKUP(B1102,'Data Angt'!$A$5:$H$5810,8,FALSE)</f>
        <v>Wiraswasta</v>
      </c>
    </row>
    <row r="1103" spans="1:16" x14ac:dyDescent="0.3">
      <c r="A1103" s="8">
        <v>1096</v>
      </c>
      <c r="B1103" s="9" t="s">
        <v>2497</v>
      </c>
      <c r="C1103" s="10" t="str">
        <f>VLOOKUP(B1103,'Data Angt'!$A$5:$B$5809,2,FALSE)</f>
        <v>A1041</v>
      </c>
      <c r="D1103" s="12" t="s">
        <v>10418</v>
      </c>
      <c r="E1103" s="13">
        <v>42039</v>
      </c>
      <c r="F1103" s="14">
        <v>44284</v>
      </c>
      <c r="G1103" s="15">
        <v>35000000</v>
      </c>
      <c r="H1103" s="16">
        <v>24</v>
      </c>
      <c r="I1103" s="17">
        <v>21</v>
      </c>
      <c r="J1103" s="15">
        <v>32083200</v>
      </c>
      <c r="K1103" s="98">
        <f t="shared" si="51"/>
        <v>54</v>
      </c>
      <c r="L1103" s="98" t="str">
        <f t="shared" si="52"/>
        <v>Macet</v>
      </c>
      <c r="M1103" s="5" t="str">
        <f t="shared" si="53"/>
        <v>003</v>
      </c>
      <c r="N1103" s="55">
        <f>VLOOKUP(D1103,Pinjaman!$E$7:$N$1900,10,FALSE)</f>
        <v>0</v>
      </c>
      <c r="O1103" s="55">
        <f>VLOOKUP(B1103,'Data Angt'!$A$5:$H$5810,6,FALSE)</f>
        <v>59</v>
      </c>
      <c r="P1103" s="55" t="str">
        <f>VLOOKUP(B1103,'Data Angt'!$A$5:$H$5810,8,FALSE)</f>
        <v>Mengurus Rumah Tangga</v>
      </c>
    </row>
    <row r="1104" spans="1:16" x14ac:dyDescent="0.3">
      <c r="A1104" s="8">
        <v>1097</v>
      </c>
      <c r="B1104" s="9" t="s">
        <v>2516</v>
      </c>
      <c r="C1104" s="10" t="str">
        <f>VLOOKUP(B1104,'Data Angt'!$A$5:$B$5809,2,FALSE)</f>
        <v>A1048</v>
      </c>
      <c r="D1104" s="12" t="s">
        <v>10419</v>
      </c>
      <c r="E1104" s="13">
        <v>42888</v>
      </c>
      <c r="F1104" s="14">
        <v>45902</v>
      </c>
      <c r="G1104" s="15">
        <v>110000000</v>
      </c>
      <c r="H1104" s="16">
        <v>120</v>
      </c>
      <c r="I1104" s="17">
        <v>6</v>
      </c>
      <c r="J1104" s="15">
        <v>67258100</v>
      </c>
      <c r="K1104" s="98">
        <f t="shared" si="51"/>
        <v>0</v>
      </c>
      <c r="L1104" s="98" t="str">
        <f t="shared" si="52"/>
        <v>Lancar</v>
      </c>
      <c r="M1104" s="5" t="str">
        <f t="shared" si="53"/>
        <v>003</v>
      </c>
      <c r="N1104" s="55">
        <f>VLOOKUP(D1104,Pinjaman!$E$7:$N$1900,10,FALSE)</f>
        <v>0</v>
      </c>
      <c r="O1104" s="55">
        <f>VLOOKUP(B1104,'Data Angt'!$A$5:$H$5810,6,FALSE)</f>
        <v>50</v>
      </c>
      <c r="P1104" s="55" t="str">
        <f>VLOOKUP(B1104,'Data Angt'!$A$5:$H$5810,8,FALSE)</f>
        <v>Wiraswasta</v>
      </c>
    </row>
    <row r="1105" spans="1:16" x14ac:dyDescent="0.3">
      <c r="A1105" s="8">
        <v>1098</v>
      </c>
      <c r="B1105" s="9" t="s">
        <v>2537</v>
      </c>
      <c r="C1105" s="10" t="str">
        <f>VLOOKUP(B1105,'Data Angt'!$A$5:$B$5809,2,FALSE)</f>
        <v>A1057</v>
      </c>
      <c r="D1105" s="12" t="s">
        <v>16865</v>
      </c>
      <c r="E1105" s="13">
        <v>45714</v>
      </c>
      <c r="F1105" s="14">
        <v>45930</v>
      </c>
      <c r="G1105" s="15">
        <v>1500000</v>
      </c>
      <c r="H1105" s="16">
        <v>10</v>
      </c>
      <c r="I1105" s="17">
        <v>12</v>
      </c>
      <c r="J1105" s="15">
        <v>465800</v>
      </c>
      <c r="K1105" s="98">
        <f t="shared" si="51"/>
        <v>0</v>
      </c>
      <c r="L1105" s="98" t="str">
        <f t="shared" si="52"/>
        <v>Lancar</v>
      </c>
      <c r="M1105" s="5" t="str">
        <f t="shared" si="53"/>
        <v>003</v>
      </c>
      <c r="N1105" s="55" t="str">
        <f>VLOOKUP(D1105,Pinjaman!$E$7:$N$1900,10,FALSE)</f>
        <v>KONSUMTIF</v>
      </c>
      <c r="O1105" s="55">
        <f>VLOOKUP(B1105,'Data Angt'!$A$5:$H$5810,6,FALSE)</f>
        <v>40</v>
      </c>
      <c r="P1105" s="55" t="str">
        <f>VLOOKUP(B1105,'Data Angt'!$A$5:$H$5810,8,FALSE)</f>
        <v>Wiraswasta</v>
      </c>
    </row>
    <row r="1106" spans="1:16" x14ac:dyDescent="0.3">
      <c r="A1106" s="8">
        <v>1099</v>
      </c>
      <c r="B1106" s="9" t="s">
        <v>2604</v>
      </c>
      <c r="C1106" s="10" t="str">
        <f>VLOOKUP(B1106,'Data Angt'!$A$5:$B$5809,2,FALSE)</f>
        <v>A1089</v>
      </c>
      <c r="D1106" s="12" t="s">
        <v>23325</v>
      </c>
      <c r="E1106" s="13">
        <v>45915</v>
      </c>
      <c r="F1106" s="14">
        <v>45915</v>
      </c>
      <c r="G1106" s="15">
        <v>2500000</v>
      </c>
      <c r="H1106" s="16">
        <v>12</v>
      </c>
      <c r="I1106" s="17">
        <v>12</v>
      </c>
      <c r="J1106" s="15">
        <v>2500000</v>
      </c>
      <c r="K1106" s="98">
        <f t="shared" si="51"/>
        <v>0</v>
      </c>
      <c r="L1106" s="98" t="str">
        <f t="shared" si="52"/>
        <v>Lancar</v>
      </c>
      <c r="M1106" s="5" t="str">
        <f t="shared" si="53"/>
        <v>003</v>
      </c>
      <c r="N1106" s="55" t="str">
        <f>VLOOKUP(D1106,Pinjaman!$E$7:$N$1900,10,FALSE)</f>
        <v>KONSUMTIF</v>
      </c>
      <c r="O1106" s="55">
        <f>VLOOKUP(B1106,'Data Angt'!$A$5:$H$5810,6,FALSE)</f>
        <v>37</v>
      </c>
      <c r="P1106" s="55" t="str">
        <f>VLOOKUP(B1106,'Data Angt'!$A$5:$H$5810,8,FALSE)</f>
        <v>Karyawan</v>
      </c>
    </row>
    <row r="1107" spans="1:16" x14ac:dyDescent="0.3">
      <c r="A1107" s="8">
        <v>1100</v>
      </c>
      <c r="B1107" s="9" t="s">
        <v>2616</v>
      </c>
      <c r="C1107" s="10" t="str">
        <f>VLOOKUP(B1107,'Data Angt'!$A$5:$B$5809,2,FALSE)</f>
        <v>A1094</v>
      </c>
      <c r="D1107" s="12" t="s">
        <v>10420</v>
      </c>
      <c r="E1107" s="13">
        <v>44845</v>
      </c>
      <c r="F1107" s="14">
        <v>45911</v>
      </c>
      <c r="G1107" s="15">
        <v>20000000</v>
      </c>
      <c r="H1107" s="16">
        <v>36</v>
      </c>
      <c r="I1107" s="17">
        <v>24</v>
      </c>
      <c r="J1107" s="15">
        <v>554000</v>
      </c>
      <c r="K1107" s="98">
        <f t="shared" si="51"/>
        <v>0</v>
      </c>
      <c r="L1107" s="98" t="str">
        <f t="shared" si="52"/>
        <v>Lancar</v>
      </c>
      <c r="M1107" s="5" t="str">
        <f t="shared" si="53"/>
        <v>003</v>
      </c>
      <c r="N1107" s="55" t="str">
        <f>VLOOKUP(D1107,Pinjaman!$E$7:$N$1900,10,FALSE)</f>
        <v>KESEJAHTERAAN</v>
      </c>
      <c r="O1107" s="55">
        <f>VLOOKUP(B1107,'Data Angt'!$A$5:$H$5810,6,FALSE)</f>
        <v>56</v>
      </c>
      <c r="P1107" s="55" t="str">
        <f>VLOOKUP(B1107,'Data Angt'!$A$5:$H$5810,8,FALSE)</f>
        <v>Wiraswasta</v>
      </c>
    </row>
    <row r="1108" spans="1:16" x14ac:dyDescent="0.3">
      <c r="A1108" s="8">
        <v>1101</v>
      </c>
      <c r="B1108" s="9" t="s">
        <v>2694</v>
      </c>
      <c r="C1108" s="10" t="str">
        <f>VLOOKUP(B1108,'Data Angt'!$A$5:$B$5809,2,FALSE)</f>
        <v>A1129</v>
      </c>
      <c r="D1108" s="12" t="s">
        <v>23327</v>
      </c>
      <c r="E1108" s="13">
        <v>45855</v>
      </c>
      <c r="F1108" s="14">
        <v>45922</v>
      </c>
      <c r="G1108" s="15">
        <v>7000000</v>
      </c>
      <c r="H1108" s="16">
        <v>24</v>
      </c>
      <c r="I1108" s="17">
        <v>24</v>
      </c>
      <c r="J1108" s="15">
        <v>6416600</v>
      </c>
      <c r="K1108" s="98">
        <f t="shared" si="51"/>
        <v>0</v>
      </c>
      <c r="L1108" s="98" t="str">
        <f t="shared" si="52"/>
        <v>Lancar</v>
      </c>
      <c r="M1108" s="5" t="str">
        <f t="shared" si="53"/>
        <v>003</v>
      </c>
      <c r="N1108" s="55" t="str">
        <f>VLOOKUP(D1108,Pinjaman!$E$7:$N$1900,10,FALSE)</f>
        <v>PENDIDIKAN</v>
      </c>
      <c r="O1108" s="55">
        <f>VLOOKUP(B1108,'Data Angt'!$A$5:$H$5810,6,FALSE)</f>
        <v>42</v>
      </c>
      <c r="P1108" s="55" t="str">
        <f>VLOOKUP(B1108,'Data Angt'!$A$5:$H$5810,8,FALSE)</f>
        <v>Tenaga Medis</v>
      </c>
    </row>
    <row r="1109" spans="1:16" x14ac:dyDescent="0.3">
      <c r="A1109" s="8">
        <v>1102</v>
      </c>
      <c r="B1109" s="9" t="s">
        <v>2718</v>
      </c>
      <c r="C1109" s="10" t="str">
        <f>VLOOKUP(B1109,'Data Angt'!$A$5:$B$5809,2,FALSE)</f>
        <v>A1139</v>
      </c>
      <c r="D1109" s="12" t="s">
        <v>16868</v>
      </c>
      <c r="E1109" s="13">
        <v>45813</v>
      </c>
      <c r="F1109" s="14">
        <v>45911</v>
      </c>
      <c r="G1109" s="15">
        <v>5000000</v>
      </c>
      <c r="H1109" s="16">
        <v>12</v>
      </c>
      <c r="I1109" s="17">
        <v>24</v>
      </c>
      <c r="J1109" s="15">
        <v>3749900</v>
      </c>
      <c r="K1109" s="98">
        <f t="shared" si="51"/>
        <v>0</v>
      </c>
      <c r="L1109" s="98" t="str">
        <f t="shared" si="52"/>
        <v>Lancar</v>
      </c>
      <c r="M1109" s="5" t="str">
        <f t="shared" si="53"/>
        <v>003</v>
      </c>
      <c r="N1109" s="55" t="str">
        <f>VLOOKUP(D1109,Pinjaman!$E$7:$N$1900,10,FALSE)</f>
        <v>KONSUMTIF</v>
      </c>
      <c r="O1109" s="55">
        <f>VLOOKUP(B1109,'Data Angt'!$A$5:$H$5810,6,FALSE)</f>
        <v>52</v>
      </c>
      <c r="P1109" s="55" t="str">
        <f>VLOOKUP(B1109,'Data Angt'!$A$5:$H$5810,8,FALSE)</f>
        <v>Tenaga Pengajar</v>
      </c>
    </row>
    <row r="1110" spans="1:16" x14ac:dyDescent="0.3">
      <c r="A1110" s="8">
        <v>1103</v>
      </c>
      <c r="B1110" s="9" t="s">
        <v>2718</v>
      </c>
      <c r="C1110" s="10" t="str">
        <f>VLOOKUP(B1110,'Data Angt'!$A$5:$B$5809,2,FALSE)</f>
        <v>A1139</v>
      </c>
      <c r="D1110" s="12" t="s">
        <v>16870</v>
      </c>
      <c r="E1110" s="13">
        <v>45567</v>
      </c>
      <c r="F1110" s="14">
        <v>45911</v>
      </c>
      <c r="G1110" s="15">
        <v>25000000</v>
      </c>
      <c r="H1110" s="16">
        <v>24</v>
      </c>
      <c r="I1110" s="17">
        <v>21</v>
      </c>
      <c r="J1110" s="15">
        <v>13541300</v>
      </c>
      <c r="K1110" s="98">
        <f t="shared" si="51"/>
        <v>0</v>
      </c>
      <c r="L1110" s="98" t="str">
        <f t="shared" si="52"/>
        <v>Lancar</v>
      </c>
      <c r="M1110" s="5" t="str">
        <f t="shared" si="53"/>
        <v>003</v>
      </c>
      <c r="N1110" s="55" t="str">
        <f>VLOOKUP(D1110,Pinjaman!$E$7:$N$1900,10,FALSE)</f>
        <v>KESEJAHTERAAN</v>
      </c>
      <c r="O1110" s="55">
        <f>VLOOKUP(B1110,'Data Angt'!$A$5:$H$5810,6,FALSE)</f>
        <v>52</v>
      </c>
      <c r="P1110" s="55" t="str">
        <f>VLOOKUP(B1110,'Data Angt'!$A$5:$H$5810,8,FALSE)</f>
        <v>Tenaga Pengajar</v>
      </c>
    </row>
    <row r="1111" spans="1:16" x14ac:dyDescent="0.3">
      <c r="A1111" s="8">
        <v>1104</v>
      </c>
      <c r="B1111" s="9" t="s">
        <v>2746</v>
      </c>
      <c r="C1111" s="10" t="str">
        <f>VLOOKUP(B1111,'Data Angt'!$A$5:$B$5809,2,FALSE)</f>
        <v>A1152</v>
      </c>
      <c r="D1111" s="12" t="s">
        <v>23331</v>
      </c>
      <c r="E1111" s="13">
        <v>45924</v>
      </c>
      <c r="F1111" s="14">
        <v>45924</v>
      </c>
      <c r="G1111" s="15">
        <v>3000000</v>
      </c>
      <c r="H1111" s="16">
        <v>24</v>
      </c>
      <c r="I1111" s="17">
        <v>11.9</v>
      </c>
      <c r="J1111" s="15">
        <v>3000000</v>
      </c>
      <c r="K1111" s="98">
        <f t="shared" si="51"/>
        <v>0</v>
      </c>
      <c r="L1111" s="98" t="str">
        <f t="shared" si="52"/>
        <v>Lancar</v>
      </c>
      <c r="M1111" s="5" t="str">
        <f t="shared" si="53"/>
        <v>003</v>
      </c>
      <c r="N1111" s="55" t="str">
        <f>VLOOKUP(D1111,Pinjaman!$E$7:$N$1900,10,FALSE)</f>
        <v>PRODUKTIF</v>
      </c>
      <c r="O1111" s="55">
        <f>VLOOKUP(B1111,'Data Angt'!$A$5:$H$5810,6,FALSE)</f>
        <v>60</v>
      </c>
      <c r="P1111" s="55" t="str">
        <f>VLOOKUP(B1111,'Data Angt'!$A$5:$H$5810,8,FALSE)</f>
        <v>Wiraswasta</v>
      </c>
    </row>
    <row r="1112" spans="1:16" x14ac:dyDescent="0.3">
      <c r="A1112" s="8">
        <v>1105</v>
      </c>
      <c r="B1112" s="9" t="s">
        <v>2819</v>
      </c>
      <c r="C1112" s="10" t="str">
        <f>VLOOKUP(B1112,'Data Angt'!$A$5:$B$5809,2,FALSE)</f>
        <v>A1185</v>
      </c>
      <c r="D1112" s="12" t="s">
        <v>10423</v>
      </c>
      <c r="E1112" s="13">
        <v>42185</v>
      </c>
      <c r="F1112" s="14">
        <v>43951</v>
      </c>
      <c r="G1112" s="15">
        <v>27541700</v>
      </c>
      <c r="H1112" s="16">
        <v>60</v>
      </c>
      <c r="I1112" s="17">
        <v>11.88</v>
      </c>
      <c r="J1112" s="15">
        <v>23868900</v>
      </c>
      <c r="K1112" s="98">
        <f t="shared" si="51"/>
        <v>65</v>
      </c>
      <c r="L1112" s="98" t="str">
        <f t="shared" si="52"/>
        <v>Macet</v>
      </c>
      <c r="M1112" s="5" t="str">
        <f t="shared" si="53"/>
        <v>003</v>
      </c>
      <c r="N1112" s="55">
        <f>VLOOKUP(D1112,Pinjaman!$E$7:$N$1900,10,FALSE)</f>
        <v>0</v>
      </c>
      <c r="O1112" s="55">
        <f>VLOOKUP(B1112,'Data Angt'!$A$5:$H$5810,6,FALSE)</f>
        <v>43</v>
      </c>
      <c r="P1112" s="55" t="str">
        <f>VLOOKUP(B1112,'Data Angt'!$A$5:$H$5810,8,FALSE)</f>
        <v>Mengurus Rumah Tangga</v>
      </c>
    </row>
    <row r="1113" spans="1:16" x14ac:dyDescent="0.3">
      <c r="A1113" s="8">
        <v>1106</v>
      </c>
      <c r="B1113" s="9" t="s">
        <v>2827</v>
      </c>
      <c r="C1113" s="10" t="str">
        <f>VLOOKUP(B1113,'Data Angt'!$A$5:$B$5809,2,FALSE)</f>
        <v>A1193</v>
      </c>
      <c r="D1113" s="12" t="s">
        <v>16872</v>
      </c>
      <c r="E1113" s="13">
        <v>45786</v>
      </c>
      <c r="F1113" s="14">
        <v>45910</v>
      </c>
      <c r="G1113" s="15">
        <v>35000000</v>
      </c>
      <c r="H1113" s="16">
        <v>12</v>
      </c>
      <c r="I1113" s="17">
        <v>21</v>
      </c>
      <c r="J1113" s="15">
        <v>23333200</v>
      </c>
      <c r="K1113" s="98">
        <f t="shared" si="51"/>
        <v>0</v>
      </c>
      <c r="L1113" s="98" t="str">
        <f t="shared" si="52"/>
        <v>Lancar</v>
      </c>
      <c r="M1113" s="5" t="str">
        <f t="shared" si="53"/>
        <v>003</v>
      </c>
      <c r="N1113" s="55">
        <f>VLOOKUP(D1113,Pinjaman!$E$7:$N$1900,10,FALSE)</f>
        <v>0</v>
      </c>
      <c r="O1113" s="55">
        <f>VLOOKUP(B1113,'Data Angt'!$A$5:$H$5810,6,FALSE)</f>
        <v>47</v>
      </c>
      <c r="P1113" s="55" t="str">
        <f>VLOOKUP(B1113,'Data Angt'!$A$5:$H$5810,8,FALSE)</f>
        <v>Wiraswasta</v>
      </c>
    </row>
    <row r="1114" spans="1:16" x14ac:dyDescent="0.3">
      <c r="A1114" s="8">
        <v>1107</v>
      </c>
      <c r="B1114" s="9" t="s">
        <v>2907</v>
      </c>
      <c r="C1114" s="10" t="str">
        <f>VLOOKUP(B1114,'Data Angt'!$A$5:$B$5809,2,FALSE)</f>
        <v>A1226</v>
      </c>
      <c r="D1114" s="12" t="s">
        <v>16874</v>
      </c>
      <c r="E1114" s="13">
        <v>45808</v>
      </c>
      <c r="F1114" s="14">
        <v>45922</v>
      </c>
      <c r="G1114" s="15">
        <v>250000000</v>
      </c>
      <c r="H1114" s="16">
        <v>120</v>
      </c>
      <c r="I1114" s="17">
        <v>11.4</v>
      </c>
      <c r="J1114" s="15">
        <v>245433300</v>
      </c>
      <c r="K1114" s="98">
        <f t="shared" si="51"/>
        <v>0</v>
      </c>
      <c r="L1114" s="98" t="str">
        <f t="shared" si="52"/>
        <v>Lancar</v>
      </c>
      <c r="M1114" s="5" t="str">
        <f t="shared" si="53"/>
        <v>003</v>
      </c>
      <c r="N1114" s="55" t="str">
        <f>VLOOKUP(D1114,Pinjaman!$E$7:$N$1900,10,FALSE)</f>
        <v>KESEJAHTERAAN</v>
      </c>
      <c r="O1114" s="55">
        <f>VLOOKUP(B1114,'Data Angt'!$A$5:$H$5810,6,FALSE)</f>
        <v>52</v>
      </c>
      <c r="P1114" s="55" t="str">
        <f>VLOOKUP(B1114,'Data Angt'!$A$5:$H$5810,8,FALSE)</f>
        <v>Mengurus Rumah Tangga</v>
      </c>
    </row>
    <row r="1115" spans="1:16" x14ac:dyDescent="0.3">
      <c r="A1115" s="8">
        <v>1108</v>
      </c>
      <c r="B1115" s="9" t="s">
        <v>2928</v>
      </c>
      <c r="C1115" s="10" t="str">
        <f>VLOOKUP(B1115,'Data Angt'!$A$5:$B$5809,2,FALSE)</f>
        <v>A1237</v>
      </c>
      <c r="D1115" s="12" t="s">
        <v>16876</v>
      </c>
      <c r="E1115" s="13">
        <v>45590</v>
      </c>
      <c r="F1115" s="14">
        <v>45926</v>
      </c>
      <c r="G1115" s="15">
        <v>2000000</v>
      </c>
      <c r="H1115" s="16">
        <v>12</v>
      </c>
      <c r="I1115" s="17">
        <v>24</v>
      </c>
      <c r="J1115" s="15">
        <v>166300</v>
      </c>
      <c r="K1115" s="98">
        <f t="shared" si="51"/>
        <v>0</v>
      </c>
      <c r="L1115" s="98" t="str">
        <f t="shared" si="52"/>
        <v>Lancar</v>
      </c>
      <c r="M1115" s="5" t="str">
        <f t="shared" si="53"/>
        <v>003</v>
      </c>
      <c r="N1115" s="55" t="str">
        <f>VLOOKUP(D1115,Pinjaman!$E$7:$N$1900,10,FALSE)</f>
        <v>PRODUKTIF</v>
      </c>
      <c r="O1115" s="55">
        <f>VLOOKUP(B1115,'Data Angt'!$A$5:$H$5810,6,FALSE)</f>
        <v>59</v>
      </c>
      <c r="P1115" s="55" t="str">
        <f>VLOOKUP(B1115,'Data Angt'!$A$5:$H$5810,8,FALSE)</f>
        <v>Wiraswasta</v>
      </c>
    </row>
    <row r="1116" spans="1:16" x14ac:dyDescent="0.3">
      <c r="A1116" s="8">
        <v>1109</v>
      </c>
      <c r="B1116" s="9" t="s">
        <v>2962</v>
      </c>
      <c r="C1116" s="10" t="str">
        <f>VLOOKUP(B1116,'Data Angt'!$A$5:$B$5809,2,FALSE)</f>
        <v>A1251</v>
      </c>
      <c r="D1116" s="12" t="s">
        <v>16879</v>
      </c>
      <c r="E1116" s="13">
        <v>45569</v>
      </c>
      <c r="F1116" s="14">
        <v>45904</v>
      </c>
      <c r="G1116" s="15">
        <v>2000000</v>
      </c>
      <c r="H1116" s="16">
        <v>12</v>
      </c>
      <c r="I1116" s="17">
        <v>24</v>
      </c>
      <c r="J1116" s="15">
        <v>166300</v>
      </c>
      <c r="K1116" s="98">
        <f t="shared" si="51"/>
        <v>0</v>
      </c>
      <c r="L1116" s="98" t="str">
        <f t="shared" si="52"/>
        <v>Lancar</v>
      </c>
      <c r="M1116" s="5" t="str">
        <f t="shared" si="53"/>
        <v>003</v>
      </c>
      <c r="N1116" s="55" t="str">
        <f>VLOOKUP(D1116,Pinjaman!$E$7:$N$1900,10,FALSE)</f>
        <v>PRODUKTIF</v>
      </c>
      <c r="O1116" s="55">
        <f>VLOOKUP(B1116,'Data Angt'!$A$5:$H$5810,6,FALSE)</f>
        <v>57</v>
      </c>
      <c r="P1116" s="55" t="str">
        <f>VLOOKUP(B1116,'Data Angt'!$A$5:$H$5810,8,FALSE)</f>
        <v>Wiraswasta</v>
      </c>
    </row>
    <row r="1117" spans="1:16" x14ac:dyDescent="0.3">
      <c r="A1117" s="8">
        <v>1110</v>
      </c>
      <c r="B1117" s="9" t="s">
        <v>3144</v>
      </c>
      <c r="C1117" s="10" t="str">
        <f>VLOOKUP(B1117,'Data Angt'!$A$5:$B$5809,2,FALSE)</f>
        <v>A1332</v>
      </c>
      <c r="D1117" s="12" t="s">
        <v>23336</v>
      </c>
      <c r="E1117" s="13">
        <v>45882</v>
      </c>
      <c r="F1117" s="14">
        <v>45923</v>
      </c>
      <c r="G1117" s="15">
        <v>5000000</v>
      </c>
      <c r="H1117" s="16">
        <v>10</v>
      </c>
      <c r="I1117" s="17">
        <v>24</v>
      </c>
      <c r="J1117" s="15">
        <v>4500000</v>
      </c>
      <c r="K1117" s="98">
        <f t="shared" si="51"/>
        <v>0</v>
      </c>
      <c r="L1117" s="98" t="str">
        <f t="shared" si="52"/>
        <v>Lancar</v>
      </c>
      <c r="M1117" s="5" t="str">
        <f t="shared" si="53"/>
        <v>003</v>
      </c>
      <c r="N1117" s="55" t="str">
        <f>VLOOKUP(D1117,Pinjaman!$E$7:$N$1900,10,FALSE)</f>
        <v>PENDIDIKAN</v>
      </c>
      <c r="O1117" s="55">
        <f>VLOOKUP(B1117,'Data Angt'!$A$5:$H$5810,6,FALSE)</f>
        <v>53</v>
      </c>
      <c r="P1117" s="55" t="str">
        <f>VLOOKUP(B1117,'Data Angt'!$A$5:$H$5810,8,FALSE)</f>
        <v>Wiraswasta</v>
      </c>
    </row>
    <row r="1118" spans="1:16" x14ac:dyDescent="0.3">
      <c r="A1118" s="8">
        <v>1111</v>
      </c>
      <c r="B1118" s="9" t="s">
        <v>3165</v>
      </c>
      <c r="C1118" s="10" t="str">
        <f>VLOOKUP(B1118,'Data Angt'!$A$5:$B$5809,2,FALSE)</f>
        <v>A1342</v>
      </c>
      <c r="D1118" s="12" t="s">
        <v>16881</v>
      </c>
      <c r="E1118" s="13">
        <v>45772</v>
      </c>
      <c r="F1118" s="14">
        <v>45926</v>
      </c>
      <c r="G1118" s="15">
        <v>3600000</v>
      </c>
      <c r="H1118" s="16">
        <v>12</v>
      </c>
      <c r="I1118" s="17">
        <v>11.88</v>
      </c>
      <c r="J1118" s="15">
        <v>2151600</v>
      </c>
      <c r="K1118" s="98">
        <f t="shared" si="51"/>
        <v>0</v>
      </c>
      <c r="L1118" s="98" t="str">
        <f t="shared" si="52"/>
        <v>Lancar</v>
      </c>
      <c r="M1118" s="5" t="str">
        <f t="shared" si="53"/>
        <v>003</v>
      </c>
      <c r="N1118" s="55" t="str">
        <f>VLOOKUP(D1118,Pinjaman!$E$7:$N$1900,10,FALSE)</f>
        <v>PENDIDIKAN</v>
      </c>
      <c r="O1118" s="55">
        <f>VLOOKUP(B1118,'Data Angt'!$A$5:$H$5810,6,FALSE)</f>
        <v>37</v>
      </c>
      <c r="P1118" s="55" t="str">
        <f>VLOOKUP(B1118,'Data Angt'!$A$5:$H$5810,8,FALSE)</f>
        <v>Karyawan</v>
      </c>
    </row>
    <row r="1119" spans="1:16" x14ac:dyDescent="0.3">
      <c r="A1119" s="8">
        <v>1112</v>
      </c>
      <c r="B1119" s="9" t="s">
        <v>3221</v>
      </c>
      <c r="C1119" s="10" t="str">
        <f>VLOOKUP(B1119,'Data Angt'!$A$5:$B$5809,2,FALSE)</f>
        <v>A1366</v>
      </c>
      <c r="D1119" s="12" t="s">
        <v>23338</v>
      </c>
      <c r="E1119" s="13">
        <v>45861</v>
      </c>
      <c r="F1119" s="14">
        <v>45923</v>
      </c>
      <c r="G1119" s="15">
        <v>2000000</v>
      </c>
      <c r="H1119" s="16">
        <v>18</v>
      </c>
      <c r="I1119" s="17">
        <v>12</v>
      </c>
      <c r="J1119" s="15">
        <v>1795000</v>
      </c>
      <c r="K1119" s="98">
        <f t="shared" si="51"/>
        <v>0</v>
      </c>
      <c r="L1119" s="98" t="str">
        <f t="shared" si="52"/>
        <v>Lancar</v>
      </c>
      <c r="M1119" s="5" t="str">
        <f t="shared" si="53"/>
        <v>003</v>
      </c>
      <c r="N1119" s="55" t="str">
        <f>VLOOKUP(D1119,Pinjaman!$E$7:$N$1900,10,FALSE)</f>
        <v>KONSUMTIF</v>
      </c>
      <c r="O1119" s="55">
        <f>VLOOKUP(B1119,'Data Angt'!$A$5:$H$5810,6,FALSE)</f>
        <v>49</v>
      </c>
      <c r="P1119" s="55" t="str">
        <f>VLOOKUP(B1119,'Data Angt'!$A$5:$H$5810,8,FALSE)</f>
        <v>Wiraswasta</v>
      </c>
    </row>
    <row r="1120" spans="1:16" x14ac:dyDescent="0.3">
      <c r="A1120" s="8">
        <v>1113</v>
      </c>
      <c r="B1120" s="9" t="s">
        <v>3261</v>
      </c>
      <c r="C1120" s="10" t="str">
        <f>VLOOKUP(B1120,'Data Angt'!$A$5:$B$5809,2,FALSE)</f>
        <v>A1383</v>
      </c>
      <c r="D1120" s="12" t="s">
        <v>16883</v>
      </c>
      <c r="E1120" s="13">
        <v>45786</v>
      </c>
      <c r="F1120" s="14">
        <v>45909</v>
      </c>
      <c r="G1120" s="15">
        <v>25000000</v>
      </c>
      <c r="H1120" s="16">
        <v>36</v>
      </c>
      <c r="I1120" s="17">
        <v>21</v>
      </c>
      <c r="J1120" s="15">
        <v>22222000</v>
      </c>
      <c r="K1120" s="98">
        <f t="shared" si="51"/>
        <v>0</v>
      </c>
      <c r="L1120" s="98" t="str">
        <f t="shared" si="52"/>
        <v>Lancar</v>
      </c>
      <c r="M1120" s="5" t="str">
        <f t="shared" si="53"/>
        <v>003</v>
      </c>
      <c r="N1120" s="55" t="str">
        <f>VLOOKUP(D1120,Pinjaman!$E$7:$N$1900,10,FALSE)</f>
        <v>PRODUKTIF</v>
      </c>
      <c r="O1120" s="55">
        <f>VLOOKUP(B1120,'Data Angt'!$A$5:$H$5810,6,FALSE)</f>
        <v>60</v>
      </c>
      <c r="P1120" s="55" t="str">
        <f>VLOOKUP(B1120,'Data Angt'!$A$5:$H$5810,8,FALSE)</f>
        <v>Wiraswasta</v>
      </c>
    </row>
    <row r="1121" spans="1:16" x14ac:dyDescent="0.3">
      <c r="A1121" s="8">
        <v>1114</v>
      </c>
      <c r="B1121" s="9" t="s">
        <v>3269</v>
      </c>
      <c r="C1121" s="10" t="str">
        <f>VLOOKUP(B1121,'Data Angt'!$A$5:$B$5809,2,FALSE)</f>
        <v>A1387</v>
      </c>
      <c r="D1121" s="12" t="s">
        <v>16885</v>
      </c>
      <c r="E1121" s="13">
        <v>45621</v>
      </c>
      <c r="F1121" s="14">
        <v>45925</v>
      </c>
      <c r="G1121" s="15">
        <v>7000000</v>
      </c>
      <c r="H1121" s="16">
        <v>48</v>
      </c>
      <c r="I1121" s="17">
        <v>11.4</v>
      </c>
      <c r="J1121" s="15">
        <v>5541000</v>
      </c>
      <c r="K1121" s="98">
        <f t="shared" si="51"/>
        <v>0</v>
      </c>
      <c r="L1121" s="98" t="str">
        <f t="shared" si="52"/>
        <v>Lancar</v>
      </c>
      <c r="M1121" s="5" t="str">
        <f t="shared" si="53"/>
        <v>003</v>
      </c>
      <c r="N1121" s="55" t="str">
        <f>VLOOKUP(D1121,Pinjaman!$E$7:$N$1900,10,FALSE)</f>
        <v>PRODUKTIF</v>
      </c>
      <c r="O1121" s="55">
        <f>VLOOKUP(B1121,'Data Angt'!$A$5:$H$5810,6,FALSE)</f>
        <v>47</v>
      </c>
      <c r="P1121" s="55" t="str">
        <f>VLOOKUP(B1121,'Data Angt'!$A$5:$H$5810,8,FALSE)</f>
        <v>Wiraswasta</v>
      </c>
    </row>
    <row r="1122" spans="1:16" x14ac:dyDescent="0.3">
      <c r="A1122" s="8">
        <v>1115</v>
      </c>
      <c r="B1122" s="9" t="s">
        <v>3306</v>
      </c>
      <c r="C1122" s="10" t="str">
        <f>VLOOKUP(B1122,'Data Angt'!$A$5:$B$5809,2,FALSE)</f>
        <v>A1405</v>
      </c>
      <c r="D1122" s="12" t="s">
        <v>16888</v>
      </c>
      <c r="E1122" s="13">
        <v>45349</v>
      </c>
      <c r="F1122" s="14">
        <v>45919</v>
      </c>
      <c r="G1122" s="15">
        <v>3500000</v>
      </c>
      <c r="H1122" s="16">
        <v>36</v>
      </c>
      <c r="I1122" s="17">
        <v>11.88</v>
      </c>
      <c r="J1122" s="15">
        <v>1807700</v>
      </c>
      <c r="K1122" s="98">
        <f t="shared" si="51"/>
        <v>0</v>
      </c>
      <c r="L1122" s="98" t="str">
        <f t="shared" si="52"/>
        <v>Lancar</v>
      </c>
      <c r="M1122" s="5" t="str">
        <f t="shared" si="53"/>
        <v>003</v>
      </c>
      <c r="N1122" s="55" t="str">
        <f>VLOOKUP(D1122,Pinjaman!$E$7:$N$1900,10,FALSE)</f>
        <v>KONSUMTIF</v>
      </c>
      <c r="O1122" s="55">
        <f>VLOOKUP(B1122,'Data Angt'!$A$5:$H$5810,6,FALSE)</f>
        <v>48</v>
      </c>
      <c r="P1122" s="55" t="str">
        <f>VLOOKUP(B1122,'Data Angt'!$A$5:$H$5810,8,FALSE)</f>
        <v>Karyawan</v>
      </c>
    </row>
    <row r="1123" spans="1:16" x14ac:dyDescent="0.3">
      <c r="A1123" s="8">
        <v>1116</v>
      </c>
      <c r="B1123" s="9" t="s">
        <v>3306</v>
      </c>
      <c r="C1123" s="10" t="str">
        <f>VLOOKUP(B1123,'Data Angt'!$A$5:$B$5809,2,FALSE)</f>
        <v>A1405</v>
      </c>
      <c r="D1123" s="12" t="s">
        <v>16890</v>
      </c>
      <c r="E1123" s="13">
        <v>45341</v>
      </c>
      <c r="F1123" s="14">
        <v>45919</v>
      </c>
      <c r="G1123" s="15">
        <v>6500000</v>
      </c>
      <c r="H1123" s="16">
        <v>36</v>
      </c>
      <c r="I1123" s="17">
        <v>24</v>
      </c>
      <c r="J1123" s="15">
        <v>3068600</v>
      </c>
      <c r="K1123" s="98">
        <f t="shared" si="51"/>
        <v>0</v>
      </c>
      <c r="L1123" s="98" t="str">
        <f t="shared" si="52"/>
        <v>Lancar</v>
      </c>
      <c r="M1123" s="5" t="str">
        <f t="shared" si="53"/>
        <v>003</v>
      </c>
      <c r="N1123" s="55" t="str">
        <f>VLOOKUP(D1123,Pinjaman!$E$7:$N$1900,10,FALSE)</f>
        <v>PRODUKTIF</v>
      </c>
      <c r="O1123" s="55">
        <f>VLOOKUP(B1123,'Data Angt'!$A$5:$H$5810,6,FALSE)</f>
        <v>48</v>
      </c>
      <c r="P1123" s="55" t="str">
        <f>VLOOKUP(B1123,'Data Angt'!$A$5:$H$5810,8,FALSE)</f>
        <v>Karyawan</v>
      </c>
    </row>
    <row r="1124" spans="1:16" x14ac:dyDescent="0.3">
      <c r="A1124" s="8">
        <v>1117</v>
      </c>
      <c r="B1124" s="9" t="s">
        <v>3347</v>
      </c>
      <c r="C1124" s="10" t="str">
        <f>VLOOKUP(B1124,'Data Angt'!$A$5:$B$5809,2,FALSE)</f>
        <v>A1422</v>
      </c>
      <c r="D1124" s="12" t="s">
        <v>23342</v>
      </c>
      <c r="E1124" s="13">
        <v>45840</v>
      </c>
      <c r="F1124" s="14">
        <v>45902</v>
      </c>
      <c r="G1124" s="15">
        <v>5000000</v>
      </c>
      <c r="H1124" s="16">
        <v>36</v>
      </c>
      <c r="I1124" s="17">
        <v>24</v>
      </c>
      <c r="J1124" s="15">
        <v>4805700</v>
      </c>
      <c r="K1124" s="98">
        <f t="shared" si="51"/>
        <v>0</v>
      </c>
      <c r="L1124" s="98" t="str">
        <f t="shared" si="52"/>
        <v>Lancar</v>
      </c>
      <c r="M1124" s="5" t="str">
        <f t="shared" si="53"/>
        <v>003</v>
      </c>
      <c r="N1124" s="55" t="str">
        <f>VLOOKUP(D1124,Pinjaman!$E$7:$N$1900,10,FALSE)</f>
        <v>PRODUKTIF</v>
      </c>
      <c r="O1124" s="55">
        <f>VLOOKUP(B1124,'Data Angt'!$A$5:$H$5810,6,FALSE)</f>
        <v>57</v>
      </c>
      <c r="P1124" s="55" t="str">
        <f>VLOOKUP(B1124,'Data Angt'!$A$5:$H$5810,8,FALSE)</f>
        <v>Tenaga Pengajar</v>
      </c>
    </row>
    <row r="1125" spans="1:16" x14ac:dyDescent="0.3">
      <c r="A1125" s="8">
        <v>1118</v>
      </c>
      <c r="B1125" s="9" t="s">
        <v>3451</v>
      </c>
      <c r="C1125" s="10" t="str">
        <f>VLOOKUP(B1125,'Data Angt'!$A$5:$B$5809,2,FALSE)</f>
        <v>A1471</v>
      </c>
      <c r="D1125" s="12" t="s">
        <v>10424</v>
      </c>
      <c r="E1125" s="13">
        <v>43111</v>
      </c>
      <c r="F1125" s="14">
        <v>45911</v>
      </c>
      <c r="G1125" s="15">
        <v>120000000</v>
      </c>
      <c r="H1125" s="16">
        <v>120</v>
      </c>
      <c r="I1125" s="17">
        <v>7.8</v>
      </c>
      <c r="J1125" s="15">
        <v>69649100</v>
      </c>
      <c r="K1125" s="98">
        <f t="shared" si="51"/>
        <v>0</v>
      </c>
      <c r="L1125" s="98" t="str">
        <f t="shared" si="52"/>
        <v>Lancar</v>
      </c>
      <c r="M1125" s="5" t="str">
        <f t="shared" si="53"/>
        <v>003</v>
      </c>
      <c r="N1125" s="55">
        <f>VLOOKUP(D1125,Pinjaman!$E$7:$N$1900,10,FALSE)</f>
        <v>0</v>
      </c>
      <c r="O1125" s="55">
        <f>VLOOKUP(B1125,'Data Angt'!$A$5:$H$5810,6,FALSE)</f>
        <v>34</v>
      </c>
      <c r="P1125" s="55" t="str">
        <f>VLOOKUP(B1125,'Data Angt'!$A$5:$H$5810,8,FALSE)</f>
        <v>Wiraswasta</v>
      </c>
    </row>
    <row r="1126" spans="1:16" x14ac:dyDescent="0.3">
      <c r="A1126" s="8">
        <v>1119</v>
      </c>
      <c r="B1126" s="9" t="s">
        <v>3457</v>
      </c>
      <c r="C1126" s="10" t="str">
        <f>VLOOKUP(B1126,'Data Angt'!$A$5:$B$5809,2,FALSE)</f>
        <v>A1474</v>
      </c>
      <c r="D1126" s="12" t="s">
        <v>23345</v>
      </c>
      <c r="E1126" s="13">
        <v>45842</v>
      </c>
      <c r="F1126" s="14">
        <v>45904</v>
      </c>
      <c r="G1126" s="15">
        <v>7000000</v>
      </c>
      <c r="H1126" s="16">
        <v>12</v>
      </c>
      <c r="I1126" s="17">
        <v>24</v>
      </c>
      <c r="J1126" s="15">
        <v>5833200</v>
      </c>
      <c r="K1126" s="98">
        <f t="shared" si="51"/>
        <v>0</v>
      </c>
      <c r="L1126" s="98" t="str">
        <f t="shared" si="52"/>
        <v>Lancar</v>
      </c>
      <c r="M1126" s="5" t="str">
        <f t="shared" si="53"/>
        <v>003</v>
      </c>
      <c r="N1126" s="55" t="str">
        <f>VLOOKUP(D1126,Pinjaman!$E$7:$N$1900,10,FALSE)</f>
        <v>PRODUKTIF</v>
      </c>
      <c r="O1126" s="55">
        <f>VLOOKUP(B1126,'Data Angt'!$A$5:$H$5810,6,FALSE)</f>
        <v>59</v>
      </c>
      <c r="P1126" s="55" t="str">
        <f>VLOOKUP(B1126,'Data Angt'!$A$5:$H$5810,8,FALSE)</f>
        <v>Mengurus Rumah Tangga</v>
      </c>
    </row>
    <row r="1127" spans="1:16" x14ac:dyDescent="0.3">
      <c r="A1127" s="8">
        <v>1120</v>
      </c>
      <c r="B1127" s="9" t="s">
        <v>3459</v>
      </c>
      <c r="C1127" s="10" t="str">
        <f>VLOOKUP(B1127,'Data Angt'!$A$5:$B$5809,2,FALSE)</f>
        <v>A1475</v>
      </c>
      <c r="D1127" s="12" t="s">
        <v>10425</v>
      </c>
      <c r="E1127" s="13">
        <v>44810</v>
      </c>
      <c r="F1127" s="14">
        <v>45930</v>
      </c>
      <c r="G1127" s="15">
        <v>45000000</v>
      </c>
      <c r="H1127" s="16">
        <v>48</v>
      </c>
      <c r="I1127" s="17">
        <v>21</v>
      </c>
      <c r="J1127" s="15">
        <v>31875000</v>
      </c>
      <c r="K1127" s="98">
        <f t="shared" si="51"/>
        <v>0</v>
      </c>
      <c r="L1127" s="98" t="str">
        <f t="shared" si="52"/>
        <v>Lancar</v>
      </c>
      <c r="M1127" s="5" t="str">
        <f t="shared" si="53"/>
        <v>003</v>
      </c>
      <c r="N1127" s="55" t="str">
        <f>VLOOKUP(D1127,Pinjaman!$E$7:$N$1900,10,FALSE)</f>
        <v>PRODUKTIF</v>
      </c>
      <c r="O1127" s="55">
        <f>VLOOKUP(B1127,'Data Angt'!$A$5:$H$5810,6,FALSE)</f>
        <v>58</v>
      </c>
      <c r="P1127" s="55" t="str">
        <f>VLOOKUP(B1127,'Data Angt'!$A$5:$H$5810,8,FALSE)</f>
        <v>Mengurus Rumah Tangga</v>
      </c>
    </row>
    <row r="1128" spans="1:16" x14ac:dyDescent="0.3">
      <c r="A1128" s="8">
        <v>1121</v>
      </c>
      <c r="B1128" s="9" t="s">
        <v>3502</v>
      </c>
      <c r="C1128" s="10" t="str">
        <f>VLOOKUP(B1128,'Data Angt'!$A$5:$B$5809,2,FALSE)</f>
        <v>A1495</v>
      </c>
      <c r="D1128" s="12" t="s">
        <v>10428</v>
      </c>
      <c r="E1128" s="13">
        <v>41450</v>
      </c>
      <c r="F1128" s="14">
        <v>43950</v>
      </c>
      <c r="G1128" s="15">
        <v>75000000</v>
      </c>
      <c r="H1128" s="16">
        <v>60</v>
      </c>
      <c r="I1128" s="17">
        <v>11.88</v>
      </c>
      <c r="J1128" s="15">
        <v>54750000</v>
      </c>
      <c r="K1128" s="98">
        <f t="shared" si="51"/>
        <v>65</v>
      </c>
      <c r="L1128" s="98" t="str">
        <f t="shared" si="52"/>
        <v>Macet</v>
      </c>
      <c r="M1128" s="5" t="str">
        <f t="shared" si="53"/>
        <v>003</v>
      </c>
      <c r="N1128" s="55">
        <f>VLOOKUP(D1128,Pinjaman!$E$7:$N$1900,10,FALSE)</f>
        <v>0</v>
      </c>
      <c r="O1128" s="55">
        <f>VLOOKUP(B1128,'Data Angt'!$A$5:$H$5810,6,FALSE)</f>
        <v>54</v>
      </c>
      <c r="P1128" s="55" t="str">
        <f>VLOOKUP(B1128,'Data Angt'!$A$5:$H$5810,8,FALSE)</f>
        <v>Wiraswasta</v>
      </c>
    </row>
    <row r="1129" spans="1:16" x14ac:dyDescent="0.3">
      <c r="A1129" s="8">
        <v>1122</v>
      </c>
      <c r="B1129" s="9" t="s">
        <v>3520</v>
      </c>
      <c r="C1129" s="10" t="str">
        <f>VLOOKUP(B1129,'Data Angt'!$A$5:$B$5809,2,FALSE)</f>
        <v>A1503</v>
      </c>
      <c r="D1129" s="12" t="s">
        <v>16892</v>
      </c>
      <c r="E1129" s="13">
        <v>45696</v>
      </c>
      <c r="F1129" s="14">
        <v>45909</v>
      </c>
      <c r="G1129" s="15">
        <v>10000000</v>
      </c>
      <c r="H1129" s="16">
        <v>24</v>
      </c>
      <c r="I1129" s="17">
        <v>24</v>
      </c>
      <c r="J1129" s="15">
        <v>7083100</v>
      </c>
      <c r="K1129" s="98">
        <f t="shared" si="51"/>
        <v>0</v>
      </c>
      <c r="L1129" s="98" t="str">
        <f t="shared" si="52"/>
        <v>Lancar</v>
      </c>
      <c r="M1129" s="5" t="str">
        <f t="shared" si="53"/>
        <v>003</v>
      </c>
      <c r="N1129" s="55" t="str">
        <f>VLOOKUP(D1129,Pinjaman!$E$7:$N$1900,10,FALSE)</f>
        <v>PRODUKTIF</v>
      </c>
      <c r="O1129" s="55">
        <f>VLOOKUP(B1129,'Data Angt'!$A$5:$H$5810,6,FALSE)</f>
        <v>43</v>
      </c>
      <c r="P1129" s="55" t="str">
        <f>VLOOKUP(B1129,'Data Angt'!$A$5:$H$5810,8,FALSE)</f>
        <v>Wiraswasta</v>
      </c>
    </row>
    <row r="1130" spans="1:16" x14ac:dyDescent="0.3">
      <c r="A1130" s="8">
        <v>1123</v>
      </c>
      <c r="B1130" s="9" t="s">
        <v>3577</v>
      </c>
      <c r="C1130" s="10" t="str">
        <f>VLOOKUP(B1130,'Data Angt'!$A$5:$B$5809,2,FALSE)</f>
        <v>A1528</v>
      </c>
      <c r="D1130" s="12" t="s">
        <v>16894</v>
      </c>
      <c r="E1130" s="13">
        <v>45670</v>
      </c>
      <c r="F1130" s="14">
        <v>45913</v>
      </c>
      <c r="G1130" s="15">
        <v>6000000</v>
      </c>
      <c r="H1130" s="16">
        <v>18</v>
      </c>
      <c r="I1130" s="17">
        <v>24</v>
      </c>
      <c r="J1130" s="15">
        <v>3332800</v>
      </c>
      <c r="K1130" s="98">
        <f t="shared" si="51"/>
        <v>0</v>
      </c>
      <c r="L1130" s="98" t="str">
        <f t="shared" si="52"/>
        <v>Lancar</v>
      </c>
      <c r="M1130" s="5" t="str">
        <f t="shared" si="53"/>
        <v>003</v>
      </c>
      <c r="N1130" s="55" t="str">
        <f>VLOOKUP(D1130,Pinjaman!$E$7:$N$1900,10,FALSE)</f>
        <v>PRODUKTIF</v>
      </c>
      <c r="O1130" s="55">
        <f>VLOOKUP(B1130,'Data Angt'!$A$5:$H$5810,6,FALSE)</f>
        <v>44</v>
      </c>
      <c r="P1130" s="55" t="str">
        <f>VLOOKUP(B1130,'Data Angt'!$A$5:$H$5810,8,FALSE)</f>
        <v>Wiraswasta</v>
      </c>
    </row>
    <row r="1131" spans="1:16" x14ac:dyDescent="0.3">
      <c r="A1131" s="8">
        <v>1124</v>
      </c>
      <c r="B1131" s="9" t="s">
        <v>3614</v>
      </c>
      <c r="C1131" s="10" t="str">
        <f>VLOOKUP(B1131,'Data Angt'!$A$5:$B$5809,2,FALSE)</f>
        <v>A1547</v>
      </c>
      <c r="D1131" s="12" t="s">
        <v>16896</v>
      </c>
      <c r="E1131" s="13">
        <v>45647</v>
      </c>
      <c r="F1131" s="14">
        <v>45930</v>
      </c>
      <c r="G1131" s="15">
        <v>25000000</v>
      </c>
      <c r="H1131" s="16">
        <v>24</v>
      </c>
      <c r="I1131" s="17">
        <v>21</v>
      </c>
      <c r="J1131" s="15">
        <v>18749800</v>
      </c>
      <c r="K1131" s="98">
        <f t="shared" si="51"/>
        <v>0</v>
      </c>
      <c r="L1131" s="98" t="str">
        <f t="shared" si="52"/>
        <v>Lancar</v>
      </c>
      <c r="M1131" s="5" t="str">
        <f t="shared" si="53"/>
        <v>003</v>
      </c>
      <c r="N1131" s="55">
        <f>VLOOKUP(D1131,Pinjaman!$E$7:$N$1900,10,FALSE)</f>
        <v>0</v>
      </c>
      <c r="O1131" s="55">
        <f>VLOOKUP(B1131,'Data Angt'!$A$5:$H$5810,6,FALSE)</f>
        <v>45</v>
      </c>
      <c r="P1131" s="55" t="str">
        <f>VLOOKUP(B1131,'Data Angt'!$A$5:$H$5810,8,FALSE)</f>
        <v>Lain-Lain</v>
      </c>
    </row>
    <row r="1132" spans="1:16" x14ac:dyDescent="0.3">
      <c r="A1132" s="8">
        <v>1125</v>
      </c>
      <c r="B1132" s="9" t="s">
        <v>3618</v>
      </c>
      <c r="C1132" s="10" t="str">
        <f>VLOOKUP(B1132,'Data Angt'!$A$5:$B$5809,2,FALSE)</f>
        <v>A1549</v>
      </c>
      <c r="D1132" s="12" t="s">
        <v>10429</v>
      </c>
      <c r="E1132" s="13">
        <v>42655</v>
      </c>
      <c r="F1132" s="14">
        <v>45895</v>
      </c>
      <c r="G1132" s="15">
        <v>37328900</v>
      </c>
      <c r="H1132" s="16">
        <v>24</v>
      </c>
      <c r="I1132" s="17">
        <v>21</v>
      </c>
      <c r="J1132" s="15">
        <v>12393600</v>
      </c>
      <c r="K1132" s="98">
        <f t="shared" si="51"/>
        <v>1</v>
      </c>
      <c r="L1132" s="98" t="str">
        <f t="shared" si="52"/>
        <v>Lancar</v>
      </c>
      <c r="M1132" s="5" t="str">
        <f t="shared" si="53"/>
        <v>003</v>
      </c>
      <c r="N1132" s="55">
        <f>VLOOKUP(D1132,Pinjaman!$E$7:$N$1900,10,FALSE)</f>
        <v>0</v>
      </c>
      <c r="O1132" s="55">
        <f>VLOOKUP(B1132,'Data Angt'!$A$5:$H$5810,6,FALSE)</f>
        <v>57</v>
      </c>
      <c r="P1132" s="55" t="str">
        <f>VLOOKUP(B1132,'Data Angt'!$A$5:$H$5810,8,FALSE)</f>
        <v>Wiraswasta</v>
      </c>
    </row>
    <row r="1133" spans="1:16" x14ac:dyDescent="0.3">
      <c r="A1133" s="8">
        <v>1126</v>
      </c>
      <c r="B1133" s="9" t="s">
        <v>3645</v>
      </c>
      <c r="C1133" s="10" t="str">
        <f>VLOOKUP(B1133,'Data Angt'!$A$5:$B$5809,2,FALSE)</f>
        <v>A1564</v>
      </c>
      <c r="D1133" s="12" t="s">
        <v>16898</v>
      </c>
      <c r="E1133" s="13">
        <v>45784</v>
      </c>
      <c r="F1133" s="14">
        <v>45908</v>
      </c>
      <c r="G1133" s="15">
        <v>5000000</v>
      </c>
      <c r="H1133" s="16">
        <v>36</v>
      </c>
      <c r="I1133" s="17">
        <v>24</v>
      </c>
      <c r="J1133" s="15">
        <v>4444400</v>
      </c>
      <c r="K1133" s="98">
        <f t="shared" si="51"/>
        <v>0</v>
      </c>
      <c r="L1133" s="98" t="str">
        <f t="shared" si="52"/>
        <v>Lancar</v>
      </c>
      <c r="M1133" s="5" t="str">
        <f t="shared" si="53"/>
        <v>003</v>
      </c>
      <c r="N1133" s="55" t="str">
        <f>VLOOKUP(D1133,Pinjaman!$E$7:$N$1900,10,FALSE)</f>
        <v>KONSUMTIF</v>
      </c>
      <c r="O1133" s="55">
        <f>VLOOKUP(B1133,'Data Angt'!$A$5:$H$5810,6,FALSE)</f>
        <v>39</v>
      </c>
      <c r="P1133" s="55" t="str">
        <f>VLOOKUP(B1133,'Data Angt'!$A$5:$H$5810,8,FALSE)</f>
        <v>Tenaga Pengajar</v>
      </c>
    </row>
    <row r="1134" spans="1:16" x14ac:dyDescent="0.3">
      <c r="A1134" s="8">
        <v>1127</v>
      </c>
      <c r="B1134" s="9" t="s">
        <v>3677</v>
      </c>
      <c r="C1134" s="10" t="str">
        <f>VLOOKUP(B1134,'Data Angt'!$A$5:$B$5809,2,FALSE)</f>
        <v>A1579</v>
      </c>
      <c r="D1134" s="12" t="s">
        <v>23350</v>
      </c>
      <c r="E1134" s="13">
        <v>45920</v>
      </c>
      <c r="F1134" s="14">
        <v>45920</v>
      </c>
      <c r="G1134" s="15">
        <v>2000000</v>
      </c>
      <c r="H1134" s="16">
        <v>12</v>
      </c>
      <c r="I1134" s="17">
        <v>24</v>
      </c>
      <c r="J1134" s="15">
        <v>2000000</v>
      </c>
      <c r="K1134" s="98">
        <f t="shared" si="51"/>
        <v>0</v>
      </c>
      <c r="L1134" s="98" t="str">
        <f t="shared" si="52"/>
        <v>Lancar</v>
      </c>
      <c r="M1134" s="5" t="str">
        <f t="shared" si="53"/>
        <v>003</v>
      </c>
      <c r="N1134" s="55" t="str">
        <f>VLOOKUP(D1134,Pinjaman!$E$7:$N$1900,10,FALSE)</f>
        <v>PRODUKTIF</v>
      </c>
      <c r="O1134" s="55">
        <f>VLOOKUP(B1134,'Data Angt'!$A$5:$H$5810,6,FALSE)</f>
        <v>46</v>
      </c>
      <c r="P1134" s="55" t="str">
        <f>VLOOKUP(B1134,'Data Angt'!$A$5:$H$5810,8,FALSE)</f>
        <v>Wiraswasta</v>
      </c>
    </row>
    <row r="1135" spans="1:16" x14ac:dyDescent="0.3">
      <c r="A1135" s="8">
        <v>1128</v>
      </c>
      <c r="B1135" s="9" t="s">
        <v>3677</v>
      </c>
      <c r="C1135" s="10" t="str">
        <f>VLOOKUP(B1135,'Data Angt'!$A$5:$B$5809,2,FALSE)</f>
        <v>A1579</v>
      </c>
      <c r="D1135" s="12" t="s">
        <v>16900</v>
      </c>
      <c r="E1135" s="13">
        <v>45770</v>
      </c>
      <c r="F1135" s="14">
        <v>45920</v>
      </c>
      <c r="G1135" s="15">
        <v>7000000</v>
      </c>
      <c r="H1135" s="16">
        <v>18</v>
      </c>
      <c r="I1135" s="17">
        <v>11.9</v>
      </c>
      <c r="J1135" s="15">
        <v>5055500</v>
      </c>
      <c r="K1135" s="98">
        <f t="shared" si="51"/>
        <v>0</v>
      </c>
      <c r="L1135" s="98" t="str">
        <f t="shared" si="52"/>
        <v>Lancar</v>
      </c>
      <c r="M1135" s="5" t="str">
        <f t="shared" si="53"/>
        <v>003</v>
      </c>
      <c r="N1135" s="55" t="str">
        <f>VLOOKUP(D1135,Pinjaman!$E$7:$N$1900,10,FALSE)</f>
        <v>PRODUKTIF</v>
      </c>
      <c r="O1135" s="55">
        <f>VLOOKUP(B1135,'Data Angt'!$A$5:$H$5810,6,FALSE)</f>
        <v>46</v>
      </c>
      <c r="P1135" s="55" t="str">
        <f>VLOOKUP(B1135,'Data Angt'!$A$5:$H$5810,8,FALSE)</f>
        <v>Wiraswasta</v>
      </c>
    </row>
    <row r="1136" spans="1:16" x14ac:dyDescent="0.3">
      <c r="A1136" s="8">
        <v>1129</v>
      </c>
      <c r="B1136" s="9" t="s">
        <v>3799</v>
      </c>
      <c r="C1136" s="10" t="str">
        <f>VLOOKUP(B1136,'Data Angt'!$A$5:$B$5809,2,FALSE)</f>
        <v>A1636</v>
      </c>
      <c r="D1136" s="12" t="s">
        <v>16903</v>
      </c>
      <c r="E1136" s="13">
        <v>45653</v>
      </c>
      <c r="F1136" s="14">
        <v>45927</v>
      </c>
      <c r="G1136" s="15">
        <v>10000000</v>
      </c>
      <c r="H1136" s="16">
        <v>24</v>
      </c>
      <c r="I1136" s="17">
        <v>11.9</v>
      </c>
      <c r="J1136" s="15">
        <v>6524600</v>
      </c>
      <c r="K1136" s="98">
        <f t="shared" si="51"/>
        <v>0</v>
      </c>
      <c r="L1136" s="98" t="str">
        <f t="shared" si="52"/>
        <v>Lancar</v>
      </c>
      <c r="M1136" s="5" t="str">
        <f t="shared" si="53"/>
        <v>003</v>
      </c>
      <c r="N1136" s="55" t="str">
        <f>VLOOKUP(D1136,Pinjaman!$E$7:$N$1900,10,FALSE)</f>
        <v>KESEJAHTERAAN</v>
      </c>
      <c r="O1136" s="55">
        <f>VLOOKUP(B1136,'Data Angt'!$A$5:$H$5810,6,FALSE)</f>
        <v>39</v>
      </c>
      <c r="P1136" s="55" t="str">
        <f>VLOOKUP(B1136,'Data Angt'!$A$5:$H$5810,8,FALSE)</f>
        <v>Karyawan</v>
      </c>
    </row>
    <row r="1137" spans="1:16" x14ac:dyDescent="0.3">
      <c r="A1137" s="8">
        <v>1130</v>
      </c>
      <c r="B1137" s="9" t="s">
        <v>3799</v>
      </c>
      <c r="C1137" s="10" t="str">
        <f>VLOOKUP(B1137,'Data Angt'!$A$5:$B$5809,2,FALSE)</f>
        <v>A1636</v>
      </c>
      <c r="D1137" s="12" t="s">
        <v>10430</v>
      </c>
      <c r="E1137" s="13">
        <v>42824</v>
      </c>
      <c r="F1137" s="14">
        <v>45927</v>
      </c>
      <c r="G1137" s="15">
        <v>150000000</v>
      </c>
      <c r="H1137" s="16">
        <v>120</v>
      </c>
      <c r="I1137" s="17">
        <v>11.4</v>
      </c>
      <c r="J1137" s="15">
        <v>34617600</v>
      </c>
      <c r="K1137" s="98">
        <f t="shared" si="51"/>
        <v>0</v>
      </c>
      <c r="L1137" s="98" t="str">
        <f t="shared" si="52"/>
        <v>Lancar</v>
      </c>
      <c r="M1137" s="5" t="str">
        <f t="shared" si="53"/>
        <v>003</v>
      </c>
      <c r="N1137" s="55">
        <f>VLOOKUP(D1137,Pinjaman!$E$7:$N$1900,10,FALSE)</f>
        <v>0</v>
      </c>
      <c r="O1137" s="55">
        <f>VLOOKUP(B1137,'Data Angt'!$A$5:$H$5810,6,FALSE)</f>
        <v>39</v>
      </c>
      <c r="P1137" s="55" t="str">
        <f>VLOOKUP(B1137,'Data Angt'!$A$5:$H$5810,8,FALSE)</f>
        <v>Karyawan</v>
      </c>
    </row>
    <row r="1138" spans="1:16" x14ac:dyDescent="0.3">
      <c r="A1138" s="8">
        <v>1131</v>
      </c>
      <c r="B1138" s="9" t="s">
        <v>3857</v>
      </c>
      <c r="C1138" s="10" t="str">
        <f>VLOOKUP(B1138,'Data Angt'!$A$5:$B$5809,2,FALSE)</f>
        <v>A1666</v>
      </c>
      <c r="D1138" s="12" t="s">
        <v>23353</v>
      </c>
      <c r="E1138" s="13">
        <v>45852</v>
      </c>
      <c r="F1138" s="14">
        <v>45915</v>
      </c>
      <c r="G1138" s="15">
        <v>22000000</v>
      </c>
      <c r="H1138" s="16">
        <v>12</v>
      </c>
      <c r="I1138" s="17">
        <v>24</v>
      </c>
      <c r="J1138" s="15">
        <v>18333200</v>
      </c>
      <c r="K1138" s="98">
        <f t="shared" si="51"/>
        <v>0</v>
      </c>
      <c r="L1138" s="98" t="str">
        <f t="shared" si="52"/>
        <v>Lancar</v>
      </c>
      <c r="M1138" s="5" t="str">
        <f t="shared" si="53"/>
        <v>003</v>
      </c>
      <c r="N1138" s="55" t="str">
        <f>VLOOKUP(D1138,Pinjaman!$E$7:$N$1900,10,FALSE)</f>
        <v>KONSUMTIF</v>
      </c>
      <c r="O1138" s="55">
        <f>VLOOKUP(B1138,'Data Angt'!$A$5:$H$5810,6,FALSE)</f>
        <v>44</v>
      </c>
      <c r="P1138" s="55" t="str">
        <f>VLOOKUP(B1138,'Data Angt'!$A$5:$H$5810,8,FALSE)</f>
        <v>Tenaga Pengajar</v>
      </c>
    </row>
    <row r="1139" spans="1:16" x14ac:dyDescent="0.3">
      <c r="A1139" s="8">
        <v>1132</v>
      </c>
      <c r="B1139" s="9" t="s">
        <v>3876</v>
      </c>
      <c r="C1139" s="10" t="str">
        <f>VLOOKUP(B1139,'Data Angt'!$A$5:$B$5809,2,FALSE)</f>
        <v>A1675</v>
      </c>
      <c r="D1139" s="12" t="s">
        <v>16905</v>
      </c>
      <c r="E1139" s="13">
        <v>45693</v>
      </c>
      <c r="F1139" s="14">
        <v>45908</v>
      </c>
      <c r="G1139" s="15">
        <v>3500000</v>
      </c>
      <c r="H1139" s="16">
        <v>12</v>
      </c>
      <c r="I1139" s="17">
        <v>11.88</v>
      </c>
      <c r="J1139" s="15">
        <v>1509000</v>
      </c>
      <c r="K1139" s="98">
        <f t="shared" si="51"/>
        <v>0</v>
      </c>
      <c r="L1139" s="98" t="str">
        <f t="shared" si="52"/>
        <v>Lancar</v>
      </c>
      <c r="M1139" s="5" t="str">
        <f t="shared" si="53"/>
        <v>003</v>
      </c>
      <c r="N1139" s="55" t="str">
        <f>VLOOKUP(D1139,Pinjaman!$E$7:$N$1900,10,FALSE)</f>
        <v>PRODUKTIF</v>
      </c>
      <c r="O1139" s="55">
        <f>VLOOKUP(B1139,'Data Angt'!$A$5:$H$5810,6,FALSE)</f>
        <v>47</v>
      </c>
      <c r="P1139" s="55" t="str">
        <f>VLOOKUP(B1139,'Data Angt'!$A$5:$H$5810,8,FALSE)</f>
        <v>Wiraswasta</v>
      </c>
    </row>
    <row r="1140" spans="1:16" x14ac:dyDescent="0.3">
      <c r="A1140" s="8">
        <v>1133</v>
      </c>
      <c r="B1140" s="9" t="s">
        <v>3887</v>
      </c>
      <c r="C1140" s="10" t="str">
        <f>VLOOKUP(B1140,'Data Angt'!$A$5:$B$5809,2,FALSE)</f>
        <v>A1682</v>
      </c>
      <c r="D1140" s="12" t="s">
        <v>16907</v>
      </c>
      <c r="E1140" s="13">
        <v>45307</v>
      </c>
      <c r="F1140" s="14">
        <v>45916</v>
      </c>
      <c r="G1140" s="15">
        <v>40000000</v>
      </c>
      <c r="H1140" s="16">
        <v>36</v>
      </c>
      <c r="I1140" s="17">
        <v>21</v>
      </c>
      <c r="J1140" s="15">
        <v>17776000</v>
      </c>
      <c r="K1140" s="98">
        <f t="shared" si="51"/>
        <v>0</v>
      </c>
      <c r="L1140" s="98" t="str">
        <f t="shared" si="52"/>
        <v>Lancar</v>
      </c>
      <c r="M1140" s="5" t="str">
        <f t="shared" si="53"/>
        <v>003</v>
      </c>
      <c r="N1140" s="55" t="str">
        <f>VLOOKUP(D1140,Pinjaman!$E$7:$N$1900,10,FALSE)</f>
        <v>KONSUMTIF</v>
      </c>
      <c r="O1140" s="55">
        <f>VLOOKUP(B1140,'Data Angt'!$A$5:$H$5810,6,FALSE)</f>
        <v>53</v>
      </c>
      <c r="P1140" s="55" t="str">
        <f>VLOOKUP(B1140,'Data Angt'!$A$5:$H$5810,8,FALSE)</f>
        <v>Wiraswasta</v>
      </c>
    </row>
    <row r="1141" spans="1:16" x14ac:dyDescent="0.3">
      <c r="A1141" s="8">
        <v>1134</v>
      </c>
      <c r="B1141" s="9" t="s">
        <v>3902</v>
      </c>
      <c r="C1141" s="10" t="str">
        <f>VLOOKUP(B1141,'Data Angt'!$A$5:$B$5809,2,FALSE)</f>
        <v>A1688</v>
      </c>
      <c r="D1141" s="12" t="s">
        <v>16909</v>
      </c>
      <c r="E1141" s="13">
        <v>45349</v>
      </c>
      <c r="F1141" s="14">
        <v>45908</v>
      </c>
      <c r="G1141" s="15">
        <v>15000000</v>
      </c>
      <c r="H1141" s="16">
        <v>24</v>
      </c>
      <c r="I1141" s="17">
        <v>24</v>
      </c>
      <c r="J1141" s="15">
        <v>5729000</v>
      </c>
      <c r="K1141" s="98">
        <f t="shared" si="51"/>
        <v>0</v>
      </c>
      <c r="L1141" s="98" t="str">
        <f t="shared" si="52"/>
        <v>Lancar</v>
      </c>
      <c r="M1141" s="5" t="str">
        <f t="shared" si="53"/>
        <v>003</v>
      </c>
      <c r="N1141" s="55" t="str">
        <f>VLOOKUP(D1141,Pinjaman!$E$7:$N$1900,10,FALSE)</f>
        <v>PRODUKTIF</v>
      </c>
      <c r="O1141" s="55">
        <f>VLOOKUP(B1141,'Data Angt'!$A$5:$H$5810,6,FALSE)</f>
        <v>56</v>
      </c>
      <c r="P1141" s="55" t="str">
        <f>VLOOKUP(B1141,'Data Angt'!$A$5:$H$5810,8,FALSE)</f>
        <v>Mengurus Rumah Tangga</v>
      </c>
    </row>
    <row r="1142" spans="1:16" x14ac:dyDescent="0.3">
      <c r="A1142" s="8">
        <v>1135</v>
      </c>
      <c r="B1142" s="9" t="s">
        <v>4040</v>
      </c>
      <c r="C1142" s="10" t="str">
        <f>VLOOKUP(B1142,'Data Angt'!$A$5:$B$5809,2,FALSE)</f>
        <v>A1750</v>
      </c>
      <c r="D1142" s="12" t="s">
        <v>16911</v>
      </c>
      <c r="E1142" s="13">
        <v>45829</v>
      </c>
      <c r="F1142" s="14">
        <v>45920</v>
      </c>
      <c r="G1142" s="15">
        <v>5000000</v>
      </c>
      <c r="H1142" s="16">
        <v>10</v>
      </c>
      <c r="I1142" s="17">
        <v>24</v>
      </c>
      <c r="J1142" s="15">
        <v>3500000</v>
      </c>
      <c r="K1142" s="98">
        <f t="shared" si="51"/>
        <v>0</v>
      </c>
      <c r="L1142" s="98" t="str">
        <f t="shared" si="52"/>
        <v>Lancar</v>
      </c>
      <c r="M1142" s="5" t="str">
        <f t="shared" si="53"/>
        <v>003</v>
      </c>
      <c r="N1142" s="55" t="str">
        <f>VLOOKUP(D1142,Pinjaman!$E$7:$N$1900,10,FALSE)</f>
        <v>PENDIDIKAN</v>
      </c>
      <c r="O1142" s="55">
        <f>VLOOKUP(B1142,'Data Angt'!$A$5:$H$5810,6,FALSE)</f>
        <v>35</v>
      </c>
      <c r="P1142" s="55" t="str">
        <f>VLOOKUP(B1142,'Data Angt'!$A$5:$H$5810,8,FALSE)</f>
        <v>Karyawan</v>
      </c>
    </row>
    <row r="1143" spans="1:16" x14ac:dyDescent="0.3">
      <c r="A1143" s="8">
        <v>1136</v>
      </c>
      <c r="B1143" s="9" t="s">
        <v>4219</v>
      </c>
      <c r="C1143" s="10" t="str">
        <f>VLOOKUP(B1143,'Data Angt'!$A$5:$B$5809,2,FALSE)</f>
        <v>A1829</v>
      </c>
      <c r="D1143" s="12" t="s">
        <v>23358</v>
      </c>
      <c r="E1143" s="13">
        <v>45880</v>
      </c>
      <c r="F1143" s="14">
        <v>45911</v>
      </c>
      <c r="G1143" s="15">
        <v>10000000</v>
      </c>
      <c r="H1143" s="16">
        <v>12</v>
      </c>
      <c r="I1143" s="17">
        <v>24</v>
      </c>
      <c r="J1143" s="15">
        <v>9166600</v>
      </c>
      <c r="K1143" s="98">
        <f t="shared" si="51"/>
        <v>0</v>
      </c>
      <c r="L1143" s="98" t="str">
        <f t="shared" si="52"/>
        <v>Lancar</v>
      </c>
      <c r="M1143" s="5" t="str">
        <f t="shared" si="53"/>
        <v>003</v>
      </c>
      <c r="N1143" s="55" t="str">
        <f>VLOOKUP(D1143,Pinjaman!$E$7:$N$1900,10,FALSE)</f>
        <v>PRODUKTIF</v>
      </c>
      <c r="O1143" s="55">
        <f>VLOOKUP(B1143,'Data Angt'!$A$5:$H$5810,6,FALSE)</f>
        <v>68</v>
      </c>
      <c r="P1143" s="55" t="str">
        <f>VLOOKUP(B1143,'Data Angt'!$A$5:$H$5810,8,FALSE)</f>
        <v>Mengurus Rumah Tangga</v>
      </c>
    </row>
    <row r="1144" spans="1:16" x14ac:dyDescent="0.3">
      <c r="A1144" s="8">
        <v>1137</v>
      </c>
      <c r="B1144" s="9" t="s">
        <v>4242</v>
      </c>
      <c r="C1144" s="10" t="str">
        <f>VLOOKUP(B1144,'Data Angt'!$A$5:$B$5809,2,FALSE)</f>
        <v>A1838</v>
      </c>
      <c r="D1144" s="12" t="s">
        <v>10432</v>
      </c>
      <c r="E1144" s="13">
        <v>43131</v>
      </c>
      <c r="F1144" s="14">
        <v>45929</v>
      </c>
      <c r="G1144" s="15">
        <v>106262000</v>
      </c>
      <c r="H1144" s="16">
        <v>120</v>
      </c>
      <c r="I1144" s="17">
        <v>11.4</v>
      </c>
      <c r="J1144" s="15">
        <v>102299700</v>
      </c>
      <c r="K1144" s="98">
        <f t="shared" si="51"/>
        <v>0</v>
      </c>
      <c r="L1144" s="98" t="str">
        <f t="shared" si="52"/>
        <v>Lancar</v>
      </c>
      <c r="M1144" s="5" t="str">
        <f t="shared" si="53"/>
        <v>003</v>
      </c>
      <c r="N1144" s="55">
        <f>VLOOKUP(D1144,Pinjaman!$E$7:$N$1900,10,FALSE)</f>
        <v>0</v>
      </c>
      <c r="O1144" s="55">
        <f>VLOOKUP(B1144,'Data Angt'!$A$5:$H$5810,6,FALSE)</f>
        <v>54</v>
      </c>
      <c r="P1144" s="55" t="str">
        <f>VLOOKUP(B1144,'Data Angt'!$A$5:$H$5810,8,FALSE)</f>
        <v>Karyawan</v>
      </c>
    </row>
    <row r="1145" spans="1:16" x14ac:dyDescent="0.3">
      <c r="A1145" s="8">
        <v>1138</v>
      </c>
      <c r="B1145" s="9" t="s">
        <v>4389</v>
      </c>
      <c r="C1145" s="10" t="str">
        <f>VLOOKUP(B1145,'Data Angt'!$A$5:$B$5809,2,FALSE)</f>
        <v>A1906</v>
      </c>
      <c r="D1145" s="12" t="s">
        <v>10433</v>
      </c>
      <c r="E1145" s="13">
        <v>41793</v>
      </c>
      <c r="F1145" s="14">
        <v>43951</v>
      </c>
      <c r="G1145" s="15">
        <v>35000000</v>
      </c>
      <c r="H1145" s="16">
        <v>60</v>
      </c>
      <c r="I1145" s="17">
        <v>21</v>
      </c>
      <c r="J1145" s="15">
        <v>32013000</v>
      </c>
      <c r="K1145" s="98">
        <f t="shared" si="51"/>
        <v>65</v>
      </c>
      <c r="L1145" s="98" t="str">
        <f t="shared" si="52"/>
        <v>Macet</v>
      </c>
      <c r="M1145" s="5" t="str">
        <f t="shared" si="53"/>
        <v>003</v>
      </c>
      <c r="N1145" s="55">
        <f>VLOOKUP(D1145,Pinjaman!$E$7:$N$1900,10,FALSE)</f>
        <v>0</v>
      </c>
      <c r="O1145" s="55">
        <f>VLOOKUP(B1145,'Data Angt'!$A$5:$H$5810,6,FALSE)</f>
        <v>48</v>
      </c>
      <c r="P1145" s="55" t="str">
        <f>VLOOKUP(B1145,'Data Angt'!$A$5:$H$5810,8,FALSE)</f>
        <v>Mengurus Rumah Tangga</v>
      </c>
    </row>
    <row r="1146" spans="1:16" x14ac:dyDescent="0.3">
      <c r="A1146" s="8">
        <v>1139</v>
      </c>
      <c r="B1146" s="9" t="s">
        <v>4405</v>
      </c>
      <c r="C1146" s="10" t="str">
        <f>VLOOKUP(B1146,'Data Angt'!$A$5:$B$5809,2,FALSE)</f>
        <v>A1915</v>
      </c>
      <c r="D1146" s="12" t="s">
        <v>16914</v>
      </c>
      <c r="E1146" s="13">
        <v>45468</v>
      </c>
      <c r="F1146" s="14">
        <v>45926</v>
      </c>
      <c r="G1146" s="15">
        <v>6000000</v>
      </c>
      <c r="H1146" s="16">
        <v>36</v>
      </c>
      <c r="I1146" s="17">
        <v>24</v>
      </c>
      <c r="J1146" s="15">
        <v>3499500</v>
      </c>
      <c r="K1146" s="98">
        <f t="shared" si="51"/>
        <v>0</v>
      </c>
      <c r="L1146" s="98" t="str">
        <f t="shared" si="52"/>
        <v>Lancar</v>
      </c>
      <c r="M1146" s="5" t="str">
        <f t="shared" si="53"/>
        <v>003</v>
      </c>
      <c r="N1146" s="55" t="str">
        <f>VLOOKUP(D1146,Pinjaman!$E$7:$N$1900,10,FALSE)</f>
        <v>KESEJAHTERAAN</v>
      </c>
      <c r="O1146" s="55">
        <f>VLOOKUP(B1146,'Data Angt'!$A$5:$H$5810,6,FALSE)</f>
        <v>48</v>
      </c>
      <c r="P1146" s="55" t="str">
        <f>VLOOKUP(B1146,'Data Angt'!$A$5:$H$5810,8,FALSE)</f>
        <v>Tenaga Pengajar</v>
      </c>
    </row>
    <row r="1147" spans="1:16" x14ac:dyDescent="0.3">
      <c r="A1147" s="8">
        <v>1140</v>
      </c>
      <c r="B1147" s="9" t="s">
        <v>4472</v>
      </c>
      <c r="C1147" s="10" t="str">
        <f>VLOOKUP(B1147,'Data Angt'!$A$5:$B$5809,2,FALSE)</f>
        <v>A1946</v>
      </c>
      <c r="D1147" s="12" t="s">
        <v>10434</v>
      </c>
      <c r="E1147" s="13">
        <v>41837</v>
      </c>
      <c r="F1147" s="14">
        <v>45688</v>
      </c>
      <c r="G1147" s="15">
        <v>36000000</v>
      </c>
      <c r="H1147" s="16">
        <v>60</v>
      </c>
      <c r="I1147" s="17">
        <v>21</v>
      </c>
      <c r="J1147" s="15">
        <v>14520000</v>
      </c>
      <c r="K1147" s="98">
        <f t="shared" si="51"/>
        <v>7</v>
      </c>
      <c r="L1147" s="98" t="str">
        <f t="shared" si="52"/>
        <v>Diragukan</v>
      </c>
      <c r="M1147" s="5" t="str">
        <f t="shared" si="53"/>
        <v>003</v>
      </c>
      <c r="N1147" s="55">
        <f>VLOOKUP(D1147,Pinjaman!$E$7:$N$1900,10,FALSE)</f>
        <v>0</v>
      </c>
      <c r="O1147" s="55">
        <f>VLOOKUP(B1147,'Data Angt'!$A$5:$H$5810,6,FALSE)</f>
        <v>54</v>
      </c>
      <c r="P1147" s="55" t="str">
        <f>VLOOKUP(B1147,'Data Angt'!$A$5:$H$5810,8,FALSE)</f>
        <v>Wiraswasta</v>
      </c>
    </row>
    <row r="1148" spans="1:16" x14ac:dyDescent="0.3">
      <c r="A1148" s="8">
        <v>1141</v>
      </c>
      <c r="B1148" s="9" t="s">
        <v>4489</v>
      </c>
      <c r="C1148" s="10" t="str">
        <f>VLOOKUP(B1148,'Data Angt'!$A$5:$B$5809,2,FALSE)</f>
        <v>A1953</v>
      </c>
      <c r="D1148" s="12" t="s">
        <v>10435</v>
      </c>
      <c r="E1148" s="13">
        <v>43304</v>
      </c>
      <c r="F1148" s="14">
        <v>45869</v>
      </c>
      <c r="G1148" s="15">
        <v>40000000</v>
      </c>
      <c r="H1148" s="16">
        <v>60</v>
      </c>
      <c r="I1148" s="17">
        <v>21</v>
      </c>
      <c r="J1148" s="15">
        <v>10915500</v>
      </c>
      <c r="K1148" s="98">
        <f t="shared" si="51"/>
        <v>1</v>
      </c>
      <c r="L1148" s="98" t="str">
        <f t="shared" si="52"/>
        <v>Lancar</v>
      </c>
      <c r="M1148" s="5" t="str">
        <f t="shared" si="53"/>
        <v>003</v>
      </c>
      <c r="N1148" s="55" t="str">
        <f>VLOOKUP(D1148,Pinjaman!$E$7:$N$1900,10,FALSE)</f>
        <v>KONSUMTIF</v>
      </c>
      <c r="O1148" s="55">
        <f>VLOOKUP(B1148,'Data Angt'!$A$5:$H$5810,6,FALSE)</f>
        <v>39</v>
      </c>
      <c r="P1148" s="55" t="str">
        <f>VLOOKUP(B1148,'Data Angt'!$A$5:$H$5810,8,FALSE)</f>
        <v>Tenaga Pengajar</v>
      </c>
    </row>
    <row r="1149" spans="1:16" x14ac:dyDescent="0.3">
      <c r="A1149" s="8">
        <v>1142</v>
      </c>
      <c r="B1149" s="9" t="s">
        <v>4545</v>
      </c>
      <c r="C1149" s="10" t="str">
        <f>VLOOKUP(B1149,'Data Angt'!$A$5:$B$5809,2,FALSE)</f>
        <v>A1979</v>
      </c>
      <c r="D1149" s="12" t="s">
        <v>16916</v>
      </c>
      <c r="E1149" s="13">
        <v>45769</v>
      </c>
      <c r="F1149" s="14">
        <v>45922</v>
      </c>
      <c r="G1149" s="15">
        <v>40000000</v>
      </c>
      <c r="H1149" s="16">
        <v>36</v>
      </c>
      <c r="I1149" s="17">
        <v>21</v>
      </c>
      <c r="J1149" s="15">
        <v>35821000</v>
      </c>
      <c r="K1149" s="98">
        <f t="shared" si="51"/>
        <v>0</v>
      </c>
      <c r="L1149" s="98" t="str">
        <f t="shared" si="52"/>
        <v>Lancar</v>
      </c>
      <c r="M1149" s="5" t="str">
        <f t="shared" si="53"/>
        <v>003</v>
      </c>
      <c r="N1149" s="55" t="str">
        <f>VLOOKUP(D1149,Pinjaman!$E$7:$N$1900,10,FALSE)</f>
        <v>PRODUKTIF</v>
      </c>
      <c r="O1149" s="55">
        <f>VLOOKUP(B1149,'Data Angt'!$A$5:$H$5810,6,FALSE)</f>
        <v>39</v>
      </c>
      <c r="P1149" s="55" t="str">
        <f>VLOOKUP(B1149,'Data Angt'!$A$5:$H$5810,8,FALSE)</f>
        <v>Karyawan</v>
      </c>
    </row>
    <row r="1150" spans="1:16" x14ac:dyDescent="0.3">
      <c r="A1150" s="8">
        <v>1143</v>
      </c>
      <c r="B1150" s="9" t="s">
        <v>4570</v>
      </c>
      <c r="C1150" s="10" t="str">
        <f>VLOOKUP(B1150,'Data Angt'!$A$5:$B$5809,2,FALSE)</f>
        <v>A1991</v>
      </c>
      <c r="D1150" s="12" t="s">
        <v>16918</v>
      </c>
      <c r="E1150" s="13">
        <v>45603</v>
      </c>
      <c r="F1150" s="14">
        <v>45904</v>
      </c>
      <c r="G1150" s="15">
        <v>21000000</v>
      </c>
      <c r="H1150" s="16">
        <v>36</v>
      </c>
      <c r="I1150" s="17">
        <v>24</v>
      </c>
      <c r="J1150" s="15">
        <v>15166000</v>
      </c>
      <c r="K1150" s="98">
        <f t="shared" si="51"/>
        <v>0</v>
      </c>
      <c r="L1150" s="98" t="str">
        <f t="shared" si="52"/>
        <v>Lancar</v>
      </c>
      <c r="M1150" s="5" t="str">
        <f t="shared" si="53"/>
        <v>003</v>
      </c>
      <c r="N1150" s="55" t="str">
        <f>VLOOKUP(D1150,Pinjaman!$E$7:$N$1900,10,FALSE)</f>
        <v>KONSUMTIF</v>
      </c>
      <c r="O1150" s="55">
        <f>VLOOKUP(B1150,'Data Angt'!$A$5:$H$5810,6,FALSE)</f>
        <v>34</v>
      </c>
      <c r="P1150" s="55" t="str">
        <f>VLOOKUP(B1150,'Data Angt'!$A$5:$H$5810,8,FALSE)</f>
        <v>Karyawan</v>
      </c>
    </row>
    <row r="1151" spans="1:16" x14ac:dyDescent="0.3">
      <c r="A1151" s="8">
        <v>1144</v>
      </c>
      <c r="B1151" s="9" t="s">
        <v>4576</v>
      </c>
      <c r="C1151" s="10" t="str">
        <f>VLOOKUP(B1151,'Data Angt'!$A$5:$B$5809,2,FALSE)</f>
        <v>A1994</v>
      </c>
      <c r="D1151" s="12" t="s">
        <v>10439</v>
      </c>
      <c r="E1151" s="13">
        <v>42768</v>
      </c>
      <c r="F1151" s="14">
        <v>45351</v>
      </c>
      <c r="G1151" s="15">
        <v>45000000</v>
      </c>
      <c r="H1151" s="16">
        <v>48</v>
      </c>
      <c r="I1151" s="17">
        <v>11.88</v>
      </c>
      <c r="J1151" s="15">
        <v>11250000</v>
      </c>
      <c r="K1151" s="98">
        <f t="shared" si="51"/>
        <v>19</v>
      </c>
      <c r="L1151" s="98" t="str">
        <f t="shared" si="52"/>
        <v>Macet</v>
      </c>
      <c r="M1151" s="5" t="str">
        <f t="shared" si="53"/>
        <v>003</v>
      </c>
      <c r="N1151" s="55">
        <f>VLOOKUP(D1151,Pinjaman!$E$7:$N$1900,10,FALSE)</f>
        <v>0</v>
      </c>
      <c r="O1151" s="55">
        <f>VLOOKUP(B1151,'Data Angt'!$A$5:$H$5810,6,FALSE)</f>
        <v>44</v>
      </c>
      <c r="P1151" s="55" t="str">
        <f>VLOOKUP(B1151,'Data Angt'!$A$5:$H$5810,8,FALSE)</f>
        <v>Mengurus Rumah Tangga</v>
      </c>
    </row>
    <row r="1152" spans="1:16" x14ac:dyDescent="0.3">
      <c r="A1152" s="8">
        <v>1145</v>
      </c>
      <c r="B1152" s="9" t="s">
        <v>4630</v>
      </c>
      <c r="C1152" s="10" t="str">
        <f>VLOOKUP(B1152,'Data Angt'!$A$5:$B$5809,2,FALSE)</f>
        <v>A2021</v>
      </c>
      <c r="D1152" s="12" t="s">
        <v>10440</v>
      </c>
      <c r="E1152" s="13">
        <v>45206</v>
      </c>
      <c r="F1152" s="14">
        <v>45930</v>
      </c>
      <c r="G1152" s="15">
        <v>12000000</v>
      </c>
      <c r="H1152" s="16">
        <v>36</v>
      </c>
      <c r="I1152" s="17">
        <v>24</v>
      </c>
      <c r="J1152" s="15">
        <v>4331800</v>
      </c>
      <c r="K1152" s="98">
        <f t="shared" si="51"/>
        <v>0</v>
      </c>
      <c r="L1152" s="98" t="str">
        <f t="shared" si="52"/>
        <v>Lancar</v>
      </c>
      <c r="M1152" s="5" t="str">
        <f t="shared" si="53"/>
        <v>003</v>
      </c>
      <c r="N1152" s="55" t="str">
        <f>VLOOKUP(D1152,Pinjaman!$E$7:$N$1900,10,FALSE)</f>
        <v>PENDIDIKAN</v>
      </c>
      <c r="O1152" s="55">
        <f>VLOOKUP(B1152,'Data Angt'!$A$5:$H$5810,6,FALSE)</f>
        <v>47</v>
      </c>
      <c r="P1152" s="55" t="str">
        <f>VLOOKUP(B1152,'Data Angt'!$A$5:$H$5810,8,FALSE)</f>
        <v>Tenaga Pengajar</v>
      </c>
    </row>
    <row r="1153" spans="1:16" x14ac:dyDescent="0.3">
      <c r="A1153" s="8">
        <v>1146</v>
      </c>
      <c r="B1153" s="9" t="s">
        <v>4750</v>
      </c>
      <c r="C1153" s="10" t="str">
        <f>VLOOKUP(B1153,'Data Angt'!$A$5:$B$5809,2,FALSE)</f>
        <v>A2076</v>
      </c>
      <c r="D1153" s="12" t="s">
        <v>23364</v>
      </c>
      <c r="E1153" s="13">
        <v>45840</v>
      </c>
      <c r="F1153" s="14">
        <v>45902</v>
      </c>
      <c r="G1153" s="15">
        <v>5000000</v>
      </c>
      <c r="H1153" s="16">
        <v>12</v>
      </c>
      <c r="I1153" s="17">
        <v>24</v>
      </c>
      <c r="J1153" s="15">
        <v>4166600</v>
      </c>
      <c r="K1153" s="98">
        <f t="shared" si="51"/>
        <v>0</v>
      </c>
      <c r="L1153" s="98" t="str">
        <f t="shared" si="52"/>
        <v>Lancar</v>
      </c>
      <c r="M1153" s="5" t="str">
        <f t="shared" si="53"/>
        <v>003</v>
      </c>
      <c r="N1153" s="55" t="str">
        <f>VLOOKUP(D1153,Pinjaman!$E$7:$N$1900,10,FALSE)</f>
        <v>PRODUKTIF</v>
      </c>
      <c r="O1153" s="55">
        <f>VLOOKUP(B1153,'Data Angt'!$A$5:$H$5810,6,FALSE)</f>
        <v>50</v>
      </c>
      <c r="P1153" s="55" t="str">
        <f>VLOOKUP(B1153,'Data Angt'!$A$5:$H$5810,8,FALSE)</f>
        <v>Wiraswasta</v>
      </c>
    </row>
    <row r="1154" spans="1:16" x14ac:dyDescent="0.3">
      <c r="A1154" s="8">
        <v>1147</v>
      </c>
      <c r="B1154" s="9" t="s">
        <v>4750</v>
      </c>
      <c r="C1154" s="10" t="str">
        <f>VLOOKUP(B1154,'Data Angt'!$A$5:$B$5809,2,FALSE)</f>
        <v>A2076</v>
      </c>
      <c r="D1154" s="12" t="s">
        <v>16921</v>
      </c>
      <c r="E1154" s="13">
        <v>45657</v>
      </c>
      <c r="F1154" s="14">
        <v>45930</v>
      </c>
      <c r="G1154" s="15">
        <v>20000000</v>
      </c>
      <c r="H1154" s="16">
        <v>12</v>
      </c>
      <c r="I1154" s="17">
        <v>24</v>
      </c>
      <c r="J1154" s="15">
        <v>4999700</v>
      </c>
      <c r="K1154" s="98">
        <f t="shared" si="51"/>
        <v>0</v>
      </c>
      <c r="L1154" s="98" t="str">
        <f t="shared" si="52"/>
        <v>Lancar</v>
      </c>
      <c r="M1154" s="5" t="str">
        <f t="shared" si="53"/>
        <v>003</v>
      </c>
      <c r="N1154" s="55" t="str">
        <f>VLOOKUP(D1154,Pinjaman!$E$7:$N$1900,10,FALSE)</f>
        <v>KESEJAHTERAAN</v>
      </c>
      <c r="O1154" s="55">
        <f>VLOOKUP(B1154,'Data Angt'!$A$5:$H$5810,6,FALSE)</f>
        <v>50</v>
      </c>
      <c r="P1154" s="55" t="str">
        <f>VLOOKUP(B1154,'Data Angt'!$A$5:$H$5810,8,FALSE)</f>
        <v>Wiraswasta</v>
      </c>
    </row>
    <row r="1155" spans="1:16" x14ac:dyDescent="0.3">
      <c r="A1155" s="8">
        <v>1148</v>
      </c>
      <c r="B1155" s="9" t="s">
        <v>4780</v>
      </c>
      <c r="C1155" s="10" t="str">
        <f>VLOOKUP(B1155,'Data Angt'!$A$5:$B$5809,2,FALSE)</f>
        <v>A2091</v>
      </c>
      <c r="D1155" s="12" t="s">
        <v>10443</v>
      </c>
      <c r="E1155" s="13">
        <v>44970</v>
      </c>
      <c r="F1155" s="14">
        <v>45913</v>
      </c>
      <c r="G1155" s="15">
        <v>26000000</v>
      </c>
      <c r="H1155" s="16">
        <v>36</v>
      </c>
      <c r="I1155" s="17">
        <v>21</v>
      </c>
      <c r="J1155" s="15">
        <v>3608700</v>
      </c>
      <c r="K1155" s="98">
        <f t="shared" si="51"/>
        <v>0</v>
      </c>
      <c r="L1155" s="98" t="str">
        <f t="shared" si="52"/>
        <v>Lancar</v>
      </c>
      <c r="M1155" s="5" t="str">
        <f t="shared" si="53"/>
        <v>003</v>
      </c>
      <c r="N1155" s="55" t="str">
        <f>VLOOKUP(D1155,Pinjaman!$E$7:$N$1900,10,FALSE)</f>
        <v>KONSUMTIF</v>
      </c>
      <c r="O1155" s="55">
        <f>VLOOKUP(B1155,'Data Angt'!$A$5:$H$5810,6,FALSE)</f>
        <v>42</v>
      </c>
      <c r="P1155" s="55" t="str">
        <f>VLOOKUP(B1155,'Data Angt'!$A$5:$H$5810,8,FALSE)</f>
        <v>Karyawan</v>
      </c>
    </row>
    <row r="1156" spans="1:16" x14ac:dyDescent="0.3">
      <c r="A1156" s="8">
        <v>1149</v>
      </c>
      <c r="B1156" s="9" t="s">
        <v>4789</v>
      </c>
      <c r="C1156" s="10" t="str">
        <f>VLOOKUP(B1156,'Data Angt'!$A$5:$B$5809,2,FALSE)</f>
        <v>A2095</v>
      </c>
      <c r="D1156" s="12" t="s">
        <v>10446</v>
      </c>
      <c r="E1156" s="13">
        <v>43713</v>
      </c>
      <c r="F1156" s="14">
        <v>43951</v>
      </c>
      <c r="G1156" s="15">
        <v>150000000</v>
      </c>
      <c r="H1156" s="16">
        <v>48</v>
      </c>
      <c r="I1156" s="17">
        <v>21</v>
      </c>
      <c r="J1156" s="15">
        <v>150000000</v>
      </c>
      <c r="K1156" s="98">
        <f t="shared" si="51"/>
        <v>65</v>
      </c>
      <c r="L1156" s="98" t="str">
        <f t="shared" si="52"/>
        <v>Macet</v>
      </c>
      <c r="M1156" s="5" t="str">
        <f t="shared" si="53"/>
        <v>003</v>
      </c>
      <c r="N1156" s="55" t="str">
        <f>VLOOKUP(D1156,Pinjaman!$E$7:$N$1900,10,FALSE)</f>
        <v>PRODUKTIF</v>
      </c>
      <c r="O1156" s="55">
        <f>VLOOKUP(B1156,'Data Angt'!$A$5:$H$5810,6,FALSE)</f>
        <v>69</v>
      </c>
      <c r="P1156" s="55" t="str">
        <f>VLOOKUP(B1156,'Data Angt'!$A$5:$H$5810,8,FALSE)</f>
        <v>Pensiunan</v>
      </c>
    </row>
    <row r="1157" spans="1:16" x14ac:dyDescent="0.3">
      <c r="A1157" s="8">
        <v>1150</v>
      </c>
      <c r="B1157" s="9" t="s">
        <v>4844</v>
      </c>
      <c r="C1157" s="10" t="str">
        <f>VLOOKUP(B1157,'Data Angt'!$A$5:$B$5809,2,FALSE)</f>
        <v>A2120</v>
      </c>
      <c r="D1157" s="12" t="s">
        <v>10449</v>
      </c>
      <c r="E1157" s="13">
        <v>42296</v>
      </c>
      <c r="F1157" s="14">
        <v>45167</v>
      </c>
      <c r="G1157" s="15">
        <v>15000000</v>
      </c>
      <c r="H1157" s="16">
        <v>48</v>
      </c>
      <c r="I1157" s="17">
        <v>14.4</v>
      </c>
      <c r="J1157" s="15">
        <v>9062500</v>
      </c>
      <c r="K1157" s="98">
        <f t="shared" si="51"/>
        <v>25</v>
      </c>
      <c r="L1157" s="98" t="str">
        <f t="shared" si="52"/>
        <v>Macet</v>
      </c>
      <c r="M1157" s="5" t="str">
        <f t="shared" si="53"/>
        <v>003</v>
      </c>
      <c r="N1157" s="55">
        <f>VLOOKUP(D1157,Pinjaman!$E$7:$N$1900,10,FALSE)</f>
        <v>0</v>
      </c>
      <c r="O1157" s="55">
        <f>VLOOKUP(B1157,'Data Angt'!$A$5:$H$5810,6,FALSE)</f>
        <v>46</v>
      </c>
      <c r="P1157" s="55" t="str">
        <f>VLOOKUP(B1157,'Data Angt'!$A$5:$H$5810,8,FALSE)</f>
        <v>Wiraswasta</v>
      </c>
    </row>
    <row r="1158" spans="1:16" x14ac:dyDescent="0.3">
      <c r="A1158" s="8">
        <v>1151</v>
      </c>
      <c r="B1158" s="9" t="s">
        <v>4970</v>
      </c>
      <c r="C1158" s="10" t="str">
        <f>VLOOKUP(B1158,'Data Angt'!$A$5:$B$5809,2,FALSE)</f>
        <v>A2179</v>
      </c>
      <c r="D1158" s="12" t="s">
        <v>10450</v>
      </c>
      <c r="E1158" s="13">
        <v>42174</v>
      </c>
      <c r="F1158" s="14">
        <v>45930</v>
      </c>
      <c r="G1158" s="15">
        <v>10000000</v>
      </c>
      <c r="H1158" s="16">
        <v>24</v>
      </c>
      <c r="I1158" s="17">
        <v>24</v>
      </c>
      <c r="J1158" s="15">
        <v>2590800</v>
      </c>
      <c r="K1158" s="98">
        <f t="shared" si="51"/>
        <v>0</v>
      </c>
      <c r="L1158" s="98" t="str">
        <f t="shared" si="52"/>
        <v>Lancar</v>
      </c>
      <c r="M1158" s="5" t="str">
        <f t="shared" si="53"/>
        <v>003</v>
      </c>
      <c r="N1158" s="55">
        <f>VLOOKUP(D1158,Pinjaman!$E$7:$N$1900,10,FALSE)</f>
        <v>0</v>
      </c>
      <c r="O1158" s="55">
        <f>VLOOKUP(B1158,'Data Angt'!$A$5:$H$5810,6,FALSE)</f>
        <v>43</v>
      </c>
      <c r="P1158" s="55" t="str">
        <f>VLOOKUP(B1158,'Data Angt'!$A$5:$H$5810,8,FALSE)</f>
        <v>Karyawan</v>
      </c>
    </row>
    <row r="1159" spans="1:16" x14ac:dyDescent="0.3">
      <c r="A1159" s="8">
        <v>1152</v>
      </c>
      <c r="B1159" s="9" t="s">
        <v>4979</v>
      </c>
      <c r="C1159" s="10" t="str">
        <f>VLOOKUP(B1159,'Data Angt'!$A$5:$B$5809,2,FALSE)</f>
        <v>A2183</v>
      </c>
      <c r="D1159" s="12" t="s">
        <v>10451</v>
      </c>
      <c r="E1159" s="13">
        <v>42191</v>
      </c>
      <c r="F1159" s="14">
        <v>44583</v>
      </c>
      <c r="G1159" s="15">
        <v>35000000</v>
      </c>
      <c r="H1159" s="16">
        <v>36</v>
      </c>
      <c r="I1159" s="17">
        <v>24</v>
      </c>
      <c r="J1159" s="15">
        <v>14262200</v>
      </c>
      <c r="K1159" s="98">
        <f t="shared" si="51"/>
        <v>44</v>
      </c>
      <c r="L1159" s="98" t="str">
        <f t="shared" si="52"/>
        <v>Macet</v>
      </c>
      <c r="M1159" s="5" t="str">
        <f t="shared" si="53"/>
        <v>003</v>
      </c>
      <c r="N1159" s="55">
        <f>VLOOKUP(D1159,Pinjaman!$E$7:$N$1900,10,FALSE)</f>
        <v>0</v>
      </c>
      <c r="O1159" s="55">
        <f>VLOOKUP(B1159,'Data Angt'!$A$5:$H$5810,6,FALSE)</f>
        <v>41</v>
      </c>
      <c r="P1159" s="55" t="str">
        <f>VLOOKUP(B1159,'Data Angt'!$A$5:$H$5810,8,FALSE)</f>
        <v>Karyawan</v>
      </c>
    </row>
    <row r="1160" spans="1:16" x14ac:dyDescent="0.3">
      <c r="A1160" s="8">
        <v>1153</v>
      </c>
      <c r="B1160" s="9" t="s">
        <v>5121</v>
      </c>
      <c r="C1160" s="10" t="str">
        <f>VLOOKUP(B1160,'Data Angt'!$A$5:$B$5809,2,FALSE)</f>
        <v>A2250</v>
      </c>
      <c r="D1160" s="12" t="s">
        <v>10452</v>
      </c>
      <c r="E1160" s="13">
        <v>45279</v>
      </c>
      <c r="F1160" s="14">
        <v>45930</v>
      </c>
      <c r="G1160" s="15">
        <v>4000000</v>
      </c>
      <c r="H1160" s="16">
        <v>48</v>
      </c>
      <c r="I1160" s="17">
        <v>24</v>
      </c>
      <c r="J1160" s="15">
        <v>2248600</v>
      </c>
      <c r="K1160" s="98">
        <f t="shared" si="51"/>
        <v>0</v>
      </c>
      <c r="L1160" s="98" t="str">
        <f t="shared" si="52"/>
        <v>Lancar</v>
      </c>
      <c r="M1160" s="5" t="str">
        <f t="shared" si="53"/>
        <v>003</v>
      </c>
      <c r="N1160" s="55" t="str">
        <f>VLOOKUP(D1160,Pinjaman!$E$7:$N$1900,10,FALSE)</f>
        <v>PRODUKTIF</v>
      </c>
      <c r="O1160" s="55">
        <f>VLOOKUP(B1160,'Data Angt'!$A$5:$H$5810,6,FALSE)</f>
        <v>38</v>
      </c>
      <c r="P1160" s="55" t="str">
        <f>VLOOKUP(B1160,'Data Angt'!$A$5:$H$5810,8,FALSE)</f>
        <v>Karyawan</v>
      </c>
    </row>
    <row r="1161" spans="1:16" x14ac:dyDescent="0.3">
      <c r="A1161" s="8">
        <v>1154</v>
      </c>
      <c r="B1161" s="9" t="s">
        <v>5273</v>
      </c>
      <c r="C1161" s="10" t="str">
        <f>VLOOKUP(B1161,'Data Angt'!$A$5:$B$5809,2,FALSE)</f>
        <v>A2322</v>
      </c>
      <c r="D1161" s="12" t="s">
        <v>16923</v>
      </c>
      <c r="E1161" s="13">
        <v>45696</v>
      </c>
      <c r="F1161" s="14">
        <v>45910</v>
      </c>
      <c r="G1161" s="15">
        <v>5000000</v>
      </c>
      <c r="H1161" s="16">
        <v>18</v>
      </c>
      <c r="I1161" s="17">
        <v>11.88</v>
      </c>
      <c r="J1161" s="15">
        <v>3160000</v>
      </c>
      <c r="K1161" s="98">
        <f t="shared" ref="K1161:K1224" si="54">DATEDIF(F1161,$K$6,"m")</f>
        <v>0</v>
      </c>
      <c r="L1161" s="98" t="str">
        <f t="shared" ref="L1161:L1224" si="55">IF(K1161&lt;=3,"Lancar",IF(K1161&lt;=6,"Kurang lancar",IF(K1161&lt;=12,"Diragukan","Macet")))</f>
        <v>Lancar</v>
      </c>
      <c r="M1161" s="5" t="str">
        <f t="shared" ref="M1161:M1224" si="56">MID(B1161,7,3)</f>
        <v>003</v>
      </c>
      <c r="N1161" s="55" t="str">
        <f>VLOOKUP(D1161,Pinjaman!$E$7:$N$1900,10,FALSE)</f>
        <v>PRODUKTIF</v>
      </c>
      <c r="O1161" s="55">
        <f>VLOOKUP(B1161,'Data Angt'!$A$5:$H$5810,6,FALSE)</f>
        <v>57</v>
      </c>
      <c r="P1161" s="55" t="str">
        <f>VLOOKUP(B1161,'Data Angt'!$A$5:$H$5810,8,FALSE)</f>
        <v>Wiraswasta</v>
      </c>
    </row>
    <row r="1162" spans="1:16" x14ac:dyDescent="0.3">
      <c r="A1162" s="8">
        <v>1155</v>
      </c>
      <c r="B1162" s="9" t="s">
        <v>5392</v>
      </c>
      <c r="C1162" s="10" t="str">
        <f>VLOOKUP(B1162,'Data Angt'!$A$5:$B$5809,2,FALSE)</f>
        <v>A2378</v>
      </c>
      <c r="D1162" s="12" t="s">
        <v>10454</v>
      </c>
      <c r="E1162" s="13">
        <v>43049</v>
      </c>
      <c r="F1162" s="14">
        <v>44877</v>
      </c>
      <c r="G1162" s="15">
        <v>30000000</v>
      </c>
      <c r="H1162" s="16">
        <v>36</v>
      </c>
      <c r="I1162" s="17">
        <v>21</v>
      </c>
      <c r="J1162" s="15">
        <v>27514700</v>
      </c>
      <c r="K1162" s="98">
        <f t="shared" si="54"/>
        <v>34</v>
      </c>
      <c r="L1162" s="98" t="str">
        <f t="shared" si="55"/>
        <v>Macet</v>
      </c>
      <c r="M1162" s="5" t="str">
        <f t="shared" si="56"/>
        <v>003</v>
      </c>
      <c r="N1162" s="55">
        <f>VLOOKUP(D1162,Pinjaman!$E$7:$N$1900,10,FALSE)</f>
        <v>0</v>
      </c>
      <c r="O1162" s="55">
        <f>VLOOKUP(B1162,'Data Angt'!$A$5:$H$5810,6,FALSE)</f>
        <v>64</v>
      </c>
      <c r="P1162" s="55" t="str">
        <f>VLOOKUP(B1162,'Data Angt'!$A$5:$H$5810,8,FALSE)</f>
        <v>Tenaga Pengajar</v>
      </c>
    </row>
    <row r="1163" spans="1:16" x14ac:dyDescent="0.3">
      <c r="A1163" s="8">
        <v>1156</v>
      </c>
      <c r="B1163" s="9" t="s">
        <v>5420</v>
      </c>
      <c r="C1163" s="10" t="str">
        <f>VLOOKUP(B1163,'Data Angt'!$A$5:$B$5809,2,FALSE)</f>
        <v>A2392</v>
      </c>
      <c r="D1163" s="12" t="s">
        <v>16925</v>
      </c>
      <c r="E1163" s="13">
        <v>45772</v>
      </c>
      <c r="F1163" s="14">
        <v>45930</v>
      </c>
      <c r="G1163" s="15">
        <v>765000000</v>
      </c>
      <c r="H1163" s="16">
        <v>36</v>
      </c>
      <c r="I1163" s="17">
        <v>10.56</v>
      </c>
      <c r="J1163" s="15">
        <v>672618000</v>
      </c>
      <c r="K1163" s="98">
        <f t="shared" si="54"/>
        <v>0</v>
      </c>
      <c r="L1163" s="98" t="str">
        <f t="shared" si="55"/>
        <v>Lancar</v>
      </c>
      <c r="M1163" s="5" t="str">
        <f t="shared" si="56"/>
        <v>003</v>
      </c>
      <c r="N1163" s="55" t="str">
        <f>VLOOKUP(D1163,Pinjaman!$E$7:$N$1900,10,FALSE)</f>
        <v>KESEJAHTERAAN</v>
      </c>
      <c r="O1163" s="55">
        <f>VLOOKUP(B1163,'Data Angt'!$A$5:$H$5810,6,FALSE)</f>
        <v>32</v>
      </c>
      <c r="P1163" s="55" t="str">
        <f>VLOOKUP(B1163,'Data Angt'!$A$5:$H$5810,8,FALSE)</f>
        <v>Wiraswasta</v>
      </c>
    </row>
    <row r="1164" spans="1:16" x14ac:dyDescent="0.3">
      <c r="A1164" s="8">
        <v>1157</v>
      </c>
      <c r="B1164" s="9" t="s">
        <v>5476</v>
      </c>
      <c r="C1164" s="10" t="str">
        <f>VLOOKUP(B1164,'Data Angt'!$A$5:$B$5809,2,FALSE)</f>
        <v>A2417</v>
      </c>
      <c r="D1164" s="12" t="s">
        <v>16927</v>
      </c>
      <c r="E1164" s="13">
        <v>45743</v>
      </c>
      <c r="F1164" s="14">
        <v>45925</v>
      </c>
      <c r="G1164" s="15">
        <v>1500000</v>
      </c>
      <c r="H1164" s="16">
        <v>12</v>
      </c>
      <c r="I1164" s="17">
        <v>24</v>
      </c>
      <c r="J1164" s="15">
        <v>750000</v>
      </c>
      <c r="K1164" s="98">
        <f t="shared" si="54"/>
        <v>0</v>
      </c>
      <c r="L1164" s="98" t="str">
        <f t="shared" si="55"/>
        <v>Lancar</v>
      </c>
      <c r="M1164" s="5" t="str">
        <f t="shared" si="56"/>
        <v>003</v>
      </c>
      <c r="N1164" s="55" t="str">
        <f>VLOOKUP(D1164,Pinjaman!$E$7:$N$1900,10,FALSE)</f>
        <v>PRODUKTIF</v>
      </c>
      <c r="O1164" s="55">
        <f>VLOOKUP(B1164,'Data Angt'!$A$5:$H$5810,6,FALSE)</f>
        <v>49</v>
      </c>
      <c r="P1164" s="55" t="str">
        <f>VLOOKUP(B1164,'Data Angt'!$A$5:$H$5810,8,FALSE)</f>
        <v>Wiraswasta</v>
      </c>
    </row>
    <row r="1165" spans="1:16" x14ac:dyDescent="0.3">
      <c r="A1165" s="8">
        <v>1158</v>
      </c>
      <c r="B1165" s="9" t="s">
        <v>5491</v>
      </c>
      <c r="C1165" s="10" t="str">
        <f>VLOOKUP(B1165,'Data Angt'!$A$5:$B$5809,2,FALSE)</f>
        <v>A2424</v>
      </c>
      <c r="D1165" s="12" t="s">
        <v>10455</v>
      </c>
      <c r="E1165" s="13">
        <v>45119</v>
      </c>
      <c r="F1165" s="14">
        <v>45364</v>
      </c>
      <c r="G1165" s="15">
        <v>5000000</v>
      </c>
      <c r="H1165" s="16">
        <v>18</v>
      </c>
      <c r="I1165" s="17">
        <v>24</v>
      </c>
      <c r="J1165" s="15">
        <v>4444400</v>
      </c>
      <c r="K1165" s="98">
        <f t="shared" si="54"/>
        <v>18</v>
      </c>
      <c r="L1165" s="98" t="str">
        <f t="shared" si="55"/>
        <v>Macet</v>
      </c>
      <c r="M1165" s="5" t="str">
        <f t="shared" si="56"/>
        <v>003</v>
      </c>
      <c r="N1165" s="55" t="str">
        <f>VLOOKUP(D1165,Pinjaman!$E$7:$N$1900,10,FALSE)</f>
        <v>PRODUKTIF</v>
      </c>
      <c r="O1165" s="55">
        <f>VLOOKUP(B1165,'Data Angt'!$A$5:$H$5810,6,FALSE)</f>
        <v>46</v>
      </c>
      <c r="P1165" s="55" t="str">
        <f>VLOOKUP(B1165,'Data Angt'!$A$5:$H$5810,8,FALSE)</f>
        <v>Wiraswasta</v>
      </c>
    </row>
    <row r="1166" spans="1:16" x14ac:dyDescent="0.3">
      <c r="A1166" s="8">
        <v>1159</v>
      </c>
      <c r="B1166" s="9" t="s">
        <v>5537</v>
      </c>
      <c r="C1166" s="10" t="str">
        <f>VLOOKUP(B1166,'Data Angt'!$A$5:$B$5809,2,FALSE)</f>
        <v>A2445</v>
      </c>
      <c r="D1166" s="12" t="s">
        <v>23368</v>
      </c>
      <c r="E1166" s="13">
        <v>45883</v>
      </c>
      <c r="F1166" s="14">
        <v>45915</v>
      </c>
      <c r="G1166" s="15">
        <v>5000000</v>
      </c>
      <c r="H1166" s="16">
        <v>36</v>
      </c>
      <c r="I1166" s="17">
        <v>24</v>
      </c>
      <c r="J1166" s="15">
        <v>4861100</v>
      </c>
      <c r="K1166" s="98">
        <f t="shared" si="54"/>
        <v>0</v>
      </c>
      <c r="L1166" s="98" t="str">
        <f t="shared" si="55"/>
        <v>Lancar</v>
      </c>
      <c r="M1166" s="5" t="str">
        <f t="shared" si="56"/>
        <v>003</v>
      </c>
      <c r="N1166" s="55" t="str">
        <f>VLOOKUP(D1166,Pinjaman!$E$7:$N$1900,10,FALSE)</f>
        <v>PRODUKTIF</v>
      </c>
      <c r="O1166" s="55">
        <f>VLOOKUP(B1166,'Data Angt'!$A$5:$H$5810,6,FALSE)</f>
        <v>63</v>
      </c>
      <c r="P1166" s="55" t="str">
        <f>VLOOKUP(B1166,'Data Angt'!$A$5:$H$5810,8,FALSE)</f>
        <v>Mengurus Rumah Tangga</v>
      </c>
    </row>
    <row r="1167" spans="1:16" x14ac:dyDescent="0.3">
      <c r="A1167" s="8">
        <v>1160</v>
      </c>
      <c r="B1167" s="9" t="s">
        <v>5614</v>
      </c>
      <c r="C1167" s="10" t="str">
        <f>VLOOKUP(B1167,'Data Angt'!$A$5:$B$5809,2,FALSE)</f>
        <v>A2480</v>
      </c>
      <c r="D1167" s="12" t="s">
        <v>16929</v>
      </c>
      <c r="E1167" s="13">
        <v>45593</v>
      </c>
      <c r="F1167" s="14">
        <v>45922</v>
      </c>
      <c r="G1167" s="15">
        <v>35000000</v>
      </c>
      <c r="H1167" s="16">
        <v>36</v>
      </c>
      <c r="I1167" s="17">
        <v>21</v>
      </c>
      <c r="J1167" s="15">
        <v>24304700</v>
      </c>
      <c r="K1167" s="98">
        <f t="shared" si="54"/>
        <v>0</v>
      </c>
      <c r="L1167" s="98" t="str">
        <f t="shared" si="55"/>
        <v>Lancar</v>
      </c>
      <c r="M1167" s="5" t="str">
        <f t="shared" si="56"/>
        <v>003</v>
      </c>
      <c r="N1167" s="55" t="str">
        <f>VLOOKUP(D1167,Pinjaman!$E$7:$N$1900,10,FALSE)</f>
        <v>PRODUKTIF</v>
      </c>
      <c r="O1167" s="55">
        <f>VLOOKUP(B1167,'Data Angt'!$A$5:$H$5810,6,FALSE)</f>
        <v>63</v>
      </c>
      <c r="P1167" s="55" t="str">
        <f>VLOOKUP(B1167,'Data Angt'!$A$5:$H$5810,8,FALSE)</f>
        <v>Mengurus Rumah Tangga</v>
      </c>
    </row>
    <row r="1168" spans="1:16" x14ac:dyDescent="0.3">
      <c r="A1168" s="8">
        <v>1161</v>
      </c>
      <c r="B1168" s="9" t="s">
        <v>5623</v>
      </c>
      <c r="C1168" s="10" t="str">
        <f>VLOOKUP(B1168,'Data Angt'!$A$5:$B$5809,2,FALSE)</f>
        <v>A2484</v>
      </c>
      <c r="D1168" s="12" t="s">
        <v>16932</v>
      </c>
      <c r="E1168" s="13">
        <v>45708</v>
      </c>
      <c r="F1168" s="14">
        <v>45920</v>
      </c>
      <c r="G1168" s="15">
        <v>4000000</v>
      </c>
      <c r="H1168" s="16">
        <v>12</v>
      </c>
      <c r="I1168" s="17">
        <v>24</v>
      </c>
      <c r="J1168" s="15">
        <v>1666200</v>
      </c>
      <c r="K1168" s="98">
        <f t="shared" si="54"/>
        <v>0</v>
      </c>
      <c r="L1168" s="98" t="str">
        <f t="shared" si="55"/>
        <v>Lancar</v>
      </c>
      <c r="M1168" s="5" t="str">
        <f t="shared" si="56"/>
        <v>003</v>
      </c>
      <c r="N1168" s="55" t="str">
        <f>VLOOKUP(D1168,Pinjaman!$E$7:$N$1900,10,FALSE)</f>
        <v>PENDIDIKAN</v>
      </c>
      <c r="O1168" s="55">
        <f>VLOOKUP(B1168,'Data Angt'!$A$5:$H$5810,6,FALSE)</f>
        <v>42</v>
      </c>
      <c r="P1168" s="55" t="str">
        <f>VLOOKUP(B1168,'Data Angt'!$A$5:$H$5810,8,FALSE)</f>
        <v>Karyawan</v>
      </c>
    </row>
    <row r="1169" spans="1:16" x14ac:dyDescent="0.3">
      <c r="A1169" s="8">
        <v>1162</v>
      </c>
      <c r="B1169" s="9" t="s">
        <v>5633</v>
      </c>
      <c r="C1169" s="10" t="str">
        <f>VLOOKUP(B1169,'Data Angt'!$A$5:$B$5809,2,FALSE)</f>
        <v>A2487</v>
      </c>
      <c r="D1169" s="12" t="s">
        <v>16934</v>
      </c>
      <c r="E1169" s="13">
        <v>45608</v>
      </c>
      <c r="F1169" s="14">
        <v>45912</v>
      </c>
      <c r="G1169" s="15">
        <v>1500000</v>
      </c>
      <c r="H1169" s="16">
        <v>12</v>
      </c>
      <c r="I1169" s="17">
        <v>11.88</v>
      </c>
      <c r="J1169" s="15">
        <v>262800</v>
      </c>
      <c r="K1169" s="98">
        <f t="shared" si="54"/>
        <v>0</v>
      </c>
      <c r="L1169" s="98" t="str">
        <f t="shared" si="55"/>
        <v>Lancar</v>
      </c>
      <c r="M1169" s="5" t="str">
        <f t="shared" si="56"/>
        <v>003</v>
      </c>
      <c r="N1169" s="55" t="str">
        <f>VLOOKUP(D1169,Pinjaman!$E$7:$N$1900,10,FALSE)</f>
        <v>KESEJAHTERAAN</v>
      </c>
      <c r="O1169" s="55">
        <f>VLOOKUP(B1169,'Data Angt'!$A$5:$H$5810,6,FALSE)</f>
        <v>50</v>
      </c>
      <c r="P1169" s="55" t="str">
        <f>VLOOKUP(B1169,'Data Angt'!$A$5:$H$5810,8,FALSE)</f>
        <v>Karyawan</v>
      </c>
    </row>
    <row r="1170" spans="1:16" x14ac:dyDescent="0.3">
      <c r="A1170" s="8">
        <v>1163</v>
      </c>
      <c r="B1170" s="9" t="s">
        <v>5728</v>
      </c>
      <c r="C1170" s="10" t="str">
        <f>VLOOKUP(B1170,'Data Angt'!$A$5:$B$5809,2,FALSE)</f>
        <v>A2527</v>
      </c>
      <c r="D1170" s="12" t="s">
        <v>16937</v>
      </c>
      <c r="E1170" s="13">
        <v>45682</v>
      </c>
      <c r="F1170" s="14">
        <v>45902</v>
      </c>
      <c r="G1170" s="15">
        <v>25000000</v>
      </c>
      <c r="H1170" s="16">
        <v>24</v>
      </c>
      <c r="I1170" s="17">
        <v>21</v>
      </c>
      <c r="J1170" s="15">
        <v>16666400</v>
      </c>
      <c r="K1170" s="98">
        <f t="shared" si="54"/>
        <v>0</v>
      </c>
      <c r="L1170" s="98" t="str">
        <f t="shared" si="55"/>
        <v>Lancar</v>
      </c>
      <c r="M1170" s="5" t="str">
        <f t="shared" si="56"/>
        <v>003</v>
      </c>
      <c r="N1170" s="55" t="str">
        <f>VLOOKUP(D1170,Pinjaman!$E$7:$N$1900,10,FALSE)</f>
        <v>PENDIDIKAN</v>
      </c>
      <c r="O1170" s="55">
        <f>VLOOKUP(B1170,'Data Angt'!$A$5:$H$5810,6,FALSE)</f>
        <v>50</v>
      </c>
      <c r="P1170" s="55" t="str">
        <f>VLOOKUP(B1170,'Data Angt'!$A$5:$H$5810,8,FALSE)</f>
        <v>Mengurus Rumah Tangga</v>
      </c>
    </row>
    <row r="1171" spans="1:16" x14ac:dyDescent="0.3">
      <c r="A1171" s="8">
        <v>1164</v>
      </c>
      <c r="B1171" s="9" t="s">
        <v>5774</v>
      </c>
      <c r="C1171" s="10" t="str">
        <f>VLOOKUP(B1171,'Data Angt'!$A$5:$B$5809,2,FALSE)</f>
        <v>A2546</v>
      </c>
      <c r="D1171" s="12" t="s">
        <v>10458</v>
      </c>
      <c r="E1171" s="13">
        <v>44977</v>
      </c>
      <c r="F1171" s="14">
        <v>45930</v>
      </c>
      <c r="G1171" s="15">
        <v>15000000</v>
      </c>
      <c r="H1171" s="16">
        <v>24</v>
      </c>
      <c r="I1171" s="17">
        <v>24</v>
      </c>
      <c r="J1171" s="15">
        <v>11250000</v>
      </c>
      <c r="K1171" s="98">
        <f t="shared" si="54"/>
        <v>0</v>
      </c>
      <c r="L1171" s="98" t="str">
        <f t="shared" si="55"/>
        <v>Lancar</v>
      </c>
      <c r="M1171" s="5" t="str">
        <f t="shared" si="56"/>
        <v>003</v>
      </c>
      <c r="N1171" s="55" t="str">
        <f>VLOOKUP(D1171,Pinjaman!$E$7:$N$1900,10,FALSE)</f>
        <v>PRODUKTIF</v>
      </c>
      <c r="O1171" s="55">
        <f>VLOOKUP(B1171,'Data Angt'!$A$5:$H$5810,6,FALSE)</f>
        <v>64</v>
      </c>
      <c r="P1171" s="55" t="str">
        <f>VLOOKUP(B1171,'Data Angt'!$A$5:$H$5810,8,FALSE)</f>
        <v>Pensiunan</v>
      </c>
    </row>
    <row r="1172" spans="1:16" x14ac:dyDescent="0.3">
      <c r="A1172" s="8">
        <v>1165</v>
      </c>
      <c r="B1172" s="9" t="s">
        <v>5916</v>
      </c>
      <c r="C1172" s="10" t="str">
        <f>VLOOKUP(B1172,'Data Angt'!$A$5:$B$5809,2,FALSE)</f>
        <v>A2612</v>
      </c>
      <c r="D1172" s="12" t="s">
        <v>16939</v>
      </c>
      <c r="E1172" s="13">
        <v>45822</v>
      </c>
      <c r="F1172" s="14">
        <v>45917</v>
      </c>
      <c r="G1172" s="15">
        <v>7000000</v>
      </c>
      <c r="H1172" s="16">
        <v>12</v>
      </c>
      <c r="I1172" s="17">
        <v>24</v>
      </c>
      <c r="J1172" s="15">
        <v>5249800</v>
      </c>
      <c r="K1172" s="98">
        <f t="shared" si="54"/>
        <v>0</v>
      </c>
      <c r="L1172" s="98" t="str">
        <f t="shared" si="55"/>
        <v>Lancar</v>
      </c>
      <c r="M1172" s="5" t="str">
        <f t="shared" si="56"/>
        <v>003</v>
      </c>
      <c r="N1172" s="55" t="str">
        <f>VLOOKUP(D1172,Pinjaman!$E$7:$N$1900,10,FALSE)</f>
        <v>PRODUKTIF</v>
      </c>
      <c r="O1172" s="55">
        <f>VLOOKUP(B1172,'Data Angt'!$A$5:$H$5810,6,FALSE)</f>
        <v>60</v>
      </c>
      <c r="P1172" s="55" t="str">
        <f>VLOOKUP(B1172,'Data Angt'!$A$5:$H$5810,8,FALSE)</f>
        <v>Wiraswasta</v>
      </c>
    </row>
    <row r="1173" spans="1:16" x14ac:dyDescent="0.3">
      <c r="A1173" s="8">
        <v>1166</v>
      </c>
      <c r="B1173" s="9" t="s">
        <v>5928</v>
      </c>
      <c r="C1173" s="10" t="str">
        <f>VLOOKUP(B1173,'Data Angt'!$A$5:$B$5809,2,FALSE)</f>
        <v>A2617</v>
      </c>
      <c r="D1173" s="12" t="s">
        <v>16941</v>
      </c>
      <c r="E1173" s="13">
        <v>45507</v>
      </c>
      <c r="F1173" s="14">
        <v>45904</v>
      </c>
      <c r="G1173" s="15">
        <v>20000000</v>
      </c>
      <c r="H1173" s="16">
        <v>24</v>
      </c>
      <c r="I1173" s="17">
        <v>24</v>
      </c>
      <c r="J1173" s="15">
        <v>9165800</v>
      </c>
      <c r="K1173" s="98">
        <f t="shared" si="54"/>
        <v>0</v>
      </c>
      <c r="L1173" s="98" t="str">
        <f t="shared" si="55"/>
        <v>Lancar</v>
      </c>
      <c r="M1173" s="5" t="str">
        <f t="shared" si="56"/>
        <v>003</v>
      </c>
      <c r="N1173" s="55" t="str">
        <f>VLOOKUP(D1173,Pinjaman!$E$7:$N$1900,10,FALSE)</f>
        <v>KONSUMTIF</v>
      </c>
      <c r="O1173" s="55">
        <f>VLOOKUP(B1173,'Data Angt'!$A$5:$H$5810,6,FALSE)</f>
        <v>28</v>
      </c>
      <c r="P1173" s="55" t="str">
        <f>VLOOKUP(B1173,'Data Angt'!$A$5:$H$5810,8,FALSE)</f>
        <v>Karyawan</v>
      </c>
    </row>
    <row r="1174" spans="1:16" x14ac:dyDescent="0.3">
      <c r="A1174" s="8">
        <v>1167</v>
      </c>
      <c r="B1174" s="9" t="s">
        <v>5973</v>
      </c>
      <c r="C1174" s="10" t="str">
        <f>VLOOKUP(B1174,'Data Angt'!$A$5:$B$5809,2,FALSE)</f>
        <v>A2638</v>
      </c>
      <c r="D1174" s="12" t="s">
        <v>16944</v>
      </c>
      <c r="E1174" s="13">
        <v>45663</v>
      </c>
      <c r="F1174" s="14">
        <v>45910</v>
      </c>
      <c r="G1174" s="15">
        <v>10000000</v>
      </c>
      <c r="H1174" s="16">
        <v>12</v>
      </c>
      <c r="I1174" s="17">
        <v>24</v>
      </c>
      <c r="J1174" s="15">
        <v>3332800</v>
      </c>
      <c r="K1174" s="98">
        <f t="shared" si="54"/>
        <v>0</v>
      </c>
      <c r="L1174" s="98" t="str">
        <f t="shared" si="55"/>
        <v>Lancar</v>
      </c>
      <c r="M1174" s="5" t="str">
        <f t="shared" si="56"/>
        <v>003</v>
      </c>
      <c r="N1174" s="55" t="str">
        <f>VLOOKUP(D1174,Pinjaman!$E$7:$N$1900,10,FALSE)</f>
        <v>PENDIDIKAN</v>
      </c>
      <c r="O1174" s="55">
        <f>VLOOKUP(B1174,'Data Angt'!$A$5:$H$5810,6,FALSE)</f>
        <v>40</v>
      </c>
      <c r="P1174" s="55" t="str">
        <f>VLOOKUP(B1174,'Data Angt'!$A$5:$H$5810,8,FALSE)</f>
        <v>Tenaga Pengajar</v>
      </c>
    </row>
    <row r="1175" spans="1:16" x14ac:dyDescent="0.3">
      <c r="A1175" s="8">
        <v>1168</v>
      </c>
      <c r="B1175" s="9" t="s">
        <v>6093</v>
      </c>
      <c r="C1175" s="10" t="str">
        <f>VLOOKUP(B1175,'Data Angt'!$A$5:$B$5809,2,FALSE)</f>
        <v>A2697</v>
      </c>
      <c r="D1175" s="12" t="s">
        <v>16946</v>
      </c>
      <c r="E1175" s="13">
        <v>45723</v>
      </c>
      <c r="F1175" s="14">
        <v>45909</v>
      </c>
      <c r="G1175" s="15">
        <v>25000000</v>
      </c>
      <c r="H1175" s="16">
        <v>18</v>
      </c>
      <c r="I1175" s="17">
        <v>21</v>
      </c>
      <c r="J1175" s="15">
        <v>16666600</v>
      </c>
      <c r="K1175" s="98">
        <f t="shared" si="54"/>
        <v>0</v>
      </c>
      <c r="L1175" s="98" t="str">
        <f t="shared" si="55"/>
        <v>Lancar</v>
      </c>
      <c r="M1175" s="5" t="str">
        <f t="shared" si="56"/>
        <v>003</v>
      </c>
      <c r="N1175" s="55" t="str">
        <f>VLOOKUP(D1175,Pinjaman!$E$7:$N$1900,10,FALSE)</f>
        <v>PRODUKTIF</v>
      </c>
      <c r="O1175" s="55">
        <f>VLOOKUP(B1175,'Data Angt'!$A$5:$H$5810,6,FALSE)</f>
        <v>40</v>
      </c>
      <c r="P1175" s="55" t="str">
        <f>VLOOKUP(B1175,'Data Angt'!$A$5:$H$5810,8,FALSE)</f>
        <v>Karyawan</v>
      </c>
    </row>
    <row r="1176" spans="1:16" x14ac:dyDescent="0.3">
      <c r="A1176" s="8">
        <v>1169</v>
      </c>
      <c r="B1176" s="9" t="s">
        <v>6151</v>
      </c>
      <c r="C1176" s="10" t="str">
        <f>VLOOKUP(B1176,'Data Angt'!$A$5:$B$5809,2,FALSE)</f>
        <v>A2724</v>
      </c>
      <c r="D1176" s="12" t="s">
        <v>16948</v>
      </c>
      <c r="E1176" s="13">
        <v>45699</v>
      </c>
      <c r="F1176" s="14">
        <v>45911</v>
      </c>
      <c r="G1176" s="15">
        <v>6500000</v>
      </c>
      <c r="H1176" s="16">
        <v>12</v>
      </c>
      <c r="I1176" s="17">
        <v>24</v>
      </c>
      <c r="J1176" s="15">
        <v>2708100</v>
      </c>
      <c r="K1176" s="98">
        <f t="shared" si="54"/>
        <v>0</v>
      </c>
      <c r="L1176" s="98" t="str">
        <f t="shared" si="55"/>
        <v>Lancar</v>
      </c>
      <c r="M1176" s="5" t="str">
        <f t="shared" si="56"/>
        <v>003</v>
      </c>
      <c r="N1176" s="55" t="str">
        <f>VLOOKUP(D1176,Pinjaman!$E$7:$N$1900,10,FALSE)</f>
        <v>KESEJAHTERAAN</v>
      </c>
      <c r="O1176" s="55">
        <f>VLOOKUP(B1176,'Data Angt'!$A$5:$H$5810,6,FALSE)</f>
        <v>25</v>
      </c>
      <c r="P1176" s="55" t="str">
        <f>VLOOKUP(B1176,'Data Angt'!$A$5:$H$5810,8,FALSE)</f>
        <v>Karyawan</v>
      </c>
    </row>
    <row r="1177" spans="1:16" x14ac:dyDescent="0.3">
      <c r="A1177" s="8">
        <v>1170</v>
      </c>
      <c r="B1177" s="9" t="s">
        <v>6173</v>
      </c>
      <c r="C1177" s="10" t="str">
        <f>VLOOKUP(B1177,'Data Angt'!$A$5:$B$5809,2,FALSE)</f>
        <v>A2736</v>
      </c>
      <c r="D1177" s="12" t="s">
        <v>16951</v>
      </c>
      <c r="E1177" s="13">
        <v>45713</v>
      </c>
      <c r="F1177" s="14">
        <v>45925</v>
      </c>
      <c r="G1177" s="15">
        <v>3500000</v>
      </c>
      <c r="H1177" s="16">
        <v>12</v>
      </c>
      <c r="I1177" s="17">
        <v>11.88</v>
      </c>
      <c r="J1177" s="15">
        <v>1509000</v>
      </c>
      <c r="K1177" s="98">
        <f t="shared" si="54"/>
        <v>0</v>
      </c>
      <c r="L1177" s="98" t="str">
        <f t="shared" si="55"/>
        <v>Lancar</v>
      </c>
      <c r="M1177" s="5" t="str">
        <f t="shared" si="56"/>
        <v>003</v>
      </c>
      <c r="N1177" s="55" t="str">
        <f>VLOOKUP(D1177,Pinjaman!$E$7:$N$1900,10,FALSE)</f>
        <v>KESEJAHTERAAN</v>
      </c>
      <c r="O1177" s="55">
        <f>VLOOKUP(B1177,'Data Angt'!$A$5:$H$5810,6,FALSE)</f>
        <v>39</v>
      </c>
      <c r="P1177" s="55" t="str">
        <f>VLOOKUP(B1177,'Data Angt'!$A$5:$H$5810,8,FALSE)</f>
        <v>Lain-Lain</v>
      </c>
    </row>
    <row r="1178" spans="1:16" x14ac:dyDescent="0.3">
      <c r="A1178" s="8">
        <v>1171</v>
      </c>
      <c r="B1178" s="9" t="s">
        <v>6365</v>
      </c>
      <c r="C1178" s="10" t="str">
        <f>VLOOKUP(B1178,'Data Angt'!$A$5:$B$5809,2,FALSE)</f>
        <v>A2822</v>
      </c>
      <c r="D1178" s="12" t="s">
        <v>23374</v>
      </c>
      <c r="E1178" s="13">
        <v>45859</v>
      </c>
      <c r="F1178" s="14">
        <v>45920</v>
      </c>
      <c r="G1178" s="15">
        <v>5000000</v>
      </c>
      <c r="H1178" s="16">
        <v>12</v>
      </c>
      <c r="I1178" s="17">
        <v>24</v>
      </c>
      <c r="J1178" s="15">
        <v>4166600</v>
      </c>
      <c r="K1178" s="98">
        <f t="shared" si="54"/>
        <v>0</v>
      </c>
      <c r="L1178" s="98" t="str">
        <f t="shared" si="55"/>
        <v>Lancar</v>
      </c>
      <c r="M1178" s="5" t="str">
        <f t="shared" si="56"/>
        <v>003</v>
      </c>
      <c r="N1178" s="55" t="str">
        <f>VLOOKUP(D1178,Pinjaman!$E$7:$N$1900,10,FALSE)</f>
        <v>PRODUKTIF</v>
      </c>
      <c r="O1178" s="55">
        <f>VLOOKUP(B1178,'Data Angt'!$A$5:$H$5810,6,FALSE)</f>
        <v>59</v>
      </c>
      <c r="P1178" s="55" t="str">
        <f>VLOOKUP(B1178,'Data Angt'!$A$5:$H$5810,8,FALSE)</f>
        <v>Karyawan</v>
      </c>
    </row>
    <row r="1179" spans="1:16" x14ac:dyDescent="0.3">
      <c r="A1179" s="8">
        <v>1172</v>
      </c>
      <c r="B1179" s="9" t="s">
        <v>6414</v>
      </c>
      <c r="C1179" s="10" t="str">
        <f>VLOOKUP(B1179,'Data Angt'!$A$5:$B$5809,2,FALSE)</f>
        <v>A2845</v>
      </c>
      <c r="D1179" s="12" t="s">
        <v>16953</v>
      </c>
      <c r="E1179" s="13">
        <v>45721</v>
      </c>
      <c r="F1179" s="14">
        <v>45911</v>
      </c>
      <c r="G1179" s="15">
        <v>8000000</v>
      </c>
      <c r="H1179" s="16">
        <v>18</v>
      </c>
      <c r="I1179" s="17">
        <v>24</v>
      </c>
      <c r="J1179" s="15">
        <v>5333000</v>
      </c>
      <c r="K1179" s="98">
        <f t="shared" si="54"/>
        <v>0</v>
      </c>
      <c r="L1179" s="98" t="str">
        <f t="shared" si="55"/>
        <v>Lancar</v>
      </c>
      <c r="M1179" s="5" t="str">
        <f t="shared" si="56"/>
        <v>003</v>
      </c>
      <c r="N1179" s="55" t="str">
        <f>VLOOKUP(D1179,Pinjaman!$E$7:$N$1900,10,FALSE)</f>
        <v>KESEJAHTERAAN</v>
      </c>
      <c r="O1179" s="55">
        <f>VLOOKUP(B1179,'Data Angt'!$A$5:$H$5810,6,FALSE)</f>
        <v>44</v>
      </c>
      <c r="P1179" s="55" t="str">
        <f>VLOOKUP(B1179,'Data Angt'!$A$5:$H$5810,8,FALSE)</f>
        <v>Wiraswasta</v>
      </c>
    </row>
    <row r="1180" spans="1:16" x14ac:dyDescent="0.3">
      <c r="A1180" s="8">
        <v>1173</v>
      </c>
      <c r="B1180" s="9" t="s">
        <v>6515</v>
      </c>
      <c r="C1180" s="10" t="str">
        <f>VLOOKUP(B1180,'Data Angt'!$A$5:$B$5809,2,FALSE)</f>
        <v>A2893</v>
      </c>
      <c r="D1180" s="12" t="s">
        <v>16955</v>
      </c>
      <c r="E1180" s="13">
        <v>45419</v>
      </c>
      <c r="F1180" s="14">
        <v>45786</v>
      </c>
      <c r="G1180" s="15">
        <v>6000000</v>
      </c>
      <c r="H1180" s="16">
        <v>24</v>
      </c>
      <c r="I1180" s="17">
        <v>24</v>
      </c>
      <c r="J1180" s="15">
        <v>3000000</v>
      </c>
      <c r="K1180" s="98">
        <f t="shared" si="54"/>
        <v>4</v>
      </c>
      <c r="L1180" s="98" t="str">
        <f t="shared" si="55"/>
        <v>Kurang lancar</v>
      </c>
      <c r="M1180" s="5" t="str">
        <f t="shared" si="56"/>
        <v>003</v>
      </c>
      <c r="N1180" s="55" t="str">
        <f>VLOOKUP(D1180,Pinjaman!$E$7:$N$1900,10,FALSE)</f>
        <v>KESEJAHTERAAN</v>
      </c>
      <c r="O1180" s="55">
        <f>VLOOKUP(B1180,'Data Angt'!$A$5:$H$5810,6,FALSE)</f>
        <v>48</v>
      </c>
      <c r="P1180" s="55" t="str">
        <f>VLOOKUP(B1180,'Data Angt'!$A$5:$H$5810,8,FALSE)</f>
        <v>Wiraswasta</v>
      </c>
    </row>
    <row r="1181" spans="1:16" x14ac:dyDescent="0.3">
      <c r="A1181" s="8">
        <v>1174</v>
      </c>
      <c r="B1181" s="9" t="s">
        <v>6577</v>
      </c>
      <c r="C1181" s="10" t="str">
        <f>VLOOKUP(B1181,'Data Angt'!$A$5:$B$5809,2,FALSE)</f>
        <v>A2922</v>
      </c>
      <c r="D1181" s="12" t="s">
        <v>16957</v>
      </c>
      <c r="E1181" s="13">
        <v>45786</v>
      </c>
      <c r="F1181" s="14">
        <v>45909</v>
      </c>
      <c r="G1181" s="15">
        <v>50000000</v>
      </c>
      <c r="H1181" s="16">
        <v>24</v>
      </c>
      <c r="I1181" s="17">
        <v>21</v>
      </c>
      <c r="J1181" s="15">
        <v>41666400</v>
      </c>
      <c r="K1181" s="98">
        <f t="shared" si="54"/>
        <v>0</v>
      </c>
      <c r="L1181" s="98" t="str">
        <f t="shared" si="55"/>
        <v>Lancar</v>
      </c>
      <c r="M1181" s="5" t="str">
        <f t="shared" si="56"/>
        <v>003</v>
      </c>
      <c r="N1181" s="55" t="str">
        <f>VLOOKUP(D1181,Pinjaman!$E$7:$N$1900,10,FALSE)</f>
        <v>KESEJAHTERAAN</v>
      </c>
      <c r="O1181" s="55">
        <f>VLOOKUP(B1181,'Data Angt'!$A$5:$H$5810,6,FALSE)</f>
        <v>39</v>
      </c>
      <c r="P1181" s="55" t="str">
        <f>VLOOKUP(B1181,'Data Angt'!$A$5:$H$5810,8,FALSE)</f>
        <v>Tenaga Pengajar</v>
      </c>
    </row>
    <row r="1182" spans="1:16" x14ac:dyDescent="0.3">
      <c r="A1182" s="8">
        <v>1175</v>
      </c>
      <c r="B1182" s="9" t="s">
        <v>6600</v>
      </c>
      <c r="C1182" s="10" t="str">
        <f>VLOOKUP(B1182,'Data Angt'!$A$5:$B$5809,2,FALSE)</f>
        <v>A2931</v>
      </c>
      <c r="D1182" s="12" t="s">
        <v>16959</v>
      </c>
      <c r="E1182" s="13">
        <v>45682</v>
      </c>
      <c r="F1182" s="14">
        <v>45924</v>
      </c>
      <c r="G1182" s="15">
        <v>4500000</v>
      </c>
      <c r="H1182" s="16">
        <v>12</v>
      </c>
      <c r="I1182" s="17">
        <v>11.88</v>
      </c>
      <c r="J1182" s="15">
        <v>1563400</v>
      </c>
      <c r="K1182" s="98">
        <f t="shared" si="54"/>
        <v>0</v>
      </c>
      <c r="L1182" s="98" t="str">
        <f t="shared" si="55"/>
        <v>Lancar</v>
      </c>
      <c r="M1182" s="5" t="str">
        <f t="shared" si="56"/>
        <v>003</v>
      </c>
      <c r="N1182" s="55" t="str">
        <f>VLOOKUP(D1182,Pinjaman!$E$7:$N$1900,10,FALSE)</f>
        <v>KESEJAHTERAAN</v>
      </c>
      <c r="O1182" s="55">
        <f>VLOOKUP(B1182,'Data Angt'!$A$5:$H$5810,6,FALSE)</f>
        <v>59</v>
      </c>
      <c r="P1182" s="55" t="str">
        <f>VLOOKUP(B1182,'Data Angt'!$A$5:$H$5810,8,FALSE)</f>
        <v>Tenaga Pengajar</v>
      </c>
    </row>
    <row r="1183" spans="1:16" x14ac:dyDescent="0.3">
      <c r="A1183" s="8">
        <v>1176</v>
      </c>
      <c r="B1183" s="9" t="s">
        <v>6633</v>
      </c>
      <c r="C1183" s="10" t="str">
        <f>VLOOKUP(B1183,'Data Angt'!$A$5:$B$5809,2,FALSE)</f>
        <v>A2947</v>
      </c>
      <c r="D1183" s="12" t="s">
        <v>16961</v>
      </c>
      <c r="E1183" s="13">
        <v>45532</v>
      </c>
      <c r="F1183" s="14">
        <v>45929</v>
      </c>
      <c r="G1183" s="15">
        <v>15000000</v>
      </c>
      <c r="H1183" s="16">
        <v>36</v>
      </c>
      <c r="I1183" s="17">
        <v>24</v>
      </c>
      <c r="J1183" s="15">
        <v>9582900</v>
      </c>
      <c r="K1183" s="98">
        <f t="shared" si="54"/>
        <v>0</v>
      </c>
      <c r="L1183" s="98" t="str">
        <f t="shared" si="55"/>
        <v>Lancar</v>
      </c>
      <c r="M1183" s="5" t="str">
        <f t="shared" si="56"/>
        <v>003</v>
      </c>
      <c r="N1183" s="55" t="str">
        <f>VLOOKUP(D1183,Pinjaman!$E$7:$N$1900,10,FALSE)</f>
        <v>KESEJAHTERAAN</v>
      </c>
      <c r="O1183" s="55">
        <f>VLOOKUP(B1183,'Data Angt'!$A$5:$H$5810,6,FALSE)</f>
        <v>44</v>
      </c>
      <c r="P1183" s="55" t="str">
        <f>VLOOKUP(B1183,'Data Angt'!$A$5:$H$5810,8,FALSE)</f>
        <v>Karyawan</v>
      </c>
    </row>
    <row r="1184" spans="1:16" x14ac:dyDescent="0.3">
      <c r="A1184" s="8">
        <v>1177</v>
      </c>
      <c r="B1184" s="9" t="s">
        <v>6706</v>
      </c>
      <c r="C1184" s="10" t="str">
        <f>VLOOKUP(B1184,'Data Angt'!$A$5:$B$5809,2,FALSE)</f>
        <v>A2984</v>
      </c>
      <c r="D1184" s="12" t="s">
        <v>23378</v>
      </c>
      <c r="E1184" s="13">
        <v>45904</v>
      </c>
      <c r="F1184" s="14">
        <v>45904</v>
      </c>
      <c r="G1184" s="15">
        <v>3500000</v>
      </c>
      <c r="H1184" s="16">
        <v>10</v>
      </c>
      <c r="I1184" s="17">
        <v>24</v>
      </c>
      <c r="J1184" s="15">
        <v>3500000</v>
      </c>
      <c r="K1184" s="98">
        <f t="shared" si="54"/>
        <v>0</v>
      </c>
      <c r="L1184" s="98" t="str">
        <f t="shared" si="55"/>
        <v>Lancar</v>
      </c>
      <c r="M1184" s="5" t="str">
        <f t="shared" si="56"/>
        <v>003</v>
      </c>
      <c r="N1184" s="55" t="str">
        <f>VLOOKUP(D1184,Pinjaman!$E$7:$N$1900,10,FALSE)</f>
        <v>PRODUKTIF</v>
      </c>
      <c r="O1184" s="55">
        <f>VLOOKUP(B1184,'Data Angt'!$A$5:$H$5810,6,FALSE)</f>
        <v>32</v>
      </c>
      <c r="P1184" s="55" t="str">
        <f>VLOOKUP(B1184,'Data Angt'!$A$5:$H$5810,8,FALSE)</f>
        <v>Wiraswasta</v>
      </c>
    </row>
    <row r="1185" spans="1:16" x14ac:dyDescent="0.3">
      <c r="A1185" s="8">
        <v>1178</v>
      </c>
      <c r="B1185" s="9" t="s">
        <v>6706</v>
      </c>
      <c r="C1185" s="10" t="str">
        <f>VLOOKUP(B1185,'Data Angt'!$A$5:$B$5809,2,FALSE)</f>
        <v>A2984</v>
      </c>
      <c r="D1185" s="12" t="s">
        <v>16963</v>
      </c>
      <c r="E1185" s="13">
        <v>45734</v>
      </c>
      <c r="F1185" s="14">
        <v>45904</v>
      </c>
      <c r="G1185" s="15">
        <v>5000000</v>
      </c>
      <c r="H1185" s="16">
        <v>10</v>
      </c>
      <c r="I1185" s="17">
        <v>24</v>
      </c>
      <c r="J1185" s="15">
        <v>2000000</v>
      </c>
      <c r="K1185" s="98">
        <f t="shared" si="54"/>
        <v>0</v>
      </c>
      <c r="L1185" s="98" t="str">
        <f t="shared" si="55"/>
        <v>Lancar</v>
      </c>
      <c r="M1185" s="5" t="str">
        <f t="shared" si="56"/>
        <v>003</v>
      </c>
      <c r="N1185" s="55" t="str">
        <f>VLOOKUP(D1185,Pinjaman!$E$7:$N$1900,10,FALSE)</f>
        <v>PRODUKTIF</v>
      </c>
      <c r="O1185" s="55">
        <f>VLOOKUP(B1185,'Data Angt'!$A$5:$H$5810,6,FALSE)</f>
        <v>32</v>
      </c>
      <c r="P1185" s="55" t="str">
        <f>VLOOKUP(B1185,'Data Angt'!$A$5:$H$5810,8,FALSE)</f>
        <v>Wiraswasta</v>
      </c>
    </row>
    <row r="1186" spans="1:16" x14ac:dyDescent="0.3">
      <c r="A1186" s="8">
        <v>1179</v>
      </c>
      <c r="B1186" s="9" t="s">
        <v>6803</v>
      </c>
      <c r="C1186" s="10" t="str">
        <f>VLOOKUP(B1186,'Data Angt'!$A$5:$B$5809,2,FALSE)</f>
        <v>A3028</v>
      </c>
      <c r="D1186" s="12" t="s">
        <v>16966</v>
      </c>
      <c r="E1186" s="13">
        <v>45832</v>
      </c>
      <c r="F1186" s="14">
        <v>45925</v>
      </c>
      <c r="G1186" s="15">
        <v>6000000</v>
      </c>
      <c r="H1186" s="16">
        <v>15</v>
      </c>
      <c r="I1186" s="17">
        <v>24</v>
      </c>
      <c r="J1186" s="15">
        <v>4800000</v>
      </c>
      <c r="K1186" s="98">
        <f t="shared" si="54"/>
        <v>0</v>
      </c>
      <c r="L1186" s="98" t="str">
        <f t="shared" si="55"/>
        <v>Lancar</v>
      </c>
      <c r="M1186" s="5" t="str">
        <f t="shared" si="56"/>
        <v>003</v>
      </c>
      <c r="N1186" s="55" t="str">
        <f>VLOOKUP(D1186,Pinjaman!$E$7:$N$1900,10,FALSE)</f>
        <v>KESEHATAN</v>
      </c>
      <c r="O1186" s="55">
        <f>VLOOKUP(B1186,'Data Angt'!$A$5:$H$5810,6,FALSE)</f>
        <v>69</v>
      </c>
      <c r="P1186" s="55" t="str">
        <f>VLOOKUP(B1186,'Data Angt'!$A$5:$H$5810,8,FALSE)</f>
        <v>Wiraswasta</v>
      </c>
    </row>
    <row r="1187" spans="1:16" x14ac:dyDescent="0.3">
      <c r="A1187" s="8">
        <v>1180</v>
      </c>
      <c r="B1187" s="9" t="s">
        <v>6832</v>
      </c>
      <c r="C1187" s="10" t="str">
        <f>VLOOKUP(B1187,'Data Angt'!$A$5:$B$5809,2,FALSE)</f>
        <v>A3046</v>
      </c>
      <c r="D1187" s="12" t="s">
        <v>23380</v>
      </c>
      <c r="E1187" s="13">
        <v>45866</v>
      </c>
      <c r="F1187" s="14">
        <v>45930</v>
      </c>
      <c r="G1187" s="15">
        <v>3000000</v>
      </c>
      <c r="H1187" s="16">
        <v>12</v>
      </c>
      <c r="I1187" s="17">
        <v>24</v>
      </c>
      <c r="J1187" s="15">
        <v>2500000</v>
      </c>
      <c r="K1187" s="98">
        <f t="shared" si="54"/>
        <v>0</v>
      </c>
      <c r="L1187" s="98" t="str">
        <f t="shared" si="55"/>
        <v>Lancar</v>
      </c>
      <c r="M1187" s="5" t="str">
        <f t="shared" si="56"/>
        <v>003</v>
      </c>
      <c r="N1187" s="55" t="str">
        <f>VLOOKUP(D1187,Pinjaman!$E$7:$N$1900,10,FALSE)</f>
        <v>KESEJAHTERAAN</v>
      </c>
      <c r="O1187" s="55">
        <f>VLOOKUP(B1187,'Data Angt'!$A$5:$H$5810,6,FALSE)</f>
        <v>62</v>
      </c>
      <c r="P1187" s="55" t="str">
        <f>VLOOKUP(B1187,'Data Angt'!$A$5:$H$5810,8,FALSE)</f>
        <v>Mengurus Rumah Tangga</v>
      </c>
    </row>
    <row r="1188" spans="1:16" x14ac:dyDescent="0.3">
      <c r="A1188" s="8">
        <v>1181</v>
      </c>
      <c r="B1188" s="9" t="s">
        <v>6925</v>
      </c>
      <c r="C1188" s="10" t="str">
        <f>VLOOKUP(B1188,'Data Angt'!$A$5:$B$5809,2,FALSE)</f>
        <v>A3094</v>
      </c>
      <c r="D1188" s="12" t="s">
        <v>16968</v>
      </c>
      <c r="E1188" s="13">
        <v>45680</v>
      </c>
      <c r="F1188" s="14">
        <v>45923</v>
      </c>
      <c r="G1188" s="15">
        <v>25000000</v>
      </c>
      <c r="H1188" s="16">
        <v>24</v>
      </c>
      <c r="I1188" s="17">
        <v>21</v>
      </c>
      <c r="J1188" s="15">
        <v>16666400</v>
      </c>
      <c r="K1188" s="98">
        <f t="shared" si="54"/>
        <v>0</v>
      </c>
      <c r="L1188" s="98" t="str">
        <f t="shared" si="55"/>
        <v>Lancar</v>
      </c>
      <c r="M1188" s="5" t="str">
        <f t="shared" si="56"/>
        <v>003</v>
      </c>
      <c r="N1188" s="55" t="str">
        <f>VLOOKUP(D1188,Pinjaman!$E$7:$N$1900,10,FALSE)</f>
        <v>PENDIDIKAN</v>
      </c>
      <c r="O1188" s="55">
        <f>VLOOKUP(B1188,'Data Angt'!$A$5:$H$5810,6,FALSE)</f>
        <v>47</v>
      </c>
      <c r="P1188" s="55" t="str">
        <f>VLOOKUP(B1188,'Data Angt'!$A$5:$H$5810,8,FALSE)</f>
        <v>Karyawan</v>
      </c>
    </row>
    <row r="1189" spans="1:16" x14ac:dyDescent="0.3">
      <c r="A1189" s="8">
        <v>1182</v>
      </c>
      <c r="B1189" s="9" t="s">
        <v>6946</v>
      </c>
      <c r="C1189" s="10" t="str">
        <f>VLOOKUP(B1189,'Data Angt'!$A$5:$B$5809,2,FALSE)</f>
        <v>A3105</v>
      </c>
      <c r="D1189" s="12" t="s">
        <v>16970</v>
      </c>
      <c r="E1189" s="13">
        <v>45489</v>
      </c>
      <c r="F1189" s="14">
        <v>45919</v>
      </c>
      <c r="G1189" s="15">
        <v>10000000</v>
      </c>
      <c r="H1189" s="16">
        <v>48</v>
      </c>
      <c r="I1189" s="17">
        <v>24</v>
      </c>
      <c r="J1189" s="15">
        <v>7082400</v>
      </c>
      <c r="K1189" s="98">
        <f t="shared" si="54"/>
        <v>0</v>
      </c>
      <c r="L1189" s="98" t="str">
        <f t="shared" si="55"/>
        <v>Lancar</v>
      </c>
      <c r="M1189" s="5" t="str">
        <f t="shared" si="56"/>
        <v>003</v>
      </c>
      <c r="N1189" s="55" t="str">
        <f>VLOOKUP(D1189,Pinjaman!$E$7:$N$1900,10,FALSE)</f>
        <v>KESEJAHTERAAN</v>
      </c>
      <c r="O1189" s="55">
        <f>VLOOKUP(B1189,'Data Angt'!$A$5:$H$5810,6,FALSE)</f>
        <v>60</v>
      </c>
      <c r="P1189" s="55" t="str">
        <f>VLOOKUP(B1189,'Data Angt'!$A$5:$H$5810,8,FALSE)</f>
        <v>Mengurus Rumah Tangga</v>
      </c>
    </row>
    <row r="1190" spans="1:16" x14ac:dyDescent="0.3">
      <c r="A1190" s="8">
        <v>1183</v>
      </c>
      <c r="B1190" s="9" t="s">
        <v>7087</v>
      </c>
      <c r="C1190" s="10" t="str">
        <f>VLOOKUP(B1190,'Data Angt'!$A$5:$B$5809,2,FALSE)</f>
        <v>A3170</v>
      </c>
      <c r="D1190" s="12" t="s">
        <v>16972</v>
      </c>
      <c r="E1190" s="13">
        <v>45817</v>
      </c>
      <c r="F1190" s="14">
        <v>45908</v>
      </c>
      <c r="G1190" s="15">
        <v>3000000</v>
      </c>
      <c r="H1190" s="16">
        <v>10</v>
      </c>
      <c r="I1190" s="17">
        <v>24</v>
      </c>
      <c r="J1190" s="15">
        <v>2100000</v>
      </c>
      <c r="K1190" s="98">
        <f t="shared" si="54"/>
        <v>0</v>
      </c>
      <c r="L1190" s="98" t="str">
        <f t="shared" si="55"/>
        <v>Lancar</v>
      </c>
      <c r="M1190" s="5" t="str">
        <f t="shared" si="56"/>
        <v>003</v>
      </c>
      <c r="N1190" s="55" t="str">
        <f>VLOOKUP(D1190,Pinjaman!$E$7:$N$1900,10,FALSE)</f>
        <v>KONSUMTIF</v>
      </c>
      <c r="O1190" s="55">
        <f>VLOOKUP(B1190,'Data Angt'!$A$5:$H$5810,6,FALSE)</f>
        <v>47</v>
      </c>
      <c r="P1190" s="55" t="str">
        <f>VLOOKUP(B1190,'Data Angt'!$A$5:$H$5810,8,FALSE)</f>
        <v>Mengurus Rumah Tangga</v>
      </c>
    </row>
    <row r="1191" spans="1:16" x14ac:dyDescent="0.3">
      <c r="A1191" s="8">
        <v>1184</v>
      </c>
      <c r="B1191" s="9" t="s">
        <v>7297</v>
      </c>
      <c r="C1191" s="10" t="str">
        <f>VLOOKUP(B1191,'Data Angt'!$A$5:$B$5809,2,FALSE)</f>
        <v>A3266</v>
      </c>
      <c r="D1191" s="12" t="s">
        <v>16974</v>
      </c>
      <c r="E1191" s="13">
        <v>45779</v>
      </c>
      <c r="F1191" s="14">
        <v>45902</v>
      </c>
      <c r="G1191" s="15">
        <v>3000000</v>
      </c>
      <c r="H1191" s="16">
        <v>12</v>
      </c>
      <c r="I1191" s="17">
        <v>24</v>
      </c>
      <c r="J1191" s="15">
        <v>2000000</v>
      </c>
      <c r="K1191" s="98">
        <f t="shared" si="54"/>
        <v>0</v>
      </c>
      <c r="L1191" s="98" t="str">
        <f t="shared" si="55"/>
        <v>Lancar</v>
      </c>
      <c r="M1191" s="5" t="str">
        <f t="shared" si="56"/>
        <v>003</v>
      </c>
      <c r="N1191" s="55" t="str">
        <f>VLOOKUP(D1191,Pinjaman!$E$7:$N$1900,10,FALSE)</f>
        <v>PRODUKTIF</v>
      </c>
      <c r="O1191" s="55">
        <f>VLOOKUP(B1191,'Data Angt'!$A$5:$H$5810,6,FALSE)</f>
        <v>65</v>
      </c>
      <c r="P1191" s="55" t="str">
        <f>VLOOKUP(B1191,'Data Angt'!$A$5:$H$5810,8,FALSE)</f>
        <v>Wiraswasta</v>
      </c>
    </row>
    <row r="1192" spans="1:16" x14ac:dyDescent="0.3">
      <c r="A1192" s="8">
        <v>1185</v>
      </c>
      <c r="B1192" s="9" t="s">
        <v>7347</v>
      </c>
      <c r="C1192" s="10" t="str">
        <f>VLOOKUP(B1192,'Data Angt'!$A$5:$B$5809,2,FALSE)</f>
        <v>A3286</v>
      </c>
      <c r="D1192" s="12" t="s">
        <v>16977</v>
      </c>
      <c r="E1192" s="13">
        <v>45608</v>
      </c>
      <c r="F1192" s="14">
        <v>45930</v>
      </c>
      <c r="G1192" s="15">
        <v>10000000</v>
      </c>
      <c r="H1192" s="16">
        <v>18</v>
      </c>
      <c r="I1192" s="17">
        <v>24</v>
      </c>
      <c r="J1192" s="15">
        <v>4444000</v>
      </c>
      <c r="K1192" s="98">
        <f t="shared" si="54"/>
        <v>0</v>
      </c>
      <c r="L1192" s="98" t="str">
        <f t="shared" si="55"/>
        <v>Lancar</v>
      </c>
      <c r="M1192" s="5" t="str">
        <f t="shared" si="56"/>
        <v>003</v>
      </c>
      <c r="N1192" s="55" t="str">
        <f>VLOOKUP(D1192,Pinjaman!$E$7:$N$1900,10,FALSE)</f>
        <v>PRODUKTIF</v>
      </c>
      <c r="O1192" s="55">
        <f>VLOOKUP(B1192,'Data Angt'!$A$5:$H$5810,6,FALSE)</f>
        <v>74</v>
      </c>
      <c r="P1192" s="55" t="str">
        <f>VLOOKUP(B1192,'Data Angt'!$A$5:$H$5810,8,FALSE)</f>
        <v>Wiraswasta</v>
      </c>
    </row>
    <row r="1193" spans="1:16" x14ac:dyDescent="0.3">
      <c r="A1193" s="8">
        <v>1186</v>
      </c>
      <c r="B1193" s="9" t="s">
        <v>7364</v>
      </c>
      <c r="C1193" s="10" t="str">
        <f>VLOOKUP(B1193,'Data Angt'!$A$5:$B$5809,2,FALSE)</f>
        <v>A3293</v>
      </c>
      <c r="D1193" s="12" t="s">
        <v>23383</v>
      </c>
      <c r="E1193" s="13">
        <v>45913</v>
      </c>
      <c r="F1193" s="14">
        <v>45913</v>
      </c>
      <c r="G1193" s="15">
        <v>3000000</v>
      </c>
      <c r="H1193" s="16">
        <v>12</v>
      </c>
      <c r="I1193" s="17">
        <v>24</v>
      </c>
      <c r="J1193" s="15">
        <v>3000000</v>
      </c>
      <c r="K1193" s="98">
        <f t="shared" si="54"/>
        <v>0</v>
      </c>
      <c r="L1193" s="98" t="str">
        <f t="shared" si="55"/>
        <v>Lancar</v>
      </c>
      <c r="M1193" s="5" t="str">
        <f t="shared" si="56"/>
        <v>003</v>
      </c>
      <c r="N1193" s="55" t="str">
        <f>VLOOKUP(D1193,Pinjaman!$E$7:$N$1900,10,FALSE)</f>
        <v>PRODUKTIF</v>
      </c>
      <c r="O1193" s="55">
        <f>VLOOKUP(B1193,'Data Angt'!$A$5:$H$5810,6,FALSE)</f>
        <v>56</v>
      </c>
      <c r="P1193" s="55" t="str">
        <f>VLOOKUP(B1193,'Data Angt'!$A$5:$H$5810,8,FALSE)</f>
        <v>Wiraswasta</v>
      </c>
    </row>
    <row r="1194" spans="1:16" x14ac:dyDescent="0.3">
      <c r="A1194" s="8">
        <v>1187</v>
      </c>
      <c r="B1194" s="9" t="s">
        <v>7397</v>
      </c>
      <c r="C1194" s="10" t="str">
        <f>VLOOKUP(B1194,'Data Angt'!$A$5:$B$5809,2,FALSE)</f>
        <v>A3307</v>
      </c>
      <c r="D1194" s="12" t="s">
        <v>10464</v>
      </c>
      <c r="E1194" s="13">
        <v>45055</v>
      </c>
      <c r="F1194" s="14">
        <v>45909</v>
      </c>
      <c r="G1194" s="15">
        <v>30000000</v>
      </c>
      <c r="H1194" s="16">
        <v>48</v>
      </c>
      <c r="I1194" s="17">
        <v>21</v>
      </c>
      <c r="J1194" s="15">
        <v>12500000</v>
      </c>
      <c r="K1194" s="98">
        <f t="shared" si="54"/>
        <v>0</v>
      </c>
      <c r="L1194" s="98" t="str">
        <f t="shared" si="55"/>
        <v>Lancar</v>
      </c>
      <c r="M1194" s="5" t="str">
        <f t="shared" si="56"/>
        <v>003</v>
      </c>
      <c r="N1194" s="55" t="str">
        <f>VLOOKUP(D1194,Pinjaman!$E$7:$N$1900,10,FALSE)</f>
        <v>PRODUKTIF</v>
      </c>
      <c r="O1194" s="55">
        <f>VLOOKUP(B1194,'Data Angt'!$A$5:$H$5810,6,FALSE)</f>
        <v>53</v>
      </c>
      <c r="P1194" s="55" t="str">
        <f>VLOOKUP(B1194,'Data Angt'!$A$5:$H$5810,8,FALSE)</f>
        <v>Wiraswasta</v>
      </c>
    </row>
    <row r="1195" spans="1:16" x14ac:dyDescent="0.3">
      <c r="A1195" s="8">
        <v>1188</v>
      </c>
      <c r="B1195" s="9" t="s">
        <v>7462</v>
      </c>
      <c r="C1195" s="10" t="str">
        <f>VLOOKUP(B1195,'Data Angt'!$A$5:$B$5809,2,FALSE)</f>
        <v>A3339</v>
      </c>
      <c r="D1195" s="12" t="s">
        <v>16980</v>
      </c>
      <c r="E1195" s="13">
        <v>45428</v>
      </c>
      <c r="F1195" s="14">
        <v>45930</v>
      </c>
      <c r="G1195" s="15">
        <v>10000000</v>
      </c>
      <c r="H1195" s="16">
        <v>10</v>
      </c>
      <c r="I1195" s="17">
        <v>24</v>
      </c>
      <c r="J1195" s="15">
        <v>2000000</v>
      </c>
      <c r="K1195" s="98">
        <f t="shared" si="54"/>
        <v>0</v>
      </c>
      <c r="L1195" s="98" t="str">
        <f t="shared" si="55"/>
        <v>Lancar</v>
      </c>
      <c r="M1195" s="5" t="str">
        <f t="shared" si="56"/>
        <v>003</v>
      </c>
      <c r="N1195" s="55" t="str">
        <f>VLOOKUP(D1195,Pinjaman!$E$7:$N$1900,10,FALSE)</f>
        <v>PRODUKTIF</v>
      </c>
      <c r="O1195" s="55">
        <f>VLOOKUP(B1195,'Data Angt'!$A$5:$H$5810,6,FALSE)</f>
        <v>40</v>
      </c>
      <c r="P1195" s="55" t="str">
        <f>VLOOKUP(B1195,'Data Angt'!$A$5:$H$5810,8,FALSE)</f>
        <v>Mengurus Rumah Tangga</v>
      </c>
    </row>
    <row r="1196" spans="1:16" x14ac:dyDescent="0.3">
      <c r="A1196" s="8">
        <v>1189</v>
      </c>
      <c r="B1196" s="9" t="s">
        <v>7498</v>
      </c>
      <c r="C1196" s="10" t="str">
        <f>VLOOKUP(B1196,'Data Angt'!$A$5:$B$5809,2,FALSE)</f>
        <v>A3358</v>
      </c>
      <c r="D1196" s="12" t="s">
        <v>23387</v>
      </c>
      <c r="E1196" s="13">
        <v>45915</v>
      </c>
      <c r="F1196" s="14">
        <v>45915</v>
      </c>
      <c r="G1196" s="15">
        <v>40000000</v>
      </c>
      <c r="H1196" s="16">
        <v>48</v>
      </c>
      <c r="I1196" s="17">
        <v>21</v>
      </c>
      <c r="J1196" s="15">
        <v>40000000</v>
      </c>
      <c r="K1196" s="98">
        <f t="shared" si="54"/>
        <v>0</v>
      </c>
      <c r="L1196" s="98" t="str">
        <f t="shared" si="55"/>
        <v>Lancar</v>
      </c>
      <c r="M1196" s="5" t="str">
        <f t="shared" si="56"/>
        <v>003</v>
      </c>
      <c r="N1196" s="55" t="str">
        <f>VLOOKUP(D1196,Pinjaman!$E$7:$N$1900,10,FALSE)</f>
        <v>KESEJAHTERAAN</v>
      </c>
      <c r="O1196" s="55">
        <f>VLOOKUP(B1196,'Data Angt'!$A$5:$H$5810,6,FALSE)</f>
        <v>67</v>
      </c>
      <c r="P1196" s="55" t="str">
        <f>VLOOKUP(B1196,'Data Angt'!$A$5:$H$5810,8,FALSE)</f>
        <v>Wiraswasta</v>
      </c>
    </row>
    <row r="1197" spans="1:16" x14ac:dyDescent="0.3">
      <c r="A1197" s="8">
        <v>1190</v>
      </c>
      <c r="B1197" s="9" t="s">
        <v>7514</v>
      </c>
      <c r="C1197" s="10" t="str">
        <f>VLOOKUP(B1197,'Data Angt'!$A$5:$B$5809,2,FALSE)</f>
        <v>A3364</v>
      </c>
      <c r="D1197" s="12" t="s">
        <v>16982</v>
      </c>
      <c r="E1197" s="13">
        <v>45804</v>
      </c>
      <c r="F1197" s="14">
        <v>45927</v>
      </c>
      <c r="G1197" s="15">
        <v>1500000</v>
      </c>
      <c r="H1197" s="16">
        <v>10</v>
      </c>
      <c r="I1197" s="17">
        <v>24</v>
      </c>
      <c r="J1197" s="15">
        <v>900000</v>
      </c>
      <c r="K1197" s="98">
        <f t="shared" si="54"/>
        <v>0</v>
      </c>
      <c r="L1197" s="98" t="str">
        <f t="shared" si="55"/>
        <v>Lancar</v>
      </c>
      <c r="M1197" s="5" t="str">
        <f t="shared" si="56"/>
        <v>003</v>
      </c>
      <c r="N1197" s="55" t="str">
        <f>VLOOKUP(D1197,Pinjaman!$E$7:$N$1900,10,FALSE)</f>
        <v>KONSUMTIF</v>
      </c>
      <c r="O1197" s="55">
        <f>VLOOKUP(B1197,'Data Angt'!$A$5:$H$5810,6,FALSE)</f>
        <v>32</v>
      </c>
      <c r="P1197" s="55" t="str">
        <f>VLOOKUP(B1197,'Data Angt'!$A$5:$H$5810,8,FALSE)</f>
        <v>Tenaga Pengajar</v>
      </c>
    </row>
    <row r="1198" spans="1:16" x14ac:dyDescent="0.3">
      <c r="A1198" s="8">
        <v>1191</v>
      </c>
      <c r="B1198" s="9" t="s">
        <v>7874</v>
      </c>
      <c r="C1198" s="10" t="str">
        <f>VLOOKUP(B1198,'Data Angt'!$A$5:$B$5809,2,FALSE)</f>
        <v>A3540</v>
      </c>
      <c r="D1198" s="12" t="s">
        <v>16984</v>
      </c>
      <c r="E1198" s="13">
        <v>45764</v>
      </c>
      <c r="F1198" s="14">
        <v>45918</v>
      </c>
      <c r="G1198" s="15">
        <v>3000000</v>
      </c>
      <c r="H1198" s="16">
        <v>12</v>
      </c>
      <c r="I1198" s="17">
        <v>24</v>
      </c>
      <c r="J1198" s="15">
        <v>1750000</v>
      </c>
      <c r="K1198" s="98">
        <f t="shared" si="54"/>
        <v>0</v>
      </c>
      <c r="L1198" s="98" t="str">
        <f t="shared" si="55"/>
        <v>Lancar</v>
      </c>
      <c r="M1198" s="5" t="str">
        <f t="shared" si="56"/>
        <v>003</v>
      </c>
      <c r="N1198" s="55" t="str">
        <f>VLOOKUP(D1198,Pinjaman!$E$7:$N$1900,10,FALSE)</f>
        <v>KONSUMTIF</v>
      </c>
      <c r="O1198" s="55">
        <f>VLOOKUP(B1198,'Data Angt'!$A$5:$H$5810,6,FALSE)</f>
        <v>39</v>
      </c>
      <c r="P1198" s="55" t="str">
        <f>VLOOKUP(B1198,'Data Angt'!$A$5:$H$5810,8,FALSE)</f>
        <v>Tenaga Pengajar</v>
      </c>
    </row>
    <row r="1199" spans="1:16" x14ac:dyDescent="0.3">
      <c r="A1199" s="8">
        <v>1192</v>
      </c>
      <c r="B1199" s="9" t="s">
        <v>7887</v>
      </c>
      <c r="C1199" s="10" t="str">
        <f>VLOOKUP(B1199,'Data Angt'!$A$5:$B$5809,2,FALSE)</f>
        <v>A3550</v>
      </c>
      <c r="D1199" s="12" t="s">
        <v>16987</v>
      </c>
      <c r="E1199" s="13">
        <v>45462</v>
      </c>
      <c r="F1199" s="14">
        <v>45919</v>
      </c>
      <c r="G1199" s="15">
        <v>3000000</v>
      </c>
      <c r="H1199" s="16">
        <v>24</v>
      </c>
      <c r="I1199" s="17">
        <v>24</v>
      </c>
      <c r="J1199" s="15">
        <v>1125000</v>
      </c>
      <c r="K1199" s="98">
        <f t="shared" si="54"/>
        <v>0</v>
      </c>
      <c r="L1199" s="98" t="str">
        <f t="shared" si="55"/>
        <v>Lancar</v>
      </c>
      <c r="M1199" s="5" t="str">
        <f t="shared" si="56"/>
        <v>003</v>
      </c>
      <c r="N1199" s="55" t="str">
        <f>VLOOKUP(D1199,Pinjaman!$E$7:$N$1900,10,FALSE)</f>
        <v>PENDIDIKAN</v>
      </c>
      <c r="O1199" s="55">
        <f>VLOOKUP(B1199,'Data Angt'!$A$5:$H$5810,6,FALSE)</f>
        <v>43</v>
      </c>
      <c r="P1199" s="55" t="str">
        <f>VLOOKUP(B1199,'Data Angt'!$A$5:$H$5810,8,FALSE)</f>
        <v>Mengurus Rumah Tangga</v>
      </c>
    </row>
    <row r="1200" spans="1:16" x14ac:dyDescent="0.3">
      <c r="A1200" s="8">
        <v>1193</v>
      </c>
      <c r="B1200" s="9" t="s">
        <v>7910</v>
      </c>
      <c r="C1200" s="10" t="str">
        <f>VLOOKUP(B1200,'Data Angt'!$A$5:$B$5809,2,FALSE)</f>
        <v>A3564</v>
      </c>
      <c r="D1200" s="12" t="s">
        <v>16989</v>
      </c>
      <c r="E1200" s="13">
        <v>45467</v>
      </c>
      <c r="F1200" s="14">
        <v>45925</v>
      </c>
      <c r="G1200" s="15">
        <v>8500000</v>
      </c>
      <c r="H1200" s="16">
        <v>30</v>
      </c>
      <c r="I1200" s="17">
        <v>24</v>
      </c>
      <c r="J1200" s="15">
        <v>4249000</v>
      </c>
      <c r="K1200" s="98">
        <f t="shared" si="54"/>
        <v>0</v>
      </c>
      <c r="L1200" s="98" t="str">
        <f t="shared" si="55"/>
        <v>Lancar</v>
      </c>
      <c r="M1200" s="5" t="str">
        <f t="shared" si="56"/>
        <v>003</v>
      </c>
      <c r="N1200" s="55" t="str">
        <f>VLOOKUP(D1200,Pinjaman!$E$7:$N$1900,10,FALSE)</f>
        <v>PENDIDIKAN</v>
      </c>
      <c r="O1200" s="55">
        <f>VLOOKUP(B1200,'Data Angt'!$A$5:$H$5810,6,FALSE)</f>
        <v>49</v>
      </c>
      <c r="P1200" s="55" t="str">
        <f>VLOOKUP(B1200,'Data Angt'!$A$5:$H$5810,8,FALSE)</f>
        <v>Tenaga Pengajar</v>
      </c>
    </row>
    <row r="1201" spans="1:16" x14ac:dyDescent="0.3">
      <c r="A1201" s="8">
        <v>1194</v>
      </c>
      <c r="B1201" s="9" t="s">
        <v>7921</v>
      </c>
      <c r="C1201" s="10" t="str">
        <f>VLOOKUP(B1201,'Data Angt'!$A$5:$B$5809,2,FALSE)</f>
        <v>A3570</v>
      </c>
      <c r="D1201" s="12" t="s">
        <v>23390</v>
      </c>
      <c r="E1201" s="13">
        <v>45866</v>
      </c>
      <c r="F1201" s="14">
        <v>45929</v>
      </c>
      <c r="G1201" s="15">
        <v>500000000</v>
      </c>
      <c r="H1201" s="16">
        <v>120</v>
      </c>
      <c r="I1201" s="17">
        <v>11.4</v>
      </c>
      <c r="J1201" s="15">
        <v>495476300</v>
      </c>
      <c r="K1201" s="98">
        <f t="shared" si="54"/>
        <v>0</v>
      </c>
      <c r="L1201" s="98" t="str">
        <f t="shared" si="55"/>
        <v>Lancar</v>
      </c>
      <c r="M1201" s="5" t="str">
        <f t="shared" si="56"/>
        <v>003</v>
      </c>
      <c r="N1201" s="55" t="str">
        <f>VLOOKUP(D1201,Pinjaman!$E$7:$N$1900,10,FALSE)</f>
        <v>KESEJAHTERAAN</v>
      </c>
      <c r="O1201" s="55">
        <f>VLOOKUP(B1201,'Data Angt'!$A$5:$H$5810,6,FALSE)</f>
        <v>47</v>
      </c>
      <c r="P1201" s="55" t="str">
        <f>VLOOKUP(B1201,'Data Angt'!$A$5:$H$5810,8,FALSE)</f>
        <v>Karyawan</v>
      </c>
    </row>
    <row r="1202" spans="1:16" x14ac:dyDescent="0.3">
      <c r="A1202" s="8">
        <v>1195</v>
      </c>
      <c r="B1202" s="9" t="s">
        <v>7985</v>
      </c>
      <c r="C1202" s="10" t="str">
        <f>VLOOKUP(B1202,'Data Angt'!$A$5:$B$5809,2,FALSE)</f>
        <v>A3600</v>
      </c>
      <c r="D1202" s="12" t="s">
        <v>16991</v>
      </c>
      <c r="E1202" s="13">
        <v>45822</v>
      </c>
      <c r="F1202" s="14">
        <v>45925</v>
      </c>
      <c r="G1202" s="15">
        <v>30000000</v>
      </c>
      <c r="H1202" s="16">
        <v>48</v>
      </c>
      <c r="I1202" s="17">
        <v>18</v>
      </c>
      <c r="J1202" s="15">
        <v>28125000</v>
      </c>
      <c r="K1202" s="98">
        <f t="shared" si="54"/>
        <v>0</v>
      </c>
      <c r="L1202" s="98" t="str">
        <f t="shared" si="55"/>
        <v>Lancar</v>
      </c>
      <c r="M1202" s="5" t="str">
        <f t="shared" si="56"/>
        <v>003</v>
      </c>
      <c r="N1202" s="55" t="str">
        <f>VLOOKUP(D1202,Pinjaman!$E$7:$N$1900,10,FALSE)</f>
        <v>KONSUMTIF</v>
      </c>
      <c r="O1202" s="55">
        <f>VLOOKUP(B1202,'Data Angt'!$A$5:$H$5810,6,FALSE)</f>
        <v>26</v>
      </c>
      <c r="P1202" s="55" t="str">
        <f>VLOOKUP(B1202,'Data Angt'!$A$5:$H$5810,8,FALSE)</f>
        <v>Karyawan</v>
      </c>
    </row>
    <row r="1203" spans="1:16" x14ac:dyDescent="0.3">
      <c r="A1203" s="8">
        <v>1196</v>
      </c>
      <c r="B1203" s="9" t="s">
        <v>8032</v>
      </c>
      <c r="C1203" s="10" t="str">
        <f>VLOOKUP(B1203,'Data Angt'!$A$5:$B$5809,2,FALSE)</f>
        <v>A3622</v>
      </c>
      <c r="D1203" s="12" t="s">
        <v>10467</v>
      </c>
      <c r="E1203" s="13">
        <v>45162</v>
      </c>
      <c r="F1203" s="14">
        <v>45924</v>
      </c>
      <c r="G1203" s="15">
        <v>15000000</v>
      </c>
      <c r="H1203" s="16">
        <v>48</v>
      </c>
      <c r="I1203" s="17">
        <v>24</v>
      </c>
      <c r="J1203" s="15">
        <v>7187500</v>
      </c>
      <c r="K1203" s="98">
        <f t="shared" si="54"/>
        <v>0</v>
      </c>
      <c r="L1203" s="98" t="str">
        <f t="shared" si="55"/>
        <v>Lancar</v>
      </c>
      <c r="M1203" s="5" t="str">
        <f t="shared" si="56"/>
        <v>003</v>
      </c>
      <c r="N1203" s="55" t="str">
        <f>VLOOKUP(D1203,Pinjaman!$E$7:$N$1900,10,FALSE)</f>
        <v>PRODUKTIF</v>
      </c>
      <c r="O1203" s="55">
        <f>VLOOKUP(B1203,'Data Angt'!$A$5:$H$5810,6,FALSE)</f>
        <v>39</v>
      </c>
      <c r="P1203" s="55" t="str">
        <f>VLOOKUP(B1203,'Data Angt'!$A$5:$H$5810,8,FALSE)</f>
        <v>Mengurus Rumah Tangga</v>
      </c>
    </row>
    <row r="1204" spans="1:16" x14ac:dyDescent="0.3">
      <c r="A1204" s="8">
        <v>1197</v>
      </c>
      <c r="B1204" s="9" t="s">
        <v>8132</v>
      </c>
      <c r="C1204" s="10" t="str">
        <f>VLOOKUP(B1204,'Data Angt'!$A$5:$B$5809,2,FALSE)</f>
        <v>A3681</v>
      </c>
      <c r="D1204" s="12" t="s">
        <v>10470</v>
      </c>
      <c r="E1204" s="13">
        <v>45198</v>
      </c>
      <c r="F1204" s="14">
        <v>45930</v>
      </c>
      <c r="G1204" s="15">
        <v>150000000</v>
      </c>
      <c r="H1204" s="16">
        <v>120</v>
      </c>
      <c r="I1204" s="17">
        <v>11.4</v>
      </c>
      <c r="J1204" s="15">
        <v>131890900</v>
      </c>
      <c r="K1204" s="98">
        <f t="shared" si="54"/>
        <v>0</v>
      </c>
      <c r="L1204" s="98" t="str">
        <f t="shared" si="55"/>
        <v>Lancar</v>
      </c>
      <c r="M1204" s="5" t="str">
        <f t="shared" si="56"/>
        <v>003</v>
      </c>
      <c r="N1204" s="55" t="str">
        <f>VLOOKUP(D1204,Pinjaman!$E$7:$N$1900,10,FALSE)</f>
        <v>KESEJAHTERAAN</v>
      </c>
      <c r="O1204" s="55">
        <f>VLOOKUP(B1204,'Data Angt'!$A$5:$H$5810,6,FALSE)</f>
        <v>35</v>
      </c>
      <c r="P1204" s="55" t="str">
        <f>VLOOKUP(B1204,'Data Angt'!$A$5:$H$5810,8,FALSE)</f>
        <v>Karyawan</v>
      </c>
    </row>
    <row r="1205" spans="1:16" x14ac:dyDescent="0.3">
      <c r="A1205" s="8">
        <v>1198</v>
      </c>
      <c r="B1205" s="9" t="s">
        <v>8136</v>
      </c>
      <c r="C1205" s="10" t="str">
        <f>VLOOKUP(B1205,'Data Angt'!$A$5:$B$5809,2,FALSE)</f>
        <v>A3684</v>
      </c>
      <c r="D1205" s="12" t="s">
        <v>16993</v>
      </c>
      <c r="E1205" s="13">
        <v>45710</v>
      </c>
      <c r="F1205" s="14">
        <v>45919</v>
      </c>
      <c r="G1205" s="15">
        <v>8500000</v>
      </c>
      <c r="H1205" s="16">
        <v>24</v>
      </c>
      <c r="I1205" s="17">
        <v>24</v>
      </c>
      <c r="J1205" s="15">
        <v>6020600</v>
      </c>
      <c r="K1205" s="98">
        <f t="shared" si="54"/>
        <v>0</v>
      </c>
      <c r="L1205" s="98" t="str">
        <f t="shared" si="55"/>
        <v>Lancar</v>
      </c>
      <c r="M1205" s="5" t="str">
        <f t="shared" si="56"/>
        <v>003</v>
      </c>
      <c r="N1205" s="55" t="str">
        <f>VLOOKUP(D1205,Pinjaman!$E$7:$N$1900,10,FALSE)</f>
        <v>PRODUKTIF</v>
      </c>
      <c r="O1205" s="55">
        <f>VLOOKUP(B1205,'Data Angt'!$A$5:$H$5810,6,FALSE)</f>
        <v>55</v>
      </c>
      <c r="P1205" s="55" t="str">
        <f>VLOOKUP(B1205,'Data Angt'!$A$5:$H$5810,8,FALSE)</f>
        <v>Wiraswasta</v>
      </c>
    </row>
    <row r="1206" spans="1:16" x14ac:dyDescent="0.3">
      <c r="A1206" s="8">
        <v>1199</v>
      </c>
      <c r="B1206" s="9" t="s">
        <v>8268</v>
      </c>
      <c r="C1206" s="10" t="str">
        <f>VLOOKUP(B1206,'Data Angt'!$A$5:$B$5809,2,FALSE)</f>
        <v>A3746</v>
      </c>
      <c r="D1206" s="12" t="s">
        <v>16995</v>
      </c>
      <c r="E1206" s="13">
        <v>45376</v>
      </c>
      <c r="F1206" s="14">
        <v>45902</v>
      </c>
      <c r="G1206" s="15">
        <v>10000000</v>
      </c>
      <c r="H1206" s="16">
        <v>24</v>
      </c>
      <c r="I1206" s="17">
        <v>12</v>
      </c>
      <c r="J1206" s="15">
        <v>2727600</v>
      </c>
      <c r="K1206" s="98">
        <f t="shared" si="54"/>
        <v>0</v>
      </c>
      <c r="L1206" s="98" t="str">
        <f t="shared" si="55"/>
        <v>Lancar</v>
      </c>
      <c r="M1206" s="5" t="str">
        <f t="shared" si="56"/>
        <v>003</v>
      </c>
      <c r="N1206" s="55" t="str">
        <f>VLOOKUP(D1206,Pinjaman!$E$7:$N$1900,10,FALSE)</f>
        <v>PRODUKTIF</v>
      </c>
      <c r="O1206" s="55">
        <f>VLOOKUP(B1206,'Data Angt'!$A$5:$H$5810,6,FALSE)</f>
        <v>45</v>
      </c>
      <c r="P1206" s="55" t="str">
        <f>VLOOKUP(B1206,'Data Angt'!$A$5:$H$5810,8,FALSE)</f>
        <v>Wiraswasta</v>
      </c>
    </row>
    <row r="1207" spans="1:16" x14ac:dyDescent="0.3">
      <c r="A1207" s="8">
        <v>1200</v>
      </c>
      <c r="B1207" s="9" t="s">
        <v>8389</v>
      </c>
      <c r="C1207" s="10" t="str">
        <f>VLOOKUP(B1207,'Data Angt'!$A$5:$B$5809,2,FALSE)</f>
        <v>A3802</v>
      </c>
      <c r="D1207" s="12" t="s">
        <v>10472</v>
      </c>
      <c r="E1207" s="13">
        <v>44813</v>
      </c>
      <c r="F1207" s="14">
        <v>45199</v>
      </c>
      <c r="G1207" s="15">
        <v>10000000</v>
      </c>
      <c r="H1207" s="16">
        <v>36</v>
      </c>
      <c r="I1207" s="17">
        <v>24</v>
      </c>
      <c r="J1207" s="15">
        <v>6944200</v>
      </c>
      <c r="K1207" s="98">
        <f t="shared" si="54"/>
        <v>24</v>
      </c>
      <c r="L1207" s="98" t="str">
        <f t="shared" si="55"/>
        <v>Macet</v>
      </c>
      <c r="M1207" s="5" t="str">
        <f t="shared" si="56"/>
        <v>003</v>
      </c>
      <c r="N1207" s="55" t="str">
        <f>VLOOKUP(D1207,Pinjaman!$E$7:$N$1900,10,FALSE)</f>
        <v>PRODUKTIF</v>
      </c>
      <c r="O1207" s="55">
        <f>VLOOKUP(B1207,'Data Angt'!$A$5:$H$5810,6,FALSE)</f>
        <v>38</v>
      </c>
      <c r="P1207" s="55" t="str">
        <f>VLOOKUP(B1207,'Data Angt'!$A$5:$H$5810,8,FALSE)</f>
        <v>Wiraswasta</v>
      </c>
    </row>
    <row r="1208" spans="1:16" x14ac:dyDescent="0.3">
      <c r="A1208" s="8">
        <v>1201</v>
      </c>
      <c r="B1208" s="9" t="s">
        <v>8416</v>
      </c>
      <c r="C1208" s="10" t="str">
        <f>VLOOKUP(B1208,'Data Angt'!$A$5:$B$5809,2,FALSE)</f>
        <v>A3815</v>
      </c>
      <c r="D1208" s="12" t="s">
        <v>16997</v>
      </c>
      <c r="E1208" s="13">
        <v>45693</v>
      </c>
      <c r="F1208" s="14">
        <v>45904</v>
      </c>
      <c r="G1208" s="15">
        <v>4000000</v>
      </c>
      <c r="H1208" s="16">
        <v>24</v>
      </c>
      <c r="I1208" s="17">
        <v>24</v>
      </c>
      <c r="J1208" s="15">
        <v>2833100</v>
      </c>
      <c r="K1208" s="98">
        <f t="shared" si="54"/>
        <v>0</v>
      </c>
      <c r="L1208" s="98" t="str">
        <f t="shared" si="55"/>
        <v>Lancar</v>
      </c>
      <c r="M1208" s="5" t="str">
        <f t="shared" si="56"/>
        <v>003</v>
      </c>
      <c r="N1208" s="55" t="str">
        <f>VLOOKUP(D1208,Pinjaman!$E$7:$N$1900,10,FALSE)</f>
        <v>KONSUMTIF</v>
      </c>
      <c r="O1208" s="55">
        <f>VLOOKUP(B1208,'Data Angt'!$A$5:$H$5810,6,FALSE)</f>
        <v>35</v>
      </c>
      <c r="P1208" s="55" t="str">
        <f>VLOOKUP(B1208,'Data Angt'!$A$5:$H$5810,8,FALSE)</f>
        <v>Karyawan</v>
      </c>
    </row>
    <row r="1209" spans="1:16" x14ac:dyDescent="0.3">
      <c r="A1209" s="8">
        <v>1202</v>
      </c>
      <c r="B1209" s="9" t="s">
        <v>8441</v>
      </c>
      <c r="C1209" s="10" t="str">
        <f>VLOOKUP(B1209,'Data Angt'!$A$5:$B$5809,2,FALSE)</f>
        <v>A3827</v>
      </c>
      <c r="D1209" s="12" t="s">
        <v>10475</v>
      </c>
      <c r="E1209" s="13">
        <v>45246</v>
      </c>
      <c r="F1209" s="14">
        <v>45916</v>
      </c>
      <c r="G1209" s="15">
        <v>20000000</v>
      </c>
      <c r="H1209" s="16">
        <v>24</v>
      </c>
      <c r="I1209" s="17">
        <v>24</v>
      </c>
      <c r="J1209" s="15">
        <v>1665200</v>
      </c>
      <c r="K1209" s="98">
        <f t="shared" si="54"/>
        <v>0</v>
      </c>
      <c r="L1209" s="98" t="str">
        <f t="shared" si="55"/>
        <v>Lancar</v>
      </c>
      <c r="M1209" s="5" t="str">
        <f t="shared" si="56"/>
        <v>003</v>
      </c>
      <c r="N1209" s="55" t="str">
        <f>VLOOKUP(D1209,Pinjaman!$E$7:$N$1900,10,FALSE)</f>
        <v>KONSUMTIF</v>
      </c>
      <c r="O1209" s="55">
        <f>VLOOKUP(B1209,'Data Angt'!$A$5:$H$5810,6,FALSE)</f>
        <v>26</v>
      </c>
      <c r="P1209" s="55" t="str">
        <f>VLOOKUP(B1209,'Data Angt'!$A$5:$H$5810,8,FALSE)</f>
        <v>Karyawan</v>
      </c>
    </row>
    <row r="1210" spans="1:16" x14ac:dyDescent="0.3">
      <c r="A1210" s="8">
        <v>1203</v>
      </c>
      <c r="B1210" s="9" t="s">
        <v>8478</v>
      </c>
      <c r="C1210" s="10" t="str">
        <f>VLOOKUP(B1210,'Data Angt'!$A$5:$B$5809,2,FALSE)</f>
        <v>A3845</v>
      </c>
      <c r="D1210" s="12" t="s">
        <v>17000</v>
      </c>
      <c r="E1210" s="13">
        <v>45344</v>
      </c>
      <c r="F1210" s="14">
        <v>45468</v>
      </c>
      <c r="G1210" s="15">
        <v>3000000</v>
      </c>
      <c r="H1210" s="16">
        <v>12</v>
      </c>
      <c r="I1210" s="17">
        <v>24</v>
      </c>
      <c r="J1210" s="15">
        <v>2000000</v>
      </c>
      <c r="K1210" s="98">
        <f t="shared" si="54"/>
        <v>15</v>
      </c>
      <c r="L1210" s="98" t="str">
        <f t="shared" si="55"/>
        <v>Macet</v>
      </c>
      <c r="M1210" s="5" t="str">
        <f t="shared" si="56"/>
        <v>003</v>
      </c>
      <c r="N1210" s="55" t="str">
        <f>VLOOKUP(D1210,Pinjaman!$E$7:$N$1900,10,FALSE)</f>
        <v>PRODUKTIF</v>
      </c>
      <c r="O1210" s="55">
        <f>VLOOKUP(B1210,'Data Angt'!$A$5:$H$5810,6,FALSE)</f>
        <v>40</v>
      </c>
      <c r="P1210" s="55" t="str">
        <f>VLOOKUP(B1210,'Data Angt'!$A$5:$H$5810,8,FALSE)</f>
        <v>Wiraswasta</v>
      </c>
    </row>
    <row r="1211" spans="1:16" x14ac:dyDescent="0.3">
      <c r="A1211" s="8">
        <v>1204</v>
      </c>
      <c r="B1211" s="9" t="s">
        <v>8500</v>
      </c>
      <c r="C1211" s="10" t="str">
        <f>VLOOKUP(B1211,'Data Angt'!$A$5:$B$5809,2,FALSE)</f>
        <v>A3854</v>
      </c>
      <c r="D1211" s="12" t="s">
        <v>17003</v>
      </c>
      <c r="E1211" s="13">
        <v>45626</v>
      </c>
      <c r="F1211" s="14">
        <v>45930</v>
      </c>
      <c r="G1211" s="15">
        <v>130000000</v>
      </c>
      <c r="H1211" s="16">
        <v>48</v>
      </c>
      <c r="I1211" s="17">
        <v>21</v>
      </c>
      <c r="J1211" s="15">
        <v>111041200</v>
      </c>
      <c r="K1211" s="98">
        <f t="shared" si="54"/>
        <v>0</v>
      </c>
      <c r="L1211" s="98" t="str">
        <f t="shared" si="55"/>
        <v>Lancar</v>
      </c>
      <c r="M1211" s="5" t="str">
        <f t="shared" si="56"/>
        <v>003</v>
      </c>
      <c r="N1211" s="55" t="str">
        <f>VLOOKUP(D1211,Pinjaman!$E$7:$N$1900,10,FALSE)</f>
        <v>KESEJAHTERAAN</v>
      </c>
      <c r="O1211" s="55">
        <f>VLOOKUP(B1211,'Data Angt'!$A$5:$H$5810,6,FALSE)</f>
        <v>55</v>
      </c>
      <c r="P1211" s="55" t="str">
        <f>VLOOKUP(B1211,'Data Angt'!$A$5:$H$5810,8,FALSE)</f>
        <v>Wiraswasta</v>
      </c>
    </row>
    <row r="1212" spans="1:16" x14ac:dyDescent="0.3">
      <c r="A1212" s="8">
        <v>1205</v>
      </c>
      <c r="B1212" s="9" t="s">
        <v>8554</v>
      </c>
      <c r="C1212" s="10" t="str">
        <f>VLOOKUP(B1212,'Data Angt'!$A$5:$B$5809,2,FALSE)</f>
        <v>A3880</v>
      </c>
      <c r="D1212" s="12" t="s">
        <v>10478</v>
      </c>
      <c r="E1212" s="13">
        <v>44495</v>
      </c>
      <c r="F1212" s="14">
        <v>45230</v>
      </c>
      <c r="G1212" s="15">
        <v>5000000</v>
      </c>
      <c r="H1212" s="16">
        <v>12</v>
      </c>
      <c r="I1212" s="17">
        <v>24</v>
      </c>
      <c r="J1212" s="15">
        <v>1249700</v>
      </c>
      <c r="K1212" s="98">
        <f t="shared" si="54"/>
        <v>22</v>
      </c>
      <c r="L1212" s="98" t="str">
        <f t="shared" si="55"/>
        <v>Macet</v>
      </c>
      <c r="M1212" s="5" t="str">
        <f t="shared" si="56"/>
        <v>003</v>
      </c>
      <c r="N1212" s="55" t="str">
        <f>VLOOKUP(D1212,Pinjaman!$E$7:$N$1900,10,FALSE)</f>
        <v>PRODUKTIF</v>
      </c>
      <c r="O1212" s="55">
        <f>VLOOKUP(B1212,'Data Angt'!$A$5:$H$5810,6,FALSE)</f>
        <v>25</v>
      </c>
      <c r="P1212" s="55" t="str">
        <f>VLOOKUP(B1212,'Data Angt'!$A$5:$H$5810,8,FALSE)</f>
        <v>Wiraswasta</v>
      </c>
    </row>
    <row r="1213" spans="1:16" x14ac:dyDescent="0.3">
      <c r="A1213" s="8">
        <v>1206</v>
      </c>
      <c r="B1213" s="9" t="s">
        <v>8582</v>
      </c>
      <c r="C1213" s="10" t="str">
        <f>VLOOKUP(B1213,'Data Angt'!$A$5:$B$5809,2,FALSE)</f>
        <v>A3892</v>
      </c>
      <c r="D1213" s="12" t="s">
        <v>23401</v>
      </c>
      <c r="E1213" s="13">
        <v>45917</v>
      </c>
      <c r="F1213" s="14">
        <v>45917</v>
      </c>
      <c r="G1213" s="15">
        <v>21000000</v>
      </c>
      <c r="H1213" s="16">
        <v>48</v>
      </c>
      <c r="I1213" s="17">
        <v>24</v>
      </c>
      <c r="J1213" s="15">
        <v>21000000</v>
      </c>
      <c r="K1213" s="98">
        <f t="shared" si="54"/>
        <v>0</v>
      </c>
      <c r="L1213" s="98" t="str">
        <f t="shared" si="55"/>
        <v>Lancar</v>
      </c>
      <c r="M1213" s="5" t="str">
        <f t="shared" si="56"/>
        <v>003</v>
      </c>
      <c r="N1213" s="55" t="str">
        <f>VLOOKUP(D1213,Pinjaman!$E$7:$N$1900,10,FALSE)</f>
        <v>KESEJAHTERAAN</v>
      </c>
      <c r="O1213" s="55">
        <f>VLOOKUP(B1213,'Data Angt'!$A$5:$H$5810,6,FALSE)</f>
        <v>28</v>
      </c>
      <c r="P1213" s="55" t="str">
        <f>VLOOKUP(B1213,'Data Angt'!$A$5:$H$5810,8,FALSE)</f>
        <v>Karyawan</v>
      </c>
    </row>
    <row r="1214" spans="1:16" x14ac:dyDescent="0.3">
      <c r="A1214" s="8">
        <v>1207</v>
      </c>
      <c r="B1214" s="9" t="s">
        <v>8584</v>
      </c>
      <c r="C1214" s="10" t="str">
        <f>VLOOKUP(B1214,'Data Angt'!$A$5:$B$5809,2,FALSE)</f>
        <v>A3893</v>
      </c>
      <c r="D1214" s="12" t="s">
        <v>17006</v>
      </c>
      <c r="E1214" s="13">
        <v>45715</v>
      </c>
      <c r="F1214" s="14">
        <v>45927</v>
      </c>
      <c r="G1214" s="15">
        <v>4000000</v>
      </c>
      <c r="H1214" s="16">
        <v>15</v>
      </c>
      <c r="I1214" s="17">
        <v>11.88</v>
      </c>
      <c r="J1214" s="15">
        <v>2206900</v>
      </c>
      <c r="K1214" s="98">
        <f t="shared" si="54"/>
        <v>0</v>
      </c>
      <c r="L1214" s="98" t="str">
        <f t="shared" si="55"/>
        <v>Lancar</v>
      </c>
      <c r="M1214" s="5" t="str">
        <f t="shared" si="56"/>
        <v>003</v>
      </c>
      <c r="N1214" s="55" t="str">
        <f>VLOOKUP(D1214,Pinjaman!$E$7:$N$1900,10,FALSE)</f>
        <v>KONSUMTIF</v>
      </c>
      <c r="O1214" s="55">
        <f>VLOOKUP(B1214,'Data Angt'!$A$5:$H$5810,6,FALSE)</f>
        <v>57</v>
      </c>
      <c r="P1214" s="55" t="str">
        <f>VLOOKUP(B1214,'Data Angt'!$A$5:$H$5810,8,FALSE)</f>
        <v>Wiraswasta</v>
      </c>
    </row>
    <row r="1215" spans="1:16" x14ac:dyDescent="0.3">
      <c r="A1215" s="8">
        <v>1208</v>
      </c>
      <c r="B1215" s="9" t="s">
        <v>8584</v>
      </c>
      <c r="C1215" s="10" t="str">
        <f>VLOOKUP(B1215,'Data Angt'!$A$5:$B$5809,2,FALSE)</f>
        <v>A3893</v>
      </c>
      <c r="D1215" s="12" t="s">
        <v>17008</v>
      </c>
      <c r="E1215" s="13">
        <v>45679</v>
      </c>
      <c r="F1215" s="14">
        <v>45922</v>
      </c>
      <c r="G1215" s="15">
        <v>10000000</v>
      </c>
      <c r="H1215" s="16">
        <v>24</v>
      </c>
      <c r="I1215" s="17">
        <v>24</v>
      </c>
      <c r="J1215" s="15">
        <v>6666400</v>
      </c>
      <c r="K1215" s="98">
        <f t="shared" si="54"/>
        <v>0</v>
      </c>
      <c r="L1215" s="98" t="str">
        <f t="shared" si="55"/>
        <v>Lancar</v>
      </c>
      <c r="M1215" s="5" t="str">
        <f t="shared" si="56"/>
        <v>003</v>
      </c>
      <c r="N1215" s="55" t="str">
        <f>VLOOKUP(D1215,Pinjaman!$E$7:$N$1900,10,FALSE)</f>
        <v>PRODUKTIF</v>
      </c>
      <c r="O1215" s="55">
        <f>VLOOKUP(B1215,'Data Angt'!$A$5:$H$5810,6,FALSE)</f>
        <v>57</v>
      </c>
      <c r="P1215" s="55" t="str">
        <f>VLOOKUP(B1215,'Data Angt'!$A$5:$H$5810,8,FALSE)</f>
        <v>Wiraswasta</v>
      </c>
    </row>
    <row r="1216" spans="1:16" x14ac:dyDescent="0.3">
      <c r="A1216" s="8">
        <v>1209</v>
      </c>
      <c r="B1216" s="9" t="s">
        <v>8634</v>
      </c>
      <c r="C1216" s="10" t="str">
        <f>VLOOKUP(B1216,'Data Angt'!$A$5:$B$5809,2,FALSE)</f>
        <v>A3915</v>
      </c>
      <c r="D1216" s="12" t="s">
        <v>17010</v>
      </c>
      <c r="E1216" s="13">
        <v>45468</v>
      </c>
      <c r="F1216" s="14">
        <v>45895</v>
      </c>
      <c r="G1216" s="15">
        <v>5000000</v>
      </c>
      <c r="H1216" s="16">
        <v>18</v>
      </c>
      <c r="I1216" s="17">
        <v>24</v>
      </c>
      <c r="J1216" s="15">
        <v>1110800</v>
      </c>
      <c r="K1216" s="98">
        <f t="shared" si="54"/>
        <v>1</v>
      </c>
      <c r="L1216" s="98" t="str">
        <f t="shared" si="55"/>
        <v>Lancar</v>
      </c>
      <c r="M1216" s="5" t="str">
        <f t="shared" si="56"/>
        <v>003</v>
      </c>
      <c r="N1216" s="55" t="str">
        <f>VLOOKUP(D1216,Pinjaman!$E$7:$N$1900,10,FALSE)</f>
        <v>PENDIDIKAN</v>
      </c>
      <c r="O1216" s="55">
        <f>VLOOKUP(B1216,'Data Angt'!$A$5:$H$5810,6,FALSE)</f>
        <v>25</v>
      </c>
      <c r="P1216" s="55" t="str">
        <f>VLOOKUP(B1216,'Data Angt'!$A$5:$H$5810,8,FALSE)</f>
        <v>Karyawan</v>
      </c>
    </row>
    <row r="1217" spans="1:16" x14ac:dyDescent="0.3">
      <c r="A1217" s="8">
        <v>1210</v>
      </c>
      <c r="B1217" s="9" t="s">
        <v>8643</v>
      </c>
      <c r="C1217" s="10" t="str">
        <f>VLOOKUP(B1217,'Data Angt'!$A$5:$B$5809,2,FALSE)</f>
        <v>A3920</v>
      </c>
      <c r="D1217" s="12" t="s">
        <v>17012</v>
      </c>
      <c r="E1217" s="13">
        <v>45617</v>
      </c>
      <c r="F1217" s="14">
        <v>45930</v>
      </c>
      <c r="G1217" s="15">
        <v>15000000</v>
      </c>
      <c r="H1217" s="16">
        <v>19</v>
      </c>
      <c r="I1217" s="17">
        <v>24</v>
      </c>
      <c r="J1217" s="15">
        <v>7808600</v>
      </c>
      <c r="K1217" s="98">
        <f t="shared" si="54"/>
        <v>0</v>
      </c>
      <c r="L1217" s="98" t="str">
        <f t="shared" si="55"/>
        <v>Lancar</v>
      </c>
      <c r="M1217" s="5" t="str">
        <f t="shared" si="56"/>
        <v>003</v>
      </c>
      <c r="N1217" s="55" t="str">
        <f>VLOOKUP(D1217,Pinjaman!$E$7:$N$1900,10,FALSE)</f>
        <v>KESEJAHTERAAN</v>
      </c>
      <c r="O1217" s="55">
        <f>VLOOKUP(B1217,'Data Angt'!$A$5:$H$5810,6,FALSE)</f>
        <v>31</v>
      </c>
      <c r="P1217" s="55" t="str">
        <f>VLOOKUP(B1217,'Data Angt'!$A$5:$H$5810,8,FALSE)</f>
        <v>Karyawan</v>
      </c>
    </row>
    <row r="1218" spans="1:16" x14ac:dyDescent="0.3">
      <c r="A1218" s="8">
        <v>1211</v>
      </c>
      <c r="B1218" s="9" t="s">
        <v>8645</v>
      </c>
      <c r="C1218" s="10" t="str">
        <f>VLOOKUP(B1218,'Data Angt'!$A$5:$B$5809,2,FALSE)</f>
        <v>A3921</v>
      </c>
      <c r="D1218" s="12" t="s">
        <v>10481</v>
      </c>
      <c r="E1218" s="13">
        <v>45004</v>
      </c>
      <c r="F1218" s="14">
        <v>45930</v>
      </c>
      <c r="G1218" s="15">
        <v>25000000</v>
      </c>
      <c r="H1218" s="16">
        <v>25</v>
      </c>
      <c r="I1218" s="17">
        <v>21</v>
      </c>
      <c r="J1218" s="15">
        <v>19913100</v>
      </c>
      <c r="K1218" s="98">
        <f t="shared" si="54"/>
        <v>0</v>
      </c>
      <c r="L1218" s="98" t="str">
        <f t="shared" si="55"/>
        <v>Lancar</v>
      </c>
      <c r="M1218" s="5" t="str">
        <f t="shared" si="56"/>
        <v>003</v>
      </c>
      <c r="N1218" s="55" t="str">
        <f>VLOOKUP(D1218,Pinjaman!$E$7:$N$1900,10,FALSE)</f>
        <v>KESEJAHTERAAN</v>
      </c>
      <c r="O1218" s="55">
        <f>VLOOKUP(B1218,'Data Angt'!$A$5:$H$5810,6,FALSE)</f>
        <v>26</v>
      </c>
      <c r="P1218" s="55" t="str">
        <f>VLOOKUP(B1218,'Data Angt'!$A$5:$H$5810,8,FALSE)</f>
        <v>Karyawan</v>
      </c>
    </row>
    <row r="1219" spans="1:16" x14ac:dyDescent="0.3">
      <c r="A1219" s="8">
        <v>1212</v>
      </c>
      <c r="B1219" s="9" t="s">
        <v>8682</v>
      </c>
      <c r="C1219" s="10" t="str">
        <f>VLOOKUP(B1219,'Data Angt'!$A$5:$B$5809,2,FALSE)</f>
        <v>A3939</v>
      </c>
      <c r="D1219" s="12" t="s">
        <v>17014</v>
      </c>
      <c r="E1219" s="13">
        <v>45674</v>
      </c>
      <c r="F1219" s="14">
        <v>45902</v>
      </c>
      <c r="G1219" s="15">
        <v>5000000</v>
      </c>
      <c r="H1219" s="16">
        <v>12</v>
      </c>
      <c r="I1219" s="17">
        <v>24</v>
      </c>
      <c r="J1219" s="15">
        <v>1666400</v>
      </c>
      <c r="K1219" s="98">
        <f t="shared" si="54"/>
        <v>0</v>
      </c>
      <c r="L1219" s="98" t="str">
        <f t="shared" si="55"/>
        <v>Lancar</v>
      </c>
      <c r="M1219" s="5" t="str">
        <f t="shared" si="56"/>
        <v>003</v>
      </c>
      <c r="N1219" s="55" t="str">
        <f>VLOOKUP(D1219,Pinjaman!$E$7:$N$1900,10,FALSE)</f>
        <v>PRODUKTIF</v>
      </c>
      <c r="O1219" s="55">
        <f>VLOOKUP(B1219,'Data Angt'!$A$5:$H$5810,6,FALSE)</f>
        <v>46</v>
      </c>
      <c r="P1219" s="55" t="str">
        <f>VLOOKUP(B1219,'Data Angt'!$A$5:$H$5810,8,FALSE)</f>
        <v>Tenaga Pengajar</v>
      </c>
    </row>
    <row r="1220" spans="1:16" x14ac:dyDescent="0.3">
      <c r="A1220" s="8">
        <v>1213</v>
      </c>
      <c r="B1220" s="9" t="s">
        <v>8682</v>
      </c>
      <c r="C1220" s="10" t="str">
        <f>VLOOKUP(B1220,'Data Angt'!$A$5:$B$5809,2,FALSE)</f>
        <v>A3939</v>
      </c>
      <c r="D1220" s="12" t="s">
        <v>17016</v>
      </c>
      <c r="E1220" s="13">
        <v>45785</v>
      </c>
      <c r="F1220" s="14">
        <v>45902</v>
      </c>
      <c r="G1220" s="15">
        <v>21000000</v>
      </c>
      <c r="H1220" s="16">
        <v>24</v>
      </c>
      <c r="I1220" s="17">
        <v>24</v>
      </c>
      <c r="J1220" s="15">
        <v>17500000</v>
      </c>
      <c r="K1220" s="98">
        <f t="shared" si="54"/>
        <v>0</v>
      </c>
      <c r="L1220" s="98" t="str">
        <f t="shared" si="55"/>
        <v>Lancar</v>
      </c>
      <c r="M1220" s="5" t="str">
        <f t="shared" si="56"/>
        <v>003</v>
      </c>
      <c r="N1220" s="55" t="str">
        <f>VLOOKUP(D1220,Pinjaman!$E$7:$N$1900,10,FALSE)</f>
        <v>KONSUMTIF</v>
      </c>
      <c r="O1220" s="55">
        <f>VLOOKUP(B1220,'Data Angt'!$A$5:$H$5810,6,FALSE)</f>
        <v>46</v>
      </c>
      <c r="P1220" s="55" t="str">
        <f>VLOOKUP(B1220,'Data Angt'!$A$5:$H$5810,8,FALSE)</f>
        <v>Tenaga Pengajar</v>
      </c>
    </row>
    <row r="1221" spans="1:16" x14ac:dyDescent="0.3">
      <c r="A1221" s="8">
        <v>1214</v>
      </c>
      <c r="B1221" s="9" t="s">
        <v>8723</v>
      </c>
      <c r="C1221" s="10" t="str">
        <f>VLOOKUP(B1221,'Data Angt'!$A$5:$B$5809,2,FALSE)</f>
        <v>A3958</v>
      </c>
      <c r="D1221" s="12" t="s">
        <v>17018</v>
      </c>
      <c r="E1221" s="13">
        <v>45792</v>
      </c>
      <c r="F1221" s="14">
        <v>45925</v>
      </c>
      <c r="G1221" s="15">
        <v>3500000</v>
      </c>
      <c r="H1221" s="16">
        <v>18</v>
      </c>
      <c r="I1221" s="17">
        <v>24</v>
      </c>
      <c r="J1221" s="15">
        <v>2722000</v>
      </c>
      <c r="K1221" s="98">
        <f t="shared" si="54"/>
        <v>0</v>
      </c>
      <c r="L1221" s="98" t="str">
        <f t="shared" si="55"/>
        <v>Lancar</v>
      </c>
      <c r="M1221" s="5" t="str">
        <f t="shared" si="56"/>
        <v>003</v>
      </c>
      <c r="N1221" s="55" t="str">
        <f>VLOOKUP(D1221,Pinjaman!$E$7:$N$1900,10,FALSE)</f>
        <v>KESEJAHTERAAN</v>
      </c>
      <c r="O1221" s="55">
        <f>VLOOKUP(B1221,'Data Angt'!$A$5:$H$5810,6,FALSE)</f>
        <v>47</v>
      </c>
      <c r="P1221" s="55" t="str">
        <f>VLOOKUP(B1221,'Data Angt'!$A$5:$H$5810,8,FALSE)</f>
        <v>Wiraswasta</v>
      </c>
    </row>
    <row r="1222" spans="1:16" x14ac:dyDescent="0.3">
      <c r="A1222" s="8">
        <v>1215</v>
      </c>
      <c r="B1222" s="9" t="s">
        <v>8740</v>
      </c>
      <c r="C1222" s="10" t="str">
        <f>VLOOKUP(B1222,'Data Angt'!$A$5:$B$5809,2,FALSE)</f>
        <v>A3968</v>
      </c>
      <c r="D1222" s="12" t="s">
        <v>17020</v>
      </c>
      <c r="E1222" s="13">
        <v>45782</v>
      </c>
      <c r="F1222" s="14">
        <v>45904</v>
      </c>
      <c r="G1222" s="15">
        <v>5000000</v>
      </c>
      <c r="H1222" s="16">
        <v>24</v>
      </c>
      <c r="I1222" s="17">
        <v>24</v>
      </c>
      <c r="J1222" s="15">
        <v>4166400</v>
      </c>
      <c r="K1222" s="98">
        <f t="shared" si="54"/>
        <v>0</v>
      </c>
      <c r="L1222" s="98" t="str">
        <f t="shared" si="55"/>
        <v>Lancar</v>
      </c>
      <c r="M1222" s="5" t="str">
        <f t="shared" si="56"/>
        <v>003</v>
      </c>
      <c r="N1222" s="55" t="str">
        <f>VLOOKUP(D1222,Pinjaman!$E$7:$N$1900,10,FALSE)</f>
        <v>PRODUKTIF</v>
      </c>
      <c r="O1222" s="55">
        <f>VLOOKUP(B1222,'Data Angt'!$A$5:$H$5810,6,FALSE)</f>
        <v>52</v>
      </c>
      <c r="P1222" s="55" t="str">
        <f>VLOOKUP(B1222,'Data Angt'!$A$5:$H$5810,8,FALSE)</f>
        <v>Tenaga Pengajar</v>
      </c>
    </row>
    <row r="1223" spans="1:16" x14ac:dyDescent="0.3">
      <c r="A1223" s="8">
        <v>1216</v>
      </c>
      <c r="B1223" s="9" t="s">
        <v>8742</v>
      </c>
      <c r="C1223" s="10" t="str">
        <f>VLOOKUP(B1223,'Data Angt'!$A$5:$B$5809,2,FALSE)</f>
        <v>A3970</v>
      </c>
      <c r="D1223" s="12" t="s">
        <v>17022</v>
      </c>
      <c r="E1223" s="13">
        <v>45792</v>
      </c>
      <c r="F1223" s="14">
        <v>45915</v>
      </c>
      <c r="G1223" s="15">
        <v>1500000</v>
      </c>
      <c r="H1223" s="16">
        <v>10</v>
      </c>
      <c r="I1223" s="17">
        <v>24</v>
      </c>
      <c r="J1223" s="15">
        <v>900000</v>
      </c>
      <c r="K1223" s="98">
        <f t="shared" si="54"/>
        <v>0</v>
      </c>
      <c r="L1223" s="98" t="str">
        <f t="shared" si="55"/>
        <v>Lancar</v>
      </c>
      <c r="M1223" s="5" t="str">
        <f t="shared" si="56"/>
        <v>003</v>
      </c>
      <c r="N1223" s="55" t="str">
        <f>VLOOKUP(D1223,Pinjaman!$E$7:$N$1900,10,FALSE)</f>
        <v>KONSUMTIF</v>
      </c>
      <c r="O1223" s="55">
        <f>VLOOKUP(B1223,'Data Angt'!$A$5:$H$5810,6,FALSE)</f>
        <v>69</v>
      </c>
      <c r="P1223" s="55" t="str">
        <f>VLOOKUP(B1223,'Data Angt'!$A$5:$H$5810,8,FALSE)</f>
        <v>Pensiunan</v>
      </c>
    </row>
    <row r="1224" spans="1:16" x14ac:dyDescent="0.3">
      <c r="A1224" s="8">
        <v>1217</v>
      </c>
      <c r="B1224" s="9" t="s">
        <v>8746</v>
      </c>
      <c r="C1224" s="10" t="str">
        <f>VLOOKUP(B1224,'Data Angt'!$A$5:$B$5809,2,FALSE)</f>
        <v>A3972</v>
      </c>
      <c r="D1224" s="12" t="s">
        <v>17025</v>
      </c>
      <c r="E1224" s="13">
        <v>45729</v>
      </c>
      <c r="F1224" s="14">
        <v>45904</v>
      </c>
      <c r="G1224" s="15">
        <v>4000000</v>
      </c>
      <c r="H1224" s="16">
        <v>20</v>
      </c>
      <c r="I1224" s="17">
        <v>24</v>
      </c>
      <c r="J1224" s="15">
        <v>2800000</v>
      </c>
      <c r="K1224" s="98">
        <f t="shared" si="54"/>
        <v>0</v>
      </c>
      <c r="L1224" s="98" t="str">
        <f t="shared" si="55"/>
        <v>Lancar</v>
      </c>
      <c r="M1224" s="5" t="str">
        <f t="shared" si="56"/>
        <v>003</v>
      </c>
      <c r="N1224" s="55" t="str">
        <f>VLOOKUP(D1224,Pinjaman!$E$7:$N$1900,10,FALSE)</f>
        <v>KESEJAHTERAAN</v>
      </c>
      <c r="O1224" s="55">
        <f>VLOOKUP(B1224,'Data Angt'!$A$5:$H$5810,6,FALSE)</f>
        <v>49</v>
      </c>
      <c r="P1224" s="55" t="str">
        <f>VLOOKUP(B1224,'Data Angt'!$A$5:$H$5810,8,FALSE)</f>
        <v>Tenaga Pengajar</v>
      </c>
    </row>
    <row r="1225" spans="1:16" x14ac:dyDescent="0.3">
      <c r="A1225" s="8">
        <v>1218</v>
      </c>
      <c r="B1225" s="9" t="s">
        <v>8780</v>
      </c>
      <c r="C1225" s="10" t="str">
        <f>VLOOKUP(B1225,'Data Angt'!$A$5:$B$5809,2,FALSE)</f>
        <v>A3986</v>
      </c>
      <c r="D1225" s="12" t="s">
        <v>17027</v>
      </c>
      <c r="E1225" s="13">
        <v>45666</v>
      </c>
      <c r="F1225" s="14">
        <v>45903</v>
      </c>
      <c r="G1225" s="15">
        <v>2000000</v>
      </c>
      <c r="H1225" s="16">
        <v>18</v>
      </c>
      <c r="I1225" s="17">
        <v>12</v>
      </c>
      <c r="J1225" s="15">
        <v>1155200</v>
      </c>
      <c r="K1225" s="98">
        <f t="shared" ref="K1225:K1288" si="57">DATEDIF(F1225,$K$6,"m")</f>
        <v>0</v>
      </c>
      <c r="L1225" s="98" t="str">
        <f t="shared" ref="L1225:L1288" si="58">IF(K1225&lt;=3,"Lancar",IF(K1225&lt;=6,"Kurang lancar",IF(K1225&lt;=12,"Diragukan","Macet")))</f>
        <v>Lancar</v>
      </c>
      <c r="M1225" s="5" t="str">
        <f t="shared" ref="M1225:M1288" si="59">MID(B1225,7,3)</f>
        <v>003</v>
      </c>
      <c r="N1225" s="55" t="str">
        <f>VLOOKUP(D1225,Pinjaman!$E$7:$N$1900,10,FALSE)</f>
        <v>KONSUMTIF</v>
      </c>
      <c r="O1225" s="55">
        <f>VLOOKUP(B1225,'Data Angt'!$A$5:$H$5810,6,FALSE)</f>
        <v>32</v>
      </c>
      <c r="P1225" s="55" t="str">
        <f>VLOOKUP(B1225,'Data Angt'!$A$5:$H$5810,8,FALSE)</f>
        <v>Karyawan</v>
      </c>
    </row>
    <row r="1226" spans="1:16" x14ac:dyDescent="0.3">
      <c r="A1226" s="8">
        <v>1219</v>
      </c>
      <c r="B1226" s="9" t="s">
        <v>8818</v>
      </c>
      <c r="C1226" s="10" t="str">
        <f>VLOOKUP(B1226,'Data Angt'!$A$5:$B$5809,2,FALSE)</f>
        <v>A4003</v>
      </c>
      <c r="D1226" s="12" t="s">
        <v>10484</v>
      </c>
      <c r="E1226" s="13">
        <v>44821</v>
      </c>
      <c r="F1226" s="14">
        <v>45930</v>
      </c>
      <c r="G1226" s="15">
        <v>23000000</v>
      </c>
      <c r="H1226" s="16">
        <v>24</v>
      </c>
      <c r="I1226" s="17">
        <v>21</v>
      </c>
      <c r="J1226" s="15">
        <v>9514100</v>
      </c>
      <c r="K1226" s="98">
        <f t="shared" si="57"/>
        <v>0</v>
      </c>
      <c r="L1226" s="98" t="str">
        <f t="shared" si="58"/>
        <v>Lancar</v>
      </c>
      <c r="M1226" s="5" t="str">
        <f t="shared" si="59"/>
        <v>003</v>
      </c>
      <c r="N1226" s="55" t="str">
        <f>VLOOKUP(D1226,Pinjaman!$E$7:$N$1900,10,FALSE)</f>
        <v>KESEJAHTERAAN</v>
      </c>
      <c r="O1226" s="55">
        <f>VLOOKUP(B1226,'Data Angt'!$A$5:$H$5810,6,FALSE)</f>
        <v>31</v>
      </c>
      <c r="P1226" s="55" t="str">
        <f>VLOOKUP(B1226,'Data Angt'!$A$5:$H$5810,8,FALSE)</f>
        <v>Karyawan</v>
      </c>
    </row>
    <row r="1227" spans="1:16" x14ac:dyDescent="0.3">
      <c r="A1227" s="8">
        <v>1220</v>
      </c>
      <c r="B1227" s="9" t="s">
        <v>8830</v>
      </c>
      <c r="C1227" s="10" t="str">
        <f>VLOOKUP(B1227,'Data Angt'!$A$5:$B$5809,2,FALSE)</f>
        <v>A4008</v>
      </c>
      <c r="D1227" s="12" t="s">
        <v>23406</v>
      </c>
      <c r="E1227" s="13">
        <v>45874</v>
      </c>
      <c r="F1227" s="14">
        <v>45904</v>
      </c>
      <c r="G1227" s="15">
        <v>5000000</v>
      </c>
      <c r="H1227" s="16">
        <v>24</v>
      </c>
      <c r="I1227" s="17">
        <v>24</v>
      </c>
      <c r="J1227" s="15">
        <v>4791600</v>
      </c>
      <c r="K1227" s="98">
        <f t="shared" si="57"/>
        <v>0</v>
      </c>
      <c r="L1227" s="98" t="str">
        <f t="shared" si="58"/>
        <v>Lancar</v>
      </c>
      <c r="M1227" s="5" t="str">
        <f t="shared" si="59"/>
        <v>003</v>
      </c>
      <c r="N1227" s="55" t="str">
        <f>VLOOKUP(D1227,Pinjaman!$E$7:$N$1900,10,FALSE)</f>
        <v>KESEJAHTERAAN</v>
      </c>
      <c r="O1227" s="55">
        <f>VLOOKUP(B1227,'Data Angt'!$A$5:$H$5810,6,FALSE)</f>
        <v>33</v>
      </c>
      <c r="P1227" s="55" t="str">
        <f>VLOOKUP(B1227,'Data Angt'!$A$5:$H$5810,8,FALSE)</f>
        <v>Karyawan</v>
      </c>
    </row>
    <row r="1228" spans="1:16" x14ac:dyDescent="0.3">
      <c r="A1228" s="8">
        <v>1221</v>
      </c>
      <c r="B1228" s="9" t="s">
        <v>8837</v>
      </c>
      <c r="C1228" s="10" t="str">
        <f>VLOOKUP(B1228,'Data Angt'!$A$5:$B$5809,2,FALSE)</f>
        <v>A4011</v>
      </c>
      <c r="D1228" s="12" t="s">
        <v>17029</v>
      </c>
      <c r="E1228" s="13">
        <v>45762</v>
      </c>
      <c r="F1228" s="14">
        <v>45930</v>
      </c>
      <c r="G1228" s="15">
        <v>30000000</v>
      </c>
      <c r="H1228" s="16">
        <v>30</v>
      </c>
      <c r="I1228" s="17">
        <v>21</v>
      </c>
      <c r="J1228" s="15">
        <v>26018800</v>
      </c>
      <c r="K1228" s="98">
        <f t="shared" si="57"/>
        <v>0</v>
      </c>
      <c r="L1228" s="98" t="str">
        <f t="shared" si="58"/>
        <v>Lancar</v>
      </c>
      <c r="M1228" s="5" t="str">
        <f t="shared" si="59"/>
        <v>003</v>
      </c>
      <c r="N1228" s="55" t="str">
        <f>VLOOKUP(D1228,Pinjaman!$E$7:$N$1900,10,FALSE)</f>
        <v>PRODUKTIF</v>
      </c>
      <c r="O1228" s="55">
        <f>VLOOKUP(B1228,'Data Angt'!$A$5:$H$5810,6,FALSE)</f>
        <v>24</v>
      </c>
      <c r="P1228" s="55" t="str">
        <f>VLOOKUP(B1228,'Data Angt'!$A$5:$H$5810,8,FALSE)</f>
        <v>Karyawan</v>
      </c>
    </row>
    <row r="1229" spans="1:16" x14ac:dyDescent="0.3">
      <c r="A1229" s="8">
        <v>1222</v>
      </c>
      <c r="B1229" s="9" t="s">
        <v>8854</v>
      </c>
      <c r="C1229" s="10" t="str">
        <f>VLOOKUP(B1229,'Data Angt'!$A$5:$B$5809,2,FALSE)</f>
        <v>A4020</v>
      </c>
      <c r="D1229" s="12" t="s">
        <v>17031</v>
      </c>
      <c r="E1229" s="13">
        <v>45455</v>
      </c>
      <c r="F1229" s="14">
        <v>45930</v>
      </c>
      <c r="G1229" s="15">
        <v>50000000</v>
      </c>
      <c r="H1229" s="16">
        <v>24</v>
      </c>
      <c r="I1229" s="17">
        <v>21</v>
      </c>
      <c r="J1229" s="15">
        <v>21223900</v>
      </c>
      <c r="K1229" s="98">
        <f t="shared" si="57"/>
        <v>0</v>
      </c>
      <c r="L1229" s="98" t="str">
        <f t="shared" si="58"/>
        <v>Lancar</v>
      </c>
      <c r="M1229" s="5" t="str">
        <f t="shared" si="59"/>
        <v>003</v>
      </c>
      <c r="N1229" s="55" t="str">
        <f>VLOOKUP(D1229,Pinjaman!$E$7:$N$1900,10,FALSE)</f>
        <v>PRODUKTIF</v>
      </c>
      <c r="O1229" s="55">
        <f>VLOOKUP(B1229,'Data Angt'!$A$5:$H$5810,6,FALSE)</f>
        <v>56</v>
      </c>
      <c r="P1229" s="55" t="str">
        <f>VLOOKUP(B1229,'Data Angt'!$A$5:$H$5810,8,FALSE)</f>
        <v>Wiraswasta</v>
      </c>
    </row>
    <row r="1230" spans="1:16" x14ac:dyDescent="0.3">
      <c r="A1230" s="8">
        <v>1223</v>
      </c>
      <c r="B1230" s="9" t="s">
        <v>8855</v>
      </c>
      <c r="C1230" s="10" t="str">
        <f>VLOOKUP(B1230,'Data Angt'!$A$5:$B$5809,2,FALSE)</f>
        <v>A4021</v>
      </c>
      <c r="D1230" s="12" t="s">
        <v>23408</v>
      </c>
      <c r="E1230" s="13">
        <v>45859</v>
      </c>
      <c r="F1230" s="14">
        <v>45920</v>
      </c>
      <c r="G1230" s="15">
        <v>2000000</v>
      </c>
      <c r="H1230" s="16">
        <v>12</v>
      </c>
      <c r="I1230" s="17">
        <v>11.88</v>
      </c>
      <c r="J1230" s="15">
        <v>1682900</v>
      </c>
      <c r="K1230" s="98">
        <f t="shared" si="57"/>
        <v>0</v>
      </c>
      <c r="L1230" s="98" t="str">
        <f t="shared" si="58"/>
        <v>Lancar</v>
      </c>
      <c r="M1230" s="5" t="str">
        <f t="shared" si="59"/>
        <v>003</v>
      </c>
      <c r="N1230" s="55" t="str">
        <f>VLOOKUP(D1230,Pinjaman!$E$7:$N$1900,10,FALSE)</f>
        <v>PENDIDIKAN</v>
      </c>
      <c r="O1230" s="55">
        <f>VLOOKUP(B1230,'Data Angt'!$A$5:$H$5810,6,FALSE)</f>
        <v>52</v>
      </c>
      <c r="P1230" s="55" t="str">
        <f>VLOOKUP(B1230,'Data Angt'!$A$5:$H$5810,8,FALSE)</f>
        <v>Wiraswasta</v>
      </c>
    </row>
    <row r="1231" spans="1:16" x14ac:dyDescent="0.3">
      <c r="A1231" s="8">
        <v>1224</v>
      </c>
      <c r="B1231" s="9" t="s">
        <v>8870</v>
      </c>
      <c r="C1231" s="10" t="str">
        <f>VLOOKUP(B1231,'Data Angt'!$A$5:$B$5809,2,FALSE)</f>
        <v>A4028</v>
      </c>
      <c r="D1231" s="12" t="s">
        <v>23410</v>
      </c>
      <c r="E1231" s="13">
        <v>45904</v>
      </c>
      <c r="F1231" s="14">
        <v>45904</v>
      </c>
      <c r="G1231" s="15">
        <v>2000000</v>
      </c>
      <c r="H1231" s="16">
        <v>20</v>
      </c>
      <c r="I1231" s="17">
        <v>24</v>
      </c>
      <c r="J1231" s="15">
        <v>2000000</v>
      </c>
      <c r="K1231" s="98">
        <f t="shared" si="57"/>
        <v>0</v>
      </c>
      <c r="L1231" s="98" t="str">
        <f t="shared" si="58"/>
        <v>Lancar</v>
      </c>
      <c r="M1231" s="5" t="str">
        <f t="shared" si="59"/>
        <v>003</v>
      </c>
      <c r="N1231" s="55" t="str">
        <f>VLOOKUP(D1231,Pinjaman!$E$7:$N$1900,10,FALSE)</f>
        <v>KESEHATAN</v>
      </c>
      <c r="O1231" s="55">
        <f>VLOOKUP(B1231,'Data Angt'!$A$5:$H$5810,6,FALSE)</f>
        <v>49</v>
      </c>
      <c r="P1231" s="55" t="str">
        <f>VLOOKUP(B1231,'Data Angt'!$A$5:$H$5810,8,FALSE)</f>
        <v>Mengurus Rumah Tangga</v>
      </c>
    </row>
    <row r="1232" spans="1:16" x14ac:dyDescent="0.3">
      <c r="A1232" s="8">
        <v>1225</v>
      </c>
      <c r="B1232" s="9" t="s">
        <v>8906</v>
      </c>
      <c r="C1232" s="10" t="str">
        <f>VLOOKUP(B1232,'Data Angt'!$A$5:$B$5809,2,FALSE)</f>
        <v>A4046</v>
      </c>
      <c r="D1232" s="12" t="s">
        <v>17033</v>
      </c>
      <c r="E1232" s="13">
        <v>45451</v>
      </c>
      <c r="F1232" s="14">
        <v>45909</v>
      </c>
      <c r="G1232" s="15">
        <v>8000000</v>
      </c>
      <c r="H1232" s="16">
        <v>30</v>
      </c>
      <c r="I1232" s="17">
        <v>24</v>
      </c>
      <c r="J1232" s="15">
        <v>3999500</v>
      </c>
      <c r="K1232" s="98">
        <f t="shared" si="57"/>
        <v>0</v>
      </c>
      <c r="L1232" s="98" t="str">
        <f t="shared" si="58"/>
        <v>Lancar</v>
      </c>
      <c r="M1232" s="5" t="str">
        <f t="shared" si="59"/>
        <v>003</v>
      </c>
      <c r="N1232" s="55" t="str">
        <f>VLOOKUP(D1232,Pinjaman!$E$7:$N$1900,10,FALSE)</f>
        <v>PRODUKTIF</v>
      </c>
      <c r="O1232" s="55">
        <f>VLOOKUP(B1232,'Data Angt'!$A$5:$H$5810,6,FALSE)</f>
        <v>56</v>
      </c>
      <c r="P1232" s="55" t="str">
        <f>VLOOKUP(B1232,'Data Angt'!$A$5:$H$5810,8,FALSE)</f>
        <v>Petani/Pekebun/Nelayan</v>
      </c>
    </row>
    <row r="1233" spans="1:16" x14ac:dyDescent="0.3">
      <c r="A1233" s="8">
        <v>1226</v>
      </c>
      <c r="B1233" s="9" t="s">
        <v>8925</v>
      </c>
      <c r="C1233" s="10" t="str">
        <f>VLOOKUP(B1233,'Data Angt'!$A$5:$B$5809,2,FALSE)</f>
        <v>A4057</v>
      </c>
      <c r="D1233" s="12" t="s">
        <v>23413</v>
      </c>
      <c r="E1233" s="13">
        <v>45916</v>
      </c>
      <c r="F1233" s="14">
        <v>45916</v>
      </c>
      <c r="G1233" s="15">
        <v>4000000</v>
      </c>
      <c r="H1233" s="16">
        <v>18</v>
      </c>
      <c r="I1233" s="17">
        <v>24</v>
      </c>
      <c r="J1233" s="15">
        <v>4000000</v>
      </c>
      <c r="K1233" s="98">
        <f t="shared" si="57"/>
        <v>0</v>
      </c>
      <c r="L1233" s="98" t="str">
        <f t="shared" si="58"/>
        <v>Lancar</v>
      </c>
      <c r="M1233" s="5" t="str">
        <f t="shared" si="59"/>
        <v>003</v>
      </c>
      <c r="N1233" s="55" t="str">
        <f>VLOOKUP(D1233,Pinjaman!$E$7:$N$1900,10,FALSE)</f>
        <v>PRODUKTIF</v>
      </c>
      <c r="O1233" s="55">
        <f>VLOOKUP(B1233,'Data Angt'!$A$5:$H$5810,6,FALSE)</f>
        <v>41</v>
      </c>
      <c r="P1233" s="55" t="str">
        <f>VLOOKUP(B1233,'Data Angt'!$A$5:$H$5810,8,FALSE)</f>
        <v>Wiraswasta</v>
      </c>
    </row>
    <row r="1234" spans="1:16" x14ac:dyDescent="0.3">
      <c r="A1234" s="8">
        <v>1227</v>
      </c>
      <c r="B1234" s="9" t="s">
        <v>8936</v>
      </c>
      <c r="C1234" s="10" t="str">
        <f>VLOOKUP(B1234,'Data Angt'!$A$5:$B$5809,2,FALSE)</f>
        <v>A4062</v>
      </c>
      <c r="D1234" s="12" t="s">
        <v>17036</v>
      </c>
      <c r="E1234" s="13">
        <v>45693</v>
      </c>
      <c r="F1234" s="14">
        <v>45930</v>
      </c>
      <c r="G1234" s="15">
        <v>5000000</v>
      </c>
      <c r="H1234" s="16">
        <v>12</v>
      </c>
      <c r="I1234" s="17">
        <v>24</v>
      </c>
      <c r="J1234" s="15">
        <v>2083100</v>
      </c>
      <c r="K1234" s="98">
        <f t="shared" si="57"/>
        <v>0</v>
      </c>
      <c r="L1234" s="98" t="str">
        <f t="shared" si="58"/>
        <v>Lancar</v>
      </c>
      <c r="M1234" s="5" t="str">
        <f t="shared" si="59"/>
        <v>003</v>
      </c>
      <c r="N1234" s="55" t="str">
        <f>VLOOKUP(D1234,Pinjaman!$E$7:$N$1900,10,FALSE)</f>
        <v>PRODUKTIF</v>
      </c>
      <c r="O1234" s="55">
        <f>VLOOKUP(B1234,'Data Angt'!$A$5:$H$5810,6,FALSE)</f>
        <v>28</v>
      </c>
      <c r="P1234" s="55" t="str">
        <f>VLOOKUP(B1234,'Data Angt'!$A$5:$H$5810,8,FALSE)</f>
        <v>Wiraswasta</v>
      </c>
    </row>
    <row r="1235" spans="1:16" x14ac:dyDescent="0.3">
      <c r="A1235" s="8">
        <v>1228</v>
      </c>
      <c r="B1235" s="9" t="s">
        <v>8960</v>
      </c>
      <c r="C1235" s="10" t="str">
        <f>VLOOKUP(B1235,'Data Angt'!$A$5:$B$5809,2,FALSE)</f>
        <v>A4075</v>
      </c>
      <c r="D1235" s="12" t="s">
        <v>23415</v>
      </c>
      <c r="E1235" s="13">
        <v>45894</v>
      </c>
      <c r="F1235" s="14">
        <v>45920</v>
      </c>
      <c r="G1235" s="15">
        <v>15000000</v>
      </c>
      <c r="H1235" s="16">
        <v>24</v>
      </c>
      <c r="I1235" s="17">
        <v>24</v>
      </c>
      <c r="J1235" s="15">
        <v>14375000</v>
      </c>
      <c r="K1235" s="98">
        <f t="shared" si="57"/>
        <v>0</v>
      </c>
      <c r="L1235" s="98" t="str">
        <f t="shared" si="58"/>
        <v>Lancar</v>
      </c>
      <c r="M1235" s="5" t="str">
        <f t="shared" si="59"/>
        <v>003</v>
      </c>
      <c r="N1235" s="55" t="str">
        <f>VLOOKUP(D1235,Pinjaman!$E$7:$N$1900,10,FALSE)</f>
        <v>KONSUMTIF</v>
      </c>
      <c r="O1235" s="55">
        <f>VLOOKUP(B1235,'Data Angt'!$A$5:$H$5810,6,FALSE)</f>
        <v>53</v>
      </c>
      <c r="P1235" s="55" t="str">
        <f>VLOOKUP(B1235,'Data Angt'!$A$5:$H$5810,8,FALSE)</f>
        <v>Wiraswasta</v>
      </c>
    </row>
    <row r="1236" spans="1:16" x14ac:dyDescent="0.3">
      <c r="A1236" s="8">
        <v>1229</v>
      </c>
      <c r="B1236" s="9" t="s">
        <v>9018</v>
      </c>
      <c r="C1236" s="10" t="str">
        <f>VLOOKUP(B1236,'Data Angt'!$A$5:$B$5809,2,FALSE)</f>
        <v>A4100</v>
      </c>
      <c r="D1236" s="12" t="s">
        <v>10488</v>
      </c>
      <c r="E1236" s="13">
        <v>45145</v>
      </c>
      <c r="F1236" s="14">
        <v>45930</v>
      </c>
      <c r="G1236" s="15">
        <v>5000000</v>
      </c>
      <c r="H1236" s="16">
        <v>12</v>
      </c>
      <c r="I1236" s="17">
        <v>24</v>
      </c>
      <c r="J1236" s="15">
        <v>3333200</v>
      </c>
      <c r="K1236" s="98">
        <f t="shared" si="57"/>
        <v>0</v>
      </c>
      <c r="L1236" s="98" t="str">
        <f t="shared" si="58"/>
        <v>Lancar</v>
      </c>
      <c r="M1236" s="5" t="str">
        <f t="shared" si="59"/>
        <v>003</v>
      </c>
      <c r="N1236" s="55" t="str">
        <f>VLOOKUP(D1236,Pinjaman!$E$7:$N$1900,10,FALSE)</f>
        <v>PRODUKTIF</v>
      </c>
      <c r="O1236" s="55">
        <f>VLOOKUP(B1236,'Data Angt'!$A$5:$H$5810,6,FALSE)</f>
        <v>45</v>
      </c>
      <c r="P1236" s="55" t="str">
        <f>VLOOKUP(B1236,'Data Angt'!$A$5:$H$5810,8,FALSE)</f>
        <v>Wiraswasta</v>
      </c>
    </row>
    <row r="1237" spans="1:16" x14ac:dyDescent="0.3">
      <c r="A1237" s="8">
        <v>1230</v>
      </c>
      <c r="B1237" s="9" t="s">
        <v>9025</v>
      </c>
      <c r="C1237" s="10" t="str">
        <f>VLOOKUP(B1237,'Data Angt'!$A$5:$B$5809,2,FALSE)</f>
        <v>A4103</v>
      </c>
      <c r="D1237" s="12" t="s">
        <v>17038</v>
      </c>
      <c r="E1237" s="13">
        <v>45587</v>
      </c>
      <c r="F1237" s="14">
        <v>45922</v>
      </c>
      <c r="G1237" s="15">
        <v>5000000</v>
      </c>
      <c r="H1237" s="16">
        <v>18</v>
      </c>
      <c r="I1237" s="17">
        <v>24</v>
      </c>
      <c r="J1237" s="15">
        <v>1944200</v>
      </c>
      <c r="K1237" s="98">
        <f t="shared" si="57"/>
        <v>0</v>
      </c>
      <c r="L1237" s="98" t="str">
        <f t="shared" si="58"/>
        <v>Lancar</v>
      </c>
      <c r="M1237" s="5" t="str">
        <f t="shared" si="59"/>
        <v>003</v>
      </c>
      <c r="N1237" s="55" t="str">
        <f>VLOOKUP(D1237,Pinjaman!$E$7:$N$1900,10,FALSE)</f>
        <v>PRODUKTIF</v>
      </c>
      <c r="O1237" s="55">
        <f>VLOOKUP(B1237,'Data Angt'!$A$5:$H$5810,6,FALSE)</f>
        <v>42</v>
      </c>
      <c r="P1237" s="55" t="str">
        <f>VLOOKUP(B1237,'Data Angt'!$A$5:$H$5810,8,FALSE)</f>
        <v>Wiraswasta</v>
      </c>
    </row>
    <row r="1238" spans="1:16" x14ac:dyDescent="0.3">
      <c r="A1238" s="8">
        <v>1231</v>
      </c>
      <c r="B1238" s="9" t="s">
        <v>9065</v>
      </c>
      <c r="C1238" s="10" t="str">
        <f>VLOOKUP(B1238,'Data Angt'!$A$5:$B$5809,2,FALSE)</f>
        <v>A4123</v>
      </c>
      <c r="D1238" s="12" t="s">
        <v>17040</v>
      </c>
      <c r="E1238" s="13">
        <v>45409</v>
      </c>
      <c r="F1238" s="14">
        <v>45777</v>
      </c>
      <c r="G1238" s="15">
        <v>20000000</v>
      </c>
      <c r="H1238" s="16">
        <v>24</v>
      </c>
      <c r="I1238" s="17">
        <v>24</v>
      </c>
      <c r="J1238" s="15">
        <v>9999200</v>
      </c>
      <c r="K1238" s="98">
        <f t="shared" si="57"/>
        <v>5</v>
      </c>
      <c r="L1238" s="98" t="str">
        <f t="shared" si="58"/>
        <v>Kurang lancar</v>
      </c>
      <c r="M1238" s="5" t="str">
        <f t="shared" si="59"/>
        <v>003</v>
      </c>
      <c r="N1238" s="55" t="str">
        <f>VLOOKUP(D1238,Pinjaman!$E$7:$N$1900,10,FALSE)</f>
        <v>KESEJAHTERAAN</v>
      </c>
      <c r="O1238" s="55">
        <f>VLOOKUP(B1238,'Data Angt'!$A$5:$H$5810,6,FALSE)</f>
        <v>60</v>
      </c>
      <c r="P1238" s="55" t="str">
        <f>VLOOKUP(B1238,'Data Angt'!$A$5:$H$5810,8,FALSE)</f>
        <v>Aparatur/Pejabat Negara</v>
      </c>
    </row>
    <row r="1239" spans="1:16" x14ac:dyDescent="0.3">
      <c r="A1239" s="8">
        <v>1232</v>
      </c>
      <c r="B1239" s="9" t="s">
        <v>9078</v>
      </c>
      <c r="C1239" s="10" t="str">
        <f>VLOOKUP(B1239,'Data Angt'!$A$5:$B$5809,2,FALSE)</f>
        <v>A4129</v>
      </c>
      <c r="D1239" s="12" t="s">
        <v>23418</v>
      </c>
      <c r="E1239" s="13">
        <v>45845</v>
      </c>
      <c r="F1239" s="14">
        <v>45902</v>
      </c>
      <c r="G1239" s="15">
        <v>5000000</v>
      </c>
      <c r="H1239" s="16">
        <v>12</v>
      </c>
      <c r="I1239" s="17">
        <v>24</v>
      </c>
      <c r="J1239" s="15">
        <v>4166600</v>
      </c>
      <c r="K1239" s="98">
        <f t="shared" si="57"/>
        <v>0</v>
      </c>
      <c r="L1239" s="98" t="str">
        <f t="shared" si="58"/>
        <v>Lancar</v>
      </c>
      <c r="M1239" s="5" t="str">
        <f t="shared" si="59"/>
        <v>003</v>
      </c>
      <c r="N1239" s="55" t="str">
        <f>VLOOKUP(D1239,Pinjaman!$E$7:$N$1900,10,FALSE)</f>
        <v>PENDIDIKAN</v>
      </c>
      <c r="O1239" s="55">
        <f>VLOOKUP(B1239,'Data Angt'!$A$5:$H$5810,6,FALSE)</f>
        <v>17</v>
      </c>
      <c r="P1239" s="55" t="str">
        <f>VLOOKUP(B1239,'Data Angt'!$A$5:$H$5810,8,FALSE)</f>
        <v>Pelajar/Mahasiswa</v>
      </c>
    </row>
    <row r="1240" spans="1:16" x14ac:dyDescent="0.3">
      <c r="A1240" s="8">
        <v>1233</v>
      </c>
      <c r="B1240" s="9" t="s">
        <v>9096</v>
      </c>
      <c r="C1240" s="10" t="str">
        <f>VLOOKUP(B1240,'Data Angt'!$A$5:$B$5809,2,FALSE)</f>
        <v>A4139</v>
      </c>
      <c r="D1240" s="12" t="s">
        <v>23420</v>
      </c>
      <c r="E1240" s="13">
        <v>45845</v>
      </c>
      <c r="F1240" s="14">
        <v>45909</v>
      </c>
      <c r="G1240" s="15">
        <v>8000000</v>
      </c>
      <c r="H1240" s="16">
        <v>18</v>
      </c>
      <c r="I1240" s="17">
        <v>24</v>
      </c>
      <c r="J1240" s="15">
        <v>7111000</v>
      </c>
      <c r="K1240" s="98">
        <f t="shared" si="57"/>
        <v>0</v>
      </c>
      <c r="L1240" s="98" t="str">
        <f t="shared" si="58"/>
        <v>Lancar</v>
      </c>
      <c r="M1240" s="5" t="str">
        <f t="shared" si="59"/>
        <v>003</v>
      </c>
      <c r="N1240" s="55" t="str">
        <f>VLOOKUP(D1240,Pinjaman!$E$7:$N$1900,10,FALSE)</f>
        <v>PRODUKTIF</v>
      </c>
      <c r="O1240" s="55">
        <f>VLOOKUP(B1240,'Data Angt'!$A$5:$H$5810,6,FALSE)</f>
        <v>38</v>
      </c>
      <c r="P1240" s="55" t="str">
        <f>VLOOKUP(B1240,'Data Angt'!$A$5:$H$5810,8,FALSE)</f>
        <v>Wiraswasta</v>
      </c>
    </row>
    <row r="1241" spans="1:16" x14ac:dyDescent="0.3">
      <c r="A1241" s="8">
        <v>1234</v>
      </c>
      <c r="B1241" s="9" t="s">
        <v>9154</v>
      </c>
      <c r="C1241" s="10" t="str">
        <f>VLOOKUP(B1241,'Data Angt'!$A$5:$B$5809,2,FALSE)</f>
        <v>A4164</v>
      </c>
      <c r="D1241" s="12" t="s">
        <v>17042</v>
      </c>
      <c r="E1241" s="13">
        <v>45723</v>
      </c>
      <c r="F1241" s="14">
        <v>45910</v>
      </c>
      <c r="G1241" s="15">
        <v>2000000</v>
      </c>
      <c r="H1241" s="16">
        <v>12</v>
      </c>
      <c r="I1241" s="17">
        <v>24</v>
      </c>
      <c r="J1241" s="15">
        <v>999800</v>
      </c>
      <c r="K1241" s="98">
        <f t="shared" si="57"/>
        <v>0</v>
      </c>
      <c r="L1241" s="98" t="str">
        <f t="shared" si="58"/>
        <v>Lancar</v>
      </c>
      <c r="M1241" s="5" t="str">
        <f t="shared" si="59"/>
        <v>003</v>
      </c>
      <c r="N1241" s="55" t="str">
        <f>VLOOKUP(D1241,Pinjaman!$E$7:$N$1900,10,FALSE)</f>
        <v>KONSUMTIF</v>
      </c>
      <c r="O1241" s="55">
        <f>VLOOKUP(B1241,'Data Angt'!$A$5:$H$5810,6,FALSE)</f>
        <v>54</v>
      </c>
      <c r="P1241" s="55" t="str">
        <f>VLOOKUP(B1241,'Data Angt'!$A$5:$H$5810,8,FALSE)</f>
        <v>Tenaga Pengajar</v>
      </c>
    </row>
    <row r="1242" spans="1:16" x14ac:dyDescent="0.3">
      <c r="A1242" s="8">
        <v>1235</v>
      </c>
      <c r="B1242" s="9" t="s">
        <v>9169</v>
      </c>
      <c r="C1242" s="10" t="str">
        <f>VLOOKUP(B1242,'Data Angt'!$A$5:$B$5809,2,FALSE)</f>
        <v>A4172</v>
      </c>
      <c r="D1242" s="12" t="s">
        <v>23423</v>
      </c>
      <c r="E1242" s="13">
        <v>45898</v>
      </c>
      <c r="F1242" s="14">
        <v>45929</v>
      </c>
      <c r="G1242" s="15">
        <v>15000000</v>
      </c>
      <c r="H1242" s="16">
        <v>24</v>
      </c>
      <c r="I1242" s="17">
        <v>24</v>
      </c>
      <c r="J1242" s="15">
        <v>14375000</v>
      </c>
      <c r="K1242" s="98">
        <f t="shared" si="57"/>
        <v>0</v>
      </c>
      <c r="L1242" s="98" t="str">
        <f t="shared" si="58"/>
        <v>Lancar</v>
      </c>
      <c r="M1242" s="5" t="str">
        <f t="shared" si="59"/>
        <v>003</v>
      </c>
      <c r="N1242" s="55" t="str">
        <f>VLOOKUP(D1242,Pinjaman!$E$7:$N$1900,10,FALSE)</f>
        <v>PRODUKTIF</v>
      </c>
      <c r="O1242" s="55">
        <f>VLOOKUP(B1242,'Data Angt'!$A$5:$H$5810,6,FALSE)</f>
        <v>44</v>
      </c>
      <c r="P1242" s="55" t="str">
        <f>VLOOKUP(B1242,'Data Angt'!$A$5:$H$5810,8,FALSE)</f>
        <v>Wiraswasta</v>
      </c>
    </row>
    <row r="1243" spans="1:16" x14ac:dyDescent="0.3">
      <c r="A1243" s="8">
        <v>1236</v>
      </c>
      <c r="B1243" s="9" t="s">
        <v>9198</v>
      </c>
      <c r="C1243" s="10" t="str">
        <f>VLOOKUP(B1243,'Data Angt'!$A$5:$B$5809,2,FALSE)</f>
        <v>A4185</v>
      </c>
      <c r="D1243" s="12" t="s">
        <v>23426</v>
      </c>
      <c r="E1243" s="13">
        <v>45846</v>
      </c>
      <c r="F1243" s="14">
        <v>45904</v>
      </c>
      <c r="G1243" s="15">
        <v>1500000</v>
      </c>
      <c r="H1243" s="16">
        <v>12</v>
      </c>
      <c r="I1243" s="17">
        <v>24</v>
      </c>
      <c r="J1243" s="15">
        <v>1250000</v>
      </c>
      <c r="K1243" s="98">
        <f t="shared" si="57"/>
        <v>0</v>
      </c>
      <c r="L1243" s="98" t="str">
        <f t="shared" si="58"/>
        <v>Lancar</v>
      </c>
      <c r="M1243" s="5" t="str">
        <f t="shared" si="59"/>
        <v>003</v>
      </c>
      <c r="N1243" s="55" t="str">
        <f>VLOOKUP(D1243,Pinjaman!$E$7:$N$1900,10,FALSE)</f>
        <v>PRODUKTIF</v>
      </c>
      <c r="O1243" s="55">
        <f>VLOOKUP(B1243,'Data Angt'!$A$5:$H$5810,6,FALSE)</f>
        <v>54</v>
      </c>
      <c r="P1243" s="55" t="str">
        <f>VLOOKUP(B1243,'Data Angt'!$A$5:$H$5810,8,FALSE)</f>
        <v>Wiraswasta</v>
      </c>
    </row>
    <row r="1244" spans="1:16" x14ac:dyDescent="0.3">
      <c r="A1244" s="8">
        <v>1237</v>
      </c>
      <c r="B1244" s="9" t="s">
        <v>9199</v>
      </c>
      <c r="C1244" s="10" t="str">
        <f>VLOOKUP(B1244,'Data Angt'!$A$5:$B$5809,2,FALSE)</f>
        <v>A4186</v>
      </c>
      <c r="D1244" s="12" t="s">
        <v>17044</v>
      </c>
      <c r="E1244" s="13">
        <v>45511</v>
      </c>
      <c r="F1244" s="14">
        <v>45716</v>
      </c>
      <c r="G1244" s="15">
        <v>5000000</v>
      </c>
      <c r="H1244" s="16">
        <v>18</v>
      </c>
      <c r="I1244" s="17">
        <v>24</v>
      </c>
      <c r="J1244" s="15">
        <v>3333200</v>
      </c>
      <c r="K1244" s="98">
        <f t="shared" si="57"/>
        <v>7</v>
      </c>
      <c r="L1244" s="98" t="str">
        <f t="shared" si="58"/>
        <v>Diragukan</v>
      </c>
      <c r="M1244" s="5" t="str">
        <f t="shared" si="59"/>
        <v>003</v>
      </c>
      <c r="N1244" s="55" t="str">
        <f>VLOOKUP(D1244,Pinjaman!$E$7:$N$1900,10,FALSE)</f>
        <v>PRODUKTIF</v>
      </c>
      <c r="O1244" s="55">
        <f>VLOOKUP(B1244,'Data Angt'!$A$5:$H$5810,6,FALSE)</f>
        <v>31</v>
      </c>
      <c r="P1244" s="55" t="str">
        <f>VLOOKUP(B1244,'Data Angt'!$A$5:$H$5810,8,FALSE)</f>
        <v>Wiraswasta</v>
      </c>
    </row>
    <row r="1245" spans="1:16" x14ac:dyDescent="0.3">
      <c r="A1245" s="8">
        <v>1238</v>
      </c>
      <c r="B1245" s="9" t="s">
        <v>9207</v>
      </c>
      <c r="C1245" s="10" t="str">
        <f>VLOOKUP(B1245,'Data Angt'!$A$5:$B$5809,2,FALSE)</f>
        <v>A4190</v>
      </c>
      <c r="D1245" s="12" t="s">
        <v>17047</v>
      </c>
      <c r="E1245" s="13">
        <v>45679</v>
      </c>
      <c r="F1245" s="14">
        <v>45930</v>
      </c>
      <c r="G1245" s="15">
        <v>2000000</v>
      </c>
      <c r="H1245" s="16">
        <v>12</v>
      </c>
      <c r="I1245" s="17">
        <v>24</v>
      </c>
      <c r="J1245" s="15">
        <v>666400</v>
      </c>
      <c r="K1245" s="98">
        <f t="shared" si="57"/>
        <v>0</v>
      </c>
      <c r="L1245" s="98" t="str">
        <f t="shared" si="58"/>
        <v>Lancar</v>
      </c>
      <c r="M1245" s="5" t="str">
        <f t="shared" si="59"/>
        <v>003</v>
      </c>
      <c r="N1245" s="55" t="str">
        <f>VLOOKUP(D1245,Pinjaman!$E$7:$N$1900,10,FALSE)</f>
        <v>PRODUKTIF</v>
      </c>
      <c r="O1245" s="55">
        <f>VLOOKUP(B1245,'Data Angt'!$A$5:$H$5810,6,FALSE)</f>
        <v>48</v>
      </c>
      <c r="P1245" s="55" t="str">
        <f>VLOOKUP(B1245,'Data Angt'!$A$5:$H$5810,8,FALSE)</f>
        <v>Wiraswasta</v>
      </c>
    </row>
    <row r="1246" spans="1:16" x14ac:dyDescent="0.3">
      <c r="A1246" s="8">
        <v>1239</v>
      </c>
      <c r="B1246" s="9" t="s">
        <v>9284</v>
      </c>
      <c r="C1246" s="10" t="str">
        <f>VLOOKUP(B1246,'Data Angt'!$A$5:$B$5809,2,FALSE)</f>
        <v>A4221</v>
      </c>
      <c r="D1246" s="12" t="s">
        <v>17049</v>
      </c>
      <c r="E1246" s="13">
        <v>45631</v>
      </c>
      <c r="F1246" s="14">
        <v>45869</v>
      </c>
      <c r="G1246" s="15">
        <v>10000000</v>
      </c>
      <c r="H1246" s="16">
        <v>12</v>
      </c>
      <c r="I1246" s="17">
        <v>24</v>
      </c>
      <c r="J1246" s="15">
        <v>6666400</v>
      </c>
      <c r="K1246" s="98">
        <f t="shared" si="57"/>
        <v>1</v>
      </c>
      <c r="L1246" s="98" t="str">
        <f t="shared" si="58"/>
        <v>Lancar</v>
      </c>
      <c r="M1246" s="5" t="str">
        <f t="shared" si="59"/>
        <v>003</v>
      </c>
      <c r="N1246" s="55" t="str">
        <f>VLOOKUP(D1246,Pinjaman!$E$7:$N$1900,10,FALSE)</f>
        <v>PENDIDIKAN</v>
      </c>
      <c r="O1246" s="55">
        <f>VLOOKUP(B1246,'Data Angt'!$A$5:$H$5810,6,FALSE)</f>
        <v>38</v>
      </c>
      <c r="P1246" s="55" t="str">
        <f>VLOOKUP(B1246,'Data Angt'!$A$5:$H$5810,8,FALSE)</f>
        <v>Wiraswasta</v>
      </c>
    </row>
    <row r="1247" spans="1:16" x14ac:dyDescent="0.3">
      <c r="A1247" s="8">
        <v>1240</v>
      </c>
      <c r="B1247" s="9" t="s">
        <v>9297</v>
      </c>
      <c r="C1247" s="10" t="str">
        <f>VLOOKUP(B1247,'Data Angt'!$A$5:$B$5809,2,FALSE)</f>
        <v>A4226</v>
      </c>
      <c r="D1247" s="12" t="s">
        <v>17051</v>
      </c>
      <c r="E1247" s="13">
        <v>45721</v>
      </c>
      <c r="F1247" s="14">
        <v>45904</v>
      </c>
      <c r="G1247" s="15">
        <v>5000000</v>
      </c>
      <c r="H1247" s="16">
        <v>12</v>
      </c>
      <c r="I1247" s="17">
        <v>24</v>
      </c>
      <c r="J1247" s="15">
        <v>2499800</v>
      </c>
      <c r="K1247" s="98">
        <f t="shared" si="57"/>
        <v>0</v>
      </c>
      <c r="L1247" s="98" t="str">
        <f t="shared" si="58"/>
        <v>Lancar</v>
      </c>
      <c r="M1247" s="5" t="str">
        <f t="shared" si="59"/>
        <v>003</v>
      </c>
      <c r="N1247" s="55" t="str">
        <f>VLOOKUP(D1247,Pinjaman!$E$7:$N$1900,10,FALSE)</f>
        <v>PRODUKTIF</v>
      </c>
      <c r="O1247" s="55">
        <f>VLOOKUP(B1247,'Data Angt'!$A$5:$H$5810,6,FALSE)</f>
        <v>49</v>
      </c>
      <c r="P1247" s="55" t="str">
        <f>VLOOKUP(B1247,'Data Angt'!$A$5:$H$5810,8,FALSE)</f>
        <v>Wiraswasta</v>
      </c>
    </row>
    <row r="1248" spans="1:16" x14ac:dyDescent="0.3">
      <c r="A1248" s="8">
        <v>1241</v>
      </c>
      <c r="B1248" s="9" t="s">
        <v>9299</v>
      </c>
      <c r="C1248" s="10" t="str">
        <f>VLOOKUP(B1248,'Data Angt'!$A$5:$B$5809,2,FALSE)</f>
        <v>A4227</v>
      </c>
      <c r="D1248" s="12" t="s">
        <v>23430</v>
      </c>
      <c r="E1248" s="13">
        <v>45904</v>
      </c>
      <c r="F1248" s="14">
        <v>45904</v>
      </c>
      <c r="G1248" s="15">
        <v>6500000</v>
      </c>
      <c r="H1248" s="16">
        <v>12</v>
      </c>
      <c r="I1248" s="17">
        <v>24</v>
      </c>
      <c r="J1248" s="15">
        <v>6500000</v>
      </c>
      <c r="K1248" s="98">
        <f t="shared" si="57"/>
        <v>0</v>
      </c>
      <c r="L1248" s="98" t="str">
        <f t="shared" si="58"/>
        <v>Lancar</v>
      </c>
      <c r="M1248" s="5" t="str">
        <f t="shared" si="59"/>
        <v>003</v>
      </c>
      <c r="N1248" s="55" t="str">
        <f>VLOOKUP(D1248,Pinjaman!$E$7:$N$1900,10,FALSE)</f>
        <v>PRODUKTIF</v>
      </c>
      <c r="O1248" s="55">
        <f>VLOOKUP(B1248,'Data Angt'!$A$5:$H$5810,6,FALSE)</f>
        <v>33</v>
      </c>
      <c r="P1248" s="55" t="str">
        <f>VLOOKUP(B1248,'Data Angt'!$A$5:$H$5810,8,FALSE)</f>
        <v>Wiraswasta</v>
      </c>
    </row>
    <row r="1249" spans="1:16" x14ac:dyDescent="0.3">
      <c r="A1249" s="8">
        <v>1242</v>
      </c>
      <c r="B1249" s="9" t="s">
        <v>9301</v>
      </c>
      <c r="C1249" s="10" t="str">
        <f>VLOOKUP(B1249,'Data Angt'!$A$5:$B$5809,2,FALSE)</f>
        <v>A4228</v>
      </c>
      <c r="D1249" s="12" t="s">
        <v>17053</v>
      </c>
      <c r="E1249" s="13">
        <v>45792</v>
      </c>
      <c r="F1249" s="14">
        <v>45911</v>
      </c>
      <c r="G1249" s="15">
        <v>3000000</v>
      </c>
      <c r="H1249" s="16">
        <v>24</v>
      </c>
      <c r="I1249" s="17">
        <v>24</v>
      </c>
      <c r="J1249" s="15">
        <v>2500000</v>
      </c>
      <c r="K1249" s="98">
        <f t="shared" si="57"/>
        <v>0</v>
      </c>
      <c r="L1249" s="98" t="str">
        <f t="shared" si="58"/>
        <v>Lancar</v>
      </c>
      <c r="M1249" s="5" t="str">
        <f t="shared" si="59"/>
        <v>003</v>
      </c>
      <c r="N1249" s="55" t="str">
        <f>VLOOKUP(D1249,Pinjaman!$E$7:$N$1900,10,FALSE)</f>
        <v>PRODUKTIF</v>
      </c>
      <c r="O1249" s="55">
        <f>VLOOKUP(B1249,'Data Angt'!$A$5:$H$5810,6,FALSE)</f>
        <v>41</v>
      </c>
      <c r="P1249" s="55" t="str">
        <f>VLOOKUP(B1249,'Data Angt'!$A$5:$H$5810,8,FALSE)</f>
        <v>Mengurus Rumah Tangga</v>
      </c>
    </row>
    <row r="1250" spans="1:16" x14ac:dyDescent="0.3">
      <c r="A1250" s="8">
        <v>1243</v>
      </c>
      <c r="B1250" s="9" t="s">
        <v>9349</v>
      </c>
      <c r="C1250" s="10" t="str">
        <f>VLOOKUP(B1250,'Data Angt'!$A$5:$B$5809,2,FALSE)</f>
        <v>A4252</v>
      </c>
      <c r="D1250" s="12" t="s">
        <v>10492</v>
      </c>
      <c r="E1250" s="13">
        <v>45210</v>
      </c>
      <c r="F1250" s="14">
        <v>45911</v>
      </c>
      <c r="G1250" s="15">
        <v>22000000</v>
      </c>
      <c r="H1250" s="16">
        <v>36</v>
      </c>
      <c r="I1250" s="17">
        <v>24</v>
      </c>
      <c r="J1250" s="15">
        <v>7942400</v>
      </c>
      <c r="K1250" s="98">
        <f t="shared" si="57"/>
        <v>0</v>
      </c>
      <c r="L1250" s="98" t="str">
        <f t="shared" si="58"/>
        <v>Lancar</v>
      </c>
      <c r="M1250" s="5" t="str">
        <f t="shared" si="59"/>
        <v>003</v>
      </c>
      <c r="N1250" s="55" t="str">
        <f>VLOOKUP(D1250,Pinjaman!$E$7:$N$1900,10,FALSE)</f>
        <v>KONSUMTIF</v>
      </c>
      <c r="O1250" s="55">
        <f>VLOOKUP(B1250,'Data Angt'!$A$5:$H$5810,6,FALSE)</f>
        <v>27</v>
      </c>
      <c r="P1250" s="55" t="str">
        <f>VLOOKUP(B1250,'Data Angt'!$A$5:$H$5810,8,FALSE)</f>
        <v>Karyawan</v>
      </c>
    </row>
    <row r="1251" spans="1:16" x14ac:dyDescent="0.3">
      <c r="A1251" s="8">
        <v>1244</v>
      </c>
      <c r="B1251" s="9" t="s">
        <v>9359</v>
      </c>
      <c r="C1251" s="10" t="str">
        <f>VLOOKUP(B1251,'Data Angt'!$A$5:$B$5809,2,FALSE)</f>
        <v>A4257</v>
      </c>
      <c r="D1251" s="12" t="s">
        <v>23433</v>
      </c>
      <c r="E1251" s="13">
        <v>45912</v>
      </c>
      <c r="F1251" s="14">
        <v>45912</v>
      </c>
      <c r="G1251" s="15">
        <v>3000000</v>
      </c>
      <c r="H1251" s="16">
        <v>12</v>
      </c>
      <c r="I1251" s="17">
        <v>24</v>
      </c>
      <c r="J1251" s="15">
        <v>3000000</v>
      </c>
      <c r="K1251" s="98">
        <f t="shared" si="57"/>
        <v>0</v>
      </c>
      <c r="L1251" s="98" t="str">
        <f t="shared" si="58"/>
        <v>Lancar</v>
      </c>
      <c r="M1251" s="5" t="str">
        <f t="shared" si="59"/>
        <v>003</v>
      </c>
      <c r="N1251" s="55" t="str">
        <f>VLOOKUP(D1251,Pinjaman!$E$7:$N$1900,10,FALSE)</f>
        <v>PENDIDIKAN</v>
      </c>
      <c r="O1251" s="55">
        <f>VLOOKUP(B1251,'Data Angt'!$A$5:$H$5810,6,FALSE)</f>
        <v>38</v>
      </c>
      <c r="P1251" s="55" t="str">
        <f>VLOOKUP(B1251,'Data Angt'!$A$5:$H$5810,8,FALSE)</f>
        <v>Wiraswasta</v>
      </c>
    </row>
    <row r="1252" spans="1:16" x14ac:dyDescent="0.3">
      <c r="A1252" s="8">
        <v>1245</v>
      </c>
      <c r="B1252" s="9" t="s">
        <v>9367</v>
      </c>
      <c r="C1252" s="10" t="str">
        <f>VLOOKUP(B1252,'Data Angt'!$A$5:$B$5809,2,FALSE)</f>
        <v>A4261</v>
      </c>
      <c r="D1252" s="12" t="s">
        <v>17055</v>
      </c>
      <c r="E1252" s="13">
        <v>45530</v>
      </c>
      <c r="F1252" s="14">
        <v>45930</v>
      </c>
      <c r="G1252" s="15">
        <v>15000000</v>
      </c>
      <c r="H1252" s="16">
        <v>24</v>
      </c>
      <c r="I1252" s="17">
        <v>24</v>
      </c>
      <c r="J1252" s="15">
        <v>6875000</v>
      </c>
      <c r="K1252" s="98">
        <f t="shared" si="57"/>
        <v>0</v>
      </c>
      <c r="L1252" s="98" t="str">
        <f t="shared" si="58"/>
        <v>Lancar</v>
      </c>
      <c r="M1252" s="5" t="str">
        <f t="shared" si="59"/>
        <v>003</v>
      </c>
      <c r="N1252" s="55" t="str">
        <f>VLOOKUP(D1252,Pinjaman!$E$7:$N$1900,10,FALSE)</f>
        <v>PRODUKTIF</v>
      </c>
      <c r="O1252" s="55">
        <f>VLOOKUP(B1252,'Data Angt'!$A$5:$H$5810,6,FALSE)</f>
        <v>39</v>
      </c>
      <c r="P1252" s="55" t="str">
        <f>VLOOKUP(B1252,'Data Angt'!$A$5:$H$5810,8,FALSE)</f>
        <v>Wiraswasta</v>
      </c>
    </row>
    <row r="1253" spans="1:16" x14ac:dyDescent="0.3">
      <c r="A1253" s="8">
        <v>1246</v>
      </c>
      <c r="B1253" s="9" t="s">
        <v>9401</v>
      </c>
      <c r="C1253" s="10" t="str">
        <f>VLOOKUP(B1253,'Data Angt'!$A$5:$B$5809,2,FALSE)</f>
        <v>A4277</v>
      </c>
      <c r="D1253" s="12" t="s">
        <v>17058</v>
      </c>
      <c r="E1253" s="13">
        <v>45654</v>
      </c>
      <c r="F1253" s="14">
        <v>45929</v>
      </c>
      <c r="G1253" s="15">
        <v>1800000</v>
      </c>
      <c r="H1253" s="16">
        <v>10</v>
      </c>
      <c r="I1253" s="17">
        <v>12</v>
      </c>
      <c r="J1253" s="15">
        <v>188100</v>
      </c>
      <c r="K1253" s="98">
        <f t="shared" si="57"/>
        <v>0</v>
      </c>
      <c r="L1253" s="98" t="str">
        <f t="shared" si="58"/>
        <v>Lancar</v>
      </c>
      <c r="M1253" s="5" t="str">
        <f t="shared" si="59"/>
        <v>003</v>
      </c>
      <c r="N1253" s="55" t="str">
        <f>VLOOKUP(D1253,Pinjaman!$E$7:$N$1900,10,FALSE)</f>
        <v>KONSUMTIF</v>
      </c>
      <c r="O1253" s="55">
        <f>VLOOKUP(B1253,'Data Angt'!$A$5:$H$5810,6,FALSE)</f>
        <v>33</v>
      </c>
      <c r="P1253" s="55" t="str">
        <f>VLOOKUP(B1253,'Data Angt'!$A$5:$H$5810,8,FALSE)</f>
        <v>Wiraswasta</v>
      </c>
    </row>
    <row r="1254" spans="1:16" x14ac:dyDescent="0.3">
      <c r="A1254" s="8">
        <v>1247</v>
      </c>
      <c r="B1254" s="9" t="s">
        <v>9426</v>
      </c>
      <c r="C1254" s="10" t="str">
        <f>VLOOKUP(B1254,'Data Angt'!$A$5:$B$5809,2,FALSE)</f>
        <v>A4288</v>
      </c>
      <c r="D1254" s="12" t="s">
        <v>23436</v>
      </c>
      <c r="E1254" s="13">
        <v>45849</v>
      </c>
      <c r="F1254" s="14">
        <v>45911</v>
      </c>
      <c r="G1254" s="15">
        <v>17000000</v>
      </c>
      <c r="H1254" s="16">
        <v>24</v>
      </c>
      <c r="I1254" s="17">
        <v>24</v>
      </c>
      <c r="J1254" s="15">
        <v>15583200</v>
      </c>
      <c r="K1254" s="98">
        <f t="shared" si="57"/>
        <v>0</v>
      </c>
      <c r="L1254" s="98" t="str">
        <f t="shared" si="58"/>
        <v>Lancar</v>
      </c>
      <c r="M1254" s="5" t="str">
        <f t="shared" si="59"/>
        <v>003</v>
      </c>
      <c r="N1254" s="55" t="str">
        <f>VLOOKUP(D1254,Pinjaman!$E$7:$N$1900,10,FALSE)</f>
        <v>PRODUKTIF</v>
      </c>
      <c r="O1254" s="55">
        <f>VLOOKUP(B1254,'Data Angt'!$A$5:$H$5810,6,FALSE)</f>
        <v>36</v>
      </c>
      <c r="P1254" s="55" t="str">
        <f>VLOOKUP(B1254,'Data Angt'!$A$5:$H$5810,8,FALSE)</f>
        <v>Mengurus Rumah Tangga</v>
      </c>
    </row>
    <row r="1255" spans="1:16" x14ac:dyDescent="0.3">
      <c r="A1255" s="8">
        <v>1248</v>
      </c>
      <c r="B1255" s="9" t="s">
        <v>9527</v>
      </c>
      <c r="C1255" s="10" t="str">
        <f>VLOOKUP(B1255,'Data Angt'!$A$5:$B$5809,2,FALSE)</f>
        <v>A4331</v>
      </c>
      <c r="D1255" s="12" t="s">
        <v>17061</v>
      </c>
      <c r="E1255" s="13">
        <v>45727</v>
      </c>
      <c r="F1255" s="14">
        <v>45923</v>
      </c>
      <c r="G1255" s="15">
        <v>6000000</v>
      </c>
      <c r="H1255" s="16">
        <v>12</v>
      </c>
      <c r="I1255" s="17">
        <v>24</v>
      </c>
      <c r="J1255" s="15">
        <v>3000000</v>
      </c>
      <c r="K1255" s="98">
        <f t="shared" si="57"/>
        <v>0</v>
      </c>
      <c r="L1255" s="98" t="str">
        <f t="shared" si="58"/>
        <v>Lancar</v>
      </c>
      <c r="M1255" s="5" t="str">
        <f t="shared" si="59"/>
        <v>003</v>
      </c>
      <c r="N1255" s="55" t="str">
        <f>VLOOKUP(D1255,Pinjaman!$E$7:$N$1900,10,FALSE)</f>
        <v>PRODUKTIF</v>
      </c>
      <c r="O1255" s="55">
        <f>VLOOKUP(B1255,'Data Angt'!$A$5:$H$5810,6,FALSE)</f>
        <v>29</v>
      </c>
      <c r="P1255" s="55" t="str">
        <f>VLOOKUP(B1255,'Data Angt'!$A$5:$H$5810,8,FALSE)</f>
        <v>Mengurus Rumah Tangga</v>
      </c>
    </row>
    <row r="1256" spans="1:16" x14ac:dyDescent="0.3">
      <c r="A1256" s="8">
        <v>1249</v>
      </c>
      <c r="B1256" s="9" t="s">
        <v>9539</v>
      </c>
      <c r="C1256" s="10" t="str">
        <f>VLOOKUP(B1256,'Data Angt'!$A$5:$B$5809,2,FALSE)</f>
        <v>A4336</v>
      </c>
      <c r="D1256" s="12" t="s">
        <v>17063</v>
      </c>
      <c r="E1256" s="13">
        <v>45825</v>
      </c>
      <c r="F1256" s="14">
        <v>45930</v>
      </c>
      <c r="G1256" s="15">
        <v>25000000</v>
      </c>
      <c r="H1256" s="16">
        <v>36</v>
      </c>
      <c r="I1256" s="17">
        <v>21</v>
      </c>
      <c r="J1256" s="15">
        <v>22916500</v>
      </c>
      <c r="K1256" s="98">
        <f t="shared" si="57"/>
        <v>0</v>
      </c>
      <c r="L1256" s="98" t="str">
        <f t="shared" si="58"/>
        <v>Lancar</v>
      </c>
      <c r="M1256" s="5" t="str">
        <f t="shared" si="59"/>
        <v>003</v>
      </c>
      <c r="N1256" s="55" t="str">
        <f>VLOOKUP(D1256,Pinjaman!$E$7:$N$1900,10,FALSE)</f>
        <v>KESEJAHTERAAN</v>
      </c>
      <c r="O1256" s="55">
        <f>VLOOKUP(B1256,'Data Angt'!$A$5:$H$5810,6,FALSE)</f>
        <v>47</v>
      </c>
      <c r="P1256" s="55" t="str">
        <f>VLOOKUP(B1256,'Data Angt'!$A$5:$H$5810,8,FALSE)</f>
        <v>Lain-Lain</v>
      </c>
    </row>
    <row r="1257" spans="1:16" x14ac:dyDescent="0.3">
      <c r="A1257" s="8">
        <v>1250</v>
      </c>
      <c r="B1257" s="9" t="s">
        <v>9542</v>
      </c>
      <c r="C1257" s="10" t="str">
        <f>VLOOKUP(B1257,'Data Angt'!$A$5:$B$5809,2,FALSE)</f>
        <v>A4337</v>
      </c>
      <c r="D1257" s="12" t="s">
        <v>17066</v>
      </c>
      <c r="E1257" s="13">
        <v>45762</v>
      </c>
      <c r="F1257" s="14">
        <v>45916</v>
      </c>
      <c r="G1257" s="15">
        <v>2500000</v>
      </c>
      <c r="H1257" s="16">
        <v>10</v>
      </c>
      <c r="I1257" s="17">
        <v>24</v>
      </c>
      <c r="J1257" s="15">
        <v>1250000</v>
      </c>
      <c r="K1257" s="98">
        <f t="shared" si="57"/>
        <v>0</v>
      </c>
      <c r="L1257" s="98" t="str">
        <f t="shared" si="58"/>
        <v>Lancar</v>
      </c>
      <c r="M1257" s="5" t="str">
        <f t="shared" si="59"/>
        <v>003</v>
      </c>
      <c r="N1257" s="55" t="str">
        <f>VLOOKUP(D1257,Pinjaman!$E$7:$N$1900,10,FALSE)</f>
        <v>KESEJAHTERAAN</v>
      </c>
      <c r="O1257" s="55">
        <f>VLOOKUP(B1257,'Data Angt'!$A$5:$H$5810,6,FALSE)</f>
        <v>33</v>
      </c>
      <c r="P1257" s="55" t="str">
        <f>VLOOKUP(B1257,'Data Angt'!$A$5:$H$5810,8,FALSE)</f>
        <v>Karyawan</v>
      </c>
    </row>
    <row r="1258" spans="1:16" x14ac:dyDescent="0.3">
      <c r="A1258" s="8">
        <v>1251</v>
      </c>
      <c r="B1258" s="9" t="s">
        <v>9545</v>
      </c>
      <c r="C1258" s="10" t="str">
        <f>VLOOKUP(B1258,'Data Angt'!$A$5:$B$5809,2,FALSE)</f>
        <v>A4338</v>
      </c>
      <c r="D1258" s="12" t="s">
        <v>17068</v>
      </c>
      <c r="E1258" s="13">
        <v>45468</v>
      </c>
      <c r="F1258" s="14">
        <v>45744</v>
      </c>
      <c r="G1258" s="15">
        <v>2000000</v>
      </c>
      <c r="H1258" s="16">
        <v>12</v>
      </c>
      <c r="I1258" s="17">
        <v>24</v>
      </c>
      <c r="J1258" s="15">
        <v>999800</v>
      </c>
      <c r="K1258" s="98">
        <f t="shared" si="57"/>
        <v>6</v>
      </c>
      <c r="L1258" s="98" t="str">
        <f t="shared" si="58"/>
        <v>Kurang lancar</v>
      </c>
      <c r="M1258" s="5" t="str">
        <f t="shared" si="59"/>
        <v>003</v>
      </c>
      <c r="N1258" s="55" t="str">
        <f>VLOOKUP(D1258,Pinjaman!$E$7:$N$1900,10,FALSE)</f>
        <v>PRODUKTIF</v>
      </c>
      <c r="O1258" s="55">
        <f>VLOOKUP(B1258,'Data Angt'!$A$5:$H$5810,6,FALSE)</f>
        <v>53</v>
      </c>
      <c r="P1258" s="55" t="str">
        <f>VLOOKUP(B1258,'Data Angt'!$A$5:$H$5810,8,FALSE)</f>
        <v>Wiraswasta</v>
      </c>
    </row>
    <row r="1259" spans="1:16" x14ac:dyDescent="0.3">
      <c r="A1259" s="8">
        <v>1252</v>
      </c>
      <c r="B1259" s="9" t="s">
        <v>9546</v>
      </c>
      <c r="C1259" s="10" t="str">
        <f>VLOOKUP(B1259,'Data Angt'!$A$5:$B$5809,2,FALSE)</f>
        <v>A4339</v>
      </c>
      <c r="D1259" s="12" t="s">
        <v>17070</v>
      </c>
      <c r="E1259" s="13">
        <v>45666</v>
      </c>
      <c r="F1259" s="14">
        <v>45930</v>
      </c>
      <c r="G1259" s="15">
        <v>2000000</v>
      </c>
      <c r="H1259" s="16">
        <v>12</v>
      </c>
      <c r="I1259" s="17">
        <v>24</v>
      </c>
      <c r="J1259" s="15">
        <v>1166500</v>
      </c>
      <c r="K1259" s="98">
        <f t="shared" si="57"/>
        <v>0</v>
      </c>
      <c r="L1259" s="98" t="str">
        <f t="shared" si="58"/>
        <v>Lancar</v>
      </c>
      <c r="M1259" s="5" t="str">
        <f t="shared" si="59"/>
        <v>003</v>
      </c>
      <c r="N1259" s="55" t="str">
        <f>VLOOKUP(D1259,Pinjaman!$E$7:$N$1900,10,FALSE)</f>
        <v>PENDIDIKAN</v>
      </c>
      <c r="O1259" s="55">
        <f>VLOOKUP(B1259,'Data Angt'!$A$5:$H$5810,6,FALSE)</f>
        <v>33</v>
      </c>
      <c r="P1259" s="55" t="str">
        <f>VLOOKUP(B1259,'Data Angt'!$A$5:$H$5810,8,FALSE)</f>
        <v>Wiraswasta</v>
      </c>
    </row>
    <row r="1260" spans="1:16" x14ac:dyDescent="0.3">
      <c r="A1260" s="8">
        <v>1253</v>
      </c>
      <c r="B1260" s="9" t="s">
        <v>9560</v>
      </c>
      <c r="C1260" s="10" t="str">
        <f>VLOOKUP(B1260,'Data Angt'!$A$5:$B$5809,2,FALSE)</f>
        <v>A4344</v>
      </c>
      <c r="D1260" s="12" t="s">
        <v>17072</v>
      </c>
      <c r="E1260" s="13">
        <v>45831</v>
      </c>
      <c r="F1260" s="14">
        <v>45923</v>
      </c>
      <c r="G1260" s="15">
        <v>1000000</v>
      </c>
      <c r="H1260" s="16">
        <v>5</v>
      </c>
      <c r="I1260" s="17">
        <v>24</v>
      </c>
      <c r="J1260" s="15">
        <v>400000</v>
      </c>
      <c r="K1260" s="98">
        <f t="shared" si="57"/>
        <v>0</v>
      </c>
      <c r="L1260" s="98" t="str">
        <f t="shared" si="58"/>
        <v>Lancar</v>
      </c>
      <c r="M1260" s="5" t="str">
        <f t="shared" si="59"/>
        <v>003</v>
      </c>
      <c r="N1260" s="55" t="str">
        <f>VLOOKUP(D1260,Pinjaman!$E$7:$N$1900,10,FALSE)</f>
        <v>KONSUMTIF</v>
      </c>
      <c r="O1260" s="55">
        <f>VLOOKUP(B1260,'Data Angt'!$A$5:$H$5810,6,FALSE)</f>
        <v>72</v>
      </c>
      <c r="P1260" s="55" t="str">
        <f>VLOOKUP(B1260,'Data Angt'!$A$5:$H$5810,8,FALSE)</f>
        <v>Wiraswasta</v>
      </c>
    </row>
    <row r="1261" spans="1:16" x14ac:dyDescent="0.3">
      <c r="A1261" s="8">
        <v>1254</v>
      </c>
      <c r="B1261" s="9" t="s">
        <v>9562</v>
      </c>
      <c r="C1261" s="10" t="str">
        <f>VLOOKUP(B1261,'Data Angt'!$A$5:$B$5809,2,FALSE)</f>
        <v>A4345</v>
      </c>
      <c r="D1261" s="12" t="s">
        <v>23439</v>
      </c>
      <c r="E1261" s="13">
        <v>45902</v>
      </c>
      <c r="F1261" s="14">
        <v>45902</v>
      </c>
      <c r="G1261" s="15">
        <v>12000000</v>
      </c>
      <c r="H1261" s="16">
        <v>12</v>
      </c>
      <c r="I1261" s="17">
        <v>24</v>
      </c>
      <c r="J1261" s="15">
        <v>12000000</v>
      </c>
      <c r="K1261" s="98">
        <f t="shared" si="57"/>
        <v>0</v>
      </c>
      <c r="L1261" s="98" t="str">
        <f t="shared" si="58"/>
        <v>Lancar</v>
      </c>
      <c r="M1261" s="5" t="str">
        <f t="shared" si="59"/>
        <v>003</v>
      </c>
      <c r="N1261" s="55" t="str">
        <f>VLOOKUP(D1261,Pinjaman!$E$7:$N$1900,10,FALSE)</f>
        <v>PENDIDIKAN</v>
      </c>
      <c r="O1261" s="55">
        <f>VLOOKUP(B1261,'Data Angt'!$A$5:$H$5810,6,FALSE)</f>
        <v>47</v>
      </c>
      <c r="P1261" s="55" t="str">
        <f>VLOOKUP(B1261,'Data Angt'!$A$5:$H$5810,8,FALSE)</f>
        <v>Karyawan</v>
      </c>
    </row>
    <row r="1262" spans="1:16" x14ac:dyDescent="0.3">
      <c r="A1262" s="8">
        <v>1255</v>
      </c>
      <c r="B1262" s="9" t="s">
        <v>12676</v>
      </c>
      <c r="C1262" s="10" t="str">
        <f>VLOOKUP(B1262,'Data Angt'!$A$5:$B$5809,2,FALSE)</f>
        <v>A4390</v>
      </c>
      <c r="D1262" s="12" t="s">
        <v>17075</v>
      </c>
      <c r="E1262" s="13">
        <v>45323</v>
      </c>
      <c r="F1262" s="14">
        <v>45899</v>
      </c>
      <c r="G1262" s="15">
        <v>35000000</v>
      </c>
      <c r="H1262" s="16">
        <v>36</v>
      </c>
      <c r="I1262" s="17">
        <v>21</v>
      </c>
      <c r="J1262" s="15">
        <v>20226300</v>
      </c>
      <c r="K1262" s="98">
        <f t="shared" si="57"/>
        <v>1</v>
      </c>
      <c r="L1262" s="98" t="str">
        <f t="shared" si="58"/>
        <v>Lancar</v>
      </c>
      <c r="M1262" s="5" t="str">
        <f t="shared" si="59"/>
        <v>003</v>
      </c>
      <c r="N1262" s="55" t="str">
        <f>VLOOKUP(D1262,Pinjaman!$E$7:$N$1900,10,FALSE)</f>
        <v>KESEJAHTERAAN</v>
      </c>
      <c r="O1262" s="55">
        <f>VLOOKUP(B1262,'Data Angt'!$A$5:$H$5810,6,FALSE)</f>
        <v>48</v>
      </c>
      <c r="P1262" s="55" t="str">
        <f>VLOOKUP(B1262,'Data Angt'!$A$5:$H$5810,8,FALSE)</f>
        <v>Karyawan</v>
      </c>
    </row>
    <row r="1263" spans="1:16" x14ac:dyDescent="0.3">
      <c r="A1263" s="8">
        <v>1256</v>
      </c>
      <c r="B1263" s="9" t="s">
        <v>12680</v>
      </c>
      <c r="C1263" s="10" t="str">
        <f>VLOOKUP(B1263,'Data Angt'!$A$5:$B$5809,2,FALSE)</f>
        <v>A4392</v>
      </c>
      <c r="D1263" s="12" t="s">
        <v>17077</v>
      </c>
      <c r="E1263" s="13">
        <v>45730</v>
      </c>
      <c r="F1263" s="14">
        <v>45917</v>
      </c>
      <c r="G1263" s="15">
        <v>2500000</v>
      </c>
      <c r="H1263" s="16">
        <v>12</v>
      </c>
      <c r="I1263" s="17">
        <v>24</v>
      </c>
      <c r="J1263" s="15">
        <v>1324400</v>
      </c>
      <c r="K1263" s="98">
        <f t="shared" si="57"/>
        <v>0</v>
      </c>
      <c r="L1263" s="98" t="str">
        <f t="shared" si="58"/>
        <v>Lancar</v>
      </c>
      <c r="M1263" s="5" t="str">
        <f t="shared" si="59"/>
        <v>003</v>
      </c>
      <c r="N1263" s="55" t="str">
        <f>VLOOKUP(D1263,Pinjaman!$E$7:$N$1900,10,FALSE)</f>
        <v>PRODUKTIF</v>
      </c>
      <c r="O1263" s="55">
        <f>VLOOKUP(B1263,'Data Angt'!$A$5:$H$5810,6,FALSE)</f>
        <v>62</v>
      </c>
      <c r="P1263" s="55" t="str">
        <f>VLOOKUP(B1263,'Data Angt'!$A$5:$H$5810,8,FALSE)</f>
        <v>Wiraswasta</v>
      </c>
    </row>
    <row r="1264" spans="1:16" x14ac:dyDescent="0.3">
      <c r="A1264" s="8">
        <v>1257</v>
      </c>
      <c r="B1264" s="9" t="s">
        <v>12726</v>
      </c>
      <c r="C1264" s="10" t="str">
        <f>VLOOKUP(B1264,'Data Angt'!$A$5:$B$5809,2,FALSE)</f>
        <v>A4412</v>
      </c>
      <c r="D1264" s="12" t="s">
        <v>23444</v>
      </c>
      <c r="E1264" s="13">
        <v>45898</v>
      </c>
      <c r="F1264" s="14">
        <v>45930</v>
      </c>
      <c r="G1264" s="15">
        <v>7000000</v>
      </c>
      <c r="H1264" s="16">
        <v>20</v>
      </c>
      <c r="I1264" s="17">
        <v>24</v>
      </c>
      <c r="J1264" s="15">
        <v>6650000</v>
      </c>
      <c r="K1264" s="98">
        <f t="shared" si="57"/>
        <v>0</v>
      </c>
      <c r="L1264" s="98" t="str">
        <f t="shared" si="58"/>
        <v>Lancar</v>
      </c>
      <c r="M1264" s="5" t="str">
        <f t="shared" si="59"/>
        <v>003</v>
      </c>
      <c r="N1264" s="55" t="str">
        <f>VLOOKUP(D1264,Pinjaman!$E$7:$N$1900,10,FALSE)</f>
        <v>KESEJAHTERAAN</v>
      </c>
      <c r="O1264" s="55">
        <f>VLOOKUP(B1264,'Data Angt'!$A$5:$H$5810,6,FALSE)</f>
        <v>24</v>
      </c>
      <c r="P1264" s="55" t="str">
        <f>VLOOKUP(B1264,'Data Angt'!$A$5:$H$5810,8,FALSE)</f>
        <v>Karyawan</v>
      </c>
    </row>
    <row r="1265" spans="1:16" x14ac:dyDescent="0.3">
      <c r="A1265" s="8">
        <v>1258</v>
      </c>
      <c r="B1265" s="9" t="s">
        <v>12761</v>
      </c>
      <c r="C1265" s="10" t="str">
        <f>VLOOKUP(B1265,'Data Angt'!$A$5:$B$5809,2,FALSE)</f>
        <v>A4426</v>
      </c>
      <c r="D1265" s="12" t="s">
        <v>23446</v>
      </c>
      <c r="E1265" s="13">
        <v>45861</v>
      </c>
      <c r="F1265" s="14">
        <v>45919</v>
      </c>
      <c r="G1265" s="15">
        <v>3500000</v>
      </c>
      <c r="H1265" s="16">
        <v>12</v>
      </c>
      <c r="I1265" s="17">
        <v>24</v>
      </c>
      <c r="J1265" s="15">
        <v>2916600</v>
      </c>
      <c r="K1265" s="98">
        <f t="shared" si="57"/>
        <v>0</v>
      </c>
      <c r="L1265" s="98" t="str">
        <f t="shared" si="58"/>
        <v>Lancar</v>
      </c>
      <c r="M1265" s="5" t="str">
        <f t="shared" si="59"/>
        <v>003</v>
      </c>
      <c r="N1265" s="55" t="str">
        <f>VLOOKUP(D1265,Pinjaman!$E$7:$N$1900,10,FALSE)</f>
        <v>KONSUMTIF</v>
      </c>
      <c r="O1265" s="55">
        <f>VLOOKUP(B1265,'Data Angt'!$A$5:$H$5810,6,FALSE)</f>
        <v>26</v>
      </c>
      <c r="P1265" s="55" t="str">
        <f>VLOOKUP(B1265,'Data Angt'!$A$5:$H$5810,8,FALSE)</f>
        <v>Karyawan</v>
      </c>
    </row>
    <row r="1266" spans="1:16" x14ac:dyDescent="0.3">
      <c r="A1266" s="8">
        <v>1259</v>
      </c>
      <c r="B1266" s="9" t="s">
        <v>12806</v>
      </c>
      <c r="C1266" s="10" t="str">
        <f>VLOOKUP(B1266,'Data Angt'!$A$5:$B$5809,2,FALSE)</f>
        <v>A4444</v>
      </c>
      <c r="D1266" s="12" t="s">
        <v>17079</v>
      </c>
      <c r="E1266" s="13">
        <v>45441</v>
      </c>
      <c r="F1266" s="14">
        <v>45930</v>
      </c>
      <c r="G1266" s="15">
        <v>3500000</v>
      </c>
      <c r="H1266" s="16">
        <v>24</v>
      </c>
      <c r="I1266" s="17">
        <v>24</v>
      </c>
      <c r="J1266" s="15">
        <v>1165600</v>
      </c>
      <c r="K1266" s="98">
        <f t="shared" si="57"/>
        <v>0</v>
      </c>
      <c r="L1266" s="98" t="str">
        <f t="shared" si="58"/>
        <v>Lancar</v>
      </c>
      <c r="M1266" s="5" t="str">
        <f t="shared" si="59"/>
        <v>003</v>
      </c>
      <c r="N1266" s="55" t="str">
        <f>VLOOKUP(D1266,Pinjaman!$E$7:$N$1900,10,FALSE)</f>
        <v>PENDIDIKAN</v>
      </c>
      <c r="O1266" s="55">
        <f>VLOOKUP(B1266,'Data Angt'!$A$5:$H$5810,6,FALSE)</f>
        <v>34</v>
      </c>
      <c r="P1266" s="55" t="str">
        <f>VLOOKUP(B1266,'Data Angt'!$A$5:$H$5810,8,FALSE)</f>
        <v>Wiraswasta</v>
      </c>
    </row>
    <row r="1267" spans="1:16" x14ac:dyDescent="0.3">
      <c r="A1267" s="8">
        <v>1260</v>
      </c>
      <c r="B1267" s="9" t="s">
        <v>12843</v>
      </c>
      <c r="C1267" s="10" t="str">
        <f>VLOOKUP(B1267,'Data Angt'!$A$5:$B$5809,2,FALSE)</f>
        <v>A4462</v>
      </c>
      <c r="D1267" s="12" t="s">
        <v>17081</v>
      </c>
      <c r="E1267" s="13">
        <v>45352</v>
      </c>
      <c r="F1267" s="14">
        <v>45901</v>
      </c>
      <c r="G1267" s="15">
        <v>5000000</v>
      </c>
      <c r="H1267" s="16">
        <v>24</v>
      </c>
      <c r="I1267" s="17">
        <v>24</v>
      </c>
      <c r="J1267" s="15">
        <v>1248800</v>
      </c>
      <c r="K1267" s="98">
        <f t="shared" si="57"/>
        <v>0</v>
      </c>
      <c r="L1267" s="98" t="str">
        <f t="shared" si="58"/>
        <v>Lancar</v>
      </c>
      <c r="M1267" s="5" t="str">
        <f t="shared" si="59"/>
        <v>003</v>
      </c>
      <c r="N1267" s="55" t="str">
        <f>VLOOKUP(D1267,Pinjaman!$E$7:$N$1900,10,FALSE)</f>
        <v>PRODUKTIF</v>
      </c>
      <c r="O1267" s="55">
        <f>VLOOKUP(B1267,'Data Angt'!$A$5:$H$5810,6,FALSE)</f>
        <v>56</v>
      </c>
      <c r="P1267" s="55" t="str">
        <f>VLOOKUP(B1267,'Data Angt'!$A$5:$H$5810,8,FALSE)</f>
        <v>Karyawan</v>
      </c>
    </row>
    <row r="1268" spans="1:16" x14ac:dyDescent="0.3">
      <c r="A1268" s="8">
        <v>1261</v>
      </c>
      <c r="B1268" s="9" t="s">
        <v>12867</v>
      </c>
      <c r="C1268" s="10" t="str">
        <f>VLOOKUP(B1268,'Data Angt'!$A$5:$B$5809,2,FALSE)</f>
        <v>A4472</v>
      </c>
      <c r="D1268" s="12" t="s">
        <v>23449</v>
      </c>
      <c r="E1268" s="13">
        <v>45861</v>
      </c>
      <c r="F1268" s="14">
        <v>45922</v>
      </c>
      <c r="G1268" s="15">
        <v>1350000</v>
      </c>
      <c r="H1268" s="16">
        <v>12</v>
      </c>
      <c r="I1268" s="17">
        <v>24</v>
      </c>
      <c r="J1268" s="15">
        <v>1125000</v>
      </c>
      <c r="K1268" s="98">
        <f t="shared" si="57"/>
        <v>0</v>
      </c>
      <c r="L1268" s="98" t="str">
        <f t="shared" si="58"/>
        <v>Lancar</v>
      </c>
      <c r="M1268" s="5" t="str">
        <f t="shared" si="59"/>
        <v>003</v>
      </c>
      <c r="N1268" s="55" t="str">
        <f>VLOOKUP(D1268,Pinjaman!$E$7:$N$1900,10,FALSE)</f>
        <v>PENDIDIKAN</v>
      </c>
      <c r="O1268" s="55">
        <f>VLOOKUP(B1268,'Data Angt'!$A$5:$H$5810,6,FALSE)</f>
        <v>51</v>
      </c>
      <c r="P1268" s="55" t="str">
        <f>VLOOKUP(B1268,'Data Angt'!$A$5:$H$5810,8,FALSE)</f>
        <v>Karyawan</v>
      </c>
    </row>
    <row r="1269" spans="1:16" x14ac:dyDescent="0.3">
      <c r="A1269" s="8">
        <v>1262</v>
      </c>
      <c r="B1269" s="9" t="s">
        <v>12873</v>
      </c>
      <c r="C1269" s="10" t="str">
        <f>VLOOKUP(B1269,'Data Angt'!$A$5:$B$5809,2,FALSE)</f>
        <v>A4475</v>
      </c>
      <c r="D1269" s="12" t="s">
        <v>17083</v>
      </c>
      <c r="E1269" s="13">
        <v>45359</v>
      </c>
      <c r="F1269" s="14">
        <v>45565</v>
      </c>
      <c r="G1269" s="15">
        <v>2000000</v>
      </c>
      <c r="H1269" s="16">
        <v>12</v>
      </c>
      <c r="I1269" s="17">
        <v>24</v>
      </c>
      <c r="J1269" s="15">
        <v>1166500</v>
      </c>
      <c r="K1269" s="98">
        <f t="shared" si="57"/>
        <v>12</v>
      </c>
      <c r="L1269" s="98" t="str">
        <f t="shared" si="58"/>
        <v>Diragukan</v>
      </c>
      <c r="M1269" s="5" t="str">
        <f t="shared" si="59"/>
        <v>003</v>
      </c>
      <c r="N1269" s="55" t="str">
        <f>VLOOKUP(D1269,Pinjaman!$E$7:$N$1900,10,FALSE)</f>
        <v>KONSUMTIF</v>
      </c>
      <c r="O1269" s="55">
        <f>VLOOKUP(B1269,'Data Angt'!$A$5:$H$5810,6,FALSE)</f>
        <v>48</v>
      </c>
      <c r="P1269" s="55" t="str">
        <f>VLOOKUP(B1269,'Data Angt'!$A$5:$H$5810,8,FALSE)</f>
        <v>Tenaga Medis</v>
      </c>
    </row>
    <row r="1270" spans="1:16" x14ac:dyDescent="0.3">
      <c r="A1270" s="8">
        <v>1263</v>
      </c>
      <c r="B1270" s="9" t="s">
        <v>12879</v>
      </c>
      <c r="C1270" s="10" t="str">
        <f>VLOOKUP(B1270,'Data Angt'!$A$5:$B$5809,2,FALSE)</f>
        <v>A4478</v>
      </c>
      <c r="D1270" s="12" t="s">
        <v>17085</v>
      </c>
      <c r="E1270" s="13">
        <v>45681</v>
      </c>
      <c r="F1270" s="14">
        <v>45930</v>
      </c>
      <c r="G1270" s="15">
        <v>8500000</v>
      </c>
      <c r="H1270" s="16">
        <v>24</v>
      </c>
      <c r="I1270" s="17">
        <v>24</v>
      </c>
      <c r="J1270" s="15">
        <v>7083200</v>
      </c>
      <c r="K1270" s="98">
        <f t="shared" si="57"/>
        <v>0</v>
      </c>
      <c r="L1270" s="98" t="str">
        <f t="shared" si="58"/>
        <v>Lancar</v>
      </c>
      <c r="M1270" s="5" t="str">
        <f t="shared" si="59"/>
        <v>003</v>
      </c>
      <c r="N1270" s="55" t="str">
        <f>VLOOKUP(D1270,Pinjaman!$E$7:$N$1900,10,FALSE)</f>
        <v>KESEJAHTERAAN</v>
      </c>
      <c r="O1270" s="55">
        <f>VLOOKUP(B1270,'Data Angt'!$A$5:$H$5810,6,FALSE)</f>
        <v>43</v>
      </c>
      <c r="P1270" s="55" t="str">
        <f>VLOOKUP(B1270,'Data Angt'!$A$5:$H$5810,8,FALSE)</f>
        <v>Mengurus Rumah Tangga</v>
      </c>
    </row>
    <row r="1271" spans="1:16" x14ac:dyDescent="0.3">
      <c r="A1271" s="8">
        <v>1264</v>
      </c>
      <c r="B1271" s="9" t="s">
        <v>12887</v>
      </c>
      <c r="C1271" s="10" t="str">
        <f>VLOOKUP(B1271,'Data Angt'!$A$5:$B$5809,2,FALSE)</f>
        <v>A4482</v>
      </c>
      <c r="D1271" s="12" t="s">
        <v>17088</v>
      </c>
      <c r="E1271" s="13">
        <v>45367</v>
      </c>
      <c r="F1271" s="14">
        <v>45492</v>
      </c>
      <c r="G1271" s="15">
        <v>3000000</v>
      </c>
      <c r="H1271" s="16">
        <v>18</v>
      </c>
      <c r="I1271" s="17">
        <v>24</v>
      </c>
      <c r="J1271" s="15">
        <v>2833300</v>
      </c>
      <c r="K1271" s="98">
        <f t="shared" si="57"/>
        <v>14</v>
      </c>
      <c r="L1271" s="98" t="str">
        <f t="shared" si="58"/>
        <v>Macet</v>
      </c>
      <c r="M1271" s="5" t="str">
        <f t="shared" si="59"/>
        <v>003</v>
      </c>
      <c r="N1271" s="55" t="str">
        <f>VLOOKUP(D1271,Pinjaman!$E$7:$N$1900,10,FALSE)</f>
        <v>PENDIDIKAN</v>
      </c>
      <c r="O1271" s="55">
        <f>VLOOKUP(B1271,'Data Angt'!$A$5:$H$5810,6,FALSE)</f>
        <v>49</v>
      </c>
      <c r="P1271" s="55" t="str">
        <f>VLOOKUP(B1271,'Data Angt'!$A$5:$H$5810,8,FALSE)</f>
        <v>Lain-Lain</v>
      </c>
    </row>
    <row r="1272" spans="1:16" x14ac:dyDescent="0.3">
      <c r="A1272" s="8">
        <v>1265</v>
      </c>
      <c r="B1272" s="9" t="s">
        <v>12889</v>
      </c>
      <c r="C1272" s="10" t="str">
        <f>VLOOKUP(B1272,'Data Angt'!$A$5:$B$5809,2,FALSE)</f>
        <v>A4483</v>
      </c>
      <c r="D1272" s="12" t="s">
        <v>17090</v>
      </c>
      <c r="E1272" s="13">
        <v>45800</v>
      </c>
      <c r="F1272" s="14">
        <v>45923</v>
      </c>
      <c r="G1272" s="15">
        <v>15000000</v>
      </c>
      <c r="H1272" s="16">
        <v>36</v>
      </c>
      <c r="I1272" s="17">
        <v>24</v>
      </c>
      <c r="J1272" s="15">
        <v>13333200</v>
      </c>
      <c r="K1272" s="98">
        <f t="shared" si="57"/>
        <v>0</v>
      </c>
      <c r="L1272" s="98" t="str">
        <f t="shared" si="58"/>
        <v>Lancar</v>
      </c>
      <c r="M1272" s="5" t="str">
        <f t="shared" si="59"/>
        <v>003</v>
      </c>
      <c r="N1272" s="55" t="str">
        <f>VLOOKUP(D1272,Pinjaman!$E$7:$N$1900,10,FALSE)</f>
        <v>KESEJAHTERAAN</v>
      </c>
      <c r="O1272" s="55">
        <f>VLOOKUP(B1272,'Data Angt'!$A$5:$H$5810,6,FALSE)</f>
        <v>58</v>
      </c>
      <c r="P1272" s="55" t="str">
        <f>VLOOKUP(B1272,'Data Angt'!$A$5:$H$5810,8,FALSE)</f>
        <v>Tenaga Pengajar</v>
      </c>
    </row>
    <row r="1273" spans="1:16" x14ac:dyDescent="0.3">
      <c r="A1273" s="8">
        <v>1266</v>
      </c>
      <c r="B1273" s="9" t="s">
        <v>12898</v>
      </c>
      <c r="C1273" s="10" t="str">
        <f>VLOOKUP(B1273,'Data Angt'!$A$5:$B$5809,2,FALSE)</f>
        <v>A4487</v>
      </c>
      <c r="D1273" s="12" t="s">
        <v>23454</v>
      </c>
      <c r="E1273" s="13">
        <v>45891</v>
      </c>
      <c r="F1273" s="14">
        <v>45922</v>
      </c>
      <c r="G1273" s="15">
        <v>3000000</v>
      </c>
      <c r="H1273" s="16">
        <v>10</v>
      </c>
      <c r="I1273" s="17">
        <v>24</v>
      </c>
      <c r="J1273" s="15">
        <v>2700000</v>
      </c>
      <c r="K1273" s="98">
        <f t="shared" si="57"/>
        <v>0</v>
      </c>
      <c r="L1273" s="98" t="str">
        <f t="shared" si="58"/>
        <v>Lancar</v>
      </c>
      <c r="M1273" s="5" t="str">
        <f t="shared" si="59"/>
        <v>003</v>
      </c>
      <c r="N1273" s="55" t="str">
        <f>VLOOKUP(D1273,Pinjaman!$E$7:$N$1900,10,FALSE)</f>
        <v>KONSUMTIF</v>
      </c>
      <c r="O1273" s="55">
        <f>VLOOKUP(B1273,'Data Angt'!$A$5:$H$5810,6,FALSE)</f>
        <v>48</v>
      </c>
      <c r="P1273" s="55" t="str">
        <f>VLOOKUP(B1273,'Data Angt'!$A$5:$H$5810,8,FALSE)</f>
        <v>Mengurus Rumah Tangga</v>
      </c>
    </row>
    <row r="1274" spans="1:16" x14ac:dyDescent="0.3">
      <c r="A1274" s="8">
        <v>1267</v>
      </c>
      <c r="B1274" s="9" t="s">
        <v>12927</v>
      </c>
      <c r="C1274" s="10" t="str">
        <f>VLOOKUP(B1274,'Data Angt'!$A$5:$B$5809,2,FALSE)</f>
        <v>A4502</v>
      </c>
      <c r="D1274" s="12" t="s">
        <v>23456</v>
      </c>
      <c r="E1274" s="13">
        <v>45910</v>
      </c>
      <c r="F1274" s="14">
        <v>45910</v>
      </c>
      <c r="G1274" s="15">
        <v>3000000</v>
      </c>
      <c r="H1274" s="16">
        <v>18</v>
      </c>
      <c r="I1274" s="17">
        <v>24</v>
      </c>
      <c r="J1274" s="15">
        <v>3000000</v>
      </c>
      <c r="K1274" s="98">
        <f t="shared" si="57"/>
        <v>0</v>
      </c>
      <c r="L1274" s="98" t="str">
        <f t="shared" si="58"/>
        <v>Lancar</v>
      </c>
      <c r="M1274" s="5" t="str">
        <f t="shared" si="59"/>
        <v>003</v>
      </c>
      <c r="N1274" s="55" t="str">
        <f>VLOOKUP(D1274,Pinjaman!$E$7:$N$1900,10,FALSE)</f>
        <v>PRODUKTIF</v>
      </c>
      <c r="O1274" s="55">
        <f>VLOOKUP(B1274,'Data Angt'!$A$5:$H$5810,6,FALSE)</f>
        <v>29</v>
      </c>
      <c r="P1274" s="55" t="str">
        <f>VLOOKUP(B1274,'Data Angt'!$A$5:$H$5810,8,FALSE)</f>
        <v>Wiraswasta</v>
      </c>
    </row>
    <row r="1275" spans="1:16" x14ac:dyDescent="0.3">
      <c r="A1275" s="8">
        <v>1268</v>
      </c>
      <c r="B1275" s="9" t="s">
        <v>12963</v>
      </c>
      <c r="C1275" s="10" t="str">
        <f>VLOOKUP(B1275,'Data Angt'!$A$5:$B$5809,2,FALSE)</f>
        <v>A4518</v>
      </c>
      <c r="D1275" s="12" t="s">
        <v>17092</v>
      </c>
      <c r="E1275" s="13">
        <v>45744</v>
      </c>
      <c r="F1275" s="14">
        <v>45930</v>
      </c>
      <c r="G1275" s="15">
        <v>4000000</v>
      </c>
      <c r="H1275" s="16">
        <v>12</v>
      </c>
      <c r="I1275" s="17">
        <v>24</v>
      </c>
      <c r="J1275" s="15">
        <v>1999600</v>
      </c>
      <c r="K1275" s="98">
        <f t="shared" si="57"/>
        <v>0</v>
      </c>
      <c r="L1275" s="98" t="str">
        <f t="shared" si="58"/>
        <v>Lancar</v>
      </c>
      <c r="M1275" s="5" t="str">
        <f t="shared" si="59"/>
        <v>003</v>
      </c>
      <c r="N1275" s="55" t="str">
        <f>VLOOKUP(D1275,Pinjaman!$E$7:$N$1900,10,FALSE)</f>
        <v>PRODUKTIF</v>
      </c>
      <c r="O1275" s="55">
        <f>VLOOKUP(B1275,'Data Angt'!$A$5:$H$5810,6,FALSE)</f>
        <v>50</v>
      </c>
      <c r="P1275" s="55" t="str">
        <f>VLOOKUP(B1275,'Data Angt'!$A$5:$H$5810,8,FALSE)</f>
        <v>Wiraswasta</v>
      </c>
    </row>
    <row r="1276" spans="1:16" x14ac:dyDescent="0.3">
      <c r="A1276" s="8">
        <v>1269</v>
      </c>
      <c r="B1276" s="9" t="s">
        <v>13049</v>
      </c>
      <c r="C1276" s="10" t="str">
        <f>VLOOKUP(B1276,'Data Angt'!$A$5:$B$5809,2,FALSE)</f>
        <v>A4558</v>
      </c>
      <c r="D1276" s="12" t="s">
        <v>23458</v>
      </c>
      <c r="E1276" s="13">
        <v>45911</v>
      </c>
      <c r="F1276" s="14">
        <v>45911</v>
      </c>
      <c r="G1276" s="15">
        <v>6000000</v>
      </c>
      <c r="H1276" s="16">
        <v>18</v>
      </c>
      <c r="I1276" s="17">
        <v>24</v>
      </c>
      <c r="J1276" s="15">
        <v>6000000</v>
      </c>
      <c r="K1276" s="98">
        <f t="shared" si="57"/>
        <v>0</v>
      </c>
      <c r="L1276" s="98" t="str">
        <f t="shared" si="58"/>
        <v>Lancar</v>
      </c>
      <c r="M1276" s="5" t="str">
        <f t="shared" si="59"/>
        <v>003</v>
      </c>
      <c r="N1276" s="55" t="str">
        <f>VLOOKUP(D1276,Pinjaman!$E$7:$N$1900,10,FALSE)</f>
        <v>PRODUKTIF</v>
      </c>
      <c r="O1276" s="55">
        <f>VLOOKUP(B1276,'Data Angt'!$A$5:$H$5810,6,FALSE)</f>
        <v>38</v>
      </c>
      <c r="P1276" s="55" t="str">
        <f>VLOOKUP(B1276,'Data Angt'!$A$5:$H$5810,8,FALSE)</f>
        <v>Wiraswasta</v>
      </c>
    </row>
    <row r="1277" spans="1:16" x14ac:dyDescent="0.3">
      <c r="A1277" s="8">
        <v>1270</v>
      </c>
      <c r="B1277" s="9" t="s">
        <v>13068</v>
      </c>
      <c r="C1277" s="10" t="str">
        <f>VLOOKUP(B1277,'Data Angt'!$A$5:$B$5809,2,FALSE)</f>
        <v>A4568</v>
      </c>
      <c r="D1277" s="12" t="s">
        <v>17094</v>
      </c>
      <c r="E1277" s="13">
        <v>45821</v>
      </c>
      <c r="F1277" s="14">
        <v>45913</v>
      </c>
      <c r="G1277" s="15">
        <v>2500000</v>
      </c>
      <c r="H1277" s="16">
        <v>12</v>
      </c>
      <c r="I1277" s="17">
        <v>24</v>
      </c>
      <c r="J1277" s="15">
        <v>1874800</v>
      </c>
      <c r="K1277" s="98">
        <f t="shared" si="57"/>
        <v>0</v>
      </c>
      <c r="L1277" s="98" t="str">
        <f t="shared" si="58"/>
        <v>Lancar</v>
      </c>
      <c r="M1277" s="5" t="str">
        <f t="shared" si="59"/>
        <v>003</v>
      </c>
      <c r="N1277" s="55" t="str">
        <f>VLOOKUP(D1277,Pinjaman!$E$7:$N$1900,10,FALSE)</f>
        <v>PENDIDIKAN</v>
      </c>
      <c r="O1277" s="55">
        <f>VLOOKUP(B1277,'Data Angt'!$A$5:$H$5810,6,FALSE)</f>
        <v>42</v>
      </c>
      <c r="P1277" s="55" t="str">
        <f>VLOOKUP(B1277,'Data Angt'!$A$5:$H$5810,8,FALSE)</f>
        <v>Wiraswasta</v>
      </c>
    </row>
    <row r="1278" spans="1:16" x14ac:dyDescent="0.3">
      <c r="A1278" s="8">
        <v>1271</v>
      </c>
      <c r="B1278" s="9" t="s">
        <v>13091</v>
      </c>
      <c r="C1278" s="10" t="str">
        <f>VLOOKUP(B1278,'Data Angt'!$A$5:$B$5809,2,FALSE)</f>
        <v>A4580</v>
      </c>
      <c r="D1278" s="12" t="s">
        <v>17096</v>
      </c>
      <c r="E1278" s="13">
        <v>45715</v>
      </c>
      <c r="F1278" s="14">
        <v>45903</v>
      </c>
      <c r="G1278" s="15">
        <v>1500000</v>
      </c>
      <c r="H1278" s="16">
        <v>10</v>
      </c>
      <c r="I1278" s="17">
        <v>24</v>
      </c>
      <c r="J1278" s="15">
        <v>450000</v>
      </c>
      <c r="K1278" s="98">
        <f t="shared" si="57"/>
        <v>0</v>
      </c>
      <c r="L1278" s="98" t="str">
        <f t="shared" si="58"/>
        <v>Lancar</v>
      </c>
      <c r="M1278" s="5" t="str">
        <f t="shared" si="59"/>
        <v>003</v>
      </c>
      <c r="N1278" s="55" t="str">
        <f>VLOOKUP(D1278,Pinjaman!$E$7:$N$1900,10,FALSE)</f>
        <v>PENDIDIKAN</v>
      </c>
      <c r="O1278" s="55">
        <f>VLOOKUP(B1278,'Data Angt'!$A$5:$H$5810,6,FALSE)</f>
        <v>53</v>
      </c>
      <c r="P1278" s="55" t="str">
        <f>VLOOKUP(B1278,'Data Angt'!$A$5:$H$5810,8,FALSE)</f>
        <v>Mengurus Rumah Tangga</v>
      </c>
    </row>
    <row r="1279" spans="1:16" x14ac:dyDescent="0.3">
      <c r="A1279" s="8">
        <v>1272</v>
      </c>
      <c r="B1279" s="9" t="s">
        <v>13120</v>
      </c>
      <c r="C1279" s="10" t="str">
        <f>VLOOKUP(B1279,'Data Angt'!$A$5:$B$5809,2,FALSE)</f>
        <v>A4593</v>
      </c>
      <c r="D1279" s="12" t="s">
        <v>23460</v>
      </c>
      <c r="E1279" s="13">
        <v>45862</v>
      </c>
      <c r="F1279" s="14">
        <v>45912</v>
      </c>
      <c r="G1279" s="15">
        <v>2000000</v>
      </c>
      <c r="H1279" s="16">
        <v>24</v>
      </c>
      <c r="I1279" s="17">
        <v>24</v>
      </c>
      <c r="J1279" s="15">
        <v>1833200</v>
      </c>
      <c r="K1279" s="98">
        <f t="shared" si="57"/>
        <v>0</v>
      </c>
      <c r="L1279" s="98" t="str">
        <f t="shared" si="58"/>
        <v>Lancar</v>
      </c>
      <c r="M1279" s="5" t="str">
        <f t="shared" si="59"/>
        <v>003</v>
      </c>
      <c r="N1279" s="55" t="str">
        <f>VLOOKUP(D1279,Pinjaman!$E$7:$N$1900,10,FALSE)</f>
        <v>PENDIDIKAN</v>
      </c>
      <c r="O1279" s="55">
        <f>VLOOKUP(B1279,'Data Angt'!$A$5:$H$5810,6,FALSE)</f>
        <v>50</v>
      </c>
      <c r="P1279" s="55" t="str">
        <f>VLOOKUP(B1279,'Data Angt'!$A$5:$H$5810,8,FALSE)</f>
        <v>Karyawan</v>
      </c>
    </row>
    <row r="1280" spans="1:16" x14ac:dyDescent="0.3">
      <c r="A1280" s="8">
        <v>1273</v>
      </c>
      <c r="B1280" s="9" t="s">
        <v>13126</v>
      </c>
      <c r="C1280" s="10" t="str">
        <f>VLOOKUP(B1280,'Data Angt'!$A$5:$B$5809,2,FALSE)</f>
        <v>A4595</v>
      </c>
      <c r="D1280" s="12" t="s">
        <v>17098</v>
      </c>
      <c r="E1280" s="13">
        <v>45482</v>
      </c>
      <c r="F1280" s="14">
        <v>45910</v>
      </c>
      <c r="G1280" s="15">
        <v>20000000</v>
      </c>
      <c r="H1280" s="16">
        <v>36</v>
      </c>
      <c r="I1280" s="17">
        <v>24</v>
      </c>
      <c r="J1280" s="15">
        <v>12221600</v>
      </c>
      <c r="K1280" s="98">
        <f t="shared" si="57"/>
        <v>0</v>
      </c>
      <c r="L1280" s="98" t="str">
        <f t="shared" si="58"/>
        <v>Lancar</v>
      </c>
      <c r="M1280" s="5" t="str">
        <f t="shared" si="59"/>
        <v>003</v>
      </c>
      <c r="N1280" s="55" t="str">
        <f>VLOOKUP(D1280,Pinjaman!$E$7:$N$1900,10,FALSE)</f>
        <v>KESEJAHTERAAN</v>
      </c>
      <c r="O1280" s="55">
        <f>VLOOKUP(B1280,'Data Angt'!$A$5:$H$5810,6,FALSE)</f>
        <v>49</v>
      </c>
      <c r="P1280" s="55" t="str">
        <f>VLOOKUP(B1280,'Data Angt'!$A$5:$H$5810,8,FALSE)</f>
        <v>Karyawan</v>
      </c>
    </row>
    <row r="1281" spans="1:16" x14ac:dyDescent="0.3">
      <c r="A1281" s="8">
        <v>1274</v>
      </c>
      <c r="B1281" s="9" t="s">
        <v>13166</v>
      </c>
      <c r="C1281" s="10" t="str">
        <f>VLOOKUP(B1281,'Data Angt'!$A$5:$B$5809,2,FALSE)</f>
        <v>A4612</v>
      </c>
      <c r="D1281" s="12" t="s">
        <v>17100</v>
      </c>
      <c r="E1281" s="13">
        <v>45576</v>
      </c>
      <c r="F1281" s="14">
        <v>45911</v>
      </c>
      <c r="G1281" s="15">
        <v>5000000</v>
      </c>
      <c r="H1281" s="16">
        <v>24</v>
      </c>
      <c r="I1281" s="17">
        <v>24</v>
      </c>
      <c r="J1281" s="15">
        <v>2707600</v>
      </c>
      <c r="K1281" s="98">
        <f t="shared" si="57"/>
        <v>0</v>
      </c>
      <c r="L1281" s="98" t="str">
        <f t="shared" si="58"/>
        <v>Lancar</v>
      </c>
      <c r="M1281" s="5" t="str">
        <f t="shared" si="59"/>
        <v>003</v>
      </c>
      <c r="N1281" s="55" t="str">
        <f>VLOOKUP(D1281,Pinjaman!$E$7:$N$1900,10,FALSE)</f>
        <v>PRODUKTIF</v>
      </c>
      <c r="O1281" s="55">
        <f>VLOOKUP(B1281,'Data Angt'!$A$5:$H$5810,6,FALSE)</f>
        <v>65</v>
      </c>
      <c r="P1281" s="55" t="str">
        <f>VLOOKUP(B1281,'Data Angt'!$A$5:$H$5810,8,FALSE)</f>
        <v>Petani/Pekebun/Nelayan</v>
      </c>
    </row>
    <row r="1282" spans="1:16" x14ac:dyDescent="0.3">
      <c r="A1282" s="8">
        <v>1275</v>
      </c>
      <c r="B1282" s="9" t="s">
        <v>13177</v>
      </c>
      <c r="C1282" s="10" t="str">
        <f>VLOOKUP(B1282,'Data Angt'!$A$5:$B$5809,2,FALSE)</f>
        <v>A4616</v>
      </c>
      <c r="D1282" s="12" t="s">
        <v>23464</v>
      </c>
      <c r="E1282" s="13">
        <v>45849</v>
      </c>
      <c r="F1282" s="14">
        <v>45909</v>
      </c>
      <c r="G1282" s="15">
        <v>2000000</v>
      </c>
      <c r="H1282" s="16">
        <v>10</v>
      </c>
      <c r="I1282" s="17">
        <v>24</v>
      </c>
      <c r="J1282" s="15">
        <v>1600000</v>
      </c>
      <c r="K1282" s="98">
        <f t="shared" si="57"/>
        <v>0</v>
      </c>
      <c r="L1282" s="98" t="str">
        <f t="shared" si="58"/>
        <v>Lancar</v>
      </c>
      <c r="M1282" s="5" t="str">
        <f t="shared" si="59"/>
        <v>003</v>
      </c>
      <c r="N1282" s="55" t="str">
        <f>VLOOKUP(D1282,Pinjaman!$E$7:$N$1900,10,FALSE)</f>
        <v>PENDIDIKAN</v>
      </c>
      <c r="O1282" s="55">
        <f>VLOOKUP(B1282,'Data Angt'!$A$5:$H$5810,6,FALSE)</f>
        <v>47</v>
      </c>
      <c r="P1282" s="55" t="str">
        <f>VLOOKUP(B1282,'Data Angt'!$A$5:$H$5810,8,FALSE)</f>
        <v>Wiraswasta</v>
      </c>
    </row>
    <row r="1283" spans="1:16" x14ac:dyDescent="0.3">
      <c r="A1283" s="8">
        <v>1276</v>
      </c>
      <c r="B1283" s="9" t="s">
        <v>13526</v>
      </c>
      <c r="C1283" s="10" t="str">
        <f>VLOOKUP(B1283,'Data Angt'!$A$5:$B$5809,2,FALSE)</f>
        <v>A4830</v>
      </c>
      <c r="D1283" s="12" t="s">
        <v>17103</v>
      </c>
      <c r="E1283" s="13">
        <v>45498</v>
      </c>
      <c r="F1283" s="14">
        <v>45570</v>
      </c>
      <c r="G1283" s="15">
        <v>1500000</v>
      </c>
      <c r="H1283" s="16">
        <v>12</v>
      </c>
      <c r="I1283" s="17">
        <v>24</v>
      </c>
      <c r="J1283" s="15">
        <v>1125000</v>
      </c>
      <c r="K1283" s="98">
        <f t="shared" si="57"/>
        <v>11</v>
      </c>
      <c r="L1283" s="98" t="str">
        <f t="shared" si="58"/>
        <v>Diragukan</v>
      </c>
      <c r="M1283" s="5" t="str">
        <f t="shared" si="59"/>
        <v>003</v>
      </c>
      <c r="N1283" s="55" t="str">
        <f>VLOOKUP(D1283,Pinjaman!$E$7:$N$1900,10,FALSE)</f>
        <v>PRODUKTIF</v>
      </c>
      <c r="O1283" s="55">
        <f>VLOOKUP(B1283,'Data Angt'!$A$5:$H$5810,6,FALSE)</f>
        <v>56</v>
      </c>
      <c r="P1283" s="55" t="str">
        <f>VLOOKUP(B1283,'Data Angt'!$A$5:$H$5810,8,FALSE)</f>
        <v>Wiraswasta</v>
      </c>
    </row>
    <row r="1284" spans="1:16" x14ac:dyDescent="0.3">
      <c r="A1284" s="8">
        <v>1277</v>
      </c>
      <c r="B1284" s="9" t="s">
        <v>13557</v>
      </c>
      <c r="C1284" s="10" t="str">
        <f>VLOOKUP(B1284,'Data Angt'!$A$5:$B$5809,2,FALSE)</f>
        <v>A4844</v>
      </c>
      <c r="D1284" s="12" t="s">
        <v>17106</v>
      </c>
      <c r="E1284" s="13">
        <v>45509</v>
      </c>
      <c r="F1284" s="14">
        <v>45930</v>
      </c>
      <c r="G1284" s="15">
        <v>1500000</v>
      </c>
      <c r="H1284" s="16">
        <v>12</v>
      </c>
      <c r="I1284" s="17">
        <v>24</v>
      </c>
      <c r="J1284" s="15">
        <v>775000</v>
      </c>
      <c r="K1284" s="98">
        <f t="shared" si="57"/>
        <v>0</v>
      </c>
      <c r="L1284" s="98" t="str">
        <f t="shared" si="58"/>
        <v>Lancar</v>
      </c>
      <c r="M1284" s="5" t="str">
        <f t="shared" si="59"/>
        <v>003</v>
      </c>
      <c r="N1284" s="55" t="str">
        <f>VLOOKUP(D1284,Pinjaman!$E$7:$N$1900,10,FALSE)</f>
        <v>PRODUKTIF</v>
      </c>
      <c r="O1284" s="55">
        <f>VLOOKUP(B1284,'Data Angt'!$A$5:$H$5810,6,FALSE)</f>
        <v>49</v>
      </c>
      <c r="P1284" s="55" t="str">
        <f>VLOOKUP(B1284,'Data Angt'!$A$5:$H$5810,8,FALSE)</f>
        <v>Wiraswasta</v>
      </c>
    </row>
    <row r="1285" spans="1:16" x14ac:dyDescent="0.3">
      <c r="A1285" s="8">
        <v>1278</v>
      </c>
      <c r="B1285" s="9" t="s">
        <v>13562</v>
      </c>
      <c r="C1285" s="10" t="str">
        <f>VLOOKUP(B1285,'Data Angt'!$A$5:$B$5809,2,FALSE)</f>
        <v>A4847</v>
      </c>
      <c r="D1285" s="12" t="s">
        <v>17108</v>
      </c>
      <c r="E1285" s="13">
        <v>45713</v>
      </c>
      <c r="F1285" s="14">
        <v>45927</v>
      </c>
      <c r="G1285" s="15">
        <v>3000000</v>
      </c>
      <c r="H1285" s="16">
        <v>12</v>
      </c>
      <c r="I1285" s="17">
        <v>24</v>
      </c>
      <c r="J1285" s="15">
        <v>1250000</v>
      </c>
      <c r="K1285" s="98">
        <f t="shared" si="57"/>
        <v>0</v>
      </c>
      <c r="L1285" s="98" t="str">
        <f t="shared" si="58"/>
        <v>Lancar</v>
      </c>
      <c r="M1285" s="5" t="str">
        <f t="shared" si="59"/>
        <v>003</v>
      </c>
      <c r="N1285" s="55" t="str">
        <f>VLOOKUP(D1285,Pinjaman!$E$7:$N$1900,10,FALSE)</f>
        <v>PRODUKTIF</v>
      </c>
      <c r="O1285" s="55">
        <f>VLOOKUP(B1285,'Data Angt'!$A$5:$H$5810,6,FALSE)</f>
        <v>52</v>
      </c>
      <c r="P1285" s="55" t="str">
        <f>VLOOKUP(B1285,'Data Angt'!$A$5:$H$5810,8,FALSE)</f>
        <v>Wiraswasta</v>
      </c>
    </row>
    <row r="1286" spans="1:16" x14ac:dyDescent="0.3">
      <c r="A1286" s="8">
        <v>1279</v>
      </c>
      <c r="B1286" s="9" t="s">
        <v>13566</v>
      </c>
      <c r="C1286" s="10" t="str">
        <f>VLOOKUP(B1286,'Data Angt'!$A$5:$B$5809,2,FALSE)</f>
        <v>A4848</v>
      </c>
      <c r="D1286" s="12" t="s">
        <v>17111</v>
      </c>
      <c r="E1286" s="13">
        <v>45792</v>
      </c>
      <c r="F1286" s="14">
        <v>45923</v>
      </c>
      <c r="G1286" s="15">
        <v>2500000</v>
      </c>
      <c r="H1286" s="16">
        <v>12</v>
      </c>
      <c r="I1286" s="17">
        <v>24</v>
      </c>
      <c r="J1286" s="15">
        <v>1666400</v>
      </c>
      <c r="K1286" s="98">
        <f t="shared" si="57"/>
        <v>0</v>
      </c>
      <c r="L1286" s="98" t="str">
        <f t="shared" si="58"/>
        <v>Lancar</v>
      </c>
      <c r="M1286" s="5" t="str">
        <f t="shared" si="59"/>
        <v>003</v>
      </c>
      <c r="N1286" s="55" t="str">
        <f>VLOOKUP(D1286,Pinjaman!$E$7:$N$1900,10,FALSE)</f>
        <v>PRODUKTIF</v>
      </c>
      <c r="O1286" s="55">
        <f>VLOOKUP(B1286,'Data Angt'!$A$5:$H$5810,6,FALSE)</f>
        <v>58</v>
      </c>
      <c r="P1286" s="55" t="str">
        <f>VLOOKUP(B1286,'Data Angt'!$A$5:$H$5810,8,FALSE)</f>
        <v>Mengurus Rumah Tangga</v>
      </c>
    </row>
    <row r="1287" spans="1:16" x14ac:dyDescent="0.3">
      <c r="A1287" s="8">
        <v>1280</v>
      </c>
      <c r="B1287" s="9" t="s">
        <v>13611</v>
      </c>
      <c r="C1287" s="10" t="str">
        <f>VLOOKUP(B1287,'Data Angt'!$A$5:$B$5809,2,FALSE)</f>
        <v>A4868</v>
      </c>
      <c r="D1287" s="12" t="s">
        <v>17113</v>
      </c>
      <c r="E1287" s="13">
        <v>45729</v>
      </c>
      <c r="F1287" s="14">
        <v>45908</v>
      </c>
      <c r="G1287" s="15">
        <v>2000000</v>
      </c>
      <c r="H1287" s="16">
        <v>12</v>
      </c>
      <c r="I1287" s="17">
        <v>24</v>
      </c>
      <c r="J1287" s="15">
        <v>999800</v>
      </c>
      <c r="K1287" s="98">
        <f t="shared" si="57"/>
        <v>0</v>
      </c>
      <c r="L1287" s="98" t="str">
        <f t="shared" si="58"/>
        <v>Lancar</v>
      </c>
      <c r="M1287" s="5" t="str">
        <f t="shared" si="59"/>
        <v>003</v>
      </c>
      <c r="N1287" s="55" t="str">
        <f>VLOOKUP(D1287,Pinjaman!$E$7:$N$1900,10,FALSE)</f>
        <v>PRODUKTIF</v>
      </c>
      <c r="O1287" s="55">
        <f>VLOOKUP(B1287,'Data Angt'!$A$5:$H$5810,6,FALSE)</f>
        <v>64</v>
      </c>
      <c r="P1287" s="55" t="str">
        <f>VLOOKUP(B1287,'Data Angt'!$A$5:$H$5810,8,FALSE)</f>
        <v>Wiraswasta</v>
      </c>
    </row>
    <row r="1288" spans="1:16" x14ac:dyDescent="0.3">
      <c r="A1288" s="8">
        <v>1281</v>
      </c>
      <c r="B1288" s="9" t="s">
        <v>13613</v>
      </c>
      <c r="C1288" s="10" t="str">
        <f>VLOOKUP(B1288,'Data Angt'!$A$5:$B$5809,2,FALSE)</f>
        <v>A4869</v>
      </c>
      <c r="D1288" s="12" t="s">
        <v>17116</v>
      </c>
      <c r="E1288" s="13">
        <v>45514</v>
      </c>
      <c r="F1288" s="14">
        <v>45808</v>
      </c>
      <c r="G1288" s="15">
        <v>1500000</v>
      </c>
      <c r="H1288" s="16">
        <v>10</v>
      </c>
      <c r="I1288" s="17">
        <v>24</v>
      </c>
      <c r="J1288" s="15">
        <v>600000</v>
      </c>
      <c r="K1288" s="98">
        <f t="shared" si="57"/>
        <v>3</v>
      </c>
      <c r="L1288" s="98" t="str">
        <f t="shared" si="58"/>
        <v>Lancar</v>
      </c>
      <c r="M1288" s="5" t="str">
        <f t="shared" si="59"/>
        <v>003</v>
      </c>
      <c r="N1288" s="55" t="str">
        <f>VLOOKUP(D1288,Pinjaman!$E$7:$N$1900,10,FALSE)</f>
        <v>PRODUKTIF</v>
      </c>
      <c r="O1288" s="55">
        <f>VLOOKUP(B1288,'Data Angt'!$A$5:$H$5810,6,FALSE)</f>
        <v>57</v>
      </c>
      <c r="P1288" s="55" t="str">
        <f>VLOOKUP(B1288,'Data Angt'!$A$5:$H$5810,8,FALSE)</f>
        <v>Wiraswasta</v>
      </c>
    </row>
    <row r="1289" spans="1:16" x14ac:dyDescent="0.3">
      <c r="A1289" s="8">
        <v>1282</v>
      </c>
      <c r="B1289" s="9" t="s">
        <v>13633</v>
      </c>
      <c r="C1289" s="10" t="str">
        <f>VLOOKUP(B1289,'Data Angt'!$A$5:$B$5809,2,FALSE)</f>
        <v>A4877</v>
      </c>
      <c r="D1289" s="12" t="s">
        <v>17118</v>
      </c>
      <c r="E1289" s="13">
        <v>45518</v>
      </c>
      <c r="F1289" s="14">
        <v>45642</v>
      </c>
      <c r="G1289" s="15">
        <v>1500000</v>
      </c>
      <c r="H1289" s="16">
        <v>10</v>
      </c>
      <c r="I1289" s="17">
        <v>24</v>
      </c>
      <c r="J1289" s="15">
        <v>900000</v>
      </c>
      <c r="K1289" s="98">
        <f t="shared" ref="K1289:K1352" si="60">DATEDIF(F1289,$K$6,"m")</f>
        <v>9</v>
      </c>
      <c r="L1289" s="98" t="str">
        <f t="shared" ref="L1289:L1352" si="61">IF(K1289&lt;=3,"Lancar",IF(K1289&lt;=6,"Kurang lancar",IF(K1289&lt;=12,"Diragukan","Macet")))</f>
        <v>Diragukan</v>
      </c>
      <c r="M1289" s="5" t="str">
        <f t="shared" ref="M1289:M1352" si="62">MID(B1289,7,3)</f>
        <v>003</v>
      </c>
      <c r="N1289" s="55" t="str">
        <f>VLOOKUP(D1289,Pinjaman!$E$7:$N$1900,10,FALSE)</f>
        <v>PRODUKTIF</v>
      </c>
      <c r="O1289" s="55">
        <f>VLOOKUP(B1289,'Data Angt'!$A$5:$H$5810,6,FALSE)</f>
        <v>37</v>
      </c>
      <c r="P1289" s="55" t="str">
        <f>VLOOKUP(B1289,'Data Angt'!$A$5:$H$5810,8,FALSE)</f>
        <v>Wiraswasta</v>
      </c>
    </row>
    <row r="1290" spans="1:16" x14ac:dyDescent="0.3">
      <c r="A1290" s="8">
        <v>1283</v>
      </c>
      <c r="B1290" s="9" t="s">
        <v>13636</v>
      </c>
      <c r="C1290" s="10" t="str">
        <f>VLOOKUP(B1290,'Data Angt'!$A$5:$B$5809,2,FALSE)</f>
        <v>A4879</v>
      </c>
      <c r="D1290" s="12" t="s">
        <v>23466</v>
      </c>
      <c r="E1290" s="13">
        <v>45891</v>
      </c>
      <c r="F1290" s="14">
        <v>45930</v>
      </c>
      <c r="G1290" s="15">
        <v>4000000</v>
      </c>
      <c r="H1290" s="16">
        <v>18</v>
      </c>
      <c r="I1290" s="17">
        <v>24</v>
      </c>
      <c r="J1290" s="15">
        <v>3777700</v>
      </c>
      <c r="K1290" s="98">
        <f t="shared" si="60"/>
        <v>0</v>
      </c>
      <c r="L1290" s="98" t="str">
        <f t="shared" si="61"/>
        <v>Lancar</v>
      </c>
      <c r="M1290" s="5" t="str">
        <f t="shared" si="62"/>
        <v>003</v>
      </c>
      <c r="N1290" s="55" t="str">
        <f>VLOOKUP(D1290,Pinjaman!$E$7:$N$1900,10,FALSE)</f>
        <v>KESEJAHTERAAN</v>
      </c>
      <c r="O1290" s="55">
        <f>VLOOKUP(B1290,'Data Angt'!$A$5:$H$5810,6,FALSE)</f>
        <v>43</v>
      </c>
      <c r="P1290" s="55" t="str">
        <f>VLOOKUP(B1290,'Data Angt'!$A$5:$H$5810,8,FALSE)</f>
        <v>Wiraswasta</v>
      </c>
    </row>
    <row r="1291" spans="1:16" x14ac:dyDescent="0.3">
      <c r="A1291" s="8">
        <v>1284</v>
      </c>
      <c r="B1291" s="9" t="s">
        <v>13665</v>
      </c>
      <c r="C1291" s="10" t="str">
        <f>VLOOKUP(B1291,'Data Angt'!$A$5:$B$5809,2,FALSE)</f>
        <v>A4890</v>
      </c>
      <c r="D1291" s="12" t="s">
        <v>17120</v>
      </c>
      <c r="E1291" s="13">
        <v>45741</v>
      </c>
      <c r="F1291" s="14">
        <v>45930</v>
      </c>
      <c r="G1291" s="15">
        <v>2000000</v>
      </c>
      <c r="H1291" s="16">
        <v>10</v>
      </c>
      <c r="I1291" s="17">
        <v>24</v>
      </c>
      <c r="J1291" s="15">
        <v>800000</v>
      </c>
      <c r="K1291" s="98">
        <f t="shared" si="60"/>
        <v>0</v>
      </c>
      <c r="L1291" s="98" t="str">
        <f t="shared" si="61"/>
        <v>Lancar</v>
      </c>
      <c r="M1291" s="5" t="str">
        <f t="shared" si="62"/>
        <v>003</v>
      </c>
      <c r="N1291" s="55" t="str">
        <f>VLOOKUP(D1291,Pinjaman!$E$7:$N$1900,10,FALSE)</f>
        <v>KONSUMTIF</v>
      </c>
      <c r="O1291" s="55">
        <f>VLOOKUP(B1291,'Data Angt'!$A$5:$H$5810,6,FALSE)</f>
        <v>28</v>
      </c>
      <c r="P1291" s="55" t="str">
        <f>VLOOKUP(B1291,'Data Angt'!$A$5:$H$5810,8,FALSE)</f>
        <v>Wiraswasta</v>
      </c>
    </row>
    <row r="1292" spans="1:16" x14ac:dyDescent="0.3">
      <c r="A1292" s="8">
        <v>1285</v>
      </c>
      <c r="B1292" s="9" t="s">
        <v>13696</v>
      </c>
      <c r="C1292" s="10" t="str">
        <f>VLOOKUP(B1292,'Data Angt'!$A$5:$B$5809,2,FALSE)</f>
        <v>A4903</v>
      </c>
      <c r="D1292" s="12" t="s">
        <v>17122</v>
      </c>
      <c r="E1292" s="13">
        <v>45710</v>
      </c>
      <c r="F1292" s="14">
        <v>45922</v>
      </c>
      <c r="G1292" s="15">
        <v>2000000</v>
      </c>
      <c r="H1292" s="16">
        <v>10</v>
      </c>
      <c r="I1292" s="17">
        <v>24</v>
      </c>
      <c r="J1292" s="15">
        <v>600000</v>
      </c>
      <c r="K1292" s="98">
        <f t="shared" si="60"/>
        <v>0</v>
      </c>
      <c r="L1292" s="98" t="str">
        <f t="shared" si="61"/>
        <v>Lancar</v>
      </c>
      <c r="M1292" s="5" t="str">
        <f t="shared" si="62"/>
        <v>003</v>
      </c>
      <c r="N1292" s="55" t="str">
        <f>VLOOKUP(D1292,Pinjaman!$E$7:$N$1900,10,FALSE)</f>
        <v>PRODUKTIF</v>
      </c>
      <c r="O1292" s="55">
        <f>VLOOKUP(B1292,'Data Angt'!$A$5:$H$5810,6,FALSE)</f>
        <v>60</v>
      </c>
      <c r="P1292" s="55" t="str">
        <f>VLOOKUP(B1292,'Data Angt'!$A$5:$H$5810,8,FALSE)</f>
        <v>Wiraswasta</v>
      </c>
    </row>
    <row r="1293" spans="1:16" x14ac:dyDescent="0.3">
      <c r="A1293" s="8">
        <v>1286</v>
      </c>
      <c r="B1293" s="9" t="s">
        <v>13720</v>
      </c>
      <c r="C1293" s="10" t="str">
        <f>VLOOKUP(B1293,'Data Angt'!$A$5:$B$5809,2,FALSE)</f>
        <v>A4915</v>
      </c>
      <c r="D1293" s="12" t="s">
        <v>17124</v>
      </c>
      <c r="E1293" s="13">
        <v>45548</v>
      </c>
      <c r="F1293" s="14">
        <v>45903</v>
      </c>
      <c r="G1293" s="15">
        <v>5000000</v>
      </c>
      <c r="H1293" s="16">
        <v>24</v>
      </c>
      <c r="I1293" s="17">
        <v>24</v>
      </c>
      <c r="J1293" s="15">
        <v>2499200</v>
      </c>
      <c r="K1293" s="98">
        <f t="shared" si="60"/>
        <v>0</v>
      </c>
      <c r="L1293" s="98" t="str">
        <f t="shared" si="61"/>
        <v>Lancar</v>
      </c>
      <c r="M1293" s="5" t="str">
        <f t="shared" si="62"/>
        <v>003</v>
      </c>
      <c r="N1293" s="55" t="str">
        <f>VLOOKUP(D1293,Pinjaman!$E$7:$N$1900,10,FALSE)</f>
        <v>KESEHATAN</v>
      </c>
      <c r="O1293" s="55">
        <f>VLOOKUP(B1293,'Data Angt'!$A$5:$H$5810,6,FALSE)</f>
        <v>29</v>
      </c>
      <c r="P1293" s="55" t="str">
        <f>VLOOKUP(B1293,'Data Angt'!$A$5:$H$5810,8,FALSE)</f>
        <v>Mengurus Rumah Tangga</v>
      </c>
    </row>
    <row r="1294" spans="1:16" x14ac:dyDescent="0.3">
      <c r="A1294" s="8">
        <v>1287</v>
      </c>
      <c r="B1294" s="9" t="s">
        <v>13771</v>
      </c>
      <c r="C1294" s="10" t="str">
        <f>VLOOKUP(B1294,'Data Angt'!$A$5:$B$5809,2,FALSE)</f>
        <v>A4937</v>
      </c>
      <c r="D1294" s="12" t="s">
        <v>17126</v>
      </c>
      <c r="E1294" s="13">
        <v>45810</v>
      </c>
      <c r="F1294" s="14">
        <v>45904</v>
      </c>
      <c r="G1294" s="15">
        <v>1500000</v>
      </c>
      <c r="H1294" s="16">
        <v>12</v>
      </c>
      <c r="I1294" s="17">
        <v>24</v>
      </c>
      <c r="J1294" s="15">
        <v>1125000</v>
      </c>
      <c r="K1294" s="98">
        <f t="shared" si="60"/>
        <v>0</v>
      </c>
      <c r="L1294" s="98" t="str">
        <f t="shared" si="61"/>
        <v>Lancar</v>
      </c>
      <c r="M1294" s="5" t="str">
        <f t="shared" si="62"/>
        <v>003</v>
      </c>
      <c r="N1294" s="55" t="str">
        <f>VLOOKUP(D1294,Pinjaman!$E$7:$N$1900,10,FALSE)</f>
        <v>PRODUKTIF</v>
      </c>
      <c r="O1294" s="55">
        <f>VLOOKUP(B1294,'Data Angt'!$A$5:$H$5810,6,FALSE)</f>
        <v>53</v>
      </c>
      <c r="P1294" s="55" t="str">
        <f>VLOOKUP(B1294,'Data Angt'!$A$5:$H$5810,8,FALSE)</f>
        <v>Wiraswasta</v>
      </c>
    </row>
    <row r="1295" spans="1:16" x14ac:dyDescent="0.3">
      <c r="A1295" s="8">
        <v>1288</v>
      </c>
      <c r="B1295" s="9" t="s">
        <v>13850</v>
      </c>
      <c r="C1295" s="10" t="str">
        <f>VLOOKUP(B1295,'Data Angt'!$A$5:$B$5809,2,FALSE)</f>
        <v>A4975</v>
      </c>
      <c r="D1295" s="12" t="s">
        <v>17128</v>
      </c>
      <c r="E1295" s="13">
        <v>45603</v>
      </c>
      <c r="F1295" s="14">
        <v>45908</v>
      </c>
      <c r="G1295" s="15">
        <v>1500000</v>
      </c>
      <c r="H1295" s="16">
        <v>12</v>
      </c>
      <c r="I1295" s="17">
        <v>24</v>
      </c>
      <c r="J1295" s="15">
        <v>250000</v>
      </c>
      <c r="K1295" s="98">
        <f t="shared" si="60"/>
        <v>0</v>
      </c>
      <c r="L1295" s="98" t="str">
        <f t="shared" si="61"/>
        <v>Lancar</v>
      </c>
      <c r="M1295" s="5" t="str">
        <f t="shared" si="62"/>
        <v>003</v>
      </c>
      <c r="N1295" s="55" t="str">
        <f>VLOOKUP(D1295,Pinjaman!$E$7:$N$1900,10,FALSE)</f>
        <v>PRODUKTIF</v>
      </c>
      <c r="O1295" s="55">
        <f>VLOOKUP(B1295,'Data Angt'!$A$5:$H$5810,6,FALSE)</f>
        <v>57</v>
      </c>
      <c r="P1295" s="55" t="str">
        <f>VLOOKUP(B1295,'Data Angt'!$A$5:$H$5810,8,FALSE)</f>
        <v>Wiraswasta</v>
      </c>
    </row>
    <row r="1296" spans="1:16" x14ac:dyDescent="0.3">
      <c r="A1296" s="8">
        <v>1289</v>
      </c>
      <c r="B1296" s="9" t="s">
        <v>13852</v>
      </c>
      <c r="C1296" s="10" t="str">
        <f>VLOOKUP(B1296,'Data Angt'!$A$5:$B$5809,2,FALSE)</f>
        <v>A4977</v>
      </c>
      <c r="D1296" s="12" t="s">
        <v>23469</v>
      </c>
      <c r="E1296" s="13">
        <v>45889</v>
      </c>
      <c r="F1296" s="14">
        <v>45922</v>
      </c>
      <c r="G1296" s="15">
        <v>10000000</v>
      </c>
      <c r="H1296" s="16">
        <v>18</v>
      </c>
      <c r="I1296" s="17">
        <v>24</v>
      </c>
      <c r="J1296" s="15">
        <v>9444400</v>
      </c>
      <c r="K1296" s="98">
        <f t="shared" si="60"/>
        <v>0</v>
      </c>
      <c r="L1296" s="98" t="str">
        <f t="shared" si="61"/>
        <v>Lancar</v>
      </c>
      <c r="M1296" s="5" t="str">
        <f t="shared" si="62"/>
        <v>003</v>
      </c>
      <c r="N1296" s="55" t="str">
        <f>VLOOKUP(D1296,Pinjaman!$E$7:$N$1900,10,FALSE)</f>
        <v>PRODUKTIF</v>
      </c>
      <c r="O1296" s="55">
        <f>VLOOKUP(B1296,'Data Angt'!$A$5:$H$5810,6,FALSE)</f>
        <v>35</v>
      </c>
      <c r="P1296" s="55" t="str">
        <f>VLOOKUP(B1296,'Data Angt'!$A$5:$H$5810,8,FALSE)</f>
        <v>Wiraswasta</v>
      </c>
    </row>
    <row r="1297" spans="1:16" x14ac:dyDescent="0.3">
      <c r="A1297" s="8">
        <v>1290</v>
      </c>
      <c r="B1297" s="9" t="s">
        <v>13876</v>
      </c>
      <c r="C1297" s="10" t="str">
        <f>VLOOKUP(B1297,'Data Angt'!$A$5:$B$5809,2,FALSE)</f>
        <v>A4989</v>
      </c>
      <c r="D1297" s="12" t="s">
        <v>17131</v>
      </c>
      <c r="E1297" s="13">
        <v>45715</v>
      </c>
      <c r="F1297" s="14">
        <v>45926</v>
      </c>
      <c r="G1297" s="15">
        <v>4000000</v>
      </c>
      <c r="H1297" s="16">
        <v>12</v>
      </c>
      <c r="I1297" s="17">
        <v>24</v>
      </c>
      <c r="J1297" s="15">
        <v>1666200</v>
      </c>
      <c r="K1297" s="98">
        <f t="shared" si="60"/>
        <v>0</v>
      </c>
      <c r="L1297" s="98" t="str">
        <f t="shared" si="61"/>
        <v>Lancar</v>
      </c>
      <c r="M1297" s="5" t="str">
        <f t="shared" si="62"/>
        <v>003</v>
      </c>
      <c r="N1297" s="55" t="str">
        <f>VLOOKUP(D1297,Pinjaman!$E$7:$N$1900,10,FALSE)</f>
        <v>KESEJAHTERAAN</v>
      </c>
      <c r="O1297" s="55">
        <f>VLOOKUP(B1297,'Data Angt'!$A$5:$H$5810,6,FALSE)</f>
        <v>31</v>
      </c>
      <c r="P1297" s="55" t="str">
        <f>VLOOKUP(B1297,'Data Angt'!$A$5:$H$5810,8,FALSE)</f>
        <v>Tenaga Pengajar</v>
      </c>
    </row>
    <row r="1298" spans="1:16" x14ac:dyDescent="0.3">
      <c r="A1298" s="8">
        <v>1291</v>
      </c>
      <c r="B1298" s="9" t="s">
        <v>13890</v>
      </c>
      <c r="C1298" s="10" t="str">
        <f>VLOOKUP(B1298,'Data Angt'!$A$5:$B$5809,2,FALSE)</f>
        <v>A4996</v>
      </c>
      <c r="D1298" s="12" t="s">
        <v>17133</v>
      </c>
      <c r="E1298" s="13">
        <v>45593</v>
      </c>
      <c r="F1298" s="14">
        <v>45869</v>
      </c>
      <c r="G1298" s="15">
        <v>1500000</v>
      </c>
      <c r="H1298" s="16">
        <v>10</v>
      </c>
      <c r="I1298" s="17">
        <v>24</v>
      </c>
      <c r="J1298" s="15">
        <v>150000</v>
      </c>
      <c r="K1298" s="98">
        <f t="shared" si="60"/>
        <v>1</v>
      </c>
      <c r="L1298" s="98" t="str">
        <f t="shared" si="61"/>
        <v>Lancar</v>
      </c>
      <c r="M1298" s="5" t="str">
        <f t="shared" si="62"/>
        <v>003</v>
      </c>
      <c r="N1298" s="55" t="str">
        <f>VLOOKUP(D1298,Pinjaman!$E$7:$N$1900,10,FALSE)</f>
        <v>PRODUKTIF</v>
      </c>
      <c r="O1298" s="55">
        <f>VLOOKUP(B1298,'Data Angt'!$A$5:$H$5810,6,FALSE)</f>
        <v>54</v>
      </c>
      <c r="P1298" s="55" t="str">
        <f>VLOOKUP(B1298,'Data Angt'!$A$5:$H$5810,8,FALSE)</f>
        <v>Wiraswasta</v>
      </c>
    </row>
    <row r="1299" spans="1:16" x14ac:dyDescent="0.3">
      <c r="A1299" s="8">
        <v>1292</v>
      </c>
      <c r="B1299" s="9" t="s">
        <v>13895</v>
      </c>
      <c r="C1299" s="10" t="str">
        <f>VLOOKUP(B1299,'Data Angt'!$A$5:$B$5809,2,FALSE)</f>
        <v>A4998</v>
      </c>
      <c r="D1299" s="12" t="s">
        <v>17135</v>
      </c>
      <c r="E1299" s="13">
        <v>45713</v>
      </c>
      <c r="F1299" s="14">
        <v>45927</v>
      </c>
      <c r="G1299" s="15">
        <v>2500000</v>
      </c>
      <c r="H1299" s="16">
        <v>12</v>
      </c>
      <c r="I1299" s="17">
        <v>24</v>
      </c>
      <c r="J1299" s="15">
        <v>1041200</v>
      </c>
      <c r="K1299" s="98">
        <f t="shared" si="60"/>
        <v>0</v>
      </c>
      <c r="L1299" s="98" t="str">
        <f t="shared" si="61"/>
        <v>Lancar</v>
      </c>
      <c r="M1299" s="5" t="str">
        <f t="shared" si="62"/>
        <v>003</v>
      </c>
      <c r="N1299" s="55" t="str">
        <f>VLOOKUP(D1299,Pinjaman!$E$7:$N$1900,10,FALSE)</f>
        <v>PRODUKTIF</v>
      </c>
      <c r="O1299" s="55">
        <f>VLOOKUP(B1299,'Data Angt'!$A$5:$H$5810,6,FALSE)</f>
        <v>40</v>
      </c>
      <c r="P1299" s="55" t="str">
        <f>VLOOKUP(B1299,'Data Angt'!$A$5:$H$5810,8,FALSE)</f>
        <v>Karyawan</v>
      </c>
    </row>
    <row r="1300" spans="1:16" x14ac:dyDescent="0.3">
      <c r="A1300" s="8">
        <v>1293</v>
      </c>
      <c r="B1300" s="9" t="s">
        <v>13932</v>
      </c>
      <c r="C1300" s="10" t="str">
        <f>VLOOKUP(B1300,'Data Angt'!$A$5:$B$5809,2,FALSE)</f>
        <v>A5013</v>
      </c>
      <c r="D1300" s="12" t="s">
        <v>17138</v>
      </c>
      <c r="E1300" s="13">
        <v>45800</v>
      </c>
      <c r="F1300" s="14">
        <v>45925</v>
      </c>
      <c r="G1300" s="15">
        <v>2000000</v>
      </c>
      <c r="H1300" s="16">
        <v>12</v>
      </c>
      <c r="I1300" s="17">
        <v>24</v>
      </c>
      <c r="J1300" s="15">
        <v>1333200</v>
      </c>
      <c r="K1300" s="98">
        <f t="shared" si="60"/>
        <v>0</v>
      </c>
      <c r="L1300" s="98" t="str">
        <f t="shared" si="61"/>
        <v>Lancar</v>
      </c>
      <c r="M1300" s="5" t="str">
        <f t="shared" si="62"/>
        <v>003</v>
      </c>
      <c r="N1300" s="55" t="str">
        <f>VLOOKUP(D1300,Pinjaman!$E$7:$N$1900,10,FALSE)</f>
        <v>PENDIDIKAN</v>
      </c>
      <c r="O1300" s="55">
        <f>VLOOKUP(B1300,'Data Angt'!$A$5:$H$5810,6,FALSE)</f>
        <v>38</v>
      </c>
      <c r="P1300" s="55" t="str">
        <f>VLOOKUP(B1300,'Data Angt'!$A$5:$H$5810,8,FALSE)</f>
        <v>Mengurus Rumah Tangga</v>
      </c>
    </row>
    <row r="1301" spans="1:16" x14ac:dyDescent="0.3">
      <c r="A1301" s="8">
        <v>1294</v>
      </c>
      <c r="B1301" s="9" t="s">
        <v>14143</v>
      </c>
      <c r="C1301" s="10" t="str">
        <f>VLOOKUP(B1301,'Data Angt'!$A$5:$B$5809,2,FALSE)</f>
        <v>A5107</v>
      </c>
      <c r="D1301" s="12" t="s">
        <v>17140</v>
      </c>
      <c r="E1301" s="13">
        <v>45741</v>
      </c>
      <c r="F1301" s="14">
        <v>45899</v>
      </c>
      <c r="G1301" s="15">
        <v>2000000</v>
      </c>
      <c r="H1301" s="16">
        <v>12</v>
      </c>
      <c r="I1301" s="17">
        <v>24</v>
      </c>
      <c r="J1301" s="15">
        <v>1166500</v>
      </c>
      <c r="K1301" s="98">
        <f t="shared" si="60"/>
        <v>1</v>
      </c>
      <c r="L1301" s="98" t="str">
        <f t="shared" si="61"/>
        <v>Lancar</v>
      </c>
      <c r="M1301" s="5" t="str">
        <f t="shared" si="62"/>
        <v>003</v>
      </c>
      <c r="N1301" s="55" t="str">
        <f>VLOOKUP(D1301,Pinjaman!$E$7:$N$1900,10,FALSE)</f>
        <v>KONSUMTIF</v>
      </c>
      <c r="O1301" s="55">
        <f>VLOOKUP(B1301,'Data Angt'!$A$5:$H$5810,6,FALSE)</f>
        <v>40</v>
      </c>
      <c r="P1301" s="55" t="str">
        <f>VLOOKUP(B1301,'Data Angt'!$A$5:$H$5810,8,FALSE)</f>
        <v>Mengurus Rumah Tangga</v>
      </c>
    </row>
    <row r="1302" spans="1:16" x14ac:dyDescent="0.3">
      <c r="A1302" s="8">
        <v>1295</v>
      </c>
      <c r="B1302" s="9" t="s">
        <v>14224</v>
      </c>
      <c r="C1302" s="10" t="str">
        <f>VLOOKUP(B1302,'Data Angt'!$A$5:$B$5809,2,FALSE)</f>
        <v>A5146</v>
      </c>
      <c r="D1302" s="12" t="s">
        <v>23472</v>
      </c>
      <c r="E1302" s="13">
        <v>45912</v>
      </c>
      <c r="F1302" s="14">
        <v>45912</v>
      </c>
      <c r="G1302" s="15">
        <v>10000000</v>
      </c>
      <c r="H1302" s="16">
        <v>12</v>
      </c>
      <c r="I1302" s="17">
        <v>24</v>
      </c>
      <c r="J1302" s="15">
        <v>10000000</v>
      </c>
      <c r="K1302" s="98">
        <f t="shared" si="60"/>
        <v>0</v>
      </c>
      <c r="L1302" s="98" t="str">
        <f t="shared" si="61"/>
        <v>Lancar</v>
      </c>
      <c r="M1302" s="5" t="str">
        <f t="shared" si="62"/>
        <v>003</v>
      </c>
      <c r="N1302" s="55" t="str">
        <f>VLOOKUP(D1302,Pinjaman!$E$7:$N$1900,10,FALSE)</f>
        <v>PRODUKTIF</v>
      </c>
      <c r="O1302" s="55">
        <f>VLOOKUP(B1302,'Data Angt'!$A$5:$H$5810,6,FALSE)</f>
        <v>26</v>
      </c>
      <c r="P1302" s="55" t="str">
        <f>VLOOKUP(B1302,'Data Angt'!$A$5:$H$5810,8,FALSE)</f>
        <v>Wiraswasta</v>
      </c>
    </row>
    <row r="1303" spans="1:16" x14ac:dyDescent="0.3">
      <c r="A1303" s="8">
        <v>1296</v>
      </c>
      <c r="B1303" s="9" t="s">
        <v>14264</v>
      </c>
      <c r="C1303" s="10" t="str">
        <f>VLOOKUP(B1303,'Data Angt'!$A$5:$B$5809,2,FALSE)</f>
        <v>A5166</v>
      </c>
      <c r="D1303" s="12" t="s">
        <v>17143</v>
      </c>
      <c r="E1303" s="13">
        <v>45653</v>
      </c>
      <c r="F1303" s="14">
        <v>45742</v>
      </c>
      <c r="G1303" s="15">
        <v>1500000</v>
      </c>
      <c r="H1303" s="16">
        <v>10</v>
      </c>
      <c r="I1303" s="17">
        <v>24</v>
      </c>
      <c r="J1303" s="15">
        <v>1200000</v>
      </c>
      <c r="K1303" s="98">
        <f t="shared" si="60"/>
        <v>6</v>
      </c>
      <c r="L1303" s="98" t="str">
        <f t="shared" si="61"/>
        <v>Kurang lancar</v>
      </c>
      <c r="M1303" s="5" t="str">
        <f t="shared" si="62"/>
        <v>003</v>
      </c>
      <c r="N1303" s="55" t="str">
        <f>VLOOKUP(D1303,Pinjaman!$E$7:$N$1900,10,FALSE)</f>
        <v>PENDIDIKAN</v>
      </c>
      <c r="O1303" s="55">
        <f>VLOOKUP(B1303,'Data Angt'!$A$5:$H$5810,6,FALSE)</f>
        <v>30</v>
      </c>
      <c r="P1303" s="55" t="str">
        <f>VLOOKUP(B1303,'Data Angt'!$A$5:$H$5810,8,FALSE)</f>
        <v>Mengurus Rumah Tangga</v>
      </c>
    </row>
    <row r="1304" spans="1:16" x14ac:dyDescent="0.3">
      <c r="A1304" s="8">
        <v>1297</v>
      </c>
      <c r="B1304" s="9" t="s">
        <v>14266</v>
      </c>
      <c r="C1304" s="10" t="str">
        <f>VLOOKUP(B1304,'Data Angt'!$A$5:$B$5809,2,FALSE)</f>
        <v>A5167</v>
      </c>
      <c r="D1304" s="12" t="s">
        <v>17145</v>
      </c>
      <c r="E1304" s="13">
        <v>45653</v>
      </c>
      <c r="F1304" s="14">
        <v>45917</v>
      </c>
      <c r="G1304" s="15">
        <v>1500000</v>
      </c>
      <c r="H1304" s="16">
        <v>10</v>
      </c>
      <c r="I1304" s="17">
        <v>24</v>
      </c>
      <c r="J1304" s="15">
        <v>150000</v>
      </c>
      <c r="K1304" s="98">
        <f t="shared" si="60"/>
        <v>0</v>
      </c>
      <c r="L1304" s="98" t="str">
        <f t="shared" si="61"/>
        <v>Lancar</v>
      </c>
      <c r="M1304" s="5" t="str">
        <f t="shared" si="62"/>
        <v>003</v>
      </c>
      <c r="N1304" s="55" t="str">
        <f>VLOOKUP(D1304,Pinjaman!$E$7:$N$1900,10,FALSE)</f>
        <v>PRODUKTIF</v>
      </c>
      <c r="O1304" s="55">
        <f>VLOOKUP(B1304,'Data Angt'!$A$5:$H$5810,6,FALSE)</f>
        <v>42</v>
      </c>
      <c r="P1304" s="55" t="str">
        <f>VLOOKUP(B1304,'Data Angt'!$A$5:$H$5810,8,FALSE)</f>
        <v>Wiraswasta</v>
      </c>
    </row>
    <row r="1305" spans="1:16" x14ac:dyDescent="0.3">
      <c r="A1305" s="8">
        <v>1298</v>
      </c>
      <c r="B1305" s="9" t="s">
        <v>14274</v>
      </c>
      <c r="C1305" s="10" t="str">
        <f>VLOOKUP(B1305,'Data Angt'!$A$5:$B$5809,2,FALSE)</f>
        <v>A5170</v>
      </c>
      <c r="D1305" s="12" t="s">
        <v>17148</v>
      </c>
      <c r="E1305" s="13">
        <v>45654</v>
      </c>
      <c r="F1305" s="14">
        <v>45688</v>
      </c>
      <c r="G1305" s="15">
        <v>1500000</v>
      </c>
      <c r="H1305" s="16">
        <v>10</v>
      </c>
      <c r="I1305" s="17">
        <v>24</v>
      </c>
      <c r="J1305" s="15">
        <v>1350000</v>
      </c>
      <c r="K1305" s="98">
        <f t="shared" si="60"/>
        <v>7</v>
      </c>
      <c r="L1305" s="98" t="str">
        <f t="shared" si="61"/>
        <v>Diragukan</v>
      </c>
      <c r="M1305" s="5" t="str">
        <f t="shared" si="62"/>
        <v>003</v>
      </c>
      <c r="N1305" s="55" t="str">
        <f>VLOOKUP(D1305,Pinjaman!$E$7:$N$1900,10,FALSE)</f>
        <v>PRODUKTIF</v>
      </c>
      <c r="O1305" s="55">
        <f>VLOOKUP(B1305,'Data Angt'!$A$5:$H$5810,6,FALSE)</f>
        <v>45</v>
      </c>
      <c r="P1305" s="55" t="str">
        <f>VLOOKUP(B1305,'Data Angt'!$A$5:$H$5810,8,FALSE)</f>
        <v>Wiraswasta</v>
      </c>
    </row>
    <row r="1306" spans="1:16" x14ac:dyDescent="0.3">
      <c r="A1306" s="8">
        <v>1299</v>
      </c>
      <c r="B1306" s="9" t="s">
        <v>14275</v>
      </c>
      <c r="C1306" s="10" t="str">
        <f>VLOOKUP(B1306,'Data Angt'!$A$5:$B$5809,2,FALSE)</f>
        <v>A5171</v>
      </c>
      <c r="D1306" s="12" t="s">
        <v>17150</v>
      </c>
      <c r="E1306" s="13">
        <v>45656</v>
      </c>
      <c r="F1306" s="14">
        <v>45808</v>
      </c>
      <c r="G1306" s="15">
        <v>1500000</v>
      </c>
      <c r="H1306" s="16">
        <v>10</v>
      </c>
      <c r="I1306" s="17">
        <v>24</v>
      </c>
      <c r="J1306" s="15">
        <v>1350000</v>
      </c>
      <c r="K1306" s="98">
        <f t="shared" si="60"/>
        <v>3</v>
      </c>
      <c r="L1306" s="98" t="str">
        <f t="shared" si="61"/>
        <v>Lancar</v>
      </c>
      <c r="M1306" s="5" t="str">
        <f t="shared" si="62"/>
        <v>003</v>
      </c>
      <c r="N1306" s="55" t="str">
        <f>VLOOKUP(D1306,Pinjaman!$E$7:$N$1900,10,FALSE)</f>
        <v>PRODUKTIF</v>
      </c>
      <c r="O1306" s="55">
        <f>VLOOKUP(B1306,'Data Angt'!$A$5:$H$5810,6,FALSE)</f>
        <v>60</v>
      </c>
      <c r="P1306" s="55" t="str">
        <f>VLOOKUP(B1306,'Data Angt'!$A$5:$H$5810,8,FALSE)</f>
        <v>Wiraswasta</v>
      </c>
    </row>
    <row r="1307" spans="1:16" x14ac:dyDescent="0.3">
      <c r="A1307" s="8">
        <v>1300</v>
      </c>
      <c r="B1307" s="9" t="s">
        <v>14281</v>
      </c>
      <c r="C1307" s="10" t="str">
        <f>VLOOKUP(B1307,'Data Angt'!$A$5:$B$5809,2,FALSE)</f>
        <v>A5174</v>
      </c>
      <c r="D1307" s="12" t="s">
        <v>17153</v>
      </c>
      <c r="E1307" s="13">
        <v>45656</v>
      </c>
      <c r="F1307" s="14">
        <v>45930</v>
      </c>
      <c r="G1307" s="15">
        <v>15000000</v>
      </c>
      <c r="H1307" s="16">
        <v>24</v>
      </c>
      <c r="I1307" s="17">
        <v>24</v>
      </c>
      <c r="J1307" s="15">
        <v>10190300</v>
      </c>
      <c r="K1307" s="98">
        <f t="shared" si="60"/>
        <v>0</v>
      </c>
      <c r="L1307" s="98" t="str">
        <f t="shared" si="61"/>
        <v>Lancar</v>
      </c>
      <c r="M1307" s="5" t="str">
        <f t="shared" si="62"/>
        <v>003</v>
      </c>
      <c r="N1307" s="55" t="str">
        <f>VLOOKUP(D1307,Pinjaman!$E$7:$N$1900,10,FALSE)</f>
        <v>KESEJAHTERAAN</v>
      </c>
      <c r="O1307" s="55">
        <f>VLOOKUP(B1307,'Data Angt'!$A$5:$H$5810,6,FALSE)</f>
        <v>24</v>
      </c>
      <c r="P1307" s="55" t="str">
        <f>VLOOKUP(B1307,'Data Angt'!$A$5:$H$5810,8,FALSE)</f>
        <v>Karyawan</v>
      </c>
    </row>
    <row r="1308" spans="1:16" x14ac:dyDescent="0.3">
      <c r="A1308" s="8">
        <v>1301</v>
      </c>
      <c r="B1308" s="9" t="s">
        <v>14377</v>
      </c>
      <c r="C1308" s="10" t="str">
        <f>VLOOKUP(B1308,'Data Angt'!$A$5:$B$5809,2,FALSE)</f>
        <v>A5184</v>
      </c>
      <c r="D1308" s="12" t="s">
        <v>17155</v>
      </c>
      <c r="E1308" s="13">
        <v>45664</v>
      </c>
      <c r="F1308" s="14">
        <v>45930</v>
      </c>
      <c r="G1308" s="15">
        <v>18500000</v>
      </c>
      <c r="H1308" s="16">
        <v>24</v>
      </c>
      <c r="I1308" s="17">
        <v>24</v>
      </c>
      <c r="J1308" s="15">
        <v>13280200</v>
      </c>
      <c r="K1308" s="98">
        <f t="shared" si="60"/>
        <v>0</v>
      </c>
      <c r="L1308" s="98" t="str">
        <f t="shared" si="61"/>
        <v>Lancar</v>
      </c>
      <c r="M1308" s="5" t="str">
        <f t="shared" si="62"/>
        <v>003</v>
      </c>
      <c r="N1308" s="55" t="str">
        <f>VLOOKUP(D1308,Pinjaman!$E$7:$N$1900,10,FALSE)</f>
        <v>KESEJAHTERAAN</v>
      </c>
      <c r="O1308" s="55">
        <f>VLOOKUP(B1308,'Data Angt'!$A$5:$H$5810,6,FALSE)</f>
        <v>26</v>
      </c>
      <c r="P1308" s="55" t="str">
        <f>VLOOKUP(B1308,'Data Angt'!$A$5:$H$5810,8,FALSE)</f>
        <v>Karyawan</v>
      </c>
    </row>
    <row r="1309" spans="1:16" x14ac:dyDescent="0.3">
      <c r="A1309" s="8">
        <v>1302</v>
      </c>
      <c r="B1309" s="9" t="s">
        <v>14381</v>
      </c>
      <c r="C1309" s="10" t="str">
        <f>VLOOKUP(B1309,'Data Angt'!$A$5:$B$5809,2,FALSE)</f>
        <v>A5186</v>
      </c>
      <c r="D1309" s="12" t="s">
        <v>23475</v>
      </c>
      <c r="E1309" s="13">
        <v>45897</v>
      </c>
      <c r="F1309" s="14">
        <v>45930</v>
      </c>
      <c r="G1309" s="15">
        <v>10000000</v>
      </c>
      <c r="H1309" s="16">
        <v>36</v>
      </c>
      <c r="I1309" s="17">
        <v>24</v>
      </c>
      <c r="J1309" s="15">
        <v>9722200</v>
      </c>
      <c r="K1309" s="98">
        <f t="shared" si="60"/>
        <v>0</v>
      </c>
      <c r="L1309" s="98" t="str">
        <f t="shared" si="61"/>
        <v>Lancar</v>
      </c>
      <c r="M1309" s="5" t="str">
        <f t="shared" si="62"/>
        <v>003</v>
      </c>
      <c r="N1309" s="55" t="str">
        <f>VLOOKUP(D1309,Pinjaman!$E$7:$N$1900,10,FALSE)</f>
        <v>PENDIDIKAN</v>
      </c>
      <c r="O1309" s="55">
        <f>VLOOKUP(B1309,'Data Angt'!$A$5:$H$5810,6,FALSE)</f>
        <v>56</v>
      </c>
      <c r="P1309" s="55" t="str">
        <f>VLOOKUP(B1309,'Data Angt'!$A$5:$H$5810,8,FALSE)</f>
        <v>Mengurus Rumah Tangga</v>
      </c>
    </row>
    <row r="1310" spans="1:16" x14ac:dyDescent="0.3">
      <c r="A1310" s="8">
        <v>1303</v>
      </c>
      <c r="B1310" s="9" t="s">
        <v>14387</v>
      </c>
      <c r="C1310" s="10" t="str">
        <f>VLOOKUP(B1310,'Data Angt'!$A$5:$B$5809,2,FALSE)</f>
        <v>A5188</v>
      </c>
      <c r="D1310" s="12" t="s">
        <v>17157</v>
      </c>
      <c r="E1310" s="13">
        <v>45672</v>
      </c>
      <c r="F1310" s="14">
        <v>45777</v>
      </c>
      <c r="G1310" s="15">
        <v>1500000</v>
      </c>
      <c r="H1310" s="16">
        <v>10</v>
      </c>
      <c r="I1310" s="17">
        <v>24</v>
      </c>
      <c r="J1310" s="15">
        <v>1050000</v>
      </c>
      <c r="K1310" s="98">
        <f t="shared" si="60"/>
        <v>5</v>
      </c>
      <c r="L1310" s="98" t="str">
        <f t="shared" si="61"/>
        <v>Kurang lancar</v>
      </c>
      <c r="M1310" s="5" t="str">
        <f t="shared" si="62"/>
        <v>003</v>
      </c>
      <c r="N1310" s="55" t="str">
        <f>VLOOKUP(D1310,Pinjaman!$E$7:$N$1900,10,FALSE)</f>
        <v>PRODUKTIF</v>
      </c>
      <c r="O1310" s="55">
        <f>VLOOKUP(B1310,'Data Angt'!$A$5:$H$5810,6,FALSE)</f>
        <v>36</v>
      </c>
      <c r="P1310" s="55" t="str">
        <f>VLOOKUP(B1310,'Data Angt'!$A$5:$H$5810,8,FALSE)</f>
        <v>Wiraswasta</v>
      </c>
    </row>
    <row r="1311" spans="1:16" x14ac:dyDescent="0.3">
      <c r="A1311" s="8">
        <v>1304</v>
      </c>
      <c r="B1311" s="9" t="s">
        <v>14421</v>
      </c>
      <c r="C1311" s="10" t="str">
        <f>VLOOKUP(B1311,'Data Angt'!$A$5:$B$5809,2,FALSE)</f>
        <v>A5203</v>
      </c>
      <c r="D1311" s="12" t="s">
        <v>23478</v>
      </c>
      <c r="E1311" s="13">
        <v>45882</v>
      </c>
      <c r="F1311" s="14">
        <v>45913</v>
      </c>
      <c r="G1311" s="15">
        <v>3000000</v>
      </c>
      <c r="H1311" s="16">
        <v>6</v>
      </c>
      <c r="I1311" s="17">
        <v>24</v>
      </c>
      <c r="J1311" s="15">
        <v>2500000</v>
      </c>
      <c r="K1311" s="98">
        <f t="shared" si="60"/>
        <v>0</v>
      </c>
      <c r="L1311" s="98" t="str">
        <f t="shared" si="61"/>
        <v>Lancar</v>
      </c>
      <c r="M1311" s="5" t="str">
        <f t="shared" si="62"/>
        <v>003</v>
      </c>
      <c r="N1311" s="55" t="str">
        <f>VLOOKUP(D1311,Pinjaman!$E$7:$N$1900,10,FALSE)</f>
        <v>PRODUKTIF</v>
      </c>
      <c r="O1311" s="55">
        <f>VLOOKUP(B1311,'Data Angt'!$A$5:$H$5810,6,FALSE)</f>
        <v>36</v>
      </c>
      <c r="P1311" s="55" t="str">
        <f>VLOOKUP(B1311,'Data Angt'!$A$5:$H$5810,8,FALSE)</f>
        <v>Wiraswasta</v>
      </c>
    </row>
    <row r="1312" spans="1:16" x14ac:dyDescent="0.3">
      <c r="A1312" s="8">
        <v>1305</v>
      </c>
      <c r="B1312" s="9" t="s">
        <v>14469</v>
      </c>
      <c r="C1312" s="10" t="str">
        <f>VLOOKUP(B1312,'Data Angt'!$A$5:$B$5809,2,FALSE)</f>
        <v>A5223</v>
      </c>
      <c r="D1312" s="12" t="s">
        <v>17159</v>
      </c>
      <c r="E1312" s="13">
        <v>45682</v>
      </c>
      <c r="F1312" s="14">
        <v>45899</v>
      </c>
      <c r="G1312" s="15">
        <v>1500000</v>
      </c>
      <c r="H1312" s="16">
        <v>10</v>
      </c>
      <c r="I1312" s="17">
        <v>24</v>
      </c>
      <c r="J1312" s="15">
        <v>750000</v>
      </c>
      <c r="K1312" s="98">
        <f t="shared" si="60"/>
        <v>1</v>
      </c>
      <c r="L1312" s="98" t="str">
        <f t="shared" si="61"/>
        <v>Lancar</v>
      </c>
      <c r="M1312" s="5" t="str">
        <f t="shared" si="62"/>
        <v>003</v>
      </c>
      <c r="N1312" s="55" t="str">
        <f>VLOOKUP(D1312,Pinjaman!$E$7:$N$1900,10,FALSE)</f>
        <v>PRODUKTIF</v>
      </c>
      <c r="O1312" s="55">
        <f>VLOOKUP(B1312,'Data Angt'!$A$5:$H$5810,6,FALSE)</f>
        <v>46</v>
      </c>
      <c r="P1312" s="55" t="str">
        <f>VLOOKUP(B1312,'Data Angt'!$A$5:$H$5810,8,FALSE)</f>
        <v>Tenaga Pengajar</v>
      </c>
    </row>
    <row r="1313" spans="1:16" x14ac:dyDescent="0.3">
      <c r="A1313" s="8">
        <v>1306</v>
      </c>
      <c r="B1313" s="9" t="s">
        <v>14483</v>
      </c>
      <c r="C1313" s="10" t="str">
        <f>VLOOKUP(B1313,'Data Angt'!$A$5:$B$5809,2,FALSE)</f>
        <v>A5229</v>
      </c>
      <c r="D1313" s="12" t="s">
        <v>23481</v>
      </c>
      <c r="E1313" s="13">
        <v>45913</v>
      </c>
      <c r="F1313" s="14">
        <v>45913</v>
      </c>
      <c r="G1313" s="15">
        <v>2500000</v>
      </c>
      <c r="H1313" s="16">
        <v>12</v>
      </c>
      <c r="I1313" s="17">
        <v>24</v>
      </c>
      <c r="J1313" s="15">
        <v>2500000</v>
      </c>
      <c r="K1313" s="98">
        <f t="shared" si="60"/>
        <v>0</v>
      </c>
      <c r="L1313" s="98" t="str">
        <f t="shared" si="61"/>
        <v>Lancar</v>
      </c>
      <c r="M1313" s="5" t="str">
        <f t="shared" si="62"/>
        <v>003</v>
      </c>
      <c r="N1313" s="55" t="str">
        <f>VLOOKUP(D1313,Pinjaman!$E$7:$N$1900,10,FALSE)</f>
        <v>PRODUKTIF</v>
      </c>
      <c r="O1313" s="55">
        <f>VLOOKUP(B1313,'Data Angt'!$A$5:$H$5810,6,FALSE)</f>
        <v>37</v>
      </c>
      <c r="P1313" s="55" t="str">
        <f>VLOOKUP(B1313,'Data Angt'!$A$5:$H$5810,8,FALSE)</f>
        <v>Mengurus Rumah Tangga</v>
      </c>
    </row>
    <row r="1314" spans="1:16" x14ac:dyDescent="0.3">
      <c r="A1314" s="8">
        <v>1307</v>
      </c>
      <c r="B1314" s="9" t="s">
        <v>14507</v>
      </c>
      <c r="C1314" s="10" t="str">
        <f>VLOOKUP(B1314,'Data Angt'!$A$5:$B$5809,2,FALSE)</f>
        <v>A5239</v>
      </c>
      <c r="D1314" s="12" t="s">
        <v>17163</v>
      </c>
      <c r="E1314" s="13">
        <v>45694</v>
      </c>
      <c r="F1314" s="14">
        <v>45908</v>
      </c>
      <c r="G1314" s="15">
        <v>1500000</v>
      </c>
      <c r="H1314" s="16">
        <v>10</v>
      </c>
      <c r="I1314" s="17">
        <v>24</v>
      </c>
      <c r="J1314" s="15">
        <v>450000</v>
      </c>
      <c r="K1314" s="98">
        <f t="shared" si="60"/>
        <v>0</v>
      </c>
      <c r="L1314" s="98" t="str">
        <f t="shared" si="61"/>
        <v>Lancar</v>
      </c>
      <c r="M1314" s="5" t="str">
        <f t="shared" si="62"/>
        <v>003</v>
      </c>
      <c r="N1314" s="55" t="str">
        <f>VLOOKUP(D1314,Pinjaman!$E$7:$N$1900,10,FALSE)</f>
        <v>PRODUKTIF</v>
      </c>
      <c r="O1314" s="55">
        <f>VLOOKUP(B1314,'Data Angt'!$A$5:$H$5810,6,FALSE)</f>
        <v>48</v>
      </c>
      <c r="P1314" s="55" t="str">
        <f>VLOOKUP(B1314,'Data Angt'!$A$5:$H$5810,8,FALSE)</f>
        <v>Mengurus Rumah Tangga</v>
      </c>
    </row>
    <row r="1315" spans="1:16" x14ac:dyDescent="0.3">
      <c r="A1315" s="8">
        <v>1308</v>
      </c>
      <c r="B1315" s="9" t="s">
        <v>14534</v>
      </c>
      <c r="C1315" s="10" t="str">
        <f>VLOOKUP(B1315,'Data Angt'!$A$5:$B$5809,2,FALSE)</f>
        <v>A5251</v>
      </c>
      <c r="D1315" s="12" t="s">
        <v>17165</v>
      </c>
      <c r="E1315" s="13">
        <v>45821</v>
      </c>
      <c r="F1315" s="14">
        <v>45913</v>
      </c>
      <c r="G1315" s="15">
        <v>3000000</v>
      </c>
      <c r="H1315" s="16">
        <v>6</v>
      </c>
      <c r="I1315" s="17">
        <v>24</v>
      </c>
      <c r="J1315" s="15">
        <v>1500000</v>
      </c>
      <c r="K1315" s="98">
        <f t="shared" si="60"/>
        <v>0</v>
      </c>
      <c r="L1315" s="98" t="str">
        <f t="shared" si="61"/>
        <v>Lancar</v>
      </c>
      <c r="M1315" s="5" t="str">
        <f t="shared" si="62"/>
        <v>003</v>
      </c>
      <c r="N1315" s="55" t="str">
        <f>VLOOKUP(D1315,Pinjaman!$E$7:$N$1900,10,FALSE)</f>
        <v>PRODUKTIF</v>
      </c>
      <c r="O1315" s="55">
        <f>VLOOKUP(B1315,'Data Angt'!$A$5:$H$5810,6,FALSE)</f>
        <v>54</v>
      </c>
      <c r="P1315" s="55" t="str">
        <f>VLOOKUP(B1315,'Data Angt'!$A$5:$H$5810,8,FALSE)</f>
        <v>Mengurus Rumah Tangga</v>
      </c>
    </row>
    <row r="1316" spans="1:16" x14ac:dyDescent="0.3">
      <c r="A1316" s="8">
        <v>1309</v>
      </c>
      <c r="B1316" s="9" t="s">
        <v>14536</v>
      </c>
      <c r="C1316" s="10" t="str">
        <f>VLOOKUP(B1316,'Data Angt'!$A$5:$B$5809,2,FALSE)</f>
        <v>A5252</v>
      </c>
      <c r="D1316" s="12" t="s">
        <v>17167</v>
      </c>
      <c r="E1316" s="13">
        <v>45709</v>
      </c>
      <c r="F1316" s="14">
        <v>45930</v>
      </c>
      <c r="G1316" s="15">
        <v>5000000</v>
      </c>
      <c r="H1316" s="16">
        <v>24</v>
      </c>
      <c r="I1316" s="17">
        <v>24</v>
      </c>
      <c r="J1316" s="15">
        <v>3541200</v>
      </c>
      <c r="K1316" s="98">
        <f t="shared" si="60"/>
        <v>0</v>
      </c>
      <c r="L1316" s="98" t="str">
        <f t="shared" si="61"/>
        <v>Lancar</v>
      </c>
      <c r="M1316" s="5" t="str">
        <f t="shared" si="62"/>
        <v>003</v>
      </c>
      <c r="N1316" s="55" t="str">
        <f>VLOOKUP(D1316,Pinjaman!$E$7:$N$1900,10,FALSE)</f>
        <v>PRODUKTIF</v>
      </c>
      <c r="O1316" s="55">
        <f>VLOOKUP(B1316,'Data Angt'!$A$5:$H$5810,6,FALSE)</f>
        <v>36</v>
      </c>
      <c r="P1316" s="55" t="str">
        <f>VLOOKUP(B1316,'Data Angt'!$A$5:$H$5810,8,FALSE)</f>
        <v>Wiraswasta</v>
      </c>
    </row>
    <row r="1317" spans="1:16" x14ac:dyDescent="0.3">
      <c r="A1317" s="8">
        <v>1310</v>
      </c>
      <c r="B1317" s="9" t="s">
        <v>14545</v>
      </c>
      <c r="C1317" s="10" t="str">
        <f>VLOOKUP(B1317,'Data Angt'!$A$5:$B$5809,2,FALSE)</f>
        <v>A5256</v>
      </c>
      <c r="D1317" s="12" t="s">
        <v>17169</v>
      </c>
      <c r="E1317" s="13">
        <v>45694</v>
      </c>
      <c r="F1317" s="14">
        <v>45930</v>
      </c>
      <c r="G1317" s="15">
        <v>4500000</v>
      </c>
      <c r="H1317" s="16">
        <v>12</v>
      </c>
      <c r="I1317" s="17">
        <v>24</v>
      </c>
      <c r="J1317" s="15">
        <v>3375000</v>
      </c>
      <c r="K1317" s="98">
        <f t="shared" si="60"/>
        <v>0</v>
      </c>
      <c r="L1317" s="98" t="str">
        <f t="shared" si="61"/>
        <v>Lancar</v>
      </c>
      <c r="M1317" s="5" t="str">
        <f t="shared" si="62"/>
        <v>003</v>
      </c>
      <c r="N1317" s="55" t="str">
        <f>VLOOKUP(D1317,Pinjaman!$E$7:$N$1900,10,FALSE)</f>
        <v>PRODUKTIF</v>
      </c>
      <c r="O1317" s="55">
        <f>VLOOKUP(B1317,'Data Angt'!$A$5:$H$5810,6,FALSE)</f>
        <v>65</v>
      </c>
      <c r="P1317" s="55" t="str">
        <f>VLOOKUP(B1317,'Data Angt'!$A$5:$H$5810,8,FALSE)</f>
        <v>Wiraswasta</v>
      </c>
    </row>
    <row r="1318" spans="1:16" x14ac:dyDescent="0.3">
      <c r="A1318" s="8">
        <v>1311</v>
      </c>
      <c r="B1318" s="9" t="s">
        <v>14557</v>
      </c>
      <c r="C1318" s="10" t="str">
        <f>VLOOKUP(B1318,'Data Angt'!$A$5:$B$5809,2,FALSE)</f>
        <v>A5260</v>
      </c>
      <c r="D1318" s="12" t="s">
        <v>17171</v>
      </c>
      <c r="E1318" s="13">
        <v>45699</v>
      </c>
      <c r="F1318" s="14">
        <v>45911</v>
      </c>
      <c r="G1318" s="15">
        <v>15000000</v>
      </c>
      <c r="H1318" s="16">
        <v>24</v>
      </c>
      <c r="I1318" s="17">
        <v>24</v>
      </c>
      <c r="J1318" s="15">
        <v>11334400</v>
      </c>
      <c r="K1318" s="98">
        <f t="shared" si="60"/>
        <v>0</v>
      </c>
      <c r="L1318" s="98" t="str">
        <f t="shared" si="61"/>
        <v>Lancar</v>
      </c>
      <c r="M1318" s="5" t="str">
        <f t="shared" si="62"/>
        <v>003</v>
      </c>
      <c r="N1318" s="55" t="str">
        <f>VLOOKUP(D1318,Pinjaman!$E$7:$N$1900,10,FALSE)</f>
        <v>KESEJAHTERAAN</v>
      </c>
      <c r="O1318" s="55">
        <f>VLOOKUP(B1318,'Data Angt'!$A$5:$H$5810,6,FALSE)</f>
        <v>62</v>
      </c>
      <c r="P1318" s="55" t="str">
        <f>VLOOKUP(B1318,'Data Angt'!$A$5:$H$5810,8,FALSE)</f>
        <v>Pensiunan</v>
      </c>
    </row>
    <row r="1319" spans="1:16" x14ac:dyDescent="0.3">
      <c r="A1319" s="8">
        <v>1312</v>
      </c>
      <c r="B1319" s="9" t="s">
        <v>14575</v>
      </c>
      <c r="C1319" s="10" t="str">
        <f>VLOOKUP(B1319,'Data Angt'!$A$5:$B$5809,2,FALSE)</f>
        <v>A5268</v>
      </c>
      <c r="D1319" s="12" t="s">
        <v>23485</v>
      </c>
      <c r="E1319" s="13">
        <v>45919</v>
      </c>
      <c r="F1319" s="14">
        <v>45919</v>
      </c>
      <c r="G1319" s="15">
        <v>2000000</v>
      </c>
      <c r="H1319" s="16">
        <v>18</v>
      </c>
      <c r="I1319" s="17">
        <v>24</v>
      </c>
      <c r="J1319" s="15">
        <v>2000000</v>
      </c>
      <c r="K1319" s="98">
        <f t="shared" si="60"/>
        <v>0</v>
      </c>
      <c r="L1319" s="98" t="str">
        <f t="shared" si="61"/>
        <v>Lancar</v>
      </c>
      <c r="M1319" s="5" t="str">
        <f t="shared" si="62"/>
        <v>003</v>
      </c>
      <c r="N1319" s="55" t="str">
        <f>VLOOKUP(D1319,Pinjaman!$E$7:$N$1900,10,FALSE)</f>
        <v>PRODUKTIF</v>
      </c>
      <c r="O1319" s="55">
        <f>VLOOKUP(B1319,'Data Angt'!$A$5:$H$5810,6,FALSE)</f>
        <v>63</v>
      </c>
      <c r="P1319" s="55" t="str">
        <f>VLOOKUP(B1319,'Data Angt'!$A$5:$H$5810,8,FALSE)</f>
        <v>Wiraswasta</v>
      </c>
    </row>
    <row r="1320" spans="1:16" x14ac:dyDescent="0.3">
      <c r="A1320" s="8">
        <v>1313</v>
      </c>
      <c r="B1320" s="9" t="s">
        <v>14602</v>
      </c>
      <c r="C1320" s="10" t="str">
        <f>VLOOKUP(B1320,'Data Angt'!$A$5:$B$5809,2,FALSE)</f>
        <v>A5279</v>
      </c>
      <c r="D1320" s="12" t="s">
        <v>17173</v>
      </c>
      <c r="E1320" s="13">
        <v>45699</v>
      </c>
      <c r="F1320" s="14">
        <v>45916</v>
      </c>
      <c r="G1320" s="15">
        <v>1500000</v>
      </c>
      <c r="H1320" s="16">
        <v>12</v>
      </c>
      <c r="I1320" s="17">
        <v>24</v>
      </c>
      <c r="J1320" s="15">
        <v>625000</v>
      </c>
      <c r="K1320" s="98">
        <f t="shared" si="60"/>
        <v>0</v>
      </c>
      <c r="L1320" s="98" t="str">
        <f t="shared" si="61"/>
        <v>Lancar</v>
      </c>
      <c r="M1320" s="5" t="str">
        <f t="shared" si="62"/>
        <v>003</v>
      </c>
      <c r="N1320" s="55" t="str">
        <f>VLOOKUP(D1320,Pinjaman!$E$7:$N$1900,10,FALSE)</f>
        <v>PRODUKTIF</v>
      </c>
      <c r="O1320" s="55">
        <f>VLOOKUP(B1320,'Data Angt'!$A$5:$H$5810,6,FALSE)</f>
        <v>43</v>
      </c>
      <c r="P1320" s="55" t="str">
        <f>VLOOKUP(B1320,'Data Angt'!$A$5:$H$5810,8,FALSE)</f>
        <v>Belum/Tidak Bekerja</v>
      </c>
    </row>
    <row r="1321" spans="1:16" x14ac:dyDescent="0.3">
      <c r="A1321" s="8">
        <v>1314</v>
      </c>
      <c r="B1321" s="9" t="s">
        <v>14606</v>
      </c>
      <c r="C1321" s="10" t="str">
        <f>VLOOKUP(B1321,'Data Angt'!$A$5:$B$5809,2,FALSE)</f>
        <v>A5281</v>
      </c>
      <c r="D1321" s="12" t="s">
        <v>17175</v>
      </c>
      <c r="E1321" s="13">
        <v>45703</v>
      </c>
      <c r="F1321" s="14">
        <v>45899</v>
      </c>
      <c r="G1321" s="15">
        <v>1500000</v>
      </c>
      <c r="H1321" s="16">
        <v>8</v>
      </c>
      <c r="I1321" s="17">
        <v>24</v>
      </c>
      <c r="J1321" s="15">
        <v>750000</v>
      </c>
      <c r="K1321" s="98">
        <f t="shared" si="60"/>
        <v>1</v>
      </c>
      <c r="L1321" s="98" t="str">
        <f t="shared" si="61"/>
        <v>Lancar</v>
      </c>
      <c r="M1321" s="5" t="str">
        <f t="shared" si="62"/>
        <v>003</v>
      </c>
      <c r="N1321" s="55" t="str">
        <f>VLOOKUP(D1321,Pinjaman!$E$7:$N$1900,10,FALSE)</f>
        <v>PRODUKTIF</v>
      </c>
      <c r="O1321" s="55">
        <f>VLOOKUP(B1321,'Data Angt'!$A$5:$H$5810,6,FALSE)</f>
        <v>51</v>
      </c>
      <c r="P1321" s="55" t="str">
        <f>VLOOKUP(B1321,'Data Angt'!$A$5:$H$5810,8,FALSE)</f>
        <v>Wiraswasta</v>
      </c>
    </row>
    <row r="1322" spans="1:16" x14ac:dyDescent="0.3">
      <c r="A1322" s="8">
        <v>1315</v>
      </c>
      <c r="B1322" s="9" t="s">
        <v>14609</v>
      </c>
      <c r="C1322" s="10" t="str">
        <f>VLOOKUP(B1322,'Data Angt'!$A$5:$B$5809,2,FALSE)</f>
        <v>A5282</v>
      </c>
      <c r="D1322" s="12" t="s">
        <v>17178</v>
      </c>
      <c r="E1322" s="13">
        <v>45708</v>
      </c>
      <c r="F1322" s="14">
        <v>45808</v>
      </c>
      <c r="G1322" s="15">
        <v>1500000</v>
      </c>
      <c r="H1322" s="16">
        <v>8</v>
      </c>
      <c r="I1322" s="17">
        <v>24</v>
      </c>
      <c r="J1322" s="15">
        <v>937500</v>
      </c>
      <c r="K1322" s="98">
        <f t="shared" si="60"/>
        <v>3</v>
      </c>
      <c r="L1322" s="98" t="str">
        <f t="shared" si="61"/>
        <v>Lancar</v>
      </c>
      <c r="M1322" s="5" t="str">
        <f t="shared" si="62"/>
        <v>003</v>
      </c>
      <c r="N1322" s="55" t="str">
        <f>VLOOKUP(D1322,Pinjaman!$E$7:$N$1900,10,FALSE)</f>
        <v>PRODUKTIF</v>
      </c>
      <c r="O1322" s="55">
        <f>VLOOKUP(B1322,'Data Angt'!$A$5:$H$5810,6,FALSE)</f>
        <v>30</v>
      </c>
      <c r="P1322" s="55" t="str">
        <f>VLOOKUP(B1322,'Data Angt'!$A$5:$H$5810,8,FALSE)</f>
        <v>Tenaga Pengajar</v>
      </c>
    </row>
    <row r="1323" spans="1:16" x14ac:dyDescent="0.3">
      <c r="A1323" s="8">
        <v>1316</v>
      </c>
      <c r="B1323" s="9" t="s">
        <v>14612</v>
      </c>
      <c r="C1323" s="10" t="str">
        <f>VLOOKUP(B1323,'Data Angt'!$A$5:$B$5809,2,FALSE)</f>
        <v>A5283</v>
      </c>
      <c r="D1323" s="12" t="s">
        <v>17180</v>
      </c>
      <c r="E1323" s="13">
        <v>45703</v>
      </c>
      <c r="F1323" s="14">
        <v>45808</v>
      </c>
      <c r="G1323" s="15">
        <v>1500000</v>
      </c>
      <c r="H1323" s="16">
        <v>8</v>
      </c>
      <c r="I1323" s="17">
        <v>24</v>
      </c>
      <c r="J1323" s="15">
        <v>937500</v>
      </c>
      <c r="K1323" s="98">
        <f t="shared" si="60"/>
        <v>3</v>
      </c>
      <c r="L1323" s="98" t="str">
        <f t="shared" si="61"/>
        <v>Lancar</v>
      </c>
      <c r="M1323" s="5" t="str">
        <f t="shared" si="62"/>
        <v>003</v>
      </c>
      <c r="N1323" s="55" t="str">
        <f>VLOOKUP(D1323,Pinjaman!$E$7:$N$1900,10,FALSE)</f>
        <v>PRODUKTIF</v>
      </c>
      <c r="O1323" s="55">
        <f>VLOOKUP(B1323,'Data Angt'!$A$5:$H$5810,6,FALSE)</f>
        <v>35</v>
      </c>
      <c r="P1323" s="55" t="str">
        <f>VLOOKUP(B1323,'Data Angt'!$A$5:$H$5810,8,FALSE)</f>
        <v>Wiraswasta</v>
      </c>
    </row>
    <row r="1324" spans="1:16" x14ac:dyDescent="0.3">
      <c r="A1324" s="8">
        <v>1317</v>
      </c>
      <c r="B1324" s="9" t="s">
        <v>14616</v>
      </c>
      <c r="C1324" s="10" t="str">
        <f>VLOOKUP(B1324,'Data Angt'!$A$5:$B$5809,2,FALSE)</f>
        <v>A5285</v>
      </c>
      <c r="D1324" s="12" t="s">
        <v>17183</v>
      </c>
      <c r="E1324" s="13">
        <v>45703</v>
      </c>
      <c r="F1324" s="14">
        <v>45777</v>
      </c>
      <c r="G1324" s="15">
        <v>1500000</v>
      </c>
      <c r="H1324" s="16">
        <v>8</v>
      </c>
      <c r="I1324" s="17">
        <v>24</v>
      </c>
      <c r="J1324" s="15">
        <v>1125000</v>
      </c>
      <c r="K1324" s="98">
        <f t="shared" si="60"/>
        <v>5</v>
      </c>
      <c r="L1324" s="98" t="str">
        <f t="shared" si="61"/>
        <v>Kurang lancar</v>
      </c>
      <c r="M1324" s="5" t="str">
        <f t="shared" si="62"/>
        <v>003</v>
      </c>
      <c r="N1324" s="55" t="str">
        <f>VLOOKUP(D1324,Pinjaman!$E$7:$N$1900,10,FALSE)</f>
        <v>PRODUKTIF</v>
      </c>
      <c r="O1324" s="55">
        <f>VLOOKUP(B1324,'Data Angt'!$A$5:$H$5810,6,FALSE)</f>
        <v>43</v>
      </c>
      <c r="P1324" s="55" t="str">
        <f>VLOOKUP(B1324,'Data Angt'!$A$5:$H$5810,8,FALSE)</f>
        <v>Wiraswasta</v>
      </c>
    </row>
    <row r="1325" spans="1:16" x14ac:dyDescent="0.3">
      <c r="A1325" s="8">
        <v>1318</v>
      </c>
      <c r="B1325" s="9" t="s">
        <v>14686</v>
      </c>
      <c r="C1325" s="10" t="str">
        <f>VLOOKUP(B1325,'Data Angt'!$A$5:$B$5809,2,FALSE)</f>
        <v>A5316</v>
      </c>
      <c r="D1325" s="12" t="s">
        <v>17185</v>
      </c>
      <c r="E1325" s="13">
        <v>45707</v>
      </c>
      <c r="F1325" s="14">
        <v>45920</v>
      </c>
      <c r="G1325" s="15">
        <v>5000000</v>
      </c>
      <c r="H1325" s="16">
        <v>24</v>
      </c>
      <c r="I1325" s="17">
        <v>24</v>
      </c>
      <c r="J1325" s="15">
        <v>3541200</v>
      </c>
      <c r="K1325" s="98">
        <f t="shared" si="60"/>
        <v>0</v>
      </c>
      <c r="L1325" s="98" t="str">
        <f t="shared" si="61"/>
        <v>Lancar</v>
      </c>
      <c r="M1325" s="5" t="str">
        <f t="shared" si="62"/>
        <v>003</v>
      </c>
      <c r="N1325" s="55" t="str">
        <f>VLOOKUP(D1325,Pinjaman!$E$7:$N$1900,10,FALSE)</f>
        <v>PRODUKTIF</v>
      </c>
      <c r="O1325" s="55">
        <f>VLOOKUP(B1325,'Data Angt'!$A$5:$H$5810,6,FALSE)</f>
        <v>56</v>
      </c>
      <c r="P1325" s="55" t="str">
        <f>VLOOKUP(B1325,'Data Angt'!$A$5:$H$5810,8,FALSE)</f>
        <v>Wiraswasta</v>
      </c>
    </row>
    <row r="1326" spans="1:16" x14ac:dyDescent="0.3">
      <c r="A1326" s="8">
        <v>1319</v>
      </c>
      <c r="B1326" s="9" t="s">
        <v>14720</v>
      </c>
      <c r="C1326" s="10" t="str">
        <f>VLOOKUP(B1326,'Data Angt'!$A$5:$B$5809,2,FALSE)</f>
        <v>A5329</v>
      </c>
      <c r="D1326" s="12" t="s">
        <v>17188</v>
      </c>
      <c r="E1326" s="13">
        <v>45720</v>
      </c>
      <c r="F1326" s="14">
        <v>45904</v>
      </c>
      <c r="G1326" s="15">
        <v>1500000</v>
      </c>
      <c r="H1326" s="16">
        <v>10</v>
      </c>
      <c r="I1326" s="17">
        <v>24</v>
      </c>
      <c r="J1326" s="15">
        <v>600000</v>
      </c>
      <c r="K1326" s="98">
        <f t="shared" si="60"/>
        <v>0</v>
      </c>
      <c r="L1326" s="98" t="str">
        <f t="shared" si="61"/>
        <v>Lancar</v>
      </c>
      <c r="M1326" s="5" t="str">
        <f t="shared" si="62"/>
        <v>003</v>
      </c>
      <c r="N1326" s="55" t="str">
        <f>VLOOKUP(D1326,Pinjaman!$E$7:$N$1900,10,FALSE)</f>
        <v>PRODUKTIF</v>
      </c>
      <c r="O1326" s="55">
        <f>VLOOKUP(B1326,'Data Angt'!$A$5:$H$5810,6,FALSE)</f>
        <v>48</v>
      </c>
      <c r="P1326" s="55" t="str">
        <f>VLOOKUP(B1326,'Data Angt'!$A$5:$H$5810,8,FALSE)</f>
        <v>Aparatur/Pejabat Negara</v>
      </c>
    </row>
    <row r="1327" spans="1:16" x14ac:dyDescent="0.3">
      <c r="A1327" s="8">
        <v>1320</v>
      </c>
      <c r="B1327" s="9" t="s">
        <v>14765</v>
      </c>
      <c r="C1327" s="10" t="str">
        <f>VLOOKUP(B1327,'Data Angt'!$A$5:$B$5809,2,FALSE)</f>
        <v>A5350</v>
      </c>
      <c r="D1327" s="12" t="s">
        <v>23488</v>
      </c>
      <c r="E1327" s="13">
        <v>45843</v>
      </c>
      <c r="F1327" s="14">
        <v>45930</v>
      </c>
      <c r="G1327" s="15">
        <v>7000000</v>
      </c>
      <c r="H1327" s="16">
        <v>12</v>
      </c>
      <c r="I1327" s="17">
        <v>24</v>
      </c>
      <c r="J1327" s="15">
        <v>5833200</v>
      </c>
      <c r="K1327" s="98">
        <f t="shared" si="60"/>
        <v>0</v>
      </c>
      <c r="L1327" s="98" t="str">
        <f t="shared" si="61"/>
        <v>Lancar</v>
      </c>
      <c r="M1327" s="5" t="str">
        <f t="shared" si="62"/>
        <v>003</v>
      </c>
      <c r="N1327" s="55" t="str">
        <f>VLOOKUP(D1327,Pinjaman!$E$7:$N$1900,10,FALSE)</f>
        <v>PRODUKTIF</v>
      </c>
      <c r="O1327" s="55">
        <f>VLOOKUP(B1327,'Data Angt'!$A$5:$H$5810,6,FALSE)</f>
        <v>32</v>
      </c>
      <c r="P1327" s="55" t="str">
        <f>VLOOKUP(B1327,'Data Angt'!$A$5:$H$5810,8,FALSE)</f>
        <v>Wiraswasta</v>
      </c>
    </row>
    <row r="1328" spans="1:16" x14ac:dyDescent="0.3">
      <c r="A1328" s="8">
        <v>1321</v>
      </c>
      <c r="B1328" s="9" t="s">
        <v>14807</v>
      </c>
      <c r="C1328" s="10" t="str">
        <f>VLOOKUP(B1328,'Data Angt'!$A$5:$B$5809,2,FALSE)</f>
        <v>A5369</v>
      </c>
      <c r="D1328" s="12" t="s">
        <v>17190</v>
      </c>
      <c r="E1328" s="13">
        <v>45712</v>
      </c>
      <c r="F1328" s="14">
        <v>45925</v>
      </c>
      <c r="G1328" s="15">
        <v>4000000</v>
      </c>
      <c r="H1328" s="16">
        <v>15</v>
      </c>
      <c r="I1328" s="17">
        <v>12</v>
      </c>
      <c r="J1328" s="15">
        <v>2207900</v>
      </c>
      <c r="K1328" s="98">
        <f t="shared" si="60"/>
        <v>0</v>
      </c>
      <c r="L1328" s="98" t="str">
        <f t="shared" si="61"/>
        <v>Lancar</v>
      </c>
      <c r="M1328" s="5" t="str">
        <f t="shared" si="62"/>
        <v>003</v>
      </c>
      <c r="N1328" s="55" t="str">
        <f>VLOOKUP(D1328,Pinjaman!$E$7:$N$1900,10,FALSE)</f>
        <v>KONSUMTIF</v>
      </c>
      <c r="O1328" s="55">
        <f>VLOOKUP(B1328,'Data Angt'!$A$5:$H$5810,6,FALSE)</f>
        <v>31</v>
      </c>
      <c r="P1328" s="55" t="str">
        <f>VLOOKUP(B1328,'Data Angt'!$A$5:$H$5810,8,FALSE)</f>
        <v>Karyawan</v>
      </c>
    </row>
    <row r="1329" spans="1:16" x14ac:dyDescent="0.3">
      <c r="A1329" s="8">
        <v>1322</v>
      </c>
      <c r="B1329" s="9" t="s">
        <v>14899</v>
      </c>
      <c r="C1329" s="10" t="str">
        <f>VLOOKUP(B1329,'Data Angt'!$A$5:$B$5809,2,FALSE)</f>
        <v>A5412</v>
      </c>
      <c r="D1329" s="12" t="s">
        <v>17192</v>
      </c>
      <c r="E1329" s="13">
        <v>45723</v>
      </c>
      <c r="F1329" s="14">
        <v>45930</v>
      </c>
      <c r="G1329" s="15">
        <v>1500000</v>
      </c>
      <c r="H1329" s="16">
        <v>6</v>
      </c>
      <c r="I1329" s="17">
        <v>24</v>
      </c>
      <c r="J1329" s="15">
        <v>250000</v>
      </c>
      <c r="K1329" s="98">
        <f t="shared" si="60"/>
        <v>0</v>
      </c>
      <c r="L1329" s="98" t="str">
        <f t="shared" si="61"/>
        <v>Lancar</v>
      </c>
      <c r="M1329" s="5" t="str">
        <f t="shared" si="62"/>
        <v>003</v>
      </c>
      <c r="N1329" s="55" t="str">
        <f>VLOOKUP(D1329,Pinjaman!$E$7:$N$1900,10,FALSE)</f>
        <v>PRODUKTIF</v>
      </c>
      <c r="O1329" s="55">
        <f>VLOOKUP(B1329,'Data Angt'!$A$5:$H$5810,6,FALSE)</f>
        <v>40</v>
      </c>
      <c r="P1329" s="55" t="str">
        <f>VLOOKUP(B1329,'Data Angt'!$A$5:$H$5810,8,FALSE)</f>
        <v>Wiraswasta</v>
      </c>
    </row>
    <row r="1330" spans="1:16" x14ac:dyDescent="0.3">
      <c r="A1330" s="8">
        <v>1323</v>
      </c>
      <c r="B1330" s="9" t="s">
        <v>14902</v>
      </c>
      <c r="C1330" s="10" t="str">
        <f>VLOOKUP(B1330,'Data Angt'!$A$5:$B$5809,2,FALSE)</f>
        <v>A5413</v>
      </c>
      <c r="D1330" s="12" t="s">
        <v>17195</v>
      </c>
      <c r="E1330" s="13">
        <v>45731</v>
      </c>
      <c r="F1330" s="14">
        <v>45916</v>
      </c>
      <c r="G1330" s="15">
        <v>1500000</v>
      </c>
      <c r="H1330" s="16">
        <v>8</v>
      </c>
      <c r="I1330" s="17">
        <v>24</v>
      </c>
      <c r="J1330" s="15">
        <v>375000</v>
      </c>
      <c r="K1330" s="98">
        <f t="shared" si="60"/>
        <v>0</v>
      </c>
      <c r="L1330" s="98" t="str">
        <f t="shared" si="61"/>
        <v>Lancar</v>
      </c>
      <c r="M1330" s="5" t="str">
        <f t="shared" si="62"/>
        <v>003</v>
      </c>
      <c r="N1330" s="55" t="str">
        <f>VLOOKUP(D1330,Pinjaman!$E$7:$N$1900,10,FALSE)</f>
        <v>PRODUKTIF</v>
      </c>
      <c r="O1330" s="55">
        <f>VLOOKUP(B1330,'Data Angt'!$A$5:$H$5810,6,FALSE)</f>
        <v>42</v>
      </c>
      <c r="P1330" s="55" t="str">
        <f>VLOOKUP(B1330,'Data Angt'!$A$5:$H$5810,8,FALSE)</f>
        <v>Karyawan</v>
      </c>
    </row>
    <row r="1331" spans="1:16" x14ac:dyDescent="0.3">
      <c r="A1331" s="8">
        <v>1324</v>
      </c>
      <c r="B1331" s="9" t="s">
        <v>14931</v>
      </c>
      <c r="C1331" s="10" t="str">
        <f>VLOOKUP(B1331,'Data Angt'!$A$5:$B$5809,2,FALSE)</f>
        <v>A5425</v>
      </c>
      <c r="D1331" s="12" t="s">
        <v>23491</v>
      </c>
      <c r="E1331" s="13">
        <v>45878</v>
      </c>
      <c r="F1331" s="14">
        <v>45909</v>
      </c>
      <c r="G1331" s="15">
        <v>1500000</v>
      </c>
      <c r="H1331" s="16">
        <v>12</v>
      </c>
      <c r="I1331" s="17">
        <v>24</v>
      </c>
      <c r="J1331" s="15">
        <v>1375000</v>
      </c>
      <c r="K1331" s="98">
        <f t="shared" si="60"/>
        <v>0</v>
      </c>
      <c r="L1331" s="98" t="str">
        <f t="shared" si="61"/>
        <v>Lancar</v>
      </c>
      <c r="M1331" s="5" t="str">
        <f t="shared" si="62"/>
        <v>003</v>
      </c>
      <c r="N1331" s="55" t="str">
        <f>VLOOKUP(D1331,Pinjaman!$E$7:$N$1900,10,FALSE)</f>
        <v>PENDIDIKAN</v>
      </c>
      <c r="O1331" s="55">
        <f>VLOOKUP(B1331,'Data Angt'!$A$5:$H$5810,6,FALSE)</f>
        <v>59</v>
      </c>
      <c r="P1331" s="55" t="str">
        <f>VLOOKUP(B1331,'Data Angt'!$A$5:$H$5810,8,FALSE)</f>
        <v>Tenaga Pengajar</v>
      </c>
    </row>
    <row r="1332" spans="1:16" x14ac:dyDescent="0.3">
      <c r="A1332" s="8">
        <v>1325</v>
      </c>
      <c r="B1332" s="9" t="s">
        <v>14944</v>
      </c>
      <c r="C1332" s="10" t="str">
        <f>VLOOKUP(B1332,'Data Angt'!$A$5:$B$5809,2,FALSE)</f>
        <v>A5432</v>
      </c>
      <c r="D1332" s="12" t="s">
        <v>17197</v>
      </c>
      <c r="E1332" s="13">
        <v>45733</v>
      </c>
      <c r="F1332" s="14">
        <v>45917</v>
      </c>
      <c r="G1332" s="15">
        <v>1500000</v>
      </c>
      <c r="H1332" s="16">
        <v>10</v>
      </c>
      <c r="I1332" s="17">
        <v>24</v>
      </c>
      <c r="J1332" s="15">
        <v>600000</v>
      </c>
      <c r="K1332" s="98">
        <f t="shared" si="60"/>
        <v>0</v>
      </c>
      <c r="L1332" s="98" t="str">
        <f t="shared" si="61"/>
        <v>Lancar</v>
      </c>
      <c r="M1332" s="5" t="str">
        <f t="shared" si="62"/>
        <v>003</v>
      </c>
      <c r="N1332" s="55" t="str">
        <f>VLOOKUP(D1332,Pinjaman!$E$7:$N$1900,10,FALSE)</f>
        <v>KESEHATAN</v>
      </c>
      <c r="O1332" s="55">
        <f>VLOOKUP(B1332,'Data Angt'!$A$5:$H$5810,6,FALSE)</f>
        <v>30</v>
      </c>
      <c r="P1332" s="55" t="str">
        <f>VLOOKUP(B1332,'Data Angt'!$A$5:$H$5810,8,FALSE)</f>
        <v>Karyawan</v>
      </c>
    </row>
    <row r="1333" spans="1:16" x14ac:dyDescent="0.3">
      <c r="A1333" s="8">
        <v>1326</v>
      </c>
      <c r="B1333" s="9" t="s">
        <v>14976</v>
      </c>
      <c r="C1333" s="10" t="str">
        <f>VLOOKUP(B1333,'Data Angt'!$A$5:$B$5809,2,FALSE)</f>
        <v>A5448</v>
      </c>
      <c r="D1333" s="12" t="s">
        <v>17199</v>
      </c>
      <c r="E1333" s="13">
        <v>45742</v>
      </c>
      <c r="F1333" s="14">
        <v>45777</v>
      </c>
      <c r="G1333" s="15">
        <v>1500000</v>
      </c>
      <c r="H1333" s="16">
        <v>3</v>
      </c>
      <c r="I1333" s="17">
        <v>24</v>
      </c>
      <c r="J1333" s="15">
        <v>1000000</v>
      </c>
      <c r="K1333" s="98">
        <f t="shared" si="60"/>
        <v>5</v>
      </c>
      <c r="L1333" s="98" t="str">
        <f t="shared" si="61"/>
        <v>Kurang lancar</v>
      </c>
      <c r="M1333" s="5" t="str">
        <f t="shared" si="62"/>
        <v>003</v>
      </c>
      <c r="N1333" s="55" t="str">
        <f>VLOOKUP(D1333,Pinjaman!$E$7:$N$1900,10,FALSE)</f>
        <v>PRODUKTIF</v>
      </c>
      <c r="O1333" s="55">
        <f>VLOOKUP(B1333,'Data Angt'!$A$5:$H$5810,6,FALSE)</f>
        <v>48</v>
      </c>
      <c r="P1333" s="55" t="str">
        <f>VLOOKUP(B1333,'Data Angt'!$A$5:$H$5810,8,FALSE)</f>
        <v>Wiraswasta</v>
      </c>
    </row>
    <row r="1334" spans="1:16" x14ac:dyDescent="0.3">
      <c r="A1334" s="8">
        <v>1327</v>
      </c>
      <c r="B1334" s="9" t="s">
        <v>15018</v>
      </c>
      <c r="C1334" s="10" t="str">
        <f>VLOOKUP(B1334,'Data Angt'!$A$5:$B$5809,2,FALSE)</f>
        <v>A5468</v>
      </c>
      <c r="D1334" s="12" t="s">
        <v>17201</v>
      </c>
      <c r="E1334" s="13">
        <v>45831</v>
      </c>
      <c r="F1334" s="14">
        <v>45923</v>
      </c>
      <c r="G1334" s="15">
        <v>3000000</v>
      </c>
      <c r="H1334" s="16">
        <v>6</v>
      </c>
      <c r="I1334" s="17">
        <v>24</v>
      </c>
      <c r="J1334" s="15">
        <v>1500000</v>
      </c>
      <c r="K1334" s="98">
        <f t="shared" si="60"/>
        <v>0</v>
      </c>
      <c r="L1334" s="98" t="str">
        <f t="shared" si="61"/>
        <v>Lancar</v>
      </c>
      <c r="M1334" s="5" t="str">
        <f t="shared" si="62"/>
        <v>003</v>
      </c>
      <c r="N1334" s="55" t="str">
        <f>VLOOKUP(D1334,Pinjaman!$E$7:$N$1900,10,FALSE)</f>
        <v>PENDIDIKAN</v>
      </c>
      <c r="O1334" s="55">
        <f>VLOOKUP(B1334,'Data Angt'!$A$5:$H$5810,6,FALSE)</f>
        <v>41</v>
      </c>
      <c r="P1334" s="55" t="str">
        <f>VLOOKUP(B1334,'Data Angt'!$A$5:$H$5810,8,FALSE)</f>
        <v>Aparatur/Pejabat Negara</v>
      </c>
    </row>
    <row r="1335" spans="1:16" x14ac:dyDescent="0.3">
      <c r="A1335" s="8">
        <v>1328</v>
      </c>
      <c r="B1335" s="9" t="s">
        <v>15054</v>
      </c>
      <c r="C1335" s="10" t="str">
        <f>VLOOKUP(B1335,'Data Angt'!$A$5:$B$5809,2,FALSE)</f>
        <v>A5484</v>
      </c>
      <c r="D1335" s="12" t="s">
        <v>17203</v>
      </c>
      <c r="E1335" s="13">
        <v>45773</v>
      </c>
      <c r="F1335" s="14">
        <v>45930</v>
      </c>
      <c r="G1335" s="15">
        <v>1000000</v>
      </c>
      <c r="H1335" s="16">
        <v>10</v>
      </c>
      <c r="I1335" s="17">
        <v>24</v>
      </c>
      <c r="J1335" s="15">
        <v>500000</v>
      </c>
      <c r="K1335" s="98">
        <f t="shared" si="60"/>
        <v>0</v>
      </c>
      <c r="L1335" s="98" t="str">
        <f t="shared" si="61"/>
        <v>Lancar</v>
      </c>
      <c r="M1335" s="5" t="str">
        <f t="shared" si="62"/>
        <v>003</v>
      </c>
      <c r="N1335" s="55" t="str">
        <f>VLOOKUP(D1335,Pinjaman!$E$7:$N$1900,10,FALSE)</f>
        <v>PRODUKTIF</v>
      </c>
      <c r="O1335" s="55">
        <f>VLOOKUP(B1335,'Data Angt'!$A$5:$H$5810,6,FALSE)</f>
        <v>47</v>
      </c>
      <c r="P1335" s="55" t="str">
        <f>VLOOKUP(B1335,'Data Angt'!$A$5:$H$5810,8,FALSE)</f>
        <v>Wiraswasta</v>
      </c>
    </row>
    <row r="1336" spans="1:16" x14ac:dyDescent="0.3">
      <c r="A1336" s="8">
        <v>1329</v>
      </c>
      <c r="B1336" s="9" t="s">
        <v>15189</v>
      </c>
      <c r="C1336" s="10" t="str">
        <f>VLOOKUP(B1336,'Data Angt'!$A$5:$B$5809,2,FALSE)</f>
        <v>A5545</v>
      </c>
      <c r="D1336" s="12" t="s">
        <v>17205</v>
      </c>
      <c r="E1336" s="13">
        <v>45829</v>
      </c>
      <c r="F1336" s="14">
        <v>45920</v>
      </c>
      <c r="G1336" s="15">
        <v>1000000</v>
      </c>
      <c r="H1336" s="16">
        <v>10</v>
      </c>
      <c r="I1336" s="17">
        <v>24</v>
      </c>
      <c r="J1336" s="15">
        <v>700000</v>
      </c>
      <c r="K1336" s="98">
        <f t="shared" si="60"/>
        <v>0</v>
      </c>
      <c r="L1336" s="98" t="str">
        <f t="shared" si="61"/>
        <v>Lancar</v>
      </c>
      <c r="M1336" s="5" t="str">
        <f t="shared" si="62"/>
        <v>003</v>
      </c>
      <c r="N1336" s="55" t="str">
        <f>VLOOKUP(D1336,Pinjaman!$E$7:$N$1900,10,FALSE)</f>
        <v>KONSUMTIF</v>
      </c>
      <c r="O1336" s="55">
        <f>VLOOKUP(B1336,'Data Angt'!$A$5:$H$5810,6,FALSE)</f>
        <v>59</v>
      </c>
      <c r="P1336" s="55" t="str">
        <f>VLOOKUP(B1336,'Data Angt'!$A$5:$H$5810,8,FALSE)</f>
        <v>Wiraswasta</v>
      </c>
    </row>
    <row r="1337" spans="1:16" x14ac:dyDescent="0.3">
      <c r="A1337" s="8">
        <v>1330</v>
      </c>
      <c r="B1337" s="9" t="s">
        <v>15266</v>
      </c>
      <c r="C1337" s="10" t="str">
        <f>VLOOKUP(B1337,'Data Angt'!$A$5:$B$5809,2,FALSE)</f>
        <v>A5580</v>
      </c>
      <c r="D1337" s="12" t="s">
        <v>17207</v>
      </c>
      <c r="E1337" s="13">
        <v>45824</v>
      </c>
      <c r="F1337" s="14">
        <v>45930</v>
      </c>
      <c r="G1337" s="15">
        <v>15000000</v>
      </c>
      <c r="H1337" s="16">
        <v>18</v>
      </c>
      <c r="I1337" s="17">
        <v>24</v>
      </c>
      <c r="J1337" s="15">
        <v>12855900</v>
      </c>
      <c r="K1337" s="98">
        <f t="shared" si="60"/>
        <v>0</v>
      </c>
      <c r="L1337" s="98" t="str">
        <f t="shared" si="61"/>
        <v>Lancar</v>
      </c>
      <c r="M1337" s="5" t="str">
        <f t="shared" si="62"/>
        <v>003</v>
      </c>
      <c r="N1337" s="55" t="str">
        <f>VLOOKUP(D1337,Pinjaman!$E$7:$N$1900,10,FALSE)</f>
        <v>PRODUKTIF</v>
      </c>
      <c r="O1337" s="55">
        <f>VLOOKUP(B1337,'Data Angt'!$A$5:$H$5810,6,FALSE)</f>
        <v>30</v>
      </c>
      <c r="P1337" s="55" t="str">
        <f>VLOOKUP(B1337,'Data Angt'!$A$5:$H$5810,8,FALSE)</f>
        <v>Wiraswasta</v>
      </c>
    </row>
    <row r="1338" spans="1:16" x14ac:dyDescent="0.3">
      <c r="A1338" s="8">
        <v>1331</v>
      </c>
      <c r="B1338" s="9" t="s">
        <v>15295</v>
      </c>
      <c r="C1338" s="10" t="str">
        <f>VLOOKUP(B1338,'Data Angt'!$A$5:$B$5809,2,FALSE)</f>
        <v>A5594</v>
      </c>
      <c r="D1338" s="12" t="s">
        <v>17209</v>
      </c>
      <c r="E1338" s="13">
        <v>45836</v>
      </c>
      <c r="F1338" s="14">
        <v>45930</v>
      </c>
      <c r="G1338" s="15">
        <v>1500000</v>
      </c>
      <c r="H1338" s="16">
        <v>10</v>
      </c>
      <c r="I1338" s="17">
        <v>24</v>
      </c>
      <c r="J1338" s="15">
        <v>1050000</v>
      </c>
      <c r="K1338" s="98">
        <f t="shared" si="60"/>
        <v>0</v>
      </c>
      <c r="L1338" s="98" t="str">
        <f t="shared" si="61"/>
        <v>Lancar</v>
      </c>
      <c r="M1338" s="5" t="str">
        <f t="shared" si="62"/>
        <v>003</v>
      </c>
      <c r="N1338" s="55" t="str">
        <f>VLOOKUP(D1338,Pinjaman!$E$7:$N$1900,10,FALSE)</f>
        <v>PENDIDIKAN</v>
      </c>
      <c r="O1338" s="55">
        <f>VLOOKUP(B1338,'Data Angt'!$A$5:$H$5810,6,FALSE)</f>
        <v>38</v>
      </c>
      <c r="P1338" s="55" t="str">
        <f>VLOOKUP(B1338,'Data Angt'!$A$5:$H$5810,8,FALSE)</f>
        <v>Wiraswasta</v>
      </c>
    </row>
    <row r="1339" spans="1:16" x14ac:dyDescent="0.3">
      <c r="A1339" s="8">
        <v>1332</v>
      </c>
      <c r="B1339" s="9" t="s">
        <v>15300</v>
      </c>
      <c r="C1339" s="10" t="str">
        <f>VLOOKUP(B1339,'Data Angt'!$A$5:$B$5809,2,FALSE)</f>
        <v>A5596</v>
      </c>
      <c r="D1339" s="12" t="s">
        <v>17211</v>
      </c>
      <c r="E1339" s="13">
        <v>45836</v>
      </c>
      <c r="F1339" s="14">
        <v>45930</v>
      </c>
      <c r="G1339" s="15">
        <v>1500000</v>
      </c>
      <c r="H1339" s="16">
        <v>10</v>
      </c>
      <c r="I1339" s="17">
        <v>24</v>
      </c>
      <c r="J1339" s="15">
        <v>1050000</v>
      </c>
      <c r="K1339" s="98">
        <f t="shared" si="60"/>
        <v>0</v>
      </c>
      <c r="L1339" s="98" t="str">
        <f t="shared" si="61"/>
        <v>Lancar</v>
      </c>
      <c r="M1339" s="5" t="str">
        <f t="shared" si="62"/>
        <v>003</v>
      </c>
      <c r="N1339" s="55" t="str">
        <f>VLOOKUP(D1339,Pinjaman!$E$7:$N$1900,10,FALSE)</f>
        <v>PRODUKTIF</v>
      </c>
      <c r="O1339" s="55">
        <f>VLOOKUP(B1339,'Data Angt'!$A$5:$H$5810,6,FALSE)</f>
        <v>28</v>
      </c>
      <c r="P1339" s="55" t="str">
        <f>VLOOKUP(B1339,'Data Angt'!$A$5:$H$5810,8,FALSE)</f>
        <v>Karyawan</v>
      </c>
    </row>
    <row r="1340" spans="1:16" x14ac:dyDescent="0.3">
      <c r="A1340" s="8">
        <v>1333</v>
      </c>
      <c r="B1340" s="9" t="s">
        <v>18904</v>
      </c>
      <c r="C1340" s="10" t="str">
        <f>VLOOKUP(B1340,'Data Angt'!$A$5:$B$5809,2,FALSE)</f>
        <v>A5627</v>
      </c>
      <c r="D1340" s="12" t="s">
        <v>23493</v>
      </c>
      <c r="E1340" s="13">
        <v>45882</v>
      </c>
      <c r="F1340" s="14">
        <v>45915</v>
      </c>
      <c r="G1340" s="15">
        <v>1000000</v>
      </c>
      <c r="H1340" s="16">
        <v>5</v>
      </c>
      <c r="I1340" s="17">
        <v>24</v>
      </c>
      <c r="J1340" s="15">
        <v>800000</v>
      </c>
      <c r="K1340" s="98">
        <f t="shared" si="60"/>
        <v>0</v>
      </c>
      <c r="L1340" s="98" t="str">
        <f t="shared" si="61"/>
        <v>Lancar</v>
      </c>
      <c r="M1340" s="5" t="str">
        <f t="shared" si="62"/>
        <v>003</v>
      </c>
      <c r="N1340" s="55" t="str">
        <f>VLOOKUP(D1340,Pinjaman!$E$7:$N$1900,10,FALSE)</f>
        <v>PRODUKTIF</v>
      </c>
      <c r="O1340" s="55">
        <f>VLOOKUP(B1340,'Data Angt'!$A$5:$H$5810,6,FALSE)</f>
        <v>57</v>
      </c>
      <c r="P1340" s="55" t="str">
        <f>VLOOKUP(B1340,'Data Angt'!$A$5:$H$5810,8,FALSE)</f>
        <v>Mengurus Rumah Tangga</v>
      </c>
    </row>
    <row r="1341" spans="1:16" x14ac:dyDescent="0.3">
      <c r="A1341" s="8">
        <v>1334</v>
      </c>
      <c r="B1341" s="9" t="s">
        <v>19000</v>
      </c>
      <c r="C1341" s="10" t="str">
        <f>VLOOKUP(B1341,'Data Angt'!$A$5:$B$5809,2,FALSE)</f>
        <v>A5672</v>
      </c>
      <c r="D1341" s="12" t="s">
        <v>23495</v>
      </c>
      <c r="E1341" s="13">
        <v>45869</v>
      </c>
      <c r="F1341" s="14">
        <v>45916</v>
      </c>
      <c r="G1341" s="15">
        <v>1000000</v>
      </c>
      <c r="H1341" s="16">
        <v>12</v>
      </c>
      <c r="I1341" s="17">
        <v>24</v>
      </c>
      <c r="J1341" s="15">
        <v>833200</v>
      </c>
      <c r="K1341" s="98">
        <f t="shared" si="60"/>
        <v>0</v>
      </c>
      <c r="L1341" s="98" t="str">
        <f t="shared" si="61"/>
        <v>Lancar</v>
      </c>
      <c r="M1341" s="5" t="str">
        <f t="shared" si="62"/>
        <v>003</v>
      </c>
      <c r="N1341" s="55" t="str">
        <f>VLOOKUP(D1341,Pinjaman!$E$7:$N$1900,10,FALSE)</f>
        <v>PENDIDIKAN</v>
      </c>
      <c r="O1341" s="55">
        <f>VLOOKUP(B1341,'Data Angt'!$A$5:$H$5810,6,FALSE)</f>
        <v>57</v>
      </c>
      <c r="P1341" s="55" t="str">
        <f>VLOOKUP(B1341,'Data Angt'!$A$5:$H$5810,8,FALSE)</f>
        <v>Wiraswasta</v>
      </c>
    </row>
    <row r="1342" spans="1:16" x14ac:dyDescent="0.3">
      <c r="A1342" s="8">
        <v>1335</v>
      </c>
      <c r="B1342" s="9" t="s">
        <v>19051</v>
      </c>
      <c r="C1342" s="10" t="str">
        <f>VLOOKUP(B1342,'Data Angt'!$A$5:$B$5809,2,FALSE)</f>
        <v>A5695</v>
      </c>
      <c r="D1342" s="12" t="s">
        <v>23498</v>
      </c>
      <c r="E1342" s="13">
        <v>45895</v>
      </c>
      <c r="F1342" s="14">
        <v>45912</v>
      </c>
      <c r="G1342" s="15">
        <v>1500000</v>
      </c>
      <c r="H1342" s="16">
        <v>3</v>
      </c>
      <c r="I1342" s="17">
        <v>24</v>
      </c>
      <c r="J1342" s="15">
        <v>1000000</v>
      </c>
      <c r="K1342" s="98">
        <f t="shared" si="60"/>
        <v>0</v>
      </c>
      <c r="L1342" s="98" t="str">
        <f t="shared" si="61"/>
        <v>Lancar</v>
      </c>
      <c r="M1342" s="5" t="str">
        <f t="shared" si="62"/>
        <v>003</v>
      </c>
      <c r="N1342" s="55" t="str">
        <f>VLOOKUP(D1342,Pinjaman!$E$7:$N$1900,10,FALSE)</f>
        <v>PENDIDIKAN</v>
      </c>
      <c r="O1342" s="55">
        <f>VLOOKUP(B1342,'Data Angt'!$A$5:$H$5810,6,FALSE)</f>
        <v>45</v>
      </c>
      <c r="P1342" s="55" t="str">
        <f>VLOOKUP(B1342,'Data Angt'!$A$5:$H$5810,8,FALSE)</f>
        <v>Mengurus Rumah Tangga</v>
      </c>
    </row>
    <row r="1343" spans="1:16" x14ac:dyDescent="0.3">
      <c r="A1343" s="8">
        <v>1336</v>
      </c>
      <c r="B1343" s="9" t="s">
        <v>19069</v>
      </c>
      <c r="C1343" s="10" t="str">
        <f>VLOOKUP(B1343,'Data Angt'!$A$5:$B$5809,2,FALSE)</f>
        <v>A5704</v>
      </c>
      <c r="D1343" s="12" t="s">
        <v>23500</v>
      </c>
      <c r="E1343" s="13">
        <v>45882</v>
      </c>
      <c r="F1343" s="14">
        <v>45913</v>
      </c>
      <c r="G1343" s="15">
        <v>3000000</v>
      </c>
      <c r="H1343" s="16">
        <v>12</v>
      </c>
      <c r="I1343" s="17">
        <v>24</v>
      </c>
      <c r="J1343" s="15">
        <v>2750000</v>
      </c>
      <c r="K1343" s="98">
        <f t="shared" si="60"/>
        <v>0</v>
      </c>
      <c r="L1343" s="98" t="str">
        <f t="shared" si="61"/>
        <v>Lancar</v>
      </c>
      <c r="M1343" s="5" t="str">
        <f t="shared" si="62"/>
        <v>003</v>
      </c>
      <c r="N1343" s="55" t="str">
        <f>VLOOKUP(D1343,Pinjaman!$E$7:$N$1900,10,FALSE)</f>
        <v>PRODUKTIF</v>
      </c>
      <c r="O1343" s="55">
        <f>VLOOKUP(B1343,'Data Angt'!$A$5:$H$5810,6,FALSE)</f>
        <v>35</v>
      </c>
      <c r="P1343" s="55" t="str">
        <f>VLOOKUP(B1343,'Data Angt'!$A$5:$H$5810,8,FALSE)</f>
        <v>Karyawan</v>
      </c>
    </row>
    <row r="1344" spans="1:16" x14ac:dyDescent="0.3">
      <c r="A1344" s="8">
        <v>1337</v>
      </c>
      <c r="B1344" s="9" t="s">
        <v>19174</v>
      </c>
      <c r="C1344" s="10" t="str">
        <f>VLOOKUP(B1344,'Data Angt'!$A$5:$B$5809,2,FALSE)</f>
        <v>A5751</v>
      </c>
      <c r="D1344" s="12" t="s">
        <v>23503</v>
      </c>
      <c r="E1344" s="13">
        <v>45919</v>
      </c>
      <c r="F1344" s="14">
        <v>45919</v>
      </c>
      <c r="G1344" s="15">
        <v>1000000</v>
      </c>
      <c r="H1344" s="16">
        <v>12</v>
      </c>
      <c r="I1344" s="17">
        <v>24</v>
      </c>
      <c r="J1344" s="15">
        <v>1000000</v>
      </c>
      <c r="K1344" s="98">
        <f t="shared" si="60"/>
        <v>0</v>
      </c>
      <c r="L1344" s="98" t="str">
        <f t="shared" si="61"/>
        <v>Lancar</v>
      </c>
      <c r="M1344" s="5" t="str">
        <f t="shared" si="62"/>
        <v>003</v>
      </c>
      <c r="N1344" s="55" t="str">
        <f>VLOOKUP(D1344,Pinjaman!$E$7:$N$1900,10,FALSE)</f>
        <v>PRODUKTIF</v>
      </c>
      <c r="O1344" s="55">
        <f>VLOOKUP(B1344,'Data Angt'!$A$5:$H$5810,6,FALSE)</f>
        <v>34</v>
      </c>
      <c r="P1344" s="55" t="str">
        <f>VLOOKUP(B1344,'Data Angt'!$A$5:$H$5810,8,FALSE)</f>
        <v>Wiraswasta</v>
      </c>
    </row>
    <row r="1345" spans="1:16" x14ac:dyDescent="0.3">
      <c r="A1345" s="8">
        <v>1338</v>
      </c>
      <c r="B1345" s="9" t="s">
        <v>19249</v>
      </c>
      <c r="C1345" s="10" t="str">
        <f>VLOOKUP(B1345,'Data Angt'!$A$5:$B$5809,2,FALSE)</f>
        <v>A5785</v>
      </c>
      <c r="D1345" s="12" t="s">
        <v>23505</v>
      </c>
      <c r="E1345" s="13">
        <v>45920</v>
      </c>
      <c r="F1345" s="14">
        <v>45920</v>
      </c>
      <c r="G1345" s="15">
        <v>1500000</v>
      </c>
      <c r="H1345" s="16">
        <v>12</v>
      </c>
      <c r="I1345" s="17">
        <v>24</v>
      </c>
      <c r="J1345" s="15">
        <v>1500000</v>
      </c>
      <c r="K1345" s="98">
        <f t="shared" si="60"/>
        <v>0</v>
      </c>
      <c r="L1345" s="98" t="str">
        <f t="shared" si="61"/>
        <v>Lancar</v>
      </c>
      <c r="M1345" s="5" t="str">
        <f t="shared" si="62"/>
        <v>003</v>
      </c>
      <c r="N1345" s="55" t="str">
        <f>VLOOKUP(D1345,Pinjaman!$E$7:$N$1900,10,FALSE)</f>
        <v>PENDIDIKAN</v>
      </c>
      <c r="O1345" s="55">
        <f>VLOOKUP(B1345,'Data Angt'!$A$5:$H$5810,6,FALSE)</f>
        <v>49</v>
      </c>
      <c r="P1345" s="55" t="str">
        <f>VLOOKUP(B1345,'Data Angt'!$A$5:$H$5810,8,FALSE)</f>
        <v>Wiraswasta</v>
      </c>
    </row>
    <row r="1346" spans="1:16" x14ac:dyDescent="0.3">
      <c r="A1346" s="8">
        <v>1339</v>
      </c>
      <c r="B1346" s="9" t="s">
        <v>19254</v>
      </c>
      <c r="C1346" s="10" t="str">
        <f>VLOOKUP(B1346,'Data Angt'!$A$5:$B$5809,2,FALSE)</f>
        <v>A5787</v>
      </c>
      <c r="D1346" s="12" t="s">
        <v>23507</v>
      </c>
      <c r="E1346" s="13">
        <v>45922</v>
      </c>
      <c r="F1346" s="14">
        <v>45922</v>
      </c>
      <c r="G1346" s="15">
        <v>1500000</v>
      </c>
      <c r="H1346" s="16">
        <v>10</v>
      </c>
      <c r="I1346" s="17">
        <v>24</v>
      </c>
      <c r="J1346" s="15">
        <v>1500000</v>
      </c>
      <c r="K1346" s="98">
        <f t="shared" si="60"/>
        <v>0</v>
      </c>
      <c r="L1346" s="98" t="str">
        <f t="shared" si="61"/>
        <v>Lancar</v>
      </c>
      <c r="M1346" s="5" t="str">
        <f t="shared" si="62"/>
        <v>003</v>
      </c>
      <c r="N1346" s="55" t="str">
        <f>VLOOKUP(D1346,Pinjaman!$E$7:$N$1900,10,FALSE)</f>
        <v>PRODUKTIF</v>
      </c>
      <c r="O1346" s="55">
        <f>VLOOKUP(B1346,'Data Angt'!$A$5:$H$5810,6,FALSE)</f>
        <v>61</v>
      </c>
      <c r="P1346" s="55" t="str">
        <f>VLOOKUP(B1346,'Data Angt'!$A$5:$H$5810,8,FALSE)</f>
        <v>Wiraswasta</v>
      </c>
    </row>
    <row r="1347" spans="1:16" x14ac:dyDescent="0.3">
      <c r="A1347" s="8">
        <v>1340</v>
      </c>
      <c r="B1347" s="9" t="s">
        <v>1782</v>
      </c>
      <c r="C1347" s="10" t="str">
        <f>VLOOKUP(B1347,'Data Angt'!$A$5:$B$5809,2,FALSE)</f>
        <v>A719</v>
      </c>
      <c r="D1347" s="12" t="s">
        <v>17213</v>
      </c>
      <c r="E1347" s="13">
        <v>45600</v>
      </c>
      <c r="F1347" s="14">
        <v>45902</v>
      </c>
      <c r="G1347" s="15">
        <v>15000000</v>
      </c>
      <c r="H1347" s="16">
        <v>12</v>
      </c>
      <c r="I1347" s="17">
        <v>24</v>
      </c>
      <c r="J1347" s="15">
        <v>2500000</v>
      </c>
      <c r="K1347" s="98">
        <f t="shared" si="60"/>
        <v>0</v>
      </c>
      <c r="L1347" s="98" t="str">
        <f t="shared" si="61"/>
        <v>Lancar</v>
      </c>
      <c r="M1347" s="5" t="str">
        <f t="shared" si="62"/>
        <v>004</v>
      </c>
      <c r="N1347" s="55" t="str">
        <f>VLOOKUP(D1347,Pinjaman!$E$7:$N$1900,10,FALSE)</f>
        <v>PENDIDIKAN</v>
      </c>
      <c r="O1347" s="55">
        <f>VLOOKUP(B1347,'Data Angt'!$A$5:$H$5810,6,FALSE)</f>
        <v>45</v>
      </c>
      <c r="P1347" s="55" t="str">
        <f>VLOOKUP(B1347,'Data Angt'!$A$5:$H$5810,8,FALSE)</f>
        <v>Aparatur/Pejabat Negara</v>
      </c>
    </row>
    <row r="1348" spans="1:16" x14ac:dyDescent="0.3">
      <c r="A1348" s="8">
        <v>1341</v>
      </c>
      <c r="B1348" s="9" t="s">
        <v>1789</v>
      </c>
      <c r="C1348" s="10" t="str">
        <f>VLOOKUP(B1348,'Data Angt'!$A$5:$B$5809,2,FALSE)</f>
        <v>A721</v>
      </c>
      <c r="D1348" s="12" t="s">
        <v>17218</v>
      </c>
      <c r="E1348" s="13">
        <v>45706</v>
      </c>
      <c r="F1348" s="14">
        <v>45902</v>
      </c>
      <c r="G1348" s="15">
        <v>6000000</v>
      </c>
      <c r="H1348" s="16">
        <v>12</v>
      </c>
      <c r="I1348" s="17">
        <v>11.9</v>
      </c>
      <c r="J1348" s="15">
        <v>2586300</v>
      </c>
      <c r="K1348" s="98">
        <f t="shared" si="60"/>
        <v>0</v>
      </c>
      <c r="L1348" s="98" t="str">
        <f t="shared" si="61"/>
        <v>Lancar</v>
      </c>
      <c r="M1348" s="5" t="str">
        <f t="shared" si="62"/>
        <v>004</v>
      </c>
      <c r="N1348" s="55" t="str">
        <f>VLOOKUP(D1348,Pinjaman!$E$7:$N$1900,10,FALSE)</f>
        <v>KONSUMTIF</v>
      </c>
      <c r="O1348" s="55">
        <f>VLOOKUP(B1348,'Data Angt'!$A$5:$H$5810,6,FALSE)</f>
        <v>47</v>
      </c>
      <c r="P1348" s="55" t="str">
        <f>VLOOKUP(B1348,'Data Angt'!$A$5:$H$5810,8,FALSE)</f>
        <v>Tenaga Pengajar</v>
      </c>
    </row>
    <row r="1349" spans="1:16" x14ac:dyDescent="0.3">
      <c r="A1349" s="8">
        <v>1342</v>
      </c>
      <c r="B1349" s="9" t="s">
        <v>1789</v>
      </c>
      <c r="C1349" s="10" t="str">
        <f>VLOOKUP(B1349,'Data Angt'!$A$5:$B$5809,2,FALSE)</f>
        <v>A721</v>
      </c>
      <c r="D1349" s="12" t="s">
        <v>17215</v>
      </c>
      <c r="E1349" s="13">
        <v>45411</v>
      </c>
      <c r="F1349" s="14">
        <v>45902</v>
      </c>
      <c r="G1349" s="15">
        <v>25000000</v>
      </c>
      <c r="H1349" s="16">
        <v>36</v>
      </c>
      <c r="I1349" s="17">
        <v>21</v>
      </c>
      <c r="J1349" s="15">
        <v>13193500</v>
      </c>
      <c r="K1349" s="98">
        <f t="shared" si="60"/>
        <v>0</v>
      </c>
      <c r="L1349" s="98" t="str">
        <f t="shared" si="61"/>
        <v>Lancar</v>
      </c>
      <c r="M1349" s="5" t="str">
        <f t="shared" si="62"/>
        <v>004</v>
      </c>
      <c r="N1349" s="55" t="str">
        <f>VLOOKUP(D1349,Pinjaman!$E$7:$N$1900,10,FALSE)</f>
        <v>KONSUMTIF</v>
      </c>
      <c r="O1349" s="55">
        <f>VLOOKUP(B1349,'Data Angt'!$A$5:$H$5810,6,FALSE)</f>
        <v>47</v>
      </c>
      <c r="P1349" s="55" t="str">
        <f>VLOOKUP(B1349,'Data Angt'!$A$5:$H$5810,8,FALSE)</f>
        <v>Tenaga Pengajar</v>
      </c>
    </row>
    <row r="1350" spans="1:16" x14ac:dyDescent="0.3">
      <c r="A1350" s="8">
        <v>1343</v>
      </c>
      <c r="B1350" s="9" t="s">
        <v>1793</v>
      </c>
      <c r="C1350" s="10" t="str">
        <f>VLOOKUP(B1350,'Data Angt'!$A$5:$B$5809,2,FALSE)</f>
        <v>A723</v>
      </c>
      <c r="D1350" s="12" t="s">
        <v>17220</v>
      </c>
      <c r="E1350" s="13">
        <v>45315</v>
      </c>
      <c r="F1350" s="14">
        <v>45930</v>
      </c>
      <c r="G1350" s="15">
        <v>10000000</v>
      </c>
      <c r="H1350" s="16">
        <v>36</v>
      </c>
      <c r="I1350" s="17">
        <v>24</v>
      </c>
      <c r="J1350" s="15">
        <v>4444000</v>
      </c>
      <c r="K1350" s="98">
        <f t="shared" si="60"/>
        <v>0</v>
      </c>
      <c r="L1350" s="98" t="str">
        <f t="shared" si="61"/>
        <v>Lancar</v>
      </c>
      <c r="M1350" s="5" t="str">
        <f t="shared" si="62"/>
        <v>004</v>
      </c>
      <c r="N1350" s="55" t="str">
        <f>VLOOKUP(D1350,Pinjaman!$E$7:$N$1900,10,FALSE)</f>
        <v>PENDIDIKAN</v>
      </c>
      <c r="O1350" s="55">
        <f>VLOOKUP(B1350,'Data Angt'!$A$5:$H$5810,6,FALSE)</f>
        <v>43</v>
      </c>
      <c r="P1350" s="55" t="str">
        <f>VLOOKUP(B1350,'Data Angt'!$A$5:$H$5810,8,FALSE)</f>
        <v>Tenaga Pengajar</v>
      </c>
    </row>
    <row r="1351" spans="1:16" x14ac:dyDescent="0.3">
      <c r="A1351" s="8">
        <v>1344</v>
      </c>
      <c r="B1351" s="9" t="s">
        <v>1798</v>
      </c>
      <c r="C1351" s="10" t="str">
        <f>VLOOKUP(B1351,'Data Angt'!$A$5:$B$5809,2,FALSE)</f>
        <v>A725</v>
      </c>
      <c r="D1351" s="12" t="s">
        <v>17222</v>
      </c>
      <c r="E1351" s="13">
        <v>45825</v>
      </c>
      <c r="F1351" s="14">
        <v>45902</v>
      </c>
      <c r="G1351" s="15">
        <v>6000000</v>
      </c>
      <c r="H1351" s="16">
        <v>48</v>
      </c>
      <c r="I1351" s="17">
        <v>11.9</v>
      </c>
      <c r="J1351" s="15">
        <v>5702300</v>
      </c>
      <c r="K1351" s="98">
        <f t="shared" si="60"/>
        <v>0</v>
      </c>
      <c r="L1351" s="98" t="str">
        <f t="shared" si="61"/>
        <v>Lancar</v>
      </c>
      <c r="M1351" s="5" t="str">
        <f t="shared" si="62"/>
        <v>004</v>
      </c>
      <c r="N1351" s="55" t="str">
        <f>VLOOKUP(D1351,Pinjaman!$E$7:$N$1900,10,FALSE)</f>
        <v>PENDIDIKAN</v>
      </c>
      <c r="O1351" s="55">
        <f>VLOOKUP(B1351,'Data Angt'!$A$5:$H$5810,6,FALSE)</f>
        <v>49</v>
      </c>
      <c r="P1351" s="55" t="str">
        <f>VLOOKUP(B1351,'Data Angt'!$A$5:$H$5810,8,FALSE)</f>
        <v>Karyawan</v>
      </c>
    </row>
    <row r="1352" spans="1:16" x14ac:dyDescent="0.3">
      <c r="A1352" s="8">
        <v>1345</v>
      </c>
      <c r="B1352" s="9" t="s">
        <v>1815</v>
      </c>
      <c r="C1352" s="10" t="str">
        <f>VLOOKUP(B1352,'Data Angt'!$A$5:$B$5809,2,FALSE)</f>
        <v>A732</v>
      </c>
      <c r="D1352" s="12" t="s">
        <v>23511</v>
      </c>
      <c r="E1352" s="13">
        <v>45881</v>
      </c>
      <c r="F1352" s="14">
        <v>45916</v>
      </c>
      <c r="G1352" s="15">
        <v>5000000</v>
      </c>
      <c r="H1352" s="16">
        <v>20</v>
      </c>
      <c r="I1352" s="17">
        <v>24</v>
      </c>
      <c r="J1352" s="15">
        <v>4750000</v>
      </c>
      <c r="K1352" s="98">
        <f t="shared" si="60"/>
        <v>0</v>
      </c>
      <c r="L1352" s="98" t="str">
        <f t="shared" si="61"/>
        <v>Lancar</v>
      </c>
      <c r="M1352" s="5" t="str">
        <f t="shared" si="62"/>
        <v>004</v>
      </c>
      <c r="N1352" s="55" t="str">
        <f>VLOOKUP(D1352,Pinjaman!$E$7:$N$1900,10,FALSE)</f>
        <v>PENDIDIKAN</v>
      </c>
      <c r="O1352" s="55">
        <f>VLOOKUP(B1352,'Data Angt'!$A$5:$H$5810,6,FALSE)</f>
        <v>56</v>
      </c>
      <c r="P1352" s="55" t="str">
        <f>VLOOKUP(B1352,'Data Angt'!$A$5:$H$5810,8,FALSE)</f>
        <v>Lain-Lain</v>
      </c>
    </row>
    <row r="1353" spans="1:16" x14ac:dyDescent="0.3">
      <c r="A1353" s="8">
        <v>1346</v>
      </c>
      <c r="B1353" s="9" t="s">
        <v>1818</v>
      </c>
      <c r="C1353" s="10" t="str">
        <f>VLOOKUP(B1353,'Data Angt'!$A$5:$B$5809,2,FALSE)</f>
        <v>A733</v>
      </c>
      <c r="D1353" s="12" t="s">
        <v>23513</v>
      </c>
      <c r="E1353" s="13">
        <v>45874</v>
      </c>
      <c r="F1353" s="14">
        <v>45916</v>
      </c>
      <c r="G1353" s="15">
        <v>6000000</v>
      </c>
      <c r="H1353" s="16">
        <v>12</v>
      </c>
      <c r="I1353" s="17">
        <v>11.9</v>
      </c>
      <c r="J1353" s="15">
        <v>5526600</v>
      </c>
      <c r="K1353" s="98">
        <f t="shared" ref="K1353:K1416" si="63">DATEDIF(F1353,$K$6,"m")</f>
        <v>0</v>
      </c>
      <c r="L1353" s="98" t="str">
        <f t="shared" ref="L1353:L1416" si="64">IF(K1353&lt;=3,"Lancar",IF(K1353&lt;=6,"Kurang lancar",IF(K1353&lt;=12,"Diragukan","Macet")))</f>
        <v>Lancar</v>
      </c>
      <c r="M1353" s="5" t="str">
        <f t="shared" ref="M1353:M1416" si="65">MID(B1353,7,3)</f>
        <v>004</v>
      </c>
      <c r="N1353" s="55" t="str">
        <f>VLOOKUP(D1353,Pinjaman!$E$7:$N$1900,10,FALSE)</f>
        <v>KONSUMTIF</v>
      </c>
      <c r="O1353" s="55">
        <f>VLOOKUP(B1353,'Data Angt'!$A$5:$H$5810,6,FALSE)</f>
        <v>57</v>
      </c>
      <c r="P1353" s="55" t="str">
        <f>VLOOKUP(B1353,'Data Angt'!$A$5:$H$5810,8,FALSE)</f>
        <v>Karyawan</v>
      </c>
    </row>
    <row r="1354" spans="1:16" x14ac:dyDescent="0.3">
      <c r="A1354" s="8">
        <v>1347</v>
      </c>
      <c r="B1354" s="9" t="s">
        <v>1823</v>
      </c>
      <c r="C1354" s="10" t="str">
        <f>VLOOKUP(B1354,'Data Angt'!$A$5:$B$5809,2,FALSE)</f>
        <v>A735</v>
      </c>
      <c r="D1354" s="12" t="s">
        <v>23515</v>
      </c>
      <c r="E1354" s="13">
        <v>45845</v>
      </c>
      <c r="F1354" s="14">
        <v>45904</v>
      </c>
      <c r="G1354" s="15">
        <v>5000000</v>
      </c>
      <c r="H1354" s="16">
        <v>10</v>
      </c>
      <c r="I1354" s="17">
        <v>24</v>
      </c>
      <c r="J1354" s="15">
        <v>4077500</v>
      </c>
      <c r="K1354" s="98">
        <f t="shared" si="63"/>
        <v>0</v>
      </c>
      <c r="L1354" s="98" t="str">
        <f t="shared" si="64"/>
        <v>Lancar</v>
      </c>
      <c r="M1354" s="5" t="str">
        <f t="shared" si="65"/>
        <v>004</v>
      </c>
      <c r="N1354" s="55" t="str">
        <f>VLOOKUP(D1354,Pinjaman!$E$7:$N$1900,10,FALSE)</f>
        <v>KONSUMTIF</v>
      </c>
      <c r="O1354" s="55">
        <f>VLOOKUP(B1354,'Data Angt'!$A$5:$H$5810,6,FALSE)</f>
        <v>70</v>
      </c>
      <c r="P1354" s="55" t="str">
        <f>VLOOKUP(B1354,'Data Angt'!$A$5:$H$5810,8,FALSE)</f>
        <v>Pensiunan</v>
      </c>
    </row>
    <row r="1355" spans="1:16" x14ac:dyDescent="0.3">
      <c r="A1355" s="8">
        <v>1348</v>
      </c>
      <c r="B1355" s="9" t="s">
        <v>1823</v>
      </c>
      <c r="C1355" s="10" t="str">
        <f>VLOOKUP(B1355,'Data Angt'!$A$5:$B$5809,2,FALSE)</f>
        <v>A735</v>
      </c>
      <c r="D1355" s="12" t="s">
        <v>17224</v>
      </c>
      <c r="E1355" s="13">
        <v>45405</v>
      </c>
      <c r="F1355" s="14">
        <v>45927</v>
      </c>
      <c r="G1355" s="15">
        <v>60000000</v>
      </c>
      <c r="H1355" s="16">
        <v>48</v>
      </c>
      <c r="I1355" s="17">
        <v>21</v>
      </c>
      <c r="J1355" s="15">
        <v>38750000</v>
      </c>
      <c r="K1355" s="98">
        <f t="shared" si="63"/>
        <v>0</v>
      </c>
      <c r="L1355" s="98" t="str">
        <f t="shared" si="64"/>
        <v>Lancar</v>
      </c>
      <c r="M1355" s="5" t="str">
        <f t="shared" si="65"/>
        <v>004</v>
      </c>
      <c r="N1355" s="55" t="str">
        <f>VLOOKUP(D1355,Pinjaman!$E$7:$N$1900,10,FALSE)</f>
        <v>PRODUKTIF</v>
      </c>
      <c r="O1355" s="55">
        <f>VLOOKUP(B1355,'Data Angt'!$A$5:$H$5810,6,FALSE)</f>
        <v>70</v>
      </c>
      <c r="P1355" s="55" t="str">
        <f>VLOOKUP(B1355,'Data Angt'!$A$5:$H$5810,8,FALSE)</f>
        <v>Pensiunan</v>
      </c>
    </row>
    <row r="1356" spans="1:16" x14ac:dyDescent="0.3">
      <c r="A1356" s="8">
        <v>1349</v>
      </c>
      <c r="B1356" s="9" t="s">
        <v>1829</v>
      </c>
      <c r="C1356" s="10" t="str">
        <f>VLOOKUP(B1356,'Data Angt'!$A$5:$B$5809,2,FALSE)</f>
        <v>A737</v>
      </c>
      <c r="D1356" s="12" t="s">
        <v>17227</v>
      </c>
      <c r="E1356" s="13">
        <v>45693</v>
      </c>
      <c r="F1356" s="14">
        <v>45906</v>
      </c>
      <c r="G1356" s="15">
        <v>3000000</v>
      </c>
      <c r="H1356" s="16">
        <v>10</v>
      </c>
      <c r="I1356" s="17">
        <v>24</v>
      </c>
      <c r="J1356" s="15">
        <v>900000</v>
      </c>
      <c r="K1356" s="98">
        <f t="shared" si="63"/>
        <v>0</v>
      </c>
      <c r="L1356" s="98" t="str">
        <f t="shared" si="64"/>
        <v>Lancar</v>
      </c>
      <c r="M1356" s="5" t="str">
        <f t="shared" si="65"/>
        <v>004</v>
      </c>
      <c r="N1356" s="55" t="str">
        <f>VLOOKUP(D1356,Pinjaman!$E$7:$N$1900,10,FALSE)</f>
        <v>KONSUMTIF</v>
      </c>
      <c r="O1356" s="55">
        <f>VLOOKUP(B1356,'Data Angt'!$A$5:$H$5810,6,FALSE)</f>
        <v>67</v>
      </c>
      <c r="P1356" s="55" t="str">
        <f>VLOOKUP(B1356,'Data Angt'!$A$5:$H$5810,8,FALSE)</f>
        <v>Karyawan</v>
      </c>
    </row>
    <row r="1357" spans="1:16" x14ac:dyDescent="0.3">
      <c r="A1357" s="8">
        <v>1350</v>
      </c>
      <c r="B1357" s="9" t="s">
        <v>1837</v>
      </c>
      <c r="C1357" s="10" t="str">
        <f>VLOOKUP(B1357,'Data Angt'!$A$5:$B$5809,2,FALSE)</f>
        <v>A740</v>
      </c>
      <c r="D1357" s="12" t="s">
        <v>10497</v>
      </c>
      <c r="E1357" s="13">
        <v>41598</v>
      </c>
      <c r="F1357" s="14">
        <v>44237</v>
      </c>
      <c r="G1357" s="15">
        <v>25000000</v>
      </c>
      <c r="H1357" s="16">
        <v>60</v>
      </c>
      <c r="I1357" s="17">
        <v>11.88</v>
      </c>
      <c r="J1357" s="15">
        <v>14999200</v>
      </c>
      <c r="K1357" s="98">
        <f t="shared" si="63"/>
        <v>55</v>
      </c>
      <c r="L1357" s="98" t="str">
        <f t="shared" si="64"/>
        <v>Macet</v>
      </c>
      <c r="M1357" s="5" t="str">
        <f t="shared" si="65"/>
        <v>004</v>
      </c>
      <c r="N1357" s="55">
        <f>VLOOKUP(D1357,Pinjaman!$E$7:$N$1900,10,FALSE)</f>
        <v>0</v>
      </c>
      <c r="O1357" s="55">
        <f>VLOOKUP(B1357,'Data Angt'!$A$5:$H$5810,6,FALSE)</f>
        <v>60</v>
      </c>
      <c r="P1357" s="55" t="str">
        <f>VLOOKUP(B1357,'Data Angt'!$A$5:$H$5810,8,FALSE)</f>
        <v>Mengurus Rumah Tangga</v>
      </c>
    </row>
    <row r="1358" spans="1:16" x14ac:dyDescent="0.3">
      <c r="A1358" s="8">
        <v>1351</v>
      </c>
      <c r="B1358" s="9" t="s">
        <v>1839</v>
      </c>
      <c r="C1358" s="10" t="str">
        <f>VLOOKUP(B1358,'Data Angt'!$A$5:$B$5809,2,FALSE)</f>
        <v>A741</v>
      </c>
      <c r="D1358" s="12" t="s">
        <v>17229</v>
      </c>
      <c r="E1358" s="13">
        <v>45818</v>
      </c>
      <c r="F1358" s="14">
        <v>45902</v>
      </c>
      <c r="G1358" s="15">
        <v>11300000</v>
      </c>
      <c r="H1358" s="16">
        <v>24</v>
      </c>
      <c r="I1358" s="17">
        <v>11.6</v>
      </c>
      <c r="J1358" s="15">
        <v>10025900</v>
      </c>
      <c r="K1358" s="98">
        <f t="shared" si="63"/>
        <v>0</v>
      </c>
      <c r="L1358" s="98" t="str">
        <f t="shared" si="64"/>
        <v>Lancar</v>
      </c>
      <c r="M1358" s="5" t="str">
        <f t="shared" si="65"/>
        <v>004</v>
      </c>
      <c r="N1358" s="55" t="str">
        <f>VLOOKUP(D1358,Pinjaman!$E$7:$N$1900,10,FALSE)</f>
        <v>PENDIDIKAN</v>
      </c>
      <c r="O1358" s="55">
        <f>VLOOKUP(B1358,'Data Angt'!$A$5:$H$5810,6,FALSE)</f>
        <v>68</v>
      </c>
      <c r="P1358" s="55" t="str">
        <f>VLOOKUP(B1358,'Data Angt'!$A$5:$H$5810,8,FALSE)</f>
        <v>Pensiunan</v>
      </c>
    </row>
    <row r="1359" spans="1:16" x14ac:dyDescent="0.3">
      <c r="A1359" s="8">
        <v>1352</v>
      </c>
      <c r="B1359" s="9" t="s">
        <v>1841</v>
      </c>
      <c r="C1359" s="10" t="str">
        <f>VLOOKUP(B1359,'Data Angt'!$A$5:$B$5809,2,FALSE)</f>
        <v>A743</v>
      </c>
      <c r="D1359" s="12" t="s">
        <v>17231</v>
      </c>
      <c r="E1359" s="13">
        <v>45785</v>
      </c>
      <c r="F1359" s="14">
        <v>45922</v>
      </c>
      <c r="G1359" s="15">
        <v>8000000</v>
      </c>
      <c r="H1359" s="16">
        <v>8</v>
      </c>
      <c r="I1359" s="17">
        <v>24</v>
      </c>
      <c r="J1359" s="15">
        <v>4000000</v>
      </c>
      <c r="K1359" s="98">
        <f t="shared" si="63"/>
        <v>0</v>
      </c>
      <c r="L1359" s="98" t="str">
        <f t="shared" si="64"/>
        <v>Lancar</v>
      </c>
      <c r="M1359" s="5" t="str">
        <f t="shared" si="65"/>
        <v>004</v>
      </c>
      <c r="N1359" s="55" t="str">
        <f>VLOOKUP(D1359,Pinjaman!$E$7:$N$1900,10,FALSE)</f>
        <v>KONSUMTIF</v>
      </c>
      <c r="O1359" s="55">
        <f>VLOOKUP(B1359,'Data Angt'!$A$5:$H$5810,6,FALSE)</f>
        <v>54</v>
      </c>
      <c r="P1359" s="55" t="str">
        <f>VLOOKUP(B1359,'Data Angt'!$A$5:$H$5810,8,FALSE)</f>
        <v>Wiraswasta</v>
      </c>
    </row>
    <row r="1360" spans="1:16" x14ac:dyDescent="0.3">
      <c r="A1360" s="8">
        <v>1353</v>
      </c>
      <c r="B1360" s="9" t="s">
        <v>1844</v>
      </c>
      <c r="C1360" s="10" t="str">
        <f>VLOOKUP(B1360,'Data Angt'!$A$5:$B$5809,2,FALSE)</f>
        <v>A744</v>
      </c>
      <c r="D1360" s="12" t="s">
        <v>23517</v>
      </c>
      <c r="E1360" s="13">
        <v>45925</v>
      </c>
      <c r="F1360" s="14">
        <v>45925</v>
      </c>
      <c r="G1360" s="15">
        <v>6500000</v>
      </c>
      <c r="H1360" s="16">
        <v>24</v>
      </c>
      <c r="I1360" s="17">
        <v>24</v>
      </c>
      <c r="J1360" s="15">
        <v>6500000</v>
      </c>
      <c r="K1360" s="98">
        <f t="shared" si="63"/>
        <v>0</v>
      </c>
      <c r="L1360" s="98" t="str">
        <f t="shared" si="64"/>
        <v>Lancar</v>
      </c>
      <c r="M1360" s="5" t="str">
        <f t="shared" si="65"/>
        <v>004</v>
      </c>
      <c r="N1360" s="55" t="str">
        <f>VLOOKUP(D1360,Pinjaman!$E$7:$N$1900,10,FALSE)</f>
        <v>PRODUKTIF</v>
      </c>
      <c r="O1360" s="55">
        <f>VLOOKUP(B1360,'Data Angt'!$A$5:$H$5810,6,FALSE)</f>
        <v>58</v>
      </c>
      <c r="P1360" s="55" t="str">
        <f>VLOOKUP(B1360,'Data Angt'!$A$5:$H$5810,8,FALSE)</f>
        <v>Wiraswasta</v>
      </c>
    </row>
    <row r="1361" spans="1:16" x14ac:dyDescent="0.3">
      <c r="A1361" s="8">
        <v>1354</v>
      </c>
      <c r="B1361" s="9" t="s">
        <v>1851</v>
      </c>
      <c r="C1361" s="10" t="str">
        <f>VLOOKUP(B1361,'Data Angt'!$A$5:$B$5809,2,FALSE)</f>
        <v>A747</v>
      </c>
      <c r="D1361" s="12" t="s">
        <v>10499</v>
      </c>
      <c r="E1361" s="13">
        <v>44994</v>
      </c>
      <c r="F1361" s="14">
        <v>45901</v>
      </c>
      <c r="G1361" s="15">
        <v>25000000</v>
      </c>
      <c r="H1361" s="16">
        <v>36</v>
      </c>
      <c r="I1361" s="17">
        <v>21</v>
      </c>
      <c r="J1361" s="15">
        <v>4165000</v>
      </c>
      <c r="K1361" s="98">
        <f t="shared" si="63"/>
        <v>0</v>
      </c>
      <c r="L1361" s="98" t="str">
        <f t="shared" si="64"/>
        <v>Lancar</v>
      </c>
      <c r="M1361" s="5" t="str">
        <f t="shared" si="65"/>
        <v>004</v>
      </c>
      <c r="N1361" s="55" t="str">
        <f>VLOOKUP(D1361,Pinjaman!$E$7:$N$1900,10,FALSE)</f>
        <v>KONSUMTIF</v>
      </c>
      <c r="O1361" s="55">
        <f>VLOOKUP(B1361,'Data Angt'!$A$5:$H$5810,6,FALSE)</f>
        <v>58</v>
      </c>
      <c r="P1361" s="55" t="str">
        <f>VLOOKUP(B1361,'Data Angt'!$A$5:$H$5810,8,FALSE)</f>
        <v>Aparatur/Pejabat Negara</v>
      </c>
    </row>
    <row r="1362" spans="1:16" x14ac:dyDescent="0.3">
      <c r="A1362" s="8">
        <v>1355</v>
      </c>
      <c r="B1362" s="9" t="s">
        <v>1855</v>
      </c>
      <c r="C1362" s="10" t="str">
        <f>VLOOKUP(B1362,'Data Angt'!$A$5:$B$5809,2,FALSE)</f>
        <v>A748</v>
      </c>
      <c r="D1362" s="12" t="s">
        <v>17234</v>
      </c>
      <c r="E1362" s="13">
        <v>45402</v>
      </c>
      <c r="F1362" s="14">
        <v>45920</v>
      </c>
      <c r="G1362" s="15">
        <v>14000000</v>
      </c>
      <c r="H1362" s="16">
        <v>24</v>
      </c>
      <c r="I1362" s="17">
        <v>11.64</v>
      </c>
      <c r="J1362" s="15">
        <v>4423900</v>
      </c>
      <c r="K1362" s="98">
        <f t="shared" si="63"/>
        <v>0</v>
      </c>
      <c r="L1362" s="98" t="str">
        <f t="shared" si="64"/>
        <v>Lancar</v>
      </c>
      <c r="M1362" s="5" t="str">
        <f t="shared" si="65"/>
        <v>004</v>
      </c>
      <c r="N1362" s="55" t="str">
        <f>VLOOKUP(D1362,Pinjaman!$E$7:$N$1900,10,FALSE)</f>
        <v>KESEJAHTERAAN</v>
      </c>
      <c r="O1362" s="55">
        <f>VLOOKUP(B1362,'Data Angt'!$A$5:$H$5810,6,FALSE)</f>
        <v>76</v>
      </c>
      <c r="P1362" s="55" t="str">
        <f>VLOOKUP(B1362,'Data Angt'!$A$5:$H$5810,8,FALSE)</f>
        <v>Mengurus Rumah Tangga</v>
      </c>
    </row>
    <row r="1363" spans="1:16" x14ac:dyDescent="0.3">
      <c r="A1363" s="8">
        <v>1356</v>
      </c>
      <c r="B1363" s="9" t="s">
        <v>1857</v>
      </c>
      <c r="C1363" s="10" t="str">
        <f>VLOOKUP(B1363,'Data Angt'!$A$5:$B$5809,2,FALSE)</f>
        <v>A749</v>
      </c>
      <c r="D1363" s="12" t="s">
        <v>17237</v>
      </c>
      <c r="E1363" s="13">
        <v>45563</v>
      </c>
      <c r="F1363" s="14">
        <v>45794</v>
      </c>
      <c r="G1363" s="15">
        <v>118676100</v>
      </c>
      <c r="H1363" s="16">
        <v>72</v>
      </c>
      <c r="I1363" s="17">
        <v>21</v>
      </c>
      <c r="J1363" s="15">
        <v>114190000</v>
      </c>
      <c r="K1363" s="98">
        <f t="shared" si="63"/>
        <v>4</v>
      </c>
      <c r="L1363" s="98" t="str">
        <f t="shared" si="64"/>
        <v>Kurang lancar</v>
      </c>
      <c r="M1363" s="5" t="str">
        <f t="shared" si="65"/>
        <v>004</v>
      </c>
      <c r="N1363" s="55" t="str">
        <f>VLOOKUP(D1363,Pinjaman!$E$7:$N$1900,10,FALSE)</f>
        <v>KONSUMTIF</v>
      </c>
      <c r="O1363" s="55">
        <f>VLOOKUP(B1363,'Data Angt'!$A$5:$H$5810,6,FALSE)</f>
        <v>43</v>
      </c>
      <c r="P1363" s="55" t="str">
        <f>VLOOKUP(B1363,'Data Angt'!$A$5:$H$5810,8,FALSE)</f>
        <v>Karyawan</v>
      </c>
    </row>
    <row r="1364" spans="1:16" x14ac:dyDescent="0.3">
      <c r="A1364" s="8">
        <v>1357</v>
      </c>
      <c r="B1364" s="9" t="s">
        <v>1864</v>
      </c>
      <c r="C1364" s="10" t="str">
        <f>VLOOKUP(B1364,'Data Angt'!$A$5:$B$5809,2,FALSE)</f>
        <v>A751</v>
      </c>
      <c r="D1364" s="12" t="s">
        <v>17239</v>
      </c>
      <c r="E1364" s="13">
        <v>45646</v>
      </c>
      <c r="F1364" s="14">
        <v>45904</v>
      </c>
      <c r="G1364" s="15">
        <v>6500000</v>
      </c>
      <c r="H1364" s="16">
        <v>12</v>
      </c>
      <c r="I1364" s="17">
        <v>11.9</v>
      </c>
      <c r="J1364" s="15">
        <v>1697500</v>
      </c>
      <c r="K1364" s="98">
        <f t="shared" si="63"/>
        <v>0</v>
      </c>
      <c r="L1364" s="98" t="str">
        <f t="shared" si="64"/>
        <v>Lancar</v>
      </c>
      <c r="M1364" s="5" t="str">
        <f t="shared" si="65"/>
        <v>004</v>
      </c>
      <c r="N1364" s="55" t="str">
        <f>VLOOKUP(D1364,Pinjaman!$E$7:$N$1900,10,FALSE)</f>
        <v>KONSUMTIF</v>
      </c>
      <c r="O1364" s="55">
        <f>VLOOKUP(B1364,'Data Angt'!$A$5:$H$5810,6,FALSE)</f>
        <v>66</v>
      </c>
      <c r="P1364" s="55" t="str">
        <f>VLOOKUP(B1364,'Data Angt'!$A$5:$H$5810,8,FALSE)</f>
        <v>Pensiunan</v>
      </c>
    </row>
    <row r="1365" spans="1:16" x14ac:dyDescent="0.3">
      <c r="A1365" s="8">
        <v>1358</v>
      </c>
      <c r="B1365" s="9" t="s">
        <v>1882</v>
      </c>
      <c r="C1365" s="10" t="str">
        <f>VLOOKUP(B1365,'Data Angt'!$A$5:$B$5809,2,FALSE)</f>
        <v>A761</v>
      </c>
      <c r="D1365" s="12" t="s">
        <v>10501</v>
      </c>
      <c r="E1365" s="13">
        <v>41059</v>
      </c>
      <c r="F1365" s="14">
        <v>45869</v>
      </c>
      <c r="G1365" s="15">
        <v>21000000</v>
      </c>
      <c r="H1365" s="16">
        <v>36</v>
      </c>
      <c r="I1365" s="17">
        <v>14.4</v>
      </c>
      <c r="J1365" s="15">
        <v>12746200</v>
      </c>
      <c r="K1365" s="98">
        <f t="shared" si="63"/>
        <v>1</v>
      </c>
      <c r="L1365" s="98" t="str">
        <f t="shared" si="64"/>
        <v>Lancar</v>
      </c>
      <c r="M1365" s="5" t="str">
        <f t="shared" si="65"/>
        <v>004</v>
      </c>
      <c r="N1365" s="55">
        <f>VLOOKUP(D1365,Pinjaman!$E$7:$N$1900,10,FALSE)</f>
        <v>0</v>
      </c>
      <c r="O1365" s="55">
        <f>VLOOKUP(B1365,'Data Angt'!$A$5:$H$5810,6,FALSE)</f>
        <v>56</v>
      </c>
      <c r="P1365" s="55" t="str">
        <f>VLOOKUP(B1365,'Data Angt'!$A$5:$H$5810,8,FALSE)</f>
        <v>Karyawan</v>
      </c>
    </row>
    <row r="1366" spans="1:16" x14ac:dyDescent="0.3">
      <c r="A1366" s="8">
        <v>1359</v>
      </c>
      <c r="B1366" s="9" t="s">
        <v>1887</v>
      </c>
      <c r="C1366" s="10" t="str">
        <f>VLOOKUP(B1366,'Data Angt'!$A$5:$B$5809,2,FALSE)</f>
        <v>A763</v>
      </c>
      <c r="D1366" s="12" t="s">
        <v>10502</v>
      </c>
      <c r="E1366" s="13">
        <v>39376</v>
      </c>
      <c r="F1366" s="14">
        <v>44237</v>
      </c>
      <c r="G1366" s="15">
        <v>21218000</v>
      </c>
      <c r="H1366" s="16">
        <v>48</v>
      </c>
      <c r="I1366" s="17">
        <v>24</v>
      </c>
      <c r="J1366" s="15">
        <v>8173100</v>
      </c>
      <c r="K1366" s="98">
        <f t="shared" si="63"/>
        <v>55</v>
      </c>
      <c r="L1366" s="98" t="str">
        <f t="shared" si="64"/>
        <v>Macet</v>
      </c>
      <c r="M1366" s="5" t="str">
        <f t="shared" si="65"/>
        <v>004</v>
      </c>
      <c r="N1366" s="55">
        <f>VLOOKUP(D1366,Pinjaman!$E$7:$N$1900,10,FALSE)</f>
        <v>0</v>
      </c>
      <c r="O1366" s="55">
        <f>VLOOKUP(B1366,'Data Angt'!$A$5:$H$5810,6,FALSE)</f>
        <v>55</v>
      </c>
      <c r="P1366" s="55" t="str">
        <f>VLOOKUP(B1366,'Data Angt'!$A$5:$H$5810,8,FALSE)</f>
        <v>Tenaga Pengajar</v>
      </c>
    </row>
    <row r="1367" spans="1:16" x14ac:dyDescent="0.3">
      <c r="A1367" s="8">
        <v>1360</v>
      </c>
      <c r="B1367" s="9" t="s">
        <v>1993</v>
      </c>
      <c r="C1367" s="10" t="str">
        <f>VLOOKUP(B1367,'Data Angt'!$A$5:$B$5809,2,FALSE)</f>
        <v>A814</v>
      </c>
      <c r="D1367" s="12" t="s">
        <v>17242</v>
      </c>
      <c r="E1367" s="13">
        <v>45826</v>
      </c>
      <c r="F1367" s="14">
        <v>45918</v>
      </c>
      <c r="G1367" s="15">
        <v>31500000</v>
      </c>
      <c r="H1367" s="16">
        <v>48</v>
      </c>
      <c r="I1367" s="17">
        <v>21</v>
      </c>
      <c r="J1367" s="15">
        <v>30205000</v>
      </c>
      <c r="K1367" s="98">
        <f t="shared" si="63"/>
        <v>0</v>
      </c>
      <c r="L1367" s="98" t="str">
        <f t="shared" si="64"/>
        <v>Lancar</v>
      </c>
      <c r="M1367" s="5" t="str">
        <f t="shared" si="65"/>
        <v>004</v>
      </c>
      <c r="N1367" s="55" t="str">
        <f>VLOOKUP(D1367,Pinjaman!$E$7:$N$1900,10,FALSE)</f>
        <v>KONSUMTIF</v>
      </c>
      <c r="O1367" s="55">
        <f>VLOOKUP(B1367,'Data Angt'!$A$5:$H$5810,6,FALSE)</f>
        <v>58</v>
      </c>
      <c r="P1367" s="55" t="str">
        <f>VLOOKUP(B1367,'Data Angt'!$A$5:$H$5810,8,FALSE)</f>
        <v>Wiraswasta</v>
      </c>
    </row>
    <row r="1368" spans="1:16" x14ac:dyDescent="0.3">
      <c r="A1368" s="8">
        <v>1361</v>
      </c>
      <c r="B1368" s="9" t="s">
        <v>2021</v>
      </c>
      <c r="C1368" s="10" t="str">
        <f>VLOOKUP(B1368,'Data Angt'!$A$5:$B$5809,2,FALSE)</f>
        <v>A829</v>
      </c>
      <c r="D1368" s="12" t="s">
        <v>17244</v>
      </c>
      <c r="E1368" s="13">
        <v>45828</v>
      </c>
      <c r="F1368" s="14">
        <v>45904</v>
      </c>
      <c r="G1368" s="15">
        <v>5000000</v>
      </c>
      <c r="H1368" s="16">
        <v>10</v>
      </c>
      <c r="I1368" s="17">
        <v>24</v>
      </c>
      <c r="J1368" s="15">
        <v>3500000</v>
      </c>
      <c r="K1368" s="98">
        <f t="shared" si="63"/>
        <v>0</v>
      </c>
      <c r="L1368" s="98" t="str">
        <f t="shared" si="64"/>
        <v>Lancar</v>
      </c>
      <c r="M1368" s="5" t="str">
        <f t="shared" si="65"/>
        <v>004</v>
      </c>
      <c r="N1368" s="55" t="str">
        <f>VLOOKUP(D1368,Pinjaman!$E$7:$N$1900,10,FALSE)</f>
        <v>KONSUMTIF</v>
      </c>
      <c r="O1368" s="55">
        <f>VLOOKUP(B1368,'Data Angt'!$A$5:$H$5810,6,FALSE)</f>
        <v>70</v>
      </c>
      <c r="P1368" s="55" t="str">
        <f>VLOOKUP(B1368,'Data Angt'!$A$5:$H$5810,8,FALSE)</f>
        <v>Pensiunan</v>
      </c>
    </row>
    <row r="1369" spans="1:16" x14ac:dyDescent="0.3">
      <c r="A1369" s="8">
        <v>1362</v>
      </c>
      <c r="B1369" s="9" t="s">
        <v>2021</v>
      </c>
      <c r="C1369" s="10" t="str">
        <f>VLOOKUP(B1369,'Data Angt'!$A$5:$B$5809,2,FALSE)</f>
        <v>A829</v>
      </c>
      <c r="D1369" s="12" t="s">
        <v>23523</v>
      </c>
      <c r="E1369" s="13">
        <v>45920</v>
      </c>
      <c r="F1369" s="14">
        <v>45920</v>
      </c>
      <c r="G1369" s="15">
        <v>60000000</v>
      </c>
      <c r="H1369" s="16">
        <v>48</v>
      </c>
      <c r="I1369" s="17">
        <v>21</v>
      </c>
      <c r="J1369" s="15">
        <v>60000000</v>
      </c>
      <c r="K1369" s="98">
        <f t="shared" si="63"/>
        <v>0</v>
      </c>
      <c r="L1369" s="98" t="str">
        <f t="shared" si="64"/>
        <v>Lancar</v>
      </c>
      <c r="M1369" s="5" t="str">
        <f t="shared" si="65"/>
        <v>004</v>
      </c>
      <c r="N1369" s="55" t="str">
        <f>VLOOKUP(D1369,Pinjaman!$E$7:$N$1900,10,FALSE)</f>
        <v>KONSUMTIF</v>
      </c>
      <c r="O1369" s="55">
        <f>VLOOKUP(B1369,'Data Angt'!$A$5:$H$5810,6,FALSE)</f>
        <v>70</v>
      </c>
      <c r="P1369" s="55" t="str">
        <f>VLOOKUP(B1369,'Data Angt'!$A$5:$H$5810,8,FALSE)</f>
        <v>Pensiunan</v>
      </c>
    </row>
    <row r="1370" spans="1:16" x14ac:dyDescent="0.3">
      <c r="A1370" s="8">
        <v>1363</v>
      </c>
      <c r="B1370" s="9" t="s">
        <v>2164</v>
      </c>
      <c r="C1370" s="10" t="str">
        <f>VLOOKUP(B1370,'Data Angt'!$A$5:$B$5809,2,FALSE)</f>
        <v>A897</v>
      </c>
      <c r="D1370" s="12" t="s">
        <v>17247</v>
      </c>
      <c r="E1370" s="13">
        <v>45709</v>
      </c>
      <c r="F1370" s="14">
        <v>45904</v>
      </c>
      <c r="G1370" s="15">
        <v>10000000</v>
      </c>
      <c r="H1370" s="16">
        <v>10</v>
      </c>
      <c r="I1370" s="17">
        <v>24</v>
      </c>
      <c r="J1370" s="15">
        <v>3000000</v>
      </c>
      <c r="K1370" s="98">
        <f t="shared" si="63"/>
        <v>0</v>
      </c>
      <c r="L1370" s="98" t="str">
        <f t="shared" si="64"/>
        <v>Lancar</v>
      </c>
      <c r="M1370" s="5" t="str">
        <f t="shared" si="65"/>
        <v>004</v>
      </c>
      <c r="N1370" s="55" t="str">
        <f>VLOOKUP(D1370,Pinjaman!$E$7:$N$1900,10,FALSE)</f>
        <v>PRODUKTIF</v>
      </c>
      <c r="O1370" s="55">
        <f>VLOOKUP(B1370,'Data Angt'!$A$5:$H$5810,6,FALSE)</f>
        <v>38</v>
      </c>
      <c r="P1370" s="55" t="str">
        <f>VLOOKUP(B1370,'Data Angt'!$A$5:$H$5810,8,FALSE)</f>
        <v>Karyawan</v>
      </c>
    </row>
    <row r="1371" spans="1:16" x14ac:dyDescent="0.3">
      <c r="A1371" s="8">
        <v>1364</v>
      </c>
      <c r="B1371" s="9" t="s">
        <v>2164</v>
      </c>
      <c r="C1371" s="10" t="str">
        <f>VLOOKUP(B1371,'Data Angt'!$A$5:$B$5809,2,FALSE)</f>
        <v>A897</v>
      </c>
      <c r="D1371" s="12" t="s">
        <v>17250</v>
      </c>
      <c r="E1371" s="13">
        <v>45678</v>
      </c>
      <c r="F1371" s="14">
        <v>45929</v>
      </c>
      <c r="G1371" s="15">
        <v>5000000</v>
      </c>
      <c r="H1371" s="16">
        <v>12</v>
      </c>
      <c r="I1371" s="17">
        <v>11.88</v>
      </c>
      <c r="J1371" s="15">
        <v>1732700</v>
      </c>
      <c r="K1371" s="98">
        <f t="shared" si="63"/>
        <v>0</v>
      </c>
      <c r="L1371" s="98" t="str">
        <f t="shared" si="64"/>
        <v>Lancar</v>
      </c>
      <c r="M1371" s="5" t="str">
        <f t="shared" si="65"/>
        <v>004</v>
      </c>
      <c r="N1371" s="55" t="str">
        <f>VLOOKUP(D1371,Pinjaman!$E$7:$N$1900,10,FALSE)</f>
        <v>KONSUMTIF</v>
      </c>
      <c r="O1371" s="55">
        <f>VLOOKUP(B1371,'Data Angt'!$A$5:$H$5810,6,FALSE)</f>
        <v>38</v>
      </c>
      <c r="P1371" s="55" t="str">
        <f>VLOOKUP(B1371,'Data Angt'!$A$5:$H$5810,8,FALSE)</f>
        <v>Karyawan</v>
      </c>
    </row>
    <row r="1372" spans="1:16" x14ac:dyDescent="0.3">
      <c r="A1372" s="8">
        <v>1365</v>
      </c>
      <c r="B1372" s="9" t="s">
        <v>2291</v>
      </c>
      <c r="C1372" s="10" t="str">
        <f>VLOOKUP(B1372,'Data Angt'!$A$5:$B$5809,2,FALSE)</f>
        <v>A953</v>
      </c>
      <c r="D1372" s="12" t="s">
        <v>17252</v>
      </c>
      <c r="E1372" s="13">
        <v>45772</v>
      </c>
      <c r="F1372" s="14">
        <v>45913</v>
      </c>
      <c r="G1372" s="15">
        <v>5000000</v>
      </c>
      <c r="H1372" s="16">
        <v>24</v>
      </c>
      <c r="I1372" s="17">
        <v>24</v>
      </c>
      <c r="J1372" s="15">
        <v>4144700</v>
      </c>
      <c r="K1372" s="98">
        <f t="shared" si="63"/>
        <v>0</v>
      </c>
      <c r="L1372" s="98" t="str">
        <f t="shared" si="64"/>
        <v>Lancar</v>
      </c>
      <c r="M1372" s="5" t="str">
        <f t="shared" si="65"/>
        <v>004</v>
      </c>
      <c r="N1372" s="55" t="str">
        <f>VLOOKUP(D1372,Pinjaman!$E$7:$N$1900,10,FALSE)</f>
        <v>PRODUKTIF</v>
      </c>
      <c r="O1372" s="55">
        <f>VLOOKUP(B1372,'Data Angt'!$A$5:$H$5810,6,FALSE)</f>
        <v>44</v>
      </c>
      <c r="P1372" s="55" t="str">
        <f>VLOOKUP(B1372,'Data Angt'!$A$5:$H$5810,8,FALSE)</f>
        <v>Wiraswasta</v>
      </c>
    </row>
    <row r="1373" spans="1:16" x14ac:dyDescent="0.3">
      <c r="A1373" s="8">
        <v>1366</v>
      </c>
      <c r="B1373" s="9" t="s">
        <v>2597</v>
      </c>
      <c r="C1373" s="10" t="str">
        <f>VLOOKUP(B1373,'Data Angt'!$A$5:$B$5809,2,FALSE)</f>
        <v>A1085</v>
      </c>
      <c r="D1373" s="12" t="s">
        <v>23526</v>
      </c>
      <c r="E1373" s="13">
        <v>45915</v>
      </c>
      <c r="F1373" s="14">
        <v>45915</v>
      </c>
      <c r="G1373" s="15">
        <v>3000000</v>
      </c>
      <c r="H1373" s="16">
        <v>24</v>
      </c>
      <c r="I1373" s="17">
        <v>24</v>
      </c>
      <c r="J1373" s="15">
        <v>3000000</v>
      </c>
      <c r="K1373" s="98">
        <f t="shared" si="63"/>
        <v>0</v>
      </c>
      <c r="L1373" s="98" t="str">
        <f t="shared" si="64"/>
        <v>Lancar</v>
      </c>
      <c r="M1373" s="5" t="str">
        <f t="shared" si="65"/>
        <v>004</v>
      </c>
      <c r="N1373" s="55" t="str">
        <f>VLOOKUP(D1373,Pinjaman!$E$7:$N$1900,10,FALSE)</f>
        <v>PRODUKTIF</v>
      </c>
      <c r="O1373" s="55">
        <f>VLOOKUP(B1373,'Data Angt'!$A$5:$H$5810,6,FALSE)</f>
        <v>70</v>
      </c>
      <c r="P1373" s="55" t="str">
        <f>VLOOKUP(B1373,'Data Angt'!$A$5:$H$5810,8,FALSE)</f>
        <v>Pensiunan</v>
      </c>
    </row>
    <row r="1374" spans="1:16" x14ac:dyDescent="0.3">
      <c r="A1374" s="8">
        <v>1367</v>
      </c>
      <c r="B1374" s="9" t="s">
        <v>2868</v>
      </c>
      <c r="C1374" s="10" t="str">
        <f>VLOOKUP(B1374,'Data Angt'!$A$5:$B$5809,2,FALSE)</f>
        <v>A1209</v>
      </c>
      <c r="D1374" s="12" t="s">
        <v>10503</v>
      </c>
      <c r="E1374" s="13">
        <v>41039</v>
      </c>
      <c r="F1374" s="14">
        <v>45929</v>
      </c>
      <c r="G1374" s="15">
        <v>30000000</v>
      </c>
      <c r="H1374" s="16">
        <v>48</v>
      </c>
      <c r="I1374" s="17">
        <v>24</v>
      </c>
      <c r="J1374" s="15">
        <v>11547900</v>
      </c>
      <c r="K1374" s="98">
        <f t="shared" si="63"/>
        <v>0</v>
      </c>
      <c r="L1374" s="98" t="str">
        <f t="shared" si="64"/>
        <v>Lancar</v>
      </c>
      <c r="M1374" s="5" t="str">
        <f t="shared" si="65"/>
        <v>004</v>
      </c>
      <c r="N1374" s="55">
        <f>VLOOKUP(D1374,Pinjaman!$E$7:$N$1900,10,FALSE)</f>
        <v>0</v>
      </c>
      <c r="O1374" s="55">
        <f>VLOOKUP(B1374,'Data Angt'!$A$5:$H$5810,6,FALSE)</f>
        <v>49</v>
      </c>
      <c r="P1374" s="55" t="str">
        <f>VLOOKUP(B1374,'Data Angt'!$A$5:$H$5810,8,FALSE)</f>
        <v>Karyawan</v>
      </c>
    </row>
    <row r="1375" spans="1:16" x14ac:dyDescent="0.3">
      <c r="A1375" s="8">
        <v>1368</v>
      </c>
      <c r="B1375" s="9" t="s">
        <v>2872</v>
      </c>
      <c r="C1375" s="10" t="str">
        <f>VLOOKUP(B1375,'Data Angt'!$A$5:$B$5809,2,FALSE)</f>
        <v>A1210</v>
      </c>
      <c r="D1375" s="12" t="s">
        <v>17254</v>
      </c>
      <c r="E1375" s="13">
        <v>45373</v>
      </c>
      <c r="F1375" s="14">
        <v>45930</v>
      </c>
      <c r="G1375" s="15">
        <v>100000000</v>
      </c>
      <c r="H1375" s="16">
        <v>60</v>
      </c>
      <c r="I1375" s="17">
        <v>21</v>
      </c>
      <c r="J1375" s="15">
        <v>79990400</v>
      </c>
      <c r="K1375" s="98">
        <f t="shared" si="63"/>
        <v>0</v>
      </c>
      <c r="L1375" s="98" t="str">
        <f t="shared" si="64"/>
        <v>Lancar</v>
      </c>
      <c r="M1375" s="5" t="str">
        <f t="shared" si="65"/>
        <v>004</v>
      </c>
      <c r="N1375" s="55" t="str">
        <f>VLOOKUP(D1375,Pinjaman!$E$7:$N$1900,10,FALSE)</f>
        <v>PENDIDIKAN</v>
      </c>
      <c r="O1375" s="55">
        <f>VLOOKUP(B1375,'Data Angt'!$A$5:$H$5810,6,FALSE)</f>
        <v>41</v>
      </c>
      <c r="P1375" s="55" t="str">
        <f>VLOOKUP(B1375,'Data Angt'!$A$5:$H$5810,8,FALSE)</f>
        <v>Karyawan</v>
      </c>
    </row>
    <row r="1376" spans="1:16" x14ac:dyDescent="0.3">
      <c r="A1376" s="8">
        <v>1369</v>
      </c>
      <c r="B1376" s="9" t="s">
        <v>2875</v>
      </c>
      <c r="C1376" s="10" t="str">
        <f>VLOOKUP(B1376,'Data Angt'!$A$5:$B$5809,2,FALSE)</f>
        <v>A1211</v>
      </c>
      <c r="D1376" s="12" t="s">
        <v>10504</v>
      </c>
      <c r="E1376" s="13">
        <v>43518</v>
      </c>
      <c r="F1376" s="14">
        <v>45920</v>
      </c>
      <c r="G1376" s="15">
        <v>50000000</v>
      </c>
      <c r="H1376" s="16">
        <v>120</v>
      </c>
      <c r="I1376" s="17">
        <v>11.4</v>
      </c>
      <c r="J1376" s="15">
        <v>23679900</v>
      </c>
      <c r="K1376" s="98">
        <f t="shared" si="63"/>
        <v>0</v>
      </c>
      <c r="L1376" s="98" t="str">
        <f t="shared" si="64"/>
        <v>Lancar</v>
      </c>
      <c r="M1376" s="5" t="str">
        <f t="shared" si="65"/>
        <v>004</v>
      </c>
      <c r="N1376" s="55">
        <f>VLOOKUP(D1376,Pinjaman!$E$7:$N$1900,10,FALSE)</f>
        <v>0</v>
      </c>
      <c r="O1376" s="55">
        <f>VLOOKUP(B1376,'Data Angt'!$A$5:$H$5810,6,FALSE)</f>
        <v>52</v>
      </c>
      <c r="P1376" s="55" t="str">
        <f>VLOOKUP(B1376,'Data Angt'!$A$5:$H$5810,8,FALSE)</f>
        <v>Karyawan</v>
      </c>
    </row>
    <row r="1377" spans="1:16" x14ac:dyDescent="0.3">
      <c r="A1377" s="8">
        <v>1370</v>
      </c>
      <c r="B1377" s="9" t="s">
        <v>2875</v>
      </c>
      <c r="C1377" s="10" t="str">
        <f>VLOOKUP(B1377,'Data Angt'!$A$5:$B$5809,2,FALSE)</f>
        <v>A1211</v>
      </c>
      <c r="D1377" s="12" t="s">
        <v>17256</v>
      </c>
      <c r="E1377" s="13">
        <v>45721</v>
      </c>
      <c r="F1377" s="14">
        <v>45908</v>
      </c>
      <c r="G1377" s="15">
        <v>5000000</v>
      </c>
      <c r="H1377" s="16">
        <v>12</v>
      </c>
      <c r="I1377" s="17">
        <v>24</v>
      </c>
      <c r="J1377" s="15">
        <v>2499800</v>
      </c>
      <c r="K1377" s="98">
        <f t="shared" si="63"/>
        <v>0</v>
      </c>
      <c r="L1377" s="98" t="str">
        <f t="shared" si="64"/>
        <v>Lancar</v>
      </c>
      <c r="M1377" s="5" t="str">
        <f t="shared" si="65"/>
        <v>004</v>
      </c>
      <c r="N1377" s="55" t="str">
        <f>VLOOKUP(D1377,Pinjaman!$E$7:$N$1900,10,FALSE)</f>
        <v>PRODUKTIF</v>
      </c>
      <c r="O1377" s="55">
        <f>VLOOKUP(B1377,'Data Angt'!$A$5:$H$5810,6,FALSE)</f>
        <v>52</v>
      </c>
      <c r="P1377" s="55" t="str">
        <f>VLOOKUP(B1377,'Data Angt'!$A$5:$H$5810,8,FALSE)</f>
        <v>Karyawan</v>
      </c>
    </row>
    <row r="1378" spans="1:16" x14ac:dyDescent="0.3">
      <c r="A1378" s="8">
        <v>1371</v>
      </c>
      <c r="B1378" s="9" t="s">
        <v>3051</v>
      </c>
      <c r="C1378" s="10" t="str">
        <f>VLOOKUP(B1378,'Data Angt'!$A$5:$B$5809,2,FALSE)</f>
        <v>A1291</v>
      </c>
      <c r="D1378" s="12" t="s">
        <v>10506</v>
      </c>
      <c r="E1378" s="13">
        <v>43019</v>
      </c>
      <c r="F1378" s="14">
        <v>45904</v>
      </c>
      <c r="G1378" s="15">
        <v>120000000</v>
      </c>
      <c r="H1378" s="16">
        <v>120</v>
      </c>
      <c r="I1378" s="17">
        <v>11.4</v>
      </c>
      <c r="J1378" s="15">
        <v>37240100</v>
      </c>
      <c r="K1378" s="98">
        <f t="shared" si="63"/>
        <v>0</v>
      </c>
      <c r="L1378" s="98" t="str">
        <f t="shared" si="64"/>
        <v>Lancar</v>
      </c>
      <c r="M1378" s="5" t="str">
        <f t="shared" si="65"/>
        <v>004</v>
      </c>
      <c r="N1378" s="55">
        <f>VLOOKUP(D1378,Pinjaman!$E$7:$N$1900,10,FALSE)</f>
        <v>0</v>
      </c>
      <c r="O1378" s="55">
        <f>VLOOKUP(B1378,'Data Angt'!$A$5:$H$5810,6,FALSE)</f>
        <v>40</v>
      </c>
      <c r="P1378" s="55" t="str">
        <f>VLOOKUP(B1378,'Data Angt'!$A$5:$H$5810,8,FALSE)</f>
        <v>Karyawan</v>
      </c>
    </row>
    <row r="1379" spans="1:16" x14ac:dyDescent="0.3">
      <c r="A1379" s="8">
        <v>1372</v>
      </c>
      <c r="B1379" s="9" t="s">
        <v>3182</v>
      </c>
      <c r="C1379" s="10" t="str">
        <f>VLOOKUP(B1379,'Data Angt'!$A$5:$B$5809,2,FALSE)</f>
        <v>A1350</v>
      </c>
      <c r="D1379" s="12" t="s">
        <v>17259</v>
      </c>
      <c r="E1379" s="13">
        <v>45544</v>
      </c>
      <c r="F1379" s="14">
        <v>45929</v>
      </c>
      <c r="G1379" s="15">
        <v>20000000</v>
      </c>
      <c r="H1379" s="16">
        <v>24</v>
      </c>
      <c r="I1379" s="17">
        <v>24</v>
      </c>
      <c r="J1379" s="15">
        <v>9999200</v>
      </c>
      <c r="K1379" s="98">
        <f t="shared" si="63"/>
        <v>0</v>
      </c>
      <c r="L1379" s="98" t="str">
        <f t="shared" si="64"/>
        <v>Lancar</v>
      </c>
      <c r="M1379" s="5" t="str">
        <f t="shared" si="65"/>
        <v>004</v>
      </c>
      <c r="N1379" s="55" t="str">
        <f>VLOOKUP(D1379,Pinjaman!$E$7:$N$1900,10,FALSE)</f>
        <v>PENDIDIKAN</v>
      </c>
      <c r="O1379" s="55">
        <f>VLOOKUP(B1379,'Data Angt'!$A$5:$H$5810,6,FALSE)</f>
        <v>39</v>
      </c>
      <c r="P1379" s="55" t="str">
        <f>VLOOKUP(B1379,'Data Angt'!$A$5:$H$5810,8,FALSE)</f>
        <v>Karyawan</v>
      </c>
    </row>
    <row r="1380" spans="1:16" x14ac:dyDescent="0.3">
      <c r="A1380" s="8">
        <v>1373</v>
      </c>
      <c r="B1380" s="9" t="s">
        <v>3312</v>
      </c>
      <c r="C1380" s="10" t="str">
        <f>VLOOKUP(B1380,'Data Angt'!$A$5:$B$5809,2,FALSE)</f>
        <v>A1408</v>
      </c>
      <c r="D1380" s="12" t="s">
        <v>17261</v>
      </c>
      <c r="E1380" s="13">
        <v>45547</v>
      </c>
      <c r="F1380" s="14">
        <v>45916</v>
      </c>
      <c r="G1380" s="15">
        <v>10000000</v>
      </c>
      <c r="H1380" s="16">
        <v>18</v>
      </c>
      <c r="I1380" s="17">
        <v>24</v>
      </c>
      <c r="J1380" s="15">
        <v>3332800</v>
      </c>
      <c r="K1380" s="98">
        <f t="shared" si="63"/>
        <v>0</v>
      </c>
      <c r="L1380" s="98" t="str">
        <f t="shared" si="64"/>
        <v>Lancar</v>
      </c>
      <c r="M1380" s="5" t="str">
        <f t="shared" si="65"/>
        <v>004</v>
      </c>
      <c r="N1380" s="55" t="str">
        <f>VLOOKUP(D1380,Pinjaman!$E$7:$N$1900,10,FALSE)</f>
        <v>PRODUKTIF</v>
      </c>
      <c r="O1380" s="55">
        <f>VLOOKUP(B1380,'Data Angt'!$A$5:$H$5810,6,FALSE)</f>
        <v>38</v>
      </c>
      <c r="P1380" s="55" t="str">
        <f>VLOOKUP(B1380,'Data Angt'!$A$5:$H$5810,8,FALSE)</f>
        <v>Wiraswasta</v>
      </c>
    </row>
    <row r="1381" spans="1:16" x14ac:dyDescent="0.3">
      <c r="A1381" s="8">
        <v>1374</v>
      </c>
      <c r="B1381" s="9" t="s">
        <v>3873</v>
      </c>
      <c r="C1381" s="10" t="str">
        <f>VLOOKUP(B1381,'Data Angt'!$A$5:$B$5809,2,FALSE)</f>
        <v>A1674</v>
      </c>
      <c r="D1381" s="12" t="s">
        <v>17264</v>
      </c>
      <c r="E1381" s="13">
        <v>45695</v>
      </c>
      <c r="F1381" s="14">
        <v>45930</v>
      </c>
      <c r="G1381" s="15">
        <v>1000000</v>
      </c>
      <c r="H1381" s="16">
        <v>12</v>
      </c>
      <c r="I1381" s="17">
        <v>24</v>
      </c>
      <c r="J1381" s="15">
        <v>481100</v>
      </c>
      <c r="K1381" s="98">
        <f t="shared" si="63"/>
        <v>0</v>
      </c>
      <c r="L1381" s="98" t="str">
        <f t="shared" si="64"/>
        <v>Lancar</v>
      </c>
      <c r="M1381" s="5" t="str">
        <f t="shared" si="65"/>
        <v>004</v>
      </c>
      <c r="N1381" s="55" t="str">
        <f>VLOOKUP(D1381,Pinjaman!$E$7:$N$1900,10,FALSE)</f>
        <v>KONSUMTIF</v>
      </c>
      <c r="O1381" s="55">
        <f>VLOOKUP(B1381,'Data Angt'!$A$5:$H$5810,6,FALSE)</f>
        <v>58</v>
      </c>
      <c r="P1381" s="55" t="str">
        <f>VLOOKUP(B1381,'Data Angt'!$A$5:$H$5810,8,FALSE)</f>
        <v>Petani/Pekebun/Nelayan</v>
      </c>
    </row>
    <row r="1382" spans="1:16" x14ac:dyDescent="0.3">
      <c r="A1382" s="8">
        <v>1375</v>
      </c>
      <c r="B1382" s="9" t="s">
        <v>3918</v>
      </c>
      <c r="C1382" s="10" t="str">
        <f>VLOOKUP(B1382,'Data Angt'!$A$5:$B$5809,2,FALSE)</f>
        <v>A1695</v>
      </c>
      <c r="D1382" s="12" t="s">
        <v>10507</v>
      </c>
      <c r="E1382" s="13">
        <v>42320</v>
      </c>
      <c r="F1382" s="14">
        <v>44242</v>
      </c>
      <c r="G1382" s="15">
        <v>10000000</v>
      </c>
      <c r="H1382" s="16">
        <v>24</v>
      </c>
      <c r="I1382" s="17">
        <v>24</v>
      </c>
      <c r="J1382" s="15">
        <v>10000000</v>
      </c>
      <c r="K1382" s="98">
        <f t="shared" si="63"/>
        <v>55</v>
      </c>
      <c r="L1382" s="98" t="str">
        <f t="shared" si="64"/>
        <v>Macet</v>
      </c>
      <c r="M1382" s="5" t="str">
        <f t="shared" si="65"/>
        <v>004</v>
      </c>
      <c r="N1382" s="55">
        <f>VLOOKUP(D1382,Pinjaman!$E$7:$N$1900,10,FALSE)</f>
        <v>0</v>
      </c>
      <c r="O1382" s="55">
        <f>VLOOKUP(B1382,'Data Angt'!$A$5:$H$5810,6,FALSE)</f>
        <v>50</v>
      </c>
      <c r="P1382" s="55" t="str">
        <f>VLOOKUP(B1382,'Data Angt'!$A$5:$H$5810,8,FALSE)</f>
        <v>Wiraswasta</v>
      </c>
    </row>
    <row r="1383" spans="1:16" x14ac:dyDescent="0.3">
      <c r="A1383" s="8">
        <v>1376</v>
      </c>
      <c r="B1383" s="9" t="s">
        <v>3998</v>
      </c>
      <c r="C1383" s="10" t="str">
        <f>VLOOKUP(B1383,'Data Angt'!$A$5:$B$5809,2,FALSE)</f>
        <v>A1729</v>
      </c>
      <c r="D1383" s="12" t="s">
        <v>10508</v>
      </c>
      <c r="E1383" s="13">
        <v>42142</v>
      </c>
      <c r="F1383" s="14">
        <v>44242</v>
      </c>
      <c r="G1383" s="15">
        <v>10000000</v>
      </c>
      <c r="H1383" s="16">
        <v>18</v>
      </c>
      <c r="I1383" s="17">
        <v>24</v>
      </c>
      <c r="J1383" s="15">
        <v>5555200</v>
      </c>
      <c r="K1383" s="98">
        <f t="shared" si="63"/>
        <v>55</v>
      </c>
      <c r="L1383" s="98" t="str">
        <f t="shared" si="64"/>
        <v>Macet</v>
      </c>
      <c r="M1383" s="5" t="str">
        <f t="shared" si="65"/>
        <v>004</v>
      </c>
      <c r="N1383" s="55">
        <f>VLOOKUP(D1383,Pinjaman!$E$7:$N$1900,10,FALSE)</f>
        <v>0</v>
      </c>
      <c r="O1383" s="55">
        <f>VLOOKUP(B1383,'Data Angt'!$A$5:$H$5810,6,FALSE)</f>
        <v>49</v>
      </c>
      <c r="P1383" s="55" t="str">
        <f>VLOOKUP(B1383,'Data Angt'!$A$5:$H$5810,8,FALSE)</f>
        <v>Mengurus Rumah Tangga</v>
      </c>
    </row>
    <row r="1384" spans="1:16" x14ac:dyDescent="0.3">
      <c r="A1384" s="8">
        <v>1377</v>
      </c>
      <c r="B1384" s="9" t="s">
        <v>4203</v>
      </c>
      <c r="C1384" s="10" t="str">
        <f>VLOOKUP(B1384,'Data Angt'!$A$5:$B$5809,2,FALSE)</f>
        <v>A1822</v>
      </c>
      <c r="D1384" s="12" t="s">
        <v>17267</v>
      </c>
      <c r="E1384" s="13">
        <v>45783</v>
      </c>
      <c r="F1384" s="14">
        <v>45911</v>
      </c>
      <c r="G1384" s="15">
        <v>25000000</v>
      </c>
      <c r="H1384" s="16">
        <v>12</v>
      </c>
      <c r="I1384" s="17">
        <v>21</v>
      </c>
      <c r="J1384" s="15">
        <v>17237800</v>
      </c>
      <c r="K1384" s="98">
        <f t="shared" si="63"/>
        <v>0</v>
      </c>
      <c r="L1384" s="98" t="str">
        <f t="shared" si="64"/>
        <v>Lancar</v>
      </c>
      <c r="M1384" s="5" t="str">
        <f t="shared" si="65"/>
        <v>004</v>
      </c>
      <c r="N1384" s="55" t="str">
        <f>VLOOKUP(D1384,Pinjaman!$E$7:$N$1900,10,FALSE)</f>
        <v>KONSUMTIF</v>
      </c>
      <c r="O1384" s="55">
        <f>VLOOKUP(B1384,'Data Angt'!$A$5:$H$5810,6,FALSE)</f>
        <v>46</v>
      </c>
      <c r="P1384" s="55" t="str">
        <f>VLOOKUP(B1384,'Data Angt'!$A$5:$H$5810,8,FALSE)</f>
        <v>Tenaga Pengajar</v>
      </c>
    </row>
    <row r="1385" spans="1:16" x14ac:dyDescent="0.3">
      <c r="A1385" s="8">
        <v>1378</v>
      </c>
      <c r="B1385" s="9" t="s">
        <v>4256</v>
      </c>
      <c r="C1385" s="10" t="str">
        <f>VLOOKUP(B1385,'Data Angt'!$A$5:$B$5809,2,FALSE)</f>
        <v>A1844</v>
      </c>
      <c r="D1385" s="12" t="s">
        <v>17269</v>
      </c>
      <c r="E1385" s="13">
        <v>45762</v>
      </c>
      <c r="F1385" s="14">
        <v>45908</v>
      </c>
      <c r="G1385" s="15">
        <v>5000000</v>
      </c>
      <c r="H1385" s="16">
        <v>12</v>
      </c>
      <c r="I1385" s="17">
        <v>11.88</v>
      </c>
      <c r="J1385" s="15">
        <v>2988200</v>
      </c>
      <c r="K1385" s="98">
        <f t="shared" si="63"/>
        <v>0</v>
      </c>
      <c r="L1385" s="98" t="str">
        <f t="shared" si="64"/>
        <v>Lancar</v>
      </c>
      <c r="M1385" s="5" t="str">
        <f t="shared" si="65"/>
        <v>004</v>
      </c>
      <c r="N1385" s="55" t="str">
        <f>VLOOKUP(D1385,Pinjaman!$E$7:$N$1900,10,FALSE)</f>
        <v>KONSUMTIF</v>
      </c>
      <c r="O1385" s="55">
        <f>VLOOKUP(B1385,'Data Angt'!$A$5:$H$5810,6,FALSE)</f>
        <v>35</v>
      </c>
      <c r="P1385" s="55" t="str">
        <f>VLOOKUP(B1385,'Data Angt'!$A$5:$H$5810,8,FALSE)</f>
        <v>Karyawan</v>
      </c>
    </row>
    <row r="1386" spans="1:16" x14ac:dyDescent="0.3">
      <c r="A1386" s="8">
        <v>1379</v>
      </c>
      <c r="B1386" s="9" t="s">
        <v>4297</v>
      </c>
      <c r="C1386" s="10" t="str">
        <f>VLOOKUP(B1386,'Data Angt'!$A$5:$B$5809,2,FALSE)</f>
        <v>A1862</v>
      </c>
      <c r="D1386" s="12" t="s">
        <v>10509</v>
      </c>
      <c r="E1386" s="13">
        <v>45289</v>
      </c>
      <c r="F1386" s="14">
        <v>45929</v>
      </c>
      <c r="G1386" s="15">
        <v>67899500</v>
      </c>
      <c r="H1386" s="16">
        <v>72</v>
      </c>
      <c r="I1386" s="17">
        <v>18</v>
      </c>
      <c r="J1386" s="15">
        <v>59190900</v>
      </c>
      <c r="K1386" s="98">
        <f t="shared" si="63"/>
        <v>0</v>
      </c>
      <c r="L1386" s="98" t="str">
        <f t="shared" si="64"/>
        <v>Lancar</v>
      </c>
      <c r="M1386" s="5" t="str">
        <f t="shared" si="65"/>
        <v>004</v>
      </c>
      <c r="N1386" s="55" t="str">
        <f>VLOOKUP(D1386,Pinjaman!$E$7:$N$1900,10,FALSE)</f>
        <v>KONSUMTIF</v>
      </c>
      <c r="O1386" s="55">
        <f>VLOOKUP(B1386,'Data Angt'!$A$5:$H$5810,6,FALSE)</f>
        <v>42</v>
      </c>
      <c r="P1386" s="55" t="str">
        <f>VLOOKUP(B1386,'Data Angt'!$A$5:$H$5810,8,FALSE)</f>
        <v>Mengurus Rumah Tangga</v>
      </c>
    </row>
    <row r="1387" spans="1:16" x14ac:dyDescent="0.3">
      <c r="A1387" s="8">
        <v>1380</v>
      </c>
      <c r="B1387" s="9" t="s">
        <v>4319</v>
      </c>
      <c r="C1387" s="10" t="str">
        <f>VLOOKUP(B1387,'Data Angt'!$A$5:$B$5809,2,FALSE)</f>
        <v>A1872</v>
      </c>
      <c r="D1387" s="12" t="s">
        <v>17271</v>
      </c>
      <c r="E1387" s="13">
        <v>45705</v>
      </c>
      <c r="F1387" s="14">
        <v>45902</v>
      </c>
      <c r="G1387" s="15">
        <v>10000000</v>
      </c>
      <c r="H1387" s="16">
        <v>24</v>
      </c>
      <c r="I1387" s="17">
        <v>24</v>
      </c>
      <c r="J1387" s="15">
        <v>7555900</v>
      </c>
      <c r="K1387" s="98">
        <f t="shared" si="63"/>
        <v>0</v>
      </c>
      <c r="L1387" s="98" t="str">
        <f t="shared" si="64"/>
        <v>Lancar</v>
      </c>
      <c r="M1387" s="5" t="str">
        <f t="shared" si="65"/>
        <v>004</v>
      </c>
      <c r="N1387" s="55" t="str">
        <f>VLOOKUP(D1387,Pinjaman!$E$7:$N$1900,10,FALSE)</f>
        <v>KONSUMTIF</v>
      </c>
      <c r="O1387" s="55">
        <f>VLOOKUP(B1387,'Data Angt'!$A$5:$H$5810,6,FALSE)</f>
        <v>35</v>
      </c>
      <c r="P1387" s="55" t="str">
        <f>VLOOKUP(B1387,'Data Angt'!$A$5:$H$5810,8,FALSE)</f>
        <v>Karyawan</v>
      </c>
    </row>
    <row r="1388" spans="1:16" x14ac:dyDescent="0.3">
      <c r="A1388" s="8">
        <v>1381</v>
      </c>
      <c r="B1388" s="9" t="s">
        <v>4333</v>
      </c>
      <c r="C1388" s="10" t="str">
        <f>VLOOKUP(B1388,'Data Angt'!$A$5:$B$5809,2,FALSE)</f>
        <v>A1879</v>
      </c>
      <c r="D1388" s="12" t="s">
        <v>17273</v>
      </c>
      <c r="E1388" s="13">
        <v>45681</v>
      </c>
      <c r="F1388" s="14">
        <v>45925</v>
      </c>
      <c r="G1388" s="15">
        <v>13000000</v>
      </c>
      <c r="H1388" s="16">
        <v>12</v>
      </c>
      <c r="I1388" s="17">
        <v>24</v>
      </c>
      <c r="J1388" s="15">
        <v>4681000</v>
      </c>
      <c r="K1388" s="98">
        <f t="shared" si="63"/>
        <v>0</v>
      </c>
      <c r="L1388" s="98" t="str">
        <f t="shared" si="64"/>
        <v>Lancar</v>
      </c>
      <c r="M1388" s="5" t="str">
        <f t="shared" si="65"/>
        <v>004</v>
      </c>
      <c r="N1388" s="55" t="str">
        <f>VLOOKUP(D1388,Pinjaman!$E$7:$N$1900,10,FALSE)</f>
        <v>PENDIDIKAN</v>
      </c>
      <c r="O1388" s="55">
        <f>VLOOKUP(B1388,'Data Angt'!$A$5:$H$5810,6,FALSE)</f>
        <v>49</v>
      </c>
      <c r="P1388" s="55" t="str">
        <f>VLOOKUP(B1388,'Data Angt'!$A$5:$H$5810,8,FALSE)</f>
        <v>Wiraswasta</v>
      </c>
    </row>
    <row r="1389" spans="1:16" x14ac:dyDescent="0.3">
      <c r="A1389" s="8">
        <v>1382</v>
      </c>
      <c r="B1389" s="9" t="s">
        <v>4355</v>
      </c>
      <c r="C1389" s="10" t="str">
        <f>VLOOKUP(B1389,'Data Angt'!$A$5:$B$5809,2,FALSE)</f>
        <v>A1892</v>
      </c>
      <c r="D1389" s="12" t="s">
        <v>23539</v>
      </c>
      <c r="E1389" s="13">
        <v>45876</v>
      </c>
      <c r="F1389" s="14">
        <v>45904</v>
      </c>
      <c r="G1389" s="15">
        <v>5000000</v>
      </c>
      <c r="H1389" s="16">
        <v>18</v>
      </c>
      <c r="I1389" s="17">
        <v>24</v>
      </c>
      <c r="J1389" s="15">
        <v>4766400</v>
      </c>
      <c r="K1389" s="98">
        <f t="shared" si="63"/>
        <v>0</v>
      </c>
      <c r="L1389" s="98" t="str">
        <f t="shared" si="64"/>
        <v>Lancar</v>
      </c>
      <c r="M1389" s="5" t="str">
        <f t="shared" si="65"/>
        <v>004</v>
      </c>
      <c r="N1389" s="55" t="str">
        <f>VLOOKUP(D1389,Pinjaman!$E$7:$N$1900,10,FALSE)</f>
        <v>PRODUKTIF</v>
      </c>
      <c r="O1389" s="55">
        <f>VLOOKUP(B1389,'Data Angt'!$A$5:$H$5810,6,FALSE)</f>
        <v>35</v>
      </c>
      <c r="P1389" s="55" t="str">
        <f>VLOOKUP(B1389,'Data Angt'!$A$5:$H$5810,8,FALSE)</f>
        <v>Karyawan</v>
      </c>
    </row>
    <row r="1390" spans="1:16" x14ac:dyDescent="0.3">
      <c r="A1390" s="8">
        <v>1383</v>
      </c>
      <c r="B1390" s="9" t="s">
        <v>4429</v>
      </c>
      <c r="C1390" s="10" t="str">
        <f>VLOOKUP(B1390,'Data Angt'!$A$5:$B$5809,2,FALSE)</f>
        <v>A1927</v>
      </c>
      <c r="D1390" s="12" t="s">
        <v>17275</v>
      </c>
      <c r="E1390" s="13">
        <v>45679</v>
      </c>
      <c r="F1390" s="14">
        <v>45904</v>
      </c>
      <c r="G1390" s="15">
        <v>5000000</v>
      </c>
      <c r="H1390" s="16">
        <v>12</v>
      </c>
      <c r="I1390" s="17">
        <v>11.9</v>
      </c>
      <c r="J1390" s="15">
        <v>1732600</v>
      </c>
      <c r="K1390" s="98">
        <f t="shared" si="63"/>
        <v>0</v>
      </c>
      <c r="L1390" s="98" t="str">
        <f t="shared" si="64"/>
        <v>Lancar</v>
      </c>
      <c r="M1390" s="5" t="str">
        <f t="shared" si="65"/>
        <v>004</v>
      </c>
      <c r="N1390" s="55" t="str">
        <f>VLOOKUP(D1390,Pinjaman!$E$7:$N$1900,10,FALSE)</f>
        <v>KONSUMTIF</v>
      </c>
      <c r="O1390" s="55">
        <f>VLOOKUP(B1390,'Data Angt'!$A$5:$H$5810,6,FALSE)</f>
        <v>68</v>
      </c>
      <c r="P1390" s="55" t="str">
        <f>VLOOKUP(B1390,'Data Angt'!$A$5:$H$5810,8,FALSE)</f>
        <v>Mengurus Rumah Tangga</v>
      </c>
    </row>
    <row r="1391" spans="1:16" x14ac:dyDescent="0.3">
      <c r="A1391" s="8">
        <v>1384</v>
      </c>
      <c r="B1391" s="9" t="s">
        <v>4509</v>
      </c>
      <c r="C1391" s="10" t="str">
        <f>VLOOKUP(B1391,'Data Angt'!$A$5:$B$5809,2,FALSE)</f>
        <v>A1965</v>
      </c>
      <c r="D1391" s="12" t="s">
        <v>10513</v>
      </c>
      <c r="E1391" s="13">
        <v>43873</v>
      </c>
      <c r="F1391" s="14">
        <v>45900</v>
      </c>
      <c r="G1391" s="15">
        <v>15000000</v>
      </c>
      <c r="H1391" s="16">
        <v>24</v>
      </c>
      <c r="I1391" s="17">
        <v>18</v>
      </c>
      <c r="J1391" s="15">
        <v>6020900</v>
      </c>
      <c r="K1391" s="98">
        <f t="shared" si="63"/>
        <v>0</v>
      </c>
      <c r="L1391" s="98" t="str">
        <f t="shared" si="64"/>
        <v>Lancar</v>
      </c>
      <c r="M1391" s="5" t="str">
        <f t="shared" si="65"/>
        <v>004</v>
      </c>
      <c r="N1391" s="55" t="str">
        <f>VLOOKUP(D1391,Pinjaman!$E$7:$N$1900,10,FALSE)</f>
        <v>PRODUKTIF</v>
      </c>
      <c r="O1391" s="55">
        <f>VLOOKUP(B1391,'Data Angt'!$A$5:$H$5810,6,FALSE)</f>
        <v>36</v>
      </c>
      <c r="P1391" s="55" t="str">
        <f>VLOOKUP(B1391,'Data Angt'!$A$5:$H$5810,8,FALSE)</f>
        <v>Wiraswasta</v>
      </c>
    </row>
    <row r="1392" spans="1:16" x14ac:dyDescent="0.3">
      <c r="A1392" s="8">
        <v>1385</v>
      </c>
      <c r="B1392" s="9" t="s">
        <v>4547</v>
      </c>
      <c r="C1392" s="10" t="str">
        <f>VLOOKUP(B1392,'Data Angt'!$A$5:$B$5809,2,FALSE)</f>
        <v>A1980</v>
      </c>
      <c r="D1392" s="12" t="s">
        <v>17278</v>
      </c>
      <c r="E1392" s="13">
        <v>45828</v>
      </c>
      <c r="F1392" s="14">
        <v>45920</v>
      </c>
      <c r="G1392" s="15">
        <v>25000000</v>
      </c>
      <c r="H1392" s="16">
        <v>24</v>
      </c>
      <c r="I1392" s="17">
        <v>21</v>
      </c>
      <c r="J1392" s="15">
        <v>22413700</v>
      </c>
      <c r="K1392" s="98">
        <f t="shared" si="63"/>
        <v>0</v>
      </c>
      <c r="L1392" s="98" t="str">
        <f t="shared" si="64"/>
        <v>Lancar</v>
      </c>
      <c r="M1392" s="5" t="str">
        <f t="shared" si="65"/>
        <v>004</v>
      </c>
      <c r="N1392" s="55" t="str">
        <f>VLOOKUP(D1392,Pinjaman!$E$7:$N$1900,10,FALSE)</f>
        <v>PENDIDIKAN</v>
      </c>
      <c r="O1392" s="55">
        <f>VLOOKUP(B1392,'Data Angt'!$A$5:$H$5810,6,FALSE)</f>
        <v>52</v>
      </c>
      <c r="P1392" s="55" t="str">
        <f>VLOOKUP(B1392,'Data Angt'!$A$5:$H$5810,8,FALSE)</f>
        <v>Wiraswasta</v>
      </c>
    </row>
    <row r="1393" spans="1:16" x14ac:dyDescent="0.3">
      <c r="A1393" s="8">
        <v>1386</v>
      </c>
      <c r="B1393" s="9" t="s">
        <v>4557</v>
      </c>
      <c r="C1393" s="10" t="str">
        <f>VLOOKUP(B1393,'Data Angt'!$A$5:$B$5809,2,FALSE)</f>
        <v>A1983</v>
      </c>
      <c r="D1393" s="12" t="s">
        <v>17280</v>
      </c>
      <c r="E1393" s="13">
        <v>45600</v>
      </c>
      <c r="F1393" s="14">
        <v>45901</v>
      </c>
      <c r="G1393" s="15">
        <v>5000000</v>
      </c>
      <c r="H1393" s="16">
        <v>12</v>
      </c>
      <c r="I1393" s="17">
        <v>24</v>
      </c>
      <c r="J1393" s="15">
        <v>833000</v>
      </c>
      <c r="K1393" s="98">
        <f t="shared" si="63"/>
        <v>0</v>
      </c>
      <c r="L1393" s="98" t="str">
        <f t="shared" si="64"/>
        <v>Lancar</v>
      </c>
      <c r="M1393" s="5" t="str">
        <f t="shared" si="65"/>
        <v>004</v>
      </c>
      <c r="N1393" s="55" t="str">
        <f>VLOOKUP(D1393,Pinjaman!$E$7:$N$1900,10,FALSE)</f>
        <v>KONSUMTIF</v>
      </c>
      <c r="O1393" s="55">
        <f>VLOOKUP(B1393,'Data Angt'!$A$5:$H$5810,6,FALSE)</f>
        <v>58</v>
      </c>
      <c r="P1393" s="55" t="str">
        <f>VLOOKUP(B1393,'Data Angt'!$A$5:$H$5810,8,FALSE)</f>
        <v>Tenaga Pengajar</v>
      </c>
    </row>
    <row r="1394" spans="1:16" x14ac:dyDescent="0.3">
      <c r="A1394" s="8">
        <v>1387</v>
      </c>
      <c r="B1394" s="9" t="s">
        <v>4854</v>
      </c>
      <c r="C1394" s="10" t="str">
        <f>VLOOKUP(B1394,'Data Angt'!$A$5:$B$5809,2,FALSE)</f>
        <v>A2125</v>
      </c>
      <c r="D1394" s="12" t="s">
        <v>17283</v>
      </c>
      <c r="E1394" s="13">
        <v>45722</v>
      </c>
      <c r="F1394" s="14">
        <v>45906</v>
      </c>
      <c r="G1394" s="15">
        <v>5000000</v>
      </c>
      <c r="H1394" s="16">
        <v>12</v>
      </c>
      <c r="I1394" s="17">
        <v>11.9</v>
      </c>
      <c r="J1394" s="15">
        <v>2573800</v>
      </c>
      <c r="K1394" s="98">
        <f t="shared" si="63"/>
        <v>0</v>
      </c>
      <c r="L1394" s="98" t="str">
        <f t="shared" si="64"/>
        <v>Lancar</v>
      </c>
      <c r="M1394" s="5" t="str">
        <f t="shared" si="65"/>
        <v>004</v>
      </c>
      <c r="N1394" s="55" t="str">
        <f>VLOOKUP(D1394,Pinjaman!$E$7:$N$1900,10,FALSE)</f>
        <v>PRODUKTIF</v>
      </c>
      <c r="O1394" s="55">
        <f>VLOOKUP(B1394,'Data Angt'!$A$5:$H$5810,6,FALSE)</f>
        <v>55</v>
      </c>
      <c r="P1394" s="55" t="str">
        <f>VLOOKUP(B1394,'Data Angt'!$A$5:$H$5810,8,FALSE)</f>
        <v>Tenaga Pengajar</v>
      </c>
    </row>
    <row r="1395" spans="1:16" x14ac:dyDescent="0.3">
      <c r="A1395" s="8">
        <v>1388</v>
      </c>
      <c r="B1395" s="9" t="s">
        <v>4854</v>
      </c>
      <c r="C1395" s="10" t="str">
        <f>VLOOKUP(B1395,'Data Angt'!$A$5:$B$5809,2,FALSE)</f>
        <v>A2125</v>
      </c>
      <c r="D1395" s="12" t="s">
        <v>23544</v>
      </c>
      <c r="E1395" s="13">
        <v>45848</v>
      </c>
      <c r="F1395" s="14">
        <v>45911</v>
      </c>
      <c r="G1395" s="15">
        <v>16000000</v>
      </c>
      <c r="H1395" s="16">
        <v>24</v>
      </c>
      <c r="I1395" s="17">
        <v>24</v>
      </c>
      <c r="J1395" s="15">
        <v>14666600</v>
      </c>
      <c r="K1395" s="98">
        <f t="shared" si="63"/>
        <v>0</v>
      </c>
      <c r="L1395" s="98" t="str">
        <f t="shared" si="64"/>
        <v>Lancar</v>
      </c>
      <c r="M1395" s="5" t="str">
        <f t="shared" si="65"/>
        <v>004</v>
      </c>
      <c r="N1395" s="55" t="str">
        <f>VLOOKUP(D1395,Pinjaman!$E$7:$N$1900,10,FALSE)</f>
        <v>PENDIDIKAN</v>
      </c>
      <c r="O1395" s="55">
        <f>VLOOKUP(B1395,'Data Angt'!$A$5:$H$5810,6,FALSE)</f>
        <v>55</v>
      </c>
      <c r="P1395" s="55" t="str">
        <f>VLOOKUP(B1395,'Data Angt'!$A$5:$H$5810,8,FALSE)</f>
        <v>Tenaga Pengajar</v>
      </c>
    </row>
    <row r="1396" spans="1:16" x14ac:dyDescent="0.3">
      <c r="A1396" s="8">
        <v>1389</v>
      </c>
      <c r="B1396" s="9" t="s">
        <v>4874</v>
      </c>
      <c r="C1396" s="10" t="str">
        <f>VLOOKUP(B1396,'Data Angt'!$A$5:$B$5809,2,FALSE)</f>
        <v>A2134</v>
      </c>
      <c r="D1396" s="12" t="s">
        <v>10516</v>
      </c>
      <c r="E1396" s="13">
        <v>44551</v>
      </c>
      <c r="F1396" s="14">
        <v>45920</v>
      </c>
      <c r="G1396" s="15">
        <v>150000000</v>
      </c>
      <c r="H1396" s="16">
        <v>60</v>
      </c>
      <c r="I1396" s="17">
        <v>21</v>
      </c>
      <c r="J1396" s="15">
        <v>53127900</v>
      </c>
      <c r="K1396" s="98">
        <f t="shared" si="63"/>
        <v>0</v>
      </c>
      <c r="L1396" s="98" t="str">
        <f t="shared" si="64"/>
        <v>Lancar</v>
      </c>
      <c r="M1396" s="5" t="str">
        <f t="shared" si="65"/>
        <v>004</v>
      </c>
      <c r="N1396" s="55" t="str">
        <f>VLOOKUP(D1396,Pinjaman!$E$7:$N$1900,10,FALSE)</f>
        <v>PRODUKTIF</v>
      </c>
      <c r="O1396" s="55">
        <f>VLOOKUP(B1396,'Data Angt'!$A$5:$H$5810,6,FALSE)</f>
        <v>41</v>
      </c>
      <c r="P1396" s="55" t="str">
        <f>VLOOKUP(B1396,'Data Angt'!$A$5:$H$5810,8,FALSE)</f>
        <v>Mengurus Rumah Tangga</v>
      </c>
    </row>
    <row r="1397" spans="1:16" x14ac:dyDescent="0.3">
      <c r="A1397" s="8">
        <v>1390</v>
      </c>
      <c r="B1397" s="9" t="s">
        <v>4892</v>
      </c>
      <c r="C1397" s="10" t="str">
        <f>VLOOKUP(B1397,'Data Angt'!$A$5:$B$5809,2,FALSE)</f>
        <v>A2141</v>
      </c>
      <c r="D1397" s="12" t="s">
        <v>17285</v>
      </c>
      <c r="E1397" s="13">
        <v>45644</v>
      </c>
      <c r="F1397" s="14">
        <v>45915</v>
      </c>
      <c r="G1397" s="15">
        <v>2000000</v>
      </c>
      <c r="H1397" s="16">
        <v>12</v>
      </c>
      <c r="I1397" s="17">
        <v>11.88</v>
      </c>
      <c r="J1397" s="15">
        <v>522600</v>
      </c>
      <c r="K1397" s="98">
        <f t="shared" si="63"/>
        <v>0</v>
      </c>
      <c r="L1397" s="98" t="str">
        <f t="shared" si="64"/>
        <v>Lancar</v>
      </c>
      <c r="M1397" s="5" t="str">
        <f t="shared" si="65"/>
        <v>004</v>
      </c>
      <c r="N1397" s="55" t="str">
        <f>VLOOKUP(D1397,Pinjaman!$E$7:$N$1900,10,FALSE)</f>
        <v>KONSUMTIF</v>
      </c>
      <c r="O1397" s="55">
        <f>VLOOKUP(B1397,'Data Angt'!$A$5:$H$5810,6,FALSE)</f>
        <v>71</v>
      </c>
      <c r="P1397" s="55" t="str">
        <f>VLOOKUP(B1397,'Data Angt'!$A$5:$H$5810,8,FALSE)</f>
        <v>Wiraswasta</v>
      </c>
    </row>
    <row r="1398" spans="1:16" x14ac:dyDescent="0.3">
      <c r="A1398" s="8">
        <v>1391</v>
      </c>
      <c r="B1398" s="9" t="s">
        <v>4892</v>
      </c>
      <c r="C1398" s="10" t="str">
        <f>VLOOKUP(B1398,'Data Angt'!$A$5:$B$5809,2,FALSE)</f>
        <v>A2141</v>
      </c>
      <c r="D1398" s="12" t="s">
        <v>17287</v>
      </c>
      <c r="E1398" s="13">
        <v>45793</v>
      </c>
      <c r="F1398" s="14">
        <v>45915</v>
      </c>
      <c r="G1398" s="15">
        <v>10000000</v>
      </c>
      <c r="H1398" s="16">
        <v>12</v>
      </c>
      <c r="I1398" s="17">
        <v>24</v>
      </c>
      <c r="J1398" s="15">
        <v>6666400</v>
      </c>
      <c r="K1398" s="98">
        <f t="shared" si="63"/>
        <v>0</v>
      </c>
      <c r="L1398" s="98" t="str">
        <f t="shared" si="64"/>
        <v>Lancar</v>
      </c>
      <c r="M1398" s="5" t="str">
        <f t="shared" si="65"/>
        <v>004</v>
      </c>
      <c r="N1398" s="55" t="str">
        <f>VLOOKUP(D1398,Pinjaman!$E$7:$N$1900,10,FALSE)</f>
        <v>KONSUMTIF</v>
      </c>
      <c r="O1398" s="55">
        <f>VLOOKUP(B1398,'Data Angt'!$A$5:$H$5810,6,FALSE)</f>
        <v>71</v>
      </c>
      <c r="P1398" s="55" t="str">
        <f>VLOOKUP(B1398,'Data Angt'!$A$5:$H$5810,8,FALSE)</f>
        <v>Wiraswasta</v>
      </c>
    </row>
    <row r="1399" spans="1:16" x14ac:dyDescent="0.3">
      <c r="A1399" s="8">
        <v>1392</v>
      </c>
      <c r="B1399" s="9" t="s">
        <v>5119</v>
      </c>
      <c r="C1399" s="10" t="str">
        <f>VLOOKUP(B1399,'Data Angt'!$A$5:$B$5809,2,FALSE)</f>
        <v>A2249</v>
      </c>
      <c r="D1399" s="12" t="s">
        <v>17289</v>
      </c>
      <c r="E1399" s="13">
        <v>45722</v>
      </c>
      <c r="F1399" s="14">
        <v>45910</v>
      </c>
      <c r="G1399" s="15">
        <v>3000000</v>
      </c>
      <c r="H1399" s="16">
        <v>12</v>
      </c>
      <c r="I1399" s="17">
        <v>24</v>
      </c>
      <c r="J1399" s="15">
        <v>1589200</v>
      </c>
      <c r="K1399" s="98">
        <f t="shared" si="63"/>
        <v>0</v>
      </c>
      <c r="L1399" s="98" t="str">
        <f t="shared" si="64"/>
        <v>Lancar</v>
      </c>
      <c r="M1399" s="5" t="str">
        <f t="shared" si="65"/>
        <v>004</v>
      </c>
      <c r="N1399" s="55" t="str">
        <f>VLOOKUP(D1399,Pinjaman!$E$7:$N$1900,10,FALSE)</f>
        <v>PRODUKTIF</v>
      </c>
      <c r="O1399" s="55">
        <f>VLOOKUP(B1399,'Data Angt'!$A$5:$H$5810,6,FALSE)</f>
        <v>59</v>
      </c>
      <c r="P1399" s="55" t="str">
        <f>VLOOKUP(B1399,'Data Angt'!$A$5:$H$5810,8,FALSE)</f>
        <v>Tenaga Pengajar</v>
      </c>
    </row>
    <row r="1400" spans="1:16" x14ac:dyDescent="0.3">
      <c r="A1400" s="8">
        <v>1393</v>
      </c>
      <c r="B1400" s="9" t="s">
        <v>5129</v>
      </c>
      <c r="C1400" s="10" t="str">
        <f>VLOOKUP(B1400,'Data Angt'!$A$5:$B$5809,2,FALSE)</f>
        <v>A2254</v>
      </c>
      <c r="D1400" s="12" t="s">
        <v>23551</v>
      </c>
      <c r="E1400" s="13">
        <v>45912</v>
      </c>
      <c r="F1400" s="14">
        <v>45912</v>
      </c>
      <c r="G1400" s="15">
        <v>3000000</v>
      </c>
      <c r="H1400" s="16">
        <v>12</v>
      </c>
      <c r="I1400" s="17">
        <v>11.9</v>
      </c>
      <c r="J1400" s="15">
        <v>3000000</v>
      </c>
      <c r="K1400" s="98">
        <f t="shared" si="63"/>
        <v>0</v>
      </c>
      <c r="L1400" s="98" t="str">
        <f t="shared" si="64"/>
        <v>Lancar</v>
      </c>
      <c r="M1400" s="5" t="str">
        <f t="shared" si="65"/>
        <v>004</v>
      </c>
      <c r="N1400" s="55" t="str">
        <f>VLOOKUP(D1400,Pinjaman!$E$7:$N$1900,10,FALSE)</f>
        <v>PENDIDIKAN</v>
      </c>
      <c r="O1400" s="55">
        <f>VLOOKUP(B1400,'Data Angt'!$A$5:$H$5810,6,FALSE)</f>
        <v>46</v>
      </c>
      <c r="P1400" s="55" t="str">
        <f>VLOOKUP(B1400,'Data Angt'!$A$5:$H$5810,8,FALSE)</f>
        <v>Karyawan</v>
      </c>
    </row>
    <row r="1401" spans="1:16" x14ac:dyDescent="0.3">
      <c r="A1401" s="8">
        <v>1394</v>
      </c>
      <c r="B1401" s="9" t="s">
        <v>5137</v>
      </c>
      <c r="C1401" s="10" t="str">
        <f>VLOOKUP(B1401,'Data Angt'!$A$5:$B$5809,2,FALSE)</f>
        <v>A2258</v>
      </c>
      <c r="D1401" s="12" t="s">
        <v>17291</v>
      </c>
      <c r="E1401" s="13">
        <v>45698</v>
      </c>
      <c r="F1401" s="14">
        <v>45930</v>
      </c>
      <c r="G1401" s="15">
        <v>3000000</v>
      </c>
      <c r="H1401" s="16">
        <v>12</v>
      </c>
      <c r="I1401" s="17">
        <v>11.9</v>
      </c>
      <c r="J1401" s="15">
        <v>1293100</v>
      </c>
      <c r="K1401" s="98">
        <f t="shared" si="63"/>
        <v>0</v>
      </c>
      <c r="L1401" s="98" t="str">
        <f t="shared" si="64"/>
        <v>Lancar</v>
      </c>
      <c r="M1401" s="5" t="str">
        <f t="shared" si="65"/>
        <v>004</v>
      </c>
      <c r="N1401" s="55" t="str">
        <f>VLOOKUP(D1401,Pinjaman!$E$7:$N$1900,10,FALSE)</f>
        <v>PRODUKTIF</v>
      </c>
      <c r="O1401" s="55">
        <f>VLOOKUP(B1401,'Data Angt'!$A$5:$H$5810,6,FALSE)</f>
        <v>48</v>
      </c>
      <c r="P1401" s="55" t="str">
        <f>VLOOKUP(B1401,'Data Angt'!$A$5:$H$5810,8,FALSE)</f>
        <v>Karyawan</v>
      </c>
    </row>
    <row r="1402" spans="1:16" x14ac:dyDescent="0.3">
      <c r="A1402" s="8">
        <v>1395</v>
      </c>
      <c r="B1402" s="9" t="s">
        <v>5168</v>
      </c>
      <c r="C1402" s="10" t="str">
        <f>VLOOKUP(B1402,'Data Angt'!$A$5:$B$5809,2,FALSE)</f>
        <v>A2273</v>
      </c>
      <c r="D1402" s="12" t="s">
        <v>10519</v>
      </c>
      <c r="E1402" s="13">
        <v>43728</v>
      </c>
      <c r="F1402" s="14">
        <v>45383</v>
      </c>
      <c r="G1402" s="15">
        <v>5000000</v>
      </c>
      <c r="H1402" s="16">
        <v>36</v>
      </c>
      <c r="I1402" s="17">
        <v>24</v>
      </c>
      <c r="J1402" s="15">
        <v>3272500</v>
      </c>
      <c r="K1402" s="98">
        <f t="shared" si="63"/>
        <v>17</v>
      </c>
      <c r="L1402" s="98" t="str">
        <f t="shared" si="64"/>
        <v>Macet</v>
      </c>
      <c r="M1402" s="5" t="str">
        <f t="shared" si="65"/>
        <v>004</v>
      </c>
      <c r="N1402" s="55" t="str">
        <f>VLOOKUP(D1402,Pinjaman!$E$7:$N$1900,10,FALSE)</f>
        <v>PRODUKTIF</v>
      </c>
      <c r="O1402" s="55">
        <f>VLOOKUP(B1402,'Data Angt'!$A$5:$H$5810,6,FALSE)</f>
        <v>48</v>
      </c>
      <c r="P1402" s="55" t="str">
        <f>VLOOKUP(B1402,'Data Angt'!$A$5:$H$5810,8,FALSE)</f>
        <v>Wiraswasta</v>
      </c>
    </row>
    <row r="1403" spans="1:16" x14ac:dyDescent="0.3">
      <c r="A1403" s="8">
        <v>1396</v>
      </c>
      <c r="B1403" s="9" t="s">
        <v>5218</v>
      </c>
      <c r="C1403" s="10" t="str">
        <f>VLOOKUP(B1403,'Data Angt'!$A$5:$B$5809,2,FALSE)</f>
        <v>A2295</v>
      </c>
      <c r="D1403" s="12" t="s">
        <v>23553</v>
      </c>
      <c r="E1403" s="13">
        <v>45884</v>
      </c>
      <c r="F1403" s="14">
        <v>45917</v>
      </c>
      <c r="G1403" s="15">
        <v>80000000</v>
      </c>
      <c r="H1403" s="16">
        <v>48</v>
      </c>
      <c r="I1403" s="17">
        <v>21</v>
      </c>
      <c r="J1403" s="15">
        <v>78922700</v>
      </c>
      <c r="K1403" s="98">
        <f t="shared" si="63"/>
        <v>0</v>
      </c>
      <c r="L1403" s="98" t="str">
        <f t="shared" si="64"/>
        <v>Lancar</v>
      </c>
      <c r="M1403" s="5" t="str">
        <f t="shared" si="65"/>
        <v>004</v>
      </c>
      <c r="N1403" s="55" t="str">
        <f>VLOOKUP(D1403,Pinjaman!$E$7:$N$1900,10,FALSE)</f>
        <v>KONSUMTIF</v>
      </c>
      <c r="O1403" s="55">
        <f>VLOOKUP(B1403,'Data Angt'!$A$5:$H$5810,6,FALSE)</f>
        <v>36</v>
      </c>
      <c r="P1403" s="55" t="str">
        <f>VLOOKUP(B1403,'Data Angt'!$A$5:$H$5810,8,FALSE)</f>
        <v>Tenaga Pengajar</v>
      </c>
    </row>
    <row r="1404" spans="1:16" x14ac:dyDescent="0.3">
      <c r="A1404" s="8">
        <v>1397</v>
      </c>
      <c r="B1404" s="9" t="s">
        <v>5230</v>
      </c>
      <c r="C1404" s="10" t="str">
        <f>VLOOKUP(B1404,'Data Angt'!$A$5:$B$5809,2,FALSE)</f>
        <v>A2300</v>
      </c>
      <c r="D1404" s="12" t="s">
        <v>10584</v>
      </c>
      <c r="E1404" s="13">
        <v>42256</v>
      </c>
      <c r="F1404" s="14">
        <v>44042</v>
      </c>
      <c r="G1404" s="15">
        <v>5000000</v>
      </c>
      <c r="H1404" s="16">
        <v>18</v>
      </c>
      <c r="I1404" s="17">
        <v>24</v>
      </c>
      <c r="J1404" s="15">
        <v>1468400</v>
      </c>
      <c r="K1404" s="98">
        <f t="shared" si="63"/>
        <v>62</v>
      </c>
      <c r="L1404" s="98" t="str">
        <f t="shared" si="64"/>
        <v>Macet</v>
      </c>
      <c r="M1404" s="5" t="str">
        <f t="shared" si="65"/>
        <v>004</v>
      </c>
      <c r="N1404" s="55">
        <f>VLOOKUP(D1404,Pinjaman!$E$7:$N$1900,10,FALSE)</f>
        <v>0</v>
      </c>
      <c r="O1404" s="55">
        <f>VLOOKUP(B1404,'Data Angt'!$A$5:$H$5810,6,FALSE)</f>
        <v>56</v>
      </c>
      <c r="P1404" s="55" t="str">
        <f>VLOOKUP(B1404,'Data Angt'!$A$5:$H$5810,8,FALSE)</f>
        <v>Wiraswasta</v>
      </c>
    </row>
    <row r="1405" spans="1:16" x14ac:dyDescent="0.3">
      <c r="A1405" s="8">
        <v>1398</v>
      </c>
      <c r="B1405" s="9" t="s">
        <v>5279</v>
      </c>
      <c r="C1405" s="10" t="str">
        <f>VLOOKUP(B1405,'Data Angt'!$A$5:$B$5809,2,FALSE)</f>
        <v>A2325</v>
      </c>
      <c r="D1405" s="12" t="s">
        <v>10522</v>
      </c>
      <c r="E1405" s="13">
        <v>44254</v>
      </c>
      <c r="F1405" s="14">
        <v>45929</v>
      </c>
      <c r="G1405" s="15">
        <v>90000000</v>
      </c>
      <c r="H1405" s="16">
        <v>60</v>
      </c>
      <c r="I1405" s="17">
        <v>18</v>
      </c>
      <c r="J1405" s="15">
        <v>77593100</v>
      </c>
      <c r="K1405" s="98">
        <f t="shared" si="63"/>
        <v>0</v>
      </c>
      <c r="L1405" s="98" t="str">
        <f t="shared" si="64"/>
        <v>Lancar</v>
      </c>
      <c r="M1405" s="5" t="str">
        <f t="shared" si="65"/>
        <v>004</v>
      </c>
      <c r="N1405" s="55" t="str">
        <f>VLOOKUP(D1405,Pinjaman!$E$7:$N$1900,10,FALSE)</f>
        <v>KONSUMTIF</v>
      </c>
      <c r="O1405" s="55">
        <f>VLOOKUP(B1405,'Data Angt'!$A$5:$H$5810,6,FALSE)</f>
        <v>40</v>
      </c>
      <c r="P1405" s="55" t="str">
        <f>VLOOKUP(B1405,'Data Angt'!$A$5:$H$5810,8,FALSE)</f>
        <v>Wiraswasta</v>
      </c>
    </row>
    <row r="1406" spans="1:16" x14ac:dyDescent="0.3">
      <c r="A1406" s="8">
        <v>1399</v>
      </c>
      <c r="B1406" s="9" t="s">
        <v>5342</v>
      </c>
      <c r="C1406" s="10" t="str">
        <f>VLOOKUP(B1406,'Data Angt'!$A$5:$B$5809,2,FALSE)</f>
        <v>A2353</v>
      </c>
      <c r="D1406" s="12" t="s">
        <v>10525</v>
      </c>
      <c r="E1406" s="13">
        <v>45275</v>
      </c>
      <c r="F1406" s="14">
        <v>45929</v>
      </c>
      <c r="G1406" s="15">
        <v>11000000</v>
      </c>
      <c r="H1406" s="16">
        <v>36</v>
      </c>
      <c r="I1406" s="17">
        <v>24</v>
      </c>
      <c r="J1406" s="15">
        <v>5551700</v>
      </c>
      <c r="K1406" s="98">
        <f t="shared" si="63"/>
        <v>0</v>
      </c>
      <c r="L1406" s="98" t="str">
        <f t="shared" si="64"/>
        <v>Lancar</v>
      </c>
      <c r="M1406" s="5" t="str">
        <f t="shared" si="65"/>
        <v>004</v>
      </c>
      <c r="N1406" s="55" t="str">
        <f>VLOOKUP(D1406,Pinjaman!$E$7:$N$1900,10,FALSE)</f>
        <v>PRODUKTIF</v>
      </c>
      <c r="O1406" s="55">
        <f>VLOOKUP(B1406,'Data Angt'!$A$5:$H$5810,6,FALSE)</f>
        <v>47</v>
      </c>
      <c r="P1406" s="55" t="str">
        <f>VLOOKUP(B1406,'Data Angt'!$A$5:$H$5810,8,FALSE)</f>
        <v>Wiraswasta</v>
      </c>
    </row>
    <row r="1407" spans="1:16" x14ac:dyDescent="0.3">
      <c r="A1407" s="8">
        <v>1400</v>
      </c>
      <c r="B1407" s="9" t="s">
        <v>5585</v>
      </c>
      <c r="C1407" s="10" t="str">
        <f>VLOOKUP(B1407,'Data Angt'!$A$5:$B$5809,2,FALSE)</f>
        <v>A2467</v>
      </c>
      <c r="D1407" s="12" t="s">
        <v>10528</v>
      </c>
      <c r="E1407" s="13">
        <v>43749</v>
      </c>
      <c r="F1407" s="14">
        <v>45930</v>
      </c>
      <c r="G1407" s="15">
        <v>200000000</v>
      </c>
      <c r="H1407" s="16">
        <v>120</v>
      </c>
      <c r="I1407" s="17">
        <v>11.4</v>
      </c>
      <c r="J1407" s="15">
        <v>174778000</v>
      </c>
      <c r="K1407" s="98">
        <f t="shared" si="63"/>
        <v>0</v>
      </c>
      <c r="L1407" s="98" t="str">
        <f t="shared" si="64"/>
        <v>Lancar</v>
      </c>
      <c r="M1407" s="5" t="str">
        <f t="shared" si="65"/>
        <v>004</v>
      </c>
      <c r="N1407" s="55" t="str">
        <f>VLOOKUP(D1407,Pinjaman!$E$7:$N$1900,10,FALSE)</f>
        <v>KESEJAHTERAAN</v>
      </c>
      <c r="O1407" s="55">
        <f>VLOOKUP(B1407,'Data Angt'!$A$5:$H$5810,6,FALSE)</f>
        <v>48</v>
      </c>
      <c r="P1407" s="55" t="str">
        <f>VLOOKUP(B1407,'Data Angt'!$A$5:$H$5810,8,FALSE)</f>
        <v>Wiraswasta</v>
      </c>
    </row>
    <row r="1408" spans="1:16" x14ac:dyDescent="0.3">
      <c r="A1408" s="8">
        <v>1401</v>
      </c>
      <c r="B1408" s="9" t="s">
        <v>5594</v>
      </c>
      <c r="C1408" s="10" t="str">
        <f>VLOOKUP(B1408,'Data Angt'!$A$5:$B$5809,2,FALSE)</f>
        <v>A2470</v>
      </c>
      <c r="D1408" s="12" t="s">
        <v>10530</v>
      </c>
      <c r="E1408" s="13">
        <v>45002</v>
      </c>
      <c r="F1408" s="14">
        <v>45911</v>
      </c>
      <c r="G1408" s="15">
        <v>13000000</v>
      </c>
      <c r="H1408" s="16">
        <v>36</v>
      </c>
      <c r="I1408" s="17">
        <v>24</v>
      </c>
      <c r="J1408" s="15">
        <v>2164000</v>
      </c>
      <c r="K1408" s="98">
        <f t="shared" si="63"/>
        <v>0</v>
      </c>
      <c r="L1408" s="98" t="str">
        <f t="shared" si="64"/>
        <v>Lancar</v>
      </c>
      <c r="M1408" s="5" t="str">
        <f t="shared" si="65"/>
        <v>004</v>
      </c>
      <c r="N1408" s="55" t="str">
        <f>VLOOKUP(D1408,Pinjaman!$E$7:$N$1900,10,FALSE)</f>
        <v>PENDIDIKAN</v>
      </c>
      <c r="O1408" s="55">
        <f>VLOOKUP(B1408,'Data Angt'!$A$5:$H$5810,6,FALSE)</f>
        <v>52</v>
      </c>
      <c r="P1408" s="55" t="str">
        <f>VLOOKUP(B1408,'Data Angt'!$A$5:$H$5810,8,FALSE)</f>
        <v>Mengurus Rumah Tangga</v>
      </c>
    </row>
    <row r="1409" spans="1:16" x14ac:dyDescent="0.3">
      <c r="A1409" s="8">
        <v>1402</v>
      </c>
      <c r="B1409" s="9" t="s">
        <v>5682</v>
      </c>
      <c r="C1409" s="10" t="str">
        <f>VLOOKUP(B1409,'Data Angt'!$A$5:$B$5809,2,FALSE)</f>
        <v>A2508</v>
      </c>
      <c r="D1409" s="12" t="s">
        <v>17294</v>
      </c>
      <c r="E1409" s="13">
        <v>45722</v>
      </c>
      <c r="F1409" s="14">
        <v>45906</v>
      </c>
      <c r="G1409" s="15">
        <v>3000000</v>
      </c>
      <c r="H1409" s="16">
        <v>12</v>
      </c>
      <c r="I1409" s="17">
        <v>24</v>
      </c>
      <c r="J1409" s="15">
        <v>1589200</v>
      </c>
      <c r="K1409" s="98">
        <f t="shared" si="63"/>
        <v>0</v>
      </c>
      <c r="L1409" s="98" t="str">
        <f t="shared" si="64"/>
        <v>Lancar</v>
      </c>
      <c r="M1409" s="5" t="str">
        <f t="shared" si="65"/>
        <v>004</v>
      </c>
      <c r="N1409" s="55" t="str">
        <f>VLOOKUP(D1409,Pinjaman!$E$7:$N$1900,10,FALSE)</f>
        <v>PRODUKTIF</v>
      </c>
      <c r="O1409" s="55">
        <f>VLOOKUP(B1409,'Data Angt'!$A$5:$H$5810,6,FALSE)</f>
        <v>54</v>
      </c>
      <c r="P1409" s="55" t="str">
        <f>VLOOKUP(B1409,'Data Angt'!$A$5:$H$5810,8,FALSE)</f>
        <v>Karyawan</v>
      </c>
    </row>
    <row r="1410" spans="1:16" x14ac:dyDescent="0.3">
      <c r="A1410" s="8">
        <v>1403</v>
      </c>
      <c r="B1410" s="9" t="s">
        <v>5740</v>
      </c>
      <c r="C1410" s="10" t="str">
        <f>VLOOKUP(B1410,'Data Angt'!$A$5:$B$5809,2,FALSE)</f>
        <v>A2531</v>
      </c>
      <c r="D1410" s="12" t="s">
        <v>17296</v>
      </c>
      <c r="E1410" s="13">
        <v>45728</v>
      </c>
      <c r="F1410" s="14">
        <v>45911</v>
      </c>
      <c r="G1410" s="15">
        <v>4000000</v>
      </c>
      <c r="H1410" s="16">
        <v>12</v>
      </c>
      <c r="I1410" s="17">
        <v>24</v>
      </c>
      <c r="J1410" s="15">
        <v>1999600</v>
      </c>
      <c r="K1410" s="98">
        <f t="shared" si="63"/>
        <v>0</v>
      </c>
      <c r="L1410" s="98" t="str">
        <f t="shared" si="64"/>
        <v>Lancar</v>
      </c>
      <c r="M1410" s="5" t="str">
        <f t="shared" si="65"/>
        <v>004</v>
      </c>
      <c r="N1410" s="55">
        <f>VLOOKUP(D1410,Pinjaman!$E$7:$N$1900,10,FALSE)</f>
        <v>0</v>
      </c>
      <c r="O1410" s="55">
        <f>VLOOKUP(B1410,'Data Angt'!$A$5:$H$5810,6,FALSE)</f>
        <v>58</v>
      </c>
      <c r="P1410" s="55" t="str">
        <f>VLOOKUP(B1410,'Data Angt'!$A$5:$H$5810,8,FALSE)</f>
        <v>Wiraswasta</v>
      </c>
    </row>
    <row r="1411" spans="1:16" x14ac:dyDescent="0.3">
      <c r="A1411" s="8">
        <v>1404</v>
      </c>
      <c r="B1411" s="9" t="s">
        <v>5740</v>
      </c>
      <c r="C1411" s="10" t="str">
        <f>VLOOKUP(B1411,'Data Angt'!$A$5:$B$5809,2,FALSE)</f>
        <v>A2531</v>
      </c>
      <c r="D1411" s="12" t="s">
        <v>23560</v>
      </c>
      <c r="E1411" s="13">
        <v>45919</v>
      </c>
      <c r="F1411" s="14">
        <v>45919</v>
      </c>
      <c r="G1411" s="15">
        <v>25000000</v>
      </c>
      <c r="H1411" s="16">
        <v>36</v>
      </c>
      <c r="I1411" s="17">
        <v>21</v>
      </c>
      <c r="J1411" s="15">
        <v>25000000</v>
      </c>
      <c r="K1411" s="98">
        <f t="shared" si="63"/>
        <v>0</v>
      </c>
      <c r="L1411" s="98" t="str">
        <f t="shared" si="64"/>
        <v>Lancar</v>
      </c>
      <c r="M1411" s="5" t="str">
        <f t="shared" si="65"/>
        <v>004</v>
      </c>
      <c r="N1411" s="55" t="str">
        <f>VLOOKUP(D1411,Pinjaman!$E$7:$N$1900,10,FALSE)</f>
        <v>KONSUMTIF</v>
      </c>
      <c r="O1411" s="55">
        <f>VLOOKUP(B1411,'Data Angt'!$A$5:$H$5810,6,FALSE)</f>
        <v>58</v>
      </c>
      <c r="P1411" s="55" t="str">
        <f>VLOOKUP(B1411,'Data Angt'!$A$5:$H$5810,8,FALSE)</f>
        <v>Wiraswasta</v>
      </c>
    </row>
    <row r="1412" spans="1:16" x14ac:dyDescent="0.3">
      <c r="A1412" s="8">
        <v>1405</v>
      </c>
      <c r="B1412" s="9" t="s">
        <v>6127</v>
      </c>
      <c r="C1412" s="10" t="str">
        <f>VLOOKUP(B1412,'Data Angt'!$A$5:$B$5809,2,FALSE)</f>
        <v>A2714</v>
      </c>
      <c r="D1412" s="12" t="s">
        <v>17298</v>
      </c>
      <c r="E1412" s="13">
        <v>45610</v>
      </c>
      <c r="F1412" s="14">
        <v>45924</v>
      </c>
      <c r="G1412" s="15">
        <v>2500000</v>
      </c>
      <c r="H1412" s="16">
        <v>12</v>
      </c>
      <c r="I1412" s="17">
        <v>24</v>
      </c>
      <c r="J1412" s="15">
        <v>416000</v>
      </c>
      <c r="K1412" s="98">
        <f t="shared" si="63"/>
        <v>0</v>
      </c>
      <c r="L1412" s="98" t="str">
        <f t="shared" si="64"/>
        <v>Lancar</v>
      </c>
      <c r="M1412" s="5" t="str">
        <f t="shared" si="65"/>
        <v>004</v>
      </c>
      <c r="N1412" s="55" t="str">
        <f>VLOOKUP(D1412,Pinjaman!$E$7:$N$1900,10,FALSE)</f>
        <v>KONSUMTIF</v>
      </c>
      <c r="O1412" s="55">
        <f>VLOOKUP(B1412,'Data Angt'!$A$5:$H$5810,6,FALSE)</f>
        <v>20</v>
      </c>
      <c r="P1412" s="55" t="str">
        <f>VLOOKUP(B1412,'Data Angt'!$A$5:$H$5810,8,FALSE)</f>
        <v>Belum/Tidak Bekerja</v>
      </c>
    </row>
    <row r="1413" spans="1:16" x14ac:dyDescent="0.3">
      <c r="A1413" s="8">
        <v>1406</v>
      </c>
      <c r="B1413" s="9" t="s">
        <v>6224</v>
      </c>
      <c r="C1413" s="10" t="str">
        <f>VLOOKUP(B1413,'Data Angt'!$A$5:$B$5809,2,FALSE)</f>
        <v>A2757</v>
      </c>
      <c r="D1413" s="12" t="s">
        <v>17300</v>
      </c>
      <c r="E1413" s="13">
        <v>45517</v>
      </c>
      <c r="F1413" s="14">
        <v>45916</v>
      </c>
      <c r="G1413" s="15">
        <v>10000000</v>
      </c>
      <c r="H1413" s="16">
        <v>24</v>
      </c>
      <c r="I1413" s="17">
        <v>24</v>
      </c>
      <c r="J1413" s="15">
        <v>5173800</v>
      </c>
      <c r="K1413" s="98">
        <f t="shared" si="63"/>
        <v>0</v>
      </c>
      <c r="L1413" s="98" t="str">
        <f t="shared" si="64"/>
        <v>Lancar</v>
      </c>
      <c r="M1413" s="5" t="str">
        <f t="shared" si="65"/>
        <v>004</v>
      </c>
      <c r="N1413" s="55" t="str">
        <f>VLOOKUP(D1413,Pinjaman!$E$7:$N$1900,10,FALSE)</f>
        <v>PRODUKTIF</v>
      </c>
      <c r="O1413" s="55">
        <f>VLOOKUP(B1413,'Data Angt'!$A$5:$H$5810,6,FALSE)</f>
        <v>43</v>
      </c>
      <c r="P1413" s="55" t="str">
        <f>VLOOKUP(B1413,'Data Angt'!$A$5:$H$5810,8,FALSE)</f>
        <v>Mengurus Rumah Tangga</v>
      </c>
    </row>
    <row r="1414" spans="1:16" x14ac:dyDescent="0.3">
      <c r="A1414" s="8">
        <v>1407</v>
      </c>
      <c r="B1414" s="9" t="s">
        <v>6256</v>
      </c>
      <c r="C1414" s="10" t="str">
        <f>VLOOKUP(B1414,'Data Angt'!$A$5:$B$5809,2,FALSE)</f>
        <v>A2772</v>
      </c>
      <c r="D1414" s="12" t="s">
        <v>17303</v>
      </c>
      <c r="E1414" s="13">
        <v>45593</v>
      </c>
      <c r="F1414" s="14">
        <v>45922</v>
      </c>
      <c r="G1414" s="15">
        <v>40000000</v>
      </c>
      <c r="H1414" s="16">
        <v>24</v>
      </c>
      <c r="I1414" s="17">
        <v>21</v>
      </c>
      <c r="J1414" s="15">
        <v>23714300</v>
      </c>
      <c r="K1414" s="98">
        <f t="shared" si="63"/>
        <v>0</v>
      </c>
      <c r="L1414" s="98" t="str">
        <f t="shared" si="64"/>
        <v>Lancar</v>
      </c>
      <c r="M1414" s="5" t="str">
        <f t="shared" si="65"/>
        <v>004</v>
      </c>
      <c r="N1414" s="55" t="str">
        <f>VLOOKUP(D1414,Pinjaman!$E$7:$N$1900,10,FALSE)</f>
        <v>KONSUMTIF</v>
      </c>
      <c r="O1414" s="55">
        <f>VLOOKUP(B1414,'Data Angt'!$A$5:$H$5810,6,FALSE)</f>
        <v>41</v>
      </c>
      <c r="P1414" s="55" t="str">
        <f>VLOOKUP(B1414,'Data Angt'!$A$5:$H$5810,8,FALSE)</f>
        <v>Mengurus Rumah Tangga</v>
      </c>
    </row>
    <row r="1415" spans="1:16" x14ac:dyDescent="0.3">
      <c r="A1415" s="8">
        <v>1408</v>
      </c>
      <c r="B1415" s="9" t="s">
        <v>6556</v>
      </c>
      <c r="C1415" s="10" t="str">
        <f>VLOOKUP(B1415,'Data Angt'!$A$5:$B$5809,2,FALSE)</f>
        <v>A2912</v>
      </c>
      <c r="D1415" s="12" t="s">
        <v>17306</v>
      </c>
      <c r="E1415" s="13">
        <v>45636</v>
      </c>
      <c r="F1415" s="14">
        <v>45916</v>
      </c>
      <c r="G1415" s="15">
        <v>2500000</v>
      </c>
      <c r="H1415" s="16">
        <v>12</v>
      </c>
      <c r="I1415" s="17">
        <v>11.88</v>
      </c>
      <c r="J1415" s="15">
        <v>653200</v>
      </c>
      <c r="K1415" s="98">
        <f t="shared" si="63"/>
        <v>0</v>
      </c>
      <c r="L1415" s="98" t="str">
        <f t="shared" si="64"/>
        <v>Lancar</v>
      </c>
      <c r="M1415" s="5" t="str">
        <f t="shared" si="65"/>
        <v>004</v>
      </c>
      <c r="N1415" s="55" t="str">
        <f>VLOOKUP(D1415,Pinjaman!$E$7:$N$1900,10,FALSE)</f>
        <v>KONSUMTIF</v>
      </c>
      <c r="O1415" s="55">
        <f>VLOOKUP(B1415,'Data Angt'!$A$5:$H$5810,6,FALSE)</f>
        <v>51</v>
      </c>
      <c r="P1415" s="55" t="str">
        <f>VLOOKUP(B1415,'Data Angt'!$A$5:$H$5810,8,FALSE)</f>
        <v>Mengurus Rumah Tangga</v>
      </c>
    </row>
    <row r="1416" spans="1:16" x14ac:dyDescent="0.3">
      <c r="A1416" s="8">
        <v>1409</v>
      </c>
      <c r="B1416" s="9" t="s">
        <v>6656</v>
      </c>
      <c r="C1416" s="10" t="str">
        <f>VLOOKUP(B1416,'Data Angt'!$A$5:$B$5809,2,FALSE)</f>
        <v>A2956</v>
      </c>
      <c r="D1416" s="12" t="s">
        <v>23565</v>
      </c>
      <c r="E1416" s="13">
        <v>45840</v>
      </c>
      <c r="F1416" s="14">
        <v>45910</v>
      </c>
      <c r="G1416" s="15">
        <v>2500000</v>
      </c>
      <c r="H1416" s="16">
        <v>12</v>
      </c>
      <c r="I1416" s="17">
        <v>11.9</v>
      </c>
      <c r="J1416" s="15">
        <v>2103500</v>
      </c>
      <c r="K1416" s="98">
        <f t="shared" si="63"/>
        <v>0</v>
      </c>
      <c r="L1416" s="98" t="str">
        <f t="shared" si="64"/>
        <v>Lancar</v>
      </c>
      <c r="M1416" s="5" t="str">
        <f t="shared" si="65"/>
        <v>004</v>
      </c>
      <c r="N1416" s="55" t="str">
        <f>VLOOKUP(D1416,Pinjaman!$E$7:$N$1900,10,FALSE)</f>
        <v>PENDIDIKAN</v>
      </c>
      <c r="O1416" s="55">
        <f>VLOOKUP(B1416,'Data Angt'!$A$5:$H$5810,6,FALSE)</f>
        <v>43</v>
      </c>
      <c r="P1416" s="55" t="str">
        <f>VLOOKUP(B1416,'Data Angt'!$A$5:$H$5810,8,FALSE)</f>
        <v>Karyawan</v>
      </c>
    </row>
    <row r="1417" spans="1:16" x14ac:dyDescent="0.3">
      <c r="A1417" s="8">
        <v>1410</v>
      </c>
      <c r="B1417" s="9" t="s">
        <v>12443</v>
      </c>
      <c r="C1417" s="10" t="str">
        <f>VLOOKUP(B1417,'Data Angt'!$A$5:$B$5809,2,FALSE)</f>
        <v>A2975</v>
      </c>
      <c r="D1417" s="12" t="s">
        <v>23567</v>
      </c>
      <c r="E1417" s="13">
        <v>45927</v>
      </c>
      <c r="F1417" s="14">
        <v>45927</v>
      </c>
      <c r="G1417" s="15">
        <v>3600000</v>
      </c>
      <c r="H1417" s="16">
        <v>12</v>
      </c>
      <c r="I1417" s="17">
        <v>12</v>
      </c>
      <c r="J1417" s="15">
        <v>3600000</v>
      </c>
      <c r="K1417" s="98">
        <f t="shared" ref="K1417:K1480" si="66">DATEDIF(F1417,$K$6,"m")</f>
        <v>0</v>
      </c>
      <c r="L1417" s="98" t="str">
        <f t="shared" ref="L1417:L1480" si="67">IF(K1417&lt;=3,"Lancar",IF(K1417&lt;=6,"Kurang lancar",IF(K1417&lt;=12,"Diragukan","Macet")))</f>
        <v>Lancar</v>
      </c>
      <c r="M1417" s="5" t="str">
        <f t="shared" ref="M1417:M1480" si="68">MID(B1417,7,3)</f>
        <v>004</v>
      </c>
      <c r="N1417" s="55" t="str">
        <f>VLOOKUP(D1417,Pinjaman!$E$7:$N$1900,10,FALSE)</f>
        <v>KONSUMTIF</v>
      </c>
      <c r="O1417" s="55">
        <f>VLOOKUP(B1417,'Data Angt'!$A$5:$H$5810,6,FALSE)</f>
        <v>19</v>
      </c>
      <c r="P1417" s="55" t="str">
        <f>VLOOKUP(B1417,'Data Angt'!$A$5:$H$5810,8,FALSE)</f>
        <v>Pelajar/Mahasiswa</v>
      </c>
    </row>
    <row r="1418" spans="1:16" x14ac:dyDescent="0.3">
      <c r="A1418" s="8">
        <v>1411</v>
      </c>
      <c r="B1418" s="9" t="s">
        <v>6748</v>
      </c>
      <c r="C1418" s="10" t="str">
        <f>VLOOKUP(B1418,'Data Angt'!$A$5:$B$5809,2,FALSE)</f>
        <v>A3001</v>
      </c>
      <c r="D1418" s="12" t="s">
        <v>17309</v>
      </c>
      <c r="E1418" s="13">
        <v>45666</v>
      </c>
      <c r="F1418" s="14">
        <v>45917</v>
      </c>
      <c r="G1418" s="15">
        <v>9000000</v>
      </c>
      <c r="H1418" s="16">
        <v>24</v>
      </c>
      <c r="I1418" s="17">
        <v>24</v>
      </c>
      <c r="J1418" s="15">
        <v>6000000</v>
      </c>
      <c r="K1418" s="98">
        <f t="shared" si="66"/>
        <v>0</v>
      </c>
      <c r="L1418" s="98" t="str">
        <f t="shared" si="67"/>
        <v>Lancar</v>
      </c>
      <c r="M1418" s="5" t="str">
        <f t="shared" si="68"/>
        <v>004</v>
      </c>
      <c r="N1418" s="55" t="str">
        <f>VLOOKUP(D1418,Pinjaman!$E$7:$N$1900,10,FALSE)</f>
        <v>PRODUKTIF</v>
      </c>
      <c r="O1418" s="55">
        <f>VLOOKUP(B1418,'Data Angt'!$A$5:$H$5810,6,FALSE)</f>
        <v>30</v>
      </c>
      <c r="P1418" s="55" t="str">
        <f>VLOOKUP(B1418,'Data Angt'!$A$5:$H$5810,8,FALSE)</f>
        <v>Mengurus Rumah Tangga</v>
      </c>
    </row>
    <row r="1419" spans="1:16" x14ac:dyDescent="0.3">
      <c r="A1419" s="8">
        <v>1412</v>
      </c>
      <c r="B1419" s="9" t="s">
        <v>6923</v>
      </c>
      <c r="C1419" s="10" t="str">
        <f>VLOOKUP(B1419,'Data Angt'!$A$5:$B$5809,2,FALSE)</f>
        <v>A3093</v>
      </c>
      <c r="D1419" s="12" t="s">
        <v>17311</v>
      </c>
      <c r="E1419" s="13">
        <v>45642</v>
      </c>
      <c r="F1419" s="14">
        <v>45916</v>
      </c>
      <c r="G1419" s="15">
        <v>2000000</v>
      </c>
      <c r="H1419" s="16">
        <v>12</v>
      </c>
      <c r="I1419" s="17">
        <v>11.9</v>
      </c>
      <c r="J1419" s="15">
        <v>521900</v>
      </c>
      <c r="K1419" s="98">
        <f t="shared" si="66"/>
        <v>0</v>
      </c>
      <c r="L1419" s="98" t="str">
        <f t="shared" si="67"/>
        <v>Lancar</v>
      </c>
      <c r="M1419" s="5" t="str">
        <f t="shared" si="68"/>
        <v>004</v>
      </c>
      <c r="N1419" s="55" t="str">
        <f>VLOOKUP(D1419,Pinjaman!$E$7:$N$1900,10,FALSE)</f>
        <v>KESEJAHTERAAN</v>
      </c>
      <c r="O1419" s="55">
        <f>VLOOKUP(B1419,'Data Angt'!$A$5:$H$5810,6,FALSE)</f>
        <v>57</v>
      </c>
      <c r="P1419" s="55" t="str">
        <f>VLOOKUP(B1419,'Data Angt'!$A$5:$H$5810,8,FALSE)</f>
        <v>Wiraswasta</v>
      </c>
    </row>
    <row r="1420" spans="1:16" x14ac:dyDescent="0.3">
      <c r="A1420" s="8">
        <v>1413</v>
      </c>
      <c r="B1420" s="9" t="s">
        <v>7179</v>
      </c>
      <c r="C1420" s="10" t="str">
        <f>VLOOKUP(B1420,'Data Angt'!$A$5:$B$5809,2,FALSE)</f>
        <v>A3211</v>
      </c>
      <c r="D1420" s="12" t="s">
        <v>10535</v>
      </c>
      <c r="E1420" s="13">
        <v>43448</v>
      </c>
      <c r="F1420" s="14">
        <v>44242</v>
      </c>
      <c r="G1420" s="15">
        <v>2000000</v>
      </c>
      <c r="H1420" s="16">
        <v>6</v>
      </c>
      <c r="I1420" s="17">
        <v>24</v>
      </c>
      <c r="J1420" s="15">
        <v>2000000</v>
      </c>
      <c r="K1420" s="98">
        <f t="shared" si="66"/>
        <v>55</v>
      </c>
      <c r="L1420" s="98" t="str">
        <f t="shared" si="67"/>
        <v>Macet</v>
      </c>
      <c r="M1420" s="5" t="str">
        <f t="shared" si="68"/>
        <v>004</v>
      </c>
      <c r="N1420" s="55" t="str">
        <f>VLOOKUP(D1420,Pinjaman!$E$7:$N$1900,10,FALSE)</f>
        <v>PRODUKTIF</v>
      </c>
      <c r="O1420" s="55">
        <f>VLOOKUP(B1420,'Data Angt'!$A$5:$H$5810,6,FALSE)</f>
        <v>43</v>
      </c>
      <c r="P1420" s="55" t="str">
        <f>VLOOKUP(B1420,'Data Angt'!$A$5:$H$5810,8,FALSE)</f>
        <v>Wiraswasta</v>
      </c>
    </row>
    <row r="1421" spans="1:16" x14ac:dyDescent="0.3">
      <c r="A1421" s="8">
        <v>1414</v>
      </c>
      <c r="B1421" s="9" t="s">
        <v>7236</v>
      </c>
      <c r="C1421" s="10" t="str">
        <f>VLOOKUP(B1421,'Data Angt'!$A$5:$B$5809,2,FALSE)</f>
        <v>A3235</v>
      </c>
      <c r="D1421" s="12" t="s">
        <v>17313</v>
      </c>
      <c r="E1421" s="13">
        <v>45694</v>
      </c>
      <c r="F1421" s="14">
        <v>45901</v>
      </c>
      <c r="G1421" s="15">
        <v>16000000</v>
      </c>
      <c r="H1421" s="16">
        <v>36</v>
      </c>
      <c r="I1421" s="17">
        <v>24</v>
      </c>
      <c r="J1421" s="15">
        <v>13712000</v>
      </c>
      <c r="K1421" s="98">
        <f t="shared" si="66"/>
        <v>0</v>
      </c>
      <c r="L1421" s="98" t="str">
        <f t="shared" si="67"/>
        <v>Lancar</v>
      </c>
      <c r="M1421" s="5" t="str">
        <f t="shared" si="68"/>
        <v>004</v>
      </c>
      <c r="N1421" s="55" t="str">
        <f>VLOOKUP(D1421,Pinjaman!$E$7:$N$1900,10,FALSE)</f>
        <v>PENDIDIKAN</v>
      </c>
      <c r="O1421" s="55">
        <f>VLOOKUP(B1421,'Data Angt'!$A$5:$H$5810,6,FALSE)</f>
        <v>36</v>
      </c>
      <c r="P1421" s="55" t="str">
        <f>VLOOKUP(B1421,'Data Angt'!$A$5:$H$5810,8,FALSE)</f>
        <v>Karyawan</v>
      </c>
    </row>
    <row r="1422" spans="1:16" x14ac:dyDescent="0.3">
      <c r="A1422" s="8">
        <v>1415</v>
      </c>
      <c r="B1422" s="9" t="s">
        <v>7304</v>
      </c>
      <c r="C1422" s="10" t="str">
        <f>VLOOKUP(B1422,'Data Angt'!$A$5:$B$5809,2,FALSE)</f>
        <v>A3269</v>
      </c>
      <c r="D1422" s="12" t="s">
        <v>23570</v>
      </c>
      <c r="E1422" s="13">
        <v>45897</v>
      </c>
      <c r="F1422" s="14">
        <v>45926</v>
      </c>
      <c r="G1422" s="15">
        <v>4000000</v>
      </c>
      <c r="H1422" s="16">
        <v>12</v>
      </c>
      <c r="I1422" s="17">
        <v>24</v>
      </c>
      <c r="J1422" s="15">
        <v>3666600</v>
      </c>
      <c r="K1422" s="98">
        <f t="shared" si="66"/>
        <v>0</v>
      </c>
      <c r="L1422" s="98" t="str">
        <f t="shared" si="67"/>
        <v>Lancar</v>
      </c>
      <c r="M1422" s="5" t="str">
        <f t="shared" si="68"/>
        <v>004</v>
      </c>
      <c r="N1422" s="55" t="str">
        <f>VLOOKUP(D1422,Pinjaman!$E$7:$N$1900,10,FALSE)</f>
        <v>PENDIDIKAN</v>
      </c>
      <c r="O1422" s="55">
        <f>VLOOKUP(B1422,'Data Angt'!$A$5:$H$5810,6,FALSE)</f>
        <v>52</v>
      </c>
      <c r="P1422" s="55" t="str">
        <f>VLOOKUP(B1422,'Data Angt'!$A$5:$H$5810,8,FALSE)</f>
        <v>Karyawan</v>
      </c>
    </row>
    <row r="1423" spans="1:16" x14ac:dyDescent="0.3">
      <c r="A1423" s="8">
        <v>1416</v>
      </c>
      <c r="B1423" s="9" t="s">
        <v>7446</v>
      </c>
      <c r="C1423" s="10" t="str">
        <f>VLOOKUP(B1423,'Data Angt'!$A$5:$B$5809,2,FALSE)</f>
        <v>A3331</v>
      </c>
      <c r="D1423" s="12" t="s">
        <v>17316</v>
      </c>
      <c r="E1423" s="13">
        <v>45647</v>
      </c>
      <c r="F1423" s="14">
        <v>45920</v>
      </c>
      <c r="G1423" s="15">
        <v>5000000</v>
      </c>
      <c r="H1423" s="16">
        <v>12</v>
      </c>
      <c r="I1423" s="17">
        <v>24</v>
      </c>
      <c r="J1423" s="15">
        <v>1249700</v>
      </c>
      <c r="K1423" s="98">
        <f t="shared" si="66"/>
        <v>0</v>
      </c>
      <c r="L1423" s="98" t="str">
        <f t="shared" si="67"/>
        <v>Lancar</v>
      </c>
      <c r="M1423" s="5" t="str">
        <f t="shared" si="68"/>
        <v>004</v>
      </c>
      <c r="N1423" s="55" t="str">
        <f>VLOOKUP(D1423,Pinjaman!$E$7:$N$1900,10,FALSE)</f>
        <v>PRODUKTIF</v>
      </c>
      <c r="O1423" s="55">
        <f>VLOOKUP(B1423,'Data Angt'!$A$5:$H$5810,6,FALSE)</f>
        <v>45</v>
      </c>
      <c r="P1423" s="55" t="str">
        <f>VLOOKUP(B1423,'Data Angt'!$A$5:$H$5810,8,FALSE)</f>
        <v>Lain-Lain</v>
      </c>
    </row>
    <row r="1424" spans="1:16" x14ac:dyDescent="0.3">
      <c r="A1424" s="8">
        <v>1417</v>
      </c>
      <c r="B1424" s="9" t="s">
        <v>7448</v>
      </c>
      <c r="C1424" s="10" t="str">
        <f>VLOOKUP(B1424,'Data Angt'!$A$5:$B$5809,2,FALSE)</f>
        <v>A3332</v>
      </c>
      <c r="D1424" s="12" t="s">
        <v>10539</v>
      </c>
      <c r="E1424" s="13">
        <v>45280</v>
      </c>
      <c r="F1424" s="14">
        <v>45920</v>
      </c>
      <c r="G1424" s="15">
        <v>20000000</v>
      </c>
      <c r="H1424" s="16">
        <v>36</v>
      </c>
      <c r="I1424" s="17">
        <v>24</v>
      </c>
      <c r="J1424" s="15">
        <v>8332400</v>
      </c>
      <c r="K1424" s="98">
        <f t="shared" si="66"/>
        <v>0</v>
      </c>
      <c r="L1424" s="98" t="str">
        <f t="shared" si="67"/>
        <v>Lancar</v>
      </c>
      <c r="M1424" s="5" t="str">
        <f t="shared" si="68"/>
        <v>004</v>
      </c>
      <c r="N1424" s="55" t="str">
        <f>VLOOKUP(D1424,Pinjaman!$E$7:$N$1900,10,FALSE)</f>
        <v>PRODUKTIF</v>
      </c>
      <c r="O1424" s="55">
        <f>VLOOKUP(B1424,'Data Angt'!$A$5:$H$5810,6,FALSE)</f>
        <v>40</v>
      </c>
      <c r="P1424" s="55" t="str">
        <f>VLOOKUP(B1424,'Data Angt'!$A$5:$H$5810,8,FALSE)</f>
        <v>Mengurus Rumah Tangga</v>
      </c>
    </row>
    <row r="1425" spans="1:16" x14ac:dyDescent="0.3">
      <c r="A1425" s="8">
        <v>1418</v>
      </c>
      <c r="B1425" s="9" t="s">
        <v>7613</v>
      </c>
      <c r="C1425" s="10" t="str">
        <f>VLOOKUP(B1425,'Data Angt'!$A$5:$B$5809,2,FALSE)</f>
        <v>A3410</v>
      </c>
      <c r="D1425" s="12" t="s">
        <v>23573</v>
      </c>
      <c r="E1425" s="13">
        <v>45848</v>
      </c>
      <c r="F1425" s="14">
        <v>45910</v>
      </c>
      <c r="G1425" s="15">
        <v>25000000</v>
      </c>
      <c r="H1425" s="16">
        <v>25</v>
      </c>
      <c r="I1425" s="17">
        <v>21</v>
      </c>
      <c r="J1425" s="15">
        <v>23000000</v>
      </c>
      <c r="K1425" s="98">
        <f t="shared" si="66"/>
        <v>0</v>
      </c>
      <c r="L1425" s="98" t="str">
        <f t="shared" si="67"/>
        <v>Lancar</v>
      </c>
      <c r="M1425" s="5" t="str">
        <f t="shared" si="68"/>
        <v>004</v>
      </c>
      <c r="N1425" s="55" t="str">
        <f>VLOOKUP(D1425,Pinjaman!$E$7:$N$1900,10,FALSE)</f>
        <v>PENDIDIKAN</v>
      </c>
      <c r="O1425" s="55">
        <f>VLOOKUP(B1425,'Data Angt'!$A$5:$H$5810,6,FALSE)</f>
        <v>45</v>
      </c>
      <c r="P1425" s="55" t="str">
        <f>VLOOKUP(B1425,'Data Angt'!$A$5:$H$5810,8,FALSE)</f>
        <v>Wiraswasta</v>
      </c>
    </row>
    <row r="1426" spans="1:16" x14ac:dyDescent="0.3">
      <c r="A1426" s="8">
        <v>1419</v>
      </c>
      <c r="B1426" s="9" t="s">
        <v>7617</v>
      </c>
      <c r="C1426" s="10" t="str">
        <f>VLOOKUP(B1426,'Data Angt'!$A$5:$B$5809,2,FALSE)</f>
        <v>A3412</v>
      </c>
      <c r="D1426" s="12" t="s">
        <v>17318</v>
      </c>
      <c r="E1426" s="13">
        <v>45740</v>
      </c>
      <c r="F1426" s="14">
        <v>45909</v>
      </c>
      <c r="G1426" s="15">
        <v>3000000</v>
      </c>
      <c r="H1426" s="16">
        <v>12</v>
      </c>
      <c r="I1426" s="17">
        <v>24</v>
      </c>
      <c r="J1426" s="15">
        <v>1500000</v>
      </c>
      <c r="K1426" s="98">
        <f t="shared" si="66"/>
        <v>0</v>
      </c>
      <c r="L1426" s="98" t="str">
        <f t="shared" si="67"/>
        <v>Lancar</v>
      </c>
      <c r="M1426" s="5" t="str">
        <f t="shared" si="68"/>
        <v>004</v>
      </c>
      <c r="N1426" s="55" t="str">
        <f>VLOOKUP(D1426,Pinjaman!$E$7:$N$1900,10,FALSE)</f>
        <v>KONSUMTIF</v>
      </c>
      <c r="O1426" s="55">
        <f>VLOOKUP(B1426,'Data Angt'!$A$5:$H$5810,6,FALSE)</f>
        <v>55</v>
      </c>
      <c r="P1426" s="55" t="str">
        <f>VLOOKUP(B1426,'Data Angt'!$A$5:$H$5810,8,FALSE)</f>
        <v>Tenaga Pengajar</v>
      </c>
    </row>
    <row r="1427" spans="1:16" x14ac:dyDescent="0.3">
      <c r="A1427" s="8">
        <v>1420</v>
      </c>
      <c r="B1427" s="9" t="s">
        <v>7617</v>
      </c>
      <c r="C1427" s="10" t="str">
        <f>VLOOKUP(B1427,'Data Angt'!$A$5:$B$5809,2,FALSE)</f>
        <v>A3412</v>
      </c>
      <c r="D1427" s="12" t="s">
        <v>17320</v>
      </c>
      <c r="E1427" s="13">
        <v>45826</v>
      </c>
      <c r="F1427" s="14">
        <v>45909</v>
      </c>
      <c r="G1427" s="15">
        <v>7500000</v>
      </c>
      <c r="H1427" s="16">
        <v>24</v>
      </c>
      <c r="I1427" s="17">
        <v>24</v>
      </c>
      <c r="J1427" s="15">
        <v>6562500</v>
      </c>
      <c r="K1427" s="98">
        <f t="shared" si="66"/>
        <v>0</v>
      </c>
      <c r="L1427" s="98" t="str">
        <f t="shared" si="67"/>
        <v>Lancar</v>
      </c>
      <c r="M1427" s="5" t="str">
        <f t="shared" si="68"/>
        <v>004</v>
      </c>
      <c r="N1427" s="55" t="str">
        <f>VLOOKUP(D1427,Pinjaman!$E$7:$N$1900,10,FALSE)</f>
        <v>KONSUMTIF</v>
      </c>
      <c r="O1427" s="55">
        <f>VLOOKUP(B1427,'Data Angt'!$A$5:$H$5810,6,FALSE)</f>
        <v>55</v>
      </c>
      <c r="P1427" s="55" t="str">
        <f>VLOOKUP(B1427,'Data Angt'!$A$5:$H$5810,8,FALSE)</f>
        <v>Tenaga Pengajar</v>
      </c>
    </row>
    <row r="1428" spans="1:16" x14ac:dyDescent="0.3">
      <c r="A1428" s="8">
        <v>1421</v>
      </c>
      <c r="B1428" s="9" t="s">
        <v>7637</v>
      </c>
      <c r="C1428" s="10" t="str">
        <f>VLOOKUP(B1428,'Data Angt'!$A$5:$B$5809,2,FALSE)</f>
        <v>A3420</v>
      </c>
      <c r="D1428" s="12" t="s">
        <v>10542</v>
      </c>
      <c r="E1428" s="13">
        <v>45244</v>
      </c>
      <c r="F1428" s="14">
        <v>45916</v>
      </c>
      <c r="G1428" s="15">
        <v>17000000</v>
      </c>
      <c r="H1428" s="16">
        <v>36</v>
      </c>
      <c r="I1428" s="17">
        <v>24</v>
      </c>
      <c r="J1428" s="15">
        <v>6609400</v>
      </c>
      <c r="K1428" s="98">
        <f t="shared" si="66"/>
        <v>0</v>
      </c>
      <c r="L1428" s="98" t="str">
        <f t="shared" si="67"/>
        <v>Lancar</v>
      </c>
      <c r="M1428" s="5" t="str">
        <f t="shared" si="68"/>
        <v>004</v>
      </c>
      <c r="N1428" s="55" t="str">
        <f>VLOOKUP(D1428,Pinjaman!$E$7:$N$1900,10,FALSE)</f>
        <v>KONSUMTIF</v>
      </c>
      <c r="O1428" s="55">
        <f>VLOOKUP(B1428,'Data Angt'!$A$5:$H$5810,6,FALSE)</f>
        <v>55</v>
      </c>
      <c r="P1428" s="55" t="str">
        <f>VLOOKUP(B1428,'Data Angt'!$A$5:$H$5810,8,FALSE)</f>
        <v>Lain-Lain</v>
      </c>
    </row>
    <row r="1429" spans="1:16" x14ac:dyDescent="0.3">
      <c r="A1429" s="8">
        <v>1422</v>
      </c>
      <c r="B1429" s="9" t="s">
        <v>7659</v>
      </c>
      <c r="C1429" s="10" t="str">
        <f>VLOOKUP(B1429,'Data Angt'!$A$5:$B$5809,2,FALSE)</f>
        <v>A3431</v>
      </c>
      <c r="D1429" s="12" t="s">
        <v>17323</v>
      </c>
      <c r="E1429" s="13">
        <v>45365</v>
      </c>
      <c r="F1429" s="14">
        <v>45919</v>
      </c>
      <c r="G1429" s="15">
        <v>12000000</v>
      </c>
      <c r="H1429" s="16">
        <v>24</v>
      </c>
      <c r="I1429" s="17">
        <v>24</v>
      </c>
      <c r="J1429" s="15">
        <v>3000000</v>
      </c>
      <c r="K1429" s="98">
        <f t="shared" si="66"/>
        <v>0</v>
      </c>
      <c r="L1429" s="98" t="str">
        <f t="shared" si="67"/>
        <v>Lancar</v>
      </c>
      <c r="M1429" s="5" t="str">
        <f t="shared" si="68"/>
        <v>004</v>
      </c>
      <c r="N1429" s="55" t="str">
        <f>VLOOKUP(D1429,Pinjaman!$E$7:$N$1900,10,FALSE)</f>
        <v>PRODUKTIF</v>
      </c>
      <c r="O1429" s="55">
        <f>VLOOKUP(B1429,'Data Angt'!$A$5:$H$5810,6,FALSE)</f>
        <v>28</v>
      </c>
      <c r="P1429" s="55" t="str">
        <f>VLOOKUP(B1429,'Data Angt'!$A$5:$H$5810,8,FALSE)</f>
        <v>Wiraswasta</v>
      </c>
    </row>
    <row r="1430" spans="1:16" x14ac:dyDescent="0.3">
      <c r="A1430" s="8">
        <v>1423</v>
      </c>
      <c r="B1430" s="9" t="s">
        <v>12510</v>
      </c>
      <c r="C1430" s="10" t="str">
        <f>VLOOKUP(B1430,'Data Angt'!$A$5:$B$5809,2,FALSE)</f>
        <v>A3484</v>
      </c>
      <c r="D1430" s="12" t="s">
        <v>17326</v>
      </c>
      <c r="E1430" s="13">
        <v>45796</v>
      </c>
      <c r="F1430" s="14">
        <v>45924</v>
      </c>
      <c r="G1430" s="15">
        <v>15000000</v>
      </c>
      <c r="H1430" s="16">
        <v>18</v>
      </c>
      <c r="I1430" s="17">
        <v>24</v>
      </c>
      <c r="J1430" s="15">
        <v>12112500</v>
      </c>
      <c r="K1430" s="98">
        <f t="shared" si="66"/>
        <v>0</v>
      </c>
      <c r="L1430" s="98" t="str">
        <f t="shared" si="67"/>
        <v>Lancar</v>
      </c>
      <c r="M1430" s="5" t="str">
        <f t="shared" si="68"/>
        <v>004</v>
      </c>
      <c r="N1430" s="55" t="str">
        <f>VLOOKUP(D1430,Pinjaman!$E$7:$N$1900,10,FALSE)</f>
        <v>PRODUKTIF</v>
      </c>
      <c r="O1430" s="55">
        <f>VLOOKUP(B1430,'Data Angt'!$A$5:$H$5810,6,FALSE)</f>
        <v>36</v>
      </c>
      <c r="P1430" s="55" t="str">
        <f>VLOOKUP(B1430,'Data Angt'!$A$5:$H$5810,8,FALSE)</f>
        <v>Wiraswasta</v>
      </c>
    </row>
    <row r="1431" spans="1:16" x14ac:dyDescent="0.3">
      <c r="A1431" s="8">
        <v>1424</v>
      </c>
      <c r="B1431" s="9" t="s">
        <v>7882</v>
      </c>
      <c r="C1431" s="10" t="str">
        <f>VLOOKUP(B1431,'Data Angt'!$A$5:$B$5809,2,FALSE)</f>
        <v>A3548</v>
      </c>
      <c r="D1431" s="12" t="s">
        <v>17329</v>
      </c>
      <c r="E1431" s="13">
        <v>45671</v>
      </c>
      <c r="F1431" s="14">
        <v>45916</v>
      </c>
      <c r="G1431" s="15">
        <v>3000000</v>
      </c>
      <c r="H1431" s="16">
        <v>10</v>
      </c>
      <c r="I1431" s="17">
        <v>24</v>
      </c>
      <c r="J1431" s="15">
        <v>600000</v>
      </c>
      <c r="K1431" s="98">
        <f t="shared" si="66"/>
        <v>0</v>
      </c>
      <c r="L1431" s="98" t="str">
        <f t="shared" si="67"/>
        <v>Lancar</v>
      </c>
      <c r="M1431" s="5" t="str">
        <f t="shared" si="68"/>
        <v>004</v>
      </c>
      <c r="N1431" s="55" t="str">
        <f>VLOOKUP(D1431,Pinjaman!$E$7:$N$1900,10,FALSE)</f>
        <v>PENDIDIKAN</v>
      </c>
      <c r="O1431" s="55">
        <f>VLOOKUP(B1431,'Data Angt'!$A$5:$H$5810,6,FALSE)</f>
        <v>51</v>
      </c>
      <c r="P1431" s="55" t="str">
        <f>VLOOKUP(B1431,'Data Angt'!$A$5:$H$5810,8,FALSE)</f>
        <v>Lain-Lain</v>
      </c>
    </row>
    <row r="1432" spans="1:16" x14ac:dyDescent="0.3">
      <c r="A1432" s="8">
        <v>1425</v>
      </c>
      <c r="B1432" s="9" t="s">
        <v>7981</v>
      </c>
      <c r="C1432" s="10" t="str">
        <f>VLOOKUP(B1432,'Data Angt'!$A$5:$B$5809,2,FALSE)</f>
        <v>A3598</v>
      </c>
      <c r="D1432" s="12" t="s">
        <v>17331</v>
      </c>
      <c r="E1432" s="13">
        <v>45502</v>
      </c>
      <c r="F1432" s="14">
        <v>45919</v>
      </c>
      <c r="G1432" s="15">
        <v>7000000</v>
      </c>
      <c r="H1432" s="16">
        <v>24</v>
      </c>
      <c r="I1432" s="17">
        <v>24</v>
      </c>
      <c r="J1432" s="15">
        <v>3325200</v>
      </c>
      <c r="K1432" s="98">
        <f t="shared" si="66"/>
        <v>0</v>
      </c>
      <c r="L1432" s="98" t="str">
        <f t="shared" si="67"/>
        <v>Lancar</v>
      </c>
      <c r="M1432" s="5" t="str">
        <f t="shared" si="68"/>
        <v>004</v>
      </c>
      <c r="N1432" s="55" t="str">
        <f>VLOOKUP(D1432,Pinjaman!$E$7:$N$1900,10,FALSE)</f>
        <v>KONSUMTIF</v>
      </c>
      <c r="O1432" s="55">
        <f>VLOOKUP(B1432,'Data Angt'!$A$5:$H$5810,6,FALSE)</f>
        <v>29</v>
      </c>
      <c r="P1432" s="55" t="str">
        <f>VLOOKUP(B1432,'Data Angt'!$A$5:$H$5810,8,FALSE)</f>
        <v>Karyawan</v>
      </c>
    </row>
    <row r="1433" spans="1:16" x14ac:dyDescent="0.3">
      <c r="A1433" s="8">
        <v>1426</v>
      </c>
      <c r="B1433" s="9" t="s">
        <v>7988</v>
      </c>
      <c r="C1433" s="10" t="str">
        <f>VLOOKUP(B1433,'Data Angt'!$A$5:$B$5809,2,FALSE)</f>
        <v>A3601</v>
      </c>
      <c r="D1433" s="12" t="s">
        <v>23583</v>
      </c>
      <c r="E1433" s="13">
        <v>45896</v>
      </c>
      <c r="F1433" s="14">
        <v>45930</v>
      </c>
      <c r="G1433" s="15">
        <v>10000000</v>
      </c>
      <c r="H1433" s="16">
        <v>24</v>
      </c>
      <c r="I1433" s="17">
        <v>24</v>
      </c>
      <c r="J1433" s="15">
        <v>9583300</v>
      </c>
      <c r="K1433" s="98">
        <f t="shared" si="66"/>
        <v>0</v>
      </c>
      <c r="L1433" s="98" t="str">
        <f t="shared" si="67"/>
        <v>Lancar</v>
      </c>
      <c r="M1433" s="5" t="str">
        <f t="shared" si="68"/>
        <v>004</v>
      </c>
      <c r="N1433" s="55" t="str">
        <f>VLOOKUP(D1433,Pinjaman!$E$7:$N$1900,10,FALSE)</f>
        <v>KONSUMTIF</v>
      </c>
      <c r="O1433" s="55">
        <f>VLOOKUP(B1433,'Data Angt'!$A$5:$H$5810,6,FALSE)</f>
        <v>35</v>
      </c>
      <c r="P1433" s="55" t="str">
        <f>VLOOKUP(B1433,'Data Angt'!$A$5:$H$5810,8,FALSE)</f>
        <v>Karyawan</v>
      </c>
    </row>
    <row r="1434" spans="1:16" x14ac:dyDescent="0.3">
      <c r="A1434" s="8">
        <v>1427</v>
      </c>
      <c r="B1434" s="9" t="s">
        <v>7993</v>
      </c>
      <c r="C1434" s="10" t="str">
        <f>VLOOKUP(B1434,'Data Angt'!$A$5:$B$5809,2,FALSE)</f>
        <v>A3603</v>
      </c>
      <c r="D1434" s="12" t="s">
        <v>17333</v>
      </c>
      <c r="E1434" s="13">
        <v>45518</v>
      </c>
      <c r="F1434" s="14">
        <v>45901</v>
      </c>
      <c r="G1434" s="15">
        <v>7000000</v>
      </c>
      <c r="H1434" s="16">
        <v>18</v>
      </c>
      <c r="I1434" s="17">
        <v>24</v>
      </c>
      <c r="J1434" s="15">
        <v>1944300</v>
      </c>
      <c r="K1434" s="98">
        <f t="shared" si="66"/>
        <v>0</v>
      </c>
      <c r="L1434" s="98" t="str">
        <f t="shared" si="67"/>
        <v>Lancar</v>
      </c>
      <c r="M1434" s="5" t="str">
        <f t="shared" si="68"/>
        <v>004</v>
      </c>
      <c r="N1434" s="55" t="str">
        <f>VLOOKUP(D1434,Pinjaman!$E$7:$N$1900,10,FALSE)</f>
        <v>PENDIDIKAN</v>
      </c>
      <c r="O1434" s="55">
        <f>VLOOKUP(B1434,'Data Angt'!$A$5:$H$5810,6,FALSE)</f>
        <v>40</v>
      </c>
      <c r="P1434" s="55" t="str">
        <f>VLOOKUP(B1434,'Data Angt'!$A$5:$H$5810,8,FALSE)</f>
        <v>Wiraswasta</v>
      </c>
    </row>
    <row r="1435" spans="1:16" x14ac:dyDescent="0.3">
      <c r="A1435" s="8">
        <v>1428</v>
      </c>
      <c r="B1435" s="9" t="s">
        <v>8034</v>
      </c>
      <c r="C1435" s="10" t="str">
        <f>VLOOKUP(B1435,'Data Angt'!$A$5:$B$5809,2,FALSE)</f>
        <v>A3623</v>
      </c>
      <c r="D1435" s="12" t="s">
        <v>17336</v>
      </c>
      <c r="E1435" s="13">
        <v>45614</v>
      </c>
      <c r="F1435" s="14">
        <v>45918</v>
      </c>
      <c r="G1435" s="15">
        <v>25000000</v>
      </c>
      <c r="H1435" s="16">
        <v>12</v>
      </c>
      <c r="I1435" s="17">
        <v>21</v>
      </c>
      <c r="J1435" s="15">
        <v>4166000</v>
      </c>
      <c r="K1435" s="98">
        <f t="shared" si="66"/>
        <v>0</v>
      </c>
      <c r="L1435" s="98" t="str">
        <f t="shared" si="67"/>
        <v>Lancar</v>
      </c>
      <c r="M1435" s="5" t="str">
        <f t="shared" si="68"/>
        <v>004</v>
      </c>
      <c r="N1435" s="55" t="str">
        <f>VLOOKUP(D1435,Pinjaman!$E$7:$N$1900,10,FALSE)</f>
        <v>PRODUKTIF</v>
      </c>
      <c r="O1435" s="55">
        <f>VLOOKUP(B1435,'Data Angt'!$A$5:$H$5810,6,FALSE)</f>
        <v>53</v>
      </c>
      <c r="P1435" s="55" t="str">
        <f>VLOOKUP(B1435,'Data Angt'!$A$5:$H$5810,8,FALSE)</f>
        <v>Wiraswasta</v>
      </c>
    </row>
    <row r="1436" spans="1:16" x14ac:dyDescent="0.3">
      <c r="A1436" s="8">
        <v>1429</v>
      </c>
      <c r="B1436" s="9" t="s">
        <v>8055</v>
      </c>
      <c r="C1436" s="10" t="str">
        <f>VLOOKUP(B1436,'Data Angt'!$A$5:$B$5809,2,FALSE)</f>
        <v>A3638</v>
      </c>
      <c r="D1436" s="12" t="s">
        <v>10545</v>
      </c>
      <c r="E1436" s="13">
        <v>44067</v>
      </c>
      <c r="F1436" s="14">
        <v>45138</v>
      </c>
      <c r="G1436" s="15">
        <v>2000000</v>
      </c>
      <c r="H1436" s="16">
        <v>18</v>
      </c>
      <c r="I1436" s="17">
        <v>24</v>
      </c>
      <c r="J1436" s="15">
        <v>1189400</v>
      </c>
      <c r="K1436" s="98">
        <f t="shared" si="66"/>
        <v>25</v>
      </c>
      <c r="L1436" s="98" t="str">
        <f t="shared" si="67"/>
        <v>Macet</v>
      </c>
      <c r="M1436" s="5" t="str">
        <f t="shared" si="68"/>
        <v>004</v>
      </c>
      <c r="N1436" s="55" t="str">
        <f>VLOOKUP(D1436,Pinjaman!$E$7:$N$1900,10,FALSE)</f>
        <v>PRODUKTIF</v>
      </c>
      <c r="O1436" s="55">
        <f>VLOOKUP(B1436,'Data Angt'!$A$5:$H$5810,6,FALSE)</f>
        <v>48</v>
      </c>
      <c r="P1436" s="55" t="str">
        <f>VLOOKUP(B1436,'Data Angt'!$A$5:$H$5810,8,FALSE)</f>
        <v>Wiraswasta</v>
      </c>
    </row>
    <row r="1437" spans="1:16" x14ac:dyDescent="0.3">
      <c r="A1437" s="8">
        <v>1430</v>
      </c>
      <c r="B1437" s="9" t="s">
        <v>8065</v>
      </c>
      <c r="C1437" s="10" t="str">
        <f>VLOOKUP(B1437,'Data Angt'!$A$5:$B$5809,2,FALSE)</f>
        <v>A3643</v>
      </c>
      <c r="D1437" s="12" t="s">
        <v>10548</v>
      </c>
      <c r="E1437" s="13">
        <v>43858</v>
      </c>
      <c r="F1437" s="14">
        <v>44553</v>
      </c>
      <c r="G1437" s="15">
        <v>2000000</v>
      </c>
      <c r="H1437" s="16">
        <v>12</v>
      </c>
      <c r="I1437" s="17">
        <v>24</v>
      </c>
      <c r="J1437" s="15">
        <v>1698700</v>
      </c>
      <c r="K1437" s="98">
        <f t="shared" si="66"/>
        <v>45</v>
      </c>
      <c r="L1437" s="98" t="str">
        <f t="shared" si="67"/>
        <v>Macet</v>
      </c>
      <c r="M1437" s="5" t="str">
        <f t="shared" si="68"/>
        <v>004</v>
      </c>
      <c r="N1437" s="55" t="str">
        <f>VLOOKUP(D1437,Pinjaman!$E$7:$N$1900,10,FALSE)</f>
        <v>PRODUKTIF</v>
      </c>
      <c r="O1437" s="55">
        <f>VLOOKUP(B1437,'Data Angt'!$A$5:$H$5810,6,FALSE)</f>
        <v>62</v>
      </c>
      <c r="P1437" s="55" t="str">
        <f>VLOOKUP(B1437,'Data Angt'!$A$5:$H$5810,8,FALSE)</f>
        <v>Wiraswasta</v>
      </c>
    </row>
    <row r="1438" spans="1:16" x14ac:dyDescent="0.3">
      <c r="A1438" s="8">
        <v>1431</v>
      </c>
      <c r="B1438" s="9" t="s">
        <v>8088</v>
      </c>
      <c r="C1438" s="10" t="str">
        <f>VLOOKUP(B1438,'Data Angt'!$A$5:$B$5809,2,FALSE)</f>
        <v>A3659</v>
      </c>
      <c r="D1438" s="12" t="s">
        <v>10549</v>
      </c>
      <c r="E1438" s="13">
        <v>43882</v>
      </c>
      <c r="F1438" s="14">
        <v>44252</v>
      </c>
      <c r="G1438" s="15">
        <v>1500000</v>
      </c>
      <c r="H1438" s="16">
        <v>10</v>
      </c>
      <c r="I1438" s="17">
        <v>24</v>
      </c>
      <c r="J1438" s="15">
        <v>1363000</v>
      </c>
      <c r="K1438" s="98">
        <f t="shared" si="66"/>
        <v>55</v>
      </c>
      <c r="L1438" s="98" t="str">
        <f t="shared" si="67"/>
        <v>Macet</v>
      </c>
      <c r="M1438" s="5" t="str">
        <f t="shared" si="68"/>
        <v>004</v>
      </c>
      <c r="N1438" s="55" t="str">
        <f>VLOOKUP(D1438,Pinjaman!$E$7:$N$1900,10,FALSE)</f>
        <v>KONSUMTIF</v>
      </c>
      <c r="O1438" s="55">
        <f>VLOOKUP(B1438,'Data Angt'!$A$5:$H$5810,6,FALSE)</f>
        <v>44</v>
      </c>
      <c r="P1438" s="55" t="str">
        <f>VLOOKUP(B1438,'Data Angt'!$A$5:$H$5810,8,FALSE)</f>
        <v>Wiraswasta</v>
      </c>
    </row>
    <row r="1439" spans="1:16" x14ac:dyDescent="0.3">
      <c r="A1439" s="8">
        <v>1432</v>
      </c>
      <c r="B1439" s="9" t="s">
        <v>8090</v>
      </c>
      <c r="C1439" s="10" t="str">
        <f>VLOOKUP(B1439,'Data Angt'!$A$5:$B$5809,2,FALSE)</f>
        <v>A3660</v>
      </c>
      <c r="D1439" s="12" t="s">
        <v>10551</v>
      </c>
      <c r="E1439" s="13">
        <v>43882</v>
      </c>
      <c r="F1439" s="14">
        <v>44252</v>
      </c>
      <c r="G1439" s="15">
        <v>1500000</v>
      </c>
      <c r="H1439" s="16">
        <v>10</v>
      </c>
      <c r="I1439" s="17">
        <v>24</v>
      </c>
      <c r="J1439" s="15">
        <v>1363000</v>
      </c>
      <c r="K1439" s="98">
        <f t="shared" si="66"/>
        <v>55</v>
      </c>
      <c r="L1439" s="98" t="str">
        <f t="shared" si="67"/>
        <v>Macet</v>
      </c>
      <c r="M1439" s="5" t="str">
        <f t="shared" si="68"/>
        <v>004</v>
      </c>
      <c r="N1439" s="55" t="str">
        <f>VLOOKUP(D1439,Pinjaman!$E$7:$N$1900,10,FALSE)</f>
        <v>PENDIDIKAN</v>
      </c>
      <c r="O1439" s="55">
        <f>VLOOKUP(B1439,'Data Angt'!$A$5:$H$5810,6,FALSE)</f>
        <v>41</v>
      </c>
      <c r="P1439" s="55" t="str">
        <f>VLOOKUP(B1439,'Data Angt'!$A$5:$H$5810,8,FALSE)</f>
        <v>Wiraswasta</v>
      </c>
    </row>
    <row r="1440" spans="1:16" x14ac:dyDescent="0.3">
      <c r="A1440" s="8">
        <v>1433</v>
      </c>
      <c r="B1440" s="9" t="s">
        <v>8092</v>
      </c>
      <c r="C1440" s="10" t="str">
        <f>VLOOKUP(B1440,'Data Angt'!$A$5:$B$5809,2,FALSE)</f>
        <v>A3661</v>
      </c>
      <c r="D1440" s="12" t="s">
        <v>10553</v>
      </c>
      <c r="E1440" s="13">
        <v>43882</v>
      </c>
      <c r="F1440" s="14">
        <v>44252</v>
      </c>
      <c r="G1440" s="15">
        <v>1500000</v>
      </c>
      <c r="H1440" s="16">
        <v>10</v>
      </c>
      <c r="I1440" s="17">
        <v>24</v>
      </c>
      <c r="J1440" s="15">
        <v>1363000</v>
      </c>
      <c r="K1440" s="98">
        <f t="shared" si="66"/>
        <v>55</v>
      </c>
      <c r="L1440" s="98" t="str">
        <f t="shared" si="67"/>
        <v>Macet</v>
      </c>
      <c r="M1440" s="5" t="str">
        <f t="shared" si="68"/>
        <v>004</v>
      </c>
      <c r="N1440" s="55" t="str">
        <f>VLOOKUP(D1440,Pinjaman!$E$7:$N$1900,10,FALSE)</f>
        <v>PRODUKTIF</v>
      </c>
      <c r="O1440" s="55">
        <f>VLOOKUP(B1440,'Data Angt'!$A$5:$H$5810,6,FALSE)</f>
        <v>39</v>
      </c>
      <c r="P1440" s="55" t="str">
        <f>VLOOKUP(B1440,'Data Angt'!$A$5:$H$5810,8,FALSE)</f>
        <v>Wiraswasta</v>
      </c>
    </row>
    <row r="1441" spans="1:16" x14ac:dyDescent="0.3">
      <c r="A1441" s="8">
        <v>1434</v>
      </c>
      <c r="B1441" s="9" t="s">
        <v>8094</v>
      </c>
      <c r="C1441" s="10" t="str">
        <f>VLOOKUP(B1441,'Data Angt'!$A$5:$B$5809,2,FALSE)</f>
        <v>A3662</v>
      </c>
      <c r="D1441" s="12" t="s">
        <v>10555</v>
      </c>
      <c r="E1441" s="13">
        <v>43882</v>
      </c>
      <c r="F1441" s="14">
        <v>45668</v>
      </c>
      <c r="G1441" s="15">
        <v>1500000</v>
      </c>
      <c r="H1441" s="16">
        <v>10</v>
      </c>
      <c r="I1441" s="17">
        <v>24</v>
      </c>
      <c r="J1441" s="15">
        <v>1273300</v>
      </c>
      <c r="K1441" s="98">
        <f t="shared" si="66"/>
        <v>8</v>
      </c>
      <c r="L1441" s="98" t="str">
        <f t="shared" si="67"/>
        <v>Diragukan</v>
      </c>
      <c r="M1441" s="5" t="str">
        <f t="shared" si="68"/>
        <v>004</v>
      </c>
      <c r="N1441" s="55" t="str">
        <f>VLOOKUP(D1441,Pinjaman!$E$7:$N$1900,10,FALSE)</f>
        <v>PENDIDIKAN</v>
      </c>
      <c r="O1441" s="55">
        <f>VLOOKUP(B1441,'Data Angt'!$A$5:$H$5810,6,FALSE)</f>
        <v>49</v>
      </c>
      <c r="P1441" s="55" t="str">
        <f>VLOOKUP(B1441,'Data Angt'!$A$5:$H$5810,8,FALSE)</f>
        <v>Wiraswasta</v>
      </c>
    </row>
    <row r="1442" spans="1:16" x14ac:dyDescent="0.3">
      <c r="A1442" s="8">
        <v>1435</v>
      </c>
      <c r="B1442" s="9" t="s">
        <v>8165</v>
      </c>
      <c r="C1442" s="10" t="str">
        <f>VLOOKUP(B1442,'Data Angt'!$A$5:$B$5809,2,FALSE)</f>
        <v>A3697</v>
      </c>
      <c r="D1442" s="12" t="s">
        <v>17339</v>
      </c>
      <c r="E1442" s="13">
        <v>45776</v>
      </c>
      <c r="F1442" s="14">
        <v>45930</v>
      </c>
      <c r="G1442" s="15">
        <v>5000000</v>
      </c>
      <c r="H1442" s="16">
        <v>18</v>
      </c>
      <c r="I1442" s="17">
        <v>24</v>
      </c>
      <c r="J1442" s="15">
        <v>3611000</v>
      </c>
      <c r="K1442" s="98">
        <f t="shared" si="66"/>
        <v>0</v>
      </c>
      <c r="L1442" s="98" t="str">
        <f t="shared" si="67"/>
        <v>Lancar</v>
      </c>
      <c r="M1442" s="5" t="str">
        <f t="shared" si="68"/>
        <v>004</v>
      </c>
      <c r="N1442" s="55" t="str">
        <f>VLOOKUP(D1442,Pinjaman!$E$7:$N$1900,10,FALSE)</f>
        <v>KONSUMTIF</v>
      </c>
      <c r="O1442" s="55">
        <f>VLOOKUP(B1442,'Data Angt'!$A$5:$H$5810,6,FALSE)</f>
        <v>26</v>
      </c>
      <c r="P1442" s="55" t="str">
        <f>VLOOKUP(B1442,'Data Angt'!$A$5:$H$5810,8,FALSE)</f>
        <v>Karyawan</v>
      </c>
    </row>
    <row r="1443" spans="1:16" x14ac:dyDescent="0.3">
      <c r="A1443" s="8">
        <v>1436</v>
      </c>
      <c r="B1443" s="9" t="s">
        <v>8194</v>
      </c>
      <c r="C1443" s="10" t="str">
        <f>VLOOKUP(B1443,'Data Angt'!$A$5:$B$5809,2,FALSE)</f>
        <v>A3711</v>
      </c>
      <c r="D1443" s="12" t="s">
        <v>10557</v>
      </c>
      <c r="E1443" s="13">
        <v>45252</v>
      </c>
      <c r="F1443" s="14">
        <v>45922</v>
      </c>
      <c r="G1443" s="15">
        <v>25000000</v>
      </c>
      <c r="H1443" s="16">
        <v>36</v>
      </c>
      <c r="I1443" s="17">
        <v>21</v>
      </c>
      <c r="J1443" s="15">
        <v>11618800</v>
      </c>
      <c r="K1443" s="98">
        <f t="shared" si="66"/>
        <v>0</v>
      </c>
      <c r="L1443" s="98" t="str">
        <f t="shared" si="67"/>
        <v>Lancar</v>
      </c>
      <c r="M1443" s="5" t="str">
        <f t="shared" si="68"/>
        <v>004</v>
      </c>
      <c r="N1443" s="55" t="str">
        <f>VLOOKUP(D1443,Pinjaman!$E$7:$N$1900,10,FALSE)</f>
        <v>PRODUKTIF</v>
      </c>
      <c r="O1443" s="55">
        <f>VLOOKUP(B1443,'Data Angt'!$A$5:$H$5810,6,FALSE)</f>
        <v>44</v>
      </c>
      <c r="P1443" s="55" t="str">
        <f>VLOOKUP(B1443,'Data Angt'!$A$5:$H$5810,8,FALSE)</f>
        <v>Lain-Lain</v>
      </c>
    </row>
    <row r="1444" spans="1:16" x14ac:dyDescent="0.3">
      <c r="A1444" s="8">
        <v>1437</v>
      </c>
      <c r="B1444" s="9" t="s">
        <v>8366</v>
      </c>
      <c r="C1444" s="10" t="str">
        <f>VLOOKUP(B1444,'Data Angt'!$A$5:$B$5809,2,FALSE)</f>
        <v>A3792</v>
      </c>
      <c r="D1444" s="12" t="s">
        <v>10560</v>
      </c>
      <c r="E1444" s="13">
        <v>44368</v>
      </c>
      <c r="F1444" s="14">
        <v>45290</v>
      </c>
      <c r="G1444" s="15">
        <v>85000000</v>
      </c>
      <c r="H1444" s="16">
        <v>48</v>
      </c>
      <c r="I1444" s="17">
        <v>21</v>
      </c>
      <c r="J1444" s="15">
        <v>72603700</v>
      </c>
      <c r="K1444" s="98">
        <f t="shared" si="66"/>
        <v>21</v>
      </c>
      <c r="L1444" s="98" t="str">
        <f t="shared" si="67"/>
        <v>Macet</v>
      </c>
      <c r="M1444" s="5" t="str">
        <f t="shared" si="68"/>
        <v>004</v>
      </c>
      <c r="N1444" s="55" t="str">
        <f>VLOOKUP(D1444,Pinjaman!$E$7:$N$1900,10,FALSE)</f>
        <v>PRODUKTIF</v>
      </c>
      <c r="O1444" s="55">
        <f>VLOOKUP(B1444,'Data Angt'!$A$5:$H$5810,6,FALSE)</f>
        <v>36</v>
      </c>
      <c r="P1444" s="55" t="str">
        <f>VLOOKUP(B1444,'Data Angt'!$A$5:$H$5810,8,FALSE)</f>
        <v>Karyawan</v>
      </c>
    </row>
    <row r="1445" spans="1:16" x14ac:dyDescent="0.3">
      <c r="A1445" s="8">
        <v>1438</v>
      </c>
      <c r="B1445" s="9" t="s">
        <v>8435</v>
      </c>
      <c r="C1445" s="10" t="str">
        <f>VLOOKUP(B1445,'Data Angt'!$A$5:$B$5809,2,FALSE)</f>
        <v>A3824</v>
      </c>
      <c r="D1445" s="12" t="s">
        <v>17342</v>
      </c>
      <c r="E1445" s="13">
        <v>45667</v>
      </c>
      <c r="F1445" s="14">
        <v>45927</v>
      </c>
      <c r="G1445" s="15">
        <v>30000000</v>
      </c>
      <c r="H1445" s="16">
        <v>48</v>
      </c>
      <c r="I1445" s="17">
        <v>21</v>
      </c>
      <c r="J1445" s="15">
        <v>25000000</v>
      </c>
      <c r="K1445" s="98">
        <f t="shared" si="66"/>
        <v>0</v>
      </c>
      <c r="L1445" s="98" t="str">
        <f t="shared" si="67"/>
        <v>Lancar</v>
      </c>
      <c r="M1445" s="5" t="str">
        <f t="shared" si="68"/>
        <v>004</v>
      </c>
      <c r="N1445" s="55" t="str">
        <f>VLOOKUP(D1445,Pinjaman!$E$7:$N$1900,10,FALSE)</f>
        <v>KONSUMTIF</v>
      </c>
      <c r="O1445" s="55">
        <f>VLOOKUP(B1445,'Data Angt'!$A$5:$H$5810,6,FALSE)</f>
        <v>20</v>
      </c>
      <c r="P1445" s="55" t="str">
        <f>VLOOKUP(B1445,'Data Angt'!$A$5:$H$5810,8,FALSE)</f>
        <v>Tenaga Pengajar</v>
      </c>
    </row>
    <row r="1446" spans="1:16" x14ac:dyDescent="0.3">
      <c r="A1446" s="8">
        <v>1439</v>
      </c>
      <c r="B1446" s="9" t="s">
        <v>8437</v>
      </c>
      <c r="C1446" s="10" t="str">
        <f>VLOOKUP(B1446,'Data Angt'!$A$5:$B$5809,2,FALSE)</f>
        <v>A3825</v>
      </c>
      <c r="D1446" s="12" t="s">
        <v>17344</v>
      </c>
      <c r="E1446" s="13">
        <v>45628</v>
      </c>
      <c r="F1446" s="14">
        <v>45894</v>
      </c>
      <c r="G1446" s="15">
        <v>1500000</v>
      </c>
      <c r="H1446" s="16">
        <v>12</v>
      </c>
      <c r="I1446" s="17">
        <v>11.9</v>
      </c>
      <c r="J1446" s="15">
        <v>519600</v>
      </c>
      <c r="K1446" s="98">
        <f t="shared" si="66"/>
        <v>1</v>
      </c>
      <c r="L1446" s="98" t="str">
        <f t="shared" si="67"/>
        <v>Lancar</v>
      </c>
      <c r="M1446" s="5" t="str">
        <f t="shared" si="68"/>
        <v>004</v>
      </c>
      <c r="N1446" s="55" t="str">
        <f>VLOOKUP(D1446,Pinjaman!$E$7:$N$1900,10,FALSE)</f>
        <v>PENDIDIKAN</v>
      </c>
      <c r="O1446" s="55">
        <f>VLOOKUP(B1446,'Data Angt'!$A$5:$H$5810,6,FALSE)</f>
        <v>56</v>
      </c>
      <c r="P1446" s="55" t="str">
        <f>VLOOKUP(B1446,'Data Angt'!$A$5:$H$5810,8,FALSE)</f>
        <v>Wiraswasta</v>
      </c>
    </row>
    <row r="1447" spans="1:16" x14ac:dyDescent="0.3">
      <c r="A1447" s="8">
        <v>1440</v>
      </c>
      <c r="B1447" s="9" t="s">
        <v>8437</v>
      </c>
      <c r="C1447" s="10" t="str">
        <f>VLOOKUP(B1447,'Data Angt'!$A$5:$B$5809,2,FALSE)</f>
        <v>A3825</v>
      </c>
      <c r="D1447" s="12" t="s">
        <v>17346</v>
      </c>
      <c r="E1447" s="13">
        <v>45712</v>
      </c>
      <c r="F1447" s="14">
        <v>45869</v>
      </c>
      <c r="G1447" s="15">
        <v>35000000</v>
      </c>
      <c r="H1447" s="16">
        <v>48</v>
      </c>
      <c r="I1447" s="17">
        <v>21</v>
      </c>
      <c r="J1447" s="15">
        <v>33064900</v>
      </c>
      <c r="K1447" s="98">
        <f t="shared" si="66"/>
        <v>1</v>
      </c>
      <c r="L1447" s="98" t="str">
        <f t="shared" si="67"/>
        <v>Lancar</v>
      </c>
      <c r="M1447" s="5" t="str">
        <f t="shared" si="68"/>
        <v>004</v>
      </c>
      <c r="N1447" s="55" t="str">
        <f>VLOOKUP(D1447,Pinjaman!$E$7:$N$1900,10,FALSE)</f>
        <v>PENDIDIKAN</v>
      </c>
      <c r="O1447" s="55">
        <f>VLOOKUP(B1447,'Data Angt'!$A$5:$H$5810,6,FALSE)</f>
        <v>56</v>
      </c>
      <c r="P1447" s="55" t="str">
        <f>VLOOKUP(B1447,'Data Angt'!$A$5:$H$5810,8,FALSE)</f>
        <v>Wiraswasta</v>
      </c>
    </row>
    <row r="1448" spans="1:16" x14ac:dyDescent="0.3">
      <c r="A1448" s="8">
        <v>1441</v>
      </c>
      <c r="B1448" s="9" t="s">
        <v>8455</v>
      </c>
      <c r="C1448" s="10" t="str">
        <f>VLOOKUP(B1448,'Data Angt'!$A$5:$B$5809,2,FALSE)</f>
        <v>A3836</v>
      </c>
      <c r="D1448" s="12" t="s">
        <v>10563</v>
      </c>
      <c r="E1448" s="13">
        <v>44392</v>
      </c>
      <c r="F1448" s="14">
        <v>44865</v>
      </c>
      <c r="G1448" s="15">
        <v>1500000</v>
      </c>
      <c r="H1448" s="16">
        <v>5</v>
      </c>
      <c r="I1448" s="17">
        <v>24</v>
      </c>
      <c r="J1448" s="15">
        <v>377700</v>
      </c>
      <c r="K1448" s="98">
        <f t="shared" si="66"/>
        <v>34</v>
      </c>
      <c r="L1448" s="98" t="str">
        <f t="shared" si="67"/>
        <v>Macet</v>
      </c>
      <c r="M1448" s="5" t="str">
        <f t="shared" si="68"/>
        <v>004</v>
      </c>
      <c r="N1448" s="55" t="str">
        <f>VLOOKUP(D1448,Pinjaman!$E$7:$N$1900,10,FALSE)</f>
        <v>PRODUKTIF</v>
      </c>
      <c r="O1448" s="55">
        <f>VLOOKUP(B1448,'Data Angt'!$A$5:$H$5810,6,FALSE)</f>
        <v>29</v>
      </c>
      <c r="P1448" s="55" t="str">
        <f>VLOOKUP(B1448,'Data Angt'!$A$5:$H$5810,8,FALSE)</f>
        <v>Wiraswasta</v>
      </c>
    </row>
    <row r="1449" spans="1:16" x14ac:dyDescent="0.3">
      <c r="A1449" s="8">
        <v>1442</v>
      </c>
      <c r="B1449" s="9" t="s">
        <v>8495</v>
      </c>
      <c r="C1449" s="10" t="str">
        <f>VLOOKUP(B1449,'Data Angt'!$A$5:$B$5809,2,FALSE)</f>
        <v>A3852</v>
      </c>
      <c r="D1449" s="12" t="s">
        <v>10566</v>
      </c>
      <c r="E1449" s="13">
        <v>44658</v>
      </c>
      <c r="F1449" s="14">
        <v>45926</v>
      </c>
      <c r="G1449" s="15">
        <v>150000000</v>
      </c>
      <c r="H1449" s="16">
        <v>60</v>
      </c>
      <c r="I1449" s="17">
        <v>21</v>
      </c>
      <c r="J1449" s="15">
        <v>19384000</v>
      </c>
      <c r="K1449" s="98">
        <f t="shared" si="66"/>
        <v>0</v>
      </c>
      <c r="L1449" s="98" t="str">
        <f t="shared" si="67"/>
        <v>Lancar</v>
      </c>
      <c r="M1449" s="5" t="str">
        <f t="shared" si="68"/>
        <v>004</v>
      </c>
      <c r="N1449" s="55" t="str">
        <f>VLOOKUP(D1449,Pinjaman!$E$7:$N$1900,10,FALSE)</f>
        <v>KESEJAHTERAAN</v>
      </c>
      <c r="O1449" s="55">
        <f>VLOOKUP(B1449,'Data Angt'!$A$5:$H$5810,6,FALSE)</f>
        <v>44</v>
      </c>
      <c r="P1449" s="55" t="str">
        <f>VLOOKUP(B1449,'Data Angt'!$A$5:$H$5810,8,FALSE)</f>
        <v>Wiraswasta</v>
      </c>
    </row>
    <row r="1450" spans="1:16" x14ac:dyDescent="0.3">
      <c r="A1450" s="8">
        <v>1443</v>
      </c>
      <c r="B1450" s="9" t="s">
        <v>8502</v>
      </c>
      <c r="C1450" s="10" t="str">
        <f>VLOOKUP(B1450,'Data Angt'!$A$5:$B$5809,2,FALSE)</f>
        <v>A3855</v>
      </c>
      <c r="D1450" s="12" t="s">
        <v>17349</v>
      </c>
      <c r="E1450" s="13">
        <v>45559</v>
      </c>
      <c r="F1450" s="14">
        <v>45927</v>
      </c>
      <c r="G1450" s="15">
        <v>3000000</v>
      </c>
      <c r="H1450" s="16">
        <v>24</v>
      </c>
      <c r="I1450" s="17">
        <v>24</v>
      </c>
      <c r="J1450" s="15">
        <v>1500000</v>
      </c>
      <c r="K1450" s="98">
        <f t="shared" si="66"/>
        <v>0</v>
      </c>
      <c r="L1450" s="98" t="str">
        <f t="shared" si="67"/>
        <v>Lancar</v>
      </c>
      <c r="M1450" s="5" t="str">
        <f t="shared" si="68"/>
        <v>004</v>
      </c>
      <c r="N1450" s="55" t="str">
        <f>VLOOKUP(D1450,Pinjaman!$E$7:$N$1900,10,FALSE)</f>
        <v>KONSUMTIF</v>
      </c>
      <c r="O1450" s="55">
        <f>VLOOKUP(B1450,'Data Angt'!$A$5:$H$5810,6,FALSE)</f>
        <v>64</v>
      </c>
      <c r="P1450" s="55" t="str">
        <f>VLOOKUP(B1450,'Data Angt'!$A$5:$H$5810,8,FALSE)</f>
        <v>Wiraswasta</v>
      </c>
    </row>
    <row r="1451" spans="1:16" x14ac:dyDescent="0.3">
      <c r="A1451" s="8">
        <v>1444</v>
      </c>
      <c r="B1451" s="9" t="s">
        <v>8558</v>
      </c>
      <c r="C1451" s="10" t="str">
        <f>VLOOKUP(B1451,'Data Angt'!$A$5:$B$5809,2,FALSE)</f>
        <v>A3882</v>
      </c>
      <c r="D1451" s="12" t="s">
        <v>17351</v>
      </c>
      <c r="E1451" s="13">
        <v>45667</v>
      </c>
      <c r="F1451" s="14">
        <v>45929</v>
      </c>
      <c r="G1451" s="15">
        <v>2500000</v>
      </c>
      <c r="H1451" s="16">
        <v>12</v>
      </c>
      <c r="I1451" s="17">
        <v>24</v>
      </c>
      <c r="J1451" s="15">
        <v>832800</v>
      </c>
      <c r="K1451" s="98">
        <f t="shared" si="66"/>
        <v>0</v>
      </c>
      <c r="L1451" s="98" t="str">
        <f t="shared" si="67"/>
        <v>Lancar</v>
      </c>
      <c r="M1451" s="5" t="str">
        <f t="shared" si="68"/>
        <v>004</v>
      </c>
      <c r="N1451" s="55" t="str">
        <f>VLOOKUP(D1451,Pinjaman!$E$7:$N$1900,10,FALSE)</f>
        <v>PRODUKTIF</v>
      </c>
      <c r="O1451" s="55">
        <f>VLOOKUP(B1451,'Data Angt'!$A$5:$H$5810,6,FALSE)</f>
        <v>58</v>
      </c>
      <c r="P1451" s="55" t="str">
        <f>VLOOKUP(B1451,'Data Angt'!$A$5:$H$5810,8,FALSE)</f>
        <v>Wiraswasta</v>
      </c>
    </row>
    <row r="1452" spans="1:16" x14ac:dyDescent="0.3">
      <c r="A1452" s="8">
        <v>1445</v>
      </c>
      <c r="B1452" s="9" t="s">
        <v>8652</v>
      </c>
      <c r="C1452" s="10" t="str">
        <f>VLOOKUP(B1452,'Data Angt'!$A$5:$B$5809,2,FALSE)</f>
        <v>A3925</v>
      </c>
      <c r="D1452" s="12" t="s">
        <v>17354</v>
      </c>
      <c r="E1452" s="13">
        <v>45775</v>
      </c>
      <c r="F1452" s="14">
        <v>45929</v>
      </c>
      <c r="G1452" s="15">
        <v>6000000</v>
      </c>
      <c r="H1452" s="16">
        <v>12</v>
      </c>
      <c r="I1452" s="17">
        <v>24</v>
      </c>
      <c r="J1452" s="15">
        <v>3500000</v>
      </c>
      <c r="K1452" s="98">
        <f t="shared" si="66"/>
        <v>0</v>
      </c>
      <c r="L1452" s="98" t="str">
        <f t="shared" si="67"/>
        <v>Lancar</v>
      </c>
      <c r="M1452" s="5" t="str">
        <f t="shared" si="68"/>
        <v>004</v>
      </c>
      <c r="N1452" s="55" t="str">
        <f>VLOOKUP(D1452,Pinjaman!$E$7:$N$1900,10,FALSE)</f>
        <v>KONSUMTIF</v>
      </c>
      <c r="O1452" s="55">
        <f>VLOOKUP(B1452,'Data Angt'!$A$5:$H$5810,6,FALSE)</f>
        <v>57</v>
      </c>
      <c r="P1452" s="55" t="str">
        <f>VLOOKUP(B1452,'Data Angt'!$A$5:$H$5810,8,FALSE)</f>
        <v>Mengurus Rumah Tangga</v>
      </c>
    </row>
    <row r="1453" spans="1:16" x14ac:dyDescent="0.3">
      <c r="A1453" s="8">
        <v>1446</v>
      </c>
      <c r="B1453" s="9" t="s">
        <v>8697</v>
      </c>
      <c r="C1453" s="10" t="str">
        <f>VLOOKUP(B1453,'Data Angt'!$A$5:$B$5809,2,FALSE)</f>
        <v>A3947</v>
      </c>
      <c r="D1453" s="12" t="s">
        <v>17356</v>
      </c>
      <c r="E1453" s="13">
        <v>45723</v>
      </c>
      <c r="F1453" s="14">
        <v>45911</v>
      </c>
      <c r="G1453" s="15">
        <v>3000000</v>
      </c>
      <c r="H1453" s="16">
        <v>24</v>
      </c>
      <c r="I1453" s="17">
        <v>24</v>
      </c>
      <c r="J1453" s="15">
        <v>2250000</v>
      </c>
      <c r="K1453" s="98">
        <f t="shared" si="66"/>
        <v>0</v>
      </c>
      <c r="L1453" s="98" t="str">
        <f t="shared" si="67"/>
        <v>Lancar</v>
      </c>
      <c r="M1453" s="5" t="str">
        <f t="shared" si="68"/>
        <v>004</v>
      </c>
      <c r="N1453" s="55" t="str">
        <f>VLOOKUP(D1453,Pinjaman!$E$7:$N$1900,10,FALSE)</f>
        <v>PRODUKTIF</v>
      </c>
      <c r="O1453" s="55">
        <f>VLOOKUP(B1453,'Data Angt'!$A$5:$H$5810,6,FALSE)</f>
        <v>51</v>
      </c>
      <c r="P1453" s="55" t="str">
        <f>VLOOKUP(B1453,'Data Angt'!$A$5:$H$5810,8,FALSE)</f>
        <v>Mengurus Rumah Tangga</v>
      </c>
    </row>
    <row r="1454" spans="1:16" x14ac:dyDescent="0.3">
      <c r="A1454" s="8">
        <v>1447</v>
      </c>
      <c r="B1454" s="9" t="s">
        <v>8813</v>
      </c>
      <c r="C1454" s="10" t="str">
        <f>VLOOKUP(B1454,'Data Angt'!$A$5:$B$5809,2,FALSE)</f>
        <v>A4001</v>
      </c>
      <c r="D1454" s="12" t="s">
        <v>17359</v>
      </c>
      <c r="E1454" s="13">
        <v>45801</v>
      </c>
      <c r="F1454" s="14">
        <v>45924</v>
      </c>
      <c r="G1454" s="15">
        <v>2000000</v>
      </c>
      <c r="H1454" s="16">
        <v>6</v>
      </c>
      <c r="I1454" s="17">
        <v>24</v>
      </c>
      <c r="J1454" s="15">
        <v>666400</v>
      </c>
      <c r="K1454" s="98">
        <f t="shared" si="66"/>
        <v>0</v>
      </c>
      <c r="L1454" s="98" t="str">
        <f t="shared" si="67"/>
        <v>Lancar</v>
      </c>
      <c r="M1454" s="5" t="str">
        <f t="shared" si="68"/>
        <v>004</v>
      </c>
      <c r="N1454" s="55" t="str">
        <f>VLOOKUP(D1454,Pinjaman!$E$7:$N$1900,10,FALSE)</f>
        <v>KONSUMTIF</v>
      </c>
      <c r="O1454" s="55">
        <f>VLOOKUP(B1454,'Data Angt'!$A$5:$H$5810,6,FALSE)</f>
        <v>40</v>
      </c>
      <c r="P1454" s="55" t="str">
        <f>VLOOKUP(B1454,'Data Angt'!$A$5:$H$5810,8,FALSE)</f>
        <v>Wiraswasta</v>
      </c>
    </row>
    <row r="1455" spans="1:16" x14ac:dyDescent="0.3">
      <c r="A1455" s="8">
        <v>1448</v>
      </c>
      <c r="B1455" s="9" t="s">
        <v>8820</v>
      </c>
      <c r="C1455" s="10" t="str">
        <f>VLOOKUP(B1455,'Data Angt'!$A$5:$B$5809,2,FALSE)</f>
        <v>A4004</v>
      </c>
      <c r="D1455" s="12" t="s">
        <v>17362</v>
      </c>
      <c r="E1455" s="13">
        <v>45757</v>
      </c>
      <c r="F1455" s="14">
        <v>45916</v>
      </c>
      <c r="G1455" s="15">
        <v>3000000</v>
      </c>
      <c r="H1455" s="16">
        <v>18</v>
      </c>
      <c r="I1455" s="17">
        <v>24</v>
      </c>
      <c r="J1455" s="15">
        <v>2166500</v>
      </c>
      <c r="K1455" s="98">
        <f t="shared" si="66"/>
        <v>0</v>
      </c>
      <c r="L1455" s="98" t="str">
        <f t="shared" si="67"/>
        <v>Lancar</v>
      </c>
      <c r="M1455" s="5" t="str">
        <f t="shared" si="68"/>
        <v>004</v>
      </c>
      <c r="N1455" s="55" t="str">
        <f>VLOOKUP(D1455,Pinjaman!$E$7:$N$1900,10,FALSE)</f>
        <v>KONSUMTIF</v>
      </c>
      <c r="O1455" s="55">
        <f>VLOOKUP(B1455,'Data Angt'!$A$5:$H$5810,6,FALSE)</f>
        <v>49</v>
      </c>
      <c r="P1455" s="55" t="str">
        <f>VLOOKUP(B1455,'Data Angt'!$A$5:$H$5810,8,FALSE)</f>
        <v>Wiraswasta</v>
      </c>
    </row>
    <row r="1456" spans="1:16" x14ac:dyDescent="0.3">
      <c r="A1456" s="8">
        <v>1449</v>
      </c>
      <c r="B1456" s="9" t="s">
        <v>8888</v>
      </c>
      <c r="C1456" s="10" t="str">
        <f>VLOOKUP(B1456,'Data Angt'!$A$5:$B$5809,2,FALSE)</f>
        <v>A4037</v>
      </c>
      <c r="D1456" s="12" t="s">
        <v>23593</v>
      </c>
      <c r="E1456" s="13">
        <v>45854</v>
      </c>
      <c r="F1456" s="14">
        <v>45927</v>
      </c>
      <c r="G1456" s="15">
        <v>3000000</v>
      </c>
      <c r="H1456" s="16">
        <v>12</v>
      </c>
      <c r="I1456" s="17">
        <v>24</v>
      </c>
      <c r="J1456" s="15">
        <v>2548200</v>
      </c>
      <c r="K1456" s="98">
        <f t="shared" si="66"/>
        <v>0</v>
      </c>
      <c r="L1456" s="98" t="str">
        <f t="shared" si="67"/>
        <v>Lancar</v>
      </c>
      <c r="M1456" s="5" t="str">
        <f t="shared" si="68"/>
        <v>004</v>
      </c>
      <c r="N1456" s="55" t="str">
        <f>VLOOKUP(D1456,Pinjaman!$E$7:$N$1900,10,FALSE)</f>
        <v>PENDIDIKAN</v>
      </c>
      <c r="O1456" s="55">
        <f>VLOOKUP(B1456,'Data Angt'!$A$5:$H$5810,6,FALSE)</f>
        <v>52</v>
      </c>
      <c r="P1456" s="55" t="str">
        <f>VLOOKUP(B1456,'Data Angt'!$A$5:$H$5810,8,FALSE)</f>
        <v>Mengurus Rumah Tangga</v>
      </c>
    </row>
    <row r="1457" spans="1:16" x14ac:dyDescent="0.3">
      <c r="A1457" s="8">
        <v>1450</v>
      </c>
      <c r="B1457" s="9" t="s">
        <v>8891</v>
      </c>
      <c r="C1457" s="10" t="str">
        <f>VLOOKUP(B1457,'Data Angt'!$A$5:$B$5809,2,FALSE)</f>
        <v>A4039</v>
      </c>
      <c r="D1457" s="12" t="s">
        <v>17364</v>
      </c>
      <c r="E1457" s="13">
        <v>45726</v>
      </c>
      <c r="F1457" s="14">
        <v>45916</v>
      </c>
      <c r="G1457" s="15">
        <v>2000000</v>
      </c>
      <c r="H1457" s="16">
        <v>12</v>
      </c>
      <c r="I1457" s="17">
        <v>24</v>
      </c>
      <c r="J1457" s="15">
        <v>999800</v>
      </c>
      <c r="K1457" s="98">
        <f t="shared" si="66"/>
        <v>0</v>
      </c>
      <c r="L1457" s="98" t="str">
        <f t="shared" si="67"/>
        <v>Lancar</v>
      </c>
      <c r="M1457" s="5" t="str">
        <f t="shared" si="68"/>
        <v>004</v>
      </c>
      <c r="N1457" s="55" t="str">
        <f>VLOOKUP(D1457,Pinjaman!$E$7:$N$1900,10,FALSE)</f>
        <v>PRODUKTIF</v>
      </c>
      <c r="O1457" s="55">
        <f>VLOOKUP(B1457,'Data Angt'!$A$5:$H$5810,6,FALSE)</f>
        <v>48</v>
      </c>
      <c r="P1457" s="55" t="str">
        <f>VLOOKUP(B1457,'Data Angt'!$A$5:$H$5810,8,FALSE)</f>
        <v>Mengurus Rumah Tangga</v>
      </c>
    </row>
    <row r="1458" spans="1:16" x14ac:dyDescent="0.3">
      <c r="A1458" s="8">
        <v>1451</v>
      </c>
      <c r="B1458" s="9" t="s">
        <v>8907</v>
      </c>
      <c r="C1458" s="10" t="str">
        <f>VLOOKUP(B1458,'Data Angt'!$A$5:$B$5809,2,FALSE)</f>
        <v>A4047</v>
      </c>
      <c r="D1458" s="12" t="s">
        <v>23595</v>
      </c>
      <c r="E1458" s="13">
        <v>45890</v>
      </c>
      <c r="F1458" s="14">
        <v>45918</v>
      </c>
      <c r="G1458" s="15">
        <v>3000000</v>
      </c>
      <c r="H1458" s="16">
        <v>12</v>
      </c>
      <c r="I1458" s="17">
        <v>24</v>
      </c>
      <c r="J1458" s="15">
        <v>2750000</v>
      </c>
      <c r="K1458" s="98">
        <f t="shared" si="66"/>
        <v>0</v>
      </c>
      <c r="L1458" s="98" t="str">
        <f t="shared" si="67"/>
        <v>Lancar</v>
      </c>
      <c r="M1458" s="5" t="str">
        <f t="shared" si="68"/>
        <v>004</v>
      </c>
      <c r="N1458" s="55" t="str">
        <f>VLOOKUP(D1458,Pinjaman!$E$7:$N$1900,10,FALSE)</f>
        <v>KONSUMTIF</v>
      </c>
      <c r="O1458" s="55">
        <f>VLOOKUP(B1458,'Data Angt'!$A$5:$H$5810,6,FALSE)</f>
        <v>24</v>
      </c>
      <c r="P1458" s="55" t="str">
        <f>VLOOKUP(B1458,'Data Angt'!$A$5:$H$5810,8,FALSE)</f>
        <v>Tenaga Pengajar</v>
      </c>
    </row>
    <row r="1459" spans="1:16" x14ac:dyDescent="0.3">
      <c r="A1459" s="8">
        <v>1452</v>
      </c>
      <c r="B1459" s="9" t="s">
        <v>8932</v>
      </c>
      <c r="C1459" s="10" t="str">
        <f>VLOOKUP(B1459,'Data Angt'!$A$5:$B$5809,2,FALSE)</f>
        <v>A4060</v>
      </c>
      <c r="D1459" s="12" t="s">
        <v>17366</v>
      </c>
      <c r="E1459" s="13">
        <v>45701</v>
      </c>
      <c r="F1459" s="14">
        <v>45916</v>
      </c>
      <c r="G1459" s="15">
        <v>5000000</v>
      </c>
      <c r="H1459" s="16">
        <v>12</v>
      </c>
      <c r="I1459" s="17">
        <v>24</v>
      </c>
      <c r="J1459" s="15">
        <v>2083100</v>
      </c>
      <c r="K1459" s="98">
        <f t="shared" si="66"/>
        <v>0</v>
      </c>
      <c r="L1459" s="98" t="str">
        <f t="shared" si="67"/>
        <v>Lancar</v>
      </c>
      <c r="M1459" s="5" t="str">
        <f t="shared" si="68"/>
        <v>004</v>
      </c>
      <c r="N1459" s="55" t="str">
        <f>VLOOKUP(D1459,Pinjaman!$E$7:$N$1900,10,FALSE)</f>
        <v>PENDIDIKAN</v>
      </c>
      <c r="O1459" s="55">
        <f>VLOOKUP(B1459,'Data Angt'!$A$5:$H$5810,6,FALSE)</f>
        <v>31</v>
      </c>
      <c r="P1459" s="55" t="str">
        <f>VLOOKUP(B1459,'Data Angt'!$A$5:$H$5810,8,FALSE)</f>
        <v>Karyawan</v>
      </c>
    </row>
    <row r="1460" spans="1:16" x14ac:dyDescent="0.3">
      <c r="A1460" s="8">
        <v>1453</v>
      </c>
      <c r="B1460" s="9" t="s">
        <v>9027</v>
      </c>
      <c r="C1460" s="10" t="str">
        <f>VLOOKUP(B1460,'Data Angt'!$A$5:$B$5809,2,FALSE)</f>
        <v>A4104</v>
      </c>
      <c r="D1460" s="12" t="s">
        <v>17368</v>
      </c>
      <c r="E1460" s="13">
        <v>45727</v>
      </c>
      <c r="F1460" s="14">
        <v>45911</v>
      </c>
      <c r="G1460" s="15">
        <v>2500000</v>
      </c>
      <c r="H1460" s="16">
        <v>18</v>
      </c>
      <c r="I1460" s="17">
        <v>24</v>
      </c>
      <c r="J1460" s="15">
        <v>1666600</v>
      </c>
      <c r="K1460" s="98">
        <f t="shared" si="66"/>
        <v>0</v>
      </c>
      <c r="L1460" s="98" t="str">
        <f t="shared" si="67"/>
        <v>Lancar</v>
      </c>
      <c r="M1460" s="5" t="str">
        <f t="shared" si="68"/>
        <v>004</v>
      </c>
      <c r="N1460" s="55" t="str">
        <f>VLOOKUP(D1460,Pinjaman!$E$7:$N$1900,10,FALSE)</f>
        <v>PRODUKTIF</v>
      </c>
      <c r="O1460" s="55">
        <f>VLOOKUP(B1460,'Data Angt'!$A$5:$H$5810,6,FALSE)</f>
        <v>50</v>
      </c>
      <c r="P1460" s="55" t="str">
        <f>VLOOKUP(B1460,'Data Angt'!$A$5:$H$5810,8,FALSE)</f>
        <v>Wiraswasta</v>
      </c>
    </row>
    <row r="1461" spans="1:16" x14ac:dyDescent="0.3">
      <c r="A1461" s="8">
        <v>1454</v>
      </c>
      <c r="B1461" s="9" t="s">
        <v>9032</v>
      </c>
      <c r="C1461" s="10" t="str">
        <f>VLOOKUP(B1461,'Data Angt'!$A$5:$B$5809,2,FALSE)</f>
        <v>A4106</v>
      </c>
      <c r="D1461" s="12" t="s">
        <v>17371</v>
      </c>
      <c r="E1461" s="13">
        <v>45706</v>
      </c>
      <c r="F1461" s="14">
        <v>45929</v>
      </c>
      <c r="G1461" s="15">
        <v>3500000</v>
      </c>
      <c r="H1461" s="16">
        <v>12</v>
      </c>
      <c r="I1461" s="17">
        <v>24</v>
      </c>
      <c r="J1461" s="15">
        <v>1458100</v>
      </c>
      <c r="K1461" s="98">
        <f t="shared" si="66"/>
        <v>0</v>
      </c>
      <c r="L1461" s="98" t="str">
        <f t="shared" si="67"/>
        <v>Lancar</v>
      </c>
      <c r="M1461" s="5" t="str">
        <f t="shared" si="68"/>
        <v>004</v>
      </c>
      <c r="N1461" s="55" t="str">
        <f>VLOOKUP(D1461,Pinjaman!$E$7:$N$1900,10,FALSE)</f>
        <v>KONSUMTIF</v>
      </c>
      <c r="O1461" s="55">
        <f>VLOOKUP(B1461,'Data Angt'!$A$5:$H$5810,6,FALSE)</f>
        <v>30</v>
      </c>
      <c r="P1461" s="55" t="str">
        <f>VLOOKUP(B1461,'Data Angt'!$A$5:$H$5810,8,FALSE)</f>
        <v>Karyawan</v>
      </c>
    </row>
    <row r="1462" spans="1:16" x14ac:dyDescent="0.3">
      <c r="A1462" s="8">
        <v>1455</v>
      </c>
      <c r="B1462" s="9" t="s">
        <v>12589</v>
      </c>
      <c r="C1462" s="10" t="str">
        <f>VLOOKUP(B1462,'Data Angt'!$A$5:$B$5809,2,FALSE)</f>
        <v>A4108</v>
      </c>
      <c r="D1462" s="12" t="s">
        <v>17373</v>
      </c>
      <c r="E1462" s="13">
        <v>45693</v>
      </c>
      <c r="F1462" s="14">
        <v>45909</v>
      </c>
      <c r="G1462" s="15">
        <v>2600000</v>
      </c>
      <c r="H1462" s="16">
        <v>10</v>
      </c>
      <c r="I1462" s="17">
        <v>24</v>
      </c>
      <c r="J1462" s="15">
        <v>780000</v>
      </c>
      <c r="K1462" s="98">
        <f t="shared" si="66"/>
        <v>0</v>
      </c>
      <c r="L1462" s="98" t="str">
        <f t="shared" si="67"/>
        <v>Lancar</v>
      </c>
      <c r="M1462" s="5" t="str">
        <f t="shared" si="68"/>
        <v>004</v>
      </c>
      <c r="N1462" s="55" t="str">
        <f>VLOOKUP(D1462,Pinjaman!$E$7:$N$1900,10,FALSE)</f>
        <v>KONSUMTIF</v>
      </c>
      <c r="O1462" s="55">
        <f>VLOOKUP(B1462,'Data Angt'!$A$5:$H$5810,6,FALSE)</f>
        <v>35</v>
      </c>
      <c r="P1462" s="55" t="str">
        <f>VLOOKUP(B1462,'Data Angt'!$A$5:$H$5810,8,FALSE)</f>
        <v>Mengurus Rumah Tangga</v>
      </c>
    </row>
    <row r="1463" spans="1:16" x14ac:dyDescent="0.3">
      <c r="A1463" s="8">
        <v>1456</v>
      </c>
      <c r="B1463" s="9" t="s">
        <v>9035</v>
      </c>
      <c r="C1463" s="10" t="str">
        <f>VLOOKUP(B1463,'Data Angt'!$A$5:$B$5809,2,FALSE)</f>
        <v>A4109</v>
      </c>
      <c r="D1463" s="12" t="s">
        <v>17375</v>
      </c>
      <c r="E1463" s="13">
        <v>45506</v>
      </c>
      <c r="F1463" s="14">
        <v>45915</v>
      </c>
      <c r="G1463" s="15">
        <v>8000000</v>
      </c>
      <c r="H1463" s="16">
        <v>20</v>
      </c>
      <c r="I1463" s="17">
        <v>24</v>
      </c>
      <c r="J1463" s="15">
        <v>3390500</v>
      </c>
      <c r="K1463" s="98">
        <f t="shared" si="66"/>
        <v>0</v>
      </c>
      <c r="L1463" s="98" t="str">
        <f t="shared" si="67"/>
        <v>Lancar</v>
      </c>
      <c r="M1463" s="5" t="str">
        <f t="shared" si="68"/>
        <v>004</v>
      </c>
      <c r="N1463" s="55" t="str">
        <f>VLOOKUP(D1463,Pinjaman!$E$7:$N$1900,10,FALSE)</f>
        <v>KONSUMTIF</v>
      </c>
      <c r="O1463" s="55">
        <f>VLOOKUP(B1463,'Data Angt'!$A$5:$H$5810,6,FALSE)</f>
        <v>29</v>
      </c>
      <c r="P1463" s="55" t="str">
        <f>VLOOKUP(B1463,'Data Angt'!$A$5:$H$5810,8,FALSE)</f>
        <v>Karyawan</v>
      </c>
    </row>
    <row r="1464" spans="1:16" x14ac:dyDescent="0.3">
      <c r="A1464" s="8">
        <v>1457</v>
      </c>
      <c r="B1464" s="9" t="s">
        <v>9038</v>
      </c>
      <c r="C1464" s="10" t="str">
        <f>VLOOKUP(B1464,'Data Angt'!$A$5:$B$5809,2,FALSE)</f>
        <v>A4110</v>
      </c>
      <c r="D1464" s="12" t="s">
        <v>23600</v>
      </c>
      <c r="E1464" s="13">
        <v>45842</v>
      </c>
      <c r="F1464" s="14">
        <v>45908</v>
      </c>
      <c r="G1464" s="15">
        <v>3000000</v>
      </c>
      <c r="H1464" s="16">
        <v>12</v>
      </c>
      <c r="I1464" s="17">
        <v>24</v>
      </c>
      <c r="J1464" s="15">
        <v>2500000</v>
      </c>
      <c r="K1464" s="98">
        <f t="shared" si="66"/>
        <v>0</v>
      </c>
      <c r="L1464" s="98" t="str">
        <f t="shared" si="67"/>
        <v>Lancar</v>
      </c>
      <c r="M1464" s="5" t="str">
        <f t="shared" si="68"/>
        <v>004</v>
      </c>
      <c r="N1464" s="55" t="str">
        <f>VLOOKUP(D1464,Pinjaman!$E$7:$N$1900,10,FALSE)</f>
        <v>PRODUKTIF</v>
      </c>
      <c r="O1464" s="55">
        <f>VLOOKUP(B1464,'Data Angt'!$A$5:$H$5810,6,FALSE)</f>
        <v>30</v>
      </c>
      <c r="P1464" s="55" t="str">
        <f>VLOOKUP(B1464,'Data Angt'!$A$5:$H$5810,8,FALSE)</f>
        <v>Mengurus Rumah Tangga</v>
      </c>
    </row>
    <row r="1465" spans="1:16" x14ac:dyDescent="0.3">
      <c r="A1465" s="8">
        <v>1458</v>
      </c>
      <c r="B1465" s="9" t="s">
        <v>9040</v>
      </c>
      <c r="C1465" s="10" t="str">
        <f>VLOOKUP(B1465,'Data Angt'!$A$5:$B$5809,2,FALSE)</f>
        <v>A4111</v>
      </c>
      <c r="D1465" s="12" t="s">
        <v>23602</v>
      </c>
      <c r="E1465" s="13">
        <v>45878</v>
      </c>
      <c r="F1465" s="14">
        <v>45911</v>
      </c>
      <c r="G1465" s="15">
        <v>3000000</v>
      </c>
      <c r="H1465" s="16">
        <v>12</v>
      </c>
      <c r="I1465" s="17">
        <v>24</v>
      </c>
      <c r="J1465" s="15">
        <v>2750000</v>
      </c>
      <c r="K1465" s="98">
        <f t="shared" si="66"/>
        <v>0</v>
      </c>
      <c r="L1465" s="98" t="str">
        <f t="shared" si="67"/>
        <v>Lancar</v>
      </c>
      <c r="M1465" s="5" t="str">
        <f t="shared" si="68"/>
        <v>004</v>
      </c>
      <c r="N1465" s="55" t="str">
        <f>VLOOKUP(D1465,Pinjaman!$E$7:$N$1900,10,FALSE)</f>
        <v>PRODUKTIF</v>
      </c>
      <c r="O1465" s="55">
        <f>VLOOKUP(B1465,'Data Angt'!$A$5:$H$5810,6,FALSE)</f>
        <v>25</v>
      </c>
      <c r="P1465" s="55" t="str">
        <f>VLOOKUP(B1465,'Data Angt'!$A$5:$H$5810,8,FALSE)</f>
        <v>Karyawan</v>
      </c>
    </row>
    <row r="1466" spans="1:16" x14ac:dyDescent="0.3">
      <c r="A1466" s="8">
        <v>1459</v>
      </c>
      <c r="B1466" s="9" t="s">
        <v>9046</v>
      </c>
      <c r="C1466" s="10" t="str">
        <f>VLOOKUP(B1466,'Data Angt'!$A$5:$B$5809,2,FALSE)</f>
        <v>A4113</v>
      </c>
      <c r="D1466" s="12" t="s">
        <v>17378</v>
      </c>
      <c r="E1466" s="13">
        <v>45667</v>
      </c>
      <c r="F1466" s="14">
        <v>45910</v>
      </c>
      <c r="G1466" s="15">
        <v>2000000</v>
      </c>
      <c r="H1466" s="16">
        <v>12</v>
      </c>
      <c r="I1466" s="17">
        <v>24</v>
      </c>
      <c r="J1466" s="15">
        <v>666400</v>
      </c>
      <c r="K1466" s="98">
        <f t="shared" si="66"/>
        <v>0</v>
      </c>
      <c r="L1466" s="98" t="str">
        <f t="shared" si="67"/>
        <v>Lancar</v>
      </c>
      <c r="M1466" s="5" t="str">
        <f t="shared" si="68"/>
        <v>004</v>
      </c>
      <c r="N1466" s="55" t="str">
        <f>VLOOKUP(D1466,Pinjaman!$E$7:$N$1900,10,FALSE)</f>
        <v>PRODUKTIF</v>
      </c>
      <c r="O1466" s="55">
        <f>VLOOKUP(B1466,'Data Angt'!$A$5:$H$5810,6,FALSE)</f>
        <v>61</v>
      </c>
      <c r="P1466" s="55" t="str">
        <f>VLOOKUP(B1466,'Data Angt'!$A$5:$H$5810,8,FALSE)</f>
        <v>Wiraswasta</v>
      </c>
    </row>
    <row r="1467" spans="1:16" x14ac:dyDescent="0.3">
      <c r="A1467" s="8">
        <v>1460</v>
      </c>
      <c r="B1467" s="9" t="s">
        <v>9050</v>
      </c>
      <c r="C1467" s="10" t="str">
        <f>VLOOKUP(B1467,'Data Angt'!$A$5:$B$5809,2,FALSE)</f>
        <v>A4115</v>
      </c>
      <c r="D1467" s="12" t="s">
        <v>17381</v>
      </c>
      <c r="E1467" s="13">
        <v>45722</v>
      </c>
      <c r="F1467" s="14">
        <v>45909</v>
      </c>
      <c r="G1467" s="15">
        <v>3000000</v>
      </c>
      <c r="H1467" s="16">
        <v>12</v>
      </c>
      <c r="I1467" s="17">
        <v>24</v>
      </c>
      <c r="J1467" s="15">
        <v>1589200</v>
      </c>
      <c r="K1467" s="98">
        <f t="shared" si="66"/>
        <v>0</v>
      </c>
      <c r="L1467" s="98" t="str">
        <f t="shared" si="67"/>
        <v>Lancar</v>
      </c>
      <c r="M1467" s="5" t="str">
        <f t="shared" si="68"/>
        <v>004</v>
      </c>
      <c r="N1467" s="55" t="str">
        <f>VLOOKUP(D1467,Pinjaman!$E$7:$N$1900,10,FALSE)</f>
        <v>PRODUKTIF</v>
      </c>
      <c r="O1467" s="55">
        <f>VLOOKUP(B1467,'Data Angt'!$A$5:$H$5810,6,FALSE)</f>
        <v>28</v>
      </c>
      <c r="P1467" s="55" t="str">
        <f>VLOOKUP(B1467,'Data Angt'!$A$5:$H$5810,8,FALSE)</f>
        <v>Tenaga Pengajar</v>
      </c>
    </row>
    <row r="1468" spans="1:16" x14ac:dyDescent="0.3">
      <c r="A1468" s="8">
        <v>1461</v>
      </c>
      <c r="B1468" s="9" t="s">
        <v>9052</v>
      </c>
      <c r="C1468" s="10" t="str">
        <f>VLOOKUP(B1468,'Data Angt'!$A$5:$B$5809,2,FALSE)</f>
        <v>A4116</v>
      </c>
      <c r="D1468" s="12" t="s">
        <v>17383</v>
      </c>
      <c r="E1468" s="13">
        <v>45722</v>
      </c>
      <c r="F1468" s="14">
        <v>45910</v>
      </c>
      <c r="G1468" s="15">
        <v>3000000</v>
      </c>
      <c r="H1468" s="16">
        <v>12</v>
      </c>
      <c r="I1468" s="17">
        <v>24</v>
      </c>
      <c r="J1468" s="15">
        <v>1589200</v>
      </c>
      <c r="K1468" s="98">
        <f t="shared" si="66"/>
        <v>0</v>
      </c>
      <c r="L1468" s="98" t="str">
        <f t="shared" si="67"/>
        <v>Lancar</v>
      </c>
      <c r="M1468" s="5" t="str">
        <f t="shared" si="68"/>
        <v>004</v>
      </c>
      <c r="N1468" s="55" t="str">
        <f>VLOOKUP(D1468,Pinjaman!$E$7:$N$1900,10,FALSE)</f>
        <v>PRODUKTIF</v>
      </c>
      <c r="O1468" s="55">
        <f>VLOOKUP(B1468,'Data Angt'!$A$5:$H$5810,6,FALSE)</f>
        <v>28</v>
      </c>
      <c r="P1468" s="55" t="str">
        <f>VLOOKUP(B1468,'Data Angt'!$A$5:$H$5810,8,FALSE)</f>
        <v>Tenaga Pengajar</v>
      </c>
    </row>
    <row r="1469" spans="1:16" x14ac:dyDescent="0.3">
      <c r="A1469" s="8">
        <v>1462</v>
      </c>
      <c r="B1469" s="9" t="s">
        <v>9054</v>
      </c>
      <c r="C1469" s="10" t="str">
        <f>VLOOKUP(B1469,'Data Angt'!$A$5:$B$5809,2,FALSE)</f>
        <v>A4117</v>
      </c>
      <c r="D1469" s="12" t="s">
        <v>23604</v>
      </c>
      <c r="E1469" s="13">
        <v>45911</v>
      </c>
      <c r="F1469" s="14">
        <v>45911</v>
      </c>
      <c r="G1469" s="15">
        <v>55000000</v>
      </c>
      <c r="H1469" s="16">
        <v>12</v>
      </c>
      <c r="I1469" s="17">
        <v>21</v>
      </c>
      <c r="J1469" s="15">
        <v>55000000</v>
      </c>
      <c r="K1469" s="98">
        <f t="shared" si="66"/>
        <v>0</v>
      </c>
      <c r="L1469" s="98" t="str">
        <f t="shared" si="67"/>
        <v>Lancar</v>
      </c>
      <c r="M1469" s="5" t="str">
        <f t="shared" si="68"/>
        <v>004</v>
      </c>
      <c r="N1469" s="55" t="str">
        <f>VLOOKUP(D1469,Pinjaman!$E$7:$N$1900,10,FALSE)</f>
        <v>PENDIDIKAN</v>
      </c>
      <c r="O1469" s="55">
        <f>VLOOKUP(B1469,'Data Angt'!$A$5:$H$5810,6,FALSE)</f>
        <v>33</v>
      </c>
      <c r="P1469" s="55" t="str">
        <f>VLOOKUP(B1469,'Data Angt'!$A$5:$H$5810,8,FALSE)</f>
        <v>Tenaga Pengajar</v>
      </c>
    </row>
    <row r="1470" spans="1:16" x14ac:dyDescent="0.3">
      <c r="A1470" s="8">
        <v>1463</v>
      </c>
      <c r="B1470" s="9" t="s">
        <v>9090</v>
      </c>
      <c r="C1470" s="10" t="str">
        <f>VLOOKUP(B1470,'Data Angt'!$A$5:$B$5809,2,FALSE)</f>
        <v>A4136</v>
      </c>
      <c r="D1470" s="12" t="s">
        <v>23608</v>
      </c>
      <c r="E1470" s="13">
        <v>45852</v>
      </c>
      <c r="F1470" s="14">
        <v>45915</v>
      </c>
      <c r="G1470" s="15">
        <v>6500000</v>
      </c>
      <c r="H1470" s="16">
        <v>24</v>
      </c>
      <c r="I1470" s="17">
        <v>24</v>
      </c>
      <c r="J1470" s="15">
        <v>5958200</v>
      </c>
      <c r="K1470" s="98">
        <f t="shared" si="66"/>
        <v>0</v>
      </c>
      <c r="L1470" s="98" t="str">
        <f t="shared" si="67"/>
        <v>Lancar</v>
      </c>
      <c r="M1470" s="5" t="str">
        <f t="shared" si="68"/>
        <v>004</v>
      </c>
      <c r="N1470" s="55" t="str">
        <f>VLOOKUP(D1470,Pinjaman!$E$7:$N$1900,10,FALSE)</f>
        <v>KONSUMTIF</v>
      </c>
      <c r="O1470" s="55">
        <f>VLOOKUP(B1470,'Data Angt'!$A$5:$H$5810,6,FALSE)</f>
        <v>30</v>
      </c>
      <c r="P1470" s="55" t="str">
        <f>VLOOKUP(B1470,'Data Angt'!$A$5:$H$5810,8,FALSE)</f>
        <v>Mengurus Rumah Tangga</v>
      </c>
    </row>
    <row r="1471" spans="1:16" x14ac:dyDescent="0.3">
      <c r="A1471" s="8">
        <v>1464</v>
      </c>
      <c r="B1471" s="9" t="s">
        <v>9145</v>
      </c>
      <c r="C1471" s="10" t="str">
        <f>VLOOKUP(B1471,'Data Angt'!$A$5:$B$5809,2,FALSE)</f>
        <v>A4160</v>
      </c>
      <c r="D1471" s="12" t="s">
        <v>10574</v>
      </c>
      <c r="E1471" s="13">
        <v>45125</v>
      </c>
      <c r="F1471" s="14">
        <v>45744</v>
      </c>
      <c r="G1471" s="15">
        <v>2000000</v>
      </c>
      <c r="H1471" s="16">
        <v>12</v>
      </c>
      <c r="I1471" s="17">
        <v>24</v>
      </c>
      <c r="J1471" s="15">
        <v>1666600</v>
      </c>
      <c r="K1471" s="98">
        <f t="shared" si="66"/>
        <v>6</v>
      </c>
      <c r="L1471" s="98" t="str">
        <f t="shared" si="67"/>
        <v>Kurang lancar</v>
      </c>
      <c r="M1471" s="5" t="str">
        <f t="shared" si="68"/>
        <v>004</v>
      </c>
      <c r="N1471" s="55" t="str">
        <f>VLOOKUP(D1471,Pinjaman!$E$7:$N$1900,10,FALSE)</f>
        <v>PRODUKTIF</v>
      </c>
      <c r="O1471" s="55">
        <f>VLOOKUP(B1471,'Data Angt'!$A$5:$H$5810,6,FALSE)</f>
        <v>50</v>
      </c>
      <c r="P1471" s="55" t="str">
        <f>VLOOKUP(B1471,'Data Angt'!$A$5:$H$5810,8,FALSE)</f>
        <v>Wiraswasta</v>
      </c>
    </row>
    <row r="1472" spans="1:16" x14ac:dyDescent="0.3">
      <c r="A1472" s="8">
        <v>1465</v>
      </c>
      <c r="B1472" s="9" t="s">
        <v>9155</v>
      </c>
      <c r="C1472" s="10" t="str">
        <f>VLOOKUP(B1472,'Data Angt'!$A$5:$B$5809,2,FALSE)</f>
        <v>A4165</v>
      </c>
      <c r="D1472" s="12" t="s">
        <v>17385</v>
      </c>
      <c r="E1472" s="13">
        <v>45807</v>
      </c>
      <c r="F1472" s="14">
        <v>45919</v>
      </c>
      <c r="G1472" s="15">
        <v>2500000</v>
      </c>
      <c r="H1472" s="16">
        <v>12</v>
      </c>
      <c r="I1472" s="17">
        <v>24</v>
      </c>
      <c r="J1472" s="15">
        <v>1666400</v>
      </c>
      <c r="K1472" s="98">
        <f t="shared" si="66"/>
        <v>0</v>
      </c>
      <c r="L1472" s="98" t="str">
        <f t="shared" si="67"/>
        <v>Lancar</v>
      </c>
      <c r="M1472" s="5" t="str">
        <f t="shared" si="68"/>
        <v>004</v>
      </c>
      <c r="N1472" s="55" t="str">
        <f>VLOOKUP(D1472,Pinjaman!$E$7:$N$1900,10,FALSE)</f>
        <v>PRODUKTIF</v>
      </c>
      <c r="O1472" s="55">
        <f>VLOOKUP(B1472,'Data Angt'!$A$5:$H$5810,6,FALSE)</f>
        <v>37</v>
      </c>
      <c r="P1472" s="55" t="str">
        <f>VLOOKUP(B1472,'Data Angt'!$A$5:$H$5810,8,FALSE)</f>
        <v>Wiraswasta</v>
      </c>
    </row>
    <row r="1473" spans="1:16" x14ac:dyDescent="0.3">
      <c r="A1473" s="8">
        <v>1466</v>
      </c>
      <c r="B1473" s="9" t="s">
        <v>9209</v>
      </c>
      <c r="C1473" s="10" t="str">
        <f>VLOOKUP(B1473,'Data Angt'!$A$5:$B$5809,2,FALSE)</f>
        <v>A4191</v>
      </c>
      <c r="D1473" s="12" t="s">
        <v>23611</v>
      </c>
      <c r="E1473" s="13">
        <v>45895</v>
      </c>
      <c r="F1473" s="14">
        <v>45930</v>
      </c>
      <c r="G1473" s="15">
        <v>3000000</v>
      </c>
      <c r="H1473" s="16">
        <v>12</v>
      </c>
      <c r="I1473" s="17">
        <v>24</v>
      </c>
      <c r="J1473" s="15">
        <v>2750000</v>
      </c>
      <c r="K1473" s="98">
        <f t="shared" si="66"/>
        <v>0</v>
      </c>
      <c r="L1473" s="98" t="str">
        <f t="shared" si="67"/>
        <v>Lancar</v>
      </c>
      <c r="M1473" s="5" t="str">
        <f t="shared" si="68"/>
        <v>004</v>
      </c>
      <c r="N1473" s="55" t="str">
        <f>VLOOKUP(D1473,Pinjaman!$E$7:$N$1900,10,FALSE)</f>
        <v>PENDIDIKAN</v>
      </c>
      <c r="O1473" s="55">
        <f>VLOOKUP(B1473,'Data Angt'!$A$5:$H$5810,6,FALSE)</f>
        <v>51</v>
      </c>
      <c r="P1473" s="55" t="str">
        <f>VLOOKUP(B1473,'Data Angt'!$A$5:$H$5810,8,FALSE)</f>
        <v>Aparatur/Pejabat Negara</v>
      </c>
    </row>
    <row r="1474" spans="1:16" x14ac:dyDescent="0.3">
      <c r="A1474" s="8">
        <v>1467</v>
      </c>
      <c r="B1474" s="9" t="s">
        <v>9213</v>
      </c>
      <c r="C1474" s="10" t="str">
        <f>VLOOKUP(B1474,'Data Angt'!$A$5:$B$5809,2,FALSE)</f>
        <v>A4192</v>
      </c>
      <c r="D1474" s="12" t="s">
        <v>17388</v>
      </c>
      <c r="E1474" s="13">
        <v>45784</v>
      </c>
      <c r="F1474" s="14">
        <v>45930</v>
      </c>
      <c r="G1474" s="15">
        <v>3000000</v>
      </c>
      <c r="H1474" s="16">
        <v>12</v>
      </c>
      <c r="I1474" s="17">
        <v>24</v>
      </c>
      <c r="J1474" s="15">
        <v>2250000</v>
      </c>
      <c r="K1474" s="98">
        <f t="shared" si="66"/>
        <v>0</v>
      </c>
      <c r="L1474" s="98" t="str">
        <f t="shared" si="67"/>
        <v>Lancar</v>
      </c>
      <c r="M1474" s="5" t="str">
        <f t="shared" si="68"/>
        <v>004</v>
      </c>
      <c r="N1474" s="55" t="str">
        <f>VLOOKUP(D1474,Pinjaman!$E$7:$N$1900,10,FALSE)</f>
        <v>KONSUMTIF</v>
      </c>
      <c r="O1474" s="55">
        <f>VLOOKUP(B1474,'Data Angt'!$A$5:$H$5810,6,FALSE)</f>
        <v>31</v>
      </c>
      <c r="P1474" s="55" t="str">
        <f>VLOOKUP(B1474,'Data Angt'!$A$5:$H$5810,8,FALSE)</f>
        <v>Karyawan</v>
      </c>
    </row>
    <row r="1475" spans="1:16" x14ac:dyDescent="0.3">
      <c r="A1475" s="8">
        <v>1468</v>
      </c>
      <c r="B1475" s="9" t="s">
        <v>9281</v>
      </c>
      <c r="C1475" s="10" t="str">
        <f>VLOOKUP(B1475,'Data Angt'!$A$5:$B$5809,2,FALSE)</f>
        <v>A4220</v>
      </c>
      <c r="D1475" s="12" t="s">
        <v>23613</v>
      </c>
      <c r="E1475" s="13">
        <v>45842</v>
      </c>
      <c r="F1475" s="14">
        <v>45908</v>
      </c>
      <c r="G1475" s="15">
        <v>3000000</v>
      </c>
      <c r="H1475" s="16">
        <v>12</v>
      </c>
      <c r="I1475" s="17">
        <v>24</v>
      </c>
      <c r="J1475" s="15">
        <v>2500000</v>
      </c>
      <c r="K1475" s="98">
        <f t="shared" si="66"/>
        <v>0</v>
      </c>
      <c r="L1475" s="98" t="str">
        <f t="shared" si="67"/>
        <v>Lancar</v>
      </c>
      <c r="M1475" s="5" t="str">
        <f t="shared" si="68"/>
        <v>004</v>
      </c>
      <c r="N1475" s="55" t="str">
        <f>VLOOKUP(D1475,Pinjaman!$E$7:$N$1900,10,FALSE)</f>
        <v>PENDIDIKAN</v>
      </c>
      <c r="O1475" s="55">
        <f>VLOOKUP(B1475,'Data Angt'!$A$5:$H$5810,6,FALSE)</f>
        <v>39</v>
      </c>
      <c r="P1475" s="55" t="str">
        <f>VLOOKUP(B1475,'Data Angt'!$A$5:$H$5810,8,FALSE)</f>
        <v>Tenaga Pengajar</v>
      </c>
    </row>
    <row r="1476" spans="1:16" x14ac:dyDescent="0.3">
      <c r="A1476" s="8">
        <v>1469</v>
      </c>
      <c r="B1476" s="9" t="s">
        <v>9287</v>
      </c>
      <c r="C1476" s="10" t="str">
        <f>VLOOKUP(B1476,'Data Angt'!$A$5:$B$5809,2,FALSE)</f>
        <v>A4222</v>
      </c>
      <c r="D1476" s="12" t="s">
        <v>23616</v>
      </c>
      <c r="E1476" s="13">
        <v>45918</v>
      </c>
      <c r="F1476" s="14">
        <v>45918</v>
      </c>
      <c r="G1476" s="15">
        <v>2000000</v>
      </c>
      <c r="H1476" s="16">
        <v>12</v>
      </c>
      <c r="I1476" s="17">
        <v>24</v>
      </c>
      <c r="J1476" s="15">
        <v>2000000</v>
      </c>
      <c r="K1476" s="98">
        <f t="shared" si="66"/>
        <v>0</v>
      </c>
      <c r="L1476" s="98" t="str">
        <f t="shared" si="67"/>
        <v>Lancar</v>
      </c>
      <c r="M1476" s="5" t="str">
        <f t="shared" si="68"/>
        <v>004</v>
      </c>
      <c r="N1476" s="55" t="str">
        <f>VLOOKUP(D1476,Pinjaman!$E$7:$N$1900,10,FALSE)</f>
        <v>PENDIDIKAN</v>
      </c>
      <c r="O1476" s="55">
        <f>VLOOKUP(B1476,'Data Angt'!$A$5:$H$5810,6,FALSE)</f>
        <v>48</v>
      </c>
      <c r="P1476" s="55" t="str">
        <f>VLOOKUP(B1476,'Data Angt'!$A$5:$H$5810,8,FALSE)</f>
        <v>Wiraswasta</v>
      </c>
    </row>
    <row r="1477" spans="1:16" x14ac:dyDescent="0.3">
      <c r="A1477" s="8">
        <v>1470</v>
      </c>
      <c r="B1477" s="9" t="s">
        <v>9321</v>
      </c>
      <c r="C1477" s="10" t="str">
        <f>VLOOKUP(B1477,'Data Angt'!$A$5:$B$5809,2,FALSE)</f>
        <v>A4237</v>
      </c>
      <c r="D1477" s="12" t="s">
        <v>23618</v>
      </c>
      <c r="E1477" s="13">
        <v>45880</v>
      </c>
      <c r="F1477" s="14">
        <v>45911</v>
      </c>
      <c r="G1477" s="15">
        <v>3000000</v>
      </c>
      <c r="H1477" s="16">
        <v>12</v>
      </c>
      <c r="I1477" s="17">
        <v>24</v>
      </c>
      <c r="J1477" s="15">
        <v>2750000</v>
      </c>
      <c r="K1477" s="98">
        <f t="shared" si="66"/>
        <v>0</v>
      </c>
      <c r="L1477" s="98" t="str">
        <f t="shared" si="67"/>
        <v>Lancar</v>
      </c>
      <c r="M1477" s="5" t="str">
        <f t="shared" si="68"/>
        <v>004</v>
      </c>
      <c r="N1477" s="55" t="str">
        <f>VLOOKUP(D1477,Pinjaman!$E$7:$N$1900,10,FALSE)</f>
        <v>PENDIDIKAN</v>
      </c>
      <c r="O1477" s="55">
        <f>VLOOKUP(B1477,'Data Angt'!$A$5:$H$5810,6,FALSE)</f>
        <v>58</v>
      </c>
      <c r="P1477" s="55" t="str">
        <f>VLOOKUP(B1477,'Data Angt'!$A$5:$H$5810,8,FALSE)</f>
        <v>Wiraswasta</v>
      </c>
    </row>
    <row r="1478" spans="1:16" x14ac:dyDescent="0.3">
      <c r="A1478" s="8">
        <v>1471</v>
      </c>
      <c r="B1478" s="9" t="s">
        <v>9322</v>
      </c>
      <c r="C1478" s="10" t="str">
        <f>VLOOKUP(B1478,'Data Angt'!$A$5:$B$5809,2,FALSE)</f>
        <v>A4238</v>
      </c>
      <c r="D1478" s="12" t="s">
        <v>10577</v>
      </c>
      <c r="E1478" s="13">
        <v>45188</v>
      </c>
      <c r="F1478" s="14">
        <v>45573</v>
      </c>
      <c r="G1478" s="15">
        <v>2000000</v>
      </c>
      <c r="H1478" s="16">
        <v>12</v>
      </c>
      <c r="I1478" s="17">
        <v>24</v>
      </c>
      <c r="J1478" s="15">
        <v>833100</v>
      </c>
      <c r="K1478" s="98">
        <f t="shared" si="66"/>
        <v>11</v>
      </c>
      <c r="L1478" s="98" t="str">
        <f t="shared" si="67"/>
        <v>Diragukan</v>
      </c>
      <c r="M1478" s="5" t="str">
        <f t="shared" si="68"/>
        <v>004</v>
      </c>
      <c r="N1478" s="55" t="str">
        <f>VLOOKUP(D1478,Pinjaman!$E$7:$N$1900,10,FALSE)</f>
        <v>PRODUKTIF</v>
      </c>
      <c r="O1478" s="55">
        <f>VLOOKUP(B1478,'Data Angt'!$A$5:$H$5810,6,FALSE)</f>
        <v>40</v>
      </c>
      <c r="P1478" s="55" t="str">
        <f>VLOOKUP(B1478,'Data Angt'!$A$5:$H$5810,8,FALSE)</f>
        <v>Wiraswasta</v>
      </c>
    </row>
    <row r="1479" spans="1:16" x14ac:dyDescent="0.3">
      <c r="A1479" s="8">
        <v>1472</v>
      </c>
      <c r="B1479" s="9" t="s">
        <v>9374</v>
      </c>
      <c r="C1479" s="10" t="str">
        <f>VLOOKUP(B1479,'Data Angt'!$A$5:$B$5809,2,FALSE)</f>
        <v>A4264</v>
      </c>
      <c r="D1479" s="12" t="s">
        <v>17391</v>
      </c>
      <c r="E1479" s="13">
        <v>45722</v>
      </c>
      <c r="F1479" s="14">
        <v>45930</v>
      </c>
      <c r="G1479" s="15">
        <v>3000000</v>
      </c>
      <c r="H1479" s="16">
        <v>12</v>
      </c>
      <c r="I1479" s="17">
        <v>24</v>
      </c>
      <c r="J1479" s="15">
        <v>1589200</v>
      </c>
      <c r="K1479" s="98">
        <f t="shared" si="66"/>
        <v>0</v>
      </c>
      <c r="L1479" s="98" t="str">
        <f t="shared" si="67"/>
        <v>Lancar</v>
      </c>
      <c r="M1479" s="5" t="str">
        <f t="shared" si="68"/>
        <v>004</v>
      </c>
      <c r="N1479" s="55" t="str">
        <f>VLOOKUP(D1479,Pinjaman!$E$7:$N$1900,10,FALSE)</f>
        <v>PRODUKTIF</v>
      </c>
      <c r="O1479" s="55">
        <f>VLOOKUP(B1479,'Data Angt'!$A$5:$H$5810,6,FALSE)</f>
        <v>26</v>
      </c>
      <c r="P1479" s="55" t="str">
        <f>VLOOKUP(B1479,'Data Angt'!$A$5:$H$5810,8,FALSE)</f>
        <v>Tenaga Pengajar</v>
      </c>
    </row>
    <row r="1480" spans="1:16" x14ac:dyDescent="0.3">
      <c r="A1480" s="8">
        <v>1473</v>
      </c>
      <c r="B1480" s="9" t="s">
        <v>9375</v>
      </c>
      <c r="C1480" s="10" t="str">
        <f>VLOOKUP(B1480,'Data Angt'!$A$5:$B$5809,2,FALSE)</f>
        <v>A4265</v>
      </c>
      <c r="D1480" s="12" t="s">
        <v>17393</v>
      </c>
      <c r="E1480" s="13">
        <v>45707</v>
      </c>
      <c r="F1480" s="14">
        <v>45930</v>
      </c>
      <c r="G1480" s="15">
        <v>10000000</v>
      </c>
      <c r="H1480" s="16">
        <v>18</v>
      </c>
      <c r="I1480" s="17">
        <v>24</v>
      </c>
      <c r="J1480" s="15">
        <v>7053700</v>
      </c>
      <c r="K1480" s="98">
        <f t="shared" si="66"/>
        <v>0</v>
      </c>
      <c r="L1480" s="98" t="str">
        <f t="shared" si="67"/>
        <v>Lancar</v>
      </c>
      <c r="M1480" s="5" t="str">
        <f t="shared" si="68"/>
        <v>004</v>
      </c>
      <c r="N1480" s="55" t="str">
        <f>VLOOKUP(D1480,Pinjaman!$E$7:$N$1900,10,FALSE)</f>
        <v>PRODUKTIF</v>
      </c>
      <c r="O1480" s="55">
        <f>VLOOKUP(B1480,'Data Angt'!$A$5:$H$5810,6,FALSE)</f>
        <v>57</v>
      </c>
      <c r="P1480" s="55" t="str">
        <f>VLOOKUP(B1480,'Data Angt'!$A$5:$H$5810,8,FALSE)</f>
        <v>Tenaga Pengajar</v>
      </c>
    </row>
    <row r="1481" spans="1:16" x14ac:dyDescent="0.3">
      <c r="A1481" s="8">
        <v>1474</v>
      </c>
      <c r="B1481" s="9" t="s">
        <v>9404</v>
      </c>
      <c r="C1481" s="10" t="str">
        <f>VLOOKUP(B1481,'Data Angt'!$A$5:$B$5809,2,FALSE)</f>
        <v>A4278</v>
      </c>
      <c r="D1481" s="12" t="s">
        <v>17395</v>
      </c>
      <c r="E1481" s="13">
        <v>45441</v>
      </c>
      <c r="F1481" s="14">
        <v>45920</v>
      </c>
      <c r="G1481" s="15">
        <v>25000000</v>
      </c>
      <c r="H1481" s="16">
        <v>36</v>
      </c>
      <c r="I1481" s="17">
        <v>21</v>
      </c>
      <c r="J1481" s="15">
        <v>15812700</v>
      </c>
      <c r="K1481" s="98">
        <f t="shared" ref="K1481:K1544" si="69">DATEDIF(F1481,$K$6,"m")</f>
        <v>0</v>
      </c>
      <c r="L1481" s="98" t="str">
        <f t="shared" ref="L1481:L1544" si="70">IF(K1481&lt;=3,"Lancar",IF(K1481&lt;=6,"Kurang lancar",IF(K1481&lt;=12,"Diragukan","Macet")))</f>
        <v>Lancar</v>
      </c>
      <c r="M1481" s="5" t="str">
        <f t="shared" ref="M1481:M1544" si="71">MID(B1481,7,3)</f>
        <v>004</v>
      </c>
      <c r="N1481" s="55" t="str">
        <f>VLOOKUP(D1481,Pinjaman!$E$7:$N$1900,10,FALSE)</f>
        <v>KONSUMTIF</v>
      </c>
      <c r="O1481" s="55">
        <f>VLOOKUP(B1481,'Data Angt'!$A$5:$H$5810,6,FALSE)</f>
        <v>25</v>
      </c>
      <c r="P1481" s="55" t="str">
        <f>VLOOKUP(B1481,'Data Angt'!$A$5:$H$5810,8,FALSE)</f>
        <v>Wiraswasta</v>
      </c>
    </row>
    <row r="1482" spans="1:16" x14ac:dyDescent="0.3">
      <c r="A1482" s="8">
        <v>1475</v>
      </c>
      <c r="B1482" s="9" t="s">
        <v>9404</v>
      </c>
      <c r="C1482" s="10" t="str">
        <f>VLOOKUP(B1482,'Data Angt'!$A$5:$B$5809,2,FALSE)</f>
        <v>A4278</v>
      </c>
      <c r="D1482" s="12" t="s">
        <v>23621</v>
      </c>
      <c r="E1482" s="13">
        <v>45880</v>
      </c>
      <c r="F1482" s="14">
        <v>45924</v>
      </c>
      <c r="G1482" s="15">
        <v>2000000</v>
      </c>
      <c r="H1482" s="16">
        <v>10</v>
      </c>
      <c r="I1482" s="17">
        <v>24</v>
      </c>
      <c r="J1482" s="15">
        <v>1800000</v>
      </c>
      <c r="K1482" s="98">
        <f t="shared" si="69"/>
        <v>0</v>
      </c>
      <c r="L1482" s="98" t="str">
        <f t="shared" si="70"/>
        <v>Lancar</v>
      </c>
      <c r="M1482" s="5" t="str">
        <f t="shared" si="71"/>
        <v>004</v>
      </c>
      <c r="N1482" s="55" t="str">
        <f>VLOOKUP(D1482,Pinjaman!$E$7:$N$1900,10,FALSE)</f>
        <v>PRODUKTIF</v>
      </c>
      <c r="O1482" s="55">
        <f>VLOOKUP(B1482,'Data Angt'!$A$5:$H$5810,6,FALSE)</f>
        <v>25</v>
      </c>
      <c r="P1482" s="55" t="str">
        <f>VLOOKUP(B1482,'Data Angt'!$A$5:$H$5810,8,FALSE)</f>
        <v>Wiraswasta</v>
      </c>
    </row>
    <row r="1483" spans="1:16" x14ac:dyDescent="0.3">
      <c r="A1483" s="8">
        <v>1476</v>
      </c>
      <c r="B1483" s="9" t="s">
        <v>9412</v>
      </c>
      <c r="C1483" s="10" t="str">
        <f>VLOOKUP(B1483,'Data Angt'!$A$5:$B$5809,2,FALSE)</f>
        <v>A4282</v>
      </c>
      <c r="D1483" s="12" t="s">
        <v>17398</v>
      </c>
      <c r="E1483" s="13">
        <v>45827</v>
      </c>
      <c r="F1483" s="14">
        <v>45930</v>
      </c>
      <c r="G1483" s="15">
        <v>1500000</v>
      </c>
      <c r="H1483" s="16">
        <v>8</v>
      </c>
      <c r="I1483" s="17">
        <v>24</v>
      </c>
      <c r="J1483" s="15">
        <v>937500</v>
      </c>
      <c r="K1483" s="98">
        <f t="shared" si="69"/>
        <v>0</v>
      </c>
      <c r="L1483" s="98" t="str">
        <f t="shared" si="70"/>
        <v>Lancar</v>
      </c>
      <c r="M1483" s="5" t="str">
        <f t="shared" si="71"/>
        <v>004</v>
      </c>
      <c r="N1483" s="55" t="str">
        <f>VLOOKUP(D1483,Pinjaman!$E$7:$N$1900,10,FALSE)</f>
        <v>KONSUMTIF</v>
      </c>
      <c r="O1483" s="55">
        <f>VLOOKUP(B1483,'Data Angt'!$A$5:$H$5810,6,FALSE)</f>
        <v>47</v>
      </c>
      <c r="P1483" s="55" t="str">
        <f>VLOOKUP(B1483,'Data Angt'!$A$5:$H$5810,8,FALSE)</f>
        <v>Wiraswasta</v>
      </c>
    </row>
    <row r="1484" spans="1:16" x14ac:dyDescent="0.3">
      <c r="A1484" s="8">
        <v>1477</v>
      </c>
      <c r="B1484" s="9" t="s">
        <v>9415</v>
      </c>
      <c r="C1484" s="10" t="str">
        <f>VLOOKUP(B1484,'Data Angt'!$A$5:$B$5809,2,FALSE)</f>
        <v>A4283</v>
      </c>
      <c r="D1484" s="12" t="s">
        <v>17401</v>
      </c>
      <c r="E1484" s="13">
        <v>45573</v>
      </c>
      <c r="F1484" s="14">
        <v>45911</v>
      </c>
      <c r="G1484" s="15">
        <v>10000000</v>
      </c>
      <c r="H1484" s="16">
        <v>12</v>
      </c>
      <c r="I1484" s="17">
        <v>24</v>
      </c>
      <c r="J1484" s="15">
        <v>832600</v>
      </c>
      <c r="K1484" s="98">
        <f t="shared" si="69"/>
        <v>0</v>
      </c>
      <c r="L1484" s="98" t="str">
        <f t="shared" si="70"/>
        <v>Lancar</v>
      </c>
      <c r="M1484" s="5" t="str">
        <f t="shared" si="71"/>
        <v>004</v>
      </c>
      <c r="N1484" s="55" t="str">
        <f>VLOOKUP(D1484,Pinjaman!$E$7:$N$1900,10,FALSE)</f>
        <v>KONSUMTIF</v>
      </c>
      <c r="O1484" s="55">
        <f>VLOOKUP(B1484,'Data Angt'!$A$5:$H$5810,6,FALSE)</f>
        <v>53</v>
      </c>
      <c r="P1484" s="55" t="str">
        <f>VLOOKUP(B1484,'Data Angt'!$A$5:$H$5810,8,FALSE)</f>
        <v>Wiraswasta</v>
      </c>
    </row>
    <row r="1485" spans="1:16" x14ac:dyDescent="0.3">
      <c r="A1485" s="8">
        <v>1478</v>
      </c>
      <c r="B1485" s="9" t="s">
        <v>9436</v>
      </c>
      <c r="C1485" s="10" t="str">
        <f>VLOOKUP(B1485,'Data Angt'!$A$5:$B$5809,2,FALSE)</f>
        <v>A4293</v>
      </c>
      <c r="D1485" s="12" t="s">
        <v>23624</v>
      </c>
      <c r="E1485" s="13">
        <v>45891</v>
      </c>
      <c r="F1485" s="14">
        <v>45918</v>
      </c>
      <c r="G1485" s="15">
        <v>3000000</v>
      </c>
      <c r="H1485" s="16">
        <v>12</v>
      </c>
      <c r="I1485" s="17">
        <v>24</v>
      </c>
      <c r="J1485" s="15">
        <v>2750000</v>
      </c>
      <c r="K1485" s="98">
        <f t="shared" si="69"/>
        <v>0</v>
      </c>
      <c r="L1485" s="98" t="str">
        <f t="shared" si="70"/>
        <v>Lancar</v>
      </c>
      <c r="M1485" s="5" t="str">
        <f t="shared" si="71"/>
        <v>004</v>
      </c>
      <c r="N1485" s="55" t="str">
        <f>VLOOKUP(D1485,Pinjaman!$E$7:$N$1900,10,FALSE)</f>
        <v>PRODUKTIF</v>
      </c>
      <c r="O1485" s="55">
        <f>VLOOKUP(B1485,'Data Angt'!$A$5:$H$5810,6,FALSE)</f>
        <v>54</v>
      </c>
      <c r="P1485" s="55" t="str">
        <f>VLOOKUP(B1485,'Data Angt'!$A$5:$H$5810,8,FALSE)</f>
        <v>Tenaga Pengajar</v>
      </c>
    </row>
    <row r="1486" spans="1:16" x14ac:dyDescent="0.3">
      <c r="A1486" s="8">
        <v>1479</v>
      </c>
      <c r="B1486" s="9" t="s">
        <v>9439</v>
      </c>
      <c r="C1486" s="10" t="str">
        <f>VLOOKUP(B1486,'Data Angt'!$A$5:$B$5809,2,FALSE)</f>
        <v>A4294</v>
      </c>
      <c r="D1486" s="12" t="s">
        <v>10580</v>
      </c>
      <c r="E1486" s="13">
        <v>45241</v>
      </c>
      <c r="F1486" s="14">
        <v>45688</v>
      </c>
      <c r="G1486" s="15">
        <v>2000000</v>
      </c>
      <c r="H1486" s="16">
        <v>12</v>
      </c>
      <c r="I1486" s="17">
        <v>24</v>
      </c>
      <c r="J1486" s="15">
        <v>1248700</v>
      </c>
      <c r="K1486" s="98">
        <f t="shared" si="69"/>
        <v>7</v>
      </c>
      <c r="L1486" s="98" t="str">
        <f t="shared" si="70"/>
        <v>Diragukan</v>
      </c>
      <c r="M1486" s="5" t="str">
        <f t="shared" si="71"/>
        <v>004</v>
      </c>
      <c r="N1486" s="55" t="str">
        <f>VLOOKUP(D1486,Pinjaman!$E$7:$N$1900,10,FALSE)</f>
        <v>PENDIDIKAN</v>
      </c>
      <c r="O1486" s="55">
        <f>VLOOKUP(B1486,'Data Angt'!$A$5:$H$5810,6,FALSE)</f>
        <v>31</v>
      </c>
      <c r="P1486" s="55" t="str">
        <f>VLOOKUP(B1486,'Data Angt'!$A$5:$H$5810,8,FALSE)</f>
        <v>Karyawan</v>
      </c>
    </row>
    <row r="1487" spans="1:16" x14ac:dyDescent="0.3">
      <c r="A1487" s="8">
        <v>1480</v>
      </c>
      <c r="B1487" s="9" t="s">
        <v>9453</v>
      </c>
      <c r="C1487" s="10" t="str">
        <f>VLOOKUP(B1487,'Data Angt'!$A$5:$B$5809,2,FALSE)</f>
        <v>A4300</v>
      </c>
      <c r="D1487" s="12" t="s">
        <v>17403</v>
      </c>
      <c r="E1487" s="13">
        <v>45590</v>
      </c>
      <c r="F1487" s="14">
        <v>45925</v>
      </c>
      <c r="G1487" s="15">
        <v>25000000</v>
      </c>
      <c r="H1487" s="16">
        <v>24</v>
      </c>
      <c r="I1487" s="17">
        <v>21</v>
      </c>
      <c r="J1487" s="15">
        <v>14821600</v>
      </c>
      <c r="K1487" s="98">
        <f t="shared" si="69"/>
        <v>0</v>
      </c>
      <c r="L1487" s="98" t="str">
        <f t="shared" si="70"/>
        <v>Lancar</v>
      </c>
      <c r="M1487" s="5" t="str">
        <f t="shared" si="71"/>
        <v>004</v>
      </c>
      <c r="N1487" s="55" t="str">
        <f>VLOOKUP(D1487,Pinjaman!$E$7:$N$1900,10,FALSE)</f>
        <v>PRODUKTIF</v>
      </c>
      <c r="O1487" s="55">
        <f>VLOOKUP(B1487,'Data Angt'!$A$5:$H$5810,6,FALSE)</f>
        <v>56</v>
      </c>
      <c r="P1487" s="55" t="str">
        <f>VLOOKUP(B1487,'Data Angt'!$A$5:$H$5810,8,FALSE)</f>
        <v>Wiraswasta</v>
      </c>
    </row>
    <row r="1488" spans="1:16" x14ac:dyDescent="0.3">
      <c r="A1488" s="8">
        <v>1481</v>
      </c>
      <c r="B1488" s="9" t="s">
        <v>9485</v>
      </c>
      <c r="C1488" s="10" t="str">
        <f>VLOOKUP(B1488,'Data Angt'!$A$5:$B$5809,2,FALSE)</f>
        <v>A4315</v>
      </c>
      <c r="D1488" s="12" t="s">
        <v>23628</v>
      </c>
      <c r="E1488" s="13">
        <v>45924</v>
      </c>
      <c r="F1488" s="14">
        <v>45924</v>
      </c>
      <c r="G1488" s="15">
        <v>3500000</v>
      </c>
      <c r="H1488" s="16">
        <v>18</v>
      </c>
      <c r="I1488" s="17">
        <v>24</v>
      </c>
      <c r="J1488" s="15">
        <v>3500000</v>
      </c>
      <c r="K1488" s="98">
        <f t="shared" si="69"/>
        <v>0</v>
      </c>
      <c r="L1488" s="98" t="str">
        <f t="shared" si="70"/>
        <v>Lancar</v>
      </c>
      <c r="M1488" s="5" t="str">
        <f t="shared" si="71"/>
        <v>004</v>
      </c>
      <c r="N1488" s="55" t="str">
        <f>VLOOKUP(D1488,Pinjaman!$E$7:$N$1900,10,FALSE)</f>
        <v>KONSUMTIF</v>
      </c>
      <c r="O1488" s="55">
        <f>VLOOKUP(B1488,'Data Angt'!$A$5:$H$5810,6,FALSE)</f>
        <v>26</v>
      </c>
      <c r="P1488" s="55" t="str">
        <f>VLOOKUP(B1488,'Data Angt'!$A$5:$H$5810,8,FALSE)</f>
        <v>Karyawan</v>
      </c>
    </row>
    <row r="1489" spans="1:16" x14ac:dyDescent="0.3">
      <c r="A1489" s="8">
        <v>1482</v>
      </c>
      <c r="B1489" s="9" t="s">
        <v>9505</v>
      </c>
      <c r="C1489" s="10" t="str">
        <f>VLOOKUP(B1489,'Data Angt'!$A$5:$B$5809,2,FALSE)</f>
        <v>A4322</v>
      </c>
      <c r="D1489" s="12" t="s">
        <v>17406</v>
      </c>
      <c r="E1489" s="13">
        <v>45468</v>
      </c>
      <c r="F1489" s="14">
        <v>45743</v>
      </c>
      <c r="G1489" s="15">
        <v>2000000</v>
      </c>
      <c r="H1489" s="16">
        <v>10</v>
      </c>
      <c r="I1489" s="17">
        <v>24</v>
      </c>
      <c r="J1489" s="15">
        <v>600000</v>
      </c>
      <c r="K1489" s="98">
        <f t="shared" si="69"/>
        <v>6</v>
      </c>
      <c r="L1489" s="98" t="str">
        <f t="shared" si="70"/>
        <v>Kurang lancar</v>
      </c>
      <c r="M1489" s="5" t="str">
        <f t="shared" si="71"/>
        <v>004</v>
      </c>
      <c r="N1489" s="55" t="str">
        <f>VLOOKUP(D1489,Pinjaman!$E$7:$N$1900,10,FALSE)</f>
        <v>PENDIDIKAN</v>
      </c>
      <c r="O1489" s="55">
        <f>VLOOKUP(B1489,'Data Angt'!$A$5:$H$5810,6,FALSE)</f>
        <v>41</v>
      </c>
      <c r="P1489" s="55" t="str">
        <f>VLOOKUP(B1489,'Data Angt'!$A$5:$H$5810,8,FALSE)</f>
        <v>Wiraswasta</v>
      </c>
    </row>
    <row r="1490" spans="1:16" x14ac:dyDescent="0.3">
      <c r="A1490" s="8">
        <v>1483</v>
      </c>
      <c r="B1490" s="9" t="s">
        <v>9554</v>
      </c>
      <c r="C1490" s="10" t="str">
        <f>VLOOKUP(B1490,'Data Angt'!$A$5:$B$5809,2,FALSE)</f>
        <v>A4342</v>
      </c>
      <c r="D1490" s="12" t="s">
        <v>23630</v>
      </c>
      <c r="E1490" s="13">
        <v>45924</v>
      </c>
      <c r="F1490" s="14">
        <v>45924</v>
      </c>
      <c r="G1490" s="15">
        <v>1500000</v>
      </c>
      <c r="H1490" s="16">
        <v>10</v>
      </c>
      <c r="I1490" s="17">
        <v>24</v>
      </c>
      <c r="J1490" s="15">
        <v>1500000</v>
      </c>
      <c r="K1490" s="98">
        <f t="shared" si="69"/>
        <v>0</v>
      </c>
      <c r="L1490" s="98" t="str">
        <f t="shared" si="70"/>
        <v>Lancar</v>
      </c>
      <c r="M1490" s="5" t="str">
        <f t="shared" si="71"/>
        <v>004</v>
      </c>
      <c r="N1490" s="55" t="str">
        <f>VLOOKUP(D1490,Pinjaman!$E$7:$N$1900,10,FALSE)</f>
        <v>KONSUMTIF</v>
      </c>
      <c r="O1490" s="55">
        <f>VLOOKUP(B1490,'Data Angt'!$A$5:$H$5810,6,FALSE)</f>
        <v>25</v>
      </c>
      <c r="P1490" s="55" t="str">
        <f>VLOOKUP(B1490,'Data Angt'!$A$5:$H$5810,8,FALSE)</f>
        <v>Karyawan</v>
      </c>
    </row>
    <row r="1491" spans="1:16" x14ac:dyDescent="0.3">
      <c r="A1491" s="8">
        <v>1484</v>
      </c>
      <c r="B1491" s="9" t="s">
        <v>9563</v>
      </c>
      <c r="C1491" s="10" t="str">
        <f>VLOOKUP(B1491,'Data Angt'!$A$5:$B$5809,2,FALSE)</f>
        <v>A4346</v>
      </c>
      <c r="D1491" s="12" t="s">
        <v>17409</v>
      </c>
      <c r="E1491" s="13">
        <v>45646</v>
      </c>
      <c r="F1491" s="14">
        <v>45715</v>
      </c>
      <c r="G1491" s="15">
        <v>2000000</v>
      </c>
      <c r="H1491" s="16">
        <v>8</v>
      </c>
      <c r="I1491" s="17">
        <v>24</v>
      </c>
      <c r="J1491" s="15">
        <v>1500000</v>
      </c>
      <c r="K1491" s="98">
        <f t="shared" si="69"/>
        <v>7</v>
      </c>
      <c r="L1491" s="98" t="str">
        <f t="shared" si="70"/>
        <v>Diragukan</v>
      </c>
      <c r="M1491" s="5" t="str">
        <f t="shared" si="71"/>
        <v>004</v>
      </c>
      <c r="N1491" s="55" t="str">
        <f>VLOOKUP(D1491,Pinjaman!$E$7:$N$1900,10,FALSE)</f>
        <v>PRODUKTIF</v>
      </c>
      <c r="O1491" s="55">
        <f>VLOOKUP(B1491,'Data Angt'!$A$5:$H$5810,6,FALSE)</f>
        <v>35</v>
      </c>
      <c r="P1491" s="55" t="str">
        <f>VLOOKUP(B1491,'Data Angt'!$A$5:$H$5810,8,FALSE)</f>
        <v>Wiraswasta</v>
      </c>
    </row>
    <row r="1492" spans="1:16" x14ac:dyDescent="0.3">
      <c r="A1492" s="8">
        <v>1485</v>
      </c>
      <c r="B1492" s="9" t="s">
        <v>12642</v>
      </c>
      <c r="C1492" s="10" t="str">
        <f>VLOOKUP(B1492,'Data Angt'!$A$5:$B$5809,2,FALSE)</f>
        <v>A4374</v>
      </c>
      <c r="D1492" s="12" t="s">
        <v>17412</v>
      </c>
      <c r="E1492" s="13">
        <v>45737</v>
      </c>
      <c r="F1492" s="14">
        <v>45929</v>
      </c>
      <c r="G1492" s="15">
        <v>3000000</v>
      </c>
      <c r="H1492" s="16">
        <v>12</v>
      </c>
      <c r="I1492" s="17">
        <v>24</v>
      </c>
      <c r="J1492" s="15">
        <v>1500000</v>
      </c>
      <c r="K1492" s="98">
        <f t="shared" si="69"/>
        <v>0</v>
      </c>
      <c r="L1492" s="98" t="str">
        <f t="shared" si="70"/>
        <v>Lancar</v>
      </c>
      <c r="M1492" s="5" t="str">
        <f t="shared" si="71"/>
        <v>004</v>
      </c>
      <c r="N1492" s="55" t="str">
        <f>VLOOKUP(D1492,Pinjaman!$E$7:$N$1900,10,FALSE)</f>
        <v>KONSUMTIF</v>
      </c>
      <c r="O1492" s="55">
        <f>VLOOKUP(B1492,'Data Angt'!$A$5:$H$5810,6,FALSE)</f>
        <v>25</v>
      </c>
      <c r="P1492" s="55" t="str">
        <f>VLOOKUP(B1492,'Data Angt'!$A$5:$H$5810,8,FALSE)</f>
        <v>Karyawan</v>
      </c>
    </row>
    <row r="1493" spans="1:16" x14ac:dyDescent="0.3">
      <c r="A1493" s="8">
        <v>1486</v>
      </c>
      <c r="B1493" s="9" t="s">
        <v>12642</v>
      </c>
      <c r="C1493" s="10" t="str">
        <f>VLOOKUP(B1493,'Data Angt'!$A$5:$B$5809,2,FALSE)</f>
        <v>A4374</v>
      </c>
      <c r="D1493" s="12" t="s">
        <v>17414</v>
      </c>
      <c r="E1493" s="13">
        <v>45803</v>
      </c>
      <c r="F1493" s="14">
        <v>45929</v>
      </c>
      <c r="G1493" s="15">
        <v>17000000</v>
      </c>
      <c r="H1493" s="16">
        <v>24</v>
      </c>
      <c r="I1493" s="17">
        <v>24</v>
      </c>
      <c r="J1493" s="15">
        <v>14696600</v>
      </c>
      <c r="K1493" s="98">
        <f t="shared" si="69"/>
        <v>0</v>
      </c>
      <c r="L1493" s="98" t="str">
        <f t="shared" si="70"/>
        <v>Lancar</v>
      </c>
      <c r="M1493" s="5" t="str">
        <f t="shared" si="71"/>
        <v>004</v>
      </c>
      <c r="N1493" s="55" t="str">
        <f>VLOOKUP(D1493,Pinjaman!$E$7:$N$1900,10,FALSE)</f>
        <v>KONSUMTIF</v>
      </c>
      <c r="O1493" s="55">
        <f>VLOOKUP(B1493,'Data Angt'!$A$5:$H$5810,6,FALSE)</f>
        <v>25</v>
      </c>
      <c r="P1493" s="55" t="str">
        <f>VLOOKUP(B1493,'Data Angt'!$A$5:$H$5810,8,FALSE)</f>
        <v>Karyawan</v>
      </c>
    </row>
    <row r="1494" spans="1:16" x14ac:dyDescent="0.3">
      <c r="A1494" s="8">
        <v>1487</v>
      </c>
      <c r="B1494" s="9" t="s">
        <v>12653</v>
      </c>
      <c r="C1494" s="10" t="str">
        <f>VLOOKUP(B1494,'Data Angt'!$A$5:$B$5809,2,FALSE)</f>
        <v>A4380</v>
      </c>
      <c r="D1494" s="12" t="s">
        <v>17417</v>
      </c>
      <c r="E1494" s="13">
        <v>45637</v>
      </c>
      <c r="F1494" s="14">
        <v>45916</v>
      </c>
      <c r="G1494" s="15">
        <v>3000000</v>
      </c>
      <c r="H1494" s="16">
        <v>12</v>
      </c>
      <c r="I1494" s="17">
        <v>24</v>
      </c>
      <c r="J1494" s="15">
        <v>750000</v>
      </c>
      <c r="K1494" s="98">
        <f t="shared" si="69"/>
        <v>0</v>
      </c>
      <c r="L1494" s="98" t="str">
        <f t="shared" si="70"/>
        <v>Lancar</v>
      </c>
      <c r="M1494" s="5" t="str">
        <f t="shared" si="71"/>
        <v>004</v>
      </c>
      <c r="N1494" s="55" t="str">
        <f>VLOOKUP(D1494,Pinjaman!$E$7:$N$1900,10,FALSE)</f>
        <v>PRODUKTIF</v>
      </c>
      <c r="O1494" s="55">
        <f>VLOOKUP(B1494,'Data Angt'!$A$5:$H$5810,6,FALSE)</f>
        <v>39</v>
      </c>
      <c r="P1494" s="55" t="str">
        <f>VLOOKUP(B1494,'Data Angt'!$A$5:$H$5810,8,FALSE)</f>
        <v>Wiraswasta</v>
      </c>
    </row>
    <row r="1495" spans="1:16" x14ac:dyDescent="0.3">
      <c r="A1495" s="8">
        <v>1488</v>
      </c>
      <c r="B1495" s="9" t="s">
        <v>12708</v>
      </c>
      <c r="C1495" s="10" t="str">
        <f>VLOOKUP(B1495,'Data Angt'!$A$5:$B$5809,2,FALSE)</f>
        <v>A4404</v>
      </c>
      <c r="D1495" s="12" t="s">
        <v>23635</v>
      </c>
      <c r="E1495" s="13">
        <v>45860</v>
      </c>
      <c r="F1495" s="14">
        <v>45923</v>
      </c>
      <c r="G1495" s="15">
        <v>3000000</v>
      </c>
      <c r="H1495" s="16">
        <v>6</v>
      </c>
      <c r="I1495" s="17">
        <v>24</v>
      </c>
      <c r="J1495" s="15">
        <v>2000000</v>
      </c>
      <c r="K1495" s="98">
        <f t="shared" si="69"/>
        <v>0</v>
      </c>
      <c r="L1495" s="98" t="str">
        <f t="shared" si="70"/>
        <v>Lancar</v>
      </c>
      <c r="M1495" s="5" t="str">
        <f t="shared" si="71"/>
        <v>004</v>
      </c>
      <c r="N1495" s="55" t="str">
        <f>VLOOKUP(D1495,Pinjaman!$E$7:$N$1900,10,FALSE)</f>
        <v>PRODUKTIF</v>
      </c>
      <c r="O1495" s="55">
        <f>VLOOKUP(B1495,'Data Angt'!$A$5:$H$5810,6,FALSE)</f>
        <v>26</v>
      </c>
      <c r="P1495" s="55" t="str">
        <f>VLOOKUP(B1495,'Data Angt'!$A$5:$H$5810,8,FALSE)</f>
        <v>Wiraswasta</v>
      </c>
    </row>
    <row r="1496" spans="1:16" x14ac:dyDescent="0.3">
      <c r="A1496" s="8">
        <v>1489</v>
      </c>
      <c r="B1496" s="9" t="s">
        <v>12741</v>
      </c>
      <c r="C1496" s="10" t="str">
        <f>VLOOKUP(B1496,'Data Angt'!$A$5:$B$5809,2,FALSE)</f>
        <v>A4417</v>
      </c>
      <c r="D1496" s="12" t="s">
        <v>23638</v>
      </c>
      <c r="E1496" s="13">
        <v>45922</v>
      </c>
      <c r="F1496" s="14">
        <v>45922</v>
      </c>
      <c r="G1496" s="15">
        <v>4000000</v>
      </c>
      <c r="H1496" s="16">
        <v>12</v>
      </c>
      <c r="I1496" s="17">
        <v>24</v>
      </c>
      <c r="J1496" s="15">
        <v>4000000</v>
      </c>
      <c r="K1496" s="98">
        <f t="shared" si="69"/>
        <v>0</v>
      </c>
      <c r="L1496" s="98" t="str">
        <f t="shared" si="70"/>
        <v>Lancar</v>
      </c>
      <c r="M1496" s="5" t="str">
        <f t="shared" si="71"/>
        <v>004</v>
      </c>
      <c r="N1496" s="55" t="str">
        <f>VLOOKUP(D1496,Pinjaman!$E$7:$N$1900,10,FALSE)</f>
        <v>PENDIDIKAN</v>
      </c>
      <c r="O1496" s="55">
        <f>VLOOKUP(B1496,'Data Angt'!$A$5:$H$5810,6,FALSE)</f>
        <v>43</v>
      </c>
      <c r="P1496" s="55" t="str">
        <f>VLOOKUP(B1496,'Data Angt'!$A$5:$H$5810,8,FALSE)</f>
        <v>Mengurus Rumah Tangga</v>
      </c>
    </row>
    <row r="1497" spans="1:16" x14ac:dyDescent="0.3">
      <c r="A1497" s="8">
        <v>1490</v>
      </c>
      <c r="B1497" s="9" t="s">
        <v>12754</v>
      </c>
      <c r="C1497" s="10" t="str">
        <f>VLOOKUP(B1497,'Data Angt'!$A$5:$B$5809,2,FALSE)</f>
        <v>A4423</v>
      </c>
      <c r="D1497" s="12" t="s">
        <v>17420</v>
      </c>
      <c r="E1497" s="13">
        <v>45832</v>
      </c>
      <c r="F1497" s="14">
        <v>45922</v>
      </c>
      <c r="G1497" s="15">
        <v>3000000</v>
      </c>
      <c r="H1497" s="16">
        <v>10</v>
      </c>
      <c r="I1497" s="17">
        <v>24</v>
      </c>
      <c r="J1497" s="15">
        <v>2100000</v>
      </c>
      <c r="K1497" s="98">
        <f t="shared" si="69"/>
        <v>0</v>
      </c>
      <c r="L1497" s="98" t="str">
        <f t="shared" si="70"/>
        <v>Lancar</v>
      </c>
      <c r="M1497" s="5" t="str">
        <f t="shared" si="71"/>
        <v>004</v>
      </c>
      <c r="N1497" s="55" t="str">
        <f>VLOOKUP(D1497,Pinjaman!$E$7:$N$1900,10,FALSE)</f>
        <v>PENDIDIKAN</v>
      </c>
      <c r="O1497" s="55">
        <f>VLOOKUP(B1497,'Data Angt'!$A$5:$H$5810,6,FALSE)</f>
        <v>25</v>
      </c>
      <c r="P1497" s="55" t="str">
        <f>VLOOKUP(B1497,'Data Angt'!$A$5:$H$5810,8,FALSE)</f>
        <v>Karyawan</v>
      </c>
    </row>
    <row r="1498" spans="1:16" x14ac:dyDescent="0.3">
      <c r="A1498" s="8">
        <v>1491</v>
      </c>
      <c r="B1498" s="9" t="s">
        <v>12757</v>
      </c>
      <c r="C1498" s="10" t="str">
        <f>VLOOKUP(B1498,'Data Angt'!$A$5:$B$5809,2,FALSE)</f>
        <v>A4424</v>
      </c>
      <c r="D1498" s="12" t="s">
        <v>17422</v>
      </c>
      <c r="E1498" s="13">
        <v>45335</v>
      </c>
      <c r="F1498" s="14">
        <v>45901</v>
      </c>
      <c r="G1498" s="15">
        <v>3000000</v>
      </c>
      <c r="H1498" s="16">
        <v>24</v>
      </c>
      <c r="I1498" s="17">
        <v>24</v>
      </c>
      <c r="J1498" s="15">
        <v>625000</v>
      </c>
      <c r="K1498" s="98">
        <f t="shared" si="69"/>
        <v>0</v>
      </c>
      <c r="L1498" s="98" t="str">
        <f t="shared" si="70"/>
        <v>Lancar</v>
      </c>
      <c r="M1498" s="5" t="str">
        <f t="shared" si="71"/>
        <v>004</v>
      </c>
      <c r="N1498" s="55" t="str">
        <f>VLOOKUP(D1498,Pinjaman!$E$7:$N$1900,10,FALSE)</f>
        <v>PRODUKTIF</v>
      </c>
      <c r="O1498" s="55">
        <f>VLOOKUP(B1498,'Data Angt'!$A$5:$H$5810,6,FALSE)</f>
        <v>61</v>
      </c>
      <c r="P1498" s="55" t="str">
        <f>VLOOKUP(B1498,'Data Angt'!$A$5:$H$5810,8,FALSE)</f>
        <v>Wiraswasta</v>
      </c>
    </row>
    <row r="1499" spans="1:16" x14ac:dyDescent="0.3">
      <c r="A1499" s="8">
        <v>1492</v>
      </c>
      <c r="B1499" s="9" t="s">
        <v>12772</v>
      </c>
      <c r="C1499" s="10" t="str">
        <f>VLOOKUP(B1499,'Data Angt'!$A$5:$B$5809,2,FALSE)</f>
        <v>A4430</v>
      </c>
      <c r="D1499" s="12" t="s">
        <v>23643</v>
      </c>
      <c r="E1499" s="13">
        <v>45880</v>
      </c>
      <c r="F1499" s="14">
        <v>45925</v>
      </c>
      <c r="G1499" s="15">
        <v>3000000</v>
      </c>
      <c r="H1499" s="16">
        <v>12</v>
      </c>
      <c r="I1499" s="17">
        <v>24</v>
      </c>
      <c r="J1499" s="15">
        <v>2750000</v>
      </c>
      <c r="K1499" s="98">
        <f t="shared" si="69"/>
        <v>0</v>
      </c>
      <c r="L1499" s="98" t="str">
        <f t="shared" si="70"/>
        <v>Lancar</v>
      </c>
      <c r="M1499" s="5" t="str">
        <f t="shared" si="71"/>
        <v>004</v>
      </c>
      <c r="N1499" s="55" t="str">
        <f>VLOOKUP(D1499,Pinjaman!$E$7:$N$1900,10,FALSE)</f>
        <v>PRODUKTIF</v>
      </c>
      <c r="O1499" s="55">
        <f>VLOOKUP(B1499,'Data Angt'!$A$5:$H$5810,6,FALSE)</f>
        <v>46</v>
      </c>
      <c r="P1499" s="55" t="str">
        <f>VLOOKUP(B1499,'Data Angt'!$A$5:$H$5810,8,FALSE)</f>
        <v>Wiraswasta</v>
      </c>
    </row>
    <row r="1500" spans="1:16" x14ac:dyDescent="0.3">
      <c r="A1500" s="8">
        <v>1493</v>
      </c>
      <c r="B1500" s="9" t="s">
        <v>12801</v>
      </c>
      <c r="C1500" s="10" t="str">
        <f>VLOOKUP(B1500,'Data Angt'!$A$5:$B$5809,2,FALSE)</f>
        <v>A4442</v>
      </c>
      <c r="D1500" s="12" t="s">
        <v>17425</v>
      </c>
      <c r="E1500" s="13">
        <v>45714</v>
      </c>
      <c r="F1500" s="14">
        <v>45917</v>
      </c>
      <c r="G1500" s="15">
        <v>35000000</v>
      </c>
      <c r="H1500" s="16">
        <v>24</v>
      </c>
      <c r="I1500" s="17">
        <v>21</v>
      </c>
      <c r="J1500" s="15">
        <v>24791200</v>
      </c>
      <c r="K1500" s="98">
        <f t="shared" si="69"/>
        <v>0</v>
      </c>
      <c r="L1500" s="98" t="str">
        <f t="shared" si="70"/>
        <v>Lancar</v>
      </c>
      <c r="M1500" s="5" t="str">
        <f t="shared" si="71"/>
        <v>004</v>
      </c>
      <c r="N1500" s="55">
        <f>VLOOKUP(D1500,Pinjaman!$E$7:$N$1900,10,FALSE)</f>
        <v>0</v>
      </c>
      <c r="O1500" s="55">
        <f>VLOOKUP(B1500,'Data Angt'!$A$5:$H$5810,6,FALSE)</f>
        <v>58</v>
      </c>
      <c r="P1500" s="55" t="str">
        <f>VLOOKUP(B1500,'Data Angt'!$A$5:$H$5810,8,FALSE)</f>
        <v>Wiraswasta</v>
      </c>
    </row>
    <row r="1501" spans="1:16" x14ac:dyDescent="0.3">
      <c r="A1501" s="8">
        <v>1494</v>
      </c>
      <c r="B1501" s="9" t="s">
        <v>12830</v>
      </c>
      <c r="C1501" s="10" t="str">
        <f>VLOOKUP(B1501,'Data Angt'!$A$5:$B$5809,2,FALSE)</f>
        <v>A4456</v>
      </c>
      <c r="D1501" s="12" t="s">
        <v>17427</v>
      </c>
      <c r="E1501" s="13">
        <v>45783</v>
      </c>
      <c r="F1501" s="14">
        <v>45930</v>
      </c>
      <c r="G1501" s="15">
        <v>1500000</v>
      </c>
      <c r="H1501" s="16">
        <v>10</v>
      </c>
      <c r="I1501" s="17">
        <v>24</v>
      </c>
      <c r="J1501" s="15">
        <v>1050000</v>
      </c>
      <c r="K1501" s="98">
        <f t="shared" si="69"/>
        <v>0</v>
      </c>
      <c r="L1501" s="98" t="str">
        <f t="shared" si="70"/>
        <v>Lancar</v>
      </c>
      <c r="M1501" s="5" t="str">
        <f t="shared" si="71"/>
        <v>004</v>
      </c>
      <c r="N1501" s="55" t="str">
        <f>VLOOKUP(D1501,Pinjaman!$E$7:$N$1900,10,FALSE)</f>
        <v>PRODUKTIF</v>
      </c>
      <c r="O1501" s="55">
        <f>VLOOKUP(B1501,'Data Angt'!$A$5:$H$5810,6,FALSE)</f>
        <v>29</v>
      </c>
      <c r="P1501" s="55" t="str">
        <f>VLOOKUP(B1501,'Data Angt'!$A$5:$H$5810,8,FALSE)</f>
        <v>Wiraswasta</v>
      </c>
    </row>
    <row r="1502" spans="1:16" x14ac:dyDescent="0.3">
      <c r="A1502" s="8">
        <v>1495</v>
      </c>
      <c r="B1502" s="9" t="s">
        <v>12875</v>
      </c>
      <c r="C1502" s="10" t="str">
        <f>VLOOKUP(B1502,'Data Angt'!$A$5:$B$5809,2,FALSE)</f>
        <v>A4476</v>
      </c>
      <c r="D1502" s="12" t="s">
        <v>23646</v>
      </c>
      <c r="E1502" s="13">
        <v>45854</v>
      </c>
      <c r="F1502" s="14">
        <v>45918</v>
      </c>
      <c r="G1502" s="15">
        <v>5000000</v>
      </c>
      <c r="H1502" s="16">
        <v>12</v>
      </c>
      <c r="I1502" s="17">
        <v>24</v>
      </c>
      <c r="J1502" s="15">
        <v>4166600</v>
      </c>
      <c r="K1502" s="98">
        <f t="shared" si="69"/>
        <v>0</v>
      </c>
      <c r="L1502" s="98" t="str">
        <f t="shared" si="70"/>
        <v>Lancar</v>
      </c>
      <c r="M1502" s="5" t="str">
        <f t="shared" si="71"/>
        <v>004</v>
      </c>
      <c r="N1502" s="55" t="str">
        <f>VLOOKUP(D1502,Pinjaman!$E$7:$N$1900,10,FALSE)</f>
        <v>KONSUMTIF</v>
      </c>
      <c r="O1502" s="55">
        <f>VLOOKUP(B1502,'Data Angt'!$A$5:$H$5810,6,FALSE)</f>
        <v>21</v>
      </c>
      <c r="P1502" s="55" t="str">
        <f>VLOOKUP(B1502,'Data Angt'!$A$5:$H$5810,8,FALSE)</f>
        <v>Karyawan</v>
      </c>
    </row>
    <row r="1503" spans="1:16" x14ac:dyDescent="0.3">
      <c r="A1503" s="8">
        <v>1496</v>
      </c>
      <c r="B1503" s="9" t="s">
        <v>12883</v>
      </c>
      <c r="C1503" s="10" t="str">
        <f>VLOOKUP(B1503,'Data Angt'!$A$5:$B$5809,2,FALSE)</f>
        <v>A4480</v>
      </c>
      <c r="D1503" s="12" t="s">
        <v>17430</v>
      </c>
      <c r="E1503" s="13">
        <v>45665</v>
      </c>
      <c r="F1503" s="14">
        <v>45917</v>
      </c>
      <c r="G1503" s="15">
        <v>2000000</v>
      </c>
      <c r="H1503" s="16">
        <v>10</v>
      </c>
      <c r="I1503" s="17">
        <v>24</v>
      </c>
      <c r="J1503" s="15">
        <v>400000</v>
      </c>
      <c r="K1503" s="98">
        <f t="shared" si="69"/>
        <v>0</v>
      </c>
      <c r="L1503" s="98" t="str">
        <f t="shared" si="70"/>
        <v>Lancar</v>
      </c>
      <c r="M1503" s="5" t="str">
        <f t="shared" si="71"/>
        <v>004</v>
      </c>
      <c r="N1503" s="55" t="str">
        <f>VLOOKUP(D1503,Pinjaman!$E$7:$N$1900,10,FALSE)</f>
        <v>PRODUKTIF</v>
      </c>
      <c r="O1503" s="55">
        <f>VLOOKUP(B1503,'Data Angt'!$A$5:$H$5810,6,FALSE)</f>
        <v>53</v>
      </c>
      <c r="P1503" s="55" t="str">
        <f>VLOOKUP(B1503,'Data Angt'!$A$5:$H$5810,8,FALSE)</f>
        <v>Karyawan</v>
      </c>
    </row>
    <row r="1504" spans="1:16" x14ac:dyDescent="0.3">
      <c r="A1504" s="8">
        <v>1497</v>
      </c>
      <c r="B1504" s="9" t="s">
        <v>12990</v>
      </c>
      <c r="C1504" s="10" t="str">
        <f>VLOOKUP(B1504,'Data Angt'!$A$5:$B$5809,2,FALSE)</f>
        <v>A4530</v>
      </c>
      <c r="D1504" s="12" t="s">
        <v>17433</v>
      </c>
      <c r="E1504" s="13">
        <v>45740</v>
      </c>
      <c r="F1504" s="14">
        <v>45929</v>
      </c>
      <c r="G1504" s="15">
        <v>4500000</v>
      </c>
      <c r="H1504" s="16">
        <v>12</v>
      </c>
      <c r="I1504" s="17">
        <v>24</v>
      </c>
      <c r="J1504" s="15">
        <v>2250000</v>
      </c>
      <c r="K1504" s="98">
        <f t="shared" si="69"/>
        <v>0</v>
      </c>
      <c r="L1504" s="98" t="str">
        <f t="shared" si="70"/>
        <v>Lancar</v>
      </c>
      <c r="M1504" s="5" t="str">
        <f t="shared" si="71"/>
        <v>004</v>
      </c>
      <c r="N1504" s="55" t="str">
        <f>VLOOKUP(D1504,Pinjaman!$E$7:$N$1900,10,FALSE)</f>
        <v>KONSUMTIF</v>
      </c>
      <c r="O1504" s="55">
        <f>VLOOKUP(B1504,'Data Angt'!$A$5:$H$5810,6,FALSE)</f>
        <v>56</v>
      </c>
      <c r="P1504" s="55" t="str">
        <f>VLOOKUP(B1504,'Data Angt'!$A$5:$H$5810,8,FALSE)</f>
        <v>Wiraswasta</v>
      </c>
    </row>
    <row r="1505" spans="1:16" x14ac:dyDescent="0.3">
      <c r="A1505" s="8">
        <v>1498</v>
      </c>
      <c r="B1505" s="9" t="s">
        <v>13072</v>
      </c>
      <c r="C1505" s="10" t="str">
        <f>VLOOKUP(B1505,'Data Angt'!$A$5:$B$5809,2,FALSE)</f>
        <v>A4570</v>
      </c>
      <c r="D1505" s="12" t="s">
        <v>17435</v>
      </c>
      <c r="E1505" s="13">
        <v>45792</v>
      </c>
      <c r="F1505" s="14">
        <v>45915</v>
      </c>
      <c r="G1505" s="15">
        <v>2000000</v>
      </c>
      <c r="H1505" s="16">
        <v>10</v>
      </c>
      <c r="I1505" s="17">
        <v>24</v>
      </c>
      <c r="J1505" s="15">
        <v>1200000</v>
      </c>
      <c r="K1505" s="98">
        <f t="shared" si="69"/>
        <v>0</v>
      </c>
      <c r="L1505" s="98" t="str">
        <f t="shared" si="70"/>
        <v>Lancar</v>
      </c>
      <c r="M1505" s="5" t="str">
        <f t="shared" si="71"/>
        <v>004</v>
      </c>
      <c r="N1505" s="55" t="str">
        <f>VLOOKUP(D1505,Pinjaman!$E$7:$N$1900,10,FALSE)</f>
        <v>PRODUKTIF</v>
      </c>
      <c r="O1505" s="55">
        <f>VLOOKUP(B1505,'Data Angt'!$A$5:$H$5810,6,FALSE)</f>
        <v>47</v>
      </c>
      <c r="P1505" s="55" t="str">
        <f>VLOOKUP(B1505,'Data Angt'!$A$5:$H$5810,8,FALSE)</f>
        <v>Wiraswasta</v>
      </c>
    </row>
    <row r="1506" spans="1:16" x14ac:dyDescent="0.3">
      <c r="A1506" s="8">
        <v>1499</v>
      </c>
      <c r="B1506" s="9" t="s">
        <v>13095</v>
      </c>
      <c r="C1506" s="10" t="str">
        <f>VLOOKUP(B1506,'Data Angt'!$A$5:$B$5809,2,FALSE)</f>
        <v>A4582</v>
      </c>
      <c r="D1506" s="12" t="s">
        <v>23650</v>
      </c>
      <c r="E1506" s="13">
        <v>45874</v>
      </c>
      <c r="F1506" s="14">
        <v>45916</v>
      </c>
      <c r="G1506" s="15">
        <v>2000000</v>
      </c>
      <c r="H1506" s="16">
        <v>10</v>
      </c>
      <c r="I1506" s="17">
        <v>24</v>
      </c>
      <c r="J1506" s="15">
        <v>1800000</v>
      </c>
      <c r="K1506" s="98">
        <f t="shared" si="69"/>
        <v>0</v>
      </c>
      <c r="L1506" s="98" t="str">
        <f t="shared" si="70"/>
        <v>Lancar</v>
      </c>
      <c r="M1506" s="5" t="str">
        <f t="shared" si="71"/>
        <v>004</v>
      </c>
      <c r="N1506" s="55" t="str">
        <f>VLOOKUP(D1506,Pinjaman!$E$7:$N$1900,10,FALSE)</f>
        <v>PRODUKTIF</v>
      </c>
      <c r="O1506" s="55">
        <f>VLOOKUP(B1506,'Data Angt'!$A$5:$H$5810,6,FALSE)</f>
        <v>30</v>
      </c>
      <c r="P1506" s="55" t="str">
        <f>VLOOKUP(B1506,'Data Angt'!$A$5:$H$5810,8,FALSE)</f>
        <v>Wiraswasta</v>
      </c>
    </row>
    <row r="1507" spans="1:16" x14ac:dyDescent="0.3">
      <c r="A1507" s="8">
        <v>1500</v>
      </c>
      <c r="B1507" s="9" t="s">
        <v>13128</v>
      </c>
      <c r="C1507" s="10" t="str">
        <f>VLOOKUP(B1507,'Data Angt'!$A$5:$B$5809,2,FALSE)</f>
        <v>A4596</v>
      </c>
      <c r="D1507" s="12" t="s">
        <v>17438</v>
      </c>
      <c r="E1507" s="13">
        <v>45771</v>
      </c>
      <c r="F1507" s="14">
        <v>45930</v>
      </c>
      <c r="G1507" s="15">
        <v>3000000</v>
      </c>
      <c r="H1507" s="16">
        <v>10</v>
      </c>
      <c r="I1507" s="17">
        <v>24</v>
      </c>
      <c r="J1507" s="15">
        <v>1601600</v>
      </c>
      <c r="K1507" s="98">
        <f t="shared" si="69"/>
        <v>0</v>
      </c>
      <c r="L1507" s="98" t="str">
        <f t="shared" si="70"/>
        <v>Lancar</v>
      </c>
      <c r="M1507" s="5" t="str">
        <f t="shared" si="71"/>
        <v>004</v>
      </c>
      <c r="N1507" s="55" t="str">
        <f>VLOOKUP(D1507,Pinjaman!$E$7:$N$1900,10,FALSE)</f>
        <v>KONSUMTIF</v>
      </c>
      <c r="O1507" s="55">
        <f>VLOOKUP(B1507,'Data Angt'!$A$5:$H$5810,6,FALSE)</f>
        <v>47</v>
      </c>
      <c r="P1507" s="55" t="str">
        <f>VLOOKUP(B1507,'Data Angt'!$A$5:$H$5810,8,FALSE)</f>
        <v>Karyawan</v>
      </c>
    </row>
    <row r="1508" spans="1:16" x14ac:dyDescent="0.3">
      <c r="A1508" s="8">
        <v>1501</v>
      </c>
      <c r="B1508" s="9" t="s">
        <v>13144</v>
      </c>
      <c r="C1508" s="10" t="str">
        <f>VLOOKUP(B1508,'Data Angt'!$A$5:$B$5809,2,FALSE)</f>
        <v>A4603</v>
      </c>
      <c r="D1508" s="12" t="s">
        <v>23652</v>
      </c>
      <c r="E1508" s="13">
        <v>45890</v>
      </c>
      <c r="F1508" s="14">
        <v>45926</v>
      </c>
      <c r="G1508" s="15">
        <v>10000000</v>
      </c>
      <c r="H1508" s="16">
        <v>6</v>
      </c>
      <c r="I1508" s="17">
        <v>24</v>
      </c>
      <c r="J1508" s="15">
        <v>8333300</v>
      </c>
      <c r="K1508" s="98">
        <f t="shared" si="69"/>
        <v>0</v>
      </c>
      <c r="L1508" s="98" t="str">
        <f t="shared" si="70"/>
        <v>Lancar</v>
      </c>
      <c r="M1508" s="5" t="str">
        <f t="shared" si="71"/>
        <v>004</v>
      </c>
      <c r="N1508" s="55" t="str">
        <f>VLOOKUP(D1508,Pinjaman!$E$7:$N$1900,10,FALSE)</f>
        <v>PRODUKTIF</v>
      </c>
      <c r="O1508" s="55">
        <f>VLOOKUP(B1508,'Data Angt'!$A$5:$H$5810,6,FALSE)</f>
        <v>45</v>
      </c>
      <c r="P1508" s="55" t="str">
        <f>VLOOKUP(B1508,'Data Angt'!$A$5:$H$5810,8,FALSE)</f>
        <v>Wiraswasta</v>
      </c>
    </row>
    <row r="1509" spans="1:16" x14ac:dyDescent="0.3">
      <c r="A1509" s="8">
        <v>1502</v>
      </c>
      <c r="B1509" s="9" t="s">
        <v>13162</v>
      </c>
      <c r="C1509" s="10" t="str">
        <f>VLOOKUP(B1509,'Data Angt'!$A$5:$B$5809,2,FALSE)</f>
        <v>A4610</v>
      </c>
      <c r="D1509" s="12" t="s">
        <v>17441</v>
      </c>
      <c r="E1509" s="13">
        <v>45722</v>
      </c>
      <c r="F1509" s="14">
        <v>45910</v>
      </c>
      <c r="G1509" s="15">
        <v>3000000</v>
      </c>
      <c r="H1509" s="16">
        <v>12</v>
      </c>
      <c r="I1509" s="17">
        <v>24</v>
      </c>
      <c r="J1509" s="15">
        <v>1589200</v>
      </c>
      <c r="K1509" s="98">
        <f t="shared" si="69"/>
        <v>0</v>
      </c>
      <c r="L1509" s="98" t="str">
        <f t="shared" si="70"/>
        <v>Lancar</v>
      </c>
      <c r="M1509" s="5" t="str">
        <f t="shared" si="71"/>
        <v>004</v>
      </c>
      <c r="N1509" s="55" t="str">
        <f>VLOOKUP(D1509,Pinjaman!$E$7:$N$1900,10,FALSE)</f>
        <v>PRODUKTIF</v>
      </c>
      <c r="O1509" s="55">
        <f>VLOOKUP(B1509,'Data Angt'!$A$5:$H$5810,6,FALSE)</f>
        <v>48</v>
      </c>
      <c r="P1509" s="55" t="str">
        <f>VLOOKUP(B1509,'Data Angt'!$A$5:$H$5810,8,FALSE)</f>
        <v>Karyawan</v>
      </c>
    </row>
    <row r="1510" spans="1:16" x14ac:dyDescent="0.3">
      <c r="A1510" s="8">
        <v>1503</v>
      </c>
      <c r="B1510" s="9" t="s">
        <v>13165</v>
      </c>
      <c r="C1510" s="10" t="str">
        <f>VLOOKUP(B1510,'Data Angt'!$A$5:$B$5809,2,FALSE)</f>
        <v>A4611</v>
      </c>
      <c r="D1510" s="12" t="s">
        <v>17444</v>
      </c>
      <c r="E1510" s="13">
        <v>45722</v>
      </c>
      <c r="F1510" s="14">
        <v>45910</v>
      </c>
      <c r="G1510" s="15">
        <v>3000000</v>
      </c>
      <c r="H1510" s="16">
        <v>12</v>
      </c>
      <c r="I1510" s="17">
        <v>24</v>
      </c>
      <c r="J1510" s="15">
        <v>1589200</v>
      </c>
      <c r="K1510" s="98">
        <f t="shared" si="69"/>
        <v>0</v>
      </c>
      <c r="L1510" s="98" t="str">
        <f t="shared" si="70"/>
        <v>Lancar</v>
      </c>
      <c r="M1510" s="5" t="str">
        <f t="shared" si="71"/>
        <v>004</v>
      </c>
      <c r="N1510" s="55" t="str">
        <f>VLOOKUP(D1510,Pinjaman!$E$7:$N$1900,10,FALSE)</f>
        <v>PRODUKTIF</v>
      </c>
      <c r="O1510" s="55">
        <f>VLOOKUP(B1510,'Data Angt'!$A$5:$H$5810,6,FALSE)</f>
        <v>56</v>
      </c>
      <c r="P1510" s="55" t="str">
        <f>VLOOKUP(B1510,'Data Angt'!$A$5:$H$5810,8,FALSE)</f>
        <v>Karyawan</v>
      </c>
    </row>
    <row r="1511" spans="1:16" x14ac:dyDescent="0.3">
      <c r="A1511" s="8">
        <v>1504</v>
      </c>
      <c r="B1511" s="9" t="s">
        <v>13560</v>
      </c>
      <c r="C1511" s="10" t="str">
        <f>VLOOKUP(B1511,'Data Angt'!$A$5:$B$5809,2,FALSE)</f>
        <v>A4846</v>
      </c>
      <c r="D1511" s="12" t="s">
        <v>17446</v>
      </c>
      <c r="E1511" s="13">
        <v>45805</v>
      </c>
      <c r="F1511" s="14">
        <v>45908</v>
      </c>
      <c r="G1511" s="15">
        <v>10000000</v>
      </c>
      <c r="H1511" s="16">
        <v>12</v>
      </c>
      <c r="I1511" s="17">
        <v>24</v>
      </c>
      <c r="J1511" s="15">
        <v>6666400</v>
      </c>
      <c r="K1511" s="98">
        <f t="shared" si="69"/>
        <v>0</v>
      </c>
      <c r="L1511" s="98" t="str">
        <f t="shared" si="70"/>
        <v>Lancar</v>
      </c>
      <c r="M1511" s="5" t="str">
        <f t="shared" si="71"/>
        <v>004</v>
      </c>
      <c r="N1511" s="55" t="str">
        <f>VLOOKUP(D1511,Pinjaman!$E$7:$N$1900,10,FALSE)</f>
        <v>PRODUKTIF</v>
      </c>
      <c r="O1511" s="55">
        <f>VLOOKUP(B1511,'Data Angt'!$A$5:$H$5810,6,FALSE)</f>
        <v>51</v>
      </c>
      <c r="P1511" s="55" t="str">
        <f>VLOOKUP(B1511,'Data Angt'!$A$5:$H$5810,8,FALSE)</f>
        <v>Wiraswasta</v>
      </c>
    </row>
    <row r="1512" spans="1:16" x14ac:dyDescent="0.3">
      <c r="A1512" s="8">
        <v>1505</v>
      </c>
      <c r="B1512" s="9" t="s">
        <v>13652</v>
      </c>
      <c r="C1512" s="10" t="str">
        <f>VLOOKUP(B1512,'Data Angt'!$A$5:$B$5809,2,FALSE)</f>
        <v>A4885</v>
      </c>
      <c r="D1512" s="12" t="s">
        <v>17449</v>
      </c>
      <c r="E1512" s="13">
        <v>45531</v>
      </c>
      <c r="F1512" s="14">
        <v>45919</v>
      </c>
      <c r="G1512" s="15">
        <v>4000000</v>
      </c>
      <c r="H1512" s="16">
        <v>18</v>
      </c>
      <c r="I1512" s="17">
        <v>24</v>
      </c>
      <c r="J1512" s="15">
        <v>1266100</v>
      </c>
      <c r="K1512" s="98">
        <f t="shared" si="69"/>
        <v>0</v>
      </c>
      <c r="L1512" s="98" t="str">
        <f t="shared" si="70"/>
        <v>Lancar</v>
      </c>
      <c r="M1512" s="5" t="str">
        <f t="shared" si="71"/>
        <v>004</v>
      </c>
      <c r="N1512" s="55" t="str">
        <f>VLOOKUP(D1512,Pinjaman!$E$7:$N$1900,10,FALSE)</f>
        <v>PRODUKTIF</v>
      </c>
      <c r="O1512" s="55">
        <f>VLOOKUP(B1512,'Data Angt'!$A$5:$H$5810,6,FALSE)</f>
        <v>37</v>
      </c>
      <c r="P1512" s="55" t="str">
        <f>VLOOKUP(B1512,'Data Angt'!$A$5:$H$5810,8,FALSE)</f>
        <v>Wiraswasta</v>
      </c>
    </row>
    <row r="1513" spans="1:16" x14ac:dyDescent="0.3">
      <c r="A1513" s="8">
        <v>1506</v>
      </c>
      <c r="B1513" s="9" t="s">
        <v>13655</v>
      </c>
      <c r="C1513" s="10" t="str">
        <f>VLOOKUP(B1513,'Data Angt'!$A$5:$B$5809,2,FALSE)</f>
        <v>A4886</v>
      </c>
      <c r="D1513" s="12" t="s">
        <v>17452</v>
      </c>
      <c r="E1513" s="13">
        <v>45727</v>
      </c>
      <c r="F1513" s="14">
        <v>45838</v>
      </c>
      <c r="G1513" s="15">
        <v>3000000</v>
      </c>
      <c r="H1513" s="16">
        <v>12</v>
      </c>
      <c r="I1513" s="17">
        <v>24</v>
      </c>
      <c r="J1513" s="15">
        <v>2250000</v>
      </c>
      <c r="K1513" s="98">
        <f t="shared" si="69"/>
        <v>3</v>
      </c>
      <c r="L1513" s="98" t="str">
        <f t="shared" si="70"/>
        <v>Lancar</v>
      </c>
      <c r="M1513" s="5" t="str">
        <f t="shared" si="71"/>
        <v>004</v>
      </c>
      <c r="N1513" s="55" t="str">
        <f>VLOOKUP(D1513,Pinjaman!$E$7:$N$1900,10,FALSE)</f>
        <v>PRODUKTIF</v>
      </c>
      <c r="O1513" s="55">
        <f>VLOOKUP(B1513,'Data Angt'!$A$5:$H$5810,6,FALSE)</f>
        <v>29</v>
      </c>
      <c r="P1513" s="55" t="str">
        <f>VLOOKUP(B1513,'Data Angt'!$A$5:$H$5810,8,FALSE)</f>
        <v>Wiraswasta</v>
      </c>
    </row>
    <row r="1514" spans="1:16" x14ac:dyDescent="0.3">
      <c r="A1514" s="8">
        <v>1507</v>
      </c>
      <c r="B1514" s="9" t="s">
        <v>13658</v>
      </c>
      <c r="C1514" s="10" t="str">
        <f>VLOOKUP(B1514,'Data Angt'!$A$5:$B$5809,2,FALSE)</f>
        <v>A4887</v>
      </c>
      <c r="D1514" s="12" t="s">
        <v>17455</v>
      </c>
      <c r="E1514" s="13">
        <v>45762</v>
      </c>
      <c r="F1514" s="14">
        <v>45918</v>
      </c>
      <c r="G1514" s="15">
        <v>5000000</v>
      </c>
      <c r="H1514" s="16">
        <v>24</v>
      </c>
      <c r="I1514" s="17">
        <v>24</v>
      </c>
      <c r="J1514" s="15">
        <v>3958000</v>
      </c>
      <c r="K1514" s="98">
        <f t="shared" si="69"/>
        <v>0</v>
      </c>
      <c r="L1514" s="98" t="str">
        <f t="shared" si="70"/>
        <v>Lancar</v>
      </c>
      <c r="M1514" s="5" t="str">
        <f t="shared" si="71"/>
        <v>004</v>
      </c>
      <c r="N1514" s="55" t="str">
        <f>VLOOKUP(D1514,Pinjaman!$E$7:$N$1900,10,FALSE)</f>
        <v>PENDIDIKAN</v>
      </c>
      <c r="O1514" s="55">
        <f>VLOOKUP(B1514,'Data Angt'!$A$5:$H$5810,6,FALSE)</f>
        <v>37</v>
      </c>
      <c r="P1514" s="55" t="str">
        <f>VLOOKUP(B1514,'Data Angt'!$A$5:$H$5810,8,FALSE)</f>
        <v>Karyawan</v>
      </c>
    </row>
    <row r="1515" spans="1:16" x14ac:dyDescent="0.3">
      <c r="A1515" s="8">
        <v>1508</v>
      </c>
      <c r="B1515" s="9" t="s">
        <v>13690</v>
      </c>
      <c r="C1515" s="10" t="str">
        <f>VLOOKUP(B1515,'Data Angt'!$A$5:$B$5809,2,FALSE)</f>
        <v>A4901</v>
      </c>
      <c r="D1515" s="12" t="s">
        <v>17457</v>
      </c>
      <c r="E1515" s="13">
        <v>45722</v>
      </c>
      <c r="F1515" s="14">
        <v>45910</v>
      </c>
      <c r="G1515" s="15">
        <v>3000000</v>
      </c>
      <c r="H1515" s="16">
        <v>12</v>
      </c>
      <c r="I1515" s="17">
        <v>24</v>
      </c>
      <c r="J1515" s="15">
        <v>1589200</v>
      </c>
      <c r="K1515" s="98">
        <f t="shared" si="69"/>
        <v>0</v>
      </c>
      <c r="L1515" s="98" t="str">
        <f t="shared" si="70"/>
        <v>Lancar</v>
      </c>
      <c r="M1515" s="5" t="str">
        <f t="shared" si="71"/>
        <v>004</v>
      </c>
      <c r="N1515" s="55" t="str">
        <f>VLOOKUP(D1515,Pinjaman!$E$7:$N$1900,10,FALSE)</f>
        <v>PRODUKTIF</v>
      </c>
      <c r="O1515" s="55">
        <f>VLOOKUP(B1515,'Data Angt'!$A$5:$H$5810,6,FALSE)</f>
        <v>46</v>
      </c>
      <c r="P1515" s="55" t="str">
        <f>VLOOKUP(B1515,'Data Angt'!$A$5:$H$5810,8,FALSE)</f>
        <v>Tenaga Pengajar</v>
      </c>
    </row>
    <row r="1516" spans="1:16" x14ac:dyDescent="0.3">
      <c r="A1516" s="8">
        <v>1509</v>
      </c>
      <c r="B1516" s="9" t="s">
        <v>13722</v>
      </c>
      <c r="C1516" s="10" t="str">
        <f>VLOOKUP(B1516,'Data Angt'!$A$5:$B$5809,2,FALSE)</f>
        <v>A4916</v>
      </c>
      <c r="D1516" s="12" t="s">
        <v>17459</v>
      </c>
      <c r="E1516" s="13">
        <v>45693</v>
      </c>
      <c r="F1516" s="14">
        <v>45899</v>
      </c>
      <c r="G1516" s="15">
        <v>3000000</v>
      </c>
      <c r="H1516" s="16">
        <v>10</v>
      </c>
      <c r="I1516" s="17">
        <v>24</v>
      </c>
      <c r="J1516" s="15">
        <v>1200000</v>
      </c>
      <c r="K1516" s="98">
        <f t="shared" si="69"/>
        <v>1</v>
      </c>
      <c r="L1516" s="98" t="str">
        <f t="shared" si="70"/>
        <v>Lancar</v>
      </c>
      <c r="M1516" s="5" t="str">
        <f t="shared" si="71"/>
        <v>004</v>
      </c>
      <c r="N1516" s="55" t="str">
        <f>VLOOKUP(D1516,Pinjaman!$E$7:$N$1900,10,FALSE)</f>
        <v>PRODUKTIF</v>
      </c>
      <c r="O1516" s="55">
        <f>VLOOKUP(B1516,'Data Angt'!$A$5:$H$5810,6,FALSE)</f>
        <v>40</v>
      </c>
      <c r="P1516" s="55" t="str">
        <f>VLOOKUP(B1516,'Data Angt'!$A$5:$H$5810,8,FALSE)</f>
        <v>Wiraswasta</v>
      </c>
    </row>
    <row r="1517" spans="1:16" x14ac:dyDescent="0.3">
      <c r="A1517" s="8">
        <v>1510</v>
      </c>
      <c r="B1517" s="9" t="s">
        <v>13725</v>
      </c>
      <c r="C1517" s="10" t="str">
        <f>VLOOKUP(B1517,'Data Angt'!$A$5:$B$5809,2,FALSE)</f>
        <v>A4917</v>
      </c>
      <c r="D1517" s="12" t="s">
        <v>17462</v>
      </c>
      <c r="E1517" s="13">
        <v>45728</v>
      </c>
      <c r="F1517" s="14">
        <v>45915</v>
      </c>
      <c r="G1517" s="15">
        <v>2000000</v>
      </c>
      <c r="H1517" s="16">
        <v>12</v>
      </c>
      <c r="I1517" s="17">
        <v>24</v>
      </c>
      <c r="J1517" s="15">
        <v>999800</v>
      </c>
      <c r="K1517" s="98">
        <f t="shared" si="69"/>
        <v>0</v>
      </c>
      <c r="L1517" s="98" t="str">
        <f t="shared" si="70"/>
        <v>Lancar</v>
      </c>
      <c r="M1517" s="5" t="str">
        <f t="shared" si="71"/>
        <v>004</v>
      </c>
      <c r="N1517" s="55" t="str">
        <f>VLOOKUP(D1517,Pinjaman!$E$7:$N$1900,10,FALSE)</f>
        <v>PRODUKTIF</v>
      </c>
      <c r="O1517" s="55">
        <f>VLOOKUP(B1517,'Data Angt'!$A$5:$H$5810,6,FALSE)</f>
        <v>46</v>
      </c>
      <c r="P1517" s="55" t="str">
        <f>VLOOKUP(B1517,'Data Angt'!$A$5:$H$5810,8,FALSE)</f>
        <v>Wiraswasta</v>
      </c>
    </row>
    <row r="1518" spans="1:16" x14ac:dyDescent="0.3">
      <c r="A1518" s="8">
        <v>1511</v>
      </c>
      <c r="B1518" s="9" t="s">
        <v>13737</v>
      </c>
      <c r="C1518" s="10" t="str">
        <f>VLOOKUP(B1518,'Data Angt'!$A$5:$B$5809,2,FALSE)</f>
        <v>A4923</v>
      </c>
      <c r="D1518" s="12" t="s">
        <v>17464</v>
      </c>
      <c r="E1518" s="13">
        <v>45782</v>
      </c>
      <c r="F1518" s="14">
        <v>45916</v>
      </c>
      <c r="G1518" s="15">
        <v>3000000</v>
      </c>
      <c r="H1518" s="16">
        <v>10</v>
      </c>
      <c r="I1518" s="17">
        <v>24</v>
      </c>
      <c r="J1518" s="15">
        <v>1800000</v>
      </c>
      <c r="K1518" s="98">
        <f t="shared" si="69"/>
        <v>0</v>
      </c>
      <c r="L1518" s="98" t="str">
        <f t="shared" si="70"/>
        <v>Lancar</v>
      </c>
      <c r="M1518" s="5" t="str">
        <f t="shared" si="71"/>
        <v>004</v>
      </c>
      <c r="N1518" s="55" t="str">
        <f>VLOOKUP(D1518,Pinjaman!$E$7:$N$1900,10,FALSE)</f>
        <v>PRODUKTIF</v>
      </c>
      <c r="O1518" s="55">
        <f>VLOOKUP(B1518,'Data Angt'!$A$5:$H$5810,6,FALSE)</f>
        <v>51</v>
      </c>
      <c r="P1518" s="55" t="str">
        <f>VLOOKUP(B1518,'Data Angt'!$A$5:$H$5810,8,FALSE)</f>
        <v>Wiraswasta</v>
      </c>
    </row>
    <row r="1519" spans="1:16" x14ac:dyDescent="0.3">
      <c r="A1519" s="8">
        <v>1512</v>
      </c>
      <c r="B1519" s="9" t="s">
        <v>13741</v>
      </c>
      <c r="C1519" s="10" t="str">
        <f>VLOOKUP(B1519,'Data Angt'!$A$5:$B$5809,2,FALSE)</f>
        <v>A4924</v>
      </c>
      <c r="D1519" s="12" t="s">
        <v>17466</v>
      </c>
      <c r="E1519" s="13">
        <v>45786</v>
      </c>
      <c r="F1519" s="14">
        <v>45930</v>
      </c>
      <c r="G1519" s="15">
        <v>2500000</v>
      </c>
      <c r="H1519" s="16">
        <v>10</v>
      </c>
      <c r="I1519" s="17">
        <v>24</v>
      </c>
      <c r="J1519" s="15">
        <v>1500000</v>
      </c>
      <c r="K1519" s="98">
        <f t="shared" si="69"/>
        <v>0</v>
      </c>
      <c r="L1519" s="98" t="str">
        <f t="shared" si="70"/>
        <v>Lancar</v>
      </c>
      <c r="M1519" s="5" t="str">
        <f t="shared" si="71"/>
        <v>004</v>
      </c>
      <c r="N1519" s="55">
        <f>VLOOKUP(D1519,Pinjaman!$E$7:$N$1900,10,FALSE)</f>
        <v>0</v>
      </c>
      <c r="O1519" s="55">
        <f>VLOOKUP(B1519,'Data Angt'!$A$5:$H$5810,6,FALSE)</f>
        <v>22</v>
      </c>
      <c r="P1519" s="55" t="str">
        <f>VLOOKUP(B1519,'Data Angt'!$A$5:$H$5810,8,FALSE)</f>
        <v>Wiraswasta</v>
      </c>
    </row>
    <row r="1520" spans="1:16" x14ac:dyDescent="0.3">
      <c r="A1520" s="8">
        <v>1513</v>
      </c>
      <c r="B1520" s="9" t="s">
        <v>13760</v>
      </c>
      <c r="C1520" s="10" t="str">
        <f>VLOOKUP(B1520,'Data Angt'!$A$5:$B$5809,2,FALSE)</f>
        <v>A4932</v>
      </c>
      <c r="D1520" s="12" t="s">
        <v>17468</v>
      </c>
      <c r="E1520" s="13">
        <v>45677</v>
      </c>
      <c r="F1520" s="14">
        <v>45930</v>
      </c>
      <c r="G1520" s="15">
        <v>2000000</v>
      </c>
      <c r="H1520" s="16">
        <v>12</v>
      </c>
      <c r="I1520" s="17">
        <v>24</v>
      </c>
      <c r="J1520" s="15">
        <v>666400</v>
      </c>
      <c r="K1520" s="98">
        <f t="shared" si="69"/>
        <v>0</v>
      </c>
      <c r="L1520" s="98" t="str">
        <f t="shared" si="70"/>
        <v>Lancar</v>
      </c>
      <c r="M1520" s="5" t="str">
        <f t="shared" si="71"/>
        <v>004</v>
      </c>
      <c r="N1520" s="55" t="str">
        <f>VLOOKUP(D1520,Pinjaman!$E$7:$N$1900,10,FALSE)</f>
        <v>PRODUKTIF</v>
      </c>
      <c r="O1520" s="55">
        <f>VLOOKUP(B1520,'Data Angt'!$A$5:$H$5810,6,FALSE)</f>
        <v>47</v>
      </c>
      <c r="P1520" s="55" t="str">
        <f>VLOOKUP(B1520,'Data Angt'!$A$5:$H$5810,8,FALSE)</f>
        <v>Aparatur/Pejabat Negara</v>
      </c>
    </row>
    <row r="1521" spans="1:16" x14ac:dyDescent="0.3">
      <c r="A1521" s="8">
        <v>1514</v>
      </c>
      <c r="B1521" s="9" t="s">
        <v>13766</v>
      </c>
      <c r="C1521" s="10" t="str">
        <f>VLOOKUP(B1521,'Data Angt'!$A$5:$B$5809,2,FALSE)</f>
        <v>A4934</v>
      </c>
      <c r="D1521" s="12" t="s">
        <v>17470</v>
      </c>
      <c r="E1521" s="13">
        <v>45832</v>
      </c>
      <c r="F1521" s="14">
        <v>45925</v>
      </c>
      <c r="G1521" s="15">
        <v>3000000</v>
      </c>
      <c r="H1521" s="16">
        <v>10</v>
      </c>
      <c r="I1521" s="17">
        <v>24</v>
      </c>
      <c r="J1521" s="15">
        <v>2100000</v>
      </c>
      <c r="K1521" s="98">
        <f t="shared" si="69"/>
        <v>0</v>
      </c>
      <c r="L1521" s="98" t="str">
        <f t="shared" si="70"/>
        <v>Lancar</v>
      </c>
      <c r="M1521" s="5" t="str">
        <f t="shared" si="71"/>
        <v>004</v>
      </c>
      <c r="N1521" s="55" t="str">
        <f>VLOOKUP(D1521,Pinjaman!$E$7:$N$1900,10,FALSE)</f>
        <v>PRODUKTIF</v>
      </c>
      <c r="O1521" s="55">
        <f>VLOOKUP(B1521,'Data Angt'!$A$5:$H$5810,6,FALSE)</f>
        <v>31</v>
      </c>
      <c r="P1521" s="55" t="str">
        <f>VLOOKUP(B1521,'Data Angt'!$A$5:$H$5810,8,FALSE)</f>
        <v>Karyawan</v>
      </c>
    </row>
    <row r="1522" spans="1:16" x14ac:dyDescent="0.3">
      <c r="A1522" s="8">
        <v>1515</v>
      </c>
      <c r="B1522" s="9" t="s">
        <v>13795</v>
      </c>
      <c r="C1522" s="10" t="str">
        <f>VLOOKUP(B1522,'Data Angt'!$A$5:$B$5809,2,FALSE)</f>
        <v>A4949</v>
      </c>
      <c r="D1522" s="12" t="s">
        <v>17472</v>
      </c>
      <c r="E1522" s="13">
        <v>45624</v>
      </c>
      <c r="F1522" s="14">
        <v>45929</v>
      </c>
      <c r="G1522" s="15">
        <v>40000000</v>
      </c>
      <c r="H1522" s="16">
        <v>48</v>
      </c>
      <c r="I1522" s="17">
        <v>21</v>
      </c>
      <c r="J1522" s="15">
        <v>34168800</v>
      </c>
      <c r="K1522" s="98">
        <f t="shared" si="69"/>
        <v>0</v>
      </c>
      <c r="L1522" s="98" t="str">
        <f t="shared" si="70"/>
        <v>Lancar</v>
      </c>
      <c r="M1522" s="5" t="str">
        <f t="shared" si="71"/>
        <v>004</v>
      </c>
      <c r="N1522" s="55" t="str">
        <f>VLOOKUP(D1522,Pinjaman!$E$7:$N$1900,10,FALSE)</f>
        <v>KONSUMTIF</v>
      </c>
      <c r="O1522" s="55">
        <f>VLOOKUP(B1522,'Data Angt'!$A$5:$H$5810,6,FALSE)</f>
        <v>36</v>
      </c>
      <c r="P1522" s="55" t="str">
        <f>VLOOKUP(B1522,'Data Angt'!$A$5:$H$5810,8,FALSE)</f>
        <v>Karyawan</v>
      </c>
    </row>
    <row r="1523" spans="1:16" x14ac:dyDescent="0.3">
      <c r="A1523" s="8">
        <v>1516</v>
      </c>
      <c r="B1523" s="9" t="s">
        <v>13814</v>
      </c>
      <c r="C1523" s="10" t="str">
        <f>VLOOKUP(B1523,'Data Angt'!$A$5:$B$5809,2,FALSE)</f>
        <v>A4960</v>
      </c>
      <c r="D1523" s="12" t="s">
        <v>17475</v>
      </c>
      <c r="E1523" s="13">
        <v>45565</v>
      </c>
      <c r="F1523" s="14">
        <v>45923</v>
      </c>
      <c r="G1523" s="15">
        <v>5000000</v>
      </c>
      <c r="H1523" s="16">
        <v>15</v>
      </c>
      <c r="I1523" s="17">
        <v>24</v>
      </c>
      <c r="J1523" s="15">
        <v>999200</v>
      </c>
      <c r="K1523" s="98">
        <f t="shared" si="69"/>
        <v>0</v>
      </c>
      <c r="L1523" s="98" t="str">
        <f t="shared" si="70"/>
        <v>Lancar</v>
      </c>
      <c r="M1523" s="5" t="str">
        <f t="shared" si="71"/>
        <v>004</v>
      </c>
      <c r="N1523" s="55" t="str">
        <f>VLOOKUP(D1523,Pinjaman!$E$7:$N$1900,10,FALSE)</f>
        <v>KONSUMTIF</v>
      </c>
      <c r="O1523" s="55">
        <f>VLOOKUP(B1523,'Data Angt'!$A$5:$H$5810,6,FALSE)</f>
        <v>25</v>
      </c>
      <c r="P1523" s="55" t="str">
        <f>VLOOKUP(B1523,'Data Angt'!$A$5:$H$5810,8,FALSE)</f>
        <v>Karyawan</v>
      </c>
    </row>
    <row r="1524" spans="1:16" x14ac:dyDescent="0.3">
      <c r="A1524" s="8">
        <v>1517</v>
      </c>
      <c r="B1524" s="9" t="s">
        <v>13835</v>
      </c>
      <c r="C1524" s="10" t="str">
        <f>VLOOKUP(B1524,'Data Angt'!$A$5:$B$5809,2,FALSE)</f>
        <v>A4970</v>
      </c>
      <c r="D1524" s="12" t="s">
        <v>17478</v>
      </c>
      <c r="E1524" s="13">
        <v>45672</v>
      </c>
      <c r="F1524" s="14">
        <v>45929</v>
      </c>
      <c r="G1524" s="15">
        <v>14000000</v>
      </c>
      <c r="H1524" s="16">
        <v>24</v>
      </c>
      <c r="I1524" s="17">
        <v>24</v>
      </c>
      <c r="J1524" s="15">
        <v>9332800</v>
      </c>
      <c r="K1524" s="98">
        <f t="shared" si="69"/>
        <v>0</v>
      </c>
      <c r="L1524" s="98" t="str">
        <f t="shared" si="70"/>
        <v>Lancar</v>
      </c>
      <c r="M1524" s="5" t="str">
        <f t="shared" si="71"/>
        <v>004</v>
      </c>
      <c r="N1524" s="55" t="str">
        <f>VLOOKUP(D1524,Pinjaman!$E$7:$N$1900,10,FALSE)</f>
        <v>KONSUMTIF</v>
      </c>
      <c r="O1524" s="55">
        <f>VLOOKUP(B1524,'Data Angt'!$A$5:$H$5810,6,FALSE)</f>
        <v>25</v>
      </c>
      <c r="P1524" s="55" t="str">
        <f>VLOOKUP(B1524,'Data Angt'!$A$5:$H$5810,8,FALSE)</f>
        <v>Tenaga Pengajar</v>
      </c>
    </row>
    <row r="1525" spans="1:16" x14ac:dyDescent="0.3">
      <c r="A1525" s="8">
        <v>1518</v>
      </c>
      <c r="B1525" s="9" t="s">
        <v>13838</v>
      </c>
      <c r="C1525" s="10" t="str">
        <f>VLOOKUP(B1525,'Data Angt'!$A$5:$B$5809,2,FALSE)</f>
        <v>A4971</v>
      </c>
      <c r="D1525" s="12" t="s">
        <v>17481</v>
      </c>
      <c r="E1525" s="13">
        <v>45576</v>
      </c>
      <c r="F1525" s="14">
        <v>45911</v>
      </c>
      <c r="G1525" s="15">
        <v>5000000</v>
      </c>
      <c r="H1525" s="16">
        <v>36</v>
      </c>
      <c r="I1525" s="17">
        <v>24</v>
      </c>
      <c r="J1525" s="15">
        <v>3472100</v>
      </c>
      <c r="K1525" s="98">
        <f t="shared" si="69"/>
        <v>0</v>
      </c>
      <c r="L1525" s="98" t="str">
        <f t="shared" si="70"/>
        <v>Lancar</v>
      </c>
      <c r="M1525" s="5" t="str">
        <f t="shared" si="71"/>
        <v>004</v>
      </c>
      <c r="N1525" s="55" t="str">
        <f>VLOOKUP(D1525,Pinjaman!$E$7:$N$1900,10,FALSE)</f>
        <v>PRODUKTIF</v>
      </c>
      <c r="O1525" s="55">
        <f>VLOOKUP(B1525,'Data Angt'!$A$5:$H$5810,6,FALSE)</f>
        <v>19</v>
      </c>
      <c r="P1525" s="55" t="str">
        <f>VLOOKUP(B1525,'Data Angt'!$A$5:$H$5810,8,FALSE)</f>
        <v>Pelajar/Mahasiswa</v>
      </c>
    </row>
    <row r="1526" spans="1:16" x14ac:dyDescent="0.3">
      <c r="A1526" s="8">
        <v>1519</v>
      </c>
      <c r="B1526" s="9" t="s">
        <v>13883</v>
      </c>
      <c r="C1526" s="10" t="str">
        <f>VLOOKUP(B1526,'Data Angt'!$A$5:$B$5809,2,FALSE)</f>
        <v>A4992</v>
      </c>
      <c r="D1526" s="12" t="s">
        <v>17483</v>
      </c>
      <c r="E1526" s="13">
        <v>45709</v>
      </c>
      <c r="F1526" s="14">
        <v>45918</v>
      </c>
      <c r="G1526" s="15">
        <v>3000000</v>
      </c>
      <c r="H1526" s="16">
        <v>12</v>
      </c>
      <c r="I1526" s="17">
        <v>24</v>
      </c>
      <c r="J1526" s="15">
        <v>1795000</v>
      </c>
      <c r="K1526" s="98">
        <f t="shared" si="69"/>
        <v>0</v>
      </c>
      <c r="L1526" s="98" t="str">
        <f t="shared" si="70"/>
        <v>Lancar</v>
      </c>
      <c r="M1526" s="5" t="str">
        <f t="shared" si="71"/>
        <v>004</v>
      </c>
      <c r="N1526" s="55" t="str">
        <f>VLOOKUP(D1526,Pinjaman!$E$7:$N$1900,10,FALSE)</f>
        <v>PRODUKTIF</v>
      </c>
      <c r="O1526" s="55">
        <f>VLOOKUP(B1526,'Data Angt'!$A$5:$H$5810,6,FALSE)</f>
        <v>18</v>
      </c>
      <c r="P1526" s="55" t="str">
        <f>VLOOKUP(B1526,'Data Angt'!$A$5:$H$5810,8,FALSE)</f>
        <v>Wiraswasta</v>
      </c>
    </row>
    <row r="1527" spans="1:16" x14ac:dyDescent="0.3">
      <c r="A1527" s="8">
        <v>1520</v>
      </c>
      <c r="B1527" s="9" t="s">
        <v>13893</v>
      </c>
      <c r="C1527" s="10" t="str">
        <f>VLOOKUP(B1527,'Data Angt'!$A$5:$B$5809,2,FALSE)</f>
        <v>A4997</v>
      </c>
      <c r="D1527" s="12" t="s">
        <v>17485</v>
      </c>
      <c r="E1527" s="13">
        <v>45822</v>
      </c>
      <c r="F1527" s="14">
        <v>45915</v>
      </c>
      <c r="G1527" s="15">
        <v>4000000</v>
      </c>
      <c r="H1527" s="16">
        <v>12</v>
      </c>
      <c r="I1527" s="17">
        <v>24</v>
      </c>
      <c r="J1527" s="15">
        <v>2999800</v>
      </c>
      <c r="K1527" s="98">
        <f t="shared" si="69"/>
        <v>0</v>
      </c>
      <c r="L1527" s="98" t="str">
        <f t="shared" si="70"/>
        <v>Lancar</v>
      </c>
      <c r="M1527" s="5" t="str">
        <f t="shared" si="71"/>
        <v>004</v>
      </c>
      <c r="N1527" s="55" t="str">
        <f>VLOOKUP(D1527,Pinjaman!$E$7:$N$1900,10,FALSE)</f>
        <v>KONSUMTIF</v>
      </c>
      <c r="O1527" s="55">
        <f>VLOOKUP(B1527,'Data Angt'!$A$5:$H$5810,6,FALSE)</f>
        <v>51</v>
      </c>
      <c r="P1527" s="55" t="str">
        <f>VLOOKUP(B1527,'Data Angt'!$A$5:$H$5810,8,FALSE)</f>
        <v>Tenaga Pengajar</v>
      </c>
    </row>
    <row r="1528" spans="1:16" x14ac:dyDescent="0.3">
      <c r="A1528" s="8">
        <v>1521</v>
      </c>
      <c r="B1528" s="9" t="s">
        <v>13903</v>
      </c>
      <c r="C1528" s="10" t="str">
        <f>VLOOKUP(B1528,'Data Angt'!$A$5:$B$5809,2,FALSE)</f>
        <v>A5001</v>
      </c>
      <c r="D1528" s="12" t="s">
        <v>17487</v>
      </c>
      <c r="E1528" s="13">
        <v>45607</v>
      </c>
      <c r="F1528" s="14">
        <v>45715</v>
      </c>
      <c r="G1528" s="15">
        <v>2000000</v>
      </c>
      <c r="H1528" s="16">
        <v>6</v>
      </c>
      <c r="I1528" s="17">
        <v>24</v>
      </c>
      <c r="J1528" s="15">
        <v>1333200</v>
      </c>
      <c r="K1528" s="98">
        <f t="shared" si="69"/>
        <v>7</v>
      </c>
      <c r="L1528" s="98" t="str">
        <f t="shared" si="70"/>
        <v>Diragukan</v>
      </c>
      <c r="M1528" s="5" t="str">
        <f t="shared" si="71"/>
        <v>004</v>
      </c>
      <c r="N1528" s="55" t="str">
        <f>VLOOKUP(D1528,Pinjaman!$E$7:$N$1900,10,FALSE)</f>
        <v>PRODUKTIF</v>
      </c>
      <c r="O1528" s="55">
        <f>VLOOKUP(B1528,'Data Angt'!$A$5:$H$5810,6,FALSE)</f>
        <v>31</v>
      </c>
      <c r="P1528" s="55" t="str">
        <f>VLOOKUP(B1528,'Data Angt'!$A$5:$H$5810,8,FALSE)</f>
        <v>Wiraswasta</v>
      </c>
    </row>
    <row r="1529" spans="1:16" x14ac:dyDescent="0.3">
      <c r="A1529" s="8">
        <v>1522</v>
      </c>
      <c r="B1529" s="9" t="s">
        <v>13906</v>
      </c>
      <c r="C1529" s="10" t="str">
        <f>VLOOKUP(B1529,'Data Angt'!$A$5:$B$5809,2,FALSE)</f>
        <v>A5002</v>
      </c>
      <c r="D1529" s="12" t="s">
        <v>17490</v>
      </c>
      <c r="E1529" s="13">
        <v>45713</v>
      </c>
      <c r="F1529" s="14">
        <v>45898</v>
      </c>
      <c r="G1529" s="15">
        <v>3000000</v>
      </c>
      <c r="H1529" s="16">
        <v>10</v>
      </c>
      <c r="I1529" s="17">
        <v>24</v>
      </c>
      <c r="J1529" s="15">
        <v>1500000</v>
      </c>
      <c r="K1529" s="98">
        <f t="shared" si="69"/>
        <v>1</v>
      </c>
      <c r="L1529" s="98" t="str">
        <f t="shared" si="70"/>
        <v>Lancar</v>
      </c>
      <c r="M1529" s="5" t="str">
        <f t="shared" si="71"/>
        <v>004</v>
      </c>
      <c r="N1529" s="55" t="str">
        <f>VLOOKUP(D1529,Pinjaman!$E$7:$N$1900,10,FALSE)</f>
        <v>PRODUKTIF</v>
      </c>
      <c r="O1529" s="55">
        <f>VLOOKUP(B1529,'Data Angt'!$A$5:$H$5810,6,FALSE)</f>
        <v>21</v>
      </c>
      <c r="P1529" s="55" t="str">
        <f>VLOOKUP(B1529,'Data Angt'!$A$5:$H$5810,8,FALSE)</f>
        <v>Wiraswasta</v>
      </c>
    </row>
    <row r="1530" spans="1:16" x14ac:dyDescent="0.3">
      <c r="A1530" s="8">
        <v>1523</v>
      </c>
      <c r="B1530" s="9" t="s">
        <v>13920</v>
      </c>
      <c r="C1530" s="10" t="str">
        <f>VLOOKUP(B1530,'Data Angt'!$A$5:$B$5809,2,FALSE)</f>
        <v>A5008</v>
      </c>
      <c r="D1530" s="12" t="s">
        <v>17492</v>
      </c>
      <c r="E1530" s="13">
        <v>45695</v>
      </c>
      <c r="F1530" s="14">
        <v>45917</v>
      </c>
      <c r="G1530" s="15">
        <v>3000000</v>
      </c>
      <c r="H1530" s="16">
        <v>12</v>
      </c>
      <c r="I1530" s="17">
        <v>24</v>
      </c>
      <c r="J1530" s="15">
        <v>1250000</v>
      </c>
      <c r="K1530" s="98">
        <f t="shared" si="69"/>
        <v>0</v>
      </c>
      <c r="L1530" s="98" t="str">
        <f t="shared" si="70"/>
        <v>Lancar</v>
      </c>
      <c r="M1530" s="5" t="str">
        <f t="shared" si="71"/>
        <v>004</v>
      </c>
      <c r="N1530" s="55" t="str">
        <f>VLOOKUP(D1530,Pinjaman!$E$7:$N$1900,10,FALSE)</f>
        <v>PRODUKTIF</v>
      </c>
      <c r="O1530" s="55">
        <f>VLOOKUP(B1530,'Data Angt'!$A$5:$H$5810,6,FALSE)</f>
        <v>42</v>
      </c>
      <c r="P1530" s="55" t="str">
        <f>VLOOKUP(B1530,'Data Angt'!$A$5:$H$5810,8,FALSE)</f>
        <v>Karyawan</v>
      </c>
    </row>
    <row r="1531" spans="1:16" x14ac:dyDescent="0.3">
      <c r="A1531" s="8">
        <v>1524</v>
      </c>
      <c r="B1531" s="9" t="s">
        <v>13939</v>
      </c>
      <c r="C1531" s="10" t="str">
        <f>VLOOKUP(B1531,'Data Angt'!$A$5:$B$5809,2,FALSE)</f>
        <v>A5017</v>
      </c>
      <c r="D1531" s="12" t="s">
        <v>17495</v>
      </c>
      <c r="E1531" s="13">
        <v>45714</v>
      </c>
      <c r="F1531" s="14">
        <v>45930</v>
      </c>
      <c r="G1531" s="15">
        <v>3000000</v>
      </c>
      <c r="H1531" s="16">
        <v>12</v>
      </c>
      <c r="I1531" s="17">
        <v>24</v>
      </c>
      <c r="J1531" s="15">
        <v>1250000</v>
      </c>
      <c r="K1531" s="98">
        <f t="shared" si="69"/>
        <v>0</v>
      </c>
      <c r="L1531" s="98" t="str">
        <f t="shared" si="70"/>
        <v>Lancar</v>
      </c>
      <c r="M1531" s="5" t="str">
        <f t="shared" si="71"/>
        <v>004</v>
      </c>
      <c r="N1531" s="55" t="str">
        <f>VLOOKUP(D1531,Pinjaman!$E$7:$N$1900,10,FALSE)</f>
        <v>PRODUKTIF</v>
      </c>
      <c r="O1531" s="55">
        <f>VLOOKUP(B1531,'Data Angt'!$A$5:$H$5810,6,FALSE)</f>
        <v>27</v>
      </c>
      <c r="P1531" s="55" t="str">
        <f>VLOOKUP(B1531,'Data Angt'!$A$5:$H$5810,8,FALSE)</f>
        <v>Wiraswasta</v>
      </c>
    </row>
    <row r="1532" spans="1:16" x14ac:dyDescent="0.3">
      <c r="A1532" s="8">
        <v>1525</v>
      </c>
      <c r="B1532" s="9" t="s">
        <v>13960</v>
      </c>
      <c r="C1532" s="10" t="str">
        <f>VLOOKUP(B1532,'Data Angt'!$A$5:$B$5809,2,FALSE)</f>
        <v>A5026</v>
      </c>
      <c r="D1532" s="12" t="s">
        <v>17498</v>
      </c>
      <c r="E1532" s="13">
        <v>45709</v>
      </c>
      <c r="F1532" s="14">
        <v>45918</v>
      </c>
      <c r="G1532" s="15">
        <v>3000000</v>
      </c>
      <c r="H1532" s="16">
        <v>12</v>
      </c>
      <c r="I1532" s="17">
        <v>24</v>
      </c>
      <c r="J1532" s="15">
        <v>1500000</v>
      </c>
      <c r="K1532" s="98">
        <f t="shared" si="69"/>
        <v>0</v>
      </c>
      <c r="L1532" s="98" t="str">
        <f t="shared" si="70"/>
        <v>Lancar</v>
      </c>
      <c r="M1532" s="5" t="str">
        <f t="shared" si="71"/>
        <v>004</v>
      </c>
      <c r="N1532" s="55" t="str">
        <f>VLOOKUP(D1532,Pinjaman!$E$7:$N$1900,10,FALSE)</f>
        <v>PRODUKTIF</v>
      </c>
      <c r="O1532" s="55">
        <f>VLOOKUP(B1532,'Data Angt'!$A$5:$H$5810,6,FALSE)</f>
        <v>17</v>
      </c>
      <c r="P1532" s="55" t="str">
        <f>VLOOKUP(B1532,'Data Angt'!$A$5:$H$5810,8,FALSE)</f>
        <v>Belum/Tidak Bekerja</v>
      </c>
    </row>
    <row r="1533" spans="1:16" x14ac:dyDescent="0.3">
      <c r="A1533" s="8">
        <v>1526</v>
      </c>
      <c r="B1533" s="9" t="s">
        <v>13962</v>
      </c>
      <c r="C1533" s="10" t="str">
        <f>VLOOKUP(B1533,'Data Angt'!$A$5:$B$5809,2,FALSE)</f>
        <v>A5027</v>
      </c>
      <c r="D1533" s="12" t="s">
        <v>17501</v>
      </c>
      <c r="E1533" s="13">
        <v>45635</v>
      </c>
      <c r="F1533" s="14">
        <v>45901</v>
      </c>
      <c r="G1533" s="15">
        <v>1500000</v>
      </c>
      <c r="H1533" s="16">
        <v>12</v>
      </c>
      <c r="I1533" s="17">
        <v>24</v>
      </c>
      <c r="J1533" s="15">
        <v>408700</v>
      </c>
      <c r="K1533" s="98">
        <f t="shared" si="69"/>
        <v>0</v>
      </c>
      <c r="L1533" s="98" t="str">
        <f t="shared" si="70"/>
        <v>Lancar</v>
      </c>
      <c r="M1533" s="5" t="str">
        <f t="shared" si="71"/>
        <v>004</v>
      </c>
      <c r="N1533" s="55" t="str">
        <f>VLOOKUP(D1533,Pinjaman!$E$7:$N$1900,10,FALSE)</f>
        <v>KONSUMTIF</v>
      </c>
      <c r="O1533" s="55">
        <f>VLOOKUP(B1533,'Data Angt'!$A$5:$H$5810,6,FALSE)</f>
        <v>22</v>
      </c>
      <c r="P1533" s="55" t="str">
        <f>VLOOKUP(B1533,'Data Angt'!$A$5:$H$5810,8,FALSE)</f>
        <v>Karyawan</v>
      </c>
    </row>
    <row r="1534" spans="1:16" x14ac:dyDescent="0.3">
      <c r="A1534" s="8">
        <v>1527</v>
      </c>
      <c r="B1534" s="9" t="s">
        <v>13972</v>
      </c>
      <c r="C1534" s="10" t="str">
        <f>VLOOKUP(B1534,'Data Angt'!$A$5:$B$5809,2,FALSE)</f>
        <v>A5030</v>
      </c>
      <c r="D1534" s="12" t="s">
        <v>23661</v>
      </c>
      <c r="E1534" s="13">
        <v>45915</v>
      </c>
      <c r="F1534" s="14">
        <v>45915</v>
      </c>
      <c r="G1534" s="15">
        <v>6000000</v>
      </c>
      <c r="H1534" s="16">
        <v>24</v>
      </c>
      <c r="I1534" s="17">
        <v>24</v>
      </c>
      <c r="J1534" s="15">
        <v>6000000</v>
      </c>
      <c r="K1534" s="98">
        <f t="shared" si="69"/>
        <v>0</v>
      </c>
      <c r="L1534" s="98" t="str">
        <f t="shared" si="70"/>
        <v>Lancar</v>
      </c>
      <c r="M1534" s="5" t="str">
        <f t="shared" si="71"/>
        <v>004</v>
      </c>
      <c r="N1534" s="55" t="str">
        <f>VLOOKUP(D1534,Pinjaman!$E$7:$N$1900,10,FALSE)</f>
        <v>PENDIDIKAN</v>
      </c>
      <c r="O1534" s="55">
        <f>VLOOKUP(B1534,'Data Angt'!$A$5:$H$5810,6,FALSE)</f>
        <v>57</v>
      </c>
      <c r="P1534" s="55" t="str">
        <f>VLOOKUP(B1534,'Data Angt'!$A$5:$H$5810,8,FALSE)</f>
        <v>Wiraswasta</v>
      </c>
    </row>
    <row r="1535" spans="1:16" x14ac:dyDescent="0.3">
      <c r="A1535" s="8">
        <v>1528</v>
      </c>
      <c r="B1535" s="9" t="s">
        <v>13975</v>
      </c>
      <c r="C1535" s="10" t="str">
        <f>VLOOKUP(B1535,'Data Angt'!$A$5:$B$5809,2,FALSE)</f>
        <v>A5031</v>
      </c>
      <c r="D1535" s="12" t="s">
        <v>17504</v>
      </c>
      <c r="E1535" s="13">
        <v>45713</v>
      </c>
      <c r="F1535" s="14">
        <v>45899</v>
      </c>
      <c r="G1535" s="15">
        <v>3000000</v>
      </c>
      <c r="H1535" s="16">
        <v>10</v>
      </c>
      <c r="I1535" s="17">
        <v>24</v>
      </c>
      <c r="J1535" s="15">
        <v>1500000</v>
      </c>
      <c r="K1535" s="98">
        <f t="shared" si="69"/>
        <v>1</v>
      </c>
      <c r="L1535" s="98" t="str">
        <f t="shared" si="70"/>
        <v>Lancar</v>
      </c>
      <c r="M1535" s="5" t="str">
        <f t="shared" si="71"/>
        <v>004</v>
      </c>
      <c r="N1535" s="55" t="str">
        <f>VLOOKUP(D1535,Pinjaman!$E$7:$N$1900,10,FALSE)</f>
        <v>PRODUKTIF</v>
      </c>
      <c r="O1535" s="55">
        <f>VLOOKUP(B1535,'Data Angt'!$A$5:$H$5810,6,FALSE)</f>
        <v>20</v>
      </c>
      <c r="P1535" s="55" t="str">
        <f>VLOOKUP(B1535,'Data Angt'!$A$5:$H$5810,8,FALSE)</f>
        <v>Karyawan</v>
      </c>
    </row>
    <row r="1536" spans="1:16" x14ac:dyDescent="0.3">
      <c r="A1536" s="8">
        <v>1529</v>
      </c>
      <c r="B1536" s="9" t="s">
        <v>13988</v>
      </c>
      <c r="C1536" s="10" t="str">
        <f>VLOOKUP(B1536,'Data Angt'!$A$5:$B$5809,2,FALSE)</f>
        <v>A5036</v>
      </c>
      <c r="D1536" s="12" t="s">
        <v>17507</v>
      </c>
      <c r="E1536" s="13">
        <v>45713</v>
      </c>
      <c r="F1536" s="14">
        <v>45899</v>
      </c>
      <c r="G1536" s="15">
        <v>3000000</v>
      </c>
      <c r="H1536" s="16">
        <v>10</v>
      </c>
      <c r="I1536" s="17">
        <v>24</v>
      </c>
      <c r="J1536" s="15">
        <v>1500000</v>
      </c>
      <c r="K1536" s="98">
        <f t="shared" si="69"/>
        <v>1</v>
      </c>
      <c r="L1536" s="98" t="str">
        <f t="shared" si="70"/>
        <v>Lancar</v>
      </c>
      <c r="M1536" s="5" t="str">
        <f t="shared" si="71"/>
        <v>004</v>
      </c>
      <c r="N1536" s="55" t="str">
        <f>VLOOKUP(D1536,Pinjaman!$E$7:$N$1900,10,FALSE)</f>
        <v>PRODUKTIF</v>
      </c>
      <c r="O1536" s="55">
        <f>VLOOKUP(B1536,'Data Angt'!$A$5:$H$5810,6,FALSE)</f>
        <v>22</v>
      </c>
      <c r="P1536" s="55" t="str">
        <f>VLOOKUP(B1536,'Data Angt'!$A$5:$H$5810,8,FALSE)</f>
        <v>Wiraswasta</v>
      </c>
    </row>
    <row r="1537" spans="1:16" x14ac:dyDescent="0.3">
      <c r="A1537" s="8">
        <v>1530</v>
      </c>
      <c r="B1537" s="9" t="s">
        <v>13990</v>
      </c>
      <c r="C1537" s="10" t="str">
        <f>VLOOKUP(B1537,'Data Angt'!$A$5:$B$5809,2,FALSE)</f>
        <v>A5037</v>
      </c>
      <c r="D1537" s="12" t="s">
        <v>17509</v>
      </c>
      <c r="E1537" s="13">
        <v>45694</v>
      </c>
      <c r="F1537" s="14">
        <v>45930</v>
      </c>
      <c r="G1537" s="15">
        <v>3000000</v>
      </c>
      <c r="H1537" s="16">
        <v>12</v>
      </c>
      <c r="I1537" s="17">
        <v>24</v>
      </c>
      <c r="J1537" s="15">
        <v>1750000</v>
      </c>
      <c r="K1537" s="98">
        <f t="shared" si="69"/>
        <v>0</v>
      </c>
      <c r="L1537" s="98" t="str">
        <f t="shared" si="70"/>
        <v>Lancar</v>
      </c>
      <c r="M1537" s="5" t="str">
        <f t="shared" si="71"/>
        <v>004</v>
      </c>
      <c r="N1537" s="55" t="str">
        <f>VLOOKUP(D1537,Pinjaman!$E$7:$N$1900,10,FALSE)</f>
        <v>PRODUKTIF</v>
      </c>
      <c r="O1537" s="55">
        <f>VLOOKUP(B1537,'Data Angt'!$A$5:$H$5810,6,FALSE)</f>
        <v>28</v>
      </c>
      <c r="P1537" s="55" t="str">
        <f>VLOOKUP(B1537,'Data Angt'!$A$5:$H$5810,8,FALSE)</f>
        <v>Wiraswasta</v>
      </c>
    </row>
    <row r="1538" spans="1:16" x14ac:dyDescent="0.3">
      <c r="A1538" s="8">
        <v>1531</v>
      </c>
      <c r="B1538" s="9" t="s">
        <v>14017</v>
      </c>
      <c r="C1538" s="10" t="str">
        <f>VLOOKUP(B1538,'Data Angt'!$A$5:$B$5809,2,FALSE)</f>
        <v>A5050</v>
      </c>
      <c r="D1538" s="12" t="s">
        <v>17512</v>
      </c>
      <c r="E1538" s="13">
        <v>45832</v>
      </c>
      <c r="F1538" s="14">
        <v>45930</v>
      </c>
      <c r="G1538" s="15">
        <v>3000000</v>
      </c>
      <c r="H1538" s="16">
        <v>10</v>
      </c>
      <c r="I1538" s="17">
        <v>24</v>
      </c>
      <c r="J1538" s="15">
        <v>2100000</v>
      </c>
      <c r="K1538" s="98">
        <f t="shared" si="69"/>
        <v>0</v>
      </c>
      <c r="L1538" s="98" t="str">
        <f t="shared" si="70"/>
        <v>Lancar</v>
      </c>
      <c r="M1538" s="5" t="str">
        <f t="shared" si="71"/>
        <v>004</v>
      </c>
      <c r="N1538" s="55" t="str">
        <f>VLOOKUP(D1538,Pinjaman!$E$7:$N$1900,10,FALSE)</f>
        <v>PRODUKTIF</v>
      </c>
      <c r="O1538" s="55">
        <f>VLOOKUP(B1538,'Data Angt'!$A$5:$H$5810,6,FALSE)</f>
        <v>43</v>
      </c>
      <c r="P1538" s="55" t="str">
        <f>VLOOKUP(B1538,'Data Angt'!$A$5:$H$5810,8,FALSE)</f>
        <v>Wiraswasta</v>
      </c>
    </row>
    <row r="1539" spans="1:16" x14ac:dyDescent="0.3">
      <c r="A1539" s="8">
        <v>1532</v>
      </c>
      <c r="B1539" s="9" t="s">
        <v>14020</v>
      </c>
      <c r="C1539" s="10" t="str">
        <f>VLOOKUP(B1539,'Data Angt'!$A$5:$B$5809,2,FALSE)</f>
        <v>A5051</v>
      </c>
      <c r="D1539" s="12" t="s">
        <v>17515</v>
      </c>
      <c r="E1539" s="13">
        <v>45709</v>
      </c>
      <c r="F1539" s="14">
        <v>45899</v>
      </c>
      <c r="G1539" s="15">
        <v>3000000</v>
      </c>
      <c r="H1539" s="16">
        <v>12</v>
      </c>
      <c r="I1539" s="17">
        <v>24</v>
      </c>
      <c r="J1539" s="15">
        <v>2138300</v>
      </c>
      <c r="K1539" s="98">
        <f t="shared" si="69"/>
        <v>1</v>
      </c>
      <c r="L1539" s="98" t="str">
        <f t="shared" si="70"/>
        <v>Lancar</v>
      </c>
      <c r="M1539" s="5" t="str">
        <f t="shared" si="71"/>
        <v>004</v>
      </c>
      <c r="N1539" s="55" t="str">
        <f>VLOOKUP(D1539,Pinjaman!$E$7:$N$1900,10,FALSE)</f>
        <v>PRODUKTIF</v>
      </c>
      <c r="O1539" s="55">
        <f>VLOOKUP(B1539,'Data Angt'!$A$5:$H$5810,6,FALSE)</f>
        <v>36</v>
      </c>
      <c r="P1539" s="55" t="str">
        <f>VLOOKUP(B1539,'Data Angt'!$A$5:$H$5810,8,FALSE)</f>
        <v>Wiraswasta</v>
      </c>
    </row>
    <row r="1540" spans="1:16" x14ac:dyDescent="0.3">
      <c r="A1540" s="8">
        <v>1533</v>
      </c>
      <c r="B1540" s="9" t="s">
        <v>14052</v>
      </c>
      <c r="C1540" s="10" t="str">
        <f>VLOOKUP(B1540,'Data Angt'!$A$5:$B$5809,2,FALSE)</f>
        <v>A5066</v>
      </c>
      <c r="D1540" s="12" t="s">
        <v>23664</v>
      </c>
      <c r="E1540" s="13">
        <v>45887</v>
      </c>
      <c r="F1540" s="14">
        <v>45918</v>
      </c>
      <c r="G1540" s="15">
        <v>3000000</v>
      </c>
      <c r="H1540" s="16">
        <v>6</v>
      </c>
      <c r="I1540" s="17">
        <v>24</v>
      </c>
      <c r="J1540" s="15">
        <v>2500000</v>
      </c>
      <c r="K1540" s="98">
        <f t="shared" si="69"/>
        <v>0</v>
      </c>
      <c r="L1540" s="98" t="str">
        <f t="shared" si="70"/>
        <v>Lancar</v>
      </c>
      <c r="M1540" s="5" t="str">
        <f t="shared" si="71"/>
        <v>004</v>
      </c>
      <c r="N1540" s="55" t="str">
        <f>VLOOKUP(D1540,Pinjaman!$E$7:$N$1900,10,FALSE)</f>
        <v>PENDIDIKAN</v>
      </c>
      <c r="O1540" s="55">
        <f>VLOOKUP(B1540,'Data Angt'!$A$5:$H$5810,6,FALSE)</f>
        <v>37</v>
      </c>
      <c r="P1540" s="55" t="str">
        <f>VLOOKUP(B1540,'Data Angt'!$A$5:$H$5810,8,FALSE)</f>
        <v>Wiraswasta</v>
      </c>
    </row>
    <row r="1541" spans="1:16" x14ac:dyDescent="0.3">
      <c r="A1541" s="8">
        <v>1534</v>
      </c>
      <c r="B1541" s="9" t="s">
        <v>14085</v>
      </c>
      <c r="C1541" s="10" t="str">
        <f>VLOOKUP(B1541,'Data Angt'!$A$5:$B$5809,2,FALSE)</f>
        <v>A5078</v>
      </c>
      <c r="D1541" s="12" t="s">
        <v>23666</v>
      </c>
      <c r="E1541" s="13">
        <v>45850</v>
      </c>
      <c r="F1541" s="14">
        <v>45912</v>
      </c>
      <c r="G1541" s="15">
        <v>26000000</v>
      </c>
      <c r="H1541" s="16">
        <v>24</v>
      </c>
      <c r="I1541" s="17">
        <v>21</v>
      </c>
      <c r="J1541" s="15">
        <v>23833200</v>
      </c>
      <c r="K1541" s="98">
        <f t="shared" si="69"/>
        <v>0</v>
      </c>
      <c r="L1541" s="98" t="str">
        <f t="shared" si="70"/>
        <v>Lancar</v>
      </c>
      <c r="M1541" s="5" t="str">
        <f t="shared" si="71"/>
        <v>004</v>
      </c>
      <c r="N1541" s="55" t="str">
        <f>VLOOKUP(D1541,Pinjaman!$E$7:$N$1900,10,FALSE)</f>
        <v>KONSUMTIF</v>
      </c>
      <c r="O1541" s="55">
        <f>VLOOKUP(B1541,'Data Angt'!$A$5:$H$5810,6,FALSE)</f>
        <v>48</v>
      </c>
      <c r="P1541" s="55" t="str">
        <f>VLOOKUP(B1541,'Data Angt'!$A$5:$H$5810,8,FALSE)</f>
        <v>Karyawan</v>
      </c>
    </row>
    <row r="1542" spans="1:16" x14ac:dyDescent="0.3">
      <c r="A1542" s="8">
        <v>1535</v>
      </c>
      <c r="B1542" s="9" t="s">
        <v>14088</v>
      </c>
      <c r="C1542" s="10" t="str">
        <f>VLOOKUP(B1542,'Data Angt'!$A$5:$B$5809,2,FALSE)</f>
        <v>A5079</v>
      </c>
      <c r="D1542" s="12" t="s">
        <v>17518</v>
      </c>
      <c r="E1542" s="13">
        <v>45821</v>
      </c>
      <c r="F1542" s="14">
        <v>45915</v>
      </c>
      <c r="G1542" s="15">
        <v>3000000</v>
      </c>
      <c r="H1542" s="16">
        <v>12</v>
      </c>
      <c r="I1542" s="17">
        <v>24</v>
      </c>
      <c r="J1542" s="15">
        <v>2250000</v>
      </c>
      <c r="K1542" s="98">
        <f t="shared" si="69"/>
        <v>0</v>
      </c>
      <c r="L1542" s="98" t="str">
        <f t="shared" si="70"/>
        <v>Lancar</v>
      </c>
      <c r="M1542" s="5" t="str">
        <f t="shared" si="71"/>
        <v>004</v>
      </c>
      <c r="N1542" s="55" t="str">
        <f>VLOOKUP(D1542,Pinjaman!$E$7:$N$1900,10,FALSE)</f>
        <v>KONSUMTIF</v>
      </c>
      <c r="O1542" s="55">
        <f>VLOOKUP(B1542,'Data Angt'!$A$5:$H$5810,6,FALSE)</f>
        <v>46</v>
      </c>
      <c r="P1542" s="55" t="str">
        <f>VLOOKUP(B1542,'Data Angt'!$A$5:$H$5810,8,FALSE)</f>
        <v>Wiraswasta</v>
      </c>
    </row>
    <row r="1543" spans="1:16" x14ac:dyDescent="0.3">
      <c r="A1543" s="8">
        <v>1536</v>
      </c>
      <c r="B1543" s="9" t="s">
        <v>14207</v>
      </c>
      <c r="C1543" s="10" t="str">
        <f>VLOOKUP(B1543,'Data Angt'!$A$5:$B$5809,2,FALSE)</f>
        <v>A5138</v>
      </c>
      <c r="D1543" s="12" t="s">
        <v>23669</v>
      </c>
      <c r="E1543" s="13">
        <v>45894</v>
      </c>
      <c r="F1543" s="14">
        <v>45926</v>
      </c>
      <c r="G1543" s="15">
        <v>4000000</v>
      </c>
      <c r="H1543" s="16">
        <v>7</v>
      </c>
      <c r="I1543" s="17">
        <v>24</v>
      </c>
      <c r="J1543" s="15">
        <v>3428500</v>
      </c>
      <c r="K1543" s="98">
        <f t="shared" si="69"/>
        <v>0</v>
      </c>
      <c r="L1543" s="98" t="str">
        <f t="shared" si="70"/>
        <v>Lancar</v>
      </c>
      <c r="M1543" s="5" t="str">
        <f t="shared" si="71"/>
        <v>004</v>
      </c>
      <c r="N1543" s="55" t="str">
        <f>VLOOKUP(D1543,Pinjaman!$E$7:$N$1900,10,FALSE)</f>
        <v>PRODUKTIF</v>
      </c>
      <c r="O1543" s="55">
        <f>VLOOKUP(B1543,'Data Angt'!$A$5:$H$5810,6,FALSE)</f>
        <v>51</v>
      </c>
      <c r="P1543" s="55" t="str">
        <f>VLOOKUP(B1543,'Data Angt'!$A$5:$H$5810,8,FALSE)</f>
        <v>Wiraswasta</v>
      </c>
    </row>
    <row r="1544" spans="1:16" x14ac:dyDescent="0.3">
      <c r="A1544" s="8">
        <v>1537</v>
      </c>
      <c r="B1544" s="9" t="s">
        <v>14246</v>
      </c>
      <c r="C1544" s="10" t="str">
        <f>VLOOKUP(B1544,'Data Angt'!$A$5:$B$5809,2,FALSE)</f>
        <v>A5156</v>
      </c>
      <c r="D1544" s="12" t="s">
        <v>17520</v>
      </c>
      <c r="E1544" s="13">
        <v>45769</v>
      </c>
      <c r="F1544" s="14">
        <v>45911</v>
      </c>
      <c r="G1544" s="15">
        <v>40000000</v>
      </c>
      <c r="H1544" s="16">
        <v>48</v>
      </c>
      <c r="I1544" s="17">
        <v>21</v>
      </c>
      <c r="J1544" s="15">
        <v>37210700</v>
      </c>
      <c r="K1544" s="98">
        <f t="shared" si="69"/>
        <v>0</v>
      </c>
      <c r="L1544" s="98" t="str">
        <f t="shared" si="70"/>
        <v>Lancar</v>
      </c>
      <c r="M1544" s="5" t="str">
        <f t="shared" si="71"/>
        <v>004</v>
      </c>
      <c r="N1544" s="55" t="str">
        <f>VLOOKUP(D1544,Pinjaman!$E$7:$N$1900,10,FALSE)</f>
        <v>KONSUMTIF</v>
      </c>
      <c r="O1544" s="55">
        <f>VLOOKUP(B1544,'Data Angt'!$A$5:$H$5810,6,FALSE)</f>
        <v>49</v>
      </c>
      <c r="P1544" s="55" t="str">
        <f>VLOOKUP(B1544,'Data Angt'!$A$5:$H$5810,8,FALSE)</f>
        <v>Mengurus Rumah Tangga</v>
      </c>
    </row>
    <row r="1545" spans="1:16" x14ac:dyDescent="0.3">
      <c r="A1545" s="8">
        <v>1538</v>
      </c>
      <c r="B1545" s="9" t="s">
        <v>14271</v>
      </c>
      <c r="C1545" s="10" t="str">
        <f>VLOOKUP(B1545,'Data Angt'!$A$5:$B$5809,2,FALSE)</f>
        <v>A5169</v>
      </c>
      <c r="D1545" s="12" t="s">
        <v>17523</v>
      </c>
      <c r="E1545" s="13">
        <v>45771</v>
      </c>
      <c r="F1545" s="14">
        <v>45918</v>
      </c>
      <c r="G1545" s="15">
        <v>1500000</v>
      </c>
      <c r="H1545" s="16">
        <v>6</v>
      </c>
      <c r="I1545" s="17">
        <v>24</v>
      </c>
      <c r="J1545" s="15">
        <v>250000</v>
      </c>
      <c r="K1545" s="98">
        <f t="shared" ref="K1545:K1608" si="72">DATEDIF(F1545,$K$6,"m")</f>
        <v>0</v>
      </c>
      <c r="L1545" s="98" t="str">
        <f t="shared" ref="L1545:L1608" si="73">IF(K1545&lt;=3,"Lancar",IF(K1545&lt;=6,"Kurang lancar",IF(K1545&lt;=12,"Diragukan","Macet")))</f>
        <v>Lancar</v>
      </c>
      <c r="M1545" s="5" t="str">
        <f t="shared" ref="M1545:M1608" si="74">MID(B1545,7,3)</f>
        <v>004</v>
      </c>
      <c r="N1545" s="55" t="str">
        <f>VLOOKUP(D1545,Pinjaman!$E$7:$N$1900,10,FALSE)</f>
        <v>PRODUKTIF</v>
      </c>
      <c r="O1545" s="55">
        <f>VLOOKUP(B1545,'Data Angt'!$A$5:$H$5810,6,FALSE)</f>
        <v>39</v>
      </c>
      <c r="P1545" s="55" t="str">
        <f>VLOOKUP(B1545,'Data Angt'!$A$5:$H$5810,8,FALSE)</f>
        <v>Karyawan</v>
      </c>
    </row>
    <row r="1546" spans="1:16" x14ac:dyDescent="0.3">
      <c r="A1546" s="8">
        <v>1539</v>
      </c>
      <c r="B1546" s="9" t="s">
        <v>14398</v>
      </c>
      <c r="C1546" s="10" t="str">
        <f>VLOOKUP(B1546,'Data Angt'!$A$5:$B$5809,2,FALSE)</f>
        <v>A5193</v>
      </c>
      <c r="D1546" s="12" t="s">
        <v>17525</v>
      </c>
      <c r="E1546" s="13">
        <v>45665</v>
      </c>
      <c r="F1546" s="14">
        <v>45930</v>
      </c>
      <c r="G1546" s="15">
        <v>1500000</v>
      </c>
      <c r="H1546" s="16">
        <v>12</v>
      </c>
      <c r="I1546" s="17">
        <v>24</v>
      </c>
      <c r="J1546" s="15">
        <v>500000</v>
      </c>
      <c r="K1546" s="98">
        <f t="shared" si="72"/>
        <v>0</v>
      </c>
      <c r="L1546" s="98" t="str">
        <f t="shared" si="73"/>
        <v>Lancar</v>
      </c>
      <c r="M1546" s="5" t="str">
        <f t="shared" si="74"/>
        <v>004</v>
      </c>
      <c r="N1546" s="55" t="str">
        <f>VLOOKUP(D1546,Pinjaman!$E$7:$N$1900,10,FALSE)</f>
        <v>PRODUKTIF</v>
      </c>
      <c r="O1546" s="55">
        <f>VLOOKUP(B1546,'Data Angt'!$A$5:$H$5810,6,FALSE)</f>
        <v>42</v>
      </c>
      <c r="P1546" s="55" t="str">
        <f>VLOOKUP(B1546,'Data Angt'!$A$5:$H$5810,8,FALSE)</f>
        <v>Tenaga Pengajar</v>
      </c>
    </row>
    <row r="1547" spans="1:16" x14ac:dyDescent="0.3">
      <c r="A1547" s="8">
        <v>1540</v>
      </c>
      <c r="B1547" s="9" t="s">
        <v>14405</v>
      </c>
      <c r="C1547" s="10" t="str">
        <f>VLOOKUP(B1547,'Data Angt'!$A$5:$B$5809,2,FALSE)</f>
        <v>A5196</v>
      </c>
      <c r="D1547" s="12" t="s">
        <v>17528</v>
      </c>
      <c r="E1547" s="13">
        <v>45670</v>
      </c>
      <c r="F1547" s="14">
        <v>45915</v>
      </c>
      <c r="G1547" s="15">
        <v>5000000</v>
      </c>
      <c r="H1547" s="16">
        <v>18</v>
      </c>
      <c r="I1547" s="17">
        <v>24</v>
      </c>
      <c r="J1547" s="15">
        <v>2777600</v>
      </c>
      <c r="K1547" s="98">
        <f t="shared" si="72"/>
        <v>0</v>
      </c>
      <c r="L1547" s="98" t="str">
        <f t="shared" si="73"/>
        <v>Lancar</v>
      </c>
      <c r="M1547" s="5" t="str">
        <f t="shared" si="74"/>
        <v>004</v>
      </c>
      <c r="N1547" s="55" t="str">
        <f>VLOOKUP(D1547,Pinjaman!$E$7:$N$1900,10,FALSE)</f>
        <v>PRODUKTIF</v>
      </c>
      <c r="O1547" s="55">
        <f>VLOOKUP(B1547,'Data Angt'!$A$5:$H$5810,6,FALSE)</f>
        <v>50</v>
      </c>
      <c r="P1547" s="55" t="str">
        <f>VLOOKUP(B1547,'Data Angt'!$A$5:$H$5810,8,FALSE)</f>
        <v>Petani/Pekebun/Nelayan</v>
      </c>
    </row>
    <row r="1548" spans="1:16" x14ac:dyDescent="0.3">
      <c r="A1548" s="8">
        <v>1541</v>
      </c>
      <c r="B1548" s="9" t="s">
        <v>14417</v>
      </c>
      <c r="C1548" s="10" t="str">
        <f>VLOOKUP(B1548,'Data Angt'!$A$5:$B$5809,2,FALSE)</f>
        <v>A5200</v>
      </c>
      <c r="D1548" s="12" t="s">
        <v>17531</v>
      </c>
      <c r="E1548" s="13">
        <v>45729</v>
      </c>
      <c r="F1548" s="14">
        <v>45913</v>
      </c>
      <c r="G1548" s="15">
        <v>2000000</v>
      </c>
      <c r="H1548" s="16">
        <v>10</v>
      </c>
      <c r="I1548" s="17">
        <v>24</v>
      </c>
      <c r="J1548" s="15">
        <v>800000</v>
      </c>
      <c r="K1548" s="98">
        <f t="shared" si="72"/>
        <v>0</v>
      </c>
      <c r="L1548" s="98" t="str">
        <f t="shared" si="73"/>
        <v>Lancar</v>
      </c>
      <c r="M1548" s="5" t="str">
        <f t="shared" si="74"/>
        <v>004</v>
      </c>
      <c r="N1548" s="55" t="str">
        <f>VLOOKUP(D1548,Pinjaman!$E$7:$N$1900,10,FALSE)</f>
        <v>PRODUKTIF</v>
      </c>
      <c r="O1548" s="55">
        <f>VLOOKUP(B1548,'Data Angt'!$A$5:$H$5810,6,FALSE)</f>
        <v>39</v>
      </c>
      <c r="P1548" s="55" t="str">
        <f>VLOOKUP(B1548,'Data Angt'!$A$5:$H$5810,8,FALSE)</f>
        <v>Mengurus Rumah Tangga</v>
      </c>
    </row>
    <row r="1549" spans="1:16" x14ac:dyDescent="0.3">
      <c r="A1549" s="8">
        <v>1542</v>
      </c>
      <c r="B1549" s="9" t="s">
        <v>14446</v>
      </c>
      <c r="C1549" s="10" t="str">
        <f>VLOOKUP(B1549,'Data Angt'!$A$5:$B$5809,2,FALSE)</f>
        <v>A5214</v>
      </c>
      <c r="D1549" s="12" t="s">
        <v>17533</v>
      </c>
      <c r="E1549" s="13">
        <v>45803</v>
      </c>
      <c r="F1549" s="14">
        <v>45924</v>
      </c>
      <c r="G1549" s="15">
        <v>2000000</v>
      </c>
      <c r="H1549" s="16">
        <v>10</v>
      </c>
      <c r="I1549" s="17">
        <v>24</v>
      </c>
      <c r="J1549" s="15">
        <v>1200000</v>
      </c>
      <c r="K1549" s="98">
        <f t="shared" si="72"/>
        <v>0</v>
      </c>
      <c r="L1549" s="98" t="str">
        <f t="shared" si="73"/>
        <v>Lancar</v>
      </c>
      <c r="M1549" s="5" t="str">
        <f t="shared" si="74"/>
        <v>004</v>
      </c>
      <c r="N1549" s="55" t="str">
        <f>VLOOKUP(D1549,Pinjaman!$E$7:$N$1900,10,FALSE)</f>
        <v>KONSUMTIF</v>
      </c>
      <c r="O1549" s="55">
        <f>VLOOKUP(B1549,'Data Angt'!$A$5:$H$5810,6,FALSE)</f>
        <v>42</v>
      </c>
      <c r="P1549" s="55" t="str">
        <f>VLOOKUP(B1549,'Data Angt'!$A$5:$H$5810,8,FALSE)</f>
        <v>Karyawan</v>
      </c>
    </row>
    <row r="1550" spans="1:16" x14ac:dyDescent="0.3">
      <c r="A1550" s="8">
        <v>1543</v>
      </c>
      <c r="B1550" s="9" t="s">
        <v>14478</v>
      </c>
      <c r="C1550" s="10" t="str">
        <f>VLOOKUP(B1550,'Data Angt'!$A$5:$B$5809,2,FALSE)</f>
        <v>A5227</v>
      </c>
      <c r="D1550" s="12" t="s">
        <v>17536</v>
      </c>
      <c r="E1550" s="13">
        <v>45695</v>
      </c>
      <c r="F1550" s="14">
        <v>45917</v>
      </c>
      <c r="G1550" s="15">
        <v>1500000</v>
      </c>
      <c r="H1550" s="16">
        <v>10</v>
      </c>
      <c r="I1550" s="17">
        <v>24</v>
      </c>
      <c r="J1550" s="15">
        <v>450000</v>
      </c>
      <c r="K1550" s="98">
        <f t="shared" si="72"/>
        <v>0</v>
      </c>
      <c r="L1550" s="98" t="str">
        <f t="shared" si="73"/>
        <v>Lancar</v>
      </c>
      <c r="M1550" s="5" t="str">
        <f t="shared" si="74"/>
        <v>004</v>
      </c>
      <c r="N1550" s="55">
        <f>VLOOKUP(D1550,Pinjaman!$E$7:$N$1900,10,FALSE)</f>
        <v>0</v>
      </c>
      <c r="O1550" s="55">
        <f>VLOOKUP(B1550,'Data Angt'!$A$5:$H$5810,6,FALSE)</f>
        <v>43</v>
      </c>
      <c r="P1550" s="55" t="str">
        <f>VLOOKUP(B1550,'Data Angt'!$A$5:$H$5810,8,FALSE)</f>
        <v>Wiraswasta</v>
      </c>
    </row>
    <row r="1551" spans="1:16" x14ac:dyDescent="0.3">
      <c r="A1551" s="8">
        <v>1544</v>
      </c>
      <c r="B1551" s="9" t="s">
        <v>14501</v>
      </c>
      <c r="C1551" s="10" t="str">
        <f>VLOOKUP(B1551,'Data Angt'!$A$5:$B$5809,2,FALSE)</f>
        <v>A5237</v>
      </c>
      <c r="D1551" s="12" t="s">
        <v>17538</v>
      </c>
      <c r="E1551" s="13">
        <v>45730</v>
      </c>
      <c r="F1551" s="14">
        <v>45929</v>
      </c>
      <c r="G1551" s="15">
        <v>2000000</v>
      </c>
      <c r="H1551" s="16">
        <v>12</v>
      </c>
      <c r="I1551" s="17">
        <v>24</v>
      </c>
      <c r="J1551" s="15">
        <v>999800</v>
      </c>
      <c r="K1551" s="98">
        <f t="shared" si="72"/>
        <v>0</v>
      </c>
      <c r="L1551" s="98" t="str">
        <f t="shared" si="73"/>
        <v>Lancar</v>
      </c>
      <c r="M1551" s="5" t="str">
        <f t="shared" si="74"/>
        <v>004</v>
      </c>
      <c r="N1551" s="55" t="str">
        <f>VLOOKUP(D1551,Pinjaman!$E$7:$N$1900,10,FALSE)</f>
        <v>KONSUMTIF</v>
      </c>
      <c r="O1551" s="55">
        <f>VLOOKUP(B1551,'Data Angt'!$A$5:$H$5810,6,FALSE)</f>
        <v>34</v>
      </c>
      <c r="P1551" s="55" t="str">
        <f>VLOOKUP(B1551,'Data Angt'!$A$5:$H$5810,8,FALSE)</f>
        <v>Wiraswasta</v>
      </c>
    </row>
    <row r="1552" spans="1:16" x14ac:dyDescent="0.3">
      <c r="A1552" s="8">
        <v>1545</v>
      </c>
      <c r="B1552" s="9" t="s">
        <v>14504</v>
      </c>
      <c r="C1552" s="10" t="str">
        <f>VLOOKUP(B1552,'Data Angt'!$A$5:$B$5809,2,FALSE)</f>
        <v>A5238</v>
      </c>
      <c r="D1552" s="12" t="s">
        <v>17540</v>
      </c>
      <c r="E1552" s="13">
        <v>45692</v>
      </c>
      <c r="F1552" s="14">
        <v>45908</v>
      </c>
      <c r="G1552" s="15">
        <v>5000000</v>
      </c>
      <c r="H1552" s="16">
        <v>36</v>
      </c>
      <c r="I1552" s="17">
        <v>24</v>
      </c>
      <c r="J1552" s="15">
        <v>4027700</v>
      </c>
      <c r="K1552" s="98">
        <f t="shared" si="72"/>
        <v>0</v>
      </c>
      <c r="L1552" s="98" t="str">
        <f t="shared" si="73"/>
        <v>Lancar</v>
      </c>
      <c r="M1552" s="5" t="str">
        <f t="shared" si="74"/>
        <v>004</v>
      </c>
      <c r="N1552" s="55" t="str">
        <f>VLOOKUP(D1552,Pinjaman!$E$7:$N$1900,10,FALSE)</f>
        <v>KONSUMTIF</v>
      </c>
      <c r="O1552" s="55">
        <f>VLOOKUP(B1552,'Data Angt'!$A$5:$H$5810,6,FALSE)</f>
        <v>32</v>
      </c>
      <c r="P1552" s="55" t="str">
        <f>VLOOKUP(B1552,'Data Angt'!$A$5:$H$5810,8,FALSE)</f>
        <v>Karyawan</v>
      </c>
    </row>
    <row r="1553" spans="1:16" x14ac:dyDescent="0.3">
      <c r="A1553" s="8">
        <v>1546</v>
      </c>
      <c r="B1553" s="9" t="s">
        <v>14548</v>
      </c>
      <c r="C1553" s="10" t="str">
        <f>VLOOKUP(B1553,'Data Angt'!$A$5:$B$5809,2,FALSE)</f>
        <v>A5257</v>
      </c>
      <c r="D1553" s="12" t="s">
        <v>17542</v>
      </c>
      <c r="E1553" s="13">
        <v>45693</v>
      </c>
      <c r="F1553" s="14">
        <v>45908</v>
      </c>
      <c r="G1553" s="15">
        <v>2500000</v>
      </c>
      <c r="H1553" s="16">
        <v>12</v>
      </c>
      <c r="I1553" s="17">
        <v>24</v>
      </c>
      <c r="J1553" s="15">
        <v>1041200</v>
      </c>
      <c r="K1553" s="98">
        <f t="shared" si="72"/>
        <v>0</v>
      </c>
      <c r="L1553" s="98" t="str">
        <f t="shared" si="73"/>
        <v>Lancar</v>
      </c>
      <c r="M1553" s="5" t="str">
        <f t="shared" si="74"/>
        <v>004</v>
      </c>
      <c r="N1553" s="55" t="str">
        <f>VLOOKUP(D1553,Pinjaman!$E$7:$N$1900,10,FALSE)</f>
        <v>PENDIDIKAN</v>
      </c>
      <c r="O1553" s="55">
        <f>VLOOKUP(B1553,'Data Angt'!$A$5:$H$5810,6,FALSE)</f>
        <v>54</v>
      </c>
      <c r="P1553" s="55" t="str">
        <f>VLOOKUP(B1553,'Data Angt'!$A$5:$H$5810,8,FALSE)</f>
        <v>Wiraswasta</v>
      </c>
    </row>
    <row r="1554" spans="1:16" x14ac:dyDescent="0.3">
      <c r="A1554" s="8">
        <v>1547</v>
      </c>
      <c r="B1554" s="9" t="s">
        <v>14559</v>
      </c>
      <c r="C1554" s="10" t="str">
        <f>VLOOKUP(B1554,'Data Angt'!$A$5:$B$5809,2,FALSE)</f>
        <v>A5261</v>
      </c>
      <c r="D1554" s="12" t="s">
        <v>17545</v>
      </c>
      <c r="E1554" s="13">
        <v>45694</v>
      </c>
      <c r="F1554" s="14">
        <v>45929</v>
      </c>
      <c r="G1554" s="15">
        <v>1500000</v>
      </c>
      <c r="H1554" s="16">
        <v>12</v>
      </c>
      <c r="I1554" s="17">
        <v>24</v>
      </c>
      <c r="J1554" s="15">
        <v>750000</v>
      </c>
      <c r="K1554" s="98">
        <f t="shared" si="72"/>
        <v>0</v>
      </c>
      <c r="L1554" s="98" t="str">
        <f t="shared" si="73"/>
        <v>Lancar</v>
      </c>
      <c r="M1554" s="5" t="str">
        <f t="shared" si="74"/>
        <v>004</v>
      </c>
      <c r="N1554" s="55" t="str">
        <f>VLOOKUP(D1554,Pinjaman!$E$7:$N$1900,10,FALSE)</f>
        <v>PRODUKTIF</v>
      </c>
      <c r="O1554" s="55">
        <f>VLOOKUP(B1554,'Data Angt'!$A$5:$H$5810,6,FALSE)</f>
        <v>44</v>
      </c>
      <c r="P1554" s="55" t="str">
        <f>VLOOKUP(B1554,'Data Angt'!$A$5:$H$5810,8,FALSE)</f>
        <v>Wiraswasta</v>
      </c>
    </row>
    <row r="1555" spans="1:16" x14ac:dyDescent="0.3">
      <c r="A1555" s="8">
        <v>1548</v>
      </c>
      <c r="B1555" s="9" t="s">
        <v>14626</v>
      </c>
      <c r="C1555" s="10" t="str">
        <f>VLOOKUP(B1555,'Data Angt'!$A$5:$B$5809,2,FALSE)</f>
        <v>A5290</v>
      </c>
      <c r="D1555" s="12" t="s">
        <v>17548</v>
      </c>
      <c r="E1555" s="13">
        <v>45701</v>
      </c>
      <c r="F1555" s="14">
        <v>45926</v>
      </c>
      <c r="G1555" s="15">
        <v>4500000</v>
      </c>
      <c r="H1555" s="16">
        <v>36</v>
      </c>
      <c r="I1555" s="17">
        <v>24</v>
      </c>
      <c r="J1555" s="15">
        <v>3856500</v>
      </c>
      <c r="K1555" s="98">
        <f t="shared" si="72"/>
        <v>0</v>
      </c>
      <c r="L1555" s="98" t="str">
        <f t="shared" si="73"/>
        <v>Lancar</v>
      </c>
      <c r="M1555" s="5" t="str">
        <f t="shared" si="74"/>
        <v>004</v>
      </c>
      <c r="N1555" s="55" t="str">
        <f>VLOOKUP(D1555,Pinjaman!$E$7:$N$1900,10,FALSE)</f>
        <v>PENDIDIKAN</v>
      </c>
      <c r="O1555" s="55">
        <f>VLOOKUP(B1555,'Data Angt'!$A$5:$H$5810,6,FALSE)</f>
        <v>22</v>
      </c>
      <c r="P1555" s="55" t="str">
        <f>VLOOKUP(B1555,'Data Angt'!$A$5:$H$5810,8,FALSE)</f>
        <v>Karyawan</v>
      </c>
    </row>
    <row r="1556" spans="1:16" x14ac:dyDescent="0.3">
      <c r="A1556" s="8">
        <v>1549</v>
      </c>
      <c r="B1556" s="9" t="s">
        <v>14638</v>
      </c>
      <c r="C1556" s="10" t="str">
        <f>VLOOKUP(B1556,'Data Angt'!$A$5:$B$5809,2,FALSE)</f>
        <v>A5295</v>
      </c>
      <c r="D1556" s="12" t="s">
        <v>17551</v>
      </c>
      <c r="E1556" s="13">
        <v>45699</v>
      </c>
      <c r="F1556" s="14">
        <v>45913</v>
      </c>
      <c r="G1556" s="15">
        <v>2000000</v>
      </c>
      <c r="H1556" s="16">
        <v>12</v>
      </c>
      <c r="I1556" s="17">
        <v>24</v>
      </c>
      <c r="J1556" s="15">
        <v>833100</v>
      </c>
      <c r="K1556" s="98">
        <f t="shared" si="72"/>
        <v>0</v>
      </c>
      <c r="L1556" s="98" t="str">
        <f t="shared" si="73"/>
        <v>Lancar</v>
      </c>
      <c r="M1556" s="5" t="str">
        <f t="shared" si="74"/>
        <v>004</v>
      </c>
      <c r="N1556" s="55" t="str">
        <f>VLOOKUP(D1556,Pinjaman!$E$7:$N$1900,10,FALSE)</f>
        <v>PRODUKTIF</v>
      </c>
      <c r="O1556" s="55">
        <f>VLOOKUP(B1556,'Data Angt'!$A$5:$H$5810,6,FALSE)</f>
        <v>46</v>
      </c>
      <c r="P1556" s="55" t="str">
        <f>VLOOKUP(B1556,'Data Angt'!$A$5:$H$5810,8,FALSE)</f>
        <v>Wiraswasta</v>
      </c>
    </row>
    <row r="1557" spans="1:16" x14ac:dyDescent="0.3">
      <c r="A1557" s="8">
        <v>1550</v>
      </c>
      <c r="B1557" s="9" t="s">
        <v>14651</v>
      </c>
      <c r="C1557" s="10" t="str">
        <f>VLOOKUP(B1557,'Data Angt'!$A$5:$B$5809,2,FALSE)</f>
        <v>A5300</v>
      </c>
      <c r="D1557" s="12" t="s">
        <v>17554</v>
      </c>
      <c r="E1557" s="13">
        <v>45705</v>
      </c>
      <c r="F1557" s="14">
        <v>45927</v>
      </c>
      <c r="G1557" s="15">
        <v>2000000</v>
      </c>
      <c r="H1557" s="16">
        <v>12</v>
      </c>
      <c r="I1557" s="17">
        <v>24</v>
      </c>
      <c r="J1557" s="15">
        <v>833100</v>
      </c>
      <c r="K1557" s="98">
        <f t="shared" si="72"/>
        <v>0</v>
      </c>
      <c r="L1557" s="98" t="str">
        <f t="shared" si="73"/>
        <v>Lancar</v>
      </c>
      <c r="M1557" s="5" t="str">
        <f t="shared" si="74"/>
        <v>004</v>
      </c>
      <c r="N1557" s="55" t="str">
        <f>VLOOKUP(D1557,Pinjaman!$E$7:$N$1900,10,FALSE)</f>
        <v>PRODUKTIF</v>
      </c>
      <c r="O1557" s="55">
        <f>VLOOKUP(B1557,'Data Angt'!$A$5:$H$5810,6,FALSE)</f>
        <v>24</v>
      </c>
      <c r="P1557" s="55" t="str">
        <f>VLOOKUP(B1557,'Data Angt'!$A$5:$H$5810,8,FALSE)</f>
        <v>Wiraswasta</v>
      </c>
    </row>
    <row r="1558" spans="1:16" x14ac:dyDescent="0.3">
      <c r="A1558" s="8">
        <v>1551</v>
      </c>
      <c r="B1558" s="9" t="s">
        <v>14661</v>
      </c>
      <c r="C1558" s="10" t="str">
        <f>VLOOKUP(B1558,'Data Angt'!$A$5:$B$5809,2,FALSE)</f>
        <v>A5305</v>
      </c>
      <c r="D1558" s="12" t="s">
        <v>17557</v>
      </c>
      <c r="E1558" s="13">
        <v>45702</v>
      </c>
      <c r="F1558" s="14">
        <v>45911</v>
      </c>
      <c r="G1558" s="15">
        <v>2500000</v>
      </c>
      <c r="H1558" s="16">
        <v>10</v>
      </c>
      <c r="I1558" s="17">
        <v>24</v>
      </c>
      <c r="J1558" s="15">
        <v>750000</v>
      </c>
      <c r="K1558" s="98">
        <f t="shared" si="72"/>
        <v>0</v>
      </c>
      <c r="L1558" s="98" t="str">
        <f t="shared" si="73"/>
        <v>Lancar</v>
      </c>
      <c r="M1558" s="5" t="str">
        <f t="shared" si="74"/>
        <v>004</v>
      </c>
      <c r="N1558" s="55" t="str">
        <f>VLOOKUP(D1558,Pinjaman!$E$7:$N$1900,10,FALSE)</f>
        <v>PENDIDIKAN</v>
      </c>
      <c r="O1558" s="55">
        <f>VLOOKUP(B1558,'Data Angt'!$A$5:$H$5810,6,FALSE)</f>
        <v>34</v>
      </c>
      <c r="P1558" s="55" t="str">
        <f>VLOOKUP(B1558,'Data Angt'!$A$5:$H$5810,8,FALSE)</f>
        <v>Karyawan</v>
      </c>
    </row>
    <row r="1559" spans="1:16" x14ac:dyDescent="0.3">
      <c r="A1559" s="8">
        <v>1552</v>
      </c>
      <c r="B1559" s="9" t="s">
        <v>14679</v>
      </c>
      <c r="C1559" s="10" t="str">
        <f>VLOOKUP(B1559,'Data Angt'!$A$5:$B$5809,2,FALSE)</f>
        <v>A5313</v>
      </c>
      <c r="D1559" s="12" t="s">
        <v>17559</v>
      </c>
      <c r="E1559" s="13">
        <v>45705</v>
      </c>
      <c r="F1559" s="14">
        <v>45927</v>
      </c>
      <c r="G1559" s="15">
        <v>2000000</v>
      </c>
      <c r="H1559" s="16">
        <v>12</v>
      </c>
      <c r="I1559" s="17">
        <v>24</v>
      </c>
      <c r="J1559" s="15">
        <v>833100</v>
      </c>
      <c r="K1559" s="98">
        <f t="shared" si="72"/>
        <v>0</v>
      </c>
      <c r="L1559" s="98" t="str">
        <f t="shared" si="73"/>
        <v>Lancar</v>
      </c>
      <c r="M1559" s="5" t="str">
        <f t="shared" si="74"/>
        <v>004</v>
      </c>
      <c r="N1559" s="55" t="str">
        <f>VLOOKUP(D1559,Pinjaman!$E$7:$N$1900,10,FALSE)</f>
        <v>PRODUKTIF</v>
      </c>
      <c r="O1559" s="55">
        <f>VLOOKUP(B1559,'Data Angt'!$A$5:$H$5810,6,FALSE)</f>
        <v>53</v>
      </c>
      <c r="P1559" s="55" t="str">
        <f>VLOOKUP(B1559,'Data Angt'!$A$5:$H$5810,8,FALSE)</f>
        <v>Mengurus Rumah Tangga</v>
      </c>
    </row>
    <row r="1560" spans="1:16" x14ac:dyDescent="0.3">
      <c r="A1560" s="8">
        <v>1553</v>
      </c>
      <c r="B1560" s="9" t="s">
        <v>14683</v>
      </c>
      <c r="C1560" s="10" t="str">
        <f>VLOOKUP(B1560,'Data Angt'!$A$5:$B$5809,2,FALSE)</f>
        <v>A5315</v>
      </c>
      <c r="D1560" s="12" t="s">
        <v>17562</v>
      </c>
      <c r="E1560" s="13">
        <v>45702</v>
      </c>
      <c r="F1560" s="14">
        <v>45916</v>
      </c>
      <c r="G1560" s="15">
        <v>2000000</v>
      </c>
      <c r="H1560" s="16">
        <v>10</v>
      </c>
      <c r="I1560" s="17">
        <v>24</v>
      </c>
      <c r="J1560" s="15">
        <v>600000</v>
      </c>
      <c r="K1560" s="98">
        <f t="shared" si="72"/>
        <v>0</v>
      </c>
      <c r="L1560" s="98" t="str">
        <f t="shared" si="73"/>
        <v>Lancar</v>
      </c>
      <c r="M1560" s="5" t="str">
        <f t="shared" si="74"/>
        <v>004</v>
      </c>
      <c r="N1560" s="55" t="str">
        <f>VLOOKUP(D1560,Pinjaman!$E$7:$N$1900,10,FALSE)</f>
        <v>KONSUMTIF</v>
      </c>
      <c r="O1560" s="55">
        <f>VLOOKUP(B1560,'Data Angt'!$A$5:$H$5810,6,FALSE)</f>
        <v>25</v>
      </c>
      <c r="P1560" s="55" t="str">
        <f>VLOOKUP(B1560,'Data Angt'!$A$5:$H$5810,8,FALSE)</f>
        <v>Karyawan</v>
      </c>
    </row>
    <row r="1561" spans="1:16" x14ac:dyDescent="0.3">
      <c r="A1561" s="8">
        <v>1554</v>
      </c>
      <c r="B1561" s="9" t="s">
        <v>14692</v>
      </c>
      <c r="C1561" s="10" t="str">
        <f>VLOOKUP(B1561,'Data Angt'!$A$5:$B$5809,2,FALSE)</f>
        <v>A5318</v>
      </c>
      <c r="D1561" s="12" t="s">
        <v>17564</v>
      </c>
      <c r="E1561" s="13">
        <v>45709</v>
      </c>
      <c r="F1561" s="14">
        <v>45929</v>
      </c>
      <c r="G1561" s="15">
        <v>2000000</v>
      </c>
      <c r="H1561" s="16">
        <v>10</v>
      </c>
      <c r="I1561" s="17">
        <v>24</v>
      </c>
      <c r="J1561" s="15">
        <v>600000</v>
      </c>
      <c r="K1561" s="98">
        <f t="shared" si="72"/>
        <v>0</v>
      </c>
      <c r="L1561" s="98" t="str">
        <f t="shared" si="73"/>
        <v>Lancar</v>
      </c>
      <c r="M1561" s="5" t="str">
        <f t="shared" si="74"/>
        <v>004</v>
      </c>
      <c r="N1561" s="55" t="str">
        <f>VLOOKUP(D1561,Pinjaman!$E$7:$N$1900,10,FALSE)</f>
        <v>PRODUKTIF</v>
      </c>
      <c r="O1561" s="55">
        <f>VLOOKUP(B1561,'Data Angt'!$A$5:$H$5810,6,FALSE)</f>
        <v>55</v>
      </c>
      <c r="P1561" s="55" t="str">
        <f>VLOOKUP(B1561,'Data Angt'!$A$5:$H$5810,8,FALSE)</f>
        <v>Wiraswasta</v>
      </c>
    </row>
    <row r="1562" spans="1:16" x14ac:dyDescent="0.3">
      <c r="A1562" s="8">
        <v>1555</v>
      </c>
      <c r="B1562" s="9" t="s">
        <v>14728</v>
      </c>
      <c r="C1562" s="10" t="str">
        <f>VLOOKUP(B1562,'Data Angt'!$A$5:$B$5809,2,FALSE)</f>
        <v>A5333</v>
      </c>
      <c r="D1562" s="12" t="s">
        <v>17567</v>
      </c>
      <c r="E1562" s="13">
        <v>45707</v>
      </c>
      <c r="F1562" s="14">
        <v>45929</v>
      </c>
      <c r="G1562" s="15">
        <v>2000000</v>
      </c>
      <c r="H1562" s="16">
        <v>10</v>
      </c>
      <c r="I1562" s="17">
        <v>24</v>
      </c>
      <c r="J1562" s="15">
        <v>600000</v>
      </c>
      <c r="K1562" s="98">
        <f t="shared" si="72"/>
        <v>0</v>
      </c>
      <c r="L1562" s="98" t="str">
        <f t="shared" si="73"/>
        <v>Lancar</v>
      </c>
      <c r="M1562" s="5" t="str">
        <f t="shared" si="74"/>
        <v>004</v>
      </c>
      <c r="N1562" s="55" t="str">
        <f>VLOOKUP(D1562,Pinjaman!$E$7:$N$1900,10,FALSE)</f>
        <v>PRODUKTIF</v>
      </c>
      <c r="O1562" s="55">
        <f>VLOOKUP(B1562,'Data Angt'!$A$5:$H$5810,6,FALSE)</f>
        <v>41</v>
      </c>
      <c r="P1562" s="55" t="str">
        <f>VLOOKUP(B1562,'Data Angt'!$A$5:$H$5810,8,FALSE)</f>
        <v>Wiraswasta</v>
      </c>
    </row>
    <row r="1563" spans="1:16" x14ac:dyDescent="0.3">
      <c r="A1563" s="8">
        <v>1556</v>
      </c>
      <c r="B1563" s="9" t="s">
        <v>14800</v>
      </c>
      <c r="C1563" s="10" t="str">
        <f>VLOOKUP(B1563,'Data Angt'!$A$5:$B$5809,2,FALSE)</f>
        <v>A5366</v>
      </c>
      <c r="D1563" s="12" t="s">
        <v>17569</v>
      </c>
      <c r="E1563" s="13">
        <v>45825</v>
      </c>
      <c r="F1563" s="14">
        <v>45916</v>
      </c>
      <c r="G1563" s="15">
        <v>10000000</v>
      </c>
      <c r="H1563" s="16">
        <v>20</v>
      </c>
      <c r="I1563" s="17">
        <v>24</v>
      </c>
      <c r="J1563" s="15">
        <v>8500000</v>
      </c>
      <c r="K1563" s="98">
        <f t="shared" si="72"/>
        <v>0</v>
      </c>
      <c r="L1563" s="98" t="str">
        <f t="shared" si="73"/>
        <v>Lancar</v>
      </c>
      <c r="M1563" s="5" t="str">
        <f t="shared" si="74"/>
        <v>004</v>
      </c>
      <c r="N1563" s="55" t="str">
        <f>VLOOKUP(D1563,Pinjaman!$E$7:$N$1900,10,FALSE)</f>
        <v>PENDIDIKAN</v>
      </c>
      <c r="O1563" s="55">
        <f>VLOOKUP(B1563,'Data Angt'!$A$5:$H$5810,6,FALSE)</f>
        <v>63</v>
      </c>
      <c r="P1563" s="55" t="str">
        <f>VLOOKUP(B1563,'Data Angt'!$A$5:$H$5810,8,FALSE)</f>
        <v>Lain-Lain</v>
      </c>
    </row>
    <row r="1564" spans="1:16" x14ac:dyDescent="0.3">
      <c r="A1564" s="8">
        <v>1557</v>
      </c>
      <c r="B1564" s="9" t="s">
        <v>14824</v>
      </c>
      <c r="C1564" s="10" t="str">
        <f>VLOOKUP(B1564,'Data Angt'!$A$5:$B$5809,2,FALSE)</f>
        <v>A5379</v>
      </c>
      <c r="D1564" s="12" t="s">
        <v>23676</v>
      </c>
      <c r="E1564" s="13">
        <v>45868</v>
      </c>
      <c r="F1564" s="14">
        <v>45929</v>
      </c>
      <c r="G1564" s="15">
        <v>80000000</v>
      </c>
      <c r="H1564" s="16">
        <v>24</v>
      </c>
      <c r="I1564" s="17">
        <v>21</v>
      </c>
      <c r="J1564" s="15">
        <v>74530800</v>
      </c>
      <c r="K1564" s="98">
        <f t="shared" si="72"/>
        <v>0</v>
      </c>
      <c r="L1564" s="98" t="str">
        <f t="shared" si="73"/>
        <v>Lancar</v>
      </c>
      <c r="M1564" s="5" t="str">
        <f t="shared" si="74"/>
        <v>004</v>
      </c>
      <c r="N1564" s="55" t="str">
        <f>VLOOKUP(D1564,Pinjaman!$E$7:$N$1900,10,FALSE)</f>
        <v>KESEJAHTERAAN</v>
      </c>
      <c r="O1564" s="55">
        <f>VLOOKUP(B1564,'Data Angt'!$A$5:$H$5810,6,FALSE)</f>
        <v>43</v>
      </c>
      <c r="P1564" s="55" t="str">
        <f>VLOOKUP(B1564,'Data Angt'!$A$5:$H$5810,8,FALSE)</f>
        <v>Aparatur/Pejabat Negara</v>
      </c>
    </row>
    <row r="1565" spans="1:16" x14ac:dyDescent="0.3">
      <c r="A1565" s="8">
        <v>1558</v>
      </c>
      <c r="B1565" s="9" t="s">
        <v>14827</v>
      </c>
      <c r="C1565" s="10" t="str">
        <f>VLOOKUP(B1565,'Data Angt'!$A$5:$B$5809,2,FALSE)</f>
        <v>A5380</v>
      </c>
      <c r="D1565" s="12" t="s">
        <v>17571</v>
      </c>
      <c r="E1565" s="13">
        <v>45714</v>
      </c>
      <c r="F1565" s="14">
        <v>45930</v>
      </c>
      <c r="G1565" s="15">
        <v>2000000</v>
      </c>
      <c r="H1565" s="16">
        <v>10</v>
      </c>
      <c r="I1565" s="17">
        <v>24</v>
      </c>
      <c r="J1565" s="15">
        <v>600000</v>
      </c>
      <c r="K1565" s="98">
        <f t="shared" si="72"/>
        <v>0</v>
      </c>
      <c r="L1565" s="98" t="str">
        <f t="shared" si="73"/>
        <v>Lancar</v>
      </c>
      <c r="M1565" s="5" t="str">
        <f t="shared" si="74"/>
        <v>004</v>
      </c>
      <c r="N1565" s="55" t="str">
        <f>VLOOKUP(D1565,Pinjaman!$E$7:$N$1900,10,FALSE)</f>
        <v>PRODUKTIF</v>
      </c>
      <c r="O1565" s="55">
        <f>VLOOKUP(B1565,'Data Angt'!$A$5:$H$5810,6,FALSE)</f>
        <v>42</v>
      </c>
      <c r="P1565" s="55" t="str">
        <f>VLOOKUP(B1565,'Data Angt'!$A$5:$H$5810,8,FALSE)</f>
        <v>Wiraswasta</v>
      </c>
    </row>
    <row r="1566" spans="1:16" x14ac:dyDescent="0.3">
      <c r="A1566" s="8">
        <v>1559</v>
      </c>
      <c r="B1566" s="9" t="s">
        <v>14844</v>
      </c>
      <c r="C1566" s="10" t="str">
        <f>VLOOKUP(B1566,'Data Angt'!$A$5:$B$5809,2,FALSE)</f>
        <v>A5387</v>
      </c>
      <c r="D1566" s="12" t="s">
        <v>17573</v>
      </c>
      <c r="E1566" s="13">
        <v>45737</v>
      </c>
      <c r="F1566" s="14">
        <v>45930</v>
      </c>
      <c r="G1566" s="15">
        <v>10000000</v>
      </c>
      <c r="H1566" s="16">
        <v>24</v>
      </c>
      <c r="I1566" s="17">
        <v>24</v>
      </c>
      <c r="J1566" s="15">
        <v>7499800</v>
      </c>
      <c r="K1566" s="98">
        <f t="shared" si="72"/>
        <v>0</v>
      </c>
      <c r="L1566" s="98" t="str">
        <f t="shared" si="73"/>
        <v>Lancar</v>
      </c>
      <c r="M1566" s="5" t="str">
        <f t="shared" si="74"/>
        <v>004</v>
      </c>
      <c r="N1566" s="55" t="str">
        <f>VLOOKUP(D1566,Pinjaman!$E$7:$N$1900,10,FALSE)</f>
        <v>KONSUMTIF</v>
      </c>
      <c r="O1566" s="55">
        <f>VLOOKUP(B1566,'Data Angt'!$A$5:$H$5810,6,FALSE)</f>
        <v>33</v>
      </c>
      <c r="P1566" s="55" t="str">
        <f>VLOOKUP(B1566,'Data Angt'!$A$5:$H$5810,8,FALSE)</f>
        <v>Tenaga Pengajar</v>
      </c>
    </row>
    <row r="1567" spans="1:16" x14ac:dyDescent="0.3">
      <c r="A1567" s="8">
        <v>1560</v>
      </c>
      <c r="B1567" s="9" t="s">
        <v>14869</v>
      </c>
      <c r="C1567" s="10" t="str">
        <f>VLOOKUP(B1567,'Data Angt'!$A$5:$B$5809,2,FALSE)</f>
        <v>A5399</v>
      </c>
      <c r="D1567" s="12" t="s">
        <v>17575</v>
      </c>
      <c r="E1567" s="13">
        <v>45719</v>
      </c>
      <c r="F1567" s="14">
        <v>45903</v>
      </c>
      <c r="G1567" s="15">
        <v>2000000</v>
      </c>
      <c r="H1567" s="16">
        <v>10</v>
      </c>
      <c r="I1567" s="17">
        <v>24</v>
      </c>
      <c r="J1567" s="15">
        <v>800000</v>
      </c>
      <c r="K1567" s="98">
        <f t="shared" si="72"/>
        <v>0</v>
      </c>
      <c r="L1567" s="98" t="str">
        <f t="shared" si="73"/>
        <v>Lancar</v>
      </c>
      <c r="M1567" s="5" t="str">
        <f t="shared" si="74"/>
        <v>004</v>
      </c>
      <c r="N1567" s="55" t="str">
        <f>VLOOKUP(D1567,Pinjaman!$E$7:$N$1900,10,FALSE)</f>
        <v>KONSUMTIF</v>
      </c>
      <c r="O1567" s="55">
        <f>VLOOKUP(B1567,'Data Angt'!$A$5:$H$5810,6,FALSE)</f>
        <v>22</v>
      </c>
      <c r="P1567" s="55" t="str">
        <f>VLOOKUP(B1567,'Data Angt'!$A$5:$H$5810,8,FALSE)</f>
        <v>Karyawan</v>
      </c>
    </row>
    <row r="1568" spans="1:16" x14ac:dyDescent="0.3">
      <c r="A1568" s="8">
        <v>1561</v>
      </c>
      <c r="B1568" s="9" t="s">
        <v>14879</v>
      </c>
      <c r="C1568" s="10" t="str">
        <f>VLOOKUP(B1568,'Data Angt'!$A$5:$B$5809,2,FALSE)</f>
        <v>A5403</v>
      </c>
      <c r="D1568" s="12" t="s">
        <v>17578</v>
      </c>
      <c r="E1568" s="13">
        <v>45734</v>
      </c>
      <c r="F1568" s="14">
        <v>45923</v>
      </c>
      <c r="G1568" s="15">
        <v>2000000</v>
      </c>
      <c r="H1568" s="16">
        <v>10</v>
      </c>
      <c r="I1568" s="17">
        <v>24</v>
      </c>
      <c r="J1568" s="15">
        <v>800000</v>
      </c>
      <c r="K1568" s="98">
        <f t="shared" si="72"/>
        <v>0</v>
      </c>
      <c r="L1568" s="98" t="str">
        <f t="shared" si="73"/>
        <v>Lancar</v>
      </c>
      <c r="M1568" s="5" t="str">
        <f t="shared" si="74"/>
        <v>004</v>
      </c>
      <c r="N1568" s="55" t="str">
        <f>VLOOKUP(D1568,Pinjaman!$E$7:$N$1900,10,FALSE)</f>
        <v>PRODUKTIF</v>
      </c>
      <c r="O1568" s="55">
        <f>VLOOKUP(B1568,'Data Angt'!$A$5:$H$5810,6,FALSE)</f>
        <v>38</v>
      </c>
      <c r="P1568" s="55" t="str">
        <f>VLOOKUP(B1568,'Data Angt'!$A$5:$H$5810,8,FALSE)</f>
        <v>Wiraswasta</v>
      </c>
    </row>
    <row r="1569" spans="1:16" x14ac:dyDescent="0.3">
      <c r="A1569" s="8">
        <v>1562</v>
      </c>
      <c r="B1569" s="9" t="s">
        <v>14915</v>
      </c>
      <c r="C1569" s="10" t="str">
        <f>VLOOKUP(B1569,'Data Angt'!$A$5:$B$5809,2,FALSE)</f>
        <v>A5418</v>
      </c>
      <c r="D1569" s="12" t="s">
        <v>17580</v>
      </c>
      <c r="E1569" s="13">
        <v>45728</v>
      </c>
      <c r="F1569" s="14">
        <v>45913</v>
      </c>
      <c r="G1569" s="15">
        <v>4000000</v>
      </c>
      <c r="H1569" s="16">
        <v>12</v>
      </c>
      <c r="I1569" s="17">
        <v>24</v>
      </c>
      <c r="J1569" s="15">
        <v>1999600</v>
      </c>
      <c r="K1569" s="98">
        <f t="shared" si="72"/>
        <v>0</v>
      </c>
      <c r="L1569" s="98" t="str">
        <f t="shared" si="73"/>
        <v>Lancar</v>
      </c>
      <c r="M1569" s="5" t="str">
        <f t="shared" si="74"/>
        <v>004</v>
      </c>
      <c r="N1569" s="55" t="str">
        <f>VLOOKUP(D1569,Pinjaman!$E$7:$N$1900,10,FALSE)</f>
        <v>PRODUKTIF</v>
      </c>
      <c r="O1569" s="55">
        <f>VLOOKUP(B1569,'Data Angt'!$A$5:$H$5810,6,FALSE)</f>
        <v>28</v>
      </c>
      <c r="P1569" s="55" t="str">
        <f>VLOOKUP(B1569,'Data Angt'!$A$5:$H$5810,8,FALSE)</f>
        <v>Wiraswasta</v>
      </c>
    </row>
    <row r="1570" spans="1:16" x14ac:dyDescent="0.3">
      <c r="A1570" s="8">
        <v>1563</v>
      </c>
      <c r="B1570" s="9" t="s">
        <v>14921</v>
      </c>
      <c r="C1570" s="10" t="str">
        <f>VLOOKUP(B1570,'Data Angt'!$A$5:$B$5809,2,FALSE)</f>
        <v>A5420</v>
      </c>
      <c r="D1570" s="12" t="s">
        <v>17582</v>
      </c>
      <c r="E1570" s="13">
        <v>45729</v>
      </c>
      <c r="F1570" s="14">
        <v>45918</v>
      </c>
      <c r="G1570" s="15">
        <v>2000000</v>
      </c>
      <c r="H1570" s="16">
        <v>10</v>
      </c>
      <c r="I1570" s="17">
        <v>24</v>
      </c>
      <c r="J1570" s="15">
        <v>800000</v>
      </c>
      <c r="K1570" s="98">
        <f t="shared" si="72"/>
        <v>0</v>
      </c>
      <c r="L1570" s="98" t="str">
        <f t="shared" si="73"/>
        <v>Lancar</v>
      </c>
      <c r="M1570" s="5" t="str">
        <f t="shared" si="74"/>
        <v>004</v>
      </c>
      <c r="N1570" s="55" t="str">
        <f>VLOOKUP(D1570,Pinjaman!$E$7:$N$1900,10,FALSE)</f>
        <v>PENDIDIKAN</v>
      </c>
      <c r="O1570" s="55">
        <f>VLOOKUP(B1570,'Data Angt'!$A$5:$H$5810,6,FALSE)</f>
        <v>42</v>
      </c>
      <c r="P1570" s="55" t="str">
        <f>VLOOKUP(B1570,'Data Angt'!$A$5:$H$5810,8,FALSE)</f>
        <v>Wiraswasta</v>
      </c>
    </row>
    <row r="1571" spans="1:16" x14ac:dyDescent="0.3">
      <c r="A1571" s="8">
        <v>1564</v>
      </c>
      <c r="B1571" s="9" t="s">
        <v>14933</v>
      </c>
      <c r="C1571" s="10" t="str">
        <f>VLOOKUP(B1571,'Data Angt'!$A$5:$B$5809,2,FALSE)</f>
        <v>A5426</v>
      </c>
      <c r="D1571" s="12" t="s">
        <v>17584</v>
      </c>
      <c r="E1571" s="13">
        <v>45735</v>
      </c>
      <c r="F1571" s="14">
        <v>45924</v>
      </c>
      <c r="G1571" s="15">
        <v>25000000</v>
      </c>
      <c r="H1571" s="16">
        <v>24</v>
      </c>
      <c r="I1571" s="17">
        <v>21</v>
      </c>
      <c r="J1571" s="15">
        <v>19689400</v>
      </c>
      <c r="K1571" s="98">
        <f t="shared" si="72"/>
        <v>0</v>
      </c>
      <c r="L1571" s="98" t="str">
        <f t="shared" si="73"/>
        <v>Lancar</v>
      </c>
      <c r="M1571" s="5" t="str">
        <f t="shared" si="74"/>
        <v>004</v>
      </c>
      <c r="N1571" s="55" t="str">
        <f>VLOOKUP(D1571,Pinjaman!$E$7:$N$1900,10,FALSE)</f>
        <v>KONSUMTIF</v>
      </c>
      <c r="O1571" s="55">
        <f>VLOOKUP(B1571,'Data Angt'!$A$5:$H$5810,6,FALSE)</f>
        <v>50</v>
      </c>
      <c r="P1571" s="55" t="str">
        <f>VLOOKUP(B1571,'Data Angt'!$A$5:$H$5810,8,FALSE)</f>
        <v>Aparatur/Pejabat Negara</v>
      </c>
    </row>
    <row r="1572" spans="1:16" x14ac:dyDescent="0.3">
      <c r="A1572" s="8">
        <v>1565</v>
      </c>
      <c r="B1572" s="9" t="s">
        <v>14947</v>
      </c>
      <c r="C1572" s="10" t="str">
        <f>VLOOKUP(B1572,'Data Angt'!$A$5:$B$5809,2,FALSE)</f>
        <v>A5434</v>
      </c>
      <c r="D1572" s="12" t="s">
        <v>17586</v>
      </c>
      <c r="E1572" s="13">
        <v>45731</v>
      </c>
      <c r="F1572" s="14">
        <v>45916</v>
      </c>
      <c r="G1572" s="15">
        <v>2000000</v>
      </c>
      <c r="H1572" s="16">
        <v>12</v>
      </c>
      <c r="I1572" s="17">
        <v>24</v>
      </c>
      <c r="J1572" s="15">
        <v>999800</v>
      </c>
      <c r="K1572" s="98">
        <f t="shared" si="72"/>
        <v>0</v>
      </c>
      <c r="L1572" s="98" t="str">
        <f t="shared" si="73"/>
        <v>Lancar</v>
      </c>
      <c r="M1572" s="5" t="str">
        <f t="shared" si="74"/>
        <v>004</v>
      </c>
      <c r="N1572" s="55" t="str">
        <f>VLOOKUP(D1572,Pinjaman!$E$7:$N$1900,10,FALSE)</f>
        <v>PENDIDIKAN</v>
      </c>
      <c r="O1572" s="55">
        <f>VLOOKUP(B1572,'Data Angt'!$A$5:$H$5810,6,FALSE)</f>
        <v>30</v>
      </c>
      <c r="P1572" s="55" t="str">
        <f>VLOOKUP(B1572,'Data Angt'!$A$5:$H$5810,8,FALSE)</f>
        <v>Karyawan</v>
      </c>
    </row>
    <row r="1573" spans="1:16" x14ac:dyDescent="0.3">
      <c r="A1573" s="8">
        <v>1566</v>
      </c>
      <c r="B1573" s="9" t="s">
        <v>14951</v>
      </c>
      <c r="C1573" s="10" t="str">
        <f>VLOOKUP(B1573,'Data Angt'!$A$5:$B$5809,2,FALSE)</f>
        <v>A5437</v>
      </c>
      <c r="D1573" s="12" t="s">
        <v>17588</v>
      </c>
      <c r="E1573" s="13">
        <v>45733</v>
      </c>
      <c r="F1573" s="14">
        <v>45917</v>
      </c>
      <c r="G1573" s="15">
        <v>3000000</v>
      </c>
      <c r="H1573" s="16">
        <v>12</v>
      </c>
      <c r="I1573" s="17">
        <v>24</v>
      </c>
      <c r="J1573" s="15">
        <v>1500000</v>
      </c>
      <c r="K1573" s="98">
        <f t="shared" si="72"/>
        <v>0</v>
      </c>
      <c r="L1573" s="98" t="str">
        <f t="shared" si="73"/>
        <v>Lancar</v>
      </c>
      <c r="M1573" s="5" t="str">
        <f t="shared" si="74"/>
        <v>004</v>
      </c>
      <c r="N1573" s="55" t="str">
        <f>VLOOKUP(D1573,Pinjaman!$E$7:$N$1900,10,FALSE)</f>
        <v>PRODUKTIF</v>
      </c>
      <c r="O1573" s="55">
        <f>VLOOKUP(B1573,'Data Angt'!$A$5:$H$5810,6,FALSE)</f>
        <v>19</v>
      </c>
      <c r="P1573" s="55" t="str">
        <f>VLOOKUP(B1573,'Data Angt'!$A$5:$H$5810,8,FALSE)</f>
        <v>Karyawan</v>
      </c>
    </row>
    <row r="1574" spans="1:16" x14ac:dyDescent="0.3">
      <c r="A1574" s="8">
        <v>1567</v>
      </c>
      <c r="B1574" s="9" t="s">
        <v>14968</v>
      </c>
      <c r="C1574" s="10" t="str">
        <f>VLOOKUP(B1574,'Data Angt'!$A$5:$B$5809,2,FALSE)</f>
        <v>A5444</v>
      </c>
      <c r="D1574" s="12" t="s">
        <v>17590</v>
      </c>
      <c r="E1574" s="13">
        <v>45740</v>
      </c>
      <c r="F1574" s="14">
        <v>45930</v>
      </c>
      <c r="G1574" s="15">
        <v>2000000</v>
      </c>
      <c r="H1574" s="16">
        <v>10</v>
      </c>
      <c r="I1574" s="17">
        <v>24</v>
      </c>
      <c r="J1574" s="15">
        <v>1155000</v>
      </c>
      <c r="K1574" s="98">
        <f t="shared" si="72"/>
        <v>0</v>
      </c>
      <c r="L1574" s="98" t="str">
        <f t="shared" si="73"/>
        <v>Lancar</v>
      </c>
      <c r="M1574" s="5" t="str">
        <f t="shared" si="74"/>
        <v>004</v>
      </c>
      <c r="N1574" s="55" t="str">
        <f>VLOOKUP(D1574,Pinjaman!$E$7:$N$1900,10,FALSE)</f>
        <v>PRODUKTIF</v>
      </c>
      <c r="O1574" s="55">
        <f>VLOOKUP(B1574,'Data Angt'!$A$5:$H$5810,6,FALSE)</f>
        <v>42</v>
      </c>
      <c r="P1574" s="55" t="str">
        <f>VLOOKUP(B1574,'Data Angt'!$A$5:$H$5810,8,FALSE)</f>
        <v>Karyawan</v>
      </c>
    </row>
    <row r="1575" spans="1:16" x14ac:dyDescent="0.3">
      <c r="A1575" s="8">
        <v>1568</v>
      </c>
      <c r="B1575" s="9" t="s">
        <v>15006</v>
      </c>
      <c r="C1575" s="10" t="str">
        <f>VLOOKUP(B1575,'Data Angt'!$A$5:$B$5809,2,FALSE)</f>
        <v>A5462</v>
      </c>
      <c r="D1575" s="12" t="s">
        <v>17592</v>
      </c>
      <c r="E1575" s="13">
        <v>45764</v>
      </c>
      <c r="F1575" s="14">
        <v>45930</v>
      </c>
      <c r="G1575" s="15">
        <v>2000000</v>
      </c>
      <c r="H1575" s="16">
        <v>10</v>
      </c>
      <c r="I1575" s="17">
        <v>24</v>
      </c>
      <c r="J1575" s="15">
        <v>1000000</v>
      </c>
      <c r="K1575" s="98">
        <f t="shared" si="72"/>
        <v>0</v>
      </c>
      <c r="L1575" s="98" t="str">
        <f t="shared" si="73"/>
        <v>Lancar</v>
      </c>
      <c r="M1575" s="5" t="str">
        <f t="shared" si="74"/>
        <v>004</v>
      </c>
      <c r="N1575" s="55" t="str">
        <f>VLOOKUP(D1575,Pinjaman!$E$7:$N$1900,10,FALSE)</f>
        <v>PENDIDIKAN</v>
      </c>
      <c r="O1575" s="55">
        <f>VLOOKUP(B1575,'Data Angt'!$A$5:$H$5810,6,FALSE)</f>
        <v>37</v>
      </c>
      <c r="P1575" s="55" t="str">
        <f>VLOOKUP(B1575,'Data Angt'!$A$5:$H$5810,8,FALSE)</f>
        <v>Karyawan</v>
      </c>
    </row>
    <row r="1576" spans="1:16" x14ac:dyDescent="0.3">
      <c r="A1576" s="8">
        <v>1569</v>
      </c>
      <c r="B1576" s="9" t="s">
        <v>15008</v>
      </c>
      <c r="C1576" s="10" t="str">
        <f>VLOOKUP(B1576,'Data Angt'!$A$5:$B$5809,2,FALSE)</f>
        <v>A5463</v>
      </c>
      <c r="D1576" s="12" t="s">
        <v>17594</v>
      </c>
      <c r="E1576" s="13">
        <v>45764</v>
      </c>
      <c r="F1576" s="14">
        <v>45930</v>
      </c>
      <c r="G1576" s="15">
        <v>2000000</v>
      </c>
      <c r="H1576" s="16">
        <v>10</v>
      </c>
      <c r="I1576" s="17">
        <v>24</v>
      </c>
      <c r="J1576" s="15">
        <v>1000000</v>
      </c>
      <c r="K1576" s="98">
        <f t="shared" si="72"/>
        <v>0</v>
      </c>
      <c r="L1576" s="98" t="str">
        <f t="shared" si="73"/>
        <v>Lancar</v>
      </c>
      <c r="M1576" s="5" t="str">
        <f t="shared" si="74"/>
        <v>004</v>
      </c>
      <c r="N1576" s="55" t="str">
        <f>VLOOKUP(D1576,Pinjaman!$E$7:$N$1900,10,FALSE)</f>
        <v>PRODUKTIF</v>
      </c>
      <c r="O1576" s="55">
        <f>VLOOKUP(B1576,'Data Angt'!$A$5:$H$5810,6,FALSE)</f>
        <v>35</v>
      </c>
      <c r="P1576" s="55" t="str">
        <f>VLOOKUP(B1576,'Data Angt'!$A$5:$H$5810,8,FALSE)</f>
        <v>Karyawan</v>
      </c>
    </row>
    <row r="1577" spans="1:16" x14ac:dyDescent="0.3">
      <c r="A1577" s="8">
        <v>1570</v>
      </c>
      <c r="B1577" s="9" t="s">
        <v>15009</v>
      </c>
      <c r="C1577" s="10" t="str">
        <f>VLOOKUP(B1577,'Data Angt'!$A$5:$B$5809,2,FALSE)</f>
        <v>A5464</v>
      </c>
      <c r="D1577" s="12" t="s">
        <v>17597</v>
      </c>
      <c r="E1577" s="13">
        <v>45803</v>
      </c>
      <c r="F1577" s="14">
        <v>45930</v>
      </c>
      <c r="G1577" s="15">
        <v>20000000</v>
      </c>
      <c r="H1577" s="16">
        <v>12</v>
      </c>
      <c r="I1577" s="17">
        <v>24</v>
      </c>
      <c r="J1577" s="15">
        <v>13333200</v>
      </c>
      <c r="K1577" s="98">
        <f t="shared" si="72"/>
        <v>0</v>
      </c>
      <c r="L1577" s="98" t="str">
        <f t="shared" si="73"/>
        <v>Lancar</v>
      </c>
      <c r="M1577" s="5" t="str">
        <f t="shared" si="74"/>
        <v>004</v>
      </c>
      <c r="N1577" s="55" t="str">
        <f>VLOOKUP(D1577,Pinjaman!$E$7:$N$1900,10,FALSE)</f>
        <v>PENDIDIKAN</v>
      </c>
      <c r="O1577" s="55">
        <f>VLOOKUP(B1577,'Data Angt'!$A$5:$H$5810,6,FALSE)</f>
        <v>22</v>
      </c>
      <c r="P1577" s="55" t="str">
        <f>VLOOKUP(B1577,'Data Angt'!$A$5:$H$5810,8,FALSE)</f>
        <v>Karyawan</v>
      </c>
    </row>
    <row r="1578" spans="1:16" x14ac:dyDescent="0.3">
      <c r="A1578" s="8">
        <v>1571</v>
      </c>
      <c r="B1578" s="9" t="s">
        <v>15038</v>
      </c>
      <c r="C1578" s="10" t="str">
        <f>VLOOKUP(B1578,'Data Angt'!$A$5:$B$5809,2,FALSE)</f>
        <v>A5477</v>
      </c>
      <c r="D1578" s="12" t="s">
        <v>17600</v>
      </c>
      <c r="E1578" s="13">
        <v>45772</v>
      </c>
      <c r="F1578" s="14">
        <v>45930</v>
      </c>
      <c r="G1578" s="15">
        <v>2000000</v>
      </c>
      <c r="H1578" s="16">
        <v>6</v>
      </c>
      <c r="I1578" s="17">
        <v>24</v>
      </c>
      <c r="J1578" s="15">
        <v>333000</v>
      </c>
      <c r="K1578" s="98">
        <f t="shared" si="72"/>
        <v>0</v>
      </c>
      <c r="L1578" s="98" t="str">
        <f t="shared" si="73"/>
        <v>Lancar</v>
      </c>
      <c r="M1578" s="5" t="str">
        <f t="shared" si="74"/>
        <v>004</v>
      </c>
      <c r="N1578" s="55" t="str">
        <f>VLOOKUP(D1578,Pinjaman!$E$7:$N$1900,10,FALSE)</f>
        <v>KONSUMTIF</v>
      </c>
      <c r="O1578" s="55">
        <f>VLOOKUP(B1578,'Data Angt'!$A$5:$H$5810,6,FALSE)</f>
        <v>22</v>
      </c>
      <c r="P1578" s="55" t="str">
        <f>VLOOKUP(B1578,'Data Angt'!$A$5:$H$5810,8,FALSE)</f>
        <v>Karyawan</v>
      </c>
    </row>
    <row r="1579" spans="1:16" x14ac:dyDescent="0.3">
      <c r="A1579" s="8">
        <v>1572</v>
      </c>
      <c r="B1579" s="9" t="s">
        <v>15040</v>
      </c>
      <c r="C1579" s="10" t="str">
        <f>VLOOKUP(B1579,'Data Angt'!$A$5:$B$5809,2,FALSE)</f>
        <v>A5478</v>
      </c>
      <c r="D1579" s="12" t="s">
        <v>17603</v>
      </c>
      <c r="E1579" s="13">
        <v>45772</v>
      </c>
      <c r="F1579" s="14">
        <v>45930</v>
      </c>
      <c r="G1579" s="15">
        <v>2000000</v>
      </c>
      <c r="H1579" s="16">
        <v>6</v>
      </c>
      <c r="I1579" s="17">
        <v>24</v>
      </c>
      <c r="J1579" s="15">
        <v>333000</v>
      </c>
      <c r="K1579" s="98">
        <f t="shared" si="72"/>
        <v>0</v>
      </c>
      <c r="L1579" s="98" t="str">
        <f t="shared" si="73"/>
        <v>Lancar</v>
      </c>
      <c r="M1579" s="5" t="str">
        <f t="shared" si="74"/>
        <v>004</v>
      </c>
      <c r="N1579" s="55" t="str">
        <f>VLOOKUP(D1579,Pinjaman!$E$7:$N$1900,10,FALSE)</f>
        <v>KONSUMTIF</v>
      </c>
      <c r="O1579" s="55">
        <f>VLOOKUP(B1579,'Data Angt'!$A$5:$H$5810,6,FALSE)</f>
        <v>23</v>
      </c>
      <c r="P1579" s="55" t="str">
        <f>VLOOKUP(B1579,'Data Angt'!$A$5:$H$5810,8,FALSE)</f>
        <v>Karyawan</v>
      </c>
    </row>
    <row r="1580" spans="1:16" x14ac:dyDescent="0.3">
      <c r="A1580" s="8">
        <v>1573</v>
      </c>
      <c r="B1580" s="9" t="s">
        <v>15079</v>
      </c>
      <c r="C1580" s="10" t="str">
        <f>VLOOKUP(B1580,'Data Angt'!$A$5:$B$5809,2,FALSE)</f>
        <v>A5494</v>
      </c>
      <c r="D1580" s="12" t="s">
        <v>17605</v>
      </c>
      <c r="E1580" s="13">
        <v>45779</v>
      </c>
      <c r="F1580" s="14">
        <v>45915</v>
      </c>
      <c r="G1580" s="15">
        <v>2000000</v>
      </c>
      <c r="H1580" s="16">
        <v>10</v>
      </c>
      <c r="I1580" s="17">
        <v>24</v>
      </c>
      <c r="J1580" s="15">
        <v>1200000</v>
      </c>
      <c r="K1580" s="98">
        <f t="shared" si="72"/>
        <v>0</v>
      </c>
      <c r="L1580" s="98" t="str">
        <f t="shared" si="73"/>
        <v>Lancar</v>
      </c>
      <c r="M1580" s="5" t="str">
        <f t="shared" si="74"/>
        <v>004</v>
      </c>
      <c r="N1580" s="55" t="str">
        <f>VLOOKUP(D1580,Pinjaman!$E$7:$N$1900,10,FALSE)</f>
        <v>KONSUMTIF</v>
      </c>
      <c r="O1580" s="55">
        <f>VLOOKUP(B1580,'Data Angt'!$A$5:$H$5810,6,FALSE)</f>
        <v>24</v>
      </c>
      <c r="P1580" s="55" t="str">
        <f>VLOOKUP(B1580,'Data Angt'!$A$5:$H$5810,8,FALSE)</f>
        <v>Karyawan</v>
      </c>
    </row>
    <row r="1581" spans="1:16" x14ac:dyDescent="0.3">
      <c r="A1581" s="8">
        <v>1574</v>
      </c>
      <c r="B1581" s="9" t="s">
        <v>15093</v>
      </c>
      <c r="C1581" s="10" t="str">
        <f>VLOOKUP(B1581,'Data Angt'!$A$5:$B$5809,2,FALSE)</f>
        <v>A5501</v>
      </c>
      <c r="D1581" s="12" t="s">
        <v>17607</v>
      </c>
      <c r="E1581" s="13">
        <v>45784</v>
      </c>
      <c r="F1581" s="14">
        <v>45919</v>
      </c>
      <c r="G1581" s="15">
        <v>2000000</v>
      </c>
      <c r="H1581" s="16">
        <v>10</v>
      </c>
      <c r="I1581" s="17">
        <v>24</v>
      </c>
      <c r="J1581" s="15">
        <v>1200000</v>
      </c>
      <c r="K1581" s="98">
        <f t="shared" si="72"/>
        <v>0</v>
      </c>
      <c r="L1581" s="98" t="str">
        <f t="shared" si="73"/>
        <v>Lancar</v>
      </c>
      <c r="M1581" s="5" t="str">
        <f t="shared" si="74"/>
        <v>004</v>
      </c>
      <c r="N1581" s="55" t="str">
        <f>VLOOKUP(D1581,Pinjaman!$E$7:$N$1900,10,FALSE)</f>
        <v>PRODUKTIF</v>
      </c>
      <c r="O1581" s="55">
        <f>VLOOKUP(B1581,'Data Angt'!$A$5:$H$5810,6,FALSE)</f>
        <v>29</v>
      </c>
      <c r="P1581" s="55" t="str">
        <f>VLOOKUP(B1581,'Data Angt'!$A$5:$H$5810,8,FALSE)</f>
        <v>Mengurus Rumah Tangga</v>
      </c>
    </row>
    <row r="1582" spans="1:16" x14ac:dyDescent="0.3">
      <c r="A1582" s="8">
        <v>1575</v>
      </c>
      <c r="B1582" s="9" t="s">
        <v>15104</v>
      </c>
      <c r="C1582" s="10" t="str">
        <f>VLOOKUP(B1582,'Data Angt'!$A$5:$B$5809,2,FALSE)</f>
        <v>A5507</v>
      </c>
      <c r="D1582" s="12" t="s">
        <v>17609</v>
      </c>
      <c r="E1582" s="13">
        <v>45785</v>
      </c>
      <c r="F1582" s="14">
        <v>45901</v>
      </c>
      <c r="G1582" s="15">
        <v>5000000</v>
      </c>
      <c r="H1582" s="16">
        <v>12</v>
      </c>
      <c r="I1582" s="17">
        <v>24</v>
      </c>
      <c r="J1582" s="15">
        <v>3333200</v>
      </c>
      <c r="K1582" s="98">
        <f t="shared" si="72"/>
        <v>0</v>
      </c>
      <c r="L1582" s="98" t="str">
        <f t="shared" si="73"/>
        <v>Lancar</v>
      </c>
      <c r="M1582" s="5" t="str">
        <f t="shared" si="74"/>
        <v>004</v>
      </c>
      <c r="N1582" s="55" t="str">
        <f>VLOOKUP(D1582,Pinjaman!$E$7:$N$1900,10,FALSE)</f>
        <v>PRODUKTIF</v>
      </c>
      <c r="O1582" s="55">
        <f>VLOOKUP(B1582,'Data Angt'!$A$5:$H$5810,6,FALSE)</f>
        <v>24</v>
      </c>
      <c r="P1582" s="55" t="str">
        <f>VLOOKUP(B1582,'Data Angt'!$A$5:$H$5810,8,FALSE)</f>
        <v>Lain-Lain</v>
      </c>
    </row>
    <row r="1583" spans="1:16" x14ac:dyDescent="0.3">
      <c r="A1583" s="8">
        <v>1576</v>
      </c>
      <c r="B1583" s="9" t="s">
        <v>15109</v>
      </c>
      <c r="C1583" s="10" t="str">
        <f>VLOOKUP(B1583,'Data Angt'!$A$5:$B$5809,2,FALSE)</f>
        <v>A5509</v>
      </c>
      <c r="D1583" s="12" t="s">
        <v>17612</v>
      </c>
      <c r="E1583" s="13">
        <v>45792</v>
      </c>
      <c r="F1583" s="14">
        <v>45923</v>
      </c>
      <c r="G1583" s="15">
        <v>2000000</v>
      </c>
      <c r="H1583" s="16">
        <v>10</v>
      </c>
      <c r="I1583" s="17">
        <v>24</v>
      </c>
      <c r="J1583" s="15">
        <v>1200000</v>
      </c>
      <c r="K1583" s="98">
        <f t="shared" si="72"/>
        <v>0</v>
      </c>
      <c r="L1583" s="98" t="str">
        <f t="shared" si="73"/>
        <v>Lancar</v>
      </c>
      <c r="M1583" s="5" t="str">
        <f t="shared" si="74"/>
        <v>004</v>
      </c>
      <c r="N1583" s="55" t="str">
        <f>VLOOKUP(D1583,Pinjaman!$E$7:$N$1900,10,FALSE)</f>
        <v>PRODUKTIF</v>
      </c>
      <c r="O1583" s="55">
        <f>VLOOKUP(B1583,'Data Angt'!$A$5:$H$5810,6,FALSE)</f>
        <v>23</v>
      </c>
      <c r="P1583" s="55" t="str">
        <f>VLOOKUP(B1583,'Data Angt'!$A$5:$H$5810,8,FALSE)</f>
        <v>Wiraswasta</v>
      </c>
    </row>
    <row r="1584" spans="1:16" x14ac:dyDescent="0.3">
      <c r="A1584" s="8">
        <v>1577</v>
      </c>
      <c r="B1584" s="9" t="s">
        <v>15143</v>
      </c>
      <c r="C1584" s="10" t="str">
        <f>VLOOKUP(B1584,'Data Angt'!$A$5:$B$5809,2,FALSE)</f>
        <v>A5525</v>
      </c>
      <c r="D1584" s="12" t="s">
        <v>23684</v>
      </c>
      <c r="E1584" s="13">
        <v>45867</v>
      </c>
      <c r="F1584" s="14">
        <v>45929</v>
      </c>
      <c r="G1584" s="15">
        <v>3000000</v>
      </c>
      <c r="H1584" s="16">
        <v>6</v>
      </c>
      <c r="I1584" s="17">
        <v>24</v>
      </c>
      <c r="J1584" s="15">
        <v>2000000</v>
      </c>
      <c r="K1584" s="98">
        <f t="shared" si="72"/>
        <v>0</v>
      </c>
      <c r="L1584" s="98" t="str">
        <f t="shared" si="73"/>
        <v>Lancar</v>
      </c>
      <c r="M1584" s="5" t="str">
        <f t="shared" si="74"/>
        <v>004</v>
      </c>
      <c r="N1584" s="55" t="str">
        <f>VLOOKUP(D1584,Pinjaman!$E$7:$N$1900,10,FALSE)</f>
        <v>PRODUKTIF</v>
      </c>
      <c r="O1584" s="55">
        <f>VLOOKUP(B1584,'Data Angt'!$A$5:$H$5810,6,FALSE)</f>
        <v>30</v>
      </c>
      <c r="P1584" s="55" t="str">
        <f>VLOOKUP(B1584,'Data Angt'!$A$5:$H$5810,8,FALSE)</f>
        <v>Wiraswasta</v>
      </c>
    </row>
    <row r="1585" spans="1:16" x14ac:dyDescent="0.3">
      <c r="A1585" s="8">
        <v>1578</v>
      </c>
      <c r="B1585" s="9" t="s">
        <v>15146</v>
      </c>
      <c r="C1585" s="10" t="str">
        <f>VLOOKUP(B1585,'Data Angt'!$A$5:$B$5809,2,FALSE)</f>
        <v>A5527</v>
      </c>
      <c r="D1585" s="12" t="s">
        <v>17615</v>
      </c>
      <c r="E1585" s="13">
        <v>45797</v>
      </c>
      <c r="F1585" s="14">
        <v>45930</v>
      </c>
      <c r="G1585" s="15">
        <v>2000000</v>
      </c>
      <c r="H1585" s="16">
        <v>10</v>
      </c>
      <c r="I1585" s="17">
        <v>24</v>
      </c>
      <c r="J1585" s="15">
        <v>1200000</v>
      </c>
      <c r="K1585" s="98">
        <f t="shared" si="72"/>
        <v>0</v>
      </c>
      <c r="L1585" s="98" t="str">
        <f t="shared" si="73"/>
        <v>Lancar</v>
      </c>
      <c r="M1585" s="5" t="str">
        <f t="shared" si="74"/>
        <v>004</v>
      </c>
      <c r="N1585" s="55" t="str">
        <f>VLOOKUP(D1585,Pinjaman!$E$7:$N$1900,10,FALSE)</f>
        <v>PRODUKTIF</v>
      </c>
      <c r="O1585" s="55">
        <f>VLOOKUP(B1585,'Data Angt'!$A$5:$H$5810,6,FALSE)</f>
        <v>52</v>
      </c>
      <c r="P1585" s="55" t="str">
        <f>VLOOKUP(B1585,'Data Angt'!$A$5:$H$5810,8,FALSE)</f>
        <v>Wiraswasta</v>
      </c>
    </row>
    <row r="1586" spans="1:16" x14ac:dyDescent="0.3">
      <c r="A1586" s="8">
        <v>1579</v>
      </c>
      <c r="B1586" s="9" t="s">
        <v>15147</v>
      </c>
      <c r="C1586" s="10" t="str">
        <f>VLOOKUP(B1586,'Data Angt'!$A$5:$B$5809,2,FALSE)</f>
        <v>A5528</v>
      </c>
      <c r="D1586" s="12" t="s">
        <v>17617</v>
      </c>
      <c r="E1586" s="13">
        <v>45838</v>
      </c>
      <c r="F1586" s="14">
        <v>45930</v>
      </c>
      <c r="G1586" s="15">
        <v>1000000</v>
      </c>
      <c r="H1586" s="16">
        <v>6</v>
      </c>
      <c r="I1586" s="17">
        <v>24</v>
      </c>
      <c r="J1586" s="15">
        <v>499900</v>
      </c>
      <c r="K1586" s="98">
        <f t="shared" si="72"/>
        <v>0</v>
      </c>
      <c r="L1586" s="98" t="str">
        <f t="shared" si="73"/>
        <v>Lancar</v>
      </c>
      <c r="M1586" s="5" t="str">
        <f t="shared" si="74"/>
        <v>004</v>
      </c>
      <c r="N1586" s="55" t="str">
        <f>VLOOKUP(D1586,Pinjaman!$E$7:$N$1900,10,FALSE)</f>
        <v>PRODUKTIF</v>
      </c>
      <c r="O1586" s="55">
        <f>VLOOKUP(B1586,'Data Angt'!$A$5:$H$5810,6,FALSE)</f>
        <v>68</v>
      </c>
      <c r="P1586" s="55" t="str">
        <f>VLOOKUP(B1586,'Data Angt'!$A$5:$H$5810,8,FALSE)</f>
        <v>Wiraswasta</v>
      </c>
    </row>
    <row r="1587" spans="1:16" x14ac:dyDescent="0.3">
      <c r="A1587" s="8">
        <v>1580</v>
      </c>
      <c r="B1587" s="9" t="s">
        <v>15152</v>
      </c>
      <c r="C1587" s="10" t="str">
        <f>VLOOKUP(B1587,'Data Angt'!$A$5:$B$5809,2,FALSE)</f>
        <v>A5530</v>
      </c>
      <c r="D1587" s="12" t="s">
        <v>17619</v>
      </c>
      <c r="E1587" s="13">
        <v>45805</v>
      </c>
      <c r="F1587" s="14">
        <v>45930</v>
      </c>
      <c r="G1587" s="15">
        <v>2000000</v>
      </c>
      <c r="H1587" s="16">
        <v>10</v>
      </c>
      <c r="I1587" s="17">
        <v>24</v>
      </c>
      <c r="J1587" s="15">
        <v>1200000</v>
      </c>
      <c r="K1587" s="98">
        <f t="shared" si="72"/>
        <v>0</v>
      </c>
      <c r="L1587" s="98" t="str">
        <f t="shared" si="73"/>
        <v>Lancar</v>
      </c>
      <c r="M1587" s="5" t="str">
        <f t="shared" si="74"/>
        <v>004</v>
      </c>
      <c r="N1587" s="55" t="str">
        <f>VLOOKUP(D1587,Pinjaman!$E$7:$N$1900,10,FALSE)</f>
        <v>PRODUKTIF</v>
      </c>
      <c r="O1587" s="55">
        <f>VLOOKUP(B1587,'Data Angt'!$A$5:$H$5810,6,FALSE)</f>
        <v>55</v>
      </c>
      <c r="P1587" s="55" t="str">
        <f>VLOOKUP(B1587,'Data Angt'!$A$5:$H$5810,8,FALSE)</f>
        <v>Wiraswasta</v>
      </c>
    </row>
    <row r="1588" spans="1:16" x14ac:dyDescent="0.3">
      <c r="A1588" s="8">
        <v>1581</v>
      </c>
      <c r="B1588" s="9" t="s">
        <v>15198</v>
      </c>
      <c r="C1588" s="10" t="str">
        <f>VLOOKUP(B1588,'Data Angt'!$A$5:$B$5809,2,FALSE)</f>
        <v>A5549</v>
      </c>
      <c r="D1588" s="12" t="s">
        <v>17621</v>
      </c>
      <c r="E1588" s="13">
        <v>45804</v>
      </c>
      <c r="F1588" s="14">
        <v>45926</v>
      </c>
      <c r="G1588" s="15">
        <v>2000000</v>
      </c>
      <c r="H1588" s="16">
        <v>10</v>
      </c>
      <c r="I1588" s="17">
        <v>24</v>
      </c>
      <c r="J1588" s="15">
        <v>1200000</v>
      </c>
      <c r="K1588" s="98">
        <f t="shared" si="72"/>
        <v>0</v>
      </c>
      <c r="L1588" s="98" t="str">
        <f t="shared" si="73"/>
        <v>Lancar</v>
      </c>
      <c r="M1588" s="5" t="str">
        <f t="shared" si="74"/>
        <v>004</v>
      </c>
      <c r="N1588" s="55" t="str">
        <f>VLOOKUP(D1588,Pinjaman!$E$7:$N$1900,10,FALSE)</f>
        <v>KONSUMTIF</v>
      </c>
      <c r="O1588" s="55">
        <f>VLOOKUP(B1588,'Data Angt'!$A$5:$H$5810,6,FALSE)</f>
        <v>30</v>
      </c>
      <c r="P1588" s="55" t="str">
        <f>VLOOKUP(B1588,'Data Angt'!$A$5:$H$5810,8,FALSE)</f>
        <v>Karyawan</v>
      </c>
    </row>
    <row r="1589" spans="1:16" x14ac:dyDescent="0.3">
      <c r="A1589" s="8">
        <v>1582</v>
      </c>
      <c r="B1589" s="9" t="s">
        <v>15226</v>
      </c>
      <c r="C1589" s="10" t="str">
        <f>VLOOKUP(B1589,'Data Angt'!$A$5:$B$5809,2,FALSE)</f>
        <v>A5561</v>
      </c>
      <c r="D1589" s="12" t="s">
        <v>17624</v>
      </c>
      <c r="E1589" s="13">
        <v>45810</v>
      </c>
      <c r="F1589" s="14">
        <v>45903</v>
      </c>
      <c r="G1589" s="15">
        <v>2000000</v>
      </c>
      <c r="H1589" s="16">
        <v>6</v>
      </c>
      <c r="I1589" s="17">
        <v>24</v>
      </c>
      <c r="J1589" s="15">
        <v>999800</v>
      </c>
      <c r="K1589" s="98">
        <f t="shared" si="72"/>
        <v>0</v>
      </c>
      <c r="L1589" s="98" t="str">
        <f t="shared" si="73"/>
        <v>Lancar</v>
      </c>
      <c r="M1589" s="5" t="str">
        <f t="shared" si="74"/>
        <v>004</v>
      </c>
      <c r="N1589" s="55" t="str">
        <f>VLOOKUP(D1589,Pinjaman!$E$7:$N$1900,10,FALSE)</f>
        <v>PRODUKTIF</v>
      </c>
      <c r="O1589" s="55">
        <f>VLOOKUP(B1589,'Data Angt'!$A$5:$H$5810,6,FALSE)</f>
        <v>29</v>
      </c>
      <c r="P1589" s="55" t="str">
        <f>VLOOKUP(B1589,'Data Angt'!$A$5:$H$5810,8,FALSE)</f>
        <v>Wiraswasta</v>
      </c>
    </row>
    <row r="1590" spans="1:16" x14ac:dyDescent="0.3">
      <c r="A1590" s="8">
        <v>1583</v>
      </c>
      <c r="B1590" s="9" t="s">
        <v>15248</v>
      </c>
      <c r="C1590" s="10" t="str">
        <f>VLOOKUP(B1590,'Data Angt'!$A$5:$B$5809,2,FALSE)</f>
        <v>A5570</v>
      </c>
      <c r="D1590" s="12" t="s">
        <v>17626</v>
      </c>
      <c r="E1590" s="13">
        <v>45813</v>
      </c>
      <c r="F1590" s="14">
        <v>45916</v>
      </c>
      <c r="G1590" s="15">
        <v>1500000</v>
      </c>
      <c r="H1590" s="16">
        <v>6</v>
      </c>
      <c r="I1590" s="17">
        <v>24</v>
      </c>
      <c r="J1590" s="15">
        <v>750000</v>
      </c>
      <c r="K1590" s="98">
        <f t="shared" si="72"/>
        <v>0</v>
      </c>
      <c r="L1590" s="98" t="str">
        <f t="shared" si="73"/>
        <v>Lancar</v>
      </c>
      <c r="M1590" s="5" t="str">
        <f t="shared" si="74"/>
        <v>004</v>
      </c>
      <c r="N1590" s="55" t="str">
        <f>VLOOKUP(D1590,Pinjaman!$E$7:$N$1900,10,FALSE)</f>
        <v>PRODUKTIF</v>
      </c>
      <c r="O1590" s="55">
        <f>VLOOKUP(B1590,'Data Angt'!$A$5:$H$5810,6,FALSE)</f>
        <v>39</v>
      </c>
      <c r="P1590" s="55" t="str">
        <f>VLOOKUP(B1590,'Data Angt'!$A$5:$H$5810,8,FALSE)</f>
        <v>Wiraswasta</v>
      </c>
    </row>
    <row r="1591" spans="1:16" x14ac:dyDescent="0.3">
      <c r="A1591" s="8">
        <v>1584</v>
      </c>
      <c r="B1591" s="9" t="s">
        <v>15279</v>
      </c>
      <c r="C1591" s="10" t="str">
        <f>VLOOKUP(B1591,'Data Angt'!$A$5:$B$5809,2,FALSE)</f>
        <v>A5587</v>
      </c>
      <c r="D1591" s="12" t="s">
        <v>17628</v>
      </c>
      <c r="E1591" s="13">
        <v>45828</v>
      </c>
      <c r="F1591" s="14">
        <v>45930</v>
      </c>
      <c r="G1591" s="15">
        <v>2000000</v>
      </c>
      <c r="H1591" s="16">
        <v>8</v>
      </c>
      <c r="I1591" s="17">
        <v>24</v>
      </c>
      <c r="J1591" s="15">
        <v>1250000</v>
      </c>
      <c r="K1591" s="98">
        <f t="shared" si="72"/>
        <v>0</v>
      </c>
      <c r="L1591" s="98" t="str">
        <f t="shared" si="73"/>
        <v>Lancar</v>
      </c>
      <c r="M1591" s="5" t="str">
        <f t="shared" si="74"/>
        <v>004</v>
      </c>
      <c r="N1591" s="55" t="str">
        <f>VLOOKUP(D1591,Pinjaman!$E$7:$N$1900,10,FALSE)</f>
        <v>KONSUMTIF</v>
      </c>
      <c r="O1591" s="55">
        <f>VLOOKUP(B1591,'Data Angt'!$A$5:$H$5810,6,FALSE)</f>
        <v>34</v>
      </c>
      <c r="P1591" s="55" t="str">
        <f>VLOOKUP(B1591,'Data Angt'!$A$5:$H$5810,8,FALSE)</f>
        <v>Karyawan</v>
      </c>
    </row>
    <row r="1592" spans="1:16" x14ac:dyDescent="0.3">
      <c r="A1592" s="8">
        <v>1585</v>
      </c>
      <c r="B1592" s="9" t="s">
        <v>18867</v>
      </c>
      <c r="C1592" s="10" t="str">
        <f>VLOOKUP(B1592,'Data Angt'!$A$5:$B$5809,2,FALSE)</f>
        <v>A5613</v>
      </c>
      <c r="D1592" s="12" t="s">
        <v>23687</v>
      </c>
      <c r="E1592" s="13">
        <v>45842</v>
      </c>
      <c r="F1592" s="14">
        <v>45913</v>
      </c>
      <c r="G1592" s="15">
        <v>5000000</v>
      </c>
      <c r="H1592" s="16">
        <v>10</v>
      </c>
      <c r="I1592" s="17">
        <v>24</v>
      </c>
      <c r="J1592" s="15">
        <v>4000000</v>
      </c>
      <c r="K1592" s="98">
        <f t="shared" si="72"/>
        <v>0</v>
      </c>
      <c r="L1592" s="98" t="str">
        <f t="shared" si="73"/>
        <v>Lancar</v>
      </c>
      <c r="M1592" s="5" t="str">
        <f t="shared" si="74"/>
        <v>004</v>
      </c>
      <c r="N1592" s="55" t="str">
        <f>VLOOKUP(D1592,Pinjaman!$E$7:$N$1900,10,FALSE)</f>
        <v>KONSUMTIF</v>
      </c>
      <c r="O1592" s="55">
        <f>VLOOKUP(B1592,'Data Angt'!$A$5:$H$5810,6,FALSE)</f>
        <v>24</v>
      </c>
      <c r="P1592" s="55" t="str">
        <f>VLOOKUP(B1592,'Data Angt'!$A$5:$H$5810,8,FALSE)</f>
        <v>Karyawan</v>
      </c>
    </row>
    <row r="1593" spans="1:16" x14ac:dyDescent="0.3">
      <c r="A1593" s="8">
        <v>1586</v>
      </c>
      <c r="B1593" s="9" t="s">
        <v>18916</v>
      </c>
      <c r="C1593" s="10" t="str">
        <f>VLOOKUP(B1593,'Data Angt'!$A$5:$B$5809,2,FALSE)</f>
        <v>A5633</v>
      </c>
      <c r="D1593" s="12" t="s">
        <v>23690</v>
      </c>
      <c r="E1593" s="13">
        <v>45857</v>
      </c>
      <c r="F1593" s="14">
        <v>45919</v>
      </c>
      <c r="G1593" s="15">
        <v>5000000</v>
      </c>
      <c r="H1593" s="16">
        <v>24</v>
      </c>
      <c r="I1593" s="17">
        <v>24</v>
      </c>
      <c r="J1593" s="15">
        <v>4583200</v>
      </c>
      <c r="K1593" s="98">
        <f t="shared" si="72"/>
        <v>0</v>
      </c>
      <c r="L1593" s="98" t="str">
        <f t="shared" si="73"/>
        <v>Lancar</v>
      </c>
      <c r="M1593" s="5" t="str">
        <f t="shared" si="74"/>
        <v>004</v>
      </c>
      <c r="N1593" s="55" t="str">
        <f>VLOOKUP(D1593,Pinjaman!$E$7:$N$1900,10,FALSE)</f>
        <v>KONSUMTIF</v>
      </c>
      <c r="O1593" s="55">
        <f>VLOOKUP(B1593,'Data Angt'!$A$5:$H$5810,6,FALSE)</f>
        <v>33</v>
      </c>
      <c r="P1593" s="55" t="str">
        <f>VLOOKUP(B1593,'Data Angt'!$A$5:$H$5810,8,FALSE)</f>
        <v>Tenaga Pengajar</v>
      </c>
    </row>
    <row r="1594" spans="1:16" x14ac:dyDescent="0.3">
      <c r="A1594" s="8">
        <v>1587</v>
      </c>
      <c r="B1594" s="9" t="s">
        <v>18936</v>
      </c>
      <c r="C1594" s="10" t="str">
        <f>VLOOKUP(B1594,'Data Angt'!$A$5:$B$5809,2,FALSE)</f>
        <v>A5642</v>
      </c>
      <c r="D1594" s="12" t="s">
        <v>23693</v>
      </c>
      <c r="E1594" s="13">
        <v>45859</v>
      </c>
      <c r="F1594" s="14">
        <v>45930</v>
      </c>
      <c r="G1594" s="15">
        <v>2000000</v>
      </c>
      <c r="H1594" s="16">
        <v>10</v>
      </c>
      <c r="I1594" s="17">
        <v>24</v>
      </c>
      <c r="J1594" s="15">
        <v>1600000</v>
      </c>
      <c r="K1594" s="98">
        <f t="shared" si="72"/>
        <v>0</v>
      </c>
      <c r="L1594" s="98" t="str">
        <f t="shared" si="73"/>
        <v>Lancar</v>
      </c>
      <c r="M1594" s="5" t="str">
        <f t="shared" si="74"/>
        <v>004</v>
      </c>
      <c r="N1594" s="55" t="str">
        <f>VLOOKUP(D1594,Pinjaman!$E$7:$N$1900,10,FALSE)</f>
        <v>PRODUKTIF</v>
      </c>
      <c r="O1594" s="55">
        <f>VLOOKUP(B1594,'Data Angt'!$A$5:$H$5810,6,FALSE)</f>
        <v>39</v>
      </c>
      <c r="P1594" s="55" t="str">
        <f>VLOOKUP(B1594,'Data Angt'!$A$5:$H$5810,8,FALSE)</f>
        <v>Wiraswasta</v>
      </c>
    </row>
    <row r="1595" spans="1:16" x14ac:dyDescent="0.3">
      <c r="A1595" s="8">
        <v>1588</v>
      </c>
      <c r="B1595" s="9" t="s">
        <v>18954</v>
      </c>
      <c r="C1595" s="10" t="str">
        <f>VLOOKUP(B1595,'Data Angt'!$A$5:$B$5809,2,FALSE)</f>
        <v>A5651</v>
      </c>
      <c r="D1595" s="12" t="s">
        <v>23696</v>
      </c>
      <c r="E1595" s="13">
        <v>45887</v>
      </c>
      <c r="F1595" s="14">
        <v>45912</v>
      </c>
      <c r="G1595" s="15">
        <v>500000</v>
      </c>
      <c r="H1595" s="16">
        <v>4</v>
      </c>
      <c r="I1595" s="17">
        <v>24</v>
      </c>
      <c r="J1595" s="15">
        <v>375000</v>
      </c>
      <c r="K1595" s="98">
        <f t="shared" si="72"/>
        <v>0</v>
      </c>
      <c r="L1595" s="98" t="str">
        <f t="shared" si="73"/>
        <v>Lancar</v>
      </c>
      <c r="M1595" s="5" t="str">
        <f t="shared" si="74"/>
        <v>004</v>
      </c>
      <c r="N1595" s="55" t="str">
        <f>VLOOKUP(D1595,Pinjaman!$E$7:$N$1900,10,FALSE)</f>
        <v>PRODUKTIF</v>
      </c>
      <c r="O1595" s="55">
        <f>VLOOKUP(B1595,'Data Angt'!$A$5:$H$5810,6,FALSE)</f>
        <v>26</v>
      </c>
      <c r="P1595" s="55">
        <f>VLOOKUP(B1595,'Data Angt'!$A$5:$H$5810,8,FALSE)</f>
        <v>0</v>
      </c>
    </row>
    <row r="1596" spans="1:16" x14ac:dyDescent="0.3">
      <c r="A1596" s="8">
        <v>1589</v>
      </c>
      <c r="B1596" s="9" t="s">
        <v>18977</v>
      </c>
      <c r="C1596" s="10" t="str">
        <f>VLOOKUP(B1596,'Data Angt'!$A$5:$B$5809,2,FALSE)</f>
        <v>A5662</v>
      </c>
      <c r="D1596" s="12" t="s">
        <v>23698</v>
      </c>
      <c r="E1596" s="13">
        <v>45868</v>
      </c>
      <c r="F1596" s="14">
        <v>45923</v>
      </c>
      <c r="G1596" s="15">
        <v>2500000</v>
      </c>
      <c r="H1596" s="16">
        <v>3</v>
      </c>
      <c r="I1596" s="17">
        <v>24</v>
      </c>
      <c r="J1596" s="15">
        <v>833200</v>
      </c>
      <c r="K1596" s="98">
        <f t="shared" si="72"/>
        <v>0</v>
      </c>
      <c r="L1596" s="98" t="str">
        <f t="shared" si="73"/>
        <v>Lancar</v>
      </c>
      <c r="M1596" s="5" t="str">
        <f t="shared" si="74"/>
        <v>004</v>
      </c>
      <c r="N1596" s="55" t="str">
        <f>VLOOKUP(D1596,Pinjaman!$E$7:$N$1900,10,FALSE)</f>
        <v>KONSUMTIF</v>
      </c>
      <c r="O1596" s="55">
        <f>VLOOKUP(B1596,'Data Angt'!$A$5:$H$5810,6,FALSE)</f>
        <v>47</v>
      </c>
      <c r="P1596" s="55" t="str">
        <f>VLOOKUP(B1596,'Data Angt'!$A$5:$H$5810,8,FALSE)</f>
        <v>Karyawan</v>
      </c>
    </row>
    <row r="1597" spans="1:16" x14ac:dyDescent="0.3">
      <c r="A1597" s="8">
        <v>1590</v>
      </c>
      <c r="B1597" s="9" t="s">
        <v>19080</v>
      </c>
      <c r="C1597" s="10" t="str">
        <f>VLOOKUP(B1597,'Data Angt'!$A$5:$B$5809,2,FALSE)</f>
        <v>A5709</v>
      </c>
      <c r="D1597" s="12" t="s">
        <v>23701</v>
      </c>
      <c r="E1597" s="13">
        <v>45887</v>
      </c>
      <c r="F1597" s="14">
        <v>45918</v>
      </c>
      <c r="G1597" s="15">
        <v>5000000</v>
      </c>
      <c r="H1597" s="16">
        <v>12</v>
      </c>
      <c r="I1597" s="17">
        <v>24</v>
      </c>
      <c r="J1597" s="15">
        <v>4583300</v>
      </c>
      <c r="K1597" s="98">
        <f t="shared" si="72"/>
        <v>0</v>
      </c>
      <c r="L1597" s="98" t="str">
        <f t="shared" si="73"/>
        <v>Lancar</v>
      </c>
      <c r="M1597" s="5" t="str">
        <f t="shared" si="74"/>
        <v>004</v>
      </c>
      <c r="N1597" s="55" t="str">
        <f>VLOOKUP(D1597,Pinjaman!$E$7:$N$1900,10,FALSE)</f>
        <v>KONSUMTIF</v>
      </c>
      <c r="O1597" s="55">
        <f>VLOOKUP(B1597,'Data Angt'!$A$5:$H$5810,6,FALSE)</f>
        <v>35</v>
      </c>
      <c r="P1597" s="55" t="str">
        <f>VLOOKUP(B1597,'Data Angt'!$A$5:$H$5810,8,FALSE)</f>
        <v>Karyawan</v>
      </c>
    </row>
    <row r="1598" spans="1:16" x14ac:dyDescent="0.3">
      <c r="A1598" s="8">
        <v>1591</v>
      </c>
      <c r="B1598" s="9" t="s">
        <v>19094</v>
      </c>
      <c r="C1598" s="10" t="str">
        <f>VLOOKUP(B1598,'Data Angt'!$A$5:$B$5809,2,FALSE)</f>
        <v>A5715</v>
      </c>
      <c r="D1598" s="12" t="s">
        <v>23704</v>
      </c>
      <c r="E1598" s="13">
        <v>45885</v>
      </c>
      <c r="F1598" s="14">
        <v>45918</v>
      </c>
      <c r="G1598" s="15">
        <v>2000000</v>
      </c>
      <c r="H1598" s="16">
        <v>10</v>
      </c>
      <c r="I1598" s="17">
        <v>24</v>
      </c>
      <c r="J1598" s="15">
        <v>1800000</v>
      </c>
      <c r="K1598" s="98">
        <f t="shared" si="72"/>
        <v>0</v>
      </c>
      <c r="L1598" s="98" t="str">
        <f t="shared" si="73"/>
        <v>Lancar</v>
      </c>
      <c r="M1598" s="5" t="str">
        <f t="shared" si="74"/>
        <v>004</v>
      </c>
      <c r="N1598" s="55" t="str">
        <f>VLOOKUP(D1598,Pinjaman!$E$7:$N$1900,10,FALSE)</f>
        <v>PRODUKTIF</v>
      </c>
      <c r="O1598" s="55">
        <f>VLOOKUP(B1598,'Data Angt'!$A$5:$H$5810,6,FALSE)</f>
        <v>36</v>
      </c>
      <c r="P1598" s="55" t="str">
        <f>VLOOKUP(B1598,'Data Angt'!$A$5:$H$5810,8,FALSE)</f>
        <v>Karyawan</v>
      </c>
    </row>
    <row r="1599" spans="1:16" x14ac:dyDescent="0.3">
      <c r="A1599" s="8">
        <v>1592</v>
      </c>
      <c r="B1599" s="9" t="s">
        <v>19122</v>
      </c>
      <c r="C1599" s="10" t="str">
        <f>VLOOKUP(B1599,'Data Angt'!$A$5:$B$5809,2,FALSE)</f>
        <v>A5728</v>
      </c>
      <c r="D1599" s="12" t="s">
        <v>23706</v>
      </c>
      <c r="E1599" s="13">
        <v>45895</v>
      </c>
      <c r="F1599" s="14">
        <v>45924</v>
      </c>
      <c r="G1599" s="15">
        <v>2500000</v>
      </c>
      <c r="H1599" s="16">
        <v>3</v>
      </c>
      <c r="I1599" s="17">
        <v>24</v>
      </c>
      <c r="J1599" s="15">
        <v>1666600</v>
      </c>
      <c r="K1599" s="98">
        <f t="shared" si="72"/>
        <v>0</v>
      </c>
      <c r="L1599" s="98" t="str">
        <f t="shared" si="73"/>
        <v>Lancar</v>
      </c>
      <c r="M1599" s="5" t="str">
        <f t="shared" si="74"/>
        <v>004</v>
      </c>
      <c r="N1599" s="55" t="str">
        <f>VLOOKUP(D1599,Pinjaman!$E$7:$N$1900,10,FALSE)</f>
        <v>KONSUMTIF</v>
      </c>
      <c r="O1599" s="55">
        <f>VLOOKUP(B1599,'Data Angt'!$A$5:$H$5810,6,FALSE)</f>
        <v>25</v>
      </c>
      <c r="P1599" s="55" t="str">
        <f>VLOOKUP(B1599,'Data Angt'!$A$5:$H$5810,8,FALSE)</f>
        <v>Karyawan</v>
      </c>
    </row>
    <row r="1600" spans="1:16" x14ac:dyDescent="0.3">
      <c r="A1600" s="8">
        <v>1593</v>
      </c>
      <c r="B1600" s="9" t="s">
        <v>19181</v>
      </c>
      <c r="C1600" s="10" t="str">
        <f>VLOOKUP(B1600,'Data Angt'!$A$5:$B$5809,2,FALSE)</f>
        <v>A5755</v>
      </c>
      <c r="D1600" s="12" t="s">
        <v>23708</v>
      </c>
      <c r="E1600" s="13">
        <v>45904</v>
      </c>
      <c r="F1600" s="14">
        <v>45904</v>
      </c>
      <c r="G1600" s="15">
        <v>4000000</v>
      </c>
      <c r="H1600" s="16">
        <v>9</v>
      </c>
      <c r="I1600" s="17">
        <v>24</v>
      </c>
      <c r="J1600" s="15">
        <v>4000000</v>
      </c>
      <c r="K1600" s="98">
        <f t="shared" si="72"/>
        <v>0</v>
      </c>
      <c r="L1600" s="98" t="str">
        <f t="shared" si="73"/>
        <v>Lancar</v>
      </c>
      <c r="M1600" s="5" t="str">
        <f t="shared" si="74"/>
        <v>004</v>
      </c>
      <c r="N1600" s="55" t="str">
        <f>VLOOKUP(D1600,Pinjaman!$E$7:$N$1900,10,FALSE)</f>
        <v>PENDIDIKAN</v>
      </c>
      <c r="O1600" s="55">
        <f>VLOOKUP(B1600,'Data Angt'!$A$5:$H$5810,6,FALSE)</f>
        <v>42</v>
      </c>
      <c r="P1600" s="55" t="str">
        <f>VLOOKUP(B1600,'Data Angt'!$A$5:$H$5810,8,FALSE)</f>
        <v>Karyawan</v>
      </c>
    </row>
    <row r="1601" spans="1:16" x14ac:dyDescent="0.3">
      <c r="A1601" s="8">
        <v>1594</v>
      </c>
      <c r="B1601" s="9" t="s">
        <v>19189</v>
      </c>
      <c r="C1601" s="10" t="str">
        <f>VLOOKUP(B1601,'Data Angt'!$A$5:$B$5809,2,FALSE)</f>
        <v>A5758</v>
      </c>
      <c r="D1601" s="12" t="s">
        <v>23712</v>
      </c>
      <c r="E1601" s="13">
        <v>45908</v>
      </c>
      <c r="F1601" s="14">
        <v>45908</v>
      </c>
      <c r="G1601" s="15">
        <v>1500000</v>
      </c>
      <c r="H1601" s="16">
        <v>5</v>
      </c>
      <c r="I1601" s="17">
        <v>24</v>
      </c>
      <c r="J1601" s="15">
        <v>1500000</v>
      </c>
      <c r="K1601" s="98">
        <f t="shared" si="72"/>
        <v>0</v>
      </c>
      <c r="L1601" s="98" t="str">
        <f t="shared" si="73"/>
        <v>Lancar</v>
      </c>
      <c r="M1601" s="5" t="str">
        <f t="shared" si="74"/>
        <v>004</v>
      </c>
      <c r="N1601" s="55" t="str">
        <f>VLOOKUP(D1601,Pinjaman!$E$7:$N$1900,10,FALSE)</f>
        <v>PENDIDIKAN</v>
      </c>
      <c r="O1601" s="55">
        <f>VLOOKUP(B1601,'Data Angt'!$A$5:$H$5810,6,FALSE)</f>
        <v>30</v>
      </c>
      <c r="P1601" s="55" t="str">
        <f>VLOOKUP(B1601,'Data Angt'!$A$5:$H$5810,8,FALSE)</f>
        <v>Karyawan</v>
      </c>
    </row>
    <row r="1602" spans="1:16" x14ac:dyDescent="0.3">
      <c r="A1602" s="8">
        <v>1595</v>
      </c>
      <c r="B1602" s="9" t="s">
        <v>22158</v>
      </c>
      <c r="C1602" s="10" t="str">
        <f>VLOOKUP(B1602,'Data Angt'!$A$5:$B$5809,2,FALSE)</f>
        <v>A5794</v>
      </c>
      <c r="D1602" s="12" t="s">
        <v>23714</v>
      </c>
      <c r="E1602" s="13">
        <v>45923</v>
      </c>
      <c r="F1602" s="14">
        <v>45923</v>
      </c>
      <c r="G1602" s="15">
        <v>1500000</v>
      </c>
      <c r="H1602" s="16">
        <v>6</v>
      </c>
      <c r="I1602" s="17">
        <v>24</v>
      </c>
      <c r="J1602" s="15">
        <v>1500000</v>
      </c>
      <c r="K1602" s="98">
        <f t="shared" si="72"/>
        <v>0</v>
      </c>
      <c r="L1602" s="98" t="str">
        <f t="shared" si="73"/>
        <v>Lancar</v>
      </c>
      <c r="M1602" s="5" t="str">
        <f t="shared" si="74"/>
        <v>004</v>
      </c>
      <c r="N1602" s="55" t="str">
        <f>VLOOKUP(D1602,Pinjaman!$E$7:$N$1900,10,FALSE)</f>
        <v>PENDIDIKAN</v>
      </c>
      <c r="O1602" s="55">
        <f>VLOOKUP(B1602,'Data Angt'!$A$5:$H$5810,6,FALSE)</f>
        <v>47</v>
      </c>
      <c r="P1602" s="55" t="str">
        <f>VLOOKUP(B1602,'Data Angt'!$A$5:$H$5810,8,FALSE)</f>
        <v>Tenaga Pengajar</v>
      </c>
    </row>
    <row r="1603" spans="1:16" x14ac:dyDescent="0.3">
      <c r="A1603" s="8">
        <v>1596</v>
      </c>
      <c r="B1603" s="9" t="s">
        <v>630</v>
      </c>
      <c r="C1603" s="10" t="str">
        <f>VLOOKUP(B1603,'Data Angt'!$A$5:$B$5809,2,FALSE)</f>
        <v>A230</v>
      </c>
      <c r="D1603" s="12" t="s">
        <v>10585</v>
      </c>
      <c r="E1603" s="13">
        <v>45125</v>
      </c>
      <c r="F1603" s="14">
        <v>45896</v>
      </c>
      <c r="G1603" s="15">
        <v>25000000</v>
      </c>
      <c r="H1603" s="16">
        <v>36</v>
      </c>
      <c r="I1603" s="17">
        <v>21</v>
      </c>
      <c r="J1603" s="15">
        <v>8332000</v>
      </c>
      <c r="K1603" s="98">
        <f t="shared" si="72"/>
        <v>1</v>
      </c>
      <c r="L1603" s="98" t="str">
        <f t="shared" si="73"/>
        <v>Lancar</v>
      </c>
      <c r="M1603" s="5" t="str">
        <f t="shared" si="74"/>
        <v>005</v>
      </c>
      <c r="N1603" s="55" t="str">
        <f>VLOOKUP(D1603,Pinjaman!$E$7:$N$1900,10,FALSE)</f>
        <v>KONSUMTIF</v>
      </c>
      <c r="O1603" s="55">
        <f>VLOOKUP(B1603,'Data Angt'!$A$5:$H$5810,6,FALSE)</f>
        <v>68</v>
      </c>
      <c r="P1603" s="55" t="str">
        <f>VLOOKUP(B1603,'Data Angt'!$A$5:$H$5810,8,FALSE)</f>
        <v>Pensiunan</v>
      </c>
    </row>
    <row r="1604" spans="1:16" x14ac:dyDescent="0.3">
      <c r="A1604" s="8">
        <v>1597</v>
      </c>
      <c r="B1604" s="9" t="s">
        <v>632</v>
      </c>
      <c r="C1604" s="10" t="str">
        <f>VLOOKUP(B1604,'Data Angt'!$A$5:$B$5809,2,FALSE)</f>
        <v>A231</v>
      </c>
      <c r="D1604" s="12" t="s">
        <v>10587</v>
      </c>
      <c r="E1604" s="13">
        <v>44602</v>
      </c>
      <c r="F1604" s="14">
        <v>45904</v>
      </c>
      <c r="G1604" s="15">
        <v>150000000</v>
      </c>
      <c r="H1604" s="16">
        <v>120</v>
      </c>
      <c r="I1604" s="17">
        <v>11.4</v>
      </c>
      <c r="J1604" s="15">
        <v>114336900</v>
      </c>
      <c r="K1604" s="98">
        <f t="shared" si="72"/>
        <v>0</v>
      </c>
      <c r="L1604" s="98" t="str">
        <f t="shared" si="73"/>
        <v>Lancar</v>
      </c>
      <c r="M1604" s="5" t="str">
        <f t="shared" si="74"/>
        <v>005</v>
      </c>
      <c r="N1604" s="55" t="str">
        <f>VLOOKUP(D1604,Pinjaman!$E$7:$N$1900,10,FALSE)</f>
        <v>KESEJAHTERAAN</v>
      </c>
      <c r="O1604" s="55">
        <f>VLOOKUP(B1604,'Data Angt'!$A$5:$H$5810,6,FALSE)</f>
        <v>54</v>
      </c>
      <c r="P1604" s="55" t="str">
        <f>VLOOKUP(B1604,'Data Angt'!$A$5:$H$5810,8,FALSE)</f>
        <v>Tenaga Pengajar</v>
      </c>
    </row>
    <row r="1605" spans="1:16" x14ac:dyDescent="0.3">
      <c r="A1605" s="8">
        <v>1598</v>
      </c>
      <c r="B1605" s="9" t="s">
        <v>834</v>
      </c>
      <c r="C1605" s="10" t="str">
        <f>VLOOKUP(B1605,'Data Angt'!$A$5:$B$5809,2,FALSE)</f>
        <v>A311</v>
      </c>
      <c r="D1605" s="12" t="s">
        <v>17630</v>
      </c>
      <c r="E1605" s="13">
        <v>45629</v>
      </c>
      <c r="F1605" s="14">
        <v>45904</v>
      </c>
      <c r="G1605" s="15">
        <v>12000000</v>
      </c>
      <c r="H1605" s="16">
        <v>12</v>
      </c>
      <c r="I1605" s="17">
        <v>11.64</v>
      </c>
      <c r="J1605" s="15">
        <v>3131700</v>
      </c>
      <c r="K1605" s="98">
        <f t="shared" si="72"/>
        <v>0</v>
      </c>
      <c r="L1605" s="98" t="str">
        <f t="shared" si="73"/>
        <v>Lancar</v>
      </c>
      <c r="M1605" s="5" t="str">
        <f t="shared" si="74"/>
        <v>005</v>
      </c>
      <c r="N1605" s="55" t="str">
        <f>VLOOKUP(D1605,Pinjaman!$E$7:$N$1900,10,FALSE)</f>
        <v>PRODUKTIF</v>
      </c>
      <c r="O1605" s="55">
        <f>VLOOKUP(B1605,'Data Angt'!$A$5:$H$5810,6,FALSE)</f>
        <v>72</v>
      </c>
      <c r="P1605" s="55" t="str">
        <f>VLOOKUP(B1605,'Data Angt'!$A$5:$H$5810,8,FALSE)</f>
        <v>Pensiunan</v>
      </c>
    </row>
    <row r="1606" spans="1:16" x14ac:dyDescent="0.3">
      <c r="A1606" s="8">
        <v>1599</v>
      </c>
      <c r="B1606" s="9" t="s">
        <v>1252</v>
      </c>
      <c r="C1606" s="10" t="str">
        <f>VLOOKUP(B1606,'Data Angt'!$A$5:$B$5809,2,FALSE)</f>
        <v>A487</v>
      </c>
      <c r="D1606" s="12" t="s">
        <v>17633</v>
      </c>
      <c r="E1606" s="13">
        <v>45796</v>
      </c>
      <c r="F1606" s="14">
        <v>45919</v>
      </c>
      <c r="G1606" s="15">
        <v>20000000</v>
      </c>
      <c r="H1606" s="16">
        <v>12</v>
      </c>
      <c r="I1606" s="17">
        <v>24</v>
      </c>
      <c r="J1606" s="15">
        <v>13854000</v>
      </c>
      <c r="K1606" s="98">
        <f t="shared" si="72"/>
        <v>0</v>
      </c>
      <c r="L1606" s="98" t="str">
        <f t="shared" si="73"/>
        <v>Lancar</v>
      </c>
      <c r="M1606" s="5" t="str">
        <f t="shared" si="74"/>
        <v>005</v>
      </c>
      <c r="N1606" s="55" t="str">
        <f>VLOOKUP(D1606,Pinjaman!$E$7:$N$1900,10,FALSE)</f>
        <v>KONSUMTIF</v>
      </c>
      <c r="O1606" s="55">
        <f>VLOOKUP(B1606,'Data Angt'!$A$5:$H$5810,6,FALSE)</f>
        <v>71</v>
      </c>
      <c r="P1606" s="55" t="str">
        <f>VLOOKUP(B1606,'Data Angt'!$A$5:$H$5810,8,FALSE)</f>
        <v>Mengurus Rumah Tangga</v>
      </c>
    </row>
    <row r="1607" spans="1:16" x14ac:dyDescent="0.3">
      <c r="A1607" s="8">
        <v>1600</v>
      </c>
      <c r="B1607" s="9" t="s">
        <v>1379</v>
      </c>
      <c r="C1607" s="10" t="str">
        <f>VLOOKUP(B1607,'Data Angt'!$A$5:$B$5809,2,FALSE)</f>
        <v>A540</v>
      </c>
      <c r="D1607" s="12" t="s">
        <v>17635</v>
      </c>
      <c r="E1607" s="13">
        <v>45723</v>
      </c>
      <c r="F1607" s="14">
        <v>45909</v>
      </c>
      <c r="G1607" s="15">
        <v>25000000</v>
      </c>
      <c r="H1607" s="16">
        <v>24</v>
      </c>
      <c r="I1607" s="17">
        <v>21</v>
      </c>
      <c r="J1607" s="15">
        <v>19689400</v>
      </c>
      <c r="K1607" s="98">
        <f t="shared" si="72"/>
        <v>0</v>
      </c>
      <c r="L1607" s="98" t="str">
        <f t="shared" si="73"/>
        <v>Lancar</v>
      </c>
      <c r="M1607" s="5" t="str">
        <f t="shared" si="74"/>
        <v>005</v>
      </c>
      <c r="N1607" s="55" t="str">
        <f>VLOOKUP(D1607,Pinjaman!$E$7:$N$1900,10,FALSE)</f>
        <v>PRODUKTIF</v>
      </c>
      <c r="O1607" s="55">
        <f>VLOOKUP(B1607,'Data Angt'!$A$5:$H$5810,6,FALSE)</f>
        <v>43</v>
      </c>
      <c r="P1607" s="55" t="str">
        <f>VLOOKUP(B1607,'Data Angt'!$A$5:$H$5810,8,FALSE)</f>
        <v>Tenaga Pengajar</v>
      </c>
    </row>
    <row r="1608" spans="1:16" x14ac:dyDescent="0.3">
      <c r="A1608" s="8">
        <v>1601</v>
      </c>
      <c r="B1608" s="9" t="s">
        <v>1602</v>
      </c>
      <c r="C1608" s="10" t="str">
        <f>VLOOKUP(B1608,'Data Angt'!$A$5:$B$5809,2,FALSE)</f>
        <v>A636</v>
      </c>
      <c r="D1608" s="12" t="s">
        <v>10590</v>
      </c>
      <c r="E1608" s="13">
        <v>45141</v>
      </c>
      <c r="F1608" s="14">
        <v>45904</v>
      </c>
      <c r="G1608" s="15">
        <v>20000000</v>
      </c>
      <c r="H1608" s="16">
        <v>36</v>
      </c>
      <c r="I1608" s="17">
        <v>24</v>
      </c>
      <c r="J1608" s="15">
        <v>6110000</v>
      </c>
      <c r="K1608" s="98">
        <f t="shared" si="72"/>
        <v>0</v>
      </c>
      <c r="L1608" s="98" t="str">
        <f t="shared" si="73"/>
        <v>Lancar</v>
      </c>
      <c r="M1608" s="5" t="str">
        <f t="shared" si="74"/>
        <v>005</v>
      </c>
      <c r="N1608" s="55" t="str">
        <f>VLOOKUP(D1608,Pinjaman!$E$7:$N$1900,10,FALSE)</f>
        <v>PENDIDIKAN</v>
      </c>
      <c r="O1608" s="55">
        <f>VLOOKUP(B1608,'Data Angt'!$A$5:$H$5810,6,FALSE)</f>
        <v>61</v>
      </c>
      <c r="P1608" s="55" t="str">
        <f>VLOOKUP(B1608,'Data Angt'!$A$5:$H$5810,8,FALSE)</f>
        <v>Pensiunan</v>
      </c>
    </row>
    <row r="1609" spans="1:16" x14ac:dyDescent="0.3">
      <c r="A1609" s="8">
        <v>1602</v>
      </c>
      <c r="B1609" s="9" t="s">
        <v>1608</v>
      </c>
      <c r="C1609" s="10" t="str">
        <f>VLOOKUP(B1609,'Data Angt'!$A$5:$B$5809,2,FALSE)</f>
        <v>A638</v>
      </c>
      <c r="D1609" s="12" t="s">
        <v>17637</v>
      </c>
      <c r="E1609" s="13">
        <v>45687</v>
      </c>
      <c r="F1609" s="14">
        <v>45925</v>
      </c>
      <c r="G1609" s="15">
        <v>10000000</v>
      </c>
      <c r="H1609" s="16">
        <v>15</v>
      </c>
      <c r="I1609" s="17">
        <v>24</v>
      </c>
      <c r="J1609" s="15">
        <v>4666400</v>
      </c>
      <c r="K1609" s="98">
        <f t="shared" ref="K1609:K1672" si="75">DATEDIF(F1609,$K$6,"m")</f>
        <v>0</v>
      </c>
      <c r="L1609" s="98" t="str">
        <f t="shared" ref="L1609:L1672" si="76">IF(K1609&lt;=3,"Lancar",IF(K1609&lt;=6,"Kurang lancar",IF(K1609&lt;=12,"Diragukan","Macet")))</f>
        <v>Lancar</v>
      </c>
      <c r="M1609" s="5" t="str">
        <f t="shared" ref="M1609:M1672" si="77">MID(B1609,7,3)</f>
        <v>005</v>
      </c>
      <c r="N1609" s="55" t="str">
        <f>VLOOKUP(D1609,Pinjaman!$E$7:$N$1900,10,FALSE)</f>
        <v>KONSUMTIF</v>
      </c>
      <c r="O1609" s="55">
        <f>VLOOKUP(B1609,'Data Angt'!$A$5:$H$5810,6,FALSE)</f>
        <v>56</v>
      </c>
      <c r="P1609" s="55" t="str">
        <f>VLOOKUP(B1609,'Data Angt'!$A$5:$H$5810,8,FALSE)</f>
        <v>Pensiunan</v>
      </c>
    </row>
    <row r="1610" spans="1:16" x14ac:dyDescent="0.3">
      <c r="A1610" s="8">
        <v>1603</v>
      </c>
      <c r="B1610" s="9" t="s">
        <v>1698</v>
      </c>
      <c r="C1610" s="10" t="str">
        <f>VLOOKUP(B1610,'Data Angt'!$A$5:$B$5809,2,FALSE)</f>
        <v>A680</v>
      </c>
      <c r="D1610" s="12" t="s">
        <v>17639</v>
      </c>
      <c r="E1610" s="13">
        <v>45430</v>
      </c>
      <c r="F1610" s="14">
        <v>45920</v>
      </c>
      <c r="G1610" s="15">
        <v>20000000</v>
      </c>
      <c r="H1610" s="16">
        <v>30</v>
      </c>
      <c r="I1610" s="17">
        <v>24</v>
      </c>
      <c r="J1610" s="15">
        <v>10811800</v>
      </c>
      <c r="K1610" s="98">
        <f t="shared" si="75"/>
        <v>0</v>
      </c>
      <c r="L1610" s="98" t="str">
        <f t="shared" si="76"/>
        <v>Lancar</v>
      </c>
      <c r="M1610" s="5" t="str">
        <f t="shared" si="77"/>
        <v>005</v>
      </c>
      <c r="N1610" s="55" t="str">
        <f>VLOOKUP(D1610,Pinjaman!$E$7:$N$1900,10,FALSE)</f>
        <v>KONSUMTIF</v>
      </c>
      <c r="O1610" s="55">
        <f>VLOOKUP(B1610,'Data Angt'!$A$5:$H$5810,6,FALSE)</f>
        <v>51</v>
      </c>
      <c r="P1610" s="55" t="str">
        <f>VLOOKUP(B1610,'Data Angt'!$A$5:$H$5810,8,FALSE)</f>
        <v>Karyawan</v>
      </c>
    </row>
    <row r="1611" spans="1:16" x14ac:dyDescent="0.3">
      <c r="A1611" s="8">
        <v>1604</v>
      </c>
      <c r="B1611" s="9" t="s">
        <v>2074</v>
      </c>
      <c r="C1611" s="10" t="str">
        <f>VLOOKUP(B1611,'Data Angt'!$A$5:$B$5809,2,FALSE)</f>
        <v>A852</v>
      </c>
      <c r="D1611" s="12" t="s">
        <v>10592</v>
      </c>
      <c r="E1611" s="13">
        <v>42046</v>
      </c>
      <c r="F1611" s="14">
        <v>45929</v>
      </c>
      <c r="G1611" s="15">
        <v>150000000</v>
      </c>
      <c r="H1611" s="16">
        <v>120</v>
      </c>
      <c r="I1611" s="17">
        <v>12</v>
      </c>
      <c r="J1611" s="15">
        <v>91956100</v>
      </c>
      <c r="K1611" s="98">
        <f t="shared" si="75"/>
        <v>0</v>
      </c>
      <c r="L1611" s="98" t="str">
        <f t="shared" si="76"/>
        <v>Lancar</v>
      </c>
      <c r="M1611" s="5" t="str">
        <f t="shared" si="77"/>
        <v>005</v>
      </c>
      <c r="N1611" s="55">
        <f>VLOOKUP(D1611,Pinjaman!$E$7:$N$1900,10,FALSE)</f>
        <v>0</v>
      </c>
      <c r="O1611" s="55">
        <f>VLOOKUP(B1611,'Data Angt'!$A$5:$H$5810,6,FALSE)</f>
        <v>51</v>
      </c>
      <c r="P1611" s="55" t="str">
        <f>VLOOKUP(B1611,'Data Angt'!$A$5:$H$5810,8,FALSE)</f>
        <v>Aparatur/Pejabat Negara</v>
      </c>
    </row>
    <row r="1612" spans="1:16" x14ac:dyDescent="0.3">
      <c r="A1612" s="8">
        <v>1605</v>
      </c>
      <c r="B1612" s="9" t="s">
        <v>2145</v>
      </c>
      <c r="C1612" s="10" t="str">
        <f>VLOOKUP(B1612,'Data Angt'!$A$5:$B$5809,2,FALSE)</f>
        <v>A885</v>
      </c>
      <c r="D1612" s="12" t="s">
        <v>17642</v>
      </c>
      <c r="E1612" s="13">
        <v>45829</v>
      </c>
      <c r="F1612" s="14">
        <v>45922</v>
      </c>
      <c r="G1612" s="15">
        <v>10000000</v>
      </c>
      <c r="H1612" s="16">
        <v>24</v>
      </c>
      <c r="I1612" s="17">
        <v>24</v>
      </c>
      <c r="J1612" s="15">
        <v>8993900</v>
      </c>
      <c r="K1612" s="98">
        <f t="shared" si="75"/>
        <v>0</v>
      </c>
      <c r="L1612" s="98" t="str">
        <f t="shared" si="76"/>
        <v>Lancar</v>
      </c>
      <c r="M1612" s="5" t="str">
        <f t="shared" si="77"/>
        <v>005</v>
      </c>
      <c r="N1612" s="55" t="str">
        <f>VLOOKUP(D1612,Pinjaman!$E$7:$N$1900,10,FALSE)</f>
        <v>PENDIDIKAN</v>
      </c>
      <c r="O1612" s="55">
        <f>VLOOKUP(B1612,'Data Angt'!$A$5:$H$5810,6,FALSE)</f>
        <v>41</v>
      </c>
      <c r="P1612" s="55" t="str">
        <f>VLOOKUP(B1612,'Data Angt'!$A$5:$H$5810,8,FALSE)</f>
        <v>Karyawan</v>
      </c>
    </row>
    <row r="1613" spans="1:16" x14ac:dyDescent="0.3">
      <c r="A1613" s="8">
        <v>1606</v>
      </c>
      <c r="B1613" s="9" t="s">
        <v>2147</v>
      </c>
      <c r="C1613" s="10" t="str">
        <f>VLOOKUP(B1613,'Data Angt'!$A$5:$B$5809,2,FALSE)</f>
        <v>A886</v>
      </c>
      <c r="D1613" s="12" t="s">
        <v>23721</v>
      </c>
      <c r="E1613" s="13">
        <v>45849</v>
      </c>
      <c r="F1613" s="14">
        <v>45927</v>
      </c>
      <c r="G1613" s="15">
        <v>15000000</v>
      </c>
      <c r="H1613" s="16">
        <v>10</v>
      </c>
      <c r="I1613" s="17">
        <v>24</v>
      </c>
      <c r="J1613" s="15">
        <v>12000000</v>
      </c>
      <c r="K1613" s="98">
        <f t="shared" si="75"/>
        <v>0</v>
      </c>
      <c r="L1613" s="98" t="str">
        <f t="shared" si="76"/>
        <v>Lancar</v>
      </c>
      <c r="M1613" s="5" t="str">
        <f t="shared" si="77"/>
        <v>005</v>
      </c>
      <c r="N1613" s="55" t="str">
        <f>VLOOKUP(D1613,Pinjaman!$E$7:$N$1900,10,FALSE)</f>
        <v>PRODUKTIF</v>
      </c>
      <c r="O1613" s="55">
        <f>VLOOKUP(B1613,'Data Angt'!$A$5:$H$5810,6,FALSE)</f>
        <v>40</v>
      </c>
      <c r="P1613" s="55" t="str">
        <f>VLOOKUP(B1613,'Data Angt'!$A$5:$H$5810,8,FALSE)</f>
        <v>Wiraswasta</v>
      </c>
    </row>
    <row r="1614" spans="1:16" x14ac:dyDescent="0.3">
      <c r="A1614" s="8">
        <v>1607</v>
      </c>
      <c r="B1614" s="9" t="s">
        <v>2258</v>
      </c>
      <c r="C1614" s="10" t="str">
        <f>VLOOKUP(B1614,'Data Angt'!$A$5:$B$5809,2,FALSE)</f>
        <v>A940</v>
      </c>
      <c r="D1614" s="12" t="s">
        <v>23724</v>
      </c>
      <c r="E1614" s="13">
        <v>45929</v>
      </c>
      <c r="F1614" s="14">
        <v>45929</v>
      </c>
      <c r="G1614" s="15">
        <v>35000000</v>
      </c>
      <c r="H1614" s="16">
        <v>24</v>
      </c>
      <c r="I1614" s="17">
        <v>21</v>
      </c>
      <c r="J1614" s="15">
        <v>35000000</v>
      </c>
      <c r="K1614" s="98">
        <f t="shared" si="75"/>
        <v>0</v>
      </c>
      <c r="L1614" s="98" t="str">
        <f t="shared" si="76"/>
        <v>Lancar</v>
      </c>
      <c r="M1614" s="5" t="str">
        <f t="shared" si="77"/>
        <v>005</v>
      </c>
      <c r="N1614" s="55" t="str">
        <f>VLOOKUP(D1614,Pinjaman!$E$7:$N$1900,10,FALSE)</f>
        <v>PENDIDIKAN</v>
      </c>
      <c r="O1614" s="55">
        <f>VLOOKUP(B1614,'Data Angt'!$A$5:$H$5810,6,FALSE)</f>
        <v>47</v>
      </c>
      <c r="P1614" s="55" t="str">
        <f>VLOOKUP(B1614,'Data Angt'!$A$5:$H$5810,8,FALSE)</f>
        <v>Tenaga Pengajar</v>
      </c>
    </row>
    <row r="1615" spans="1:16" x14ac:dyDescent="0.3">
      <c r="A1615" s="8">
        <v>1608</v>
      </c>
      <c r="B1615" s="9" t="s">
        <v>2286</v>
      </c>
      <c r="C1615" s="10" t="str">
        <f>VLOOKUP(B1615,'Data Angt'!$A$5:$B$5809,2,FALSE)</f>
        <v>A951</v>
      </c>
      <c r="D1615" s="12" t="s">
        <v>23728</v>
      </c>
      <c r="E1615" s="13">
        <v>45912</v>
      </c>
      <c r="F1615" s="14">
        <v>45912</v>
      </c>
      <c r="G1615" s="15">
        <v>5000000</v>
      </c>
      <c r="H1615" s="16">
        <v>12</v>
      </c>
      <c r="I1615" s="17">
        <v>24</v>
      </c>
      <c r="J1615" s="15">
        <v>5000000</v>
      </c>
      <c r="K1615" s="98">
        <f t="shared" si="75"/>
        <v>0</v>
      </c>
      <c r="L1615" s="98" t="str">
        <f t="shared" si="76"/>
        <v>Lancar</v>
      </c>
      <c r="M1615" s="5" t="str">
        <f t="shared" si="77"/>
        <v>005</v>
      </c>
      <c r="N1615" s="55" t="str">
        <f>VLOOKUP(D1615,Pinjaman!$E$7:$N$1900,10,FALSE)</f>
        <v>KONSUMTIF</v>
      </c>
      <c r="O1615" s="55">
        <f>VLOOKUP(B1615,'Data Angt'!$A$5:$H$5810,6,FALSE)</f>
        <v>46</v>
      </c>
      <c r="P1615" s="55" t="str">
        <f>VLOOKUP(B1615,'Data Angt'!$A$5:$H$5810,8,FALSE)</f>
        <v>Karyawan</v>
      </c>
    </row>
    <row r="1616" spans="1:16" x14ac:dyDescent="0.3">
      <c r="A1616" s="8">
        <v>1609</v>
      </c>
      <c r="B1616" s="9" t="s">
        <v>2286</v>
      </c>
      <c r="C1616" s="10" t="str">
        <f>VLOOKUP(B1616,'Data Angt'!$A$5:$B$5809,2,FALSE)</f>
        <v>A951</v>
      </c>
      <c r="D1616" s="12" t="s">
        <v>10593</v>
      </c>
      <c r="E1616" s="13">
        <v>44365</v>
      </c>
      <c r="F1616" s="14">
        <v>45909</v>
      </c>
      <c r="G1616" s="15">
        <v>49000000</v>
      </c>
      <c r="H1616" s="16">
        <v>60</v>
      </c>
      <c r="I1616" s="17">
        <v>21</v>
      </c>
      <c r="J1616" s="15">
        <v>10947600</v>
      </c>
      <c r="K1616" s="98">
        <f t="shared" si="75"/>
        <v>0</v>
      </c>
      <c r="L1616" s="98" t="str">
        <f t="shared" si="76"/>
        <v>Lancar</v>
      </c>
      <c r="M1616" s="5" t="str">
        <f t="shared" si="77"/>
        <v>005</v>
      </c>
      <c r="N1616" s="55" t="str">
        <f>VLOOKUP(D1616,Pinjaman!$E$7:$N$1900,10,FALSE)</f>
        <v>KESEJAHTERAAN</v>
      </c>
      <c r="O1616" s="55">
        <f>VLOOKUP(B1616,'Data Angt'!$A$5:$H$5810,6,FALSE)</f>
        <v>46</v>
      </c>
      <c r="P1616" s="55" t="str">
        <f>VLOOKUP(B1616,'Data Angt'!$A$5:$H$5810,8,FALSE)</f>
        <v>Karyawan</v>
      </c>
    </row>
    <row r="1617" spans="1:16" x14ac:dyDescent="0.3">
      <c r="A1617" s="8">
        <v>1610</v>
      </c>
      <c r="B1617" s="9" t="s">
        <v>2444</v>
      </c>
      <c r="C1617" s="10" t="str">
        <f>VLOOKUP(B1617,'Data Angt'!$A$5:$B$5809,2,FALSE)</f>
        <v>A1018</v>
      </c>
      <c r="D1617" s="12" t="s">
        <v>17645</v>
      </c>
      <c r="E1617" s="13">
        <v>45786</v>
      </c>
      <c r="F1617" s="14">
        <v>45909</v>
      </c>
      <c r="G1617" s="15">
        <v>100000000</v>
      </c>
      <c r="H1617" s="16">
        <v>60</v>
      </c>
      <c r="I1617" s="17">
        <v>21</v>
      </c>
      <c r="J1617" s="15">
        <v>96077000</v>
      </c>
      <c r="K1617" s="98">
        <f t="shared" si="75"/>
        <v>0</v>
      </c>
      <c r="L1617" s="98" t="str">
        <f t="shared" si="76"/>
        <v>Lancar</v>
      </c>
      <c r="M1617" s="5" t="str">
        <f t="shared" si="77"/>
        <v>005</v>
      </c>
      <c r="N1617" s="55" t="str">
        <f>VLOOKUP(D1617,Pinjaman!$E$7:$N$1900,10,FALSE)</f>
        <v>PRODUKTIF</v>
      </c>
      <c r="O1617" s="55">
        <f>VLOOKUP(B1617,'Data Angt'!$A$5:$H$5810,6,FALSE)</f>
        <v>38</v>
      </c>
      <c r="P1617" s="55" t="str">
        <f>VLOOKUP(B1617,'Data Angt'!$A$5:$H$5810,8,FALSE)</f>
        <v>Karyawan</v>
      </c>
    </row>
    <row r="1618" spans="1:16" x14ac:dyDescent="0.3">
      <c r="A1618" s="8">
        <v>1611</v>
      </c>
      <c r="B1618" s="9" t="s">
        <v>2569</v>
      </c>
      <c r="C1618" s="10" t="str">
        <f>VLOOKUP(B1618,'Data Angt'!$A$5:$B$5809,2,FALSE)</f>
        <v>A1069</v>
      </c>
      <c r="D1618" s="12" t="s">
        <v>23731</v>
      </c>
      <c r="E1618" s="13">
        <v>45897</v>
      </c>
      <c r="F1618" s="14">
        <v>45925</v>
      </c>
      <c r="G1618" s="15">
        <v>3000000</v>
      </c>
      <c r="H1618" s="16">
        <v>4</v>
      </c>
      <c r="I1618" s="17">
        <v>24</v>
      </c>
      <c r="J1618" s="15">
        <v>2272100</v>
      </c>
      <c r="K1618" s="98">
        <f t="shared" si="75"/>
        <v>0</v>
      </c>
      <c r="L1618" s="98" t="str">
        <f t="shared" si="76"/>
        <v>Lancar</v>
      </c>
      <c r="M1618" s="5" t="str">
        <f t="shared" si="77"/>
        <v>005</v>
      </c>
      <c r="N1618" s="55" t="str">
        <f>VLOOKUP(D1618,Pinjaman!$E$7:$N$1900,10,FALSE)</f>
        <v>PRODUKTIF</v>
      </c>
      <c r="O1618" s="55">
        <f>VLOOKUP(B1618,'Data Angt'!$A$5:$H$5810,6,FALSE)</f>
        <v>52</v>
      </c>
      <c r="P1618" s="55" t="str">
        <f>VLOOKUP(B1618,'Data Angt'!$A$5:$H$5810,8,FALSE)</f>
        <v>Tenaga Pengajar</v>
      </c>
    </row>
    <row r="1619" spans="1:16" x14ac:dyDescent="0.3">
      <c r="A1619" s="8">
        <v>1612</v>
      </c>
      <c r="B1619" s="9" t="s">
        <v>2572</v>
      </c>
      <c r="C1619" s="10" t="str">
        <f>VLOOKUP(B1619,'Data Angt'!$A$5:$B$5809,2,FALSE)</f>
        <v>A1070</v>
      </c>
      <c r="D1619" s="12" t="s">
        <v>23734</v>
      </c>
      <c r="E1619" s="13">
        <v>45904</v>
      </c>
      <c r="F1619" s="14">
        <v>45904</v>
      </c>
      <c r="G1619" s="15">
        <v>3000000</v>
      </c>
      <c r="H1619" s="16">
        <v>12</v>
      </c>
      <c r="I1619" s="17">
        <v>11.88</v>
      </c>
      <c r="J1619" s="15">
        <v>3000000</v>
      </c>
      <c r="K1619" s="98">
        <f t="shared" si="75"/>
        <v>0</v>
      </c>
      <c r="L1619" s="98" t="str">
        <f t="shared" si="76"/>
        <v>Lancar</v>
      </c>
      <c r="M1619" s="5" t="str">
        <f t="shared" si="77"/>
        <v>005</v>
      </c>
      <c r="N1619" s="55" t="str">
        <f>VLOOKUP(D1619,Pinjaman!$E$7:$N$1900,10,FALSE)</f>
        <v>KONSUMTIF</v>
      </c>
      <c r="O1619" s="55">
        <f>VLOOKUP(B1619,'Data Angt'!$A$5:$H$5810,6,FALSE)</f>
        <v>22</v>
      </c>
      <c r="P1619" s="55" t="str">
        <f>VLOOKUP(B1619,'Data Angt'!$A$5:$H$5810,8,FALSE)</f>
        <v>Karyawan</v>
      </c>
    </row>
    <row r="1620" spans="1:16" x14ac:dyDescent="0.3">
      <c r="A1620" s="8">
        <v>1613</v>
      </c>
      <c r="B1620" s="9" t="s">
        <v>2581</v>
      </c>
      <c r="C1620" s="10" t="str">
        <f>VLOOKUP(B1620,'Data Angt'!$A$5:$B$5809,2,FALSE)</f>
        <v>A1077</v>
      </c>
      <c r="D1620" s="12" t="s">
        <v>10596</v>
      </c>
      <c r="E1620" s="13">
        <v>43957</v>
      </c>
      <c r="F1620" s="14">
        <v>45924</v>
      </c>
      <c r="G1620" s="15">
        <v>48000000</v>
      </c>
      <c r="H1620" s="16">
        <v>60</v>
      </c>
      <c r="I1620" s="17">
        <v>21</v>
      </c>
      <c r="J1620" s="15">
        <v>14348200</v>
      </c>
      <c r="K1620" s="98">
        <f t="shared" si="75"/>
        <v>0</v>
      </c>
      <c r="L1620" s="98" t="str">
        <f t="shared" si="76"/>
        <v>Lancar</v>
      </c>
      <c r="M1620" s="5" t="str">
        <f t="shared" si="77"/>
        <v>005</v>
      </c>
      <c r="N1620" s="55" t="str">
        <f>VLOOKUP(D1620,Pinjaman!$E$7:$N$1900,10,FALSE)</f>
        <v>KESEJAHTERAAN</v>
      </c>
      <c r="O1620" s="55">
        <f>VLOOKUP(B1620,'Data Angt'!$A$5:$H$5810,6,FALSE)</f>
        <v>41</v>
      </c>
      <c r="P1620" s="55" t="str">
        <f>VLOOKUP(B1620,'Data Angt'!$A$5:$H$5810,8,FALSE)</f>
        <v>Karyawan</v>
      </c>
    </row>
    <row r="1621" spans="1:16" x14ac:dyDescent="0.3">
      <c r="A1621" s="8">
        <v>1614</v>
      </c>
      <c r="B1621" s="9" t="s">
        <v>2967</v>
      </c>
      <c r="C1621" s="10" t="str">
        <f>VLOOKUP(B1621,'Data Angt'!$A$5:$B$5809,2,FALSE)</f>
        <v>A1254</v>
      </c>
      <c r="D1621" s="12" t="s">
        <v>10599</v>
      </c>
      <c r="E1621" s="13">
        <v>45013</v>
      </c>
      <c r="F1621" s="14">
        <v>45925</v>
      </c>
      <c r="G1621" s="15">
        <v>150000000</v>
      </c>
      <c r="H1621" s="16">
        <v>48</v>
      </c>
      <c r="I1621" s="17">
        <v>21</v>
      </c>
      <c r="J1621" s="15">
        <v>71191100</v>
      </c>
      <c r="K1621" s="98">
        <f t="shared" si="75"/>
        <v>0</v>
      </c>
      <c r="L1621" s="98" t="str">
        <f t="shared" si="76"/>
        <v>Lancar</v>
      </c>
      <c r="M1621" s="5" t="str">
        <f t="shared" si="77"/>
        <v>005</v>
      </c>
      <c r="N1621" s="55" t="str">
        <f>VLOOKUP(D1621,Pinjaman!$E$7:$N$1900,10,FALSE)</f>
        <v>KONSUMTIF</v>
      </c>
      <c r="O1621" s="55">
        <f>VLOOKUP(B1621,'Data Angt'!$A$5:$H$5810,6,FALSE)</f>
        <v>43</v>
      </c>
      <c r="P1621" s="55" t="str">
        <f>VLOOKUP(B1621,'Data Angt'!$A$5:$H$5810,8,FALSE)</f>
        <v>Karyawan</v>
      </c>
    </row>
    <row r="1622" spans="1:16" x14ac:dyDescent="0.3">
      <c r="A1622" s="8">
        <v>1615</v>
      </c>
      <c r="B1622" s="9" t="s">
        <v>3007</v>
      </c>
      <c r="C1622" s="10" t="str">
        <f>VLOOKUP(B1622,'Data Angt'!$A$5:$B$5809,2,FALSE)</f>
        <v>A1271</v>
      </c>
      <c r="D1622" s="12" t="s">
        <v>10601</v>
      </c>
      <c r="E1622" s="13">
        <v>41622</v>
      </c>
      <c r="F1622" s="14">
        <v>45899</v>
      </c>
      <c r="G1622" s="15">
        <v>60000000</v>
      </c>
      <c r="H1622" s="16">
        <v>84</v>
      </c>
      <c r="I1622" s="17">
        <v>12</v>
      </c>
      <c r="J1622" s="15">
        <v>38623300</v>
      </c>
      <c r="K1622" s="98">
        <f t="shared" si="75"/>
        <v>1</v>
      </c>
      <c r="L1622" s="98" t="str">
        <f t="shared" si="76"/>
        <v>Lancar</v>
      </c>
      <c r="M1622" s="5" t="str">
        <f t="shared" si="77"/>
        <v>005</v>
      </c>
      <c r="N1622" s="55">
        <f>VLOOKUP(D1622,Pinjaman!$E$7:$N$1900,10,FALSE)</f>
        <v>0</v>
      </c>
      <c r="O1622" s="55">
        <f>VLOOKUP(B1622,'Data Angt'!$A$5:$H$5810,6,FALSE)</f>
        <v>45</v>
      </c>
      <c r="P1622" s="55" t="str">
        <f>VLOOKUP(B1622,'Data Angt'!$A$5:$H$5810,8,FALSE)</f>
        <v>Belum/Tidak Bekerja</v>
      </c>
    </row>
    <row r="1623" spans="1:16" x14ac:dyDescent="0.3">
      <c r="A1623" s="8">
        <v>1616</v>
      </c>
      <c r="B1623" s="9" t="s">
        <v>3363</v>
      </c>
      <c r="C1623" s="10" t="str">
        <f>VLOOKUP(B1623,'Data Angt'!$A$5:$B$5809,2,FALSE)</f>
        <v>A1429</v>
      </c>
      <c r="D1623" s="12" t="s">
        <v>23738</v>
      </c>
      <c r="E1623" s="13">
        <v>45902</v>
      </c>
      <c r="F1623" s="14">
        <v>45902</v>
      </c>
      <c r="G1623" s="15">
        <v>20000000</v>
      </c>
      <c r="H1623" s="16">
        <v>12</v>
      </c>
      <c r="I1623" s="17">
        <v>24</v>
      </c>
      <c r="J1623" s="15">
        <v>20000000</v>
      </c>
      <c r="K1623" s="98">
        <f t="shared" si="75"/>
        <v>0</v>
      </c>
      <c r="L1623" s="98" t="str">
        <f t="shared" si="76"/>
        <v>Lancar</v>
      </c>
      <c r="M1623" s="5" t="str">
        <f t="shared" si="77"/>
        <v>005</v>
      </c>
      <c r="N1623" s="55" t="str">
        <f>VLOOKUP(D1623,Pinjaman!$E$7:$N$1900,10,FALSE)</f>
        <v>KONSUMTIF</v>
      </c>
      <c r="O1623" s="55">
        <f>VLOOKUP(B1623,'Data Angt'!$A$5:$H$5810,6,FALSE)</f>
        <v>38</v>
      </c>
      <c r="P1623" s="55" t="str">
        <f>VLOOKUP(B1623,'Data Angt'!$A$5:$H$5810,8,FALSE)</f>
        <v>Tenaga Pengajar</v>
      </c>
    </row>
    <row r="1624" spans="1:16" x14ac:dyDescent="0.3">
      <c r="A1624" s="8">
        <v>1617</v>
      </c>
      <c r="B1624" s="9" t="s">
        <v>3494</v>
      </c>
      <c r="C1624" s="10" t="str">
        <f>VLOOKUP(B1624,'Data Angt'!$A$5:$B$5809,2,FALSE)</f>
        <v>A1491</v>
      </c>
      <c r="D1624" s="12" t="s">
        <v>23741</v>
      </c>
      <c r="E1624" s="13">
        <v>45875</v>
      </c>
      <c r="F1624" s="14">
        <v>45909</v>
      </c>
      <c r="G1624" s="15">
        <v>5000000</v>
      </c>
      <c r="H1624" s="16">
        <v>12</v>
      </c>
      <c r="I1624" s="17">
        <v>24</v>
      </c>
      <c r="J1624" s="15">
        <v>4627200</v>
      </c>
      <c r="K1624" s="98">
        <f t="shared" si="75"/>
        <v>0</v>
      </c>
      <c r="L1624" s="98" t="str">
        <f t="shared" si="76"/>
        <v>Lancar</v>
      </c>
      <c r="M1624" s="5" t="str">
        <f t="shared" si="77"/>
        <v>005</v>
      </c>
      <c r="N1624" s="55" t="str">
        <f>VLOOKUP(D1624,Pinjaman!$E$7:$N$1900,10,FALSE)</f>
        <v>PENDIDIKAN</v>
      </c>
      <c r="O1624" s="55">
        <f>VLOOKUP(B1624,'Data Angt'!$A$5:$H$5810,6,FALSE)</f>
        <v>38</v>
      </c>
      <c r="P1624" s="55" t="str">
        <f>VLOOKUP(B1624,'Data Angt'!$A$5:$H$5810,8,FALSE)</f>
        <v>Tenaga Pengajar</v>
      </c>
    </row>
    <row r="1625" spans="1:16" x14ac:dyDescent="0.3">
      <c r="A1625" s="8">
        <v>1618</v>
      </c>
      <c r="B1625" s="9" t="s">
        <v>3494</v>
      </c>
      <c r="C1625" s="10" t="str">
        <f>VLOOKUP(B1625,'Data Angt'!$A$5:$B$5809,2,FALSE)</f>
        <v>A1491</v>
      </c>
      <c r="D1625" s="12" t="s">
        <v>17648</v>
      </c>
      <c r="E1625" s="13">
        <v>45587</v>
      </c>
      <c r="F1625" s="14">
        <v>45917</v>
      </c>
      <c r="G1625" s="15">
        <v>15000000</v>
      </c>
      <c r="H1625" s="16">
        <v>36</v>
      </c>
      <c r="I1625" s="17">
        <v>24</v>
      </c>
      <c r="J1625" s="15">
        <v>11490000</v>
      </c>
      <c r="K1625" s="98">
        <f t="shared" si="75"/>
        <v>0</v>
      </c>
      <c r="L1625" s="98" t="str">
        <f t="shared" si="76"/>
        <v>Lancar</v>
      </c>
      <c r="M1625" s="5" t="str">
        <f t="shared" si="77"/>
        <v>005</v>
      </c>
      <c r="N1625" s="55" t="str">
        <f>VLOOKUP(D1625,Pinjaman!$E$7:$N$1900,10,FALSE)</f>
        <v>PENDIDIKAN</v>
      </c>
      <c r="O1625" s="55">
        <f>VLOOKUP(B1625,'Data Angt'!$A$5:$H$5810,6,FALSE)</f>
        <v>38</v>
      </c>
      <c r="P1625" s="55" t="str">
        <f>VLOOKUP(B1625,'Data Angt'!$A$5:$H$5810,8,FALSE)</f>
        <v>Tenaga Pengajar</v>
      </c>
    </row>
    <row r="1626" spans="1:16" x14ac:dyDescent="0.3">
      <c r="A1626" s="8">
        <v>1619</v>
      </c>
      <c r="B1626" s="9" t="s">
        <v>3498</v>
      </c>
      <c r="C1626" s="10" t="str">
        <f>VLOOKUP(B1626,'Data Angt'!$A$5:$B$5809,2,FALSE)</f>
        <v>A1493</v>
      </c>
      <c r="D1626" s="12" t="s">
        <v>10602</v>
      </c>
      <c r="E1626" s="13">
        <v>45145</v>
      </c>
      <c r="F1626" s="14">
        <v>45904</v>
      </c>
      <c r="G1626" s="15">
        <v>35000000</v>
      </c>
      <c r="H1626" s="16">
        <v>48</v>
      </c>
      <c r="I1626" s="17">
        <v>21</v>
      </c>
      <c r="J1626" s="15">
        <v>16770000</v>
      </c>
      <c r="K1626" s="98">
        <f t="shared" si="75"/>
        <v>0</v>
      </c>
      <c r="L1626" s="98" t="str">
        <f t="shared" si="76"/>
        <v>Lancar</v>
      </c>
      <c r="M1626" s="5" t="str">
        <f t="shared" si="77"/>
        <v>005</v>
      </c>
      <c r="N1626" s="55" t="str">
        <f>VLOOKUP(D1626,Pinjaman!$E$7:$N$1900,10,FALSE)</f>
        <v>KONSUMTIF</v>
      </c>
      <c r="O1626" s="55">
        <f>VLOOKUP(B1626,'Data Angt'!$A$5:$H$5810,6,FALSE)</f>
        <v>36</v>
      </c>
      <c r="P1626" s="55" t="str">
        <f>VLOOKUP(B1626,'Data Angt'!$A$5:$H$5810,8,FALSE)</f>
        <v>Tenaga Pengajar</v>
      </c>
    </row>
    <row r="1627" spans="1:16" x14ac:dyDescent="0.3">
      <c r="A1627" s="8">
        <v>1620</v>
      </c>
      <c r="B1627" s="9" t="s">
        <v>3603</v>
      </c>
      <c r="C1627" s="10" t="str">
        <f>VLOOKUP(B1627,'Data Angt'!$A$5:$B$5809,2,FALSE)</f>
        <v>A1540</v>
      </c>
      <c r="D1627" s="12" t="s">
        <v>17651</v>
      </c>
      <c r="E1627" s="13">
        <v>45692</v>
      </c>
      <c r="F1627" s="14">
        <v>45908</v>
      </c>
      <c r="G1627" s="15">
        <v>15000000</v>
      </c>
      <c r="H1627" s="16">
        <v>36</v>
      </c>
      <c r="I1627" s="17">
        <v>24</v>
      </c>
      <c r="J1627" s="15">
        <v>12855600</v>
      </c>
      <c r="K1627" s="98">
        <f t="shared" si="75"/>
        <v>0</v>
      </c>
      <c r="L1627" s="98" t="str">
        <f t="shared" si="76"/>
        <v>Lancar</v>
      </c>
      <c r="M1627" s="5" t="str">
        <f t="shared" si="77"/>
        <v>005</v>
      </c>
      <c r="N1627" s="55" t="str">
        <f>VLOOKUP(D1627,Pinjaman!$E$7:$N$1900,10,FALSE)</f>
        <v>KONSUMTIF</v>
      </c>
      <c r="O1627" s="55">
        <f>VLOOKUP(B1627,'Data Angt'!$A$5:$H$5810,6,FALSE)</f>
        <v>47</v>
      </c>
      <c r="P1627" s="55" t="str">
        <f>VLOOKUP(B1627,'Data Angt'!$A$5:$H$5810,8,FALSE)</f>
        <v>Wiraswasta</v>
      </c>
    </row>
    <row r="1628" spans="1:16" x14ac:dyDescent="0.3">
      <c r="A1628" s="8">
        <v>1621</v>
      </c>
      <c r="B1628" s="9" t="s">
        <v>3808</v>
      </c>
      <c r="C1628" s="10" t="str">
        <f>VLOOKUP(B1628,'Data Angt'!$A$5:$B$5809,2,FALSE)</f>
        <v>A1640</v>
      </c>
      <c r="D1628" s="12" t="s">
        <v>23747</v>
      </c>
      <c r="E1628" s="13">
        <v>45913</v>
      </c>
      <c r="F1628" s="14">
        <v>45913</v>
      </c>
      <c r="G1628" s="15">
        <v>2000000</v>
      </c>
      <c r="H1628" s="16">
        <v>20</v>
      </c>
      <c r="I1628" s="17">
        <v>24</v>
      </c>
      <c r="J1628" s="15">
        <v>2000000</v>
      </c>
      <c r="K1628" s="98">
        <f t="shared" si="75"/>
        <v>0</v>
      </c>
      <c r="L1628" s="98" t="str">
        <f t="shared" si="76"/>
        <v>Lancar</v>
      </c>
      <c r="M1628" s="5" t="str">
        <f t="shared" si="77"/>
        <v>005</v>
      </c>
      <c r="N1628" s="55" t="str">
        <f>VLOOKUP(D1628,Pinjaman!$E$7:$N$1900,10,FALSE)</f>
        <v>PRODUKTIF</v>
      </c>
      <c r="O1628" s="55">
        <f>VLOOKUP(B1628,'Data Angt'!$A$5:$H$5810,6,FALSE)</f>
        <v>56</v>
      </c>
      <c r="P1628" s="55" t="str">
        <f>VLOOKUP(B1628,'Data Angt'!$A$5:$H$5810,8,FALSE)</f>
        <v>Wiraswasta</v>
      </c>
    </row>
    <row r="1629" spans="1:16" x14ac:dyDescent="0.3">
      <c r="A1629" s="8">
        <v>1622</v>
      </c>
      <c r="B1629" s="9" t="s">
        <v>3971</v>
      </c>
      <c r="C1629" s="10" t="str">
        <f>VLOOKUP(B1629,'Data Angt'!$A$5:$B$5809,2,FALSE)</f>
        <v>A1715</v>
      </c>
      <c r="D1629" s="12" t="s">
        <v>23750</v>
      </c>
      <c r="E1629" s="13">
        <v>45882</v>
      </c>
      <c r="F1629" s="14">
        <v>45915</v>
      </c>
      <c r="G1629" s="15">
        <v>7000000</v>
      </c>
      <c r="H1629" s="16">
        <v>18</v>
      </c>
      <c r="I1629" s="17">
        <v>24</v>
      </c>
      <c r="J1629" s="15">
        <v>6611100</v>
      </c>
      <c r="K1629" s="98">
        <f t="shared" si="75"/>
        <v>0</v>
      </c>
      <c r="L1629" s="98" t="str">
        <f t="shared" si="76"/>
        <v>Lancar</v>
      </c>
      <c r="M1629" s="5" t="str">
        <f t="shared" si="77"/>
        <v>005</v>
      </c>
      <c r="N1629" s="55" t="str">
        <f>VLOOKUP(D1629,Pinjaman!$E$7:$N$1900,10,FALSE)</f>
        <v>PENDIDIKAN</v>
      </c>
      <c r="O1629" s="55">
        <f>VLOOKUP(B1629,'Data Angt'!$A$5:$H$5810,6,FALSE)</f>
        <v>53</v>
      </c>
      <c r="P1629" s="55" t="str">
        <f>VLOOKUP(B1629,'Data Angt'!$A$5:$H$5810,8,FALSE)</f>
        <v>Wiraswasta</v>
      </c>
    </row>
    <row r="1630" spans="1:16" x14ac:dyDescent="0.3">
      <c r="A1630" s="8">
        <v>1623</v>
      </c>
      <c r="B1630" s="9" t="s">
        <v>4059</v>
      </c>
      <c r="C1630" s="10" t="str">
        <f>VLOOKUP(B1630,'Data Angt'!$A$5:$B$5809,2,FALSE)</f>
        <v>A1760</v>
      </c>
      <c r="D1630" s="12" t="s">
        <v>17654</v>
      </c>
      <c r="E1630" s="13">
        <v>45677</v>
      </c>
      <c r="F1630" s="14">
        <v>45904</v>
      </c>
      <c r="G1630" s="15">
        <v>5000000</v>
      </c>
      <c r="H1630" s="16">
        <v>12</v>
      </c>
      <c r="I1630" s="17">
        <v>24</v>
      </c>
      <c r="J1630" s="15">
        <v>1800600</v>
      </c>
      <c r="K1630" s="98">
        <f t="shared" si="75"/>
        <v>0</v>
      </c>
      <c r="L1630" s="98" t="str">
        <f t="shared" si="76"/>
        <v>Lancar</v>
      </c>
      <c r="M1630" s="5" t="str">
        <f t="shared" si="77"/>
        <v>005</v>
      </c>
      <c r="N1630" s="55" t="str">
        <f>VLOOKUP(D1630,Pinjaman!$E$7:$N$1900,10,FALSE)</f>
        <v>PENDIDIKAN</v>
      </c>
      <c r="O1630" s="55">
        <f>VLOOKUP(B1630,'Data Angt'!$A$5:$H$5810,6,FALSE)</f>
        <v>43</v>
      </c>
      <c r="P1630" s="55" t="str">
        <f>VLOOKUP(B1630,'Data Angt'!$A$5:$H$5810,8,FALSE)</f>
        <v>Tenaga Pengajar</v>
      </c>
    </row>
    <row r="1631" spans="1:16" x14ac:dyDescent="0.3">
      <c r="A1631" s="8">
        <v>1624</v>
      </c>
      <c r="B1631" s="9" t="s">
        <v>4059</v>
      </c>
      <c r="C1631" s="10" t="str">
        <f>VLOOKUP(B1631,'Data Angt'!$A$5:$B$5809,2,FALSE)</f>
        <v>A1760</v>
      </c>
      <c r="D1631" s="12" t="s">
        <v>17657</v>
      </c>
      <c r="E1631" s="13">
        <v>45484</v>
      </c>
      <c r="F1631" s="14">
        <v>45904</v>
      </c>
      <c r="G1631" s="15">
        <v>10000000</v>
      </c>
      <c r="H1631" s="16">
        <v>24</v>
      </c>
      <c r="I1631" s="17">
        <v>24</v>
      </c>
      <c r="J1631" s="15">
        <v>4748500</v>
      </c>
      <c r="K1631" s="98">
        <f t="shared" si="75"/>
        <v>0</v>
      </c>
      <c r="L1631" s="98" t="str">
        <f t="shared" si="76"/>
        <v>Lancar</v>
      </c>
      <c r="M1631" s="5" t="str">
        <f t="shared" si="77"/>
        <v>005</v>
      </c>
      <c r="N1631" s="55" t="str">
        <f>VLOOKUP(D1631,Pinjaman!$E$7:$N$1900,10,FALSE)</f>
        <v>KONSUMTIF</v>
      </c>
      <c r="O1631" s="55">
        <f>VLOOKUP(B1631,'Data Angt'!$A$5:$H$5810,6,FALSE)</f>
        <v>43</v>
      </c>
      <c r="P1631" s="55" t="str">
        <f>VLOOKUP(B1631,'Data Angt'!$A$5:$H$5810,8,FALSE)</f>
        <v>Tenaga Pengajar</v>
      </c>
    </row>
    <row r="1632" spans="1:16" x14ac:dyDescent="0.3">
      <c r="A1632" s="8">
        <v>1625</v>
      </c>
      <c r="B1632" s="9" t="s">
        <v>4075</v>
      </c>
      <c r="C1632" s="10" t="str">
        <f>VLOOKUP(B1632,'Data Angt'!$A$5:$B$5809,2,FALSE)</f>
        <v>A1768</v>
      </c>
      <c r="D1632" s="12" t="s">
        <v>10604</v>
      </c>
      <c r="E1632" s="13">
        <v>45250</v>
      </c>
      <c r="F1632" s="14">
        <v>45915</v>
      </c>
      <c r="G1632" s="15">
        <v>15000000</v>
      </c>
      <c r="H1632" s="16">
        <v>24</v>
      </c>
      <c r="I1632" s="17">
        <v>24</v>
      </c>
      <c r="J1632" s="15">
        <v>1250000</v>
      </c>
      <c r="K1632" s="98">
        <f t="shared" si="75"/>
        <v>0</v>
      </c>
      <c r="L1632" s="98" t="str">
        <f t="shared" si="76"/>
        <v>Lancar</v>
      </c>
      <c r="M1632" s="5" t="str">
        <f t="shared" si="77"/>
        <v>005</v>
      </c>
      <c r="N1632" s="55" t="str">
        <f>VLOOKUP(D1632,Pinjaman!$E$7:$N$1900,10,FALSE)</f>
        <v>KONSUMTIF</v>
      </c>
      <c r="O1632" s="55">
        <f>VLOOKUP(B1632,'Data Angt'!$A$5:$H$5810,6,FALSE)</f>
        <v>67</v>
      </c>
      <c r="P1632" s="55" t="str">
        <f>VLOOKUP(B1632,'Data Angt'!$A$5:$H$5810,8,FALSE)</f>
        <v>Pensiunan</v>
      </c>
    </row>
    <row r="1633" spans="1:16" x14ac:dyDescent="0.3">
      <c r="A1633" s="8">
        <v>1626</v>
      </c>
      <c r="B1633" s="9" t="s">
        <v>4127</v>
      </c>
      <c r="C1633" s="10" t="str">
        <f>VLOOKUP(B1633,'Data Angt'!$A$5:$B$5809,2,FALSE)</f>
        <v>A1791</v>
      </c>
      <c r="D1633" s="12" t="s">
        <v>17660</v>
      </c>
      <c r="E1633" s="13">
        <v>45712</v>
      </c>
      <c r="F1633" s="14">
        <v>45919</v>
      </c>
      <c r="G1633" s="15">
        <v>2000000</v>
      </c>
      <c r="H1633" s="16">
        <v>12</v>
      </c>
      <c r="I1633" s="17">
        <v>11.88</v>
      </c>
      <c r="J1633" s="15">
        <v>862300</v>
      </c>
      <c r="K1633" s="98">
        <f t="shared" si="75"/>
        <v>0</v>
      </c>
      <c r="L1633" s="98" t="str">
        <f t="shared" si="76"/>
        <v>Lancar</v>
      </c>
      <c r="M1633" s="5" t="str">
        <f t="shared" si="77"/>
        <v>005</v>
      </c>
      <c r="N1633" s="55" t="str">
        <f>VLOOKUP(D1633,Pinjaman!$E$7:$N$1900,10,FALSE)</f>
        <v>PRODUKTIF</v>
      </c>
      <c r="O1633" s="55">
        <f>VLOOKUP(B1633,'Data Angt'!$A$5:$H$5810,6,FALSE)</f>
        <v>49</v>
      </c>
      <c r="P1633" s="55" t="str">
        <f>VLOOKUP(B1633,'Data Angt'!$A$5:$H$5810,8,FALSE)</f>
        <v>Wiraswasta</v>
      </c>
    </row>
    <row r="1634" spans="1:16" x14ac:dyDescent="0.3">
      <c r="A1634" s="8">
        <v>1627</v>
      </c>
      <c r="B1634" s="9" t="s">
        <v>4173</v>
      </c>
      <c r="C1634" s="10" t="str">
        <f>VLOOKUP(B1634,'Data Angt'!$A$5:$B$5809,2,FALSE)</f>
        <v>A1810</v>
      </c>
      <c r="D1634" s="12" t="s">
        <v>10606</v>
      </c>
      <c r="E1634" s="13">
        <v>44499</v>
      </c>
      <c r="F1634" s="14">
        <v>45903</v>
      </c>
      <c r="G1634" s="15">
        <v>90000000</v>
      </c>
      <c r="H1634" s="16">
        <v>120</v>
      </c>
      <c r="I1634" s="17">
        <v>11.4</v>
      </c>
      <c r="J1634" s="15">
        <v>66131100</v>
      </c>
      <c r="K1634" s="98">
        <f t="shared" si="75"/>
        <v>0</v>
      </c>
      <c r="L1634" s="98" t="str">
        <f t="shared" si="76"/>
        <v>Lancar</v>
      </c>
      <c r="M1634" s="5" t="str">
        <f t="shared" si="77"/>
        <v>005</v>
      </c>
      <c r="N1634" s="55" t="str">
        <f>VLOOKUP(D1634,Pinjaman!$E$7:$N$1900,10,FALSE)</f>
        <v>KESEJAHTERAAN</v>
      </c>
      <c r="O1634" s="55">
        <f>VLOOKUP(B1634,'Data Angt'!$A$5:$H$5810,6,FALSE)</f>
        <v>38</v>
      </c>
      <c r="P1634" s="55" t="str">
        <f>VLOOKUP(B1634,'Data Angt'!$A$5:$H$5810,8,FALSE)</f>
        <v>Mengurus Rumah Tangga</v>
      </c>
    </row>
    <row r="1635" spans="1:16" x14ac:dyDescent="0.3">
      <c r="A1635" s="8">
        <v>1628</v>
      </c>
      <c r="B1635" s="9" t="s">
        <v>4259</v>
      </c>
      <c r="C1635" s="10" t="str">
        <f>VLOOKUP(B1635,'Data Angt'!$A$5:$B$5809,2,FALSE)</f>
        <v>A1846</v>
      </c>
      <c r="D1635" s="12" t="s">
        <v>10609</v>
      </c>
      <c r="E1635" s="13">
        <v>43873</v>
      </c>
      <c r="F1635" s="14">
        <v>44242</v>
      </c>
      <c r="G1635" s="15">
        <v>5000000</v>
      </c>
      <c r="H1635" s="16">
        <v>36</v>
      </c>
      <c r="I1635" s="17">
        <v>24</v>
      </c>
      <c r="J1635" s="15">
        <v>4603700</v>
      </c>
      <c r="K1635" s="98">
        <f t="shared" si="75"/>
        <v>55</v>
      </c>
      <c r="L1635" s="98" t="str">
        <f t="shared" si="76"/>
        <v>Macet</v>
      </c>
      <c r="M1635" s="5" t="str">
        <f t="shared" si="77"/>
        <v>005</v>
      </c>
      <c r="N1635" s="55" t="str">
        <f>VLOOKUP(D1635,Pinjaman!$E$7:$N$1900,10,FALSE)</f>
        <v>PENDIDIKAN</v>
      </c>
      <c r="O1635" s="55">
        <f>VLOOKUP(B1635,'Data Angt'!$A$5:$H$5810,6,FALSE)</f>
        <v>49</v>
      </c>
      <c r="P1635" s="55" t="str">
        <f>VLOOKUP(B1635,'Data Angt'!$A$5:$H$5810,8,FALSE)</f>
        <v>Belum/Tidak Bekerja</v>
      </c>
    </row>
    <row r="1636" spans="1:16" x14ac:dyDescent="0.3">
      <c r="A1636" s="8">
        <v>1629</v>
      </c>
      <c r="B1636" s="9" t="s">
        <v>4267</v>
      </c>
      <c r="C1636" s="10" t="str">
        <f>VLOOKUP(B1636,'Data Angt'!$A$5:$B$5809,2,FALSE)</f>
        <v>A1849</v>
      </c>
      <c r="D1636" s="12" t="s">
        <v>17663</v>
      </c>
      <c r="E1636" s="13">
        <v>45666</v>
      </c>
      <c r="F1636" s="14">
        <v>45910</v>
      </c>
      <c r="G1636" s="15">
        <v>5000000</v>
      </c>
      <c r="H1636" s="16">
        <v>20</v>
      </c>
      <c r="I1636" s="17">
        <v>24</v>
      </c>
      <c r="J1636" s="15">
        <v>3234000</v>
      </c>
      <c r="K1636" s="98">
        <f t="shared" si="75"/>
        <v>0</v>
      </c>
      <c r="L1636" s="98" t="str">
        <f t="shared" si="76"/>
        <v>Lancar</v>
      </c>
      <c r="M1636" s="5" t="str">
        <f t="shared" si="77"/>
        <v>005</v>
      </c>
      <c r="N1636" s="55" t="str">
        <f>VLOOKUP(D1636,Pinjaman!$E$7:$N$1900,10,FALSE)</f>
        <v>PENDIDIKAN</v>
      </c>
      <c r="O1636" s="55">
        <f>VLOOKUP(B1636,'Data Angt'!$A$5:$H$5810,6,FALSE)</f>
        <v>64</v>
      </c>
      <c r="P1636" s="55" t="str">
        <f>VLOOKUP(B1636,'Data Angt'!$A$5:$H$5810,8,FALSE)</f>
        <v>Pensiunan</v>
      </c>
    </row>
    <row r="1637" spans="1:16" x14ac:dyDescent="0.3">
      <c r="A1637" s="8">
        <v>1630</v>
      </c>
      <c r="B1637" s="9" t="s">
        <v>4324</v>
      </c>
      <c r="C1637" s="10" t="str">
        <f>VLOOKUP(B1637,'Data Angt'!$A$5:$B$5809,2,FALSE)</f>
        <v>A1875</v>
      </c>
      <c r="D1637" s="12" t="s">
        <v>17665</v>
      </c>
      <c r="E1637" s="13">
        <v>45346</v>
      </c>
      <c r="F1637" s="14">
        <v>45926</v>
      </c>
      <c r="G1637" s="15">
        <v>50000000</v>
      </c>
      <c r="H1637" s="16">
        <v>60</v>
      </c>
      <c r="I1637" s="17">
        <v>21</v>
      </c>
      <c r="J1637" s="15">
        <v>34165400</v>
      </c>
      <c r="K1637" s="98">
        <f t="shared" si="75"/>
        <v>0</v>
      </c>
      <c r="L1637" s="98" t="str">
        <f t="shared" si="76"/>
        <v>Lancar</v>
      </c>
      <c r="M1637" s="5" t="str">
        <f t="shared" si="77"/>
        <v>005</v>
      </c>
      <c r="N1637" s="55" t="str">
        <f>VLOOKUP(D1637,Pinjaman!$E$7:$N$1900,10,FALSE)</f>
        <v>KONSUMTIF</v>
      </c>
      <c r="O1637" s="55">
        <f>VLOOKUP(B1637,'Data Angt'!$A$5:$H$5810,6,FALSE)</f>
        <v>35</v>
      </c>
      <c r="P1637" s="55" t="str">
        <f>VLOOKUP(B1637,'Data Angt'!$A$5:$H$5810,8,FALSE)</f>
        <v>Tenaga Medis</v>
      </c>
    </row>
    <row r="1638" spans="1:16" x14ac:dyDescent="0.3">
      <c r="A1638" s="8">
        <v>1631</v>
      </c>
      <c r="B1638" s="9" t="s">
        <v>4566</v>
      </c>
      <c r="C1638" s="10" t="str">
        <f>VLOOKUP(B1638,'Data Angt'!$A$5:$B$5809,2,FALSE)</f>
        <v>A1989</v>
      </c>
      <c r="D1638" s="12" t="s">
        <v>17667</v>
      </c>
      <c r="E1638" s="13">
        <v>45471</v>
      </c>
      <c r="F1638" s="14">
        <v>45925</v>
      </c>
      <c r="G1638" s="15">
        <v>10000000</v>
      </c>
      <c r="H1638" s="16">
        <v>24</v>
      </c>
      <c r="I1638" s="17">
        <v>24</v>
      </c>
      <c r="J1638" s="15">
        <v>4314700</v>
      </c>
      <c r="K1638" s="98">
        <f t="shared" si="75"/>
        <v>0</v>
      </c>
      <c r="L1638" s="98" t="str">
        <f t="shared" si="76"/>
        <v>Lancar</v>
      </c>
      <c r="M1638" s="5" t="str">
        <f t="shared" si="77"/>
        <v>005</v>
      </c>
      <c r="N1638" s="55" t="str">
        <f>VLOOKUP(D1638,Pinjaman!$E$7:$N$1900,10,FALSE)</f>
        <v>PENDIDIKAN</v>
      </c>
      <c r="O1638" s="55">
        <f>VLOOKUP(B1638,'Data Angt'!$A$5:$H$5810,6,FALSE)</f>
        <v>59</v>
      </c>
      <c r="P1638" s="55" t="str">
        <f>VLOOKUP(B1638,'Data Angt'!$A$5:$H$5810,8,FALSE)</f>
        <v>Wiraswasta</v>
      </c>
    </row>
    <row r="1639" spans="1:16" x14ac:dyDescent="0.3">
      <c r="A1639" s="8">
        <v>1632</v>
      </c>
      <c r="B1639" s="9" t="s">
        <v>4711</v>
      </c>
      <c r="C1639" s="10" t="str">
        <f>VLOOKUP(B1639,'Data Angt'!$A$5:$B$5809,2,FALSE)</f>
        <v>A2058</v>
      </c>
      <c r="D1639" s="12" t="s">
        <v>17669</v>
      </c>
      <c r="E1639" s="13">
        <v>45665</v>
      </c>
      <c r="F1639" s="14">
        <v>45908</v>
      </c>
      <c r="G1639" s="15">
        <v>3000000</v>
      </c>
      <c r="H1639" s="16">
        <v>12</v>
      </c>
      <c r="I1639" s="17">
        <v>11.88</v>
      </c>
      <c r="J1639" s="15">
        <v>1039800</v>
      </c>
      <c r="K1639" s="98">
        <f t="shared" si="75"/>
        <v>0</v>
      </c>
      <c r="L1639" s="98" t="str">
        <f t="shared" si="76"/>
        <v>Lancar</v>
      </c>
      <c r="M1639" s="5" t="str">
        <f t="shared" si="77"/>
        <v>005</v>
      </c>
      <c r="N1639" s="55" t="str">
        <f>VLOOKUP(D1639,Pinjaman!$E$7:$N$1900,10,FALSE)</f>
        <v>PENDIDIKAN</v>
      </c>
      <c r="O1639" s="55">
        <f>VLOOKUP(B1639,'Data Angt'!$A$5:$H$5810,6,FALSE)</f>
        <v>56</v>
      </c>
      <c r="P1639" s="55" t="str">
        <f>VLOOKUP(B1639,'Data Angt'!$A$5:$H$5810,8,FALSE)</f>
        <v>Tenaga Pengajar</v>
      </c>
    </row>
    <row r="1640" spans="1:16" x14ac:dyDescent="0.3">
      <c r="A1640" s="8">
        <v>1633</v>
      </c>
      <c r="B1640" s="9" t="s">
        <v>4711</v>
      </c>
      <c r="C1640" s="10" t="str">
        <f>VLOOKUP(B1640,'Data Angt'!$A$5:$B$5809,2,FALSE)</f>
        <v>A2058</v>
      </c>
      <c r="D1640" s="12" t="s">
        <v>10612</v>
      </c>
      <c r="E1640" s="13">
        <v>44767</v>
      </c>
      <c r="F1640" s="14">
        <v>45917</v>
      </c>
      <c r="G1640" s="15">
        <v>49000000</v>
      </c>
      <c r="H1640" s="16">
        <v>48</v>
      </c>
      <c r="I1640" s="17">
        <v>21</v>
      </c>
      <c r="J1640" s="15">
        <v>13807600</v>
      </c>
      <c r="K1640" s="98">
        <f t="shared" si="75"/>
        <v>0</v>
      </c>
      <c r="L1640" s="98" t="str">
        <f t="shared" si="76"/>
        <v>Lancar</v>
      </c>
      <c r="M1640" s="5" t="str">
        <f t="shared" si="77"/>
        <v>005</v>
      </c>
      <c r="N1640" s="55" t="str">
        <f>VLOOKUP(D1640,Pinjaman!$E$7:$N$1900,10,FALSE)</f>
        <v>PENDIDIKAN</v>
      </c>
      <c r="O1640" s="55">
        <f>VLOOKUP(B1640,'Data Angt'!$A$5:$H$5810,6,FALSE)</f>
        <v>56</v>
      </c>
      <c r="P1640" s="55" t="str">
        <f>VLOOKUP(B1640,'Data Angt'!$A$5:$H$5810,8,FALSE)</f>
        <v>Tenaga Pengajar</v>
      </c>
    </row>
    <row r="1641" spans="1:16" x14ac:dyDescent="0.3">
      <c r="A1641" s="8">
        <v>1634</v>
      </c>
      <c r="B1641" s="9" t="s">
        <v>4718</v>
      </c>
      <c r="C1641" s="10" t="str">
        <f>VLOOKUP(B1641,'Data Angt'!$A$5:$B$5809,2,FALSE)</f>
        <v>A2061</v>
      </c>
      <c r="D1641" s="12" t="s">
        <v>17671</v>
      </c>
      <c r="E1641" s="13">
        <v>45730</v>
      </c>
      <c r="F1641" s="14">
        <v>45913</v>
      </c>
      <c r="G1641" s="15">
        <v>10000000</v>
      </c>
      <c r="H1641" s="16">
        <v>24</v>
      </c>
      <c r="I1641" s="17">
        <v>24</v>
      </c>
      <c r="J1641" s="15">
        <v>7926100</v>
      </c>
      <c r="K1641" s="98">
        <f t="shared" si="75"/>
        <v>0</v>
      </c>
      <c r="L1641" s="98" t="str">
        <f t="shared" si="76"/>
        <v>Lancar</v>
      </c>
      <c r="M1641" s="5" t="str">
        <f t="shared" si="77"/>
        <v>005</v>
      </c>
      <c r="N1641" s="55" t="str">
        <f>VLOOKUP(D1641,Pinjaman!$E$7:$N$1900,10,FALSE)</f>
        <v>KONSUMTIF</v>
      </c>
      <c r="O1641" s="55">
        <f>VLOOKUP(B1641,'Data Angt'!$A$5:$H$5810,6,FALSE)</f>
        <v>48</v>
      </c>
      <c r="P1641" s="55" t="str">
        <f>VLOOKUP(B1641,'Data Angt'!$A$5:$H$5810,8,FALSE)</f>
        <v>Karyawan</v>
      </c>
    </row>
    <row r="1642" spans="1:16" x14ac:dyDescent="0.3">
      <c r="A1642" s="8">
        <v>1635</v>
      </c>
      <c r="B1642" s="9" t="s">
        <v>4840</v>
      </c>
      <c r="C1642" s="10" t="str">
        <f>VLOOKUP(B1642,'Data Angt'!$A$5:$B$5809,2,FALSE)</f>
        <v>A2117</v>
      </c>
      <c r="D1642" s="12" t="s">
        <v>17673</v>
      </c>
      <c r="E1642" s="13">
        <v>45434</v>
      </c>
      <c r="F1642" s="14">
        <v>45923</v>
      </c>
      <c r="G1642" s="15">
        <v>10000000</v>
      </c>
      <c r="H1642" s="16">
        <v>24</v>
      </c>
      <c r="I1642" s="17">
        <v>24</v>
      </c>
      <c r="J1642" s="15">
        <v>4314700</v>
      </c>
      <c r="K1642" s="98">
        <f t="shared" si="75"/>
        <v>0</v>
      </c>
      <c r="L1642" s="98" t="str">
        <f t="shared" si="76"/>
        <v>Lancar</v>
      </c>
      <c r="M1642" s="5" t="str">
        <f t="shared" si="77"/>
        <v>005</v>
      </c>
      <c r="N1642" s="55" t="str">
        <f>VLOOKUP(D1642,Pinjaman!$E$7:$N$1900,10,FALSE)</f>
        <v>KONSUMTIF</v>
      </c>
      <c r="O1642" s="55">
        <f>VLOOKUP(B1642,'Data Angt'!$A$5:$H$5810,6,FALSE)</f>
        <v>31</v>
      </c>
      <c r="P1642" s="55" t="str">
        <f>VLOOKUP(B1642,'Data Angt'!$A$5:$H$5810,8,FALSE)</f>
        <v>Karyawan</v>
      </c>
    </row>
    <row r="1643" spans="1:16" x14ac:dyDescent="0.3">
      <c r="A1643" s="8">
        <v>1636</v>
      </c>
      <c r="B1643" s="9" t="s">
        <v>4890</v>
      </c>
      <c r="C1643" s="10" t="str">
        <f>VLOOKUP(B1643,'Data Angt'!$A$5:$B$5809,2,FALSE)</f>
        <v>A2140</v>
      </c>
      <c r="D1643" s="12" t="s">
        <v>10614</v>
      </c>
      <c r="E1643" s="13">
        <v>43546</v>
      </c>
      <c r="F1643" s="14">
        <v>45920</v>
      </c>
      <c r="G1643" s="15">
        <v>200000000</v>
      </c>
      <c r="H1643" s="16">
        <v>60</v>
      </c>
      <c r="I1643" s="17">
        <v>21</v>
      </c>
      <c r="J1643" s="15">
        <v>149260800</v>
      </c>
      <c r="K1643" s="98">
        <f t="shared" si="75"/>
        <v>0</v>
      </c>
      <c r="L1643" s="98" t="str">
        <f t="shared" si="76"/>
        <v>Lancar</v>
      </c>
      <c r="M1643" s="5" t="str">
        <f t="shared" si="77"/>
        <v>005</v>
      </c>
      <c r="N1643" s="55" t="str">
        <f>VLOOKUP(D1643,Pinjaman!$E$7:$N$1900,10,FALSE)</f>
        <v>KONSUMTIF</v>
      </c>
      <c r="O1643" s="55">
        <f>VLOOKUP(B1643,'Data Angt'!$A$5:$H$5810,6,FALSE)</f>
        <v>60</v>
      </c>
      <c r="P1643" s="55" t="str">
        <f>VLOOKUP(B1643,'Data Angt'!$A$5:$H$5810,8,FALSE)</f>
        <v>Aparatur/Pejabat Negara</v>
      </c>
    </row>
    <row r="1644" spans="1:16" x14ac:dyDescent="0.3">
      <c r="A1644" s="8">
        <v>1637</v>
      </c>
      <c r="B1644" s="9" t="s">
        <v>5030</v>
      </c>
      <c r="C1644" s="10" t="str">
        <f>VLOOKUP(B1644,'Data Angt'!$A$5:$B$5809,2,FALSE)</f>
        <v>A2205</v>
      </c>
      <c r="D1644" s="12" t="s">
        <v>10617</v>
      </c>
      <c r="E1644" s="13">
        <v>43820</v>
      </c>
      <c r="F1644" s="14">
        <v>45930</v>
      </c>
      <c r="G1644" s="15">
        <v>230000000</v>
      </c>
      <c r="H1644" s="16">
        <v>120</v>
      </c>
      <c r="I1644" s="17">
        <v>11.4</v>
      </c>
      <c r="J1644" s="15">
        <v>129764200</v>
      </c>
      <c r="K1644" s="98">
        <f t="shared" si="75"/>
        <v>0</v>
      </c>
      <c r="L1644" s="98" t="str">
        <f t="shared" si="76"/>
        <v>Lancar</v>
      </c>
      <c r="M1644" s="5" t="str">
        <f t="shared" si="77"/>
        <v>005</v>
      </c>
      <c r="N1644" s="55" t="str">
        <f>VLOOKUP(D1644,Pinjaman!$E$7:$N$1900,10,FALSE)</f>
        <v>KESEJAHTERAAN</v>
      </c>
      <c r="O1644" s="55">
        <f>VLOOKUP(B1644,'Data Angt'!$A$5:$H$5810,6,FALSE)</f>
        <v>57</v>
      </c>
      <c r="P1644" s="55" t="str">
        <f>VLOOKUP(B1644,'Data Angt'!$A$5:$H$5810,8,FALSE)</f>
        <v>Wiraswasta</v>
      </c>
    </row>
    <row r="1645" spans="1:16" x14ac:dyDescent="0.3">
      <c r="A1645" s="8">
        <v>1638</v>
      </c>
      <c r="B1645" s="9" t="s">
        <v>5104</v>
      </c>
      <c r="C1645" s="10" t="str">
        <f>VLOOKUP(B1645,'Data Angt'!$A$5:$B$5809,2,FALSE)</f>
        <v>A2240</v>
      </c>
      <c r="D1645" s="12" t="s">
        <v>10620</v>
      </c>
      <c r="E1645" s="13">
        <v>43481</v>
      </c>
      <c r="F1645" s="14">
        <v>44242</v>
      </c>
      <c r="G1645" s="15">
        <v>7000000</v>
      </c>
      <c r="H1645" s="16">
        <v>36</v>
      </c>
      <c r="I1645" s="17">
        <v>24</v>
      </c>
      <c r="J1645" s="15">
        <v>6004900</v>
      </c>
      <c r="K1645" s="98">
        <f t="shared" si="75"/>
        <v>55</v>
      </c>
      <c r="L1645" s="98" t="str">
        <f t="shared" si="76"/>
        <v>Macet</v>
      </c>
      <c r="M1645" s="5" t="str">
        <f t="shared" si="77"/>
        <v>005</v>
      </c>
      <c r="N1645" s="55" t="str">
        <f>VLOOKUP(D1645,Pinjaman!$E$7:$N$1900,10,FALSE)</f>
        <v>PENDIDIKAN</v>
      </c>
      <c r="O1645" s="55">
        <f>VLOOKUP(B1645,'Data Angt'!$A$5:$H$5810,6,FALSE)</f>
        <v>56</v>
      </c>
      <c r="P1645" s="55" t="str">
        <f>VLOOKUP(B1645,'Data Angt'!$A$5:$H$5810,8,FALSE)</f>
        <v>Mengurus Rumah Tangga</v>
      </c>
    </row>
    <row r="1646" spans="1:16" x14ac:dyDescent="0.3">
      <c r="A1646" s="8">
        <v>1639</v>
      </c>
      <c r="B1646" s="9" t="s">
        <v>5192</v>
      </c>
      <c r="C1646" s="10" t="str">
        <f>VLOOKUP(B1646,'Data Angt'!$A$5:$B$5809,2,FALSE)</f>
        <v>A2284</v>
      </c>
      <c r="D1646" s="12" t="s">
        <v>23757</v>
      </c>
      <c r="E1646" s="13">
        <v>45839</v>
      </c>
      <c r="F1646" s="14">
        <v>45904</v>
      </c>
      <c r="G1646" s="15">
        <v>15000000</v>
      </c>
      <c r="H1646" s="16">
        <v>24</v>
      </c>
      <c r="I1646" s="17">
        <v>24</v>
      </c>
      <c r="J1646" s="15">
        <v>14004000</v>
      </c>
      <c r="K1646" s="98">
        <f t="shared" si="75"/>
        <v>0</v>
      </c>
      <c r="L1646" s="98" t="str">
        <f t="shared" si="76"/>
        <v>Lancar</v>
      </c>
      <c r="M1646" s="5" t="str">
        <f t="shared" si="77"/>
        <v>005</v>
      </c>
      <c r="N1646" s="55" t="str">
        <f>VLOOKUP(D1646,Pinjaman!$E$7:$N$1900,10,FALSE)</f>
        <v>PRODUKTIF</v>
      </c>
      <c r="O1646" s="55">
        <f>VLOOKUP(B1646,'Data Angt'!$A$5:$H$5810,6,FALSE)</f>
        <v>55</v>
      </c>
      <c r="P1646" s="55" t="str">
        <f>VLOOKUP(B1646,'Data Angt'!$A$5:$H$5810,8,FALSE)</f>
        <v>Tenaga Medis</v>
      </c>
    </row>
    <row r="1647" spans="1:16" x14ac:dyDescent="0.3">
      <c r="A1647" s="8">
        <v>1640</v>
      </c>
      <c r="B1647" s="9" t="s">
        <v>5250</v>
      </c>
      <c r="C1647" s="10" t="str">
        <f>VLOOKUP(B1647,'Data Angt'!$A$5:$B$5809,2,FALSE)</f>
        <v>A2310</v>
      </c>
      <c r="D1647" s="12" t="s">
        <v>10623</v>
      </c>
      <c r="E1647" s="13">
        <v>43780</v>
      </c>
      <c r="F1647" s="14">
        <v>45930</v>
      </c>
      <c r="G1647" s="15">
        <v>15000000</v>
      </c>
      <c r="H1647" s="16">
        <v>12</v>
      </c>
      <c r="I1647" s="17">
        <v>24</v>
      </c>
      <c r="J1647" s="15">
        <v>5711900</v>
      </c>
      <c r="K1647" s="98">
        <f t="shared" si="75"/>
        <v>0</v>
      </c>
      <c r="L1647" s="98" t="str">
        <f t="shared" si="76"/>
        <v>Lancar</v>
      </c>
      <c r="M1647" s="5" t="str">
        <f t="shared" si="77"/>
        <v>005</v>
      </c>
      <c r="N1647" s="55" t="str">
        <f>VLOOKUP(D1647,Pinjaman!$E$7:$N$1900,10,FALSE)</f>
        <v>PENDIDIKAN</v>
      </c>
      <c r="O1647" s="55">
        <f>VLOOKUP(B1647,'Data Angt'!$A$5:$H$5810,6,FALSE)</f>
        <v>56</v>
      </c>
      <c r="P1647" s="55" t="str">
        <f>VLOOKUP(B1647,'Data Angt'!$A$5:$H$5810,8,FALSE)</f>
        <v>Karyawan</v>
      </c>
    </row>
    <row r="1648" spans="1:16" x14ac:dyDescent="0.3">
      <c r="A1648" s="8">
        <v>1641</v>
      </c>
      <c r="B1648" s="9" t="s">
        <v>5258</v>
      </c>
      <c r="C1648" s="10" t="str">
        <f>VLOOKUP(B1648,'Data Angt'!$A$5:$B$5809,2,FALSE)</f>
        <v>A2314</v>
      </c>
      <c r="D1648" s="12" t="s">
        <v>17675</v>
      </c>
      <c r="E1648" s="13">
        <v>45762</v>
      </c>
      <c r="F1648" s="14">
        <v>45912</v>
      </c>
      <c r="G1648" s="15">
        <v>4000000</v>
      </c>
      <c r="H1648" s="16">
        <v>24</v>
      </c>
      <c r="I1648" s="17">
        <v>24</v>
      </c>
      <c r="J1648" s="15">
        <v>3315800</v>
      </c>
      <c r="K1648" s="98">
        <f t="shared" si="75"/>
        <v>0</v>
      </c>
      <c r="L1648" s="98" t="str">
        <f t="shared" si="76"/>
        <v>Lancar</v>
      </c>
      <c r="M1648" s="5" t="str">
        <f t="shared" si="77"/>
        <v>005</v>
      </c>
      <c r="N1648" s="55" t="str">
        <f>VLOOKUP(D1648,Pinjaman!$E$7:$N$1900,10,FALSE)</f>
        <v>PENDIDIKAN</v>
      </c>
      <c r="O1648" s="55">
        <f>VLOOKUP(B1648,'Data Angt'!$A$5:$H$5810,6,FALSE)</f>
        <v>46</v>
      </c>
      <c r="P1648" s="55" t="str">
        <f>VLOOKUP(B1648,'Data Angt'!$A$5:$H$5810,8,FALSE)</f>
        <v>Karyawan</v>
      </c>
    </row>
    <row r="1649" spans="1:16" x14ac:dyDescent="0.3">
      <c r="A1649" s="8">
        <v>1642</v>
      </c>
      <c r="B1649" s="9" t="s">
        <v>5347</v>
      </c>
      <c r="C1649" s="10" t="str">
        <f>VLOOKUP(B1649,'Data Angt'!$A$5:$B$5809,2,FALSE)</f>
        <v>A2356</v>
      </c>
      <c r="D1649" s="12" t="s">
        <v>10626</v>
      </c>
      <c r="E1649" s="13">
        <v>42780</v>
      </c>
      <c r="F1649" s="14">
        <v>44242</v>
      </c>
      <c r="G1649" s="15">
        <v>5000000</v>
      </c>
      <c r="H1649" s="16">
        <v>30</v>
      </c>
      <c r="I1649" s="17">
        <v>24</v>
      </c>
      <c r="J1649" s="15">
        <v>2999600</v>
      </c>
      <c r="K1649" s="98">
        <f t="shared" si="75"/>
        <v>55</v>
      </c>
      <c r="L1649" s="98" t="str">
        <f t="shared" si="76"/>
        <v>Macet</v>
      </c>
      <c r="M1649" s="5" t="str">
        <f t="shared" si="77"/>
        <v>005</v>
      </c>
      <c r="N1649" s="55">
        <f>VLOOKUP(D1649,Pinjaman!$E$7:$N$1900,10,FALSE)</f>
        <v>0</v>
      </c>
      <c r="O1649" s="55">
        <f>VLOOKUP(B1649,'Data Angt'!$A$5:$H$5810,6,FALSE)</f>
        <v>55</v>
      </c>
      <c r="P1649" s="55" t="str">
        <f>VLOOKUP(B1649,'Data Angt'!$A$5:$H$5810,8,FALSE)</f>
        <v>Karyawan</v>
      </c>
    </row>
    <row r="1650" spans="1:16" x14ac:dyDescent="0.3">
      <c r="A1650" s="8">
        <v>1643</v>
      </c>
      <c r="B1650" s="9" t="s">
        <v>5353</v>
      </c>
      <c r="C1650" s="10" t="str">
        <f>VLOOKUP(B1650,'Data Angt'!$A$5:$B$5809,2,FALSE)</f>
        <v>A2359</v>
      </c>
      <c r="D1650" s="12" t="s">
        <v>10627</v>
      </c>
      <c r="E1650" s="13">
        <v>45114</v>
      </c>
      <c r="F1650" s="14">
        <v>45831</v>
      </c>
      <c r="G1650" s="15">
        <v>10000000</v>
      </c>
      <c r="H1650" s="16">
        <v>24</v>
      </c>
      <c r="I1650" s="17">
        <v>24</v>
      </c>
      <c r="J1650" s="15">
        <v>7083100</v>
      </c>
      <c r="K1650" s="98">
        <f t="shared" si="75"/>
        <v>3</v>
      </c>
      <c r="L1650" s="98" t="str">
        <f t="shared" si="76"/>
        <v>Lancar</v>
      </c>
      <c r="M1650" s="5" t="str">
        <f t="shared" si="77"/>
        <v>005</v>
      </c>
      <c r="N1650" s="55" t="str">
        <f>VLOOKUP(D1650,Pinjaman!$E$7:$N$1900,10,FALSE)</f>
        <v>KONSUMTIF</v>
      </c>
      <c r="O1650" s="55">
        <f>VLOOKUP(B1650,'Data Angt'!$A$5:$H$5810,6,FALSE)</f>
        <v>41</v>
      </c>
      <c r="P1650" s="55" t="str">
        <f>VLOOKUP(B1650,'Data Angt'!$A$5:$H$5810,8,FALSE)</f>
        <v>Wiraswasta</v>
      </c>
    </row>
    <row r="1651" spans="1:16" x14ac:dyDescent="0.3">
      <c r="A1651" s="8">
        <v>1644</v>
      </c>
      <c r="B1651" s="9" t="s">
        <v>5404</v>
      </c>
      <c r="C1651" s="10" t="str">
        <f>VLOOKUP(B1651,'Data Angt'!$A$5:$B$5809,2,FALSE)</f>
        <v>A2384</v>
      </c>
      <c r="D1651" s="12" t="s">
        <v>17677</v>
      </c>
      <c r="E1651" s="13">
        <v>45791</v>
      </c>
      <c r="F1651" s="14">
        <v>45913</v>
      </c>
      <c r="G1651" s="15">
        <v>15000000</v>
      </c>
      <c r="H1651" s="16">
        <v>24</v>
      </c>
      <c r="I1651" s="17">
        <v>24</v>
      </c>
      <c r="J1651" s="15">
        <v>12500000</v>
      </c>
      <c r="K1651" s="98">
        <f t="shared" si="75"/>
        <v>0</v>
      </c>
      <c r="L1651" s="98" t="str">
        <f t="shared" si="76"/>
        <v>Lancar</v>
      </c>
      <c r="M1651" s="5" t="str">
        <f t="shared" si="77"/>
        <v>005</v>
      </c>
      <c r="N1651" s="55" t="str">
        <f>VLOOKUP(D1651,Pinjaman!$E$7:$N$1900,10,FALSE)</f>
        <v>PRODUKTIF</v>
      </c>
      <c r="O1651" s="55">
        <f>VLOOKUP(B1651,'Data Angt'!$A$5:$H$5810,6,FALSE)</f>
        <v>51</v>
      </c>
      <c r="P1651" s="55" t="str">
        <f>VLOOKUP(B1651,'Data Angt'!$A$5:$H$5810,8,FALSE)</f>
        <v>Karyawan</v>
      </c>
    </row>
    <row r="1652" spans="1:16" x14ac:dyDescent="0.3">
      <c r="A1652" s="8">
        <v>1645</v>
      </c>
      <c r="B1652" s="9" t="s">
        <v>5449</v>
      </c>
      <c r="C1652" s="10" t="str">
        <f>VLOOKUP(B1652,'Data Angt'!$A$5:$B$5809,2,FALSE)</f>
        <v>A2405</v>
      </c>
      <c r="D1652" s="12" t="s">
        <v>10629</v>
      </c>
      <c r="E1652" s="13">
        <v>43284</v>
      </c>
      <c r="F1652" s="14">
        <v>45672</v>
      </c>
      <c r="G1652" s="15">
        <v>25000000</v>
      </c>
      <c r="H1652" s="16">
        <v>36</v>
      </c>
      <c r="I1652" s="17">
        <v>21</v>
      </c>
      <c r="J1652" s="15">
        <v>8332000</v>
      </c>
      <c r="K1652" s="98">
        <f t="shared" si="75"/>
        <v>8</v>
      </c>
      <c r="L1652" s="98" t="str">
        <f t="shared" si="76"/>
        <v>Diragukan</v>
      </c>
      <c r="M1652" s="5" t="str">
        <f t="shared" si="77"/>
        <v>005</v>
      </c>
      <c r="N1652" s="55" t="str">
        <f>VLOOKUP(D1652,Pinjaman!$E$7:$N$1900,10,FALSE)</f>
        <v>KESEJAHTERAAN</v>
      </c>
      <c r="O1652" s="55">
        <f>VLOOKUP(B1652,'Data Angt'!$A$5:$H$5810,6,FALSE)</f>
        <v>56</v>
      </c>
      <c r="P1652" s="55" t="str">
        <f>VLOOKUP(B1652,'Data Angt'!$A$5:$H$5810,8,FALSE)</f>
        <v>Wiraswasta</v>
      </c>
    </row>
    <row r="1653" spans="1:16" x14ac:dyDescent="0.3">
      <c r="A1653" s="8">
        <v>1646</v>
      </c>
      <c r="B1653" s="9" t="s">
        <v>5468</v>
      </c>
      <c r="C1653" s="10" t="str">
        <f>VLOOKUP(B1653,'Data Angt'!$A$5:$B$5809,2,FALSE)</f>
        <v>A2414</v>
      </c>
      <c r="D1653" s="12" t="s">
        <v>23764</v>
      </c>
      <c r="E1653" s="13">
        <v>45923</v>
      </c>
      <c r="F1653" s="14">
        <v>45923</v>
      </c>
      <c r="G1653" s="15">
        <v>3000000</v>
      </c>
      <c r="H1653" s="16">
        <v>6</v>
      </c>
      <c r="I1653" s="17">
        <v>24</v>
      </c>
      <c r="J1653" s="15">
        <v>3000000</v>
      </c>
      <c r="K1653" s="98">
        <f t="shared" si="75"/>
        <v>0</v>
      </c>
      <c r="L1653" s="98" t="str">
        <f t="shared" si="76"/>
        <v>Lancar</v>
      </c>
      <c r="M1653" s="5" t="str">
        <f t="shared" si="77"/>
        <v>005</v>
      </c>
      <c r="N1653" s="55" t="str">
        <f>VLOOKUP(D1653,Pinjaman!$E$7:$N$1900,10,FALSE)</f>
        <v>PENDIDIKAN</v>
      </c>
      <c r="O1653" s="55">
        <f>VLOOKUP(B1653,'Data Angt'!$A$5:$H$5810,6,FALSE)</f>
        <v>30</v>
      </c>
      <c r="P1653" s="55" t="str">
        <f>VLOOKUP(B1653,'Data Angt'!$A$5:$H$5810,8,FALSE)</f>
        <v>Tenaga Pengajar</v>
      </c>
    </row>
    <row r="1654" spans="1:16" x14ac:dyDescent="0.3">
      <c r="A1654" s="8">
        <v>1647</v>
      </c>
      <c r="B1654" s="9" t="s">
        <v>5663</v>
      </c>
      <c r="C1654" s="10" t="str">
        <f>VLOOKUP(B1654,'Data Angt'!$A$5:$B$5809,2,FALSE)</f>
        <v>A2499</v>
      </c>
      <c r="D1654" s="12" t="s">
        <v>17680</v>
      </c>
      <c r="E1654" s="13">
        <v>45458</v>
      </c>
      <c r="F1654" s="14">
        <v>45915</v>
      </c>
      <c r="G1654" s="15">
        <v>25000000</v>
      </c>
      <c r="H1654" s="16">
        <v>36</v>
      </c>
      <c r="I1654" s="17">
        <v>21</v>
      </c>
      <c r="J1654" s="15">
        <v>16433700</v>
      </c>
      <c r="K1654" s="98">
        <f t="shared" si="75"/>
        <v>0</v>
      </c>
      <c r="L1654" s="98" t="str">
        <f t="shared" si="76"/>
        <v>Lancar</v>
      </c>
      <c r="M1654" s="5" t="str">
        <f t="shared" si="77"/>
        <v>005</v>
      </c>
      <c r="N1654" s="55" t="str">
        <f>VLOOKUP(D1654,Pinjaman!$E$7:$N$1900,10,FALSE)</f>
        <v>KESEJAHTERAAN</v>
      </c>
      <c r="O1654" s="55">
        <f>VLOOKUP(B1654,'Data Angt'!$A$5:$H$5810,6,FALSE)</f>
        <v>49</v>
      </c>
      <c r="P1654" s="55" t="str">
        <f>VLOOKUP(B1654,'Data Angt'!$A$5:$H$5810,8,FALSE)</f>
        <v>Wiraswasta</v>
      </c>
    </row>
    <row r="1655" spans="1:16" x14ac:dyDescent="0.3">
      <c r="A1655" s="8">
        <v>1648</v>
      </c>
      <c r="B1655" s="9" t="s">
        <v>5702</v>
      </c>
      <c r="C1655" s="10" t="str">
        <f>VLOOKUP(B1655,'Data Angt'!$A$5:$B$5809,2,FALSE)</f>
        <v>A2516</v>
      </c>
      <c r="D1655" s="12" t="s">
        <v>10631</v>
      </c>
      <c r="E1655" s="13">
        <v>44664</v>
      </c>
      <c r="F1655" s="14">
        <v>45896</v>
      </c>
      <c r="G1655" s="15">
        <v>5000000</v>
      </c>
      <c r="H1655" s="16">
        <v>24</v>
      </c>
      <c r="I1655" s="17">
        <v>24</v>
      </c>
      <c r="J1655" s="15">
        <v>3963200</v>
      </c>
      <c r="K1655" s="98">
        <f t="shared" si="75"/>
        <v>1</v>
      </c>
      <c r="L1655" s="98" t="str">
        <f t="shared" si="76"/>
        <v>Lancar</v>
      </c>
      <c r="M1655" s="5" t="str">
        <f t="shared" si="77"/>
        <v>005</v>
      </c>
      <c r="N1655" s="55" t="str">
        <f>VLOOKUP(D1655,Pinjaman!$E$7:$N$1900,10,FALSE)</f>
        <v>KESEJAHTERAAN</v>
      </c>
      <c r="O1655" s="55">
        <f>VLOOKUP(B1655,'Data Angt'!$A$5:$H$5810,6,FALSE)</f>
        <v>44</v>
      </c>
      <c r="P1655" s="55" t="str">
        <f>VLOOKUP(B1655,'Data Angt'!$A$5:$H$5810,8,FALSE)</f>
        <v>Lain-Lain</v>
      </c>
    </row>
    <row r="1656" spans="1:16" x14ac:dyDescent="0.3">
      <c r="A1656" s="8">
        <v>1649</v>
      </c>
      <c r="B1656" s="9" t="s">
        <v>5840</v>
      </c>
      <c r="C1656" s="10" t="str">
        <f>VLOOKUP(B1656,'Data Angt'!$A$5:$B$5809,2,FALSE)</f>
        <v>A2577</v>
      </c>
      <c r="D1656" s="12" t="s">
        <v>23767</v>
      </c>
      <c r="E1656" s="13">
        <v>45895</v>
      </c>
      <c r="F1656" s="14">
        <v>45908</v>
      </c>
      <c r="G1656" s="15">
        <v>6500000</v>
      </c>
      <c r="H1656" s="16">
        <v>3</v>
      </c>
      <c r="I1656" s="17">
        <v>24</v>
      </c>
      <c r="J1656" s="15">
        <v>4333300</v>
      </c>
      <c r="K1656" s="98">
        <f t="shared" si="75"/>
        <v>0</v>
      </c>
      <c r="L1656" s="98" t="str">
        <f t="shared" si="76"/>
        <v>Lancar</v>
      </c>
      <c r="M1656" s="5" t="str">
        <f t="shared" si="77"/>
        <v>005</v>
      </c>
      <c r="N1656" s="55" t="str">
        <f>VLOOKUP(D1656,Pinjaman!$E$7:$N$1900,10,FALSE)</f>
        <v>PENDIDIKAN</v>
      </c>
      <c r="O1656" s="55">
        <f>VLOOKUP(B1656,'Data Angt'!$A$5:$H$5810,6,FALSE)</f>
        <v>43</v>
      </c>
      <c r="P1656" s="55" t="str">
        <f>VLOOKUP(B1656,'Data Angt'!$A$5:$H$5810,8,FALSE)</f>
        <v>Tenaga Pengajar</v>
      </c>
    </row>
    <row r="1657" spans="1:16" x14ac:dyDescent="0.3">
      <c r="A1657" s="8">
        <v>1650</v>
      </c>
      <c r="B1657" s="9" t="s">
        <v>5901</v>
      </c>
      <c r="C1657" s="10" t="str">
        <f>VLOOKUP(B1657,'Data Angt'!$A$5:$B$5809,2,FALSE)</f>
        <v>A2606</v>
      </c>
      <c r="D1657" s="12" t="s">
        <v>10633</v>
      </c>
      <c r="E1657" s="13">
        <v>43888</v>
      </c>
      <c r="F1657" s="14">
        <v>45869</v>
      </c>
      <c r="G1657" s="15">
        <v>80000000</v>
      </c>
      <c r="H1657" s="16">
        <v>56</v>
      </c>
      <c r="I1657" s="17">
        <v>21</v>
      </c>
      <c r="J1657" s="15">
        <v>34284800</v>
      </c>
      <c r="K1657" s="98">
        <f t="shared" si="75"/>
        <v>1</v>
      </c>
      <c r="L1657" s="98" t="str">
        <f t="shared" si="76"/>
        <v>Lancar</v>
      </c>
      <c r="M1657" s="5" t="str">
        <f t="shared" si="77"/>
        <v>005</v>
      </c>
      <c r="N1657" s="55" t="str">
        <f>VLOOKUP(D1657,Pinjaman!$E$7:$N$1900,10,FALSE)</f>
        <v>KESEJAHTERAAN</v>
      </c>
      <c r="O1657" s="55">
        <f>VLOOKUP(B1657,'Data Angt'!$A$5:$H$5810,6,FALSE)</f>
        <v>48</v>
      </c>
      <c r="P1657" s="55" t="str">
        <f>VLOOKUP(B1657,'Data Angt'!$A$5:$H$5810,8,FALSE)</f>
        <v>Mengurus Rumah Tangga</v>
      </c>
    </row>
    <row r="1658" spans="1:16" x14ac:dyDescent="0.3">
      <c r="A1658" s="8">
        <v>1651</v>
      </c>
      <c r="B1658" s="9" t="s">
        <v>5965</v>
      </c>
      <c r="C1658" s="10" t="str">
        <f>VLOOKUP(B1658,'Data Angt'!$A$5:$B$5809,2,FALSE)</f>
        <v>A2633</v>
      </c>
      <c r="D1658" s="12" t="s">
        <v>10635</v>
      </c>
      <c r="E1658" s="13">
        <v>44849</v>
      </c>
      <c r="F1658" s="14">
        <v>45916</v>
      </c>
      <c r="G1658" s="15">
        <v>130000000</v>
      </c>
      <c r="H1658" s="16">
        <v>48</v>
      </c>
      <c r="I1658" s="17">
        <v>21</v>
      </c>
      <c r="J1658" s="15">
        <v>35206000</v>
      </c>
      <c r="K1658" s="98">
        <f t="shared" si="75"/>
        <v>0</v>
      </c>
      <c r="L1658" s="98" t="str">
        <f t="shared" si="76"/>
        <v>Lancar</v>
      </c>
      <c r="M1658" s="5" t="str">
        <f t="shared" si="77"/>
        <v>005</v>
      </c>
      <c r="N1658" s="55" t="str">
        <f>VLOOKUP(D1658,Pinjaman!$E$7:$N$1900,10,FALSE)</f>
        <v>KONSUMTIF</v>
      </c>
      <c r="O1658" s="55">
        <f>VLOOKUP(B1658,'Data Angt'!$A$5:$H$5810,6,FALSE)</f>
        <v>32</v>
      </c>
      <c r="P1658" s="55" t="str">
        <f>VLOOKUP(B1658,'Data Angt'!$A$5:$H$5810,8,FALSE)</f>
        <v>Karyawan</v>
      </c>
    </row>
    <row r="1659" spans="1:16" x14ac:dyDescent="0.3">
      <c r="A1659" s="8">
        <v>1652</v>
      </c>
      <c r="B1659" s="9" t="s">
        <v>6205</v>
      </c>
      <c r="C1659" s="10" t="str">
        <f>VLOOKUP(B1659,'Data Angt'!$A$5:$B$5809,2,FALSE)</f>
        <v>A2748</v>
      </c>
      <c r="D1659" s="12" t="s">
        <v>17682</v>
      </c>
      <c r="E1659" s="13">
        <v>45442</v>
      </c>
      <c r="F1659" s="14">
        <v>45922</v>
      </c>
      <c r="G1659" s="15">
        <v>125000000</v>
      </c>
      <c r="H1659" s="16">
        <v>60</v>
      </c>
      <c r="I1659" s="17">
        <v>21</v>
      </c>
      <c r="J1659" s="15">
        <v>103169000</v>
      </c>
      <c r="K1659" s="98">
        <f t="shared" si="75"/>
        <v>0</v>
      </c>
      <c r="L1659" s="98" t="str">
        <f t="shared" si="76"/>
        <v>Lancar</v>
      </c>
      <c r="M1659" s="5" t="str">
        <f t="shared" si="77"/>
        <v>005</v>
      </c>
      <c r="N1659" s="55" t="str">
        <f>VLOOKUP(D1659,Pinjaman!$E$7:$N$1900,10,FALSE)</f>
        <v>KONSUMTIF</v>
      </c>
      <c r="O1659" s="55">
        <f>VLOOKUP(B1659,'Data Angt'!$A$5:$H$5810,6,FALSE)</f>
        <v>46</v>
      </c>
      <c r="P1659" s="55" t="str">
        <f>VLOOKUP(B1659,'Data Angt'!$A$5:$H$5810,8,FALSE)</f>
        <v>Aparatur/Pejabat Negara</v>
      </c>
    </row>
    <row r="1660" spans="1:16" x14ac:dyDescent="0.3">
      <c r="A1660" s="8">
        <v>1653</v>
      </c>
      <c r="B1660" s="9" t="s">
        <v>6283</v>
      </c>
      <c r="C1660" s="10" t="str">
        <f>VLOOKUP(B1660,'Data Angt'!$A$5:$B$5809,2,FALSE)</f>
        <v>A2782</v>
      </c>
      <c r="D1660" s="12" t="s">
        <v>23771</v>
      </c>
      <c r="E1660" s="13">
        <v>45929</v>
      </c>
      <c r="F1660" s="14">
        <v>45929</v>
      </c>
      <c r="G1660" s="15">
        <v>5000000</v>
      </c>
      <c r="H1660" s="16">
        <v>12</v>
      </c>
      <c r="I1660" s="17">
        <v>12</v>
      </c>
      <c r="J1660" s="15">
        <v>5000000</v>
      </c>
      <c r="K1660" s="98">
        <f t="shared" si="75"/>
        <v>0</v>
      </c>
      <c r="L1660" s="98" t="str">
        <f t="shared" si="76"/>
        <v>Lancar</v>
      </c>
      <c r="M1660" s="5" t="str">
        <f t="shared" si="77"/>
        <v>005</v>
      </c>
      <c r="N1660" s="55" t="str">
        <f>VLOOKUP(D1660,Pinjaman!$E$7:$N$1900,10,FALSE)</f>
        <v>KONSUMTIF</v>
      </c>
      <c r="O1660" s="55">
        <f>VLOOKUP(B1660,'Data Angt'!$A$5:$H$5810,6,FALSE)</f>
        <v>28</v>
      </c>
      <c r="P1660" s="55" t="str">
        <f>VLOOKUP(B1660,'Data Angt'!$A$5:$H$5810,8,FALSE)</f>
        <v>Karyawan</v>
      </c>
    </row>
    <row r="1661" spans="1:16" x14ac:dyDescent="0.3">
      <c r="A1661" s="8">
        <v>1654</v>
      </c>
      <c r="B1661" s="9" t="s">
        <v>6283</v>
      </c>
      <c r="C1661" s="10" t="str">
        <f>VLOOKUP(B1661,'Data Angt'!$A$5:$B$5809,2,FALSE)</f>
        <v>A2782</v>
      </c>
      <c r="D1661" s="12" t="s">
        <v>17685</v>
      </c>
      <c r="E1661" s="13">
        <v>45764</v>
      </c>
      <c r="F1661" s="14">
        <v>45901</v>
      </c>
      <c r="G1661" s="15">
        <v>5000000</v>
      </c>
      <c r="H1661" s="16">
        <v>12</v>
      </c>
      <c r="I1661" s="17">
        <v>11.88</v>
      </c>
      <c r="J1661" s="15">
        <v>2988200</v>
      </c>
      <c r="K1661" s="98">
        <f t="shared" si="75"/>
        <v>0</v>
      </c>
      <c r="L1661" s="98" t="str">
        <f t="shared" si="76"/>
        <v>Lancar</v>
      </c>
      <c r="M1661" s="5" t="str">
        <f t="shared" si="77"/>
        <v>005</v>
      </c>
      <c r="N1661" s="55" t="str">
        <f>VLOOKUP(D1661,Pinjaman!$E$7:$N$1900,10,FALSE)</f>
        <v>KONSUMTIF</v>
      </c>
      <c r="O1661" s="55">
        <f>VLOOKUP(B1661,'Data Angt'!$A$5:$H$5810,6,FALSE)</f>
        <v>28</v>
      </c>
      <c r="P1661" s="55" t="str">
        <f>VLOOKUP(B1661,'Data Angt'!$A$5:$H$5810,8,FALSE)</f>
        <v>Karyawan</v>
      </c>
    </row>
    <row r="1662" spans="1:16" x14ac:dyDescent="0.3">
      <c r="A1662" s="8">
        <v>1655</v>
      </c>
      <c r="B1662" s="9" t="s">
        <v>6290</v>
      </c>
      <c r="C1662" s="10" t="str">
        <f>VLOOKUP(B1662,'Data Angt'!$A$5:$B$5809,2,FALSE)</f>
        <v>A2785</v>
      </c>
      <c r="D1662" s="12" t="s">
        <v>17689</v>
      </c>
      <c r="E1662" s="13">
        <v>45723</v>
      </c>
      <c r="F1662" s="14">
        <v>45904</v>
      </c>
      <c r="G1662" s="15">
        <v>12000000</v>
      </c>
      <c r="H1662" s="16">
        <v>24</v>
      </c>
      <c r="I1662" s="17">
        <v>24</v>
      </c>
      <c r="J1662" s="15">
        <v>9000000</v>
      </c>
      <c r="K1662" s="98">
        <f t="shared" si="75"/>
        <v>0</v>
      </c>
      <c r="L1662" s="98" t="str">
        <f t="shared" si="76"/>
        <v>Lancar</v>
      </c>
      <c r="M1662" s="5" t="str">
        <f t="shared" si="77"/>
        <v>005</v>
      </c>
      <c r="N1662" s="55" t="str">
        <f>VLOOKUP(D1662,Pinjaman!$E$7:$N$1900,10,FALSE)</f>
        <v>PENDIDIKAN</v>
      </c>
      <c r="O1662" s="55">
        <f>VLOOKUP(B1662,'Data Angt'!$A$5:$H$5810,6,FALSE)</f>
        <v>50</v>
      </c>
      <c r="P1662" s="55" t="str">
        <f>VLOOKUP(B1662,'Data Angt'!$A$5:$H$5810,8,FALSE)</f>
        <v>Karyawan</v>
      </c>
    </row>
    <row r="1663" spans="1:16" x14ac:dyDescent="0.3">
      <c r="A1663" s="8">
        <v>1656</v>
      </c>
      <c r="B1663" s="9" t="s">
        <v>6290</v>
      </c>
      <c r="C1663" s="10" t="str">
        <f>VLOOKUP(B1663,'Data Angt'!$A$5:$B$5809,2,FALSE)</f>
        <v>A2785</v>
      </c>
      <c r="D1663" s="12" t="s">
        <v>17687</v>
      </c>
      <c r="E1663" s="13">
        <v>45811</v>
      </c>
      <c r="F1663" s="14">
        <v>45903</v>
      </c>
      <c r="G1663" s="15">
        <v>5000000</v>
      </c>
      <c r="H1663" s="16">
        <v>12</v>
      </c>
      <c r="I1663" s="17">
        <v>24</v>
      </c>
      <c r="J1663" s="15">
        <v>3859200</v>
      </c>
      <c r="K1663" s="98">
        <f t="shared" si="75"/>
        <v>0</v>
      </c>
      <c r="L1663" s="98" t="str">
        <f t="shared" si="76"/>
        <v>Lancar</v>
      </c>
      <c r="M1663" s="5" t="str">
        <f t="shared" si="77"/>
        <v>005</v>
      </c>
      <c r="N1663" s="55" t="str">
        <f>VLOOKUP(D1663,Pinjaman!$E$7:$N$1900,10,FALSE)</f>
        <v>PENDIDIKAN</v>
      </c>
      <c r="O1663" s="55">
        <f>VLOOKUP(B1663,'Data Angt'!$A$5:$H$5810,6,FALSE)</f>
        <v>50</v>
      </c>
      <c r="P1663" s="55" t="str">
        <f>VLOOKUP(B1663,'Data Angt'!$A$5:$H$5810,8,FALSE)</f>
        <v>Karyawan</v>
      </c>
    </row>
    <row r="1664" spans="1:16" x14ac:dyDescent="0.3">
      <c r="A1664" s="8">
        <v>1657</v>
      </c>
      <c r="B1664" s="9" t="s">
        <v>6457</v>
      </c>
      <c r="C1664" s="10" t="str">
        <f>VLOOKUP(B1664,'Data Angt'!$A$5:$B$5809,2,FALSE)</f>
        <v>A2863</v>
      </c>
      <c r="D1664" s="12" t="s">
        <v>17691</v>
      </c>
      <c r="E1664" s="13">
        <v>45531</v>
      </c>
      <c r="F1664" s="14">
        <v>45926</v>
      </c>
      <c r="G1664" s="15">
        <v>20000000</v>
      </c>
      <c r="H1664" s="16">
        <v>30</v>
      </c>
      <c r="I1664" s="17">
        <v>24</v>
      </c>
      <c r="J1664" s="15">
        <v>12787200</v>
      </c>
      <c r="K1664" s="98">
        <f t="shared" si="75"/>
        <v>0</v>
      </c>
      <c r="L1664" s="98" t="str">
        <f t="shared" si="76"/>
        <v>Lancar</v>
      </c>
      <c r="M1664" s="5" t="str">
        <f t="shared" si="77"/>
        <v>005</v>
      </c>
      <c r="N1664" s="55" t="str">
        <f>VLOOKUP(D1664,Pinjaman!$E$7:$N$1900,10,FALSE)</f>
        <v>KONSUMTIF</v>
      </c>
      <c r="O1664" s="55">
        <f>VLOOKUP(B1664,'Data Angt'!$A$5:$H$5810,6,FALSE)</f>
        <v>49</v>
      </c>
      <c r="P1664" s="55" t="str">
        <f>VLOOKUP(B1664,'Data Angt'!$A$5:$H$5810,8,FALSE)</f>
        <v>Mengurus Rumah Tangga</v>
      </c>
    </row>
    <row r="1665" spans="1:16" x14ac:dyDescent="0.3">
      <c r="A1665" s="8">
        <v>1658</v>
      </c>
      <c r="B1665" s="9" t="s">
        <v>6481</v>
      </c>
      <c r="C1665" s="10" t="str">
        <f>VLOOKUP(B1665,'Data Angt'!$A$5:$B$5809,2,FALSE)</f>
        <v>A2874</v>
      </c>
      <c r="D1665" s="12" t="s">
        <v>23775</v>
      </c>
      <c r="E1665" s="13">
        <v>45909</v>
      </c>
      <c r="F1665" s="14">
        <v>45909</v>
      </c>
      <c r="G1665" s="15">
        <v>5000000</v>
      </c>
      <c r="H1665" s="16">
        <v>36</v>
      </c>
      <c r="I1665" s="17">
        <v>24</v>
      </c>
      <c r="J1665" s="15">
        <v>5000000</v>
      </c>
      <c r="K1665" s="98">
        <f t="shared" si="75"/>
        <v>0</v>
      </c>
      <c r="L1665" s="98" t="str">
        <f t="shared" si="76"/>
        <v>Lancar</v>
      </c>
      <c r="M1665" s="5" t="str">
        <f t="shared" si="77"/>
        <v>005</v>
      </c>
      <c r="N1665" s="55" t="str">
        <f>VLOOKUP(D1665,Pinjaman!$E$7:$N$1900,10,FALSE)</f>
        <v>PRODUKTIF</v>
      </c>
      <c r="O1665" s="55">
        <f>VLOOKUP(B1665,'Data Angt'!$A$5:$H$5810,6,FALSE)</f>
        <v>62</v>
      </c>
      <c r="P1665" s="55" t="str">
        <f>VLOOKUP(B1665,'Data Angt'!$A$5:$H$5810,8,FALSE)</f>
        <v>Wiraswasta</v>
      </c>
    </row>
    <row r="1666" spans="1:16" x14ac:dyDescent="0.3">
      <c r="A1666" s="8">
        <v>1659</v>
      </c>
      <c r="B1666" s="9" t="s">
        <v>6610</v>
      </c>
      <c r="C1666" s="10" t="str">
        <f>VLOOKUP(B1666,'Data Angt'!$A$5:$B$5809,2,FALSE)</f>
        <v>A2936</v>
      </c>
      <c r="D1666" s="12" t="s">
        <v>10637</v>
      </c>
      <c r="E1666" s="13">
        <v>43687</v>
      </c>
      <c r="F1666" s="14">
        <v>44049</v>
      </c>
      <c r="G1666" s="15">
        <v>4000000</v>
      </c>
      <c r="H1666" s="16">
        <v>12</v>
      </c>
      <c r="I1666" s="17">
        <v>24</v>
      </c>
      <c r="J1666" s="15">
        <v>2770700</v>
      </c>
      <c r="K1666" s="98">
        <f t="shared" si="75"/>
        <v>61</v>
      </c>
      <c r="L1666" s="98" t="str">
        <f t="shared" si="76"/>
        <v>Macet</v>
      </c>
      <c r="M1666" s="5" t="str">
        <f t="shared" si="77"/>
        <v>005</v>
      </c>
      <c r="N1666" s="55" t="str">
        <f>VLOOKUP(D1666,Pinjaman!$E$7:$N$1900,10,FALSE)</f>
        <v>PRODUKTIF</v>
      </c>
      <c r="O1666" s="55">
        <f>VLOOKUP(B1666,'Data Angt'!$A$5:$H$5810,6,FALSE)</f>
        <v>41</v>
      </c>
      <c r="P1666" s="55" t="str">
        <f>VLOOKUP(B1666,'Data Angt'!$A$5:$H$5810,8,FALSE)</f>
        <v>Mengurus Rumah Tangga</v>
      </c>
    </row>
    <row r="1667" spans="1:16" x14ac:dyDescent="0.3">
      <c r="A1667" s="8">
        <v>1660</v>
      </c>
      <c r="B1667" s="9" t="s">
        <v>6871</v>
      </c>
      <c r="C1667" s="10" t="str">
        <f>VLOOKUP(B1667,'Data Angt'!$A$5:$B$5809,2,FALSE)</f>
        <v>A3065</v>
      </c>
      <c r="D1667" s="12" t="s">
        <v>23779</v>
      </c>
      <c r="E1667" s="13">
        <v>45918</v>
      </c>
      <c r="F1667" s="14">
        <v>45918</v>
      </c>
      <c r="G1667" s="15">
        <v>5000000</v>
      </c>
      <c r="H1667" s="16">
        <v>12</v>
      </c>
      <c r="I1667" s="17">
        <v>24</v>
      </c>
      <c r="J1667" s="15">
        <v>5000000</v>
      </c>
      <c r="K1667" s="98">
        <f t="shared" si="75"/>
        <v>0</v>
      </c>
      <c r="L1667" s="98" t="str">
        <f t="shared" si="76"/>
        <v>Lancar</v>
      </c>
      <c r="M1667" s="5" t="str">
        <f t="shared" si="77"/>
        <v>005</v>
      </c>
      <c r="N1667" s="55" t="str">
        <f>VLOOKUP(D1667,Pinjaman!$E$7:$N$1900,10,FALSE)</f>
        <v>PRODUKTIF</v>
      </c>
      <c r="O1667" s="55">
        <f>VLOOKUP(B1667,'Data Angt'!$A$5:$H$5810,6,FALSE)</f>
        <v>54</v>
      </c>
      <c r="P1667" s="55" t="str">
        <f>VLOOKUP(B1667,'Data Angt'!$A$5:$H$5810,8,FALSE)</f>
        <v>Karyawan</v>
      </c>
    </row>
    <row r="1668" spans="1:16" x14ac:dyDescent="0.3">
      <c r="A1668" s="8">
        <v>1661</v>
      </c>
      <c r="B1668" s="9" t="s">
        <v>6871</v>
      </c>
      <c r="C1668" s="10" t="str">
        <f>VLOOKUP(B1668,'Data Angt'!$A$5:$B$5809,2,FALSE)</f>
        <v>A3065</v>
      </c>
      <c r="D1668" s="12" t="s">
        <v>17693</v>
      </c>
      <c r="E1668" s="13">
        <v>45674</v>
      </c>
      <c r="F1668" s="14">
        <v>45911</v>
      </c>
      <c r="G1668" s="15">
        <v>80000000</v>
      </c>
      <c r="H1668" s="16">
        <v>48</v>
      </c>
      <c r="I1668" s="17">
        <v>21</v>
      </c>
      <c r="J1668" s="15">
        <v>70835200</v>
      </c>
      <c r="K1668" s="98">
        <f t="shared" si="75"/>
        <v>0</v>
      </c>
      <c r="L1668" s="98" t="str">
        <f t="shared" si="76"/>
        <v>Lancar</v>
      </c>
      <c r="M1668" s="5" t="str">
        <f t="shared" si="77"/>
        <v>005</v>
      </c>
      <c r="N1668" s="55" t="str">
        <f>VLOOKUP(D1668,Pinjaman!$E$7:$N$1900,10,FALSE)</f>
        <v>KONSUMTIF</v>
      </c>
      <c r="O1668" s="55">
        <f>VLOOKUP(B1668,'Data Angt'!$A$5:$H$5810,6,FALSE)</f>
        <v>54</v>
      </c>
      <c r="P1668" s="55" t="str">
        <f>VLOOKUP(B1668,'Data Angt'!$A$5:$H$5810,8,FALSE)</f>
        <v>Karyawan</v>
      </c>
    </row>
    <row r="1669" spans="1:16" x14ac:dyDescent="0.3">
      <c r="A1669" s="8">
        <v>1662</v>
      </c>
      <c r="B1669" s="9" t="s">
        <v>6936</v>
      </c>
      <c r="C1669" s="10" t="str">
        <f>VLOOKUP(B1669,'Data Angt'!$A$5:$B$5809,2,FALSE)</f>
        <v>A3101</v>
      </c>
      <c r="D1669" s="12" t="s">
        <v>17695</v>
      </c>
      <c r="E1669" s="13">
        <v>45320</v>
      </c>
      <c r="F1669" s="14">
        <v>45913</v>
      </c>
      <c r="G1669" s="15">
        <v>35000000</v>
      </c>
      <c r="H1669" s="16">
        <v>24</v>
      </c>
      <c r="I1669" s="17">
        <v>21</v>
      </c>
      <c r="J1669" s="15">
        <v>6891000</v>
      </c>
      <c r="K1669" s="98">
        <f t="shared" si="75"/>
        <v>0</v>
      </c>
      <c r="L1669" s="98" t="str">
        <f t="shared" si="76"/>
        <v>Lancar</v>
      </c>
      <c r="M1669" s="5" t="str">
        <f t="shared" si="77"/>
        <v>005</v>
      </c>
      <c r="N1669" s="55" t="str">
        <f>VLOOKUP(D1669,Pinjaman!$E$7:$N$1900,10,FALSE)</f>
        <v>KONSUMTIF</v>
      </c>
      <c r="O1669" s="55">
        <f>VLOOKUP(B1669,'Data Angt'!$A$5:$H$5810,6,FALSE)</f>
        <v>49</v>
      </c>
      <c r="P1669" s="55" t="str">
        <f>VLOOKUP(B1669,'Data Angt'!$A$5:$H$5810,8,FALSE)</f>
        <v>Karyawan</v>
      </c>
    </row>
    <row r="1670" spans="1:16" x14ac:dyDescent="0.3">
      <c r="A1670" s="8">
        <v>1663</v>
      </c>
      <c r="B1670" s="9" t="s">
        <v>6992</v>
      </c>
      <c r="C1670" s="10" t="str">
        <f>VLOOKUP(B1670,'Data Angt'!$A$5:$B$5809,2,FALSE)</f>
        <v>A3129</v>
      </c>
      <c r="D1670" s="12" t="s">
        <v>10640</v>
      </c>
      <c r="E1670" s="13">
        <v>43882</v>
      </c>
      <c r="F1670" s="14">
        <v>44447</v>
      </c>
      <c r="G1670" s="15">
        <v>8000000</v>
      </c>
      <c r="H1670" s="16">
        <v>24</v>
      </c>
      <c r="I1670" s="17">
        <v>24</v>
      </c>
      <c r="J1670" s="15">
        <v>7468800</v>
      </c>
      <c r="K1670" s="98">
        <f t="shared" si="75"/>
        <v>48</v>
      </c>
      <c r="L1670" s="98" t="str">
        <f t="shared" si="76"/>
        <v>Macet</v>
      </c>
      <c r="M1670" s="5" t="str">
        <f t="shared" si="77"/>
        <v>005</v>
      </c>
      <c r="N1670" s="55" t="str">
        <f>VLOOKUP(D1670,Pinjaman!$E$7:$N$1900,10,FALSE)</f>
        <v>KESEJAHTERAAN</v>
      </c>
      <c r="O1670" s="55">
        <f>VLOOKUP(B1670,'Data Angt'!$A$5:$H$5810,6,FALSE)</f>
        <v>30</v>
      </c>
      <c r="P1670" s="55" t="str">
        <f>VLOOKUP(B1670,'Data Angt'!$A$5:$H$5810,8,FALSE)</f>
        <v>Karyawan</v>
      </c>
    </row>
    <row r="1671" spans="1:16" x14ac:dyDescent="0.3">
      <c r="A1671" s="8">
        <v>1664</v>
      </c>
      <c r="B1671" s="9" t="s">
        <v>7784</v>
      </c>
      <c r="C1671" s="10" t="str">
        <f>VLOOKUP(B1671,'Data Angt'!$A$5:$B$5809,2,FALSE)</f>
        <v>A3495</v>
      </c>
      <c r="D1671" s="12" t="s">
        <v>23784</v>
      </c>
      <c r="E1671" s="13">
        <v>45850</v>
      </c>
      <c r="F1671" s="14">
        <v>45913</v>
      </c>
      <c r="G1671" s="15">
        <v>3000000</v>
      </c>
      <c r="H1671" s="16">
        <v>12</v>
      </c>
      <c r="I1671" s="17">
        <v>11.88</v>
      </c>
      <c r="J1671" s="15">
        <v>2524300</v>
      </c>
      <c r="K1671" s="98">
        <f t="shared" si="75"/>
        <v>0</v>
      </c>
      <c r="L1671" s="98" t="str">
        <f t="shared" si="76"/>
        <v>Lancar</v>
      </c>
      <c r="M1671" s="5" t="str">
        <f t="shared" si="77"/>
        <v>005</v>
      </c>
      <c r="N1671" s="55" t="str">
        <f>VLOOKUP(D1671,Pinjaman!$E$7:$N$1900,10,FALSE)</f>
        <v>PENDIDIKAN</v>
      </c>
      <c r="O1671" s="55">
        <f>VLOOKUP(B1671,'Data Angt'!$A$5:$H$5810,6,FALSE)</f>
        <v>48</v>
      </c>
      <c r="P1671" s="55" t="str">
        <f>VLOOKUP(B1671,'Data Angt'!$A$5:$H$5810,8,FALSE)</f>
        <v>Wiraswasta</v>
      </c>
    </row>
    <row r="1672" spans="1:16" x14ac:dyDescent="0.3">
      <c r="A1672" s="8">
        <v>1665</v>
      </c>
      <c r="B1672" s="9" t="s">
        <v>7784</v>
      </c>
      <c r="C1672" s="10" t="str">
        <f>VLOOKUP(B1672,'Data Angt'!$A$5:$B$5809,2,FALSE)</f>
        <v>A3495</v>
      </c>
      <c r="D1672" s="12" t="s">
        <v>17698</v>
      </c>
      <c r="E1672" s="13">
        <v>45672</v>
      </c>
      <c r="F1672" s="14">
        <v>45918</v>
      </c>
      <c r="G1672" s="15">
        <v>27000000</v>
      </c>
      <c r="H1672" s="16">
        <v>48</v>
      </c>
      <c r="I1672" s="17">
        <v>21</v>
      </c>
      <c r="J1672" s="15">
        <v>23907000</v>
      </c>
      <c r="K1672" s="98">
        <f t="shared" si="75"/>
        <v>0</v>
      </c>
      <c r="L1672" s="98" t="str">
        <f t="shared" si="76"/>
        <v>Lancar</v>
      </c>
      <c r="M1672" s="5" t="str">
        <f t="shared" si="77"/>
        <v>005</v>
      </c>
      <c r="N1672" s="55" t="str">
        <f>VLOOKUP(D1672,Pinjaman!$E$7:$N$1900,10,FALSE)</f>
        <v>PENDIDIKAN</v>
      </c>
      <c r="O1672" s="55">
        <f>VLOOKUP(B1672,'Data Angt'!$A$5:$H$5810,6,FALSE)</f>
        <v>48</v>
      </c>
      <c r="P1672" s="55" t="str">
        <f>VLOOKUP(B1672,'Data Angt'!$A$5:$H$5810,8,FALSE)</f>
        <v>Wiraswasta</v>
      </c>
    </row>
    <row r="1673" spans="1:16" x14ac:dyDescent="0.3">
      <c r="A1673" s="8">
        <v>1666</v>
      </c>
      <c r="B1673" s="9" t="s">
        <v>7959</v>
      </c>
      <c r="C1673" s="10" t="str">
        <f>VLOOKUP(B1673,'Data Angt'!$A$5:$B$5809,2,FALSE)</f>
        <v>A3587</v>
      </c>
      <c r="D1673" s="12" t="s">
        <v>17700</v>
      </c>
      <c r="E1673" s="13">
        <v>45603</v>
      </c>
      <c r="F1673" s="14">
        <v>45909</v>
      </c>
      <c r="G1673" s="15">
        <v>2000000</v>
      </c>
      <c r="H1673" s="16">
        <v>24</v>
      </c>
      <c r="I1673" s="17">
        <v>24</v>
      </c>
      <c r="J1673" s="15">
        <v>1280000</v>
      </c>
      <c r="K1673" s="98">
        <f t="shared" ref="K1673:K1736" si="78">DATEDIF(F1673,$K$6,"m")</f>
        <v>0</v>
      </c>
      <c r="L1673" s="98" t="str">
        <f t="shared" ref="L1673:L1736" si="79">IF(K1673&lt;=3,"Lancar",IF(K1673&lt;=6,"Kurang lancar",IF(K1673&lt;=12,"Diragukan","Macet")))</f>
        <v>Lancar</v>
      </c>
      <c r="M1673" s="5" t="str">
        <f t="shared" ref="M1673:M1736" si="80">MID(B1673,7,3)</f>
        <v>005</v>
      </c>
      <c r="N1673" s="55" t="str">
        <f>VLOOKUP(D1673,Pinjaman!$E$7:$N$1900,10,FALSE)</f>
        <v>PRODUKTIF</v>
      </c>
      <c r="O1673" s="55">
        <f>VLOOKUP(B1673,'Data Angt'!$A$5:$H$5810,6,FALSE)</f>
        <v>40</v>
      </c>
      <c r="P1673" s="55" t="str">
        <f>VLOOKUP(B1673,'Data Angt'!$A$5:$H$5810,8,FALSE)</f>
        <v>Wiraswasta</v>
      </c>
    </row>
    <row r="1674" spans="1:16" x14ac:dyDescent="0.3">
      <c r="A1674" s="8">
        <v>1667</v>
      </c>
      <c r="B1674" s="9" t="s">
        <v>8256</v>
      </c>
      <c r="C1674" s="10" t="str">
        <f>VLOOKUP(B1674,'Data Angt'!$A$5:$B$5809,2,FALSE)</f>
        <v>A3740</v>
      </c>
      <c r="D1674" s="12" t="s">
        <v>17703</v>
      </c>
      <c r="E1674" s="13">
        <v>45714</v>
      </c>
      <c r="F1674" s="14">
        <v>45924</v>
      </c>
      <c r="G1674" s="15">
        <v>3000000</v>
      </c>
      <c r="H1674" s="16">
        <v>12</v>
      </c>
      <c r="I1674" s="17">
        <v>24</v>
      </c>
      <c r="J1674" s="15">
        <v>1337300</v>
      </c>
      <c r="K1674" s="98">
        <f t="shared" si="78"/>
        <v>0</v>
      </c>
      <c r="L1674" s="98" t="str">
        <f t="shared" si="79"/>
        <v>Lancar</v>
      </c>
      <c r="M1674" s="5" t="str">
        <f t="shared" si="80"/>
        <v>005</v>
      </c>
      <c r="N1674" s="55" t="str">
        <f>VLOOKUP(D1674,Pinjaman!$E$7:$N$1900,10,FALSE)</f>
        <v>PRODUKTIF</v>
      </c>
      <c r="O1674" s="55">
        <f>VLOOKUP(B1674,'Data Angt'!$A$5:$H$5810,6,FALSE)</f>
        <v>43</v>
      </c>
      <c r="P1674" s="55" t="str">
        <f>VLOOKUP(B1674,'Data Angt'!$A$5:$H$5810,8,FALSE)</f>
        <v>Karyawan</v>
      </c>
    </row>
    <row r="1675" spans="1:16" x14ac:dyDescent="0.3">
      <c r="A1675" s="8">
        <v>1668</v>
      </c>
      <c r="B1675" s="9" t="s">
        <v>8450</v>
      </c>
      <c r="C1675" s="10" t="str">
        <f>VLOOKUP(B1675,'Data Angt'!$A$5:$B$5809,2,FALSE)</f>
        <v>A3832</v>
      </c>
      <c r="D1675" s="12" t="s">
        <v>23788</v>
      </c>
      <c r="E1675" s="13">
        <v>45867</v>
      </c>
      <c r="F1675" s="14">
        <v>45925</v>
      </c>
      <c r="G1675" s="15">
        <v>3000000</v>
      </c>
      <c r="H1675" s="16">
        <v>12</v>
      </c>
      <c r="I1675" s="17">
        <v>24</v>
      </c>
      <c r="J1675" s="15">
        <v>2548200</v>
      </c>
      <c r="K1675" s="98">
        <f t="shared" si="78"/>
        <v>0</v>
      </c>
      <c r="L1675" s="98" t="str">
        <f t="shared" si="79"/>
        <v>Lancar</v>
      </c>
      <c r="M1675" s="5" t="str">
        <f t="shared" si="80"/>
        <v>005</v>
      </c>
      <c r="N1675" s="55" t="str">
        <f>VLOOKUP(D1675,Pinjaman!$E$7:$N$1900,10,FALSE)</f>
        <v>KONSUMTIF</v>
      </c>
      <c r="O1675" s="55">
        <f>VLOOKUP(B1675,'Data Angt'!$A$5:$H$5810,6,FALSE)</f>
        <v>29</v>
      </c>
      <c r="P1675" s="55" t="str">
        <f>VLOOKUP(B1675,'Data Angt'!$A$5:$H$5810,8,FALSE)</f>
        <v>Tenaga Pengajar</v>
      </c>
    </row>
    <row r="1676" spans="1:16" x14ac:dyDescent="0.3">
      <c r="A1676" s="8">
        <v>1669</v>
      </c>
      <c r="B1676" s="9" t="s">
        <v>9346</v>
      </c>
      <c r="C1676" s="10" t="str">
        <f>VLOOKUP(B1676,'Data Angt'!$A$5:$B$5809,2,FALSE)</f>
        <v>A4250</v>
      </c>
      <c r="D1676" s="12" t="s">
        <v>17705</v>
      </c>
      <c r="E1676" s="13">
        <v>45600</v>
      </c>
      <c r="F1676" s="14">
        <v>45909</v>
      </c>
      <c r="G1676" s="15">
        <v>5000000</v>
      </c>
      <c r="H1676" s="16">
        <v>24</v>
      </c>
      <c r="I1676" s="17">
        <v>24</v>
      </c>
      <c r="J1676" s="15">
        <v>3200300</v>
      </c>
      <c r="K1676" s="98">
        <f t="shared" si="78"/>
        <v>0</v>
      </c>
      <c r="L1676" s="98" t="str">
        <f t="shared" si="79"/>
        <v>Lancar</v>
      </c>
      <c r="M1676" s="5" t="str">
        <f t="shared" si="80"/>
        <v>005</v>
      </c>
      <c r="N1676" s="55" t="str">
        <f>VLOOKUP(D1676,Pinjaman!$E$7:$N$1900,10,FALSE)</f>
        <v>KONSUMTIF</v>
      </c>
      <c r="O1676" s="55">
        <f>VLOOKUP(B1676,'Data Angt'!$A$5:$H$5810,6,FALSE)</f>
        <v>54</v>
      </c>
      <c r="P1676" s="55" t="str">
        <f>VLOOKUP(B1676,'Data Angt'!$A$5:$H$5810,8,FALSE)</f>
        <v>Tenaga Pengajar</v>
      </c>
    </row>
    <row r="1677" spans="1:16" x14ac:dyDescent="0.3">
      <c r="A1677" s="8">
        <v>1670</v>
      </c>
      <c r="B1677" s="9" t="s">
        <v>9584</v>
      </c>
      <c r="C1677" s="10" t="str">
        <f>VLOOKUP(B1677,'Data Angt'!$A$5:$B$5809,2,FALSE)</f>
        <v>A4355</v>
      </c>
      <c r="D1677" s="12" t="s">
        <v>17708</v>
      </c>
      <c r="E1677" s="13">
        <v>45672</v>
      </c>
      <c r="F1677" s="14">
        <v>45925</v>
      </c>
      <c r="G1677" s="15">
        <v>20000000</v>
      </c>
      <c r="H1677" s="16">
        <v>24</v>
      </c>
      <c r="I1677" s="17">
        <v>24</v>
      </c>
      <c r="J1677" s="15">
        <v>14357100</v>
      </c>
      <c r="K1677" s="98">
        <f t="shared" si="78"/>
        <v>0</v>
      </c>
      <c r="L1677" s="98" t="str">
        <f t="shared" si="79"/>
        <v>Lancar</v>
      </c>
      <c r="M1677" s="5" t="str">
        <f t="shared" si="80"/>
        <v>005</v>
      </c>
      <c r="N1677" s="55" t="str">
        <f>VLOOKUP(D1677,Pinjaman!$E$7:$N$1900,10,FALSE)</f>
        <v>KONSUMTIF</v>
      </c>
      <c r="O1677" s="55">
        <f>VLOOKUP(B1677,'Data Angt'!$A$5:$H$5810,6,FALSE)</f>
        <v>28</v>
      </c>
      <c r="P1677" s="55" t="str">
        <f>VLOOKUP(B1677,'Data Angt'!$A$5:$H$5810,8,FALSE)</f>
        <v>Lain-Lain</v>
      </c>
    </row>
    <row r="1678" spans="1:16" x14ac:dyDescent="0.3">
      <c r="A1678" s="8">
        <v>1671</v>
      </c>
      <c r="B1678" s="9" t="s">
        <v>12612</v>
      </c>
      <c r="C1678" s="10" t="str">
        <f>VLOOKUP(B1678,'Data Angt'!$A$5:$B$5809,2,FALSE)</f>
        <v>A4360</v>
      </c>
      <c r="D1678" s="12" t="s">
        <v>17710</v>
      </c>
      <c r="E1678" s="13">
        <v>45785</v>
      </c>
      <c r="F1678" s="14">
        <v>45908</v>
      </c>
      <c r="G1678" s="15">
        <v>2000000</v>
      </c>
      <c r="H1678" s="16">
        <v>8</v>
      </c>
      <c r="I1678" s="17">
        <v>24</v>
      </c>
      <c r="J1678" s="15">
        <v>1000000</v>
      </c>
      <c r="K1678" s="98">
        <f t="shared" si="78"/>
        <v>0</v>
      </c>
      <c r="L1678" s="98" t="str">
        <f t="shared" si="79"/>
        <v>Lancar</v>
      </c>
      <c r="M1678" s="5" t="str">
        <f t="shared" si="80"/>
        <v>005</v>
      </c>
      <c r="N1678" s="55" t="str">
        <f>VLOOKUP(D1678,Pinjaman!$E$7:$N$1900,10,FALSE)</f>
        <v>KONSUMTIF</v>
      </c>
      <c r="O1678" s="55">
        <f>VLOOKUP(B1678,'Data Angt'!$A$5:$H$5810,6,FALSE)</f>
        <v>28</v>
      </c>
      <c r="P1678" s="55" t="str">
        <f>VLOOKUP(B1678,'Data Angt'!$A$5:$H$5810,8,FALSE)</f>
        <v>Karyawan</v>
      </c>
    </row>
    <row r="1679" spans="1:16" x14ac:dyDescent="0.3">
      <c r="A1679" s="8">
        <v>1672</v>
      </c>
      <c r="B1679" s="9" t="s">
        <v>12803</v>
      </c>
      <c r="C1679" s="10" t="str">
        <f>VLOOKUP(B1679,'Data Angt'!$A$5:$B$5809,2,FALSE)</f>
        <v>A4443</v>
      </c>
      <c r="D1679" s="12" t="s">
        <v>17712</v>
      </c>
      <c r="E1679" s="13">
        <v>45688</v>
      </c>
      <c r="F1679" s="14">
        <v>45808</v>
      </c>
      <c r="G1679" s="15">
        <v>10000000</v>
      </c>
      <c r="H1679" s="16">
        <v>12</v>
      </c>
      <c r="I1679" s="17">
        <v>24</v>
      </c>
      <c r="J1679" s="15">
        <v>6666400</v>
      </c>
      <c r="K1679" s="98">
        <f t="shared" si="78"/>
        <v>3</v>
      </c>
      <c r="L1679" s="98" t="str">
        <f t="shared" si="79"/>
        <v>Lancar</v>
      </c>
      <c r="M1679" s="5" t="str">
        <f t="shared" si="80"/>
        <v>005</v>
      </c>
      <c r="N1679" s="55" t="str">
        <f>VLOOKUP(D1679,Pinjaman!$E$7:$N$1900,10,FALSE)</f>
        <v>PRODUKTIF</v>
      </c>
      <c r="O1679" s="55">
        <f>VLOOKUP(B1679,'Data Angt'!$A$5:$H$5810,6,FALSE)</f>
        <v>33</v>
      </c>
      <c r="P1679" s="55" t="str">
        <f>VLOOKUP(B1679,'Data Angt'!$A$5:$H$5810,8,FALSE)</f>
        <v>Wiraswasta</v>
      </c>
    </row>
    <row r="1680" spans="1:16" x14ac:dyDescent="0.3">
      <c r="A1680" s="8">
        <v>1673</v>
      </c>
      <c r="B1680" s="9" t="s">
        <v>12852</v>
      </c>
      <c r="C1680" s="10" t="str">
        <f>VLOOKUP(B1680,'Data Angt'!$A$5:$B$5809,2,FALSE)</f>
        <v>A4465</v>
      </c>
      <c r="D1680" s="12" t="s">
        <v>23794</v>
      </c>
      <c r="E1680" s="13">
        <v>45852</v>
      </c>
      <c r="F1680" s="14">
        <v>45883</v>
      </c>
      <c r="G1680" s="15">
        <v>4000000</v>
      </c>
      <c r="H1680" s="16">
        <v>12</v>
      </c>
      <c r="I1680" s="17">
        <v>24</v>
      </c>
      <c r="J1680" s="15">
        <v>3701700</v>
      </c>
      <c r="K1680" s="98">
        <f t="shared" si="78"/>
        <v>1</v>
      </c>
      <c r="L1680" s="98" t="str">
        <f t="shared" si="79"/>
        <v>Lancar</v>
      </c>
      <c r="M1680" s="5" t="str">
        <f t="shared" si="80"/>
        <v>005</v>
      </c>
      <c r="N1680" s="55" t="str">
        <f>VLOOKUP(D1680,Pinjaman!$E$7:$N$1900,10,FALSE)</f>
        <v>PRODUKTIF</v>
      </c>
      <c r="O1680" s="55">
        <f>VLOOKUP(B1680,'Data Angt'!$A$5:$H$5810,6,FALSE)</f>
        <v>58</v>
      </c>
      <c r="P1680" s="55" t="str">
        <f>VLOOKUP(B1680,'Data Angt'!$A$5:$H$5810,8,FALSE)</f>
        <v>Wiraswasta</v>
      </c>
    </row>
    <row r="1681" spans="1:16" x14ac:dyDescent="0.3">
      <c r="A1681" s="8">
        <v>1674</v>
      </c>
      <c r="B1681" s="9" t="s">
        <v>12946</v>
      </c>
      <c r="C1681" s="10" t="str">
        <f>VLOOKUP(B1681,'Data Angt'!$A$5:$B$5809,2,FALSE)</f>
        <v>A4509</v>
      </c>
      <c r="D1681" s="12" t="s">
        <v>17715</v>
      </c>
      <c r="E1681" s="13">
        <v>45617</v>
      </c>
      <c r="F1681" s="14">
        <v>45930</v>
      </c>
      <c r="G1681" s="15">
        <v>150000000</v>
      </c>
      <c r="H1681" s="16">
        <v>60</v>
      </c>
      <c r="I1681" s="17">
        <v>11.4</v>
      </c>
      <c r="J1681" s="15">
        <v>130518000</v>
      </c>
      <c r="K1681" s="98">
        <f t="shared" si="78"/>
        <v>0</v>
      </c>
      <c r="L1681" s="98" t="str">
        <f t="shared" si="79"/>
        <v>Lancar</v>
      </c>
      <c r="M1681" s="5" t="str">
        <f t="shared" si="80"/>
        <v>005</v>
      </c>
      <c r="N1681" s="55" t="str">
        <f>VLOOKUP(D1681,Pinjaman!$E$7:$N$1900,10,FALSE)</f>
        <v>KESEJAHTERAAN</v>
      </c>
      <c r="O1681" s="55">
        <f>VLOOKUP(B1681,'Data Angt'!$A$5:$H$5810,6,FALSE)</f>
        <v>35</v>
      </c>
      <c r="P1681" s="55" t="str">
        <f>VLOOKUP(B1681,'Data Angt'!$A$5:$H$5810,8,FALSE)</f>
        <v>Wiraswasta</v>
      </c>
    </row>
    <row r="1682" spans="1:16" x14ac:dyDescent="0.3">
      <c r="A1682" s="8">
        <v>1675</v>
      </c>
      <c r="B1682" s="9" t="s">
        <v>13080</v>
      </c>
      <c r="C1682" s="10" t="str">
        <f>VLOOKUP(B1682,'Data Angt'!$A$5:$B$5809,2,FALSE)</f>
        <v>A4575</v>
      </c>
      <c r="D1682" s="12" t="s">
        <v>17717</v>
      </c>
      <c r="E1682" s="13">
        <v>45604</v>
      </c>
      <c r="F1682" s="14">
        <v>45908</v>
      </c>
      <c r="G1682" s="15">
        <v>2000000</v>
      </c>
      <c r="H1682" s="16">
        <v>12</v>
      </c>
      <c r="I1682" s="17">
        <v>24</v>
      </c>
      <c r="J1682" s="15">
        <v>333000</v>
      </c>
      <c r="K1682" s="98">
        <f t="shared" si="78"/>
        <v>0</v>
      </c>
      <c r="L1682" s="98" t="str">
        <f t="shared" si="79"/>
        <v>Lancar</v>
      </c>
      <c r="M1682" s="5" t="str">
        <f t="shared" si="80"/>
        <v>005</v>
      </c>
      <c r="N1682" s="55" t="str">
        <f>VLOOKUP(D1682,Pinjaman!$E$7:$N$1900,10,FALSE)</f>
        <v>PENDIDIKAN</v>
      </c>
      <c r="O1682" s="55">
        <f>VLOOKUP(B1682,'Data Angt'!$A$5:$H$5810,6,FALSE)</f>
        <v>28</v>
      </c>
      <c r="P1682" s="55" t="str">
        <f>VLOOKUP(B1682,'Data Angt'!$A$5:$H$5810,8,FALSE)</f>
        <v>Karyawan</v>
      </c>
    </row>
    <row r="1683" spans="1:16" x14ac:dyDescent="0.3">
      <c r="A1683" s="8">
        <v>1676</v>
      </c>
      <c r="B1683" s="9" t="s">
        <v>13222</v>
      </c>
      <c r="C1683" s="10" t="str">
        <f>VLOOKUP(B1683,'Data Angt'!$A$5:$B$5809,2,FALSE)</f>
        <v>A4635</v>
      </c>
      <c r="D1683" s="12" t="s">
        <v>17720</v>
      </c>
      <c r="E1683" s="13">
        <v>45811</v>
      </c>
      <c r="F1683" s="14">
        <v>45903</v>
      </c>
      <c r="G1683" s="15">
        <v>1000000</v>
      </c>
      <c r="H1683" s="16">
        <v>5</v>
      </c>
      <c r="I1683" s="17">
        <v>24</v>
      </c>
      <c r="J1683" s="15">
        <v>411900</v>
      </c>
      <c r="K1683" s="98">
        <f t="shared" si="78"/>
        <v>0</v>
      </c>
      <c r="L1683" s="98" t="str">
        <f t="shared" si="79"/>
        <v>Lancar</v>
      </c>
      <c r="M1683" s="5" t="str">
        <f t="shared" si="80"/>
        <v>005</v>
      </c>
      <c r="N1683" s="55" t="str">
        <f>VLOOKUP(D1683,Pinjaman!$E$7:$N$1900,10,FALSE)</f>
        <v>PRODUKTIF</v>
      </c>
      <c r="O1683" s="55">
        <f>VLOOKUP(B1683,'Data Angt'!$A$5:$H$5810,6,FALSE)</f>
        <v>51</v>
      </c>
      <c r="P1683" s="55" t="str">
        <f>VLOOKUP(B1683,'Data Angt'!$A$5:$H$5810,8,FALSE)</f>
        <v>Wiraswasta</v>
      </c>
    </row>
    <row r="1684" spans="1:16" x14ac:dyDescent="0.3">
      <c r="A1684" s="8">
        <v>1677</v>
      </c>
      <c r="B1684" s="9" t="s">
        <v>13224</v>
      </c>
      <c r="C1684" s="10" t="str">
        <f>VLOOKUP(B1684,'Data Angt'!$A$5:$B$5809,2,FALSE)</f>
        <v>A4636</v>
      </c>
      <c r="D1684" s="12" t="s">
        <v>23799</v>
      </c>
      <c r="E1684" s="13">
        <v>45874</v>
      </c>
      <c r="F1684" s="14">
        <v>45908</v>
      </c>
      <c r="G1684" s="15">
        <v>20000000</v>
      </c>
      <c r="H1684" s="16">
        <v>8</v>
      </c>
      <c r="I1684" s="17">
        <v>24</v>
      </c>
      <c r="J1684" s="15">
        <v>17669800</v>
      </c>
      <c r="K1684" s="98">
        <f t="shared" si="78"/>
        <v>0</v>
      </c>
      <c r="L1684" s="98" t="str">
        <f t="shared" si="79"/>
        <v>Lancar</v>
      </c>
      <c r="M1684" s="5" t="str">
        <f t="shared" si="80"/>
        <v>005</v>
      </c>
      <c r="N1684" s="55" t="str">
        <f>VLOOKUP(D1684,Pinjaman!$E$7:$N$1900,10,FALSE)</f>
        <v>PRODUKTIF</v>
      </c>
      <c r="O1684" s="55">
        <f>VLOOKUP(B1684,'Data Angt'!$A$5:$H$5810,6,FALSE)</f>
        <v>54</v>
      </c>
      <c r="P1684" s="55" t="str">
        <f>VLOOKUP(B1684,'Data Angt'!$A$5:$H$5810,8,FALSE)</f>
        <v>Wiraswasta</v>
      </c>
    </row>
    <row r="1685" spans="1:16" x14ac:dyDescent="0.3">
      <c r="A1685" s="8">
        <v>1678</v>
      </c>
      <c r="B1685" s="9" t="s">
        <v>13627</v>
      </c>
      <c r="C1685" s="10" t="str">
        <f>VLOOKUP(B1685,'Data Angt'!$A$5:$B$5809,2,FALSE)</f>
        <v>A4874</v>
      </c>
      <c r="D1685" s="12" t="s">
        <v>23802</v>
      </c>
      <c r="E1685" s="13">
        <v>45855</v>
      </c>
      <c r="F1685" s="14">
        <v>45917</v>
      </c>
      <c r="G1685" s="15">
        <v>1000000</v>
      </c>
      <c r="H1685" s="16">
        <v>5</v>
      </c>
      <c r="I1685" s="17">
        <v>24</v>
      </c>
      <c r="J1685" s="15">
        <v>611800</v>
      </c>
      <c r="K1685" s="98">
        <f t="shared" si="78"/>
        <v>0</v>
      </c>
      <c r="L1685" s="98" t="str">
        <f t="shared" si="79"/>
        <v>Lancar</v>
      </c>
      <c r="M1685" s="5" t="str">
        <f t="shared" si="80"/>
        <v>005</v>
      </c>
      <c r="N1685" s="55" t="str">
        <f>VLOOKUP(D1685,Pinjaman!$E$7:$N$1900,10,FALSE)</f>
        <v>PRODUKTIF</v>
      </c>
      <c r="O1685" s="55">
        <f>VLOOKUP(B1685,'Data Angt'!$A$5:$H$5810,6,FALSE)</f>
        <v>42</v>
      </c>
      <c r="P1685" s="55" t="str">
        <f>VLOOKUP(B1685,'Data Angt'!$A$5:$H$5810,8,FALSE)</f>
        <v>Wiraswasta</v>
      </c>
    </row>
    <row r="1686" spans="1:16" x14ac:dyDescent="0.3">
      <c r="A1686" s="8">
        <v>1679</v>
      </c>
      <c r="B1686" s="9" t="s">
        <v>13638</v>
      </c>
      <c r="C1686" s="10" t="str">
        <f>VLOOKUP(B1686,'Data Angt'!$A$5:$B$5809,2,FALSE)</f>
        <v>A4880</v>
      </c>
      <c r="D1686" s="12" t="s">
        <v>17723</v>
      </c>
      <c r="E1686" s="13">
        <v>45817</v>
      </c>
      <c r="F1686" s="14">
        <v>45909</v>
      </c>
      <c r="G1686" s="15">
        <v>10000000</v>
      </c>
      <c r="H1686" s="16">
        <v>12</v>
      </c>
      <c r="I1686" s="17">
        <v>24</v>
      </c>
      <c r="J1686" s="15">
        <v>7718200</v>
      </c>
      <c r="K1686" s="98">
        <f t="shared" si="78"/>
        <v>0</v>
      </c>
      <c r="L1686" s="98" t="str">
        <f t="shared" si="79"/>
        <v>Lancar</v>
      </c>
      <c r="M1686" s="5" t="str">
        <f t="shared" si="80"/>
        <v>005</v>
      </c>
      <c r="N1686" s="55" t="str">
        <f>VLOOKUP(D1686,Pinjaman!$E$7:$N$1900,10,FALSE)</f>
        <v>PRODUKTIF</v>
      </c>
      <c r="O1686" s="55">
        <f>VLOOKUP(B1686,'Data Angt'!$A$5:$H$5810,6,FALSE)</f>
        <v>59</v>
      </c>
      <c r="P1686" s="55" t="str">
        <f>VLOOKUP(B1686,'Data Angt'!$A$5:$H$5810,8,FALSE)</f>
        <v>Wiraswasta</v>
      </c>
    </row>
    <row r="1687" spans="1:16" x14ac:dyDescent="0.3">
      <c r="A1687" s="8">
        <v>1680</v>
      </c>
      <c r="B1687" s="9" t="s">
        <v>13776</v>
      </c>
      <c r="C1687" s="10" t="str">
        <f>VLOOKUP(B1687,'Data Angt'!$A$5:$B$5809,2,FALSE)</f>
        <v>A4940</v>
      </c>
      <c r="D1687" s="12" t="s">
        <v>17725</v>
      </c>
      <c r="E1687" s="13">
        <v>45729</v>
      </c>
      <c r="F1687" s="14">
        <v>45911</v>
      </c>
      <c r="G1687" s="15">
        <v>3000000</v>
      </c>
      <c r="H1687" s="16">
        <v>10</v>
      </c>
      <c r="I1687" s="17">
        <v>24</v>
      </c>
      <c r="J1687" s="15">
        <v>1580200</v>
      </c>
      <c r="K1687" s="98">
        <f t="shared" si="78"/>
        <v>0</v>
      </c>
      <c r="L1687" s="98" t="str">
        <f t="shared" si="79"/>
        <v>Lancar</v>
      </c>
      <c r="M1687" s="5" t="str">
        <f t="shared" si="80"/>
        <v>005</v>
      </c>
      <c r="N1687" s="55" t="str">
        <f>VLOOKUP(D1687,Pinjaman!$E$7:$N$1900,10,FALSE)</f>
        <v>KONSUMTIF</v>
      </c>
      <c r="O1687" s="55">
        <f>VLOOKUP(B1687,'Data Angt'!$A$5:$H$5810,6,FALSE)</f>
        <v>44</v>
      </c>
      <c r="P1687" s="55" t="str">
        <f>VLOOKUP(B1687,'Data Angt'!$A$5:$H$5810,8,FALSE)</f>
        <v>Wiraswasta</v>
      </c>
    </row>
    <row r="1688" spans="1:16" x14ac:dyDescent="0.3">
      <c r="A1688" s="8">
        <v>1681</v>
      </c>
      <c r="B1688" s="9" t="s">
        <v>13802</v>
      </c>
      <c r="C1688" s="10" t="str">
        <f>VLOOKUP(B1688,'Data Angt'!$A$5:$B$5809,2,FALSE)</f>
        <v>A4952</v>
      </c>
      <c r="D1688" s="12" t="s">
        <v>17728</v>
      </c>
      <c r="E1688" s="13">
        <v>45729</v>
      </c>
      <c r="F1688" s="14">
        <v>45913</v>
      </c>
      <c r="G1688" s="15">
        <v>10000000</v>
      </c>
      <c r="H1688" s="16">
        <v>18</v>
      </c>
      <c r="I1688" s="17">
        <v>12</v>
      </c>
      <c r="J1688" s="15">
        <v>6863300</v>
      </c>
      <c r="K1688" s="98">
        <f t="shared" si="78"/>
        <v>0</v>
      </c>
      <c r="L1688" s="98" t="str">
        <f t="shared" si="79"/>
        <v>Lancar</v>
      </c>
      <c r="M1688" s="5" t="str">
        <f t="shared" si="80"/>
        <v>005</v>
      </c>
      <c r="N1688" s="55" t="str">
        <f>VLOOKUP(D1688,Pinjaman!$E$7:$N$1900,10,FALSE)</f>
        <v>PENDIDIKAN</v>
      </c>
      <c r="O1688" s="55">
        <f>VLOOKUP(B1688,'Data Angt'!$A$5:$H$5810,6,FALSE)</f>
        <v>55</v>
      </c>
      <c r="P1688" s="55" t="str">
        <f>VLOOKUP(B1688,'Data Angt'!$A$5:$H$5810,8,FALSE)</f>
        <v>Wiraswasta</v>
      </c>
    </row>
    <row r="1689" spans="1:16" x14ac:dyDescent="0.3">
      <c r="A1689" s="8">
        <v>1682</v>
      </c>
      <c r="B1689" s="9" t="s">
        <v>13803</v>
      </c>
      <c r="C1689" s="10" t="str">
        <f>VLOOKUP(B1689,'Data Angt'!$A$5:$B$5809,2,FALSE)</f>
        <v>A4953</v>
      </c>
      <c r="D1689" s="12" t="s">
        <v>17730</v>
      </c>
      <c r="E1689" s="13">
        <v>45728</v>
      </c>
      <c r="F1689" s="14">
        <v>45912</v>
      </c>
      <c r="G1689" s="15">
        <v>1000000</v>
      </c>
      <c r="H1689" s="16">
        <v>10</v>
      </c>
      <c r="I1689" s="17">
        <v>24</v>
      </c>
      <c r="J1689" s="15">
        <v>423700</v>
      </c>
      <c r="K1689" s="98">
        <f t="shared" si="78"/>
        <v>0</v>
      </c>
      <c r="L1689" s="98" t="str">
        <f t="shared" si="79"/>
        <v>Lancar</v>
      </c>
      <c r="M1689" s="5" t="str">
        <f t="shared" si="80"/>
        <v>005</v>
      </c>
      <c r="N1689" s="55" t="str">
        <f>VLOOKUP(D1689,Pinjaman!$E$7:$N$1900,10,FALSE)</f>
        <v>KONSUMTIF</v>
      </c>
      <c r="O1689" s="55">
        <f>VLOOKUP(B1689,'Data Angt'!$A$5:$H$5810,6,FALSE)</f>
        <v>63</v>
      </c>
      <c r="P1689" s="55" t="str">
        <f>VLOOKUP(B1689,'Data Angt'!$A$5:$H$5810,8,FALSE)</f>
        <v>Mengurus Rumah Tangga</v>
      </c>
    </row>
    <row r="1690" spans="1:16" x14ac:dyDescent="0.3">
      <c r="A1690" s="8">
        <v>1683</v>
      </c>
      <c r="B1690" s="9" t="s">
        <v>14145</v>
      </c>
      <c r="C1690" s="10" t="str">
        <f>VLOOKUP(B1690,'Data Angt'!$A$5:$B$5809,2,FALSE)</f>
        <v>A5108</v>
      </c>
      <c r="D1690" s="12" t="s">
        <v>23807</v>
      </c>
      <c r="E1690" s="13">
        <v>45841</v>
      </c>
      <c r="F1690" s="14">
        <v>45908</v>
      </c>
      <c r="G1690" s="15">
        <v>150000000</v>
      </c>
      <c r="H1690" s="16">
        <v>36</v>
      </c>
      <c r="I1690" s="17">
        <v>21</v>
      </c>
      <c r="J1690" s="15">
        <v>143894500</v>
      </c>
      <c r="K1690" s="98">
        <f t="shared" si="78"/>
        <v>0</v>
      </c>
      <c r="L1690" s="98" t="str">
        <f t="shared" si="79"/>
        <v>Lancar</v>
      </c>
      <c r="M1690" s="5" t="str">
        <f t="shared" si="80"/>
        <v>005</v>
      </c>
      <c r="N1690" s="55" t="str">
        <f>VLOOKUP(D1690,Pinjaman!$E$7:$N$1900,10,FALSE)</f>
        <v>KESEJAHTERAAN</v>
      </c>
      <c r="O1690" s="55">
        <f>VLOOKUP(B1690,'Data Angt'!$A$5:$H$5810,6,FALSE)</f>
        <v>44</v>
      </c>
      <c r="P1690" s="55" t="str">
        <f>VLOOKUP(B1690,'Data Angt'!$A$5:$H$5810,8,FALSE)</f>
        <v>Karyawan</v>
      </c>
    </row>
    <row r="1691" spans="1:16" x14ac:dyDescent="0.3">
      <c r="A1691" s="8">
        <v>1684</v>
      </c>
      <c r="B1691" s="9" t="s">
        <v>14209</v>
      </c>
      <c r="C1691" s="10" t="str">
        <f>VLOOKUP(B1691,'Data Angt'!$A$5:$B$5809,2,FALSE)</f>
        <v>A5139</v>
      </c>
      <c r="D1691" s="12" t="s">
        <v>17732</v>
      </c>
      <c r="E1691" s="13">
        <v>45759</v>
      </c>
      <c r="F1691" s="14">
        <v>45912</v>
      </c>
      <c r="G1691" s="15">
        <v>500000</v>
      </c>
      <c r="H1691" s="16">
        <v>5</v>
      </c>
      <c r="I1691" s="17">
        <v>24</v>
      </c>
      <c r="J1691" s="15">
        <v>106100</v>
      </c>
      <c r="K1691" s="98">
        <f t="shared" si="78"/>
        <v>0</v>
      </c>
      <c r="L1691" s="98" t="str">
        <f t="shared" si="79"/>
        <v>Lancar</v>
      </c>
      <c r="M1691" s="5" t="str">
        <f t="shared" si="80"/>
        <v>005</v>
      </c>
      <c r="N1691" s="55" t="str">
        <f>VLOOKUP(D1691,Pinjaman!$E$7:$N$1900,10,FALSE)</f>
        <v>KONSUMTIF</v>
      </c>
      <c r="O1691" s="55">
        <f>VLOOKUP(B1691,'Data Angt'!$A$5:$H$5810,6,FALSE)</f>
        <v>51</v>
      </c>
      <c r="P1691" s="55" t="str">
        <f>VLOOKUP(B1691,'Data Angt'!$A$5:$H$5810,8,FALSE)</f>
        <v>Lain-Lain</v>
      </c>
    </row>
    <row r="1692" spans="1:16" x14ac:dyDescent="0.3">
      <c r="A1692" s="8">
        <v>1685</v>
      </c>
      <c r="B1692" s="9" t="s">
        <v>14254</v>
      </c>
      <c r="C1692" s="10" t="str">
        <f>VLOOKUP(B1692,'Data Angt'!$A$5:$B$5809,2,FALSE)</f>
        <v>A5161</v>
      </c>
      <c r="D1692" s="12" t="s">
        <v>23810</v>
      </c>
      <c r="E1692" s="13">
        <v>45848</v>
      </c>
      <c r="F1692" s="14">
        <v>45910</v>
      </c>
      <c r="G1692" s="15">
        <v>3000000</v>
      </c>
      <c r="H1692" s="16">
        <v>6</v>
      </c>
      <c r="I1692" s="17">
        <v>24</v>
      </c>
      <c r="J1692" s="15">
        <v>2039300</v>
      </c>
      <c r="K1692" s="98">
        <f t="shared" si="78"/>
        <v>0</v>
      </c>
      <c r="L1692" s="98" t="str">
        <f t="shared" si="79"/>
        <v>Lancar</v>
      </c>
      <c r="M1692" s="5" t="str">
        <f t="shared" si="80"/>
        <v>005</v>
      </c>
      <c r="N1692" s="55" t="str">
        <f>VLOOKUP(D1692,Pinjaman!$E$7:$N$1900,10,FALSE)</f>
        <v>PRODUKTIF</v>
      </c>
      <c r="O1692" s="55">
        <f>VLOOKUP(B1692,'Data Angt'!$A$5:$H$5810,6,FALSE)</f>
        <v>54</v>
      </c>
      <c r="P1692" s="55" t="str">
        <f>VLOOKUP(B1692,'Data Angt'!$A$5:$H$5810,8,FALSE)</f>
        <v>Wiraswasta</v>
      </c>
    </row>
    <row r="1693" spans="1:16" x14ac:dyDescent="0.3">
      <c r="A1693" s="8">
        <v>1686</v>
      </c>
      <c r="B1693" s="9" t="s">
        <v>14371</v>
      </c>
      <c r="C1693" s="10" t="str">
        <f>VLOOKUP(B1693,'Data Angt'!$A$5:$B$5809,2,FALSE)</f>
        <v>A5181</v>
      </c>
      <c r="D1693" s="12" t="s">
        <v>17735</v>
      </c>
      <c r="E1693" s="13">
        <v>45804</v>
      </c>
      <c r="F1693" s="14">
        <v>45923</v>
      </c>
      <c r="G1693" s="15">
        <v>10000000</v>
      </c>
      <c r="H1693" s="16">
        <v>10</v>
      </c>
      <c r="I1693" s="17">
        <v>24</v>
      </c>
      <c r="J1693" s="15">
        <v>6000000</v>
      </c>
      <c r="K1693" s="98">
        <f t="shared" si="78"/>
        <v>0</v>
      </c>
      <c r="L1693" s="98" t="str">
        <f t="shared" si="79"/>
        <v>Lancar</v>
      </c>
      <c r="M1693" s="5" t="str">
        <f t="shared" si="80"/>
        <v>005</v>
      </c>
      <c r="N1693" s="55" t="str">
        <f>VLOOKUP(D1693,Pinjaman!$E$7:$N$1900,10,FALSE)</f>
        <v>KESEHATAN</v>
      </c>
      <c r="O1693" s="55">
        <f>VLOOKUP(B1693,'Data Angt'!$A$5:$H$5810,6,FALSE)</f>
        <v>70</v>
      </c>
      <c r="P1693" s="55" t="str">
        <f>VLOOKUP(B1693,'Data Angt'!$A$5:$H$5810,8,FALSE)</f>
        <v>Pensiunan</v>
      </c>
    </row>
    <row r="1694" spans="1:16" x14ac:dyDescent="0.3">
      <c r="A1694" s="8">
        <v>1687</v>
      </c>
      <c r="B1694" s="9" t="s">
        <v>14411</v>
      </c>
      <c r="C1694" s="10" t="str">
        <f>VLOOKUP(B1694,'Data Angt'!$A$5:$B$5809,2,FALSE)</f>
        <v>A5198</v>
      </c>
      <c r="D1694" s="12" t="s">
        <v>23813</v>
      </c>
      <c r="E1694" s="13">
        <v>45864</v>
      </c>
      <c r="F1694" s="14">
        <v>45925</v>
      </c>
      <c r="G1694" s="15">
        <v>1000000</v>
      </c>
      <c r="H1694" s="16">
        <v>3</v>
      </c>
      <c r="I1694" s="17">
        <v>24</v>
      </c>
      <c r="J1694" s="15">
        <v>339900</v>
      </c>
      <c r="K1694" s="98">
        <f t="shared" si="78"/>
        <v>0</v>
      </c>
      <c r="L1694" s="98" t="str">
        <f t="shared" si="79"/>
        <v>Lancar</v>
      </c>
      <c r="M1694" s="5" t="str">
        <f t="shared" si="80"/>
        <v>005</v>
      </c>
      <c r="N1694" s="55" t="str">
        <f>VLOOKUP(D1694,Pinjaman!$E$7:$N$1900,10,FALSE)</f>
        <v>PRODUKTIF</v>
      </c>
      <c r="O1694" s="55">
        <f>VLOOKUP(B1694,'Data Angt'!$A$5:$H$5810,6,FALSE)</f>
        <v>59</v>
      </c>
      <c r="P1694" s="55" t="str">
        <f>VLOOKUP(B1694,'Data Angt'!$A$5:$H$5810,8,FALSE)</f>
        <v>Wiraswasta</v>
      </c>
    </row>
    <row r="1695" spans="1:16" x14ac:dyDescent="0.3">
      <c r="A1695" s="8">
        <v>1688</v>
      </c>
      <c r="B1695" s="9" t="s">
        <v>14526</v>
      </c>
      <c r="C1695" s="10" t="str">
        <f>VLOOKUP(B1695,'Data Angt'!$A$5:$B$5809,2,FALSE)</f>
        <v>A5248</v>
      </c>
      <c r="D1695" s="12" t="s">
        <v>23815</v>
      </c>
      <c r="E1695" s="13">
        <v>45852</v>
      </c>
      <c r="F1695" s="14">
        <v>45916</v>
      </c>
      <c r="G1695" s="15">
        <v>1000000</v>
      </c>
      <c r="H1695" s="16">
        <v>6</v>
      </c>
      <c r="I1695" s="17">
        <v>24</v>
      </c>
      <c r="J1695" s="15">
        <v>679700</v>
      </c>
      <c r="K1695" s="98">
        <f t="shared" si="78"/>
        <v>0</v>
      </c>
      <c r="L1695" s="98" t="str">
        <f t="shared" si="79"/>
        <v>Lancar</v>
      </c>
      <c r="M1695" s="5" t="str">
        <f t="shared" si="80"/>
        <v>005</v>
      </c>
      <c r="N1695" s="55" t="str">
        <f>VLOOKUP(D1695,Pinjaman!$E$7:$N$1900,10,FALSE)</f>
        <v>PRODUKTIF</v>
      </c>
      <c r="O1695" s="55">
        <f>VLOOKUP(B1695,'Data Angt'!$A$5:$H$5810,6,FALSE)</f>
        <v>62</v>
      </c>
      <c r="P1695" s="55" t="str">
        <f>VLOOKUP(B1695,'Data Angt'!$A$5:$H$5810,8,FALSE)</f>
        <v>Wiraswasta</v>
      </c>
    </row>
    <row r="1696" spans="1:16" x14ac:dyDescent="0.3">
      <c r="A1696" s="8">
        <v>1689</v>
      </c>
      <c r="B1696" s="9" t="s">
        <v>14551</v>
      </c>
      <c r="C1696" s="10" t="str">
        <f>VLOOKUP(B1696,'Data Angt'!$A$5:$B$5809,2,FALSE)</f>
        <v>A5258</v>
      </c>
      <c r="D1696" s="12" t="s">
        <v>17737</v>
      </c>
      <c r="E1696" s="13">
        <v>45791</v>
      </c>
      <c r="F1696" s="14">
        <v>45916</v>
      </c>
      <c r="G1696" s="15">
        <v>25000000</v>
      </c>
      <c r="H1696" s="16">
        <v>20</v>
      </c>
      <c r="I1696" s="17">
        <v>21</v>
      </c>
      <c r="J1696" s="15">
        <v>20668900</v>
      </c>
      <c r="K1696" s="98">
        <f t="shared" si="78"/>
        <v>0</v>
      </c>
      <c r="L1696" s="98" t="str">
        <f t="shared" si="79"/>
        <v>Lancar</v>
      </c>
      <c r="M1696" s="5" t="str">
        <f t="shared" si="80"/>
        <v>005</v>
      </c>
      <c r="N1696" s="55" t="str">
        <f>VLOOKUP(D1696,Pinjaman!$E$7:$N$1900,10,FALSE)</f>
        <v>PRODUKTIF</v>
      </c>
      <c r="O1696" s="55">
        <f>VLOOKUP(B1696,'Data Angt'!$A$5:$H$5810,6,FALSE)</f>
        <v>48</v>
      </c>
      <c r="P1696" s="55" t="str">
        <f>VLOOKUP(B1696,'Data Angt'!$A$5:$H$5810,8,FALSE)</f>
        <v>Wiraswasta</v>
      </c>
    </row>
    <row r="1697" spans="1:16" x14ac:dyDescent="0.3">
      <c r="A1697" s="8">
        <v>1690</v>
      </c>
      <c r="B1697" s="9" t="s">
        <v>14620</v>
      </c>
      <c r="C1697" s="10" t="str">
        <f>VLOOKUP(B1697,'Data Angt'!$A$5:$B$5809,2,FALSE)</f>
        <v>A5287</v>
      </c>
      <c r="D1697" s="12" t="s">
        <v>17740</v>
      </c>
      <c r="E1697" s="13">
        <v>45713</v>
      </c>
      <c r="F1697" s="14">
        <v>45923</v>
      </c>
      <c r="G1697" s="15">
        <v>2600000</v>
      </c>
      <c r="H1697" s="16">
        <v>12</v>
      </c>
      <c r="I1697" s="17">
        <v>12</v>
      </c>
      <c r="J1697" s="15">
        <v>1120700</v>
      </c>
      <c r="K1697" s="98">
        <f t="shared" si="78"/>
        <v>0</v>
      </c>
      <c r="L1697" s="98" t="str">
        <f t="shared" si="79"/>
        <v>Lancar</v>
      </c>
      <c r="M1697" s="5" t="str">
        <f t="shared" si="80"/>
        <v>005</v>
      </c>
      <c r="N1697" s="55" t="str">
        <f>VLOOKUP(D1697,Pinjaman!$E$7:$N$1900,10,FALSE)</f>
        <v>KONSUMTIF</v>
      </c>
      <c r="O1697" s="55">
        <f>VLOOKUP(B1697,'Data Angt'!$A$5:$H$5810,6,FALSE)</f>
        <v>63</v>
      </c>
      <c r="P1697" s="55" t="str">
        <f>VLOOKUP(B1697,'Data Angt'!$A$5:$H$5810,8,FALSE)</f>
        <v>Wiraswasta</v>
      </c>
    </row>
    <row r="1698" spans="1:16" x14ac:dyDescent="0.3">
      <c r="A1698" s="8">
        <v>1691</v>
      </c>
      <c r="B1698" s="9" t="s">
        <v>14657</v>
      </c>
      <c r="C1698" s="10" t="str">
        <f>VLOOKUP(B1698,'Data Angt'!$A$5:$B$5809,2,FALSE)</f>
        <v>A5303</v>
      </c>
      <c r="D1698" s="12" t="s">
        <v>23818</v>
      </c>
      <c r="E1698" s="13">
        <v>45889</v>
      </c>
      <c r="F1698" s="14">
        <v>45920</v>
      </c>
      <c r="G1698" s="15">
        <v>1500000</v>
      </c>
      <c r="H1698" s="16">
        <v>5</v>
      </c>
      <c r="I1698" s="17">
        <v>24</v>
      </c>
      <c r="J1698" s="15">
        <v>1211700</v>
      </c>
      <c r="K1698" s="98">
        <f t="shared" si="78"/>
        <v>0</v>
      </c>
      <c r="L1698" s="98" t="str">
        <f t="shared" si="79"/>
        <v>Lancar</v>
      </c>
      <c r="M1698" s="5" t="str">
        <f t="shared" si="80"/>
        <v>005</v>
      </c>
      <c r="N1698" s="55" t="str">
        <f>VLOOKUP(D1698,Pinjaman!$E$7:$N$1900,10,FALSE)</f>
        <v>PRODUKTIF</v>
      </c>
      <c r="O1698" s="55">
        <f>VLOOKUP(B1698,'Data Angt'!$A$5:$H$5810,6,FALSE)</f>
        <v>41</v>
      </c>
      <c r="P1698" s="55" t="str">
        <f>VLOOKUP(B1698,'Data Angt'!$A$5:$H$5810,8,FALSE)</f>
        <v>Wiraswasta</v>
      </c>
    </row>
    <row r="1699" spans="1:16" x14ac:dyDescent="0.3">
      <c r="A1699" s="8">
        <v>1692</v>
      </c>
      <c r="B1699" s="9" t="s">
        <v>14694</v>
      </c>
      <c r="C1699" s="10" t="str">
        <f>VLOOKUP(B1699,'Data Angt'!$A$5:$B$5809,2,FALSE)</f>
        <v>A5319</v>
      </c>
      <c r="D1699" s="12" t="s">
        <v>23820</v>
      </c>
      <c r="E1699" s="13">
        <v>45864</v>
      </c>
      <c r="F1699" s="14">
        <v>45930</v>
      </c>
      <c r="G1699" s="15">
        <v>1500000</v>
      </c>
      <c r="H1699" s="16">
        <v>5</v>
      </c>
      <c r="I1699" s="17">
        <v>24</v>
      </c>
      <c r="J1699" s="15">
        <v>917700</v>
      </c>
      <c r="K1699" s="98">
        <f t="shared" si="78"/>
        <v>0</v>
      </c>
      <c r="L1699" s="98" t="str">
        <f t="shared" si="79"/>
        <v>Lancar</v>
      </c>
      <c r="M1699" s="5" t="str">
        <f t="shared" si="80"/>
        <v>005</v>
      </c>
      <c r="N1699" s="55" t="str">
        <f>VLOOKUP(D1699,Pinjaman!$E$7:$N$1900,10,FALSE)</f>
        <v>PRODUKTIF</v>
      </c>
      <c r="O1699" s="55">
        <f>VLOOKUP(B1699,'Data Angt'!$A$5:$H$5810,6,FALSE)</f>
        <v>44</v>
      </c>
      <c r="P1699" s="55" t="str">
        <f>VLOOKUP(B1699,'Data Angt'!$A$5:$H$5810,8,FALSE)</f>
        <v>Wiraswasta</v>
      </c>
    </row>
    <row r="1700" spans="1:16" x14ac:dyDescent="0.3">
      <c r="A1700" s="8">
        <v>1693</v>
      </c>
      <c r="B1700" s="9" t="s">
        <v>14696</v>
      </c>
      <c r="C1700" s="10" t="str">
        <f>VLOOKUP(B1700,'Data Angt'!$A$5:$B$5809,2,FALSE)</f>
        <v>A5320</v>
      </c>
      <c r="D1700" s="12" t="s">
        <v>23822</v>
      </c>
      <c r="E1700" s="13">
        <v>45929</v>
      </c>
      <c r="F1700" s="14">
        <v>45929</v>
      </c>
      <c r="G1700" s="15">
        <v>1300000</v>
      </c>
      <c r="H1700" s="16">
        <v>7</v>
      </c>
      <c r="I1700" s="17">
        <v>24</v>
      </c>
      <c r="J1700" s="15">
        <v>1300000</v>
      </c>
      <c r="K1700" s="98">
        <f t="shared" si="78"/>
        <v>0</v>
      </c>
      <c r="L1700" s="98" t="str">
        <f t="shared" si="79"/>
        <v>Lancar</v>
      </c>
      <c r="M1700" s="5" t="str">
        <f t="shared" si="80"/>
        <v>005</v>
      </c>
      <c r="N1700" s="55" t="str">
        <f>VLOOKUP(D1700,Pinjaman!$E$7:$N$1900,10,FALSE)</f>
        <v>PRODUKTIF</v>
      </c>
      <c r="O1700" s="55">
        <f>VLOOKUP(B1700,'Data Angt'!$A$5:$H$5810,6,FALSE)</f>
        <v>50</v>
      </c>
      <c r="P1700" s="55" t="str">
        <f>VLOOKUP(B1700,'Data Angt'!$A$5:$H$5810,8,FALSE)</f>
        <v>Mengurus Rumah Tangga</v>
      </c>
    </row>
    <row r="1701" spans="1:16" x14ac:dyDescent="0.3">
      <c r="A1701" s="8">
        <v>1694</v>
      </c>
      <c r="B1701" s="9" t="s">
        <v>14717</v>
      </c>
      <c r="C1701" s="10" t="str">
        <f>VLOOKUP(B1701,'Data Angt'!$A$5:$B$5809,2,FALSE)</f>
        <v>A5328</v>
      </c>
      <c r="D1701" s="12" t="s">
        <v>17742</v>
      </c>
      <c r="E1701" s="13">
        <v>45707</v>
      </c>
      <c r="F1701" s="14">
        <v>45919</v>
      </c>
      <c r="G1701" s="15">
        <v>3000000</v>
      </c>
      <c r="H1701" s="16">
        <v>12</v>
      </c>
      <c r="I1701" s="17">
        <v>24</v>
      </c>
      <c r="J1701" s="15">
        <v>1589200</v>
      </c>
      <c r="K1701" s="98">
        <f t="shared" si="78"/>
        <v>0</v>
      </c>
      <c r="L1701" s="98" t="str">
        <f t="shared" si="79"/>
        <v>Lancar</v>
      </c>
      <c r="M1701" s="5" t="str">
        <f t="shared" si="80"/>
        <v>005</v>
      </c>
      <c r="N1701" s="55" t="str">
        <f>VLOOKUP(D1701,Pinjaman!$E$7:$N$1900,10,FALSE)</f>
        <v>PRODUKTIF</v>
      </c>
      <c r="O1701" s="55">
        <f>VLOOKUP(B1701,'Data Angt'!$A$5:$H$5810,6,FALSE)</f>
        <v>54</v>
      </c>
      <c r="P1701" s="55" t="str">
        <f>VLOOKUP(B1701,'Data Angt'!$A$5:$H$5810,8,FALSE)</f>
        <v>Wiraswasta</v>
      </c>
    </row>
    <row r="1702" spans="1:16" x14ac:dyDescent="0.3">
      <c r="A1702" s="8">
        <v>1695</v>
      </c>
      <c r="B1702" s="9" t="s">
        <v>14738</v>
      </c>
      <c r="C1702" s="10" t="str">
        <f>VLOOKUP(B1702,'Data Angt'!$A$5:$B$5809,2,FALSE)</f>
        <v>A5338</v>
      </c>
      <c r="D1702" s="12" t="s">
        <v>23825</v>
      </c>
      <c r="E1702" s="13">
        <v>45885</v>
      </c>
      <c r="F1702" s="14">
        <v>45913</v>
      </c>
      <c r="G1702" s="15">
        <v>1500000</v>
      </c>
      <c r="H1702" s="16">
        <v>5</v>
      </c>
      <c r="I1702" s="17">
        <v>24</v>
      </c>
      <c r="J1702" s="15">
        <v>1211700</v>
      </c>
      <c r="K1702" s="98">
        <f t="shared" si="78"/>
        <v>0</v>
      </c>
      <c r="L1702" s="98" t="str">
        <f t="shared" si="79"/>
        <v>Lancar</v>
      </c>
      <c r="M1702" s="5" t="str">
        <f t="shared" si="80"/>
        <v>005</v>
      </c>
      <c r="N1702" s="55" t="str">
        <f>VLOOKUP(D1702,Pinjaman!$E$7:$N$1900,10,FALSE)</f>
        <v>PENDIDIKAN</v>
      </c>
      <c r="O1702" s="55">
        <f>VLOOKUP(B1702,'Data Angt'!$A$5:$H$5810,6,FALSE)</f>
        <v>39</v>
      </c>
      <c r="P1702" s="55" t="str">
        <f>VLOOKUP(B1702,'Data Angt'!$A$5:$H$5810,8,FALSE)</f>
        <v>Wiraswasta</v>
      </c>
    </row>
    <row r="1703" spans="1:16" x14ac:dyDescent="0.3">
      <c r="A1703" s="8">
        <v>1696</v>
      </c>
      <c r="B1703" s="9" t="s">
        <v>14779</v>
      </c>
      <c r="C1703" s="10" t="str">
        <f>VLOOKUP(B1703,'Data Angt'!$A$5:$B$5809,2,FALSE)</f>
        <v>A5357</v>
      </c>
      <c r="D1703" s="12" t="s">
        <v>17744</v>
      </c>
      <c r="E1703" s="13">
        <v>45710</v>
      </c>
      <c r="F1703" s="14">
        <v>45922</v>
      </c>
      <c r="G1703" s="15">
        <v>1000000</v>
      </c>
      <c r="H1703" s="16">
        <v>10</v>
      </c>
      <c r="I1703" s="17">
        <v>24</v>
      </c>
      <c r="J1703" s="15">
        <v>320800</v>
      </c>
      <c r="K1703" s="98">
        <f t="shared" si="78"/>
        <v>0</v>
      </c>
      <c r="L1703" s="98" t="str">
        <f t="shared" si="79"/>
        <v>Lancar</v>
      </c>
      <c r="M1703" s="5" t="str">
        <f t="shared" si="80"/>
        <v>005</v>
      </c>
      <c r="N1703" s="55" t="str">
        <f>VLOOKUP(D1703,Pinjaman!$E$7:$N$1900,10,FALSE)</f>
        <v>PRODUKTIF</v>
      </c>
      <c r="O1703" s="55">
        <f>VLOOKUP(B1703,'Data Angt'!$A$5:$H$5810,6,FALSE)</f>
        <v>59</v>
      </c>
      <c r="P1703" s="55" t="str">
        <f>VLOOKUP(B1703,'Data Angt'!$A$5:$H$5810,8,FALSE)</f>
        <v>Wiraswasta</v>
      </c>
    </row>
    <row r="1704" spans="1:16" x14ac:dyDescent="0.3">
      <c r="A1704" s="8">
        <v>1697</v>
      </c>
      <c r="B1704" s="9" t="s">
        <v>14783</v>
      </c>
      <c r="C1704" s="10" t="str">
        <f>VLOOKUP(B1704,'Data Angt'!$A$5:$B$5809,2,FALSE)</f>
        <v>A5358</v>
      </c>
      <c r="D1704" s="12" t="s">
        <v>17747</v>
      </c>
      <c r="E1704" s="13">
        <v>45710</v>
      </c>
      <c r="F1704" s="14">
        <v>45891</v>
      </c>
      <c r="G1704" s="15">
        <v>1000000</v>
      </c>
      <c r="H1704" s="16">
        <v>10</v>
      </c>
      <c r="I1704" s="17">
        <v>24</v>
      </c>
      <c r="J1704" s="15">
        <v>423700</v>
      </c>
      <c r="K1704" s="98">
        <f t="shared" si="78"/>
        <v>1</v>
      </c>
      <c r="L1704" s="98" t="str">
        <f t="shared" si="79"/>
        <v>Lancar</v>
      </c>
      <c r="M1704" s="5" t="str">
        <f t="shared" si="80"/>
        <v>005</v>
      </c>
      <c r="N1704" s="55" t="str">
        <f>VLOOKUP(D1704,Pinjaman!$E$7:$N$1900,10,FALSE)</f>
        <v>PRODUKTIF</v>
      </c>
      <c r="O1704" s="55">
        <f>VLOOKUP(B1704,'Data Angt'!$A$5:$H$5810,6,FALSE)</f>
        <v>49</v>
      </c>
      <c r="P1704" s="55" t="str">
        <f>VLOOKUP(B1704,'Data Angt'!$A$5:$H$5810,8,FALSE)</f>
        <v>Wiraswasta</v>
      </c>
    </row>
    <row r="1705" spans="1:16" x14ac:dyDescent="0.3">
      <c r="A1705" s="8">
        <v>1698</v>
      </c>
      <c r="B1705" s="9" t="s">
        <v>14785</v>
      </c>
      <c r="C1705" s="10" t="str">
        <f>VLOOKUP(B1705,'Data Angt'!$A$5:$B$5809,2,FALSE)</f>
        <v>A5359</v>
      </c>
      <c r="D1705" s="12" t="s">
        <v>17750</v>
      </c>
      <c r="E1705" s="13">
        <v>45710</v>
      </c>
      <c r="F1705" s="14">
        <v>45922</v>
      </c>
      <c r="G1705" s="15">
        <v>1000000</v>
      </c>
      <c r="H1705" s="16">
        <v>10</v>
      </c>
      <c r="I1705" s="17">
        <v>24</v>
      </c>
      <c r="J1705" s="15">
        <v>320800</v>
      </c>
      <c r="K1705" s="98">
        <f t="shared" si="78"/>
        <v>0</v>
      </c>
      <c r="L1705" s="98" t="str">
        <f t="shared" si="79"/>
        <v>Lancar</v>
      </c>
      <c r="M1705" s="5" t="str">
        <f t="shared" si="80"/>
        <v>005</v>
      </c>
      <c r="N1705" s="55" t="str">
        <f>VLOOKUP(D1705,Pinjaman!$E$7:$N$1900,10,FALSE)</f>
        <v>PRODUKTIF</v>
      </c>
      <c r="O1705" s="55">
        <f>VLOOKUP(B1705,'Data Angt'!$A$5:$H$5810,6,FALSE)</f>
        <v>48</v>
      </c>
      <c r="P1705" s="55" t="str">
        <f>VLOOKUP(B1705,'Data Angt'!$A$5:$H$5810,8,FALSE)</f>
        <v>Wiraswasta</v>
      </c>
    </row>
    <row r="1706" spans="1:16" x14ac:dyDescent="0.3">
      <c r="A1706" s="8">
        <v>1699</v>
      </c>
      <c r="B1706" s="9" t="s">
        <v>14792</v>
      </c>
      <c r="C1706" s="10" t="str">
        <f>VLOOKUP(B1706,'Data Angt'!$A$5:$B$5809,2,FALSE)</f>
        <v>A5362</v>
      </c>
      <c r="D1706" s="12" t="s">
        <v>17752</v>
      </c>
      <c r="E1706" s="13">
        <v>45710</v>
      </c>
      <c r="F1706" s="14">
        <v>45922</v>
      </c>
      <c r="G1706" s="15">
        <v>1000000</v>
      </c>
      <c r="H1706" s="16">
        <v>10</v>
      </c>
      <c r="I1706" s="17">
        <v>24</v>
      </c>
      <c r="J1706" s="15">
        <v>320800</v>
      </c>
      <c r="K1706" s="98">
        <f t="shared" si="78"/>
        <v>0</v>
      </c>
      <c r="L1706" s="98" t="str">
        <f t="shared" si="79"/>
        <v>Lancar</v>
      </c>
      <c r="M1706" s="5" t="str">
        <f t="shared" si="80"/>
        <v>005</v>
      </c>
      <c r="N1706" s="55" t="str">
        <f>VLOOKUP(D1706,Pinjaman!$E$7:$N$1900,10,FALSE)</f>
        <v>PRODUKTIF</v>
      </c>
      <c r="O1706" s="55">
        <f>VLOOKUP(B1706,'Data Angt'!$A$5:$H$5810,6,FALSE)</f>
        <v>45</v>
      </c>
      <c r="P1706" s="55" t="str">
        <f>VLOOKUP(B1706,'Data Angt'!$A$5:$H$5810,8,FALSE)</f>
        <v>Wiraswasta</v>
      </c>
    </row>
    <row r="1707" spans="1:16" x14ac:dyDescent="0.3">
      <c r="A1707" s="8">
        <v>1700</v>
      </c>
      <c r="B1707" s="9" t="s">
        <v>14796</v>
      </c>
      <c r="C1707" s="10" t="str">
        <f>VLOOKUP(B1707,'Data Angt'!$A$5:$B$5809,2,FALSE)</f>
        <v>A5364</v>
      </c>
      <c r="D1707" s="12" t="s">
        <v>17754</v>
      </c>
      <c r="E1707" s="13">
        <v>45710</v>
      </c>
      <c r="F1707" s="14">
        <v>45922</v>
      </c>
      <c r="G1707" s="15">
        <v>1000000</v>
      </c>
      <c r="H1707" s="16">
        <v>10</v>
      </c>
      <c r="I1707" s="17">
        <v>24</v>
      </c>
      <c r="J1707" s="15">
        <v>320800</v>
      </c>
      <c r="K1707" s="98">
        <f t="shared" si="78"/>
        <v>0</v>
      </c>
      <c r="L1707" s="98" t="str">
        <f t="shared" si="79"/>
        <v>Lancar</v>
      </c>
      <c r="M1707" s="5" t="str">
        <f t="shared" si="80"/>
        <v>005</v>
      </c>
      <c r="N1707" s="55" t="str">
        <f>VLOOKUP(D1707,Pinjaman!$E$7:$N$1900,10,FALSE)</f>
        <v>PRODUKTIF</v>
      </c>
      <c r="O1707" s="55">
        <f>VLOOKUP(B1707,'Data Angt'!$A$5:$H$5810,6,FALSE)</f>
        <v>55</v>
      </c>
      <c r="P1707" s="55" t="str">
        <f>VLOOKUP(B1707,'Data Angt'!$A$5:$H$5810,8,FALSE)</f>
        <v>Wiraswasta</v>
      </c>
    </row>
    <row r="1708" spans="1:16" x14ac:dyDescent="0.3">
      <c r="A1708" s="8">
        <v>1701</v>
      </c>
      <c r="B1708" s="9" t="s">
        <v>15043</v>
      </c>
      <c r="C1708" s="10" t="str">
        <f>VLOOKUP(B1708,'Data Angt'!$A$5:$B$5809,2,FALSE)</f>
        <v>A5479</v>
      </c>
      <c r="D1708" s="12" t="s">
        <v>23827</v>
      </c>
      <c r="E1708" s="13">
        <v>45876</v>
      </c>
      <c r="F1708" s="14">
        <v>45909</v>
      </c>
      <c r="G1708" s="15">
        <v>300000</v>
      </c>
      <c r="H1708" s="16">
        <v>3</v>
      </c>
      <c r="I1708" s="17">
        <v>24</v>
      </c>
      <c r="J1708" s="15">
        <v>201900</v>
      </c>
      <c r="K1708" s="98">
        <f t="shared" si="78"/>
        <v>0</v>
      </c>
      <c r="L1708" s="98" t="str">
        <f t="shared" si="79"/>
        <v>Lancar</v>
      </c>
      <c r="M1708" s="5" t="str">
        <f t="shared" si="80"/>
        <v>005</v>
      </c>
      <c r="N1708" s="55" t="str">
        <f>VLOOKUP(D1708,Pinjaman!$E$7:$N$1900,10,FALSE)</f>
        <v>PRODUKTIF</v>
      </c>
      <c r="O1708" s="55">
        <f>VLOOKUP(B1708,'Data Angt'!$A$5:$H$5810,6,FALSE)</f>
        <v>48</v>
      </c>
      <c r="P1708" s="55" t="str">
        <f>VLOOKUP(B1708,'Data Angt'!$A$5:$H$5810,8,FALSE)</f>
        <v>Wiraswasta</v>
      </c>
    </row>
    <row r="1709" spans="1:16" x14ac:dyDescent="0.3">
      <c r="A1709" s="8">
        <v>1702</v>
      </c>
      <c r="B1709" s="9" t="s">
        <v>15261</v>
      </c>
      <c r="C1709" s="10" t="str">
        <f>VLOOKUP(B1709,'Data Angt'!$A$5:$B$5809,2,FALSE)</f>
        <v>A5576</v>
      </c>
      <c r="D1709" s="12" t="s">
        <v>17757</v>
      </c>
      <c r="E1709" s="13">
        <v>45825</v>
      </c>
      <c r="F1709" s="14">
        <v>45904</v>
      </c>
      <c r="G1709" s="15">
        <v>5000000</v>
      </c>
      <c r="H1709" s="16">
        <v>12</v>
      </c>
      <c r="I1709" s="17">
        <v>24</v>
      </c>
      <c r="J1709" s="15">
        <v>3859200</v>
      </c>
      <c r="K1709" s="98">
        <f t="shared" si="78"/>
        <v>0</v>
      </c>
      <c r="L1709" s="98" t="str">
        <f t="shared" si="79"/>
        <v>Lancar</v>
      </c>
      <c r="M1709" s="5" t="str">
        <f t="shared" si="80"/>
        <v>005</v>
      </c>
      <c r="N1709" s="55" t="str">
        <f>VLOOKUP(D1709,Pinjaman!$E$7:$N$1900,10,FALSE)</f>
        <v>KONSUMTIF</v>
      </c>
      <c r="O1709" s="55">
        <f>VLOOKUP(B1709,'Data Angt'!$A$5:$H$5810,6,FALSE)</f>
        <v>19</v>
      </c>
      <c r="P1709" s="55" t="str">
        <f>VLOOKUP(B1709,'Data Angt'!$A$5:$H$5810,8,FALSE)</f>
        <v>Karyawan</v>
      </c>
    </row>
    <row r="1710" spans="1:16" x14ac:dyDescent="0.3">
      <c r="A1710" s="8">
        <v>1703</v>
      </c>
      <c r="B1710" s="9" t="s">
        <v>15276</v>
      </c>
      <c r="C1710" s="10" t="str">
        <f>VLOOKUP(B1710,'Data Angt'!$A$5:$B$5809,2,FALSE)</f>
        <v>A5586</v>
      </c>
      <c r="D1710" s="12" t="s">
        <v>23829</v>
      </c>
      <c r="E1710" s="13">
        <v>45870</v>
      </c>
      <c r="F1710" s="14">
        <v>45901</v>
      </c>
      <c r="G1710" s="15">
        <v>2500000</v>
      </c>
      <c r="H1710" s="16">
        <v>18</v>
      </c>
      <c r="I1710" s="17">
        <v>24</v>
      </c>
      <c r="J1710" s="15">
        <v>2361100</v>
      </c>
      <c r="K1710" s="98">
        <f t="shared" si="78"/>
        <v>0</v>
      </c>
      <c r="L1710" s="98" t="str">
        <f t="shared" si="79"/>
        <v>Lancar</v>
      </c>
      <c r="M1710" s="5" t="str">
        <f t="shared" si="80"/>
        <v>005</v>
      </c>
      <c r="N1710" s="55" t="str">
        <f>VLOOKUP(D1710,Pinjaman!$E$7:$N$1900,10,FALSE)</f>
        <v>PENDIDIKAN</v>
      </c>
      <c r="O1710" s="55">
        <f>VLOOKUP(B1710,'Data Angt'!$A$5:$H$5810,6,FALSE)</f>
        <v>52</v>
      </c>
      <c r="P1710" s="55" t="str">
        <f>VLOOKUP(B1710,'Data Angt'!$A$5:$H$5810,8,FALSE)</f>
        <v>Wiraswasta</v>
      </c>
    </row>
    <row r="1711" spans="1:16" x14ac:dyDescent="0.3">
      <c r="A1711" s="8">
        <v>1704</v>
      </c>
      <c r="B1711" s="9" t="s">
        <v>15286</v>
      </c>
      <c r="C1711" s="10" t="str">
        <f>VLOOKUP(B1711,'Data Angt'!$A$5:$B$5809,2,FALSE)</f>
        <v>A5591</v>
      </c>
      <c r="D1711" s="12" t="s">
        <v>23831</v>
      </c>
      <c r="E1711" s="13">
        <v>45861</v>
      </c>
      <c r="F1711" s="14">
        <v>45901</v>
      </c>
      <c r="G1711" s="15">
        <v>500000</v>
      </c>
      <c r="H1711" s="16">
        <v>3</v>
      </c>
      <c r="I1711" s="17">
        <v>24</v>
      </c>
      <c r="J1711" s="15">
        <v>3000</v>
      </c>
      <c r="K1711" s="98">
        <f t="shared" si="78"/>
        <v>0</v>
      </c>
      <c r="L1711" s="98" t="str">
        <f t="shared" si="79"/>
        <v>Lancar</v>
      </c>
      <c r="M1711" s="5" t="str">
        <f t="shared" si="80"/>
        <v>005</v>
      </c>
      <c r="N1711" s="55" t="str">
        <f>VLOOKUP(D1711,Pinjaman!$E$7:$N$1900,10,FALSE)</f>
        <v>PRODUKTIF</v>
      </c>
      <c r="O1711" s="55">
        <f>VLOOKUP(B1711,'Data Angt'!$A$5:$H$5810,6,FALSE)</f>
        <v>49</v>
      </c>
      <c r="P1711" s="55" t="str">
        <f>VLOOKUP(B1711,'Data Angt'!$A$5:$H$5810,8,FALSE)</f>
        <v>Wiraswasta</v>
      </c>
    </row>
    <row r="1712" spans="1:16" x14ac:dyDescent="0.3">
      <c r="A1712" s="8">
        <v>1705</v>
      </c>
      <c r="B1712" s="9" t="s">
        <v>18950</v>
      </c>
      <c r="C1712" s="10" t="str">
        <f>VLOOKUP(B1712,'Data Angt'!$A$5:$B$5809,2,FALSE)</f>
        <v>A5649</v>
      </c>
      <c r="D1712" s="12" t="s">
        <v>23833</v>
      </c>
      <c r="E1712" s="13">
        <v>45860</v>
      </c>
      <c r="F1712" s="14">
        <v>45899</v>
      </c>
      <c r="G1712" s="15">
        <v>500000</v>
      </c>
      <c r="H1712" s="16">
        <v>3</v>
      </c>
      <c r="I1712" s="17">
        <v>24</v>
      </c>
      <c r="J1712" s="15">
        <v>336600</v>
      </c>
      <c r="K1712" s="98">
        <f t="shared" si="78"/>
        <v>1</v>
      </c>
      <c r="L1712" s="98" t="str">
        <f t="shared" si="79"/>
        <v>Lancar</v>
      </c>
      <c r="M1712" s="5" t="str">
        <f t="shared" si="80"/>
        <v>005</v>
      </c>
      <c r="N1712" s="55" t="str">
        <f>VLOOKUP(D1712,Pinjaman!$E$7:$N$1900,10,FALSE)</f>
        <v>PRODUKTIF</v>
      </c>
      <c r="O1712" s="55">
        <f>VLOOKUP(B1712,'Data Angt'!$A$5:$H$5810,6,FALSE)</f>
        <v>45</v>
      </c>
      <c r="P1712" s="55" t="str">
        <f>VLOOKUP(B1712,'Data Angt'!$A$5:$H$5810,8,FALSE)</f>
        <v>Wiraswasta</v>
      </c>
    </row>
    <row r="1713" spans="1:16" x14ac:dyDescent="0.3">
      <c r="A1713" s="8">
        <v>1706</v>
      </c>
      <c r="B1713" s="9" t="s">
        <v>18952</v>
      </c>
      <c r="C1713" s="10" t="str">
        <f>VLOOKUP(B1713,'Data Angt'!$A$5:$B$5809,2,FALSE)</f>
        <v>A5650</v>
      </c>
      <c r="D1713" s="12" t="s">
        <v>23835</v>
      </c>
      <c r="E1713" s="13">
        <v>45860</v>
      </c>
      <c r="F1713" s="14">
        <v>45929</v>
      </c>
      <c r="G1713" s="15">
        <v>500000</v>
      </c>
      <c r="H1713" s="16">
        <v>3</v>
      </c>
      <c r="I1713" s="17">
        <v>24</v>
      </c>
      <c r="J1713" s="15">
        <v>170000</v>
      </c>
      <c r="K1713" s="98">
        <f t="shared" si="78"/>
        <v>0</v>
      </c>
      <c r="L1713" s="98" t="str">
        <f t="shared" si="79"/>
        <v>Lancar</v>
      </c>
      <c r="M1713" s="5" t="str">
        <f t="shared" si="80"/>
        <v>005</v>
      </c>
      <c r="N1713" s="55" t="str">
        <f>VLOOKUP(D1713,Pinjaman!$E$7:$N$1900,10,FALSE)</f>
        <v>PRODUKTIF</v>
      </c>
      <c r="O1713" s="55">
        <f>VLOOKUP(B1713,'Data Angt'!$A$5:$H$5810,6,FALSE)</f>
        <v>50</v>
      </c>
      <c r="P1713" s="55" t="str">
        <f>VLOOKUP(B1713,'Data Angt'!$A$5:$H$5810,8,FALSE)</f>
        <v>Wiraswasta</v>
      </c>
    </row>
    <row r="1714" spans="1:16" x14ac:dyDescent="0.3">
      <c r="A1714" s="8">
        <v>1707</v>
      </c>
      <c r="B1714" s="9" t="s">
        <v>18956</v>
      </c>
      <c r="C1714" s="10" t="str">
        <f>VLOOKUP(B1714,'Data Angt'!$A$5:$B$5809,2,FALSE)</f>
        <v>A5652</v>
      </c>
      <c r="D1714" s="12" t="s">
        <v>23837</v>
      </c>
      <c r="E1714" s="13">
        <v>45860</v>
      </c>
      <c r="F1714" s="14">
        <v>45910</v>
      </c>
      <c r="G1714" s="15">
        <v>500000</v>
      </c>
      <c r="H1714" s="16">
        <v>3</v>
      </c>
      <c r="I1714" s="17">
        <v>24</v>
      </c>
      <c r="J1714" s="15">
        <v>170000</v>
      </c>
      <c r="K1714" s="98">
        <f t="shared" si="78"/>
        <v>0</v>
      </c>
      <c r="L1714" s="98" t="str">
        <f t="shared" si="79"/>
        <v>Lancar</v>
      </c>
      <c r="M1714" s="5" t="str">
        <f t="shared" si="80"/>
        <v>005</v>
      </c>
      <c r="N1714" s="55" t="str">
        <f>VLOOKUP(D1714,Pinjaman!$E$7:$N$1900,10,FALSE)</f>
        <v>PRODUKTIF</v>
      </c>
      <c r="O1714" s="55">
        <f>VLOOKUP(B1714,'Data Angt'!$A$5:$H$5810,6,FALSE)</f>
        <v>54</v>
      </c>
      <c r="P1714" s="55" t="str">
        <f>VLOOKUP(B1714,'Data Angt'!$A$5:$H$5810,8,FALSE)</f>
        <v>Wiraswasta</v>
      </c>
    </row>
    <row r="1715" spans="1:16" x14ac:dyDescent="0.3">
      <c r="A1715" s="8">
        <v>1708</v>
      </c>
      <c r="B1715" s="9" t="s">
        <v>18958</v>
      </c>
      <c r="C1715" s="10" t="str">
        <f>VLOOKUP(B1715,'Data Angt'!$A$5:$B$5809,2,FALSE)</f>
        <v>A5653</v>
      </c>
      <c r="D1715" s="12" t="s">
        <v>23839</v>
      </c>
      <c r="E1715" s="13">
        <v>45860</v>
      </c>
      <c r="F1715" s="14">
        <v>45930</v>
      </c>
      <c r="G1715" s="15">
        <v>500000</v>
      </c>
      <c r="H1715" s="16">
        <v>3</v>
      </c>
      <c r="I1715" s="17">
        <v>24</v>
      </c>
      <c r="J1715" s="15">
        <v>170000</v>
      </c>
      <c r="K1715" s="98">
        <f t="shared" si="78"/>
        <v>0</v>
      </c>
      <c r="L1715" s="98" t="str">
        <f t="shared" si="79"/>
        <v>Lancar</v>
      </c>
      <c r="M1715" s="5" t="str">
        <f t="shared" si="80"/>
        <v>005</v>
      </c>
      <c r="N1715" s="55" t="str">
        <f>VLOOKUP(D1715,Pinjaman!$E$7:$N$1900,10,FALSE)</f>
        <v>PRODUKTIF</v>
      </c>
      <c r="O1715" s="55">
        <f>VLOOKUP(B1715,'Data Angt'!$A$5:$H$5810,6,FALSE)</f>
        <v>49</v>
      </c>
      <c r="P1715" s="55" t="str">
        <f>VLOOKUP(B1715,'Data Angt'!$A$5:$H$5810,8,FALSE)</f>
        <v>Wiraswasta</v>
      </c>
    </row>
    <row r="1716" spans="1:16" x14ac:dyDescent="0.3">
      <c r="A1716" s="8">
        <v>1709</v>
      </c>
      <c r="B1716" s="9" t="s">
        <v>204</v>
      </c>
      <c r="C1716" s="10" t="str">
        <f>VLOOKUP(B1716,'Data Angt'!$A$5:$B$5809,2,FALSE)</f>
        <v>A65</v>
      </c>
      <c r="D1716" s="12" t="s">
        <v>17760</v>
      </c>
      <c r="E1716" s="13">
        <v>45666</v>
      </c>
      <c r="F1716" s="14">
        <v>45904</v>
      </c>
      <c r="G1716" s="15">
        <v>10000000</v>
      </c>
      <c r="H1716" s="16">
        <v>24</v>
      </c>
      <c r="I1716" s="17">
        <v>24</v>
      </c>
      <c r="J1716" s="15">
        <v>7185600</v>
      </c>
      <c r="K1716" s="98">
        <f t="shared" si="78"/>
        <v>0</v>
      </c>
      <c r="L1716" s="98" t="str">
        <f t="shared" si="79"/>
        <v>Lancar</v>
      </c>
      <c r="M1716" s="5" t="str">
        <f t="shared" si="80"/>
        <v>006</v>
      </c>
      <c r="N1716" s="55" t="str">
        <f>VLOOKUP(D1716,Pinjaman!$E$7:$N$1900,10,FALSE)</f>
        <v>PRODUKTIF</v>
      </c>
      <c r="O1716" s="55">
        <f>VLOOKUP(B1716,'Data Angt'!$A$5:$H$5810,6,FALSE)</f>
        <v>60</v>
      </c>
      <c r="P1716" s="55" t="str">
        <f>VLOOKUP(B1716,'Data Angt'!$A$5:$H$5810,8,FALSE)</f>
        <v>Karyawan</v>
      </c>
    </row>
    <row r="1717" spans="1:16" x14ac:dyDescent="0.3">
      <c r="A1717" s="8">
        <v>1710</v>
      </c>
      <c r="B1717" s="9" t="s">
        <v>207</v>
      </c>
      <c r="C1717" s="10" t="str">
        <f>VLOOKUP(B1717,'Data Angt'!$A$5:$B$5809,2,FALSE)</f>
        <v>A66</v>
      </c>
      <c r="D1717" s="12" t="s">
        <v>10643</v>
      </c>
      <c r="E1717" s="13">
        <v>43886</v>
      </c>
      <c r="F1717" s="14">
        <v>45688</v>
      </c>
      <c r="G1717" s="15">
        <v>80000000</v>
      </c>
      <c r="H1717" s="16">
        <v>72</v>
      </c>
      <c r="I1717" s="17">
        <v>11.4</v>
      </c>
      <c r="J1717" s="15">
        <v>18740300</v>
      </c>
      <c r="K1717" s="98">
        <f t="shared" si="78"/>
        <v>7</v>
      </c>
      <c r="L1717" s="98" t="str">
        <f t="shared" si="79"/>
        <v>Diragukan</v>
      </c>
      <c r="M1717" s="5" t="str">
        <f t="shared" si="80"/>
        <v>006</v>
      </c>
      <c r="N1717" s="55" t="str">
        <f>VLOOKUP(D1717,Pinjaman!$E$7:$N$1900,10,FALSE)</f>
        <v>KESEJAHTERAAN</v>
      </c>
      <c r="O1717" s="55">
        <f>VLOOKUP(B1717,'Data Angt'!$A$5:$H$5810,6,FALSE)</f>
        <v>56</v>
      </c>
      <c r="P1717" s="55" t="str">
        <f>VLOOKUP(B1717,'Data Angt'!$A$5:$H$5810,8,FALSE)</f>
        <v>Tenaga Pengajar</v>
      </c>
    </row>
    <row r="1718" spans="1:16" x14ac:dyDescent="0.3">
      <c r="A1718" s="8">
        <v>1711</v>
      </c>
      <c r="B1718" s="9" t="s">
        <v>215</v>
      </c>
      <c r="C1718" s="10" t="str">
        <f>VLOOKUP(B1718,'Data Angt'!$A$5:$B$5809,2,FALSE)</f>
        <v>A68</v>
      </c>
      <c r="D1718" s="12" t="s">
        <v>17762</v>
      </c>
      <c r="E1718" s="13">
        <v>45826</v>
      </c>
      <c r="F1718" s="14">
        <v>45909</v>
      </c>
      <c r="G1718" s="15">
        <v>30000000</v>
      </c>
      <c r="H1718" s="16">
        <v>12</v>
      </c>
      <c r="I1718" s="17">
        <v>21</v>
      </c>
      <c r="J1718" s="15">
        <v>23074900</v>
      </c>
      <c r="K1718" s="98">
        <f t="shared" si="78"/>
        <v>0</v>
      </c>
      <c r="L1718" s="98" t="str">
        <f t="shared" si="79"/>
        <v>Lancar</v>
      </c>
      <c r="M1718" s="5" t="str">
        <f t="shared" si="80"/>
        <v>006</v>
      </c>
      <c r="N1718" s="55" t="str">
        <f>VLOOKUP(D1718,Pinjaman!$E$7:$N$1900,10,FALSE)</f>
        <v>PRODUKTIF</v>
      </c>
      <c r="O1718" s="55">
        <f>VLOOKUP(B1718,'Data Angt'!$A$5:$H$5810,6,FALSE)</f>
        <v>62</v>
      </c>
      <c r="P1718" s="55" t="str">
        <f>VLOOKUP(B1718,'Data Angt'!$A$5:$H$5810,8,FALSE)</f>
        <v>Tenaga Medis</v>
      </c>
    </row>
    <row r="1719" spans="1:16" x14ac:dyDescent="0.3">
      <c r="A1719" s="8">
        <v>1712</v>
      </c>
      <c r="B1719" s="9" t="s">
        <v>253</v>
      </c>
      <c r="C1719" s="10" t="str">
        <f>VLOOKUP(B1719,'Data Angt'!$A$5:$B$5809,2,FALSE)</f>
        <v>A80</v>
      </c>
      <c r="D1719" s="12" t="s">
        <v>17764</v>
      </c>
      <c r="E1719" s="13">
        <v>45327</v>
      </c>
      <c r="F1719" s="14">
        <v>45908</v>
      </c>
      <c r="G1719" s="15">
        <v>34000000</v>
      </c>
      <c r="H1719" s="16">
        <v>42</v>
      </c>
      <c r="I1719" s="17">
        <v>21</v>
      </c>
      <c r="J1719" s="15">
        <v>23856300</v>
      </c>
      <c r="K1719" s="98">
        <f t="shared" si="78"/>
        <v>0</v>
      </c>
      <c r="L1719" s="98" t="str">
        <f t="shared" si="79"/>
        <v>Lancar</v>
      </c>
      <c r="M1719" s="5" t="str">
        <f t="shared" si="80"/>
        <v>006</v>
      </c>
      <c r="N1719" s="55" t="str">
        <f>VLOOKUP(D1719,Pinjaman!$E$7:$N$1900,10,FALSE)</f>
        <v>KONSUMTIF</v>
      </c>
      <c r="O1719" s="55">
        <f>VLOOKUP(B1719,'Data Angt'!$A$5:$H$5810,6,FALSE)</f>
        <v>52</v>
      </c>
      <c r="P1719" s="55" t="str">
        <f>VLOOKUP(B1719,'Data Angt'!$A$5:$H$5810,8,FALSE)</f>
        <v>Karyawan</v>
      </c>
    </row>
    <row r="1720" spans="1:16" x14ac:dyDescent="0.3">
      <c r="A1720" s="8">
        <v>1713</v>
      </c>
      <c r="B1720" s="9" t="s">
        <v>256</v>
      </c>
      <c r="C1720" s="10" t="str">
        <f>VLOOKUP(B1720,'Data Angt'!$A$5:$B$5809,2,FALSE)</f>
        <v>A81</v>
      </c>
      <c r="D1720" s="12" t="s">
        <v>10645</v>
      </c>
      <c r="E1720" s="13">
        <v>45267</v>
      </c>
      <c r="F1720" s="14">
        <v>45903</v>
      </c>
      <c r="G1720" s="15">
        <v>25000000</v>
      </c>
      <c r="H1720" s="16">
        <v>36</v>
      </c>
      <c r="I1720" s="17">
        <v>21</v>
      </c>
      <c r="J1720" s="15">
        <v>12344500</v>
      </c>
      <c r="K1720" s="98">
        <f t="shared" si="78"/>
        <v>0</v>
      </c>
      <c r="L1720" s="98" t="str">
        <f t="shared" si="79"/>
        <v>Lancar</v>
      </c>
      <c r="M1720" s="5" t="str">
        <f t="shared" si="80"/>
        <v>006</v>
      </c>
      <c r="N1720" s="55" t="str">
        <f>VLOOKUP(D1720,Pinjaman!$E$7:$N$1900,10,FALSE)</f>
        <v>KONSUMTIF</v>
      </c>
      <c r="O1720" s="55">
        <f>VLOOKUP(B1720,'Data Angt'!$A$5:$H$5810,6,FALSE)</f>
        <v>58</v>
      </c>
      <c r="P1720" s="55" t="str">
        <f>VLOOKUP(B1720,'Data Angt'!$A$5:$H$5810,8,FALSE)</f>
        <v>Wiraswasta</v>
      </c>
    </row>
    <row r="1721" spans="1:16" x14ac:dyDescent="0.3">
      <c r="A1721" s="8">
        <v>1714</v>
      </c>
      <c r="B1721" s="9" t="s">
        <v>385</v>
      </c>
      <c r="C1721" s="10" t="str">
        <f>VLOOKUP(B1721,'Data Angt'!$A$5:$B$5809,2,FALSE)</f>
        <v>A132</v>
      </c>
      <c r="D1721" s="12" t="s">
        <v>10647</v>
      </c>
      <c r="E1721" s="13">
        <v>43117</v>
      </c>
      <c r="F1721" s="14">
        <v>45196</v>
      </c>
      <c r="G1721" s="15">
        <v>25000000</v>
      </c>
      <c r="H1721" s="16">
        <v>24</v>
      </c>
      <c r="I1721" s="17">
        <v>27</v>
      </c>
      <c r="J1721" s="15">
        <v>15916600</v>
      </c>
      <c r="K1721" s="98">
        <f t="shared" si="78"/>
        <v>24</v>
      </c>
      <c r="L1721" s="98" t="str">
        <f t="shared" si="79"/>
        <v>Macet</v>
      </c>
      <c r="M1721" s="5" t="str">
        <f t="shared" si="80"/>
        <v>006</v>
      </c>
      <c r="N1721" s="55">
        <f>VLOOKUP(D1721,Pinjaman!$E$7:$N$1900,10,FALSE)</f>
        <v>0</v>
      </c>
      <c r="O1721" s="55">
        <f>VLOOKUP(B1721,'Data Angt'!$A$5:$H$5810,6,FALSE)</f>
        <v>59</v>
      </c>
      <c r="P1721" s="55" t="str">
        <f>VLOOKUP(B1721,'Data Angt'!$A$5:$H$5810,8,FALSE)</f>
        <v>Wiraswasta</v>
      </c>
    </row>
    <row r="1722" spans="1:16" x14ac:dyDescent="0.3">
      <c r="A1722" s="8">
        <v>1715</v>
      </c>
      <c r="B1722" s="9" t="s">
        <v>745</v>
      </c>
      <c r="C1722" s="10" t="str">
        <f>VLOOKUP(B1722,'Data Angt'!$A$5:$B$5809,2,FALSE)</f>
        <v>A277</v>
      </c>
      <c r="D1722" s="12" t="s">
        <v>10648</v>
      </c>
      <c r="E1722" s="13">
        <v>45003</v>
      </c>
      <c r="F1722" s="14">
        <v>45866</v>
      </c>
      <c r="G1722" s="15">
        <v>40000000</v>
      </c>
      <c r="H1722" s="16">
        <v>36</v>
      </c>
      <c r="I1722" s="17">
        <v>21</v>
      </c>
      <c r="J1722" s="15">
        <v>33133900</v>
      </c>
      <c r="K1722" s="98">
        <f t="shared" si="78"/>
        <v>2</v>
      </c>
      <c r="L1722" s="98" t="str">
        <f t="shared" si="79"/>
        <v>Lancar</v>
      </c>
      <c r="M1722" s="5" t="str">
        <f t="shared" si="80"/>
        <v>006</v>
      </c>
      <c r="N1722" s="55" t="str">
        <f>VLOOKUP(D1722,Pinjaman!$E$7:$N$1900,10,FALSE)</f>
        <v>PRODUKTIF</v>
      </c>
      <c r="O1722" s="55">
        <f>VLOOKUP(B1722,'Data Angt'!$A$5:$H$5810,6,FALSE)</f>
        <v>50</v>
      </c>
      <c r="P1722" s="55" t="str">
        <f>VLOOKUP(B1722,'Data Angt'!$A$5:$H$5810,8,FALSE)</f>
        <v>Wiraswasta</v>
      </c>
    </row>
    <row r="1723" spans="1:16" x14ac:dyDescent="0.3">
      <c r="A1723" s="8">
        <v>1716</v>
      </c>
      <c r="B1723" s="9" t="s">
        <v>813</v>
      </c>
      <c r="C1723" s="10" t="str">
        <f>VLOOKUP(B1723,'Data Angt'!$A$5:$B$5809,2,FALSE)</f>
        <v>A303</v>
      </c>
      <c r="D1723" s="12" t="s">
        <v>17766</v>
      </c>
      <c r="E1723" s="13">
        <v>45342</v>
      </c>
      <c r="F1723" s="14">
        <v>45925</v>
      </c>
      <c r="G1723" s="15">
        <v>65000000</v>
      </c>
      <c r="H1723" s="16">
        <v>36</v>
      </c>
      <c r="I1723" s="17">
        <v>21</v>
      </c>
      <c r="J1723" s="15">
        <v>35741900</v>
      </c>
      <c r="K1723" s="98">
        <f t="shared" si="78"/>
        <v>0</v>
      </c>
      <c r="L1723" s="98" t="str">
        <f t="shared" si="79"/>
        <v>Lancar</v>
      </c>
      <c r="M1723" s="5" t="str">
        <f t="shared" si="80"/>
        <v>006</v>
      </c>
      <c r="N1723" s="55" t="str">
        <f>VLOOKUP(D1723,Pinjaman!$E$7:$N$1900,10,FALSE)</f>
        <v>PENDIDIKAN</v>
      </c>
      <c r="O1723" s="55">
        <f>VLOOKUP(B1723,'Data Angt'!$A$5:$H$5810,6,FALSE)</f>
        <v>54</v>
      </c>
      <c r="P1723" s="55" t="str">
        <f>VLOOKUP(B1723,'Data Angt'!$A$5:$H$5810,8,FALSE)</f>
        <v>Tenaga Pengajar</v>
      </c>
    </row>
    <row r="1724" spans="1:16" x14ac:dyDescent="0.3">
      <c r="A1724" s="8">
        <v>1717</v>
      </c>
      <c r="B1724" s="9" t="s">
        <v>1303</v>
      </c>
      <c r="C1724" s="10" t="str">
        <f>VLOOKUP(B1724,'Data Angt'!$A$5:$B$5809,2,FALSE)</f>
        <v>A507</v>
      </c>
      <c r="D1724" s="12" t="s">
        <v>10650</v>
      </c>
      <c r="E1724" s="13">
        <v>42338</v>
      </c>
      <c r="F1724" s="14">
        <v>43524</v>
      </c>
      <c r="G1724" s="15">
        <v>50000000</v>
      </c>
      <c r="H1724" s="16">
        <v>60</v>
      </c>
      <c r="I1724" s="17">
        <v>16.600000000000001</v>
      </c>
      <c r="J1724" s="15">
        <v>45583000</v>
      </c>
      <c r="K1724" s="98">
        <f t="shared" si="78"/>
        <v>79</v>
      </c>
      <c r="L1724" s="98" t="str">
        <f t="shared" si="79"/>
        <v>Macet</v>
      </c>
      <c r="M1724" s="5" t="str">
        <f t="shared" si="80"/>
        <v>006</v>
      </c>
      <c r="N1724" s="55">
        <f>VLOOKUP(D1724,Pinjaman!$E$7:$N$1900,10,FALSE)</f>
        <v>0</v>
      </c>
      <c r="O1724" s="55">
        <f>VLOOKUP(B1724,'Data Angt'!$A$5:$H$5810,6,FALSE)</f>
        <v>45</v>
      </c>
      <c r="P1724" s="55" t="str">
        <f>VLOOKUP(B1724,'Data Angt'!$A$5:$H$5810,8,FALSE)</f>
        <v>Wiraswasta</v>
      </c>
    </row>
    <row r="1725" spans="1:16" x14ac:dyDescent="0.3">
      <c r="A1725" s="8">
        <v>1718</v>
      </c>
      <c r="B1725" s="9" t="s">
        <v>1326</v>
      </c>
      <c r="C1725" s="10" t="str">
        <f>VLOOKUP(B1725,'Data Angt'!$A$5:$B$5809,2,FALSE)</f>
        <v>A518</v>
      </c>
      <c r="D1725" s="12" t="s">
        <v>10651</v>
      </c>
      <c r="E1725" s="13">
        <v>42100</v>
      </c>
      <c r="F1725" s="14">
        <v>45898</v>
      </c>
      <c r="G1725" s="15">
        <v>19000000</v>
      </c>
      <c r="H1725" s="16">
        <v>60</v>
      </c>
      <c r="I1725" s="17">
        <v>18</v>
      </c>
      <c r="J1725" s="15">
        <v>14216200</v>
      </c>
      <c r="K1725" s="98">
        <f t="shared" si="78"/>
        <v>1</v>
      </c>
      <c r="L1725" s="98" t="str">
        <f t="shared" si="79"/>
        <v>Lancar</v>
      </c>
      <c r="M1725" s="5" t="str">
        <f t="shared" si="80"/>
        <v>006</v>
      </c>
      <c r="N1725" s="55">
        <f>VLOOKUP(D1725,Pinjaman!$E$7:$N$1900,10,FALSE)</f>
        <v>0</v>
      </c>
      <c r="O1725" s="55">
        <f>VLOOKUP(B1725,'Data Angt'!$A$5:$H$5810,6,FALSE)</f>
        <v>50</v>
      </c>
      <c r="P1725" s="55" t="str">
        <f>VLOOKUP(B1725,'Data Angt'!$A$5:$H$5810,8,FALSE)</f>
        <v>Karyawan</v>
      </c>
    </row>
    <row r="1726" spans="1:16" x14ac:dyDescent="0.3">
      <c r="A1726" s="8">
        <v>1719</v>
      </c>
      <c r="B1726" s="9" t="s">
        <v>1365</v>
      </c>
      <c r="C1726" s="10" t="str">
        <f>VLOOKUP(B1726,'Data Angt'!$A$5:$B$5809,2,FALSE)</f>
        <v>A535</v>
      </c>
      <c r="D1726" s="12" t="s">
        <v>17768</v>
      </c>
      <c r="E1726" s="13">
        <v>45682</v>
      </c>
      <c r="F1726" s="14">
        <v>45925</v>
      </c>
      <c r="G1726" s="15">
        <v>3000000</v>
      </c>
      <c r="H1726" s="16">
        <v>10</v>
      </c>
      <c r="I1726" s="17">
        <v>24</v>
      </c>
      <c r="J1726" s="15">
        <v>648700</v>
      </c>
      <c r="K1726" s="98">
        <f t="shared" si="78"/>
        <v>0</v>
      </c>
      <c r="L1726" s="98" t="str">
        <f t="shared" si="79"/>
        <v>Lancar</v>
      </c>
      <c r="M1726" s="5" t="str">
        <f t="shared" si="80"/>
        <v>006</v>
      </c>
      <c r="N1726" s="55" t="str">
        <f>VLOOKUP(D1726,Pinjaman!$E$7:$N$1900,10,FALSE)</f>
        <v>PRODUKTIF</v>
      </c>
      <c r="O1726" s="55">
        <f>VLOOKUP(B1726,'Data Angt'!$A$5:$H$5810,6,FALSE)</f>
        <v>54</v>
      </c>
      <c r="P1726" s="55" t="str">
        <f>VLOOKUP(B1726,'Data Angt'!$A$5:$H$5810,8,FALSE)</f>
        <v>Karyawan</v>
      </c>
    </row>
    <row r="1727" spans="1:16" x14ac:dyDescent="0.3">
      <c r="A1727" s="8">
        <v>1720</v>
      </c>
      <c r="B1727" s="9" t="s">
        <v>1505</v>
      </c>
      <c r="C1727" s="10" t="str">
        <f>VLOOKUP(B1727,'Data Angt'!$A$5:$B$5809,2,FALSE)</f>
        <v>A594</v>
      </c>
      <c r="D1727" s="12" t="s">
        <v>10653</v>
      </c>
      <c r="E1727" s="13">
        <v>45022</v>
      </c>
      <c r="F1727" s="14">
        <v>45895</v>
      </c>
      <c r="G1727" s="15">
        <v>6000000</v>
      </c>
      <c r="H1727" s="16">
        <v>24</v>
      </c>
      <c r="I1727" s="17">
        <v>27</v>
      </c>
      <c r="J1727" s="15">
        <v>3891600</v>
      </c>
      <c r="K1727" s="98">
        <f t="shared" si="78"/>
        <v>1</v>
      </c>
      <c r="L1727" s="98" t="str">
        <f t="shared" si="79"/>
        <v>Lancar</v>
      </c>
      <c r="M1727" s="5" t="str">
        <f t="shared" si="80"/>
        <v>006</v>
      </c>
      <c r="N1727" s="55" t="str">
        <f>VLOOKUP(D1727,Pinjaman!$E$7:$N$1900,10,FALSE)</f>
        <v>PRODUKTIF</v>
      </c>
      <c r="O1727" s="55">
        <f>VLOOKUP(B1727,'Data Angt'!$A$5:$H$5810,6,FALSE)</f>
        <v>67</v>
      </c>
      <c r="P1727" s="55" t="str">
        <f>VLOOKUP(B1727,'Data Angt'!$A$5:$H$5810,8,FALSE)</f>
        <v>Wiraswasta</v>
      </c>
    </row>
    <row r="1728" spans="1:16" x14ac:dyDescent="0.3">
      <c r="A1728" s="8">
        <v>1721</v>
      </c>
      <c r="B1728" s="9" t="s">
        <v>1556</v>
      </c>
      <c r="C1728" s="10" t="str">
        <f>VLOOKUP(B1728,'Data Angt'!$A$5:$B$5809,2,FALSE)</f>
        <v>A615</v>
      </c>
      <c r="D1728" s="12" t="s">
        <v>10655</v>
      </c>
      <c r="E1728" s="13">
        <v>45049</v>
      </c>
      <c r="F1728" s="14">
        <v>45716</v>
      </c>
      <c r="G1728" s="15">
        <v>8000000</v>
      </c>
      <c r="H1728" s="16">
        <v>24</v>
      </c>
      <c r="I1728" s="17">
        <v>27</v>
      </c>
      <c r="J1728" s="15">
        <v>998600</v>
      </c>
      <c r="K1728" s="98">
        <f t="shared" si="78"/>
        <v>7</v>
      </c>
      <c r="L1728" s="98" t="str">
        <f t="shared" si="79"/>
        <v>Diragukan</v>
      </c>
      <c r="M1728" s="5" t="str">
        <f t="shared" si="80"/>
        <v>006</v>
      </c>
      <c r="N1728" s="55" t="str">
        <f>VLOOKUP(D1728,Pinjaman!$E$7:$N$1900,10,FALSE)</f>
        <v>KESEJAHTERAAN</v>
      </c>
      <c r="O1728" s="55">
        <f>VLOOKUP(B1728,'Data Angt'!$A$5:$H$5810,6,FALSE)</f>
        <v>59</v>
      </c>
      <c r="P1728" s="55" t="str">
        <f>VLOOKUP(B1728,'Data Angt'!$A$5:$H$5810,8,FALSE)</f>
        <v>Belum/Tidak Bekerja</v>
      </c>
    </row>
    <row r="1729" spans="1:16" x14ac:dyDescent="0.3">
      <c r="A1729" s="8">
        <v>1722</v>
      </c>
      <c r="B1729" s="9" t="s">
        <v>1771</v>
      </c>
      <c r="C1729" s="10" t="str">
        <f>VLOOKUP(B1729,'Data Angt'!$A$5:$B$5809,2,FALSE)</f>
        <v>A714</v>
      </c>
      <c r="D1729" s="12" t="s">
        <v>23846</v>
      </c>
      <c r="E1729" s="13">
        <v>45912</v>
      </c>
      <c r="F1729" s="14">
        <v>45912</v>
      </c>
      <c r="G1729" s="15">
        <v>100000000</v>
      </c>
      <c r="H1729" s="16">
        <v>3</v>
      </c>
      <c r="I1729" s="17">
        <v>21</v>
      </c>
      <c r="J1729" s="15">
        <v>100000000</v>
      </c>
      <c r="K1729" s="98">
        <f t="shared" si="78"/>
        <v>0</v>
      </c>
      <c r="L1729" s="98" t="str">
        <f t="shared" si="79"/>
        <v>Lancar</v>
      </c>
      <c r="M1729" s="5" t="str">
        <f t="shared" si="80"/>
        <v>006</v>
      </c>
      <c r="N1729" s="55" t="str">
        <f>VLOOKUP(D1729,Pinjaman!$E$7:$N$1900,10,FALSE)</f>
        <v>PRODUKTIF</v>
      </c>
      <c r="O1729" s="55">
        <f>VLOOKUP(B1729,'Data Angt'!$A$5:$H$5810,6,FALSE)</f>
        <v>49</v>
      </c>
      <c r="P1729" s="55" t="str">
        <f>VLOOKUP(B1729,'Data Angt'!$A$5:$H$5810,8,FALSE)</f>
        <v>Karyawan</v>
      </c>
    </row>
    <row r="1730" spans="1:16" x14ac:dyDescent="0.3">
      <c r="A1730" s="8">
        <v>1723</v>
      </c>
      <c r="B1730" s="9" t="s">
        <v>1909</v>
      </c>
      <c r="C1730" s="10" t="str">
        <f>VLOOKUP(B1730,'Data Angt'!$A$5:$B$5809,2,FALSE)</f>
        <v>A772</v>
      </c>
      <c r="D1730" s="12" t="s">
        <v>23849</v>
      </c>
      <c r="E1730" s="13">
        <v>45839</v>
      </c>
      <c r="F1730" s="14">
        <v>45904</v>
      </c>
      <c r="G1730" s="15">
        <v>9000000</v>
      </c>
      <c r="H1730" s="16">
        <v>24</v>
      </c>
      <c r="I1730" s="17">
        <v>24</v>
      </c>
      <c r="J1730" s="15">
        <v>8250000</v>
      </c>
      <c r="K1730" s="98">
        <f t="shared" si="78"/>
        <v>0</v>
      </c>
      <c r="L1730" s="98" t="str">
        <f t="shared" si="79"/>
        <v>Lancar</v>
      </c>
      <c r="M1730" s="5" t="str">
        <f t="shared" si="80"/>
        <v>006</v>
      </c>
      <c r="N1730" s="55" t="str">
        <f>VLOOKUP(D1730,Pinjaman!$E$7:$N$1900,10,FALSE)</f>
        <v>PENDIDIKAN</v>
      </c>
      <c r="O1730" s="55">
        <f>VLOOKUP(B1730,'Data Angt'!$A$5:$H$5810,6,FALSE)</f>
        <v>52</v>
      </c>
      <c r="P1730" s="55" t="str">
        <f>VLOOKUP(B1730,'Data Angt'!$A$5:$H$5810,8,FALSE)</f>
        <v>Tenaga Pengajar</v>
      </c>
    </row>
    <row r="1731" spans="1:16" x14ac:dyDescent="0.3">
      <c r="A1731" s="8">
        <v>1724</v>
      </c>
      <c r="B1731" s="9" t="s">
        <v>2041</v>
      </c>
      <c r="C1731" s="10" t="str">
        <f>VLOOKUP(B1731,'Data Angt'!$A$5:$B$5809,2,FALSE)</f>
        <v>A838</v>
      </c>
      <c r="D1731" s="12" t="s">
        <v>17770</v>
      </c>
      <c r="E1731" s="13">
        <v>45467</v>
      </c>
      <c r="F1731" s="14">
        <v>45769</v>
      </c>
      <c r="G1731" s="15">
        <v>10000000</v>
      </c>
      <c r="H1731" s="16">
        <v>24</v>
      </c>
      <c r="I1731" s="17">
        <v>24</v>
      </c>
      <c r="J1731" s="15">
        <v>6800100</v>
      </c>
      <c r="K1731" s="98">
        <f t="shared" si="78"/>
        <v>5</v>
      </c>
      <c r="L1731" s="98" t="str">
        <f t="shared" si="79"/>
        <v>Kurang lancar</v>
      </c>
      <c r="M1731" s="5" t="str">
        <f t="shared" si="80"/>
        <v>006</v>
      </c>
      <c r="N1731" s="55" t="str">
        <f>VLOOKUP(D1731,Pinjaman!$E$7:$N$1900,10,FALSE)</f>
        <v>PRODUKTIF</v>
      </c>
      <c r="O1731" s="55">
        <f>VLOOKUP(B1731,'Data Angt'!$A$5:$H$5810,6,FALSE)</f>
        <v>65</v>
      </c>
      <c r="P1731" s="55" t="str">
        <f>VLOOKUP(B1731,'Data Angt'!$A$5:$H$5810,8,FALSE)</f>
        <v>Pensiunan</v>
      </c>
    </row>
    <row r="1732" spans="1:16" x14ac:dyDescent="0.3">
      <c r="A1732" s="8">
        <v>1725</v>
      </c>
      <c r="B1732" s="9" t="s">
        <v>2135</v>
      </c>
      <c r="C1732" s="10" t="str">
        <f>VLOOKUP(B1732,'Data Angt'!$A$5:$B$5809,2,FALSE)</f>
        <v>A880</v>
      </c>
      <c r="D1732" s="12" t="s">
        <v>10658</v>
      </c>
      <c r="E1732" s="13">
        <v>45161</v>
      </c>
      <c r="F1732" s="14">
        <v>45716</v>
      </c>
      <c r="G1732" s="15">
        <v>15000000</v>
      </c>
      <c r="H1732" s="16">
        <v>36</v>
      </c>
      <c r="I1732" s="17">
        <v>27</v>
      </c>
      <c r="J1732" s="15">
        <v>9000300</v>
      </c>
      <c r="K1732" s="98">
        <f t="shared" si="78"/>
        <v>7</v>
      </c>
      <c r="L1732" s="98" t="str">
        <f t="shared" si="79"/>
        <v>Diragukan</v>
      </c>
      <c r="M1732" s="5" t="str">
        <f t="shared" si="80"/>
        <v>006</v>
      </c>
      <c r="N1732" s="55" t="str">
        <f>VLOOKUP(D1732,Pinjaman!$E$7:$N$1900,10,FALSE)</f>
        <v>PRODUKTIF</v>
      </c>
      <c r="O1732" s="55">
        <f>VLOOKUP(B1732,'Data Angt'!$A$5:$H$5810,6,FALSE)</f>
        <v>48</v>
      </c>
      <c r="P1732" s="55" t="str">
        <f>VLOOKUP(B1732,'Data Angt'!$A$5:$H$5810,8,FALSE)</f>
        <v>Wiraswasta</v>
      </c>
    </row>
    <row r="1733" spans="1:16" x14ac:dyDescent="0.3">
      <c r="A1733" s="8">
        <v>1726</v>
      </c>
      <c r="B1733" s="9" t="s">
        <v>2142</v>
      </c>
      <c r="C1733" s="10" t="str">
        <f>VLOOKUP(B1733,'Data Angt'!$A$5:$B$5809,2,FALSE)</f>
        <v>A884</v>
      </c>
      <c r="D1733" s="12" t="s">
        <v>10661</v>
      </c>
      <c r="E1733" s="13">
        <v>42304</v>
      </c>
      <c r="F1733" s="14">
        <v>44238</v>
      </c>
      <c r="G1733" s="15">
        <v>6500000</v>
      </c>
      <c r="H1733" s="16">
        <v>24</v>
      </c>
      <c r="I1733" s="17">
        <v>27</v>
      </c>
      <c r="J1733" s="15">
        <v>4716400</v>
      </c>
      <c r="K1733" s="98">
        <f t="shared" si="78"/>
        <v>55</v>
      </c>
      <c r="L1733" s="98" t="str">
        <f t="shared" si="79"/>
        <v>Macet</v>
      </c>
      <c r="M1733" s="5" t="str">
        <f t="shared" si="80"/>
        <v>006</v>
      </c>
      <c r="N1733" s="55">
        <f>VLOOKUP(D1733,Pinjaman!$E$7:$N$1900,10,FALSE)</f>
        <v>0</v>
      </c>
      <c r="O1733" s="55">
        <f>VLOOKUP(B1733,'Data Angt'!$A$5:$H$5810,6,FALSE)</f>
        <v>52</v>
      </c>
      <c r="P1733" s="55" t="str">
        <f>VLOOKUP(B1733,'Data Angt'!$A$5:$H$5810,8,FALSE)</f>
        <v>Wiraswasta</v>
      </c>
    </row>
    <row r="1734" spans="1:16" x14ac:dyDescent="0.3">
      <c r="A1734" s="8">
        <v>1727</v>
      </c>
      <c r="B1734" s="9" t="s">
        <v>2276</v>
      </c>
      <c r="C1734" s="10" t="str">
        <f>VLOOKUP(B1734,'Data Angt'!$A$5:$B$5809,2,FALSE)</f>
        <v>A946</v>
      </c>
      <c r="D1734" s="12" t="s">
        <v>10662</v>
      </c>
      <c r="E1734" s="13">
        <v>43845</v>
      </c>
      <c r="F1734" s="14">
        <v>45777</v>
      </c>
      <c r="G1734" s="15">
        <v>30000000</v>
      </c>
      <c r="H1734" s="16">
        <v>24</v>
      </c>
      <c r="I1734" s="17">
        <v>21</v>
      </c>
      <c r="J1734" s="15">
        <v>10736000</v>
      </c>
      <c r="K1734" s="98">
        <f t="shared" si="78"/>
        <v>5</v>
      </c>
      <c r="L1734" s="98" t="str">
        <f t="shared" si="79"/>
        <v>Kurang lancar</v>
      </c>
      <c r="M1734" s="5" t="str">
        <f t="shared" si="80"/>
        <v>006</v>
      </c>
      <c r="N1734" s="55" t="str">
        <f>VLOOKUP(D1734,Pinjaman!$E$7:$N$1900,10,FALSE)</f>
        <v>PRODUKTIF</v>
      </c>
      <c r="O1734" s="55">
        <f>VLOOKUP(B1734,'Data Angt'!$A$5:$H$5810,6,FALSE)</f>
        <v>48</v>
      </c>
      <c r="P1734" s="55" t="str">
        <f>VLOOKUP(B1734,'Data Angt'!$A$5:$H$5810,8,FALSE)</f>
        <v>Wiraswasta</v>
      </c>
    </row>
    <row r="1735" spans="1:16" x14ac:dyDescent="0.3">
      <c r="A1735" s="8">
        <v>1728</v>
      </c>
      <c r="B1735" s="9" t="s">
        <v>2335</v>
      </c>
      <c r="C1735" s="10" t="str">
        <f>VLOOKUP(B1735,'Data Angt'!$A$5:$B$5809,2,FALSE)</f>
        <v>A971</v>
      </c>
      <c r="D1735" s="12" t="s">
        <v>10665</v>
      </c>
      <c r="E1735" s="13">
        <v>43396</v>
      </c>
      <c r="F1735" s="14">
        <v>44345</v>
      </c>
      <c r="G1735" s="15">
        <v>35000000</v>
      </c>
      <c r="H1735" s="16">
        <v>24</v>
      </c>
      <c r="I1735" s="17">
        <v>27</v>
      </c>
      <c r="J1735" s="15">
        <v>25076500</v>
      </c>
      <c r="K1735" s="98">
        <f t="shared" si="78"/>
        <v>52</v>
      </c>
      <c r="L1735" s="98" t="str">
        <f t="shared" si="79"/>
        <v>Macet</v>
      </c>
      <c r="M1735" s="5" t="str">
        <f t="shared" si="80"/>
        <v>006</v>
      </c>
      <c r="N1735" s="55" t="str">
        <f>VLOOKUP(D1735,Pinjaman!$E$7:$N$1900,10,FALSE)</f>
        <v>PRODUKTIF</v>
      </c>
      <c r="O1735" s="55">
        <f>VLOOKUP(B1735,'Data Angt'!$A$5:$H$5810,6,FALSE)</f>
        <v>58</v>
      </c>
      <c r="P1735" s="55" t="str">
        <f>VLOOKUP(B1735,'Data Angt'!$A$5:$H$5810,8,FALSE)</f>
        <v>Wiraswasta</v>
      </c>
    </row>
    <row r="1736" spans="1:16" x14ac:dyDescent="0.3">
      <c r="A1736" s="8">
        <v>1729</v>
      </c>
      <c r="B1736" s="9" t="s">
        <v>2339</v>
      </c>
      <c r="C1736" s="10" t="str">
        <f>VLOOKUP(B1736,'Data Angt'!$A$5:$B$5809,2,FALSE)</f>
        <v>A972</v>
      </c>
      <c r="D1736" s="12" t="s">
        <v>17773</v>
      </c>
      <c r="E1736" s="13">
        <v>45825</v>
      </c>
      <c r="F1736" s="14">
        <v>45917</v>
      </c>
      <c r="G1736" s="15">
        <v>14500000</v>
      </c>
      <c r="H1736" s="16">
        <v>36</v>
      </c>
      <c r="I1736" s="17">
        <v>24</v>
      </c>
      <c r="J1736" s="15">
        <v>13646600</v>
      </c>
      <c r="K1736" s="98">
        <f t="shared" si="78"/>
        <v>0</v>
      </c>
      <c r="L1736" s="98" t="str">
        <f t="shared" si="79"/>
        <v>Lancar</v>
      </c>
      <c r="M1736" s="5" t="str">
        <f t="shared" si="80"/>
        <v>006</v>
      </c>
      <c r="N1736" s="55" t="str">
        <f>VLOOKUP(D1736,Pinjaman!$E$7:$N$1900,10,FALSE)</f>
        <v>PENDIDIKAN</v>
      </c>
      <c r="O1736" s="55">
        <f>VLOOKUP(B1736,'Data Angt'!$A$5:$H$5810,6,FALSE)</f>
        <v>51</v>
      </c>
      <c r="P1736" s="55" t="str">
        <f>VLOOKUP(B1736,'Data Angt'!$A$5:$H$5810,8,FALSE)</f>
        <v>Karyawan</v>
      </c>
    </row>
    <row r="1737" spans="1:16" x14ac:dyDescent="0.3">
      <c r="A1737" s="8">
        <v>1730</v>
      </c>
      <c r="B1737" s="9" t="s">
        <v>2404</v>
      </c>
      <c r="C1737" s="10" t="str">
        <f>VLOOKUP(B1737,'Data Angt'!$A$5:$B$5809,2,FALSE)</f>
        <v>A1001</v>
      </c>
      <c r="D1737" s="12" t="s">
        <v>10668</v>
      </c>
      <c r="E1737" s="13">
        <v>43609</v>
      </c>
      <c r="F1737" s="14">
        <v>45923</v>
      </c>
      <c r="G1737" s="15">
        <v>50000000</v>
      </c>
      <c r="H1737" s="16">
        <v>24</v>
      </c>
      <c r="I1737" s="17">
        <v>27</v>
      </c>
      <c r="J1737" s="15">
        <v>32532800</v>
      </c>
      <c r="K1737" s="98">
        <f t="shared" ref="K1737:K1800" si="81">DATEDIF(F1737,$K$6,"m")</f>
        <v>0</v>
      </c>
      <c r="L1737" s="98" t="str">
        <f t="shared" ref="L1737:L1800" si="82">IF(K1737&lt;=3,"Lancar",IF(K1737&lt;=6,"Kurang lancar",IF(K1737&lt;=12,"Diragukan","Macet")))</f>
        <v>Lancar</v>
      </c>
      <c r="M1737" s="5" t="str">
        <f t="shared" ref="M1737:M1800" si="83">MID(B1737,7,3)</f>
        <v>006</v>
      </c>
      <c r="N1737" s="55" t="str">
        <f>VLOOKUP(D1737,Pinjaman!$E$7:$N$1900,10,FALSE)</f>
        <v>PRODUKTIF</v>
      </c>
      <c r="O1737" s="55">
        <f>VLOOKUP(B1737,'Data Angt'!$A$5:$H$5810,6,FALSE)</f>
        <v>62</v>
      </c>
      <c r="P1737" s="55" t="str">
        <f>VLOOKUP(B1737,'Data Angt'!$A$5:$H$5810,8,FALSE)</f>
        <v>Wiraswasta</v>
      </c>
    </row>
    <row r="1738" spans="1:16" x14ac:dyDescent="0.3">
      <c r="A1738" s="8">
        <v>1731</v>
      </c>
      <c r="B1738" s="9" t="s">
        <v>2513</v>
      </c>
      <c r="C1738" s="10" t="str">
        <f>VLOOKUP(B1738,'Data Angt'!$A$5:$B$5809,2,FALSE)</f>
        <v>A1047</v>
      </c>
      <c r="D1738" s="12" t="s">
        <v>17775</v>
      </c>
      <c r="E1738" s="13">
        <v>45566</v>
      </c>
      <c r="F1738" s="14">
        <v>45904</v>
      </c>
      <c r="G1738" s="15">
        <v>15000000</v>
      </c>
      <c r="H1738" s="16">
        <v>18</v>
      </c>
      <c r="I1738" s="17">
        <v>11.6</v>
      </c>
      <c r="J1738" s="15">
        <v>6143700</v>
      </c>
      <c r="K1738" s="98">
        <f t="shared" si="81"/>
        <v>0</v>
      </c>
      <c r="L1738" s="98" t="str">
        <f t="shared" si="82"/>
        <v>Lancar</v>
      </c>
      <c r="M1738" s="5" t="str">
        <f t="shared" si="83"/>
        <v>006</v>
      </c>
      <c r="N1738" s="55" t="str">
        <f>VLOOKUP(D1738,Pinjaman!$E$7:$N$1900,10,FALSE)</f>
        <v>PRODUKTIF</v>
      </c>
      <c r="O1738" s="55">
        <f>VLOOKUP(B1738,'Data Angt'!$A$5:$H$5810,6,FALSE)</f>
        <v>47</v>
      </c>
      <c r="P1738" s="55" t="str">
        <f>VLOOKUP(B1738,'Data Angt'!$A$5:$H$5810,8,FALSE)</f>
        <v>Wiraswasta</v>
      </c>
    </row>
    <row r="1739" spans="1:16" x14ac:dyDescent="0.3">
      <c r="A1739" s="8">
        <v>1732</v>
      </c>
      <c r="B1739" s="9" t="s">
        <v>2553</v>
      </c>
      <c r="C1739" s="10" t="str">
        <f>VLOOKUP(B1739,'Data Angt'!$A$5:$B$5809,2,FALSE)</f>
        <v>A1064</v>
      </c>
      <c r="D1739" s="12" t="s">
        <v>10671</v>
      </c>
      <c r="E1739" s="13">
        <v>43750</v>
      </c>
      <c r="F1739" s="14">
        <v>44238</v>
      </c>
      <c r="G1739" s="15">
        <v>20000000</v>
      </c>
      <c r="H1739" s="16">
        <v>24</v>
      </c>
      <c r="I1739" s="17">
        <v>27</v>
      </c>
      <c r="J1739" s="15">
        <v>16666400</v>
      </c>
      <c r="K1739" s="98">
        <f t="shared" si="81"/>
        <v>55</v>
      </c>
      <c r="L1739" s="98" t="str">
        <f t="shared" si="82"/>
        <v>Macet</v>
      </c>
      <c r="M1739" s="5" t="str">
        <f t="shared" si="83"/>
        <v>006</v>
      </c>
      <c r="N1739" s="55" t="str">
        <f>VLOOKUP(D1739,Pinjaman!$E$7:$N$1900,10,FALSE)</f>
        <v>PRODUKTIF</v>
      </c>
      <c r="O1739" s="55">
        <f>VLOOKUP(B1739,'Data Angt'!$A$5:$H$5810,6,FALSE)</f>
        <v>46</v>
      </c>
      <c r="P1739" s="55" t="str">
        <f>VLOOKUP(B1739,'Data Angt'!$A$5:$H$5810,8,FALSE)</f>
        <v>Wiraswasta</v>
      </c>
    </row>
    <row r="1740" spans="1:16" x14ac:dyDescent="0.3">
      <c r="A1740" s="8">
        <v>1733</v>
      </c>
      <c r="B1740" s="9" t="s">
        <v>2630</v>
      </c>
      <c r="C1740" s="10" t="str">
        <f>VLOOKUP(B1740,'Data Angt'!$A$5:$B$5809,2,FALSE)</f>
        <v>A1100</v>
      </c>
      <c r="D1740" s="12" t="s">
        <v>17777</v>
      </c>
      <c r="E1740" s="13">
        <v>45469</v>
      </c>
      <c r="F1740" s="14">
        <v>45688</v>
      </c>
      <c r="G1740" s="15">
        <v>15000000</v>
      </c>
      <c r="H1740" s="16">
        <v>12</v>
      </c>
      <c r="I1740" s="17">
        <v>24</v>
      </c>
      <c r="J1740" s="15">
        <v>6686000</v>
      </c>
      <c r="K1740" s="98">
        <f t="shared" si="81"/>
        <v>7</v>
      </c>
      <c r="L1740" s="98" t="str">
        <f t="shared" si="82"/>
        <v>Diragukan</v>
      </c>
      <c r="M1740" s="5" t="str">
        <f t="shared" si="83"/>
        <v>006</v>
      </c>
      <c r="N1740" s="55" t="str">
        <f>VLOOKUP(D1740,Pinjaman!$E$7:$N$1900,10,FALSE)</f>
        <v>PRODUKTIF</v>
      </c>
      <c r="O1740" s="55">
        <f>VLOOKUP(B1740,'Data Angt'!$A$5:$H$5810,6,FALSE)</f>
        <v>44</v>
      </c>
      <c r="P1740" s="55" t="str">
        <f>VLOOKUP(B1740,'Data Angt'!$A$5:$H$5810,8,FALSE)</f>
        <v>Wiraswasta</v>
      </c>
    </row>
    <row r="1741" spans="1:16" x14ac:dyDescent="0.3">
      <c r="A1741" s="8">
        <v>1734</v>
      </c>
      <c r="B1741" s="9" t="s">
        <v>2640</v>
      </c>
      <c r="C1741" s="10" t="str">
        <f>VLOOKUP(B1741,'Data Angt'!$A$5:$B$5809,2,FALSE)</f>
        <v>A1104</v>
      </c>
      <c r="D1741" s="12" t="s">
        <v>17780</v>
      </c>
      <c r="E1741" s="13">
        <v>45805</v>
      </c>
      <c r="F1741" s="14">
        <v>45925</v>
      </c>
      <c r="G1741" s="15">
        <v>5000000</v>
      </c>
      <c r="H1741" s="16">
        <v>12</v>
      </c>
      <c r="I1741" s="17">
        <v>24</v>
      </c>
      <c r="J1741" s="15">
        <v>3463600</v>
      </c>
      <c r="K1741" s="98">
        <f t="shared" si="81"/>
        <v>0</v>
      </c>
      <c r="L1741" s="98" t="str">
        <f t="shared" si="82"/>
        <v>Lancar</v>
      </c>
      <c r="M1741" s="5" t="str">
        <f t="shared" si="83"/>
        <v>006</v>
      </c>
      <c r="N1741" s="55" t="str">
        <f>VLOOKUP(D1741,Pinjaman!$E$7:$N$1900,10,FALSE)</f>
        <v>PENDIDIKAN</v>
      </c>
      <c r="O1741" s="55">
        <f>VLOOKUP(B1741,'Data Angt'!$A$5:$H$5810,6,FALSE)</f>
        <v>54</v>
      </c>
      <c r="P1741" s="55" t="str">
        <f>VLOOKUP(B1741,'Data Angt'!$A$5:$H$5810,8,FALSE)</f>
        <v>Lain-Lain</v>
      </c>
    </row>
    <row r="1742" spans="1:16" x14ac:dyDescent="0.3">
      <c r="A1742" s="8">
        <v>1735</v>
      </c>
      <c r="B1742" s="9" t="s">
        <v>2667</v>
      </c>
      <c r="C1742" s="10" t="str">
        <f>VLOOKUP(B1742,'Data Angt'!$A$5:$B$5809,2,FALSE)</f>
        <v>A1115</v>
      </c>
      <c r="D1742" s="12" t="s">
        <v>10674</v>
      </c>
      <c r="E1742" s="13">
        <v>44702</v>
      </c>
      <c r="F1742" s="14">
        <v>45927</v>
      </c>
      <c r="G1742" s="15">
        <v>12500000</v>
      </c>
      <c r="H1742" s="16">
        <v>48</v>
      </c>
      <c r="I1742" s="17">
        <v>27</v>
      </c>
      <c r="J1742" s="15">
        <v>3104500</v>
      </c>
      <c r="K1742" s="98">
        <f t="shared" si="81"/>
        <v>0</v>
      </c>
      <c r="L1742" s="98" t="str">
        <f t="shared" si="82"/>
        <v>Lancar</v>
      </c>
      <c r="M1742" s="5" t="str">
        <f t="shared" si="83"/>
        <v>006</v>
      </c>
      <c r="N1742" s="55" t="str">
        <f>VLOOKUP(D1742,Pinjaman!$E$7:$N$1900,10,FALSE)</f>
        <v>KESEHATAN</v>
      </c>
      <c r="O1742" s="55">
        <f>VLOOKUP(B1742,'Data Angt'!$A$5:$H$5810,6,FALSE)</f>
        <v>38</v>
      </c>
      <c r="P1742" s="55" t="str">
        <f>VLOOKUP(B1742,'Data Angt'!$A$5:$H$5810,8,FALSE)</f>
        <v>Karyawan</v>
      </c>
    </row>
    <row r="1743" spans="1:16" x14ac:dyDescent="0.3">
      <c r="A1743" s="8">
        <v>1736</v>
      </c>
      <c r="B1743" s="9" t="s">
        <v>2809</v>
      </c>
      <c r="C1743" s="10" t="str">
        <f>VLOOKUP(B1743,'Data Angt'!$A$5:$B$5809,2,FALSE)</f>
        <v>A1181</v>
      </c>
      <c r="D1743" s="12" t="s">
        <v>17782</v>
      </c>
      <c r="E1743" s="13">
        <v>45579</v>
      </c>
      <c r="F1743" s="14">
        <v>45923</v>
      </c>
      <c r="G1743" s="15">
        <v>10000000</v>
      </c>
      <c r="H1743" s="16">
        <v>24</v>
      </c>
      <c r="I1743" s="17">
        <v>24</v>
      </c>
      <c r="J1743" s="15">
        <v>6015100</v>
      </c>
      <c r="K1743" s="98">
        <f t="shared" si="81"/>
        <v>0</v>
      </c>
      <c r="L1743" s="98" t="str">
        <f t="shared" si="82"/>
        <v>Lancar</v>
      </c>
      <c r="M1743" s="5" t="str">
        <f t="shared" si="83"/>
        <v>006</v>
      </c>
      <c r="N1743" s="55" t="str">
        <f>VLOOKUP(D1743,Pinjaman!$E$7:$N$1900,10,FALSE)</f>
        <v>PRODUKTIF</v>
      </c>
      <c r="O1743" s="55">
        <f>VLOOKUP(B1743,'Data Angt'!$A$5:$H$5810,6,FALSE)</f>
        <v>60</v>
      </c>
      <c r="P1743" s="55" t="str">
        <f>VLOOKUP(B1743,'Data Angt'!$A$5:$H$5810,8,FALSE)</f>
        <v>Wiraswasta</v>
      </c>
    </row>
    <row r="1744" spans="1:16" x14ac:dyDescent="0.3">
      <c r="A1744" s="8">
        <v>1737</v>
      </c>
      <c r="B1744" s="9" t="s">
        <v>2829</v>
      </c>
      <c r="C1744" s="10" t="str">
        <f>VLOOKUP(B1744,'Data Angt'!$A$5:$B$5809,2,FALSE)</f>
        <v>A1194</v>
      </c>
      <c r="D1744" s="12" t="s">
        <v>10677</v>
      </c>
      <c r="E1744" s="13">
        <v>40988</v>
      </c>
      <c r="F1744" s="14">
        <v>44238</v>
      </c>
      <c r="G1744" s="15">
        <v>11000000</v>
      </c>
      <c r="H1744" s="16">
        <v>24</v>
      </c>
      <c r="I1744" s="17">
        <v>15.6</v>
      </c>
      <c r="J1744" s="15">
        <v>5145500</v>
      </c>
      <c r="K1744" s="98">
        <f t="shared" si="81"/>
        <v>55</v>
      </c>
      <c r="L1744" s="98" t="str">
        <f t="shared" si="82"/>
        <v>Macet</v>
      </c>
      <c r="M1744" s="5" t="str">
        <f t="shared" si="83"/>
        <v>006</v>
      </c>
      <c r="N1744" s="55">
        <f>VLOOKUP(D1744,Pinjaman!$E$7:$N$1900,10,FALSE)</f>
        <v>0</v>
      </c>
      <c r="O1744" s="55">
        <f>VLOOKUP(B1744,'Data Angt'!$A$5:$H$5810,6,FALSE)</f>
        <v>52</v>
      </c>
      <c r="P1744" s="55" t="str">
        <f>VLOOKUP(B1744,'Data Angt'!$A$5:$H$5810,8,FALSE)</f>
        <v>Wiraswasta</v>
      </c>
    </row>
    <row r="1745" spans="1:16" x14ac:dyDescent="0.3">
      <c r="A1745" s="8">
        <v>1738</v>
      </c>
      <c r="B1745" s="9" t="s">
        <v>2991</v>
      </c>
      <c r="C1745" s="10" t="str">
        <f>VLOOKUP(B1745,'Data Angt'!$A$5:$B$5809,2,FALSE)</f>
        <v>A1264</v>
      </c>
      <c r="D1745" s="12" t="s">
        <v>10678</v>
      </c>
      <c r="E1745" s="13">
        <v>44671</v>
      </c>
      <c r="F1745" s="14">
        <v>45915</v>
      </c>
      <c r="G1745" s="15">
        <v>150000000</v>
      </c>
      <c r="H1745" s="16">
        <v>120</v>
      </c>
      <c r="I1745" s="17">
        <v>11.4</v>
      </c>
      <c r="J1745" s="15">
        <v>116336700</v>
      </c>
      <c r="K1745" s="98">
        <f t="shared" si="81"/>
        <v>0</v>
      </c>
      <c r="L1745" s="98" t="str">
        <f t="shared" si="82"/>
        <v>Lancar</v>
      </c>
      <c r="M1745" s="5" t="str">
        <f t="shared" si="83"/>
        <v>006</v>
      </c>
      <c r="N1745" s="55" t="str">
        <f>VLOOKUP(D1745,Pinjaman!$E$7:$N$1900,10,FALSE)</f>
        <v>KESEJAHTERAAN</v>
      </c>
      <c r="O1745" s="55">
        <f>VLOOKUP(B1745,'Data Angt'!$A$5:$H$5810,6,FALSE)</f>
        <v>56</v>
      </c>
      <c r="P1745" s="55" t="str">
        <f>VLOOKUP(B1745,'Data Angt'!$A$5:$H$5810,8,FALSE)</f>
        <v>Tenaga Pengajar</v>
      </c>
    </row>
    <row r="1746" spans="1:16" x14ac:dyDescent="0.3">
      <c r="A1746" s="8">
        <v>1739</v>
      </c>
      <c r="B1746" s="9" t="s">
        <v>2991</v>
      </c>
      <c r="C1746" s="10" t="str">
        <f>VLOOKUP(B1746,'Data Angt'!$A$5:$B$5809,2,FALSE)</f>
        <v>A1264</v>
      </c>
      <c r="D1746" s="12" t="s">
        <v>17784</v>
      </c>
      <c r="E1746" s="13">
        <v>45782</v>
      </c>
      <c r="F1746" s="14">
        <v>45904</v>
      </c>
      <c r="G1746" s="15">
        <v>5000000</v>
      </c>
      <c r="H1746" s="16">
        <v>6</v>
      </c>
      <c r="I1746" s="17">
        <v>24</v>
      </c>
      <c r="J1746" s="15">
        <v>1666400</v>
      </c>
      <c r="K1746" s="98">
        <f t="shared" si="81"/>
        <v>0</v>
      </c>
      <c r="L1746" s="98" t="str">
        <f t="shared" si="82"/>
        <v>Lancar</v>
      </c>
      <c r="M1746" s="5" t="str">
        <f t="shared" si="83"/>
        <v>006</v>
      </c>
      <c r="N1746" s="55" t="str">
        <f>VLOOKUP(D1746,Pinjaman!$E$7:$N$1900,10,FALSE)</f>
        <v>KONSUMTIF</v>
      </c>
      <c r="O1746" s="55">
        <f>VLOOKUP(B1746,'Data Angt'!$A$5:$H$5810,6,FALSE)</f>
        <v>56</v>
      </c>
      <c r="P1746" s="55" t="str">
        <f>VLOOKUP(B1746,'Data Angt'!$A$5:$H$5810,8,FALSE)</f>
        <v>Tenaga Pengajar</v>
      </c>
    </row>
    <row r="1747" spans="1:16" x14ac:dyDescent="0.3">
      <c r="A1747" s="8">
        <v>1740</v>
      </c>
      <c r="B1747" s="9" t="s">
        <v>3057</v>
      </c>
      <c r="C1747" s="10" t="str">
        <f>VLOOKUP(B1747,'Data Angt'!$A$5:$B$5809,2,FALSE)</f>
        <v>A1294</v>
      </c>
      <c r="D1747" s="12" t="s">
        <v>10681</v>
      </c>
      <c r="E1747" s="13">
        <v>44320</v>
      </c>
      <c r="F1747" s="14">
        <v>45868</v>
      </c>
      <c r="G1747" s="15">
        <v>15000000</v>
      </c>
      <c r="H1747" s="16">
        <v>30</v>
      </c>
      <c r="I1747" s="17">
        <v>27</v>
      </c>
      <c r="J1747" s="15">
        <v>11922200</v>
      </c>
      <c r="K1747" s="98">
        <f t="shared" si="81"/>
        <v>2</v>
      </c>
      <c r="L1747" s="98" t="str">
        <f t="shared" si="82"/>
        <v>Lancar</v>
      </c>
      <c r="M1747" s="5" t="str">
        <f t="shared" si="83"/>
        <v>006</v>
      </c>
      <c r="N1747" s="55" t="str">
        <f>VLOOKUP(D1747,Pinjaman!$E$7:$N$1900,10,FALSE)</f>
        <v>PRODUKTIF</v>
      </c>
      <c r="O1747" s="55">
        <f>VLOOKUP(B1747,'Data Angt'!$A$5:$H$5810,6,FALSE)</f>
        <v>53</v>
      </c>
      <c r="P1747" s="55" t="str">
        <f>VLOOKUP(B1747,'Data Angt'!$A$5:$H$5810,8,FALSE)</f>
        <v>Wiraswasta</v>
      </c>
    </row>
    <row r="1748" spans="1:16" x14ac:dyDescent="0.3">
      <c r="A1748" s="8">
        <v>1741</v>
      </c>
      <c r="B1748" s="9" t="s">
        <v>3095</v>
      </c>
      <c r="C1748" s="10" t="str">
        <f>VLOOKUP(B1748,'Data Angt'!$A$5:$B$5809,2,FALSE)</f>
        <v>A1310</v>
      </c>
      <c r="D1748" s="12" t="s">
        <v>23859</v>
      </c>
      <c r="E1748" s="13">
        <v>45925</v>
      </c>
      <c r="F1748" s="14">
        <v>45925</v>
      </c>
      <c r="G1748" s="15">
        <v>7000000</v>
      </c>
      <c r="H1748" s="16">
        <v>12</v>
      </c>
      <c r="I1748" s="17">
        <v>24</v>
      </c>
      <c r="J1748" s="15">
        <v>7000000</v>
      </c>
      <c r="K1748" s="98">
        <f t="shared" si="81"/>
        <v>0</v>
      </c>
      <c r="L1748" s="98" t="str">
        <f t="shared" si="82"/>
        <v>Lancar</v>
      </c>
      <c r="M1748" s="5" t="str">
        <f t="shared" si="83"/>
        <v>006</v>
      </c>
      <c r="N1748" s="55" t="str">
        <f>VLOOKUP(D1748,Pinjaman!$E$7:$N$1900,10,FALSE)</f>
        <v>KONSUMTIF</v>
      </c>
      <c r="O1748" s="55">
        <f>VLOOKUP(B1748,'Data Angt'!$A$5:$H$5810,6,FALSE)</f>
        <v>62</v>
      </c>
      <c r="P1748" s="55" t="str">
        <f>VLOOKUP(B1748,'Data Angt'!$A$5:$H$5810,8,FALSE)</f>
        <v>Mengurus Rumah Tangga</v>
      </c>
    </row>
    <row r="1749" spans="1:16" x14ac:dyDescent="0.3">
      <c r="A1749" s="8">
        <v>1742</v>
      </c>
      <c r="B1749" s="9" t="s">
        <v>3116</v>
      </c>
      <c r="C1749" s="10" t="str">
        <f>VLOOKUP(B1749,'Data Angt'!$A$5:$B$5809,2,FALSE)</f>
        <v>A1319</v>
      </c>
      <c r="D1749" s="12" t="s">
        <v>10684</v>
      </c>
      <c r="E1749" s="13">
        <v>44916</v>
      </c>
      <c r="F1749" s="14">
        <v>45016</v>
      </c>
      <c r="G1749" s="15">
        <v>10000000</v>
      </c>
      <c r="H1749" s="16">
        <v>24</v>
      </c>
      <c r="I1749" s="17">
        <v>27</v>
      </c>
      <c r="J1749" s="15">
        <v>9355200</v>
      </c>
      <c r="K1749" s="98">
        <f t="shared" si="81"/>
        <v>29</v>
      </c>
      <c r="L1749" s="98" t="str">
        <f t="shared" si="82"/>
        <v>Macet</v>
      </c>
      <c r="M1749" s="5" t="str">
        <f t="shared" si="83"/>
        <v>006</v>
      </c>
      <c r="N1749" s="55" t="str">
        <f>VLOOKUP(D1749,Pinjaman!$E$7:$N$1900,10,FALSE)</f>
        <v>PRODUKTIF</v>
      </c>
      <c r="O1749" s="55">
        <f>VLOOKUP(B1749,'Data Angt'!$A$5:$H$5810,6,FALSE)</f>
        <v>57</v>
      </c>
      <c r="P1749" s="55" t="str">
        <f>VLOOKUP(B1749,'Data Angt'!$A$5:$H$5810,8,FALSE)</f>
        <v>Wiraswasta</v>
      </c>
    </row>
    <row r="1750" spans="1:16" x14ac:dyDescent="0.3">
      <c r="A1750" s="8">
        <v>1743</v>
      </c>
      <c r="B1750" s="9" t="s">
        <v>3175</v>
      </c>
      <c r="C1750" s="10" t="str">
        <f>VLOOKUP(B1750,'Data Angt'!$A$5:$B$5809,2,FALSE)</f>
        <v>A1346</v>
      </c>
      <c r="D1750" s="12" t="s">
        <v>10687</v>
      </c>
      <c r="E1750" s="13">
        <v>42195</v>
      </c>
      <c r="F1750" s="14">
        <v>44238</v>
      </c>
      <c r="G1750" s="15">
        <v>12500000</v>
      </c>
      <c r="H1750" s="16">
        <v>36</v>
      </c>
      <c r="I1750" s="17">
        <v>15.6</v>
      </c>
      <c r="J1750" s="15">
        <v>7789500</v>
      </c>
      <c r="K1750" s="98">
        <f t="shared" si="81"/>
        <v>55</v>
      </c>
      <c r="L1750" s="98" t="str">
        <f t="shared" si="82"/>
        <v>Macet</v>
      </c>
      <c r="M1750" s="5" t="str">
        <f t="shared" si="83"/>
        <v>006</v>
      </c>
      <c r="N1750" s="55">
        <f>VLOOKUP(D1750,Pinjaman!$E$7:$N$1900,10,FALSE)</f>
        <v>0</v>
      </c>
      <c r="O1750" s="55">
        <f>VLOOKUP(B1750,'Data Angt'!$A$5:$H$5810,6,FALSE)</f>
        <v>55</v>
      </c>
      <c r="P1750" s="55" t="str">
        <f>VLOOKUP(B1750,'Data Angt'!$A$5:$H$5810,8,FALSE)</f>
        <v>Wiraswasta</v>
      </c>
    </row>
    <row r="1751" spans="1:16" x14ac:dyDescent="0.3">
      <c r="A1751" s="8">
        <v>1744</v>
      </c>
      <c r="B1751" s="9" t="s">
        <v>3238</v>
      </c>
      <c r="C1751" s="10" t="str">
        <f>VLOOKUP(B1751,'Data Angt'!$A$5:$B$5809,2,FALSE)</f>
        <v>A1373</v>
      </c>
      <c r="D1751" s="12" t="s">
        <v>17786</v>
      </c>
      <c r="E1751" s="13">
        <v>45673</v>
      </c>
      <c r="F1751" s="14">
        <v>45915</v>
      </c>
      <c r="G1751" s="15">
        <v>6000000</v>
      </c>
      <c r="H1751" s="16">
        <v>12</v>
      </c>
      <c r="I1751" s="17">
        <v>24</v>
      </c>
      <c r="J1751" s="15">
        <v>2170500</v>
      </c>
      <c r="K1751" s="98">
        <f t="shared" si="81"/>
        <v>0</v>
      </c>
      <c r="L1751" s="98" t="str">
        <f t="shared" si="82"/>
        <v>Lancar</v>
      </c>
      <c r="M1751" s="5" t="str">
        <f t="shared" si="83"/>
        <v>006</v>
      </c>
      <c r="N1751" s="55" t="str">
        <f>VLOOKUP(D1751,Pinjaman!$E$7:$N$1900,10,FALSE)</f>
        <v>PRODUKTIF</v>
      </c>
      <c r="O1751" s="55">
        <f>VLOOKUP(B1751,'Data Angt'!$A$5:$H$5810,6,FALSE)</f>
        <v>55</v>
      </c>
      <c r="P1751" s="55" t="str">
        <f>VLOOKUP(B1751,'Data Angt'!$A$5:$H$5810,8,FALSE)</f>
        <v>Wiraswasta</v>
      </c>
    </row>
    <row r="1752" spans="1:16" x14ac:dyDescent="0.3">
      <c r="A1752" s="8">
        <v>1745</v>
      </c>
      <c r="B1752" s="9" t="s">
        <v>3254</v>
      </c>
      <c r="C1752" s="10" t="str">
        <f>VLOOKUP(B1752,'Data Angt'!$A$5:$B$5809,2,FALSE)</f>
        <v>A1380</v>
      </c>
      <c r="D1752" s="12" t="s">
        <v>17788</v>
      </c>
      <c r="E1752" s="13">
        <v>45782</v>
      </c>
      <c r="F1752" s="14">
        <v>45902</v>
      </c>
      <c r="G1752" s="15">
        <v>15000000</v>
      </c>
      <c r="H1752" s="16">
        <v>18</v>
      </c>
      <c r="I1752" s="17">
        <v>24</v>
      </c>
      <c r="J1752" s="15">
        <v>12112500</v>
      </c>
      <c r="K1752" s="98">
        <f t="shared" si="81"/>
        <v>0</v>
      </c>
      <c r="L1752" s="98" t="str">
        <f t="shared" si="82"/>
        <v>Lancar</v>
      </c>
      <c r="M1752" s="5" t="str">
        <f t="shared" si="83"/>
        <v>006</v>
      </c>
      <c r="N1752" s="55" t="str">
        <f>VLOOKUP(D1752,Pinjaman!$E$7:$N$1900,10,FALSE)</f>
        <v>PENDIDIKAN</v>
      </c>
      <c r="O1752" s="55">
        <f>VLOOKUP(B1752,'Data Angt'!$A$5:$H$5810,6,FALSE)</f>
        <v>52</v>
      </c>
      <c r="P1752" s="55" t="str">
        <f>VLOOKUP(B1752,'Data Angt'!$A$5:$H$5810,8,FALSE)</f>
        <v>Tenaga Pengajar</v>
      </c>
    </row>
    <row r="1753" spans="1:16" x14ac:dyDescent="0.3">
      <c r="A1753" s="8">
        <v>1746</v>
      </c>
      <c r="B1753" s="9" t="s">
        <v>3277</v>
      </c>
      <c r="C1753" s="10" t="str">
        <f>VLOOKUP(B1753,'Data Angt'!$A$5:$B$5809,2,FALSE)</f>
        <v>A1391</v>
      </c>
      <c r="D1753" s="12" t="s">
        <v>10688</v>
      </c>
      <c r="E1753" s="13">
        <v>42326</v>
      </c>
      <c r="F1753" s="14">
        <v>45903</v>
      </c>
      <c r="G1753" s="15">
        <v>95000000</v>
      </c>
      <c r="H1753" s="16">
        <v>120</v>
      </c>
      <c r="I1753" s="17">
        <v>8.02</v>
      </c>
      <c r="J1753" s="15">
        <v>1432800</v>
      </c>
      <c r="K1753" s="98">
        <f t="shared" si="81"/>
        <v>0</v>
      </c>
      <c r="L1753" s="98" t="str">
        <f t="shared" si="82"/>
        <v>Lancar</v>
      </c>
      <c r="M1753" s="5" t="str">
        <f t="shared" si="83"/>
        <v>006</v>
      </c>
      <c r="N1753" s="55">
        <f>VLOOKUP(D1753,Pinjaman!$E$7:$N$1900,10,FALSE)</f>
        <v>0</v>
      </c>
      <c r="O1753" s="55">
        <f>VLOOKUP(B1753,'Data Angt'!$A$5:$H$5810,6,FALSE)</f>
        <v>46</v>
      </c>
      <c r="P1753" s="55" t="str">
        <f>VLOOKUP(B1753,'Data Angt'!$A$5:$H$5810,8,FALSE)</f>
        <v>Karyawan</v>
      </c>
    </row>
    <row r="1754" spans="1:16" x14ac:dyDescent="0.3">
      <c r="A1754" s="8">
        <v>1747</v>
      </c>
      <c r="B1754" s="9" t="s">
        <v>3471</v>
      </c>
      <c r="C1754" s="10" t="str">
        <f>VLOOKUP(B1754,'Data Angt'!$A$5:$B$5809,2,FALSE)</f>
        <v>A1480</v>
      </c>
      <c r="D1754" s="12" t="s">
        <v>17790</v>
      </c>
      <c r="E1754" s="13">
        <v>45497</v>
      </c>
      <c r="F1754" s="14">
        <v>45909</v>
      </c>
      <c r="G1754" s="15">
        <v>10000000</v>
      </c>
      <c r="H1754" s="16">
        <v>36</v>
      </c>
      <c r="I1754" s="17">
        <v>24</v>
      </c>
      <c r="J1754" s="15">
        <v>6927200</v>
      </c>
      <c r="K1754" s="98">
        <f t="shared" si="81"/>
        <v>0</v>
      </c>
      <c r="L1754" s="98" t="str">
        <f t="shared" si="82"/>
        <v>Lancar</v>
      </c>
      <c r="M1754" s="5" t="str">
        <f t="shared" si="83"/>
        <v>006</v>
      </c>
      <c r="N1754" s="55" t="str">
        <f>VLOOKUP(D1754,Pinjaman!$E$7:$N$1900,10,FALSE)</f>
        <v>PRODUKTIF</v>
      </c>
      <c r="O1754" s="55">
        <f>VLOOKUP(B1754,'Data Angt'!$A$5:$H$5810,6,FALSE)</f>
        <v>53</v>
      </c>
      <c r="P1754" s="55" t="str">
        <f>VLOOKUP(B1754,'Data Angt'!$A$5:$H$5810,8,FALSE)</f>
        <v>Lain-Lain</v>
      </c>
    </row>
    <row r="1755" spans="1:16" x14ac:dyDescent="0.3">
      <c r="A1755" s="8">
        <v>1748</v>
      </c>
      <c r="B1755" s="9" t="s">
        <v>3471</v>
      </c>
      <c r="C1755" s="10" t="str">
        <f>VLOOKUP(B1755,'Data Angt'!$A$5:$B$5809,2,FALSE)</f>
        <v>A1480</v>
      </c>
      <c r="D1755" s="12" t="s">
        <v>17792</v>
      </c>
      <c r="E1755" s="13">
        <v>45730</v>
      </c>
      <c r="F1755" s="14">
        <v>45909</v>
      </c>
      <c r="G1755" s="15">
        <v>3000000</v>
      </c>
      <c r="H1755" s="16">
        <v>12</v>
      </c>
      <c r="I1755" s="17">
        <v>24</v>
      </c>
      <c r="J1755" s="15">
        <v>1589200</v>
      </c>
      <c r="K1755" s="98">
        <f t="shared" si="81"/>
        <v>0</v>
      </c>
      <c r="L1755" s="98" t="str">
        <f t="shared" si="82"/>
        <v>Lancar</v>
      </c>
      <c r="M1755" s="5" t="str">
        <f t="shared" si="83"/>
        <v>006</v>
      </c>
      <c r="N1755" s="55" t="str">
        <f>VLOOKUP(D1755,Pinjaman!$E$7:$N$1900,10,FALSE)</f>
        <v>KONSUMTIF</v>
      </c>
      <c r="O1755" s="55">
        <f>VLOOKUP(B1755,'Data Angt'!$A$5:$H$5810,6,FALSE)</f>
        <v>53</v>
      </c>
      <c r="P1755" s="55" t="str">
        <f>VLOOKUP(B1755,'Data Angt'!$A$5:$H$5810,8,FALSE)</f>
        <v>Lain-Lain</v>
      </c>
    </row>
    <row r="1756" spans="1:16" x14ac:dyDescent="0.3">
      <c r="A1756" s="8">
        <v>1749</v>
      </c>
      <c r="B1756" s="9" t="s">
        <v>3627</v>
      </c>
      <c r="C1756" s="10" t="str">
        <f>VLOOKUP(B1756,'Data Angt'!$A$5:$B$5809,2,FALSE)</f>
        <v>A1554</v>
      </c>
      <c r="D1756" s="12" t="s">
        <v>17795</v>
      </c>
      <c r="E1756" s="13">
        <v>45433</v>
      </c>
      <c r="F1756" s="14">
        <v>45927</v>
      </c>
      <c r="G1756" s="15">
        <v>12000000</v>
      </c>
      <c r="H1756" s="16">
        <v>36</v>
      </c>
      <c r="I1756" s="17">
        <v>24</v>
      </c>
      <c r="J1756" s="15">
        <v>7716700</v>
      </c>
      <c r="K1756" s="98">
        <f t="shared" si="81"/>
        <v>0</v>
      </c>
      <c r="L1756" s="98" t="str">
        <f t="shared" si="82"/>
        <v>Lancar</v>
      </c>
      <c r="M1756" s="5" t="str">
        <f t="shared" si="83"/>
        <v>006</v>
      </c>
      <c r="N1756" s="55" t="str">
        <f>VLOOKUP(D1756,Pinjaman!$E$7:$N$1900,10,FALSE)</f>
        <v>KONSUMTIF</v>
      </c>
      <c r="O1756" s="55">
        <f>VLOOKUP(B1756,'Data Angt'!$A$5:$H$5810,6,FALSE)</f>
        <v>50</v>
      </c>
      <c r="P1756" s="55" t="str">
        <f>VLOOKUP(B1756,'Data Angt'!$A$5:$H$5810,8,FALSE)</f>
        <v>Karyawan</v>
      </c>
    </row>
    <row r="1757" spans="1:16" x14ac:dyDescent="0.3">
      <c r="A1757" s="8">
        <v>1750</v>
      </c>
      <c r="B1757" s="9" t="s">
        <v>3674</v>
      </c>
      <c r="C1757" s="10" t="str">
        <f>VLOOKUP(B1757,'Data Angt'!$A$5:$B$5809,2,FALSE)</f>
        <v>A1578</v>
      </c>
      <c r="D1757" s="12" t="s">
        <v>17797</v>
      </c>
      <c r="E1757" s="13">
        <v>45563</v>
      </c>
      <c r="F1757" s="14">
        <v>45908</v>
      </c>
      <c r="G1757" s="15">
        <v>10000000</v>
      </c>
      <c r="H1757" s="16">
        <v>36</v>
      </c>
      <c r="I1757" s="17">
        <v>24</v>
      </c>
      <c r="J1757" s="15">
        <v>8578400</v>
      </c>
      <c r="K1757" s="98">
        <f t="shared" si="81"/>
        <v>0</v>
      </c>
      <c r="L1757" s="98" t="str">
        <f t="shared" si="82"/>
        <v>Lancar</v>
      </c>
      <c r="M1757" s="5" t="str">
        <f t="shared" si="83"/>
        <v>006</v>
      </c>
      <c r="N1757" s="55" t="str">
        <f>VLOOKUP(D1757,Pinjaman!$E$7:$N$1900,10,FALSE)</f>
        <v>PRODUKTIF</v>
      </c>
      <c r="O1757" s="55">
        <f>VLOOKUP(B1757,'Data Angt'!$A$5:$H$5810,6,FALSE)</f>
        <v>61</v>
      </c>
      <c r="P1757" s="55" t="str">
        <f>VLOOKUP(B1757,'Data Angt'!$A$5:$H$5810,8,FALSE)</f>
        <v>Lain-Lain</v>
      </c>
    </row>
    <row r="1758" spans="1:16" x14ac:dyDescent="0.3">
      <c r="A1758" s="8">
        <v>1751</v>
      </c>
      <c r="B1758" s="9" t="s">
        <v>3706</v>
      </c>
      <c r="C1758" s="10" t="str">
        <f>VLOOKUP(B1758,'Data Angt'!$A$5:$B$5809,2,FALSE)</f>
        <v>A1593</v>
      </c>
      <c r="D1758" s="12" t="s">
        <v>23869</v>
      </c>
      <c r="E1758" s="13">
        <v>45889</v>
      </c>
      <c r="F1758" s="14">
        <v>45918</v>
      </c>
      <c r="G1758" s="15">
        <v>4000000</v>
      </c>
      <c r="H1758" s="16">
        <v>12</v>
      </c>
      <c r="I1758" s="17">
        <v>24</v>
      </c>
      <c r="J1758" s="15">
        <v>3701700</v>
      </c>
      <c r="K1758" s="98">
        <f t="shared" si="81"/>
        <v>0</v>
      </c>
      <c r="L1758" s="98" t="str">
        <f t="shared" si="82"/>
        <v>Lancar</v>
      </c>
      <c r="M1758" s="5" t="str">
        <f t="shared" si="83"/>
        <v>006</v>
      </c>
      <c r="N1758" s="55" t="str">
        <f>VLOOKUP(D1758,Pinjaman!$E$7:$N$1900,10,FALSE)</f>
        <v>KONSUMTIF</v>
      </c>
      <c r="O1758" s="55">
        <f>VLOOKUP(B1758,'Data Angt'!$A$5:$H$5810,6,FALSE)</f>
        <v>69</v>
      </c>
      <c r="P1758" s="55" t="str">
        <f>VLOOKUP(B1758,'Data Angt'!$A$5:$H$5810,8,FALSE)</f>
        <v>Pensiunan</v>
      </c>
    </row>
    <row r="1759" spans="1:16" x14ac:dyDescent="0.3">
      <c r="A1759" s="8">
        <v>1752</v>
      </c>
      <c r="B1759" s="9" t="s">
        <v>3757</v>
      </c>
      <c r="C1759" s="10" t="str">
        <f>VLOOKUP(B1759,'Data Angt'!$A$5:$B$5809,2,FALSE)</f>
        <v>A1616</v>
      </c>
      <c r="D1759" s="12" t="s">
        <v>17799</v>
      </c>
      <c r="E1759" s="13">
        <v>45337</v>
      </c>
      <c r="F1759" s="14">
        <v>45902</v>
      </c>
      <c r="G1759" s="15">
        <v>10000000</v>
      </c>
      <c r="H1759" s="16">
        <v>24</v>
      </c>
      <c r="I1759" s="17">
        <v>24</v>
      </c>
      <c r="J1759" s="15">
        <v>2500400</v>
      </c>
      <c r="K1759" s="98">
        <f t="shared" si="81"/>
        <v>0</v>
      </c>
      <c r="L1759" s="98" t="str">
        <f t="shared" si="82"/>
        <v>Lancar</v>
      </c>
      <c r="M1759" s="5" t="str">
        <f t="shared" si="83"/>
        <v>006</v>
      </c>
      <c r="N1759" s="55" t="str">
        <f>VLOOKUP(D1759,Pinjaman!$E$7:$N$1900,10,FALSE)</f>
        <v>KONSUMTIF</v>
      </c>
      <c r="O1759" s="55">
        <f>VLOOKUP(B1759,'Data Angt'!$A$5:$H$5810,6,FALSE)</f>
        <v>54</v>
      </c>
      <c r="P1759" s="55" t="str">
        <f>VLOOKUP(B1759,'Data Angt'!$A$5:$H$5810,8,FALSE)</f>
        <v>Karyawan</v>
      </c>
    </row>
    <row r="1760" spans="1:16" x14ac:dyDescent="0.3">
      <c r="A1760" s="8">
        <v>1753</v>
      </c>
      <c r="B1760" s="9" t="s">
        <v>3764</v>
      </c>
      <c r="C1760" s="10" t="str">
        <f>VLOOKUP(B1760,'Data Angt'!$A$5:$B$5809,2,FALSE)</f>
        <v>A1620</v>
      </c>
      <c r="D1760" s="12" t="s">
        <v>17801</v>
      </c>
      <c r="E1760" s="13">
        <v>45351</v>
      </c>
      <c r="F1760" s="14">
        <v>45920</v>
      </c>
      <c r="G1760" s="15">
        <v>14000000</v>
      </c>
      <c r="H1760" s="16">
        <v>36</v>
      </c>
      <c r="I1760" s="17">
        <v>24</v>
      </c>
      <c r="J1760" s="15">
        <v>7865100</v>
      </c>
      <c r="K1760" s="98">
        <f t="shared" si="81"/>
        <v>0</v>
      </c>
      <c r="L1760" s="98" t="str">
        <f t="shared" si="82"/>
        <v>Lancar</v>
      </c>
      <c r="M1760" s="5" t="str">
        <f t="shared" si="83"/>
        <v>006</v>
      </c>
      <c r="N1760" s="55" t="str">
        <f>VLOOKUP(D1760,Pinjaman!$E$7:$N$1900,10,FALSE)</f>
        <v>KONSUMTIF</v>
      </c>
      <c r="O1760" s="55">
        <f>VLOOKUP(B1760,'Data Angt'!$A$5:$H$5810,6,FALSE)</f>
        <v>48</v>
      </c>
      <c r="P1760" s="55" t="str">
        <f>VLOOKUP(B1760,'Data Angt'!$A$5:$H$5810,8,FALSE)</f>
        <v>Wiraswasta</v>
      </c>
    </row>
    <row r="1761" spans="1:16" x14ac:dyDescent="0.3">
      <c r="A1761" s="8">
        <v>1754</v>
      </c>
      <c r="B1761" s="9" t="s">
        <v>3817</v>
      </c>
      <c r="C1761" s="10" t="str">
        <f>VLOOKUP(B1761,'Data Angt'!$A$5:$B$5809,2,FALSE)</f>
        <v>A1646</v>
      </c>
      <c r="D1761" s="12" t="s">
        <v>10689</v>
      </c>
      <c r="E1761" s="13">
        <v>42474</v>
      </c>
      <c r="F1761" s="14">
        <v>45797</v>
      </c>
      <c r="G1761" s="15">
        <v>8000000</v>
      </c>
      <c r="H1761" s="16">
        <v>36</v>
      </c>
      <c r="I1761" s="17">
        <v>27</v>
      </c>
      <c r="J1761" s="15">
        <v>7327700</v>
      </c>
      <c r="K1761" s="98">
        <f t="shared" si="81"/>
        <v>4</v>
      </c>
      <c r="L1761" s="98" t="str">
        <f t="shared" si="82"/>
        <v>Kurang lancar</v>
      </c>
      <c r="M1761" s="5" t="str">
        <f t="shared" si="83"/>
        <v>006</v>
      </c>
      <c r="N1761" s="55">
        <f>VLOOKUP(D1761,Pinjaman!$E$7:$N$1900,10,FALSE)</f>
        <v>0</v>
      </c>
      <c r="O1761" s="55">
        <f>VLOOKUP(B1761,'Data Angt'!$A$5:$H$5810,6,FALSE)</f>
        <v>41</v>
      </c>
      <c r="P1761" s="55" t="str">
        <f>VLOOKUP(B1761,'Data Angt'!$A$5:$H$5810,8,FALSE)</f>
        <v>Wiraswasta</v>
      </c>
    </row>
    <row r="1762" spans="1:16" x14ac:dyDescent="0.3">
      <c r="A1762" s="8">
        <v>1755</v>
      </c>
      <c r="B1762" s="9" t="s">
        <v>4037</v>
      </c>
      <c r="C1762" s="10" t="str">
        <f>VLOOKUP(B1762,'Data Angt'!$A$5:$B$5809,2,FALSE)</f>
        <v>A1749</v>
      </c>
      <c r="D1762" s="12" t="s">
        <v>17803</v>
      </c>
      <c r="E1762" s="13">
        <v>45740</v>
      </c>
      <c r="F1762" s="14">
        <v>45903</v>
      </c>
      <c r="G1762" s="15">
        <v>40000000</v>
      </c>
      <c r="H1762" s="16">
        <v>24</v>
      </c>
      <c r="I1762" s="17">
        <v>21</v>
      </c>
      <c r="J1762" s="15">
        <v>29999800</v>
      </c>
      <c r="K1762" s="98">
        <f t="shared" si="81"/>
        <v>0</v>
      </c>
      <c r="L1762" s="98" t="str">
        <f t="shared" si="82"/>
        <v>Lancar</v>
      </c>
      <c r="M1762" s="5" t="str">
        <f t="shared" si="83"/>
        <v>006</v>
      </c>
      <c r="N1762" s="55" t="str">
        <f>VLOOKUP(D1762,Pinjaman!$E$7:$N$1900,10,FALSE)</f>
        <v>PRODUKTIF</v>
      </c>
      <c r="O1762" s="55">
        <f>VLOOKUP(B1762,'Data Angt'!$A$5:$H$5810,6,FALSE)</f>
        <v>38</v>
      </c>
      <c r="P1762" s="55" t="str">
        <f>VLOOKUP(B1762,'Data Angt'!$A$5:$H$5810,8,FALSE)</f>
        <v>Wiraswasta</v>
      </c>
    </row>
    <row r="1763" spans="1:16" x14ac:dyDescent="0.3">
      <c r="A1763" s="8">
        <v>1756</v>
      </c>
      <c r="B1763" s="9" t="s">
        <v>4093</v>
      </c>
      <c r="C1763" s="10" t="str">
        <f>VLOOKUP(B1763,'Data Angt'!$A$5:$B$5809,2,FALSE)</f>
        <v>A1778</v>
      </c>
      <c r="D1763" s="12" t="s">
        <v>10690</v>
      </c>
      <c r="E1763" s="13">
        <v>44978</v>
      </c>
      <c r="F1763" s="14">
        <v>45716</v>
      </c>
      <c r="G1763" s="15">
        <v>30000000</v>
      </c>
      <c r="H1763" s="16">
        <v>30</v>
      </c>
      <c r="I1763" s="17">
        <v>21</v>
      </c>
      <c r="J1763" s="15">
        <v>6000000</v>
      </c>
      <c r="K1763" s="98">
        <f t="shared" si="81"/>
        <v>7</v>
      </c>
      <c r="L1763" s="98" t="str">
        <f t="shared" si="82"/>
        <v>Diragukan</v>
      </c>
      <c r="M1763" s="5" t="str">
        <f t="shared" si="83"/>
        <v>006</v>
      </c>
      <c r="N1763" s="55" t="str">
        <f>VLOOKUP(D1763,Pinjaman!$E$7:$N$1900,10,FALSE)</f>
        <v>KESEJAHTERAAN</v>
      </c>
      <c r="O1763" s="55">
        <f>VLOOKUP(B1763,'Data Angt'!$A$5:$H$5810,6,FALSE)</f>
        <v>39</v>
      </c>
      <c r="P1763" s="55" t="str">
        <f>VLOOKUP(B1763,'Data Angt'!$A$5:$H$5810,8,FALSE)</f>
        <v>Karyawan</v>
      </c>
    </row>
    <row r="1764" spans="1:16" x14ac:dyDescent="0.3">
      <c r="A1764" s="8">
        <v>1757</v>
      </c>
      <c r="B1764" s="9" t="s">
        <v>4456</v>
      </c>
      <c r="C1764" s="10" t="str">
        <f>VLOOKUP(B1764,'Data Angt'!$A$5:$B$5809,2,FALSE)</f>
        <v>A1940</v>
      </c>
      <c r="D1764" s="12" t="s">
        <v>17806</v>
      </c>
      <c r="E1764" s="13">
        <v>45356</v>
      </c>
      <c r="F1764" s="14">
        <v>45859</v>
      </c>
      <c r="G1764" s="15">
        <v>7000000</v>
      </c>
      <c r="H1764" s="16">
        <v>24</v>
      </c>
      <c r="I1764" s="17">
        <v>24</v>
      </c>
      <c r="J1764" s="15">
        <v>3330700</v>
      </c>
      <c r="K1764" s="98">
        <f t="shared" si="81"/>
        <v>2</v>
      </c>
      <c r="L1764" s="98" t="str">
        <f t="shared" si="82"/>
        <v>Lancar</v>
      </c>
      <c r="M1764" s="5" t="str">
        <f t="shared" si="83"/>
        <v>006</v>
      </c>
      <c r="N1764" s="55" t="str">
        <f>VLOOKUP(D1764,Pinjaman!$E$7:$N$1900,10,FALSE)</f>
        <v>PENDIDIKAN</v>
      </c>
      <c r="O1764" s="55">
        <f>VLOOKUP(B1764,'Data Angt'!$A$5:$H$5810,6,FALSE)</f>
        <v>48</v>
      </c>
      <c r="P1764" s="55" t="str">
        <f>VLOOKUP(B1764,'Data Angt'!$A$5:$H$5810,8,FALSE)</f>
        <v>Karyawan</v>
      </c>
    </row>
    <row r="1765" spans="1:16" x14ac:dyDescent="0.3">
      <c r="A1765" s="8">
        <v>1758</v>
      </c>
      <c r="B1765" s="9" t="s">
        <v>4657</v>
      </c>
      <c r="C1765" s="10" t="str">
        <f>VLOOKUP(B1765,'Data Angt'!$A$5:$B$5809,2,FALSE)</f>
        <v>A2033</v>
      </c>
      <c r="D1765" s="12" t="s">
        <v>17808</v>
      </c>
      <c r="E1765" s="13">
        <v>45603</v>
      </c>
      <c r="F1765" s="14">
        <v>45904</v>
      </c>
      <c r="G1765" s="15">
        <v>13000000</v>
      </c>
      <c r="H1765" s="16">
        <v>30</v>
      </c>
      <c r="I1765" s="17">
        <v>24</v>
      </c>
      <c r="J1765" s="15">
        <v>9490900</v>
      </c>
      <c r="K1765" s="98">
        <f t="shared" si="81"/>
        <v>0</v>
      </c>
      <c r="L1765" s="98" t="str">
        <f t="shared" si="82"/>
        <v>Lancar</v>
      </c>
      <c r="M1765" s="5" t="str">
        <f t="shared" si="83"/>
        <v>006</v>
      </c>
      <c r="N1765" s="55" t="str">
        <f>VLOOKUP(D1765,Pinjaman!$E$7:$N$1900,10,FALSE)</f>
        <v>KONSUMTIF</v>
      </c>
      <c r="O1765" s="55">
        <f>VLOOKUP(B1765,'Data Angt'!$A$5:$H$5810,6,FALSE)</f>
        <v>48</v>
      </c>
      <c r="P1765" s="55" t="str">
        <f>VLOOKUP(B1765,'Data Angt'!$A$5:$H$5810,8,FALSE)</f>
        <v>Karyawan</v>
      </c>
    </row>
    <row r="1766" spans="1:16" x14ac:dyDescent="0.3">
      <c r="A1766" s="8">
        <v>1759</v>
      </c>
      <c r="B1766" s="9" t="s">
        <v>4677</v>
      </c>
      <c r="C1766" s="10" t="str">
        <f>VLOOKUP(B1766,'Data Angt'!$A$5:$B$5809,2,FALSE)</f>
        <v>A2043</v>
      </c>
      <c r="D1766" s="12" t="s">
        <v>10692</v>
      </c>
      <c r="E1766" s="13">
        <v>44519</v>
      </c>
      <c r="F1766" s="14">
        <v>45777</v>
      </c>
      <c r="G1766" s="15">
        <v>8000000</v>
      </c>
      <c r="H1766" s="16">
        <v>24</v>
      </c>
      <c r="I1766" s="17">
        <v>27</v>
      </c>
      <c r="J1766" s="15">
        <v>6999800</v>
      </c>
      <c r="K1766" s="98">
        <f t="shared" si="81"/>
        <v>5</v>
      </c>
      <c r="L1766" s="98" t="str">
        <f t="shared" si="82"/>
        <v>Kurang lancar</v>
      </c>
      <c r="M1766" s="5" t="str">
        <f t="shared" si="83"/>
        <v>006</v>
      </c>
      <c r="N1766" s="55" t="str">
        <f>VLOOKUP(D1766,Pinjaman!$E$7:$N$1900,10,FALSE)</f>
        <v>PRODUKTIF</v>
      </c>
      <c r="O1766" s="55">
        <f>VLOOKUP(B1766,'Data Angt'!$A$5:$H$5810,6,FALSE)</f>
        <v>44</v>
      </c>
      <c r="P1766" s="55" t="str">
        <f>VLOOKUP(B1766,'Data Angt'!$A$5:$H$5810,8,FALSE)</f>
        <v>Wiraswasta</v>
      </c>
    </row>
    <row r="1767" spans="1:16" x14ac:dyDescent="0.3">
      <c r="A1767" s="8">
        <v>1760</v>
      </c>
      <c r="B1767" s="9" t="s">
        <v>4713</v>
      </c>
      <c r="C1767" s="10" t="str">
        <f>VLOOKUP(B1767,'Data Angt'!$A$5:$B$5809,2,FALSE)</f>
        <v>A2059</v>
      </c>
      <c r="D1767" s="12" t="s">
        <v>17810</v>
      </c>
      <c r="E1767" s="13">
        <v>45412</v>
      </c>
      <c r="F1767" s="14">
        <v>45688</v>
      </c>
      <c r="G1767" s="15">
        <v>20000000</v>
      </c>
      <c r="H1767" s="16">
        <v>30</v>
      </c>
      <c r="I1767" s="17">
        <v>11.9</v>
      </c>
      <c r="J1767" s="15">
        <v>14608300</v>
      </c>
      <c r="K1767" s="98">
        <f t="shared" si="81"/>
        <v>7</v>
      </c>
      <c r="L1767" s="98" t="str">
        <f t="shared" si="82"/>
        <v>Diragukan</v>
      </c>
      <c r="M1767" s="5" t="str">
        <f t="shared" si="83"/>
        <v>006</v>
      </c>
      <c r="N1767" s="55" t="str">
        <f>VLOOKUP(D1767,Pinjaman!$E$7:$N$1900,10,FALSE)</f>
        <v>PRODUKTIF</v>
      </c>
      <c r="O1767" s="55">
        <f>VLOOKUP(B1767,'Data Angt'!$A$5:$H$5810,6,FALSE)</f>
        <v>64</v>
      </c>
      <c r="P1767" s="55" t="str">
        <f>VLOOKUP(B1767,'Data Angt'!$A$5:$H$5810,8,FALSE)</f>
        <v>Wiraswasta</v>
      </c>
    </row>
    <row r="1768" spans="1:16" x14ac:dyDescent="0.3">
      <c r="A1768" s="8">
        <v>1761</v>
      </c>
      <c r="B1768" s="9" t="s">
        <v>12334</v>
      </c>
      <c r="C1768" s="10" t="str">
        <f>VLOOKUP(B1768,'Data Angt'!$A$5:$B$5809,2,FALSE)</f>
        <v>A2067</v>
      </c>
      <c r="D1768" s="12" t="s">
        <v>17812</v>
      </c>
      <c r="E1768" s="13">
        <v>45387</v>
      </c>
      <c r="F1768" s="14">
        <v>45903</v>
      </c>
      <c r="G1768" s="15">
        <v>40000000</v>
      </c>
      <c r="H1768" s="16">
        <v>48</v>
      </c>
      <c r="I1768" s="17">
        <v>21</v>
      </c>
      <c r="J1768" s="15">
        <v>29441500</v>
      </c>
      <c r="K1768" s="98">
        <f t="shared" si="81"/>
        <v>0</v>
      </c>
      <c r="L1768" s="98" t="str">
        <f t="shared" si="82"/>
        <v>Lancar</v>
      </c>
      <c r="M1768" s="5" t="str">
        <f t="shared" si="83"/>
        <v>006</v>
      </c>
      <c r="N1768" s="55" t="str">
        <f>VLOOKUP(D1768,Pinjaman!$E$7:$N$1900,10,FALSE)</f>
        <v>KONSUMTIF</v>
      </c>
      <c r="O1768" s="55">
        <f>VLOOKUP(B1768,'Data Angt'!$A$5:$H$5810,6,FALSE)</f>
        <v>22</v>
      </c>
      <c r="P1768" s="55" t="str">
        <f>VLOOKUP(B1768,'Data Angt'!$A$5:$H$5810,8,FALSE)</f>
        <v>Pelajar/Mahasiswa</v>
      </c>
    </row>
    <row r="1769" spans="1:16" x14ac:dyDescent="0.3">
      <c r="A1769" s="8">
        <v>1762</v>
      </c>
      <c r="B1769" s="9" t="s">
        <v>4859</v>
      </c>
      <c r="C1769" s="10" t="str">
        <f>VLOOKUP(B1769,'Data Angt'!$A$5:$B$5809,2,FALSE)</f>
        <v>A2127</v>
      </c>
      <c r="D1769" s="12" t="s">
        <v>17814</v>
      </c>
      <c r="E1769" s="13">
        <v>45477</v>
      </c>
      <c r="F1769" s="14">
        <v>45903</v>
      </c>
      <c r="G1769" s="15">
        <v>15000000</v>
      </c>
      <c r="H1769" s="16">
        <v>15</v>
      </c>
      <c r="I1769" s="17">
        <v>24</v>
      </c>
      <c r="J1769" s="15">
        <v>1145100</v>
      </c>
      <c r="K1769" s="98">
        <f t="shared" si="81"/>
        <v>0</v>
      </c>
      <c r="L1769" s="98" t="str">
        <f t="shared" si="82"/>
        <v>Lancar</v>
      </c>
      <c r="M1769" s="5" t="str">
        <f t="shared" si="83"/>
        <v>006</v>
      </c>
      <c r="N1769" s="55" t="str">
        <f>VLOOKUP(D1769,Pinjaman!$E$7:$N$1900,10,FALSE)</f>
        <v>KONSUMTIF</v>
      </c>
      <c r="O1769" s="55">
        <f>VLOOKUP(B1769,'Data Angt'!$A$5:$H$5810,6,FALSE)</f>
        <v>46</v>
      </c>
      <c r="P1769" s="55" t="str">
        <f>VLOOKUP(B1769,'Data Angt'!$A$5:$H$5810,8,FALSE)</f>
        <v>Mengurus Rumah Tangga</v>
      </c>
    </row>
    <row r="1770" spans="1:16" x14ac:dyDescent="0.3">
      <c r="A1770" s="8">
        <v>1763</v>
      </c>
      <c r="B1770" s="9" t="s">
        <v>4911</v>
      </c>
      <c r="C1770" s="10" t="str">
        <f>VLOOKUP(B1770,'Data Angt'!$A$5:$B$5809,2,FALSE)</f>
        <v>A2149</v>
      </c>
      <c r="D1770" s="12" t="s">
        <v>17817</v>
      </c>
      <c r="E1770" s="13">
        <v>45700</v>
      </c>
      <c r="F1770" s="14">
        <v>45860</v>
      </c>
      <c r="G1770" s="15">
        <v>3000000</v>
      </c>
      <c r="H1770" s="16">
        <v>12</v>
      </c>
      <c r="I1770" s="17">
        <v>24</v>
      </c>
      <c r="J1770" s="15">
        <v>2315500</v>
      </c>
      <c r="K1770" s="98">
        <f t="shared" si="81"/>
        <v>2</v>
      </c>
      <c r="L1770" s="98" t="str">
        <f t="shared" si="82"/>
        <v>Lancar</v>
      </c>
      <c r="M1770" s="5" t="str">
        <f t="shared" si="83"/>
        <v>006</v>
      </c>
      <c r="N1770" s="55" t="str">
        <f>VLOOKUP(D1770,Pinjaman!$E$7:$N$1900,10,FALSE)</f>
        <v>KONSUMTIF</v>
      </c>
      <c r="O1770" s="55">
        <f>VLOOKUP(B1770,'Data Angt'!$A$5:$H$5810,6,FALSE)</f>
        <v>68</v>
      </c>
      <c r="P1770" s="55" t="str">
        <f>VLOOKUP(B1770,'Data Angt'!$A$5:$H$5810,8,FALSE)</f>
        <v>Mengurus Rumah Tangga</v>
      </c>
    </row>
    <row r="1771" spans="1:16" x14ac:dyDescent="0.3">
      <c r="A1771" s="8">
        <v>1764</v>
      </c>
      <c r="B1771" s="9" t="s">
        <v>4914</v>
      </c>
      <c r="C1771" s="10" t="str">
        <f>VLOOKUP(B1771,'Data Angt'!$A$5:$B$5809,2,FALSE)</f>
        <v>A2150</v>
      </c>
      <c r="D1771" s="12" t="s">
        <v>17820</v>
      </c>
      <c r="E1771" s="13">
        <v>45741</v>
      </c>
      <c r="F1771" s="14">
        <v>45880</v>
      </c>
      <c r="G1771" s="15">
        <v>5000000</v>
      </c>
      <c r="H1771" s="16">
        <v>36</v>
      </c>
      <c r="I1771" s="17">
        <v>24</v>
      </c>
      <c r="J1771" s="15">
        <v>4603700</v>
      </c>
      <c r="K1771" s="98">
        <f t="shared" si="81"/>
        <v>1</v>
      </c>
      <c r="L1771" s="98" t="str">
        <f t="shared" si="82"/>
        <v>Lancar</v>
      </c>
      <c r="M1771" s="5" t="str">
        <f t="shared" si="83"/>
        <v>006</v>
      </c>
      <c r="N1771" s="55" t="str">
        <f>VLOOKUP(D1771,Pinjaman!$E$7:$N$1900,10,FALSE)</f>
        <v>PRODUKTIF</v>
      </c>
      <c r="O1771" s="55">
        <f>VLOOKUP(B1771,'Data Angt'!$A$5:$H$5810,6,FALSE)</f>
        <v>25</v>
      </c>
      <c r="P1771" s="55" t="str">
        <f>VLOOKUP(B1771,'Data Angt'!$A$5:$H$5810,8,FALSE)</f>
        <v>Mengurus Rumah Tangga</v>
      </c>
    </row>
    <row r="1772" spans="1:16" x14ac:dyDescent="0.3">
      <c r="A1772" s="8">
        <v>1765</v>
      </c>
      <c r="B1772" s="9" t="s">
        <v>4974</v>
      </c>
      <c r="C1772" s="10" t="str">
        <f>VLOOKUP(B1772,'Data Angt'!$A$5:$B$5809,2,FALSE)</f>
        <v>A2181</v>
      </c>
      <c r="D1772" s="12" t="s">
        <v>17823</v>
      </c>
      <c r="E1772" s="13">
        <v>45385</v>
      </c>
      <c r="F1772" s="14">
        <v>45860</v>
      </c>
      <c r="G1772" s="15">
        <v>10000000</v>
      </c>
      <c r="H1772" s="16">
        <v>18</v>
      </c>
      <c r="I1772" s="17">
        <v>24</v>
      </c>
      <c r="J1772" s="15">
        <v>7569400</v>
      </c>
      <c r="K1772" s="98">
        <f t="shared" si="81"/>
        <v>2</v>
      </c>
      <c r="L1772" s="98" t="str">
        <f t="shared" si="82"/>
        <v>Lancar</v>
      </c>
      <c r="M1772" s="5" t="str">
        <f t="shared" si="83"/>
        <v>006</v>
      </c>
      <c r="N1772" s="55" t="str">
        <f>VLOOKUP(D1772,Pinjaman!$E$7:$N$1900,10,FALSE)</f>
        <v>PRODUKTIF</v>
      </c>
      <c r="O1772" s="55">
        <f>VLOOKUP(B1772,'Data Angt'!$A$5:$H$5810,6,FALSE)</f>
        <v>52</v>
      </c>
      <c r="P1772" s="55" t="str">
        <f>VLOOKUP(B1772,'Data Angt'!$A$5:$H$5810,8,FALSE)</f>
        <v>Wiraswasta</v>
      </c>
    </row>
    <row r="1773" spans="1:16" x14ac:dyDescent="0.3">
      <c r="A1773" s="8">
        <v>1766</v>
      </c>
      <c r="B1773" s="9" t="s">
        <v>5115</v>
      </c>
      <c r="C1773" s="10" t="str">
        <f>VLOOKUP(B1773,'Data Angt'!$A$5:$B$5809,2,FALSE)</f>
        <v>A2247</v>
      </c>
      <c r="D1773" s="12" t="s">
        <v>10695</v>
      </c>
      <c r="E1773" s="13">
        <v>42546</v>
      </c>
      <c r="F1773" s="14">
        <v>44238</v>
      </c>
      <c r="G1773" s="15">
        <v>20000000</v>
      </c>
      <c r="H1773" s="16">
        <v>48</v>
      </c>
      <c r="I1773" s="17">
        <v>15.6</v>
      </c>
      <c r="J1773" s="15">
        <v>14999600</v>
      </c>
      <c r="K1773" s="98">
        <f t="shared" si="81"/>
        <v>55</v>
      </c>
      <c r="L1773" s="98" t="str">
        <f t="shared" si="82"/>
        <v>Macet</v>
      </c>
      <c r="M1773" s="5" t="str">
        <f t="shared" si="83"/>
        <v>006</v>
      </c>
      <c r="N1773" s="55">
        <f>VLOOKUP(D1773,Pinjaman!$E$7:$N$1900,10,FALSE)</f>
        <v>0</v>
      </c>
      <c r="O1773" s="55">
        <f>VLOOKUP(B1773,'Data Angt'!$A$5:$H$5810,6,FALSE)</f>
        <v>46</v>
      </c>
      <c r="P1773" s="55" t="str">
        <f>VLOOKUP(B1773,'Data Angt'!$A$5:$H$5810,8,FALSE)</f>
        <v>Lain-Lain</v>
      </c>
    </row>
    <row r="1774" spans="1:16" x14ac:dyDescent="0.3">
      <c r="A1774" s="8">
        <v>1767</v>
      </c>
      <c r="B1774" s="9" t="s">
        <v>5181</v>
      </c>
      <c r="C1774" s="10" t="str">
        <f>VLOOKUP(B1774,'Data Angt'!$A$5:$B$5809,2,FALSE)</f>
        <v>A2279</v>
      </c>
      <c r="D1774" s="12" t="s">
        <v>10696</v>
      </c>
      <c r="E1774" s="13">
        <v>45191</v>
      </c>
      <c r="F1774" s="14">
        <v>45929</v>
      </c>
      <c r="G1774" s="15">
        <v>18000000</v>
      </c>
      <c r="H1774" s="16">
        <v>60</v>
      </c>
      <c r="I1774" s="17">
        <v>24</v>
      </c>
      <c r="J1774" s="15">
        <v>13686500</v>
      </c>
      <c r="K1774" s="98">
        <f t="shared" si="81"/>
        <v>0</v>
      </c>
      <c r="L1774" s="98" t="str">
        <f t="shared" si="82"/>
        <v>Lancar</v>
      </c>
      <c r="M1774" s="5" t="str">
        <f t="shared" si="83"/>
        <v>006</v>
      </c>
      <c r="N1774" s="55" t="str">
        <f>VLOOKUP(D1774,Pinjaman!$E$7:$N$1900,10,FALSE)</f>
        <v>KESEJAHTERAAN</v>
      </c>
      <c r="O1774" s="55">
        <f>VLOOKUP(B1774,'Data Angt'!$A$5:$H$5810,6,FALSE)</f>
        <v>48</v>
      </c>
      <c r="P1774" s="55" t="str">
        <f>VLOOKUP(B1774,'Data Angt'!$A$5:$H$5810,8,FALSE)</f>
        <v>Wiraswasta</v>
      </c>
    </row>
    <row r="1775" spans="1:16" x14ac:dyDescent="0.3">
      <c r="A1775" s="8">
        <v>1768</v>
      </c>
      <c r="B1775" s="9" t="s">
        <v>5308</v>
      </c>
      <c r="C1775" s="10" t="str">
        <f>VLOOKUP(B1775,'Data Angt'!$A$5:$B$5809,2,FALSE)</f>
        <v>A2337</v>
      </c>
      <c r="D1775" s="12" t="s">
        <v>10699</v>
      </c>
      <c r="E1775" s="13">
        <v>45119</v>
      </c>
      <c r="F1775" s="14">
        <v>45716</v>
      </c>
      <c r="G1775" s="15">
        <v>9000000</v>
      </c>
      <c r="H1775" s="16">
        <v>30</v>
      </c>
      <c r="I1775" s="17">
        <v>27</v>
      </c>
      <c r="J1775" s="15">
        <v>4020200</v>
      </c>
      <c r="K1775" s="98">
        <f t="shared" si="81"/>
        <v>7</v>
      </c>
      <c r="L1775" s="98" t="str">
        <f t="shared" si="82"/>
        <v>Diragukan</v>
      </c>
      <c r="M1775" s="5" t="str">
        <f t="shared" si="83"/>
        <v>006</v>
      </c>
      <c r="N1775" s="55" t="str">
        <f>VLOOKUP(D1775,Pinjaman!$E$7:$N$1900,10,FALSE)</f>
        <v>KONSUMTIF</v>
      </c>
      <c r="O1775" s="55">
        <f>VLOOKUP(B1775,'Data Angt'!$A$5:$H$5810,6,FALSE)</f>
        <v>40</v>
      </c>
      <c r="P1775" s="55" t="str">
        <f>VLOOKUP(B1775,'Data Angt'!$A$5:$H$5810,8,FALSE)</f>
        <v>Karyawan</v>
      </c>
    </row>
    <row r="1776" spans="1:16" x14ac:dyDescent="0.3">
      <c r="A1776" s="8">
        <v>1769</v>
      </c>
      <c r="B1776" s="9" t="s">
        <v>5327</v>
      </c>
      <c r="C1776" s="10" t="str">
        <f>VLOOKUP(B1776,'Data Angt'!$A$5:$B$5809,2,FALSE)</f>
        <v>A2346</v>
      </c>
      <c r="D1776" s="12" t="s">
        <v>23878</v>
      </c>
      <c r="E1776" s="13">
        <v>45840</v>
      </c>
      <c r="F1776" s="14">
        <v>45902</v>
      </c>
      <c r="G1776" s="15">
        <v>35000000</v>
      </c>
      <c r="H1776" s="16">
        <v>10</v>
      </c>
      <c r="I1776" s="17">
        <v>21</v>
      </c>
      <c r="J1776" s="15">
        <v>28000000</v>
      </c>
      <c r="K1776" s="98">
        <f t="shared" si="81"/>
        <v>0</v>
      </c>
      <c r="L1776" s="98" t="str">
        <f t="shared" si="82"/>
        <v>Lancar</v>
      </c>
      <c r="M1776" s="5" t="str">
        <f t="shared" si="83"/>
        <v>006</v>
      </c>
      <c r="N1776" s="55" t="str">
        <f>VLOOKUP(D1776,Pinjaman!$E$7:$N$1900,10,FALSE)</f>
        <v>PRODUKTIF</v>
      </c>
      <c r="O1776" s="55">
        <f>VLOOKUP(B1776,'Data Angt'!$A$5:$H$5810,6,FALSE)</f>
        <v>58</v>
      </c>
      <c r="P1776" s="55" t="str">
        <f>VLOOKUP(B1776,'Data Angt'!$A$5:$H$5810,8,FALSE)</f>
        <v>Wiraswasta</v>
      </c>
    </row>
    <row r="1777" spans="1:16" x14ac:dyDescent="0.3">
      <c r="A1777" s="8">
        <v>1770</v>
      </c>
      <c r="B1777" s="9" t="s">
        <v>5381</v>
      </c>
      <c r="C1777" s="10" t="str">
        <f>VLOOKUP(B1777,'Data Angt'!$A$5:$B$5809,2,FALSE)</f>
        <v>A2374</v>
      </c>
      <c r="D1777" s="12" t="s">
        <v>17825</v>
      </c>
      <c r="E1777" s="13">
        <v>45464</v>
      </c>
      <c r="F1777" s="14">
        <v>45744</v>
      </c>
      <c r="G1777" s="15">
        <v>10000000</v>
      </c>
      <c r="H1777" s="16">
        <v>24</v>
      </c>
      <c r="I1777" s="17">
        <v>24</v>
      </c>
      <c r="J1777" s="15">
        <v>6793100</v>
      </c>
      <c r="K1777" s="98">
        <f t="shared" si="81"/>
        <v>6</v>
      </c>
      <c r="L1777" s="98" t="str">
        <f t="shared" si="82"/>
        <v>Kurang lancar</v>
      </c>
      <c r="M1777" s="5" t="str">
        <f t="shared" si="83"/>
        <v>006</v>
      </c>
      <c r="N1777" s="55" t="str">
        <f>VLOOKUP(D1777,Pinjaman!$E$7:$N$1900,10,FALSE)</f>
        <v>PENDIDIKAN</v>
      </c>
      <c r="O1777" s="55">
        <f>VLOOKUP(B1777,'Data Angt'!$A$5:$H$5810,6,FALSE)</f>
        <v>43</v>
      </c>
      <c r="P1777" s="55" t="str">
        <f>VLOOKUP(B1777,'Data Angt'!$A$5:$H$5810,8,FALSE)</f>
        <v>Wiraswasta</v>
      </c>
    </row>
    <row r="1778" spans="1:16" x14ac:dyDescent="0.3">
      <c r="A1778" s="8">
        <v>1771</v>
      </c>
      <c r="B1778" s="9" t="s">
        <v>5397</v>
      </c>
      <c r="C1778" s="10" t="str">
        <f>VLOOKUP(B1778,'Data Angt'!$A$5:$B$5809,2,FALSE)</f>
        <v>A2381</v>
      </c>
      <c r="D1778" s="12" t="s">
        <v>17827</v>
      </c>
      <c r="E1778" s="13">
        <v>45670</v>
      </c>
      <c r="F1778" s="14">
        <v>45925</v>
      </c>
      <c r="G1778" s="15">
        <v>5000000</v>
      </c>
      <c r="H1778" s="16">
        <v>18</v>
      </c>
      <c r="I1778" s="17">
        <v>24</v>
      </c>
      <c r="J1778" s="15">
        <v>2995400</v>
      </c>
      <c r="K1778" s="98">
        <f t="shared" si="81"/>
        <v>0</v>
      </c>
      <c r="L1778" s="98" t="str">
        <f t="shared" si="82"/>
        <v>Lancar</v>
      </c>
      <c r="M1778" s="5" t="str">
        <f t="shared" si="83"/>
        <v>006</v>
      </c>
      <c r="N1778" s="55" t="str">
        <f>VLOOKUP(D1778,Pinjaman!$E$7:$N$1900,10,FALSE)</f>
        <v>PENDIDIKAN</v>
      </c>
      <c r="O1778" s="55">
        <f>VLOOKUP(B1778,'Data Angt'!$A$5:$H$5810,6,FALSE)</f>
        <v>58</v>
      </c>
      <c r="P1778" s="55" t="str">
        <f>VLOOKUP(B1778,'Data Angt'!$A$5:$H$5810,8,FALSE)</f>
        <v>Aparatur/Pejabat Negara</v>
      </c>
    </row>
    <row r="1779" spans="1:16" x14ac:dyDescent="0.3">
      <c r="A1779" s="8">
        <v>1772</v>
      </c>
      <c r="B1779" s="9" t="s">
        <v>5446</v>
      </c>
      <c r="C1779" s="10" t="str">
        <f>VLOOKUP(B1779,'Data Angt'!$A$5:$B$5809,2,FALSE)</f>
        <v>A2404</v>
      </c>
      <c r="D1779" s="12" t="s">
        <v>17829</v>
      </c>
      <c r="E1779" s="13">
        <v>45600</v>
      </c>
      <c r="F1779" s="14">
        <v>45919</v>
      </c>
      <c r="G1779" s="15">
        <v>7000000</v>
      </c>
      <c r="H1779" s="16">
        <v>12</v>
      </c>
      <c r="I1779" s="17">
        <v>24</v>
      </c>
      <c r="J1779" s="15">
        <v>1284600</v>
      </c>
      <c r="K1779" s="98">
        <f t="shared" si="81"/>
        <v>0</v>
      </c>
      <c r="L1779" s="98" t="str">
        <f t="shared" si="82"/>
        <v>Lancar</v>
      </c>
      <c r="M1779" s="5" t="str">
        <f t="shared" si="83"/>
        <v>006</v>
      </c>
      <c r="N1779" s="55" t="str">
        <f>VLOOKUP(D1779,Pinjaman!$E$7:$N$1900,10,FALSE)</f>
        <v>PENDIDIKAN</v>
      </c>
      <c r="O1779" s="55">
        <f>VLOOKUP(B1779,'Data Angt'!$A$5:$H$5810,6,FALSE)</f>
        <v>55</v>
      </c>
      <c r="P1779" s="55" t="str">
        <f>VLOOKUP(B1779,'Data Angt'!$A$5:$H$5810,8,FALSE)</f>
        <v>Tenaga Pengajar</v>
      </c>
    </row>
    <row r="1780" spans="1:16" x14ac:dyDescent="0.3">
      <c r="A1780" s="8">
        <v>1773</v>
      </c>
      <c r="B1780" s="9" t="s">
        <v>5510</v>
      </c>
      <c r="C1780" s="10" t="str">
        <f>VLOOKUP(B1780,'Data Angt'!$A$5:$B$5809,2,FALSE)</f>
        <v>A2433</v>
      </c>
      <c r="D1780" s="12" t="s">
        <v>10701</v>
      </c>
      <c r="E1780" s="13">
        <v>43085</v>
      </c>
      <c r="F1780" s="14">
        <v>44238</v>
      </c>
      <c r="G1780" s="15">
        <v>5000000</v>
      </c>
      <c r="H1780" s="16">
        <v>12</v>
      </c>
      <c r="I1780" s="17">
        <v>27</v>
      </c>
      <c r="J1780" s="15">
        <v>4264800</v>
      </c>
      <c r="K1780" s="98">
        <f t="shared" si="81"/>
        <v>55</v>
      </c>
      <c r="L1780" s="98" t="str">
        <f t="shared" si="82"/>
        <v>Macet</v>
      </c>
      <c r="M1780" s="5" t="str">
        <f t="shared" si="83"/>
        <v>006</v>
      </c>
      <c r="N1780" s="55">
        <f>VLOOKUP(D1780,Pinjaman!$E$7:$N$1900,10,FALSE)</f>
        <v>0</v>
      </c>
      <c r="O1780" s="55">
        <f>VLOOKUP(B1780,'Data Angt'!$A$5:$H$5810,6,FALSE)</f>
        <v>48</v>
      </c>
      <c r="P1780" s="55" t="str">
        <f>VLOOKUP(B1780,'Data Angt'!$A$5:$H$5810,8,FALSE)</f>
        <v>Wiraswasta</v>
      </c>
    </row>
    <row r="1781" spans="1:16" x14ac:dyDescent="0.3">
      <c r="A1781" s="8">
        <v>1774</v>
      </c>
      <c r="B1781" s="9" t="s">
        <v>5602</v>
      </c>
      <c r="C1781" s="10" t="str">
        <f>VLOOKUP(B1781,'Data Angt'!$A$5:$B$5809,2,FALSE)</f>
        <v>A2474</v>
      </c>
      <c r="D1781" s="12" t="s">
        <v>10702</v>
      </c>
      <c r="E1781" s="13">
        <v>43791</v>
      </c>
      <c r="F1781" s="14">
        <v>44238</v>
      </c>
      <c r="G1781" s="15">
        <v>5000000</v>
      </c>
      <c r="H1781" s="16">
        <v>12</v>
      </c>
      <c r="I1781" s="17">
        <v>27</v>
      </c>
      <c r="J1781" s="15">
        <v>3333200</v>
      </c>
      <c r="K1781" s="98">
        <f t="shared" si="81"/>
        <v>55</v>
      </c>
      <c r="L1781" s="98" t="str">
        <f t="shared" si="82"/>
        <v>Macet</v>
      </c>
      <c r="M1781" s="5" t="str">
        <f t="shared" si="83"/>
        <v>006</v>
      </c>
      <c r="N1781" s="55" t="str">
        <f>VLOOKUP(D1781,Pinjaman!$E$7:$N$1900,10,FALSE)</f>
        <v>KONSUMTIF</v>
      </c>
      <c r="O1781" s="55">
        <f>VLOOKUP(B1781,'Data Angt'!$A$5:$H$5810,6,FALSE)</f>
        <v>47</v>
      </c>
      <c r="P1781" s="55" t="str">
        <f>VLOOKUP(B1781,'Data Angt'!$A$5:$H$5810,8,FALSE)</f>
        <v>Wiraswasta</v>
      </c>
    </row>
    <row r="1782" spans="1:16" x14ac:dyDescent="0.3">
      <c r="A1782" s="8">
        <v>1775</v>
      </c>
      <c r="B1782" s="9" t="s">
        <v>5605</v>
      </c>
      <c r="C1782" s="10" t="str">
        <f>VLOOKUP(B1782,'Data Angt'!$A$5:$B$5809,2,FALSE)</f>
        <v>A2476</v>
      </c>
      <c r="D1782" s="12" t="s">
        <v>10705</v>
      </c>
      <c r="E1782" s="13">
        <v>45205</v>
      </c>
      <c r="F1782" s="14">
        <v>45881</v>
      </c>
      <c r="G1782" s="15">
        <v>3000000</v>
      </c>
      <c r="H1782" s="16">
        <v>24</v>
      </c>
      <c r="I1782" s="17">
        <v>24</v>
      </c>
      <c r="J1782" s="15">
        <v>315400</v>
      </c>
      <c r="K1782" s="98">
        <f t="shared" si="81"/>
        <v>1</v>
      </c>
      <c r="L1782" s="98" t="str">
        <f t="shared" si="82"/>
        <v>Lancar</v>
      </c>
      <c r="M1782" s="5" t="str">
        <f t="shared" si="83"/>
        <v>006</v>
      </c>
      <c r="N1782" s="55" t="str">
        <f>VLOOKUP(D1782,Pinjaman!$E$7:$N$1900,10,FALSE)</f>
        <v>KONSUMTIF</v>
      </c>
      <c r="O1782" s="55">
        <f>VLOOKUP(B1782,'Data Angt'!$A$5:$H$5810,6,FALSE)</f>
        <v>38</v>
      </c>
      <c r="P1782" s="55" t="str">
        <f>VLOOKUP(B1782,'Data Angt'!$A$5:$H$5810,8,FALSE)</f>
        <v>Karyawan</v>
      </c>
    </row>
    <row r="1783" spans="1:16" x14ac:dyDescent="0.3">
      <c r="A1783" s="8">
        <v>1776</v>
      </c>
      <c r="B1783" s="9" t="s">
        <v>5636</v>
      </c>
      <c r="C1783" s="10" t="str">
        <f>VLOOKUP(B1783,'Data Angt'!$A$5:$B$5809,2,FALSE)</f>
        <v>A2488</v>
      </c>
      <c r="D1783" s="12" t="s">
        <v>10707</v>
      </c>
      <c r="E1783" s="13">
        <v>45196</v>
      </c>
      <c r="F1783" s="14">
        <v>45716</v>
      </c>
      <c r="G1783" s="15">
        <v>7000000</v>
      </c>
      <c r="H1783" s="16">
        <v>24</v>
      </c>
      <c r="I1783" s="17">
        <v>24</v>
      </c>
      <c r="J1783" s="15">
        <v>2402500</v>
      </c>
      <c r="K1783" s="98">
        <f t="shared" si="81"/>
        <v>7</v>
      </c>
      <c r="L1783" s="98" t="str">
        <f t="shared" si="82"/>
        <v>Diragukan</v>
      </c>
      <c r="M1783" s="5" t="str">
        <f t="shared" si="83"/>
        <v>006</v>
      </c>
      <c r="N1783" s="55" t="str">
        <f>VLOOKUP(D1783,Pinjaman!$E$7:$N$1900,10,FALSE)</f>
        <v>KONSUMTIF</v>
      </c>
      <c r="O1783" s="55">
        <f>VLOOKUP(B1783,'Data Angt'!$A$5:$H$5810,6,FALSE)</f>
        <v>38</v>
      </c>
      <c r="P1783" s="55" t="str">
        <f>VLOOKUP(B1783,'Data Angt'!$A$5:$H$5810,8,FALSE)</f>
        <v>Mengurus Rumah Tangga</v>
      </c>
    </row>
    <row r="1784" spans="1:16" x14ac:dyDescent="0.3">
      <c r="A1784" s="8">
        <v>1777</v>
      </c>
      <c r="B1784" s="9" t="s">
        <v>5674</v>
      </c>
      <c r="C1784" s="10" t="str">
        <f>VLOOKUP(B1784,'Data Angt'!$A$5:$B$5809,2,FALSE)</f>
        <v>A2505</v>
      </c>
      <c r="D1784" s="12" t="s">
        <v>17831</v>
      </c>
      <c r="E1784" s="13">
        <v>45693</v>
      </c>
      <c r="F1784" s="14">
        <v>45904</v>
      </c>
      <c r="G1784" s="15">
        <v>10000000</v>
      </c>
      <c r="H1784" s="16">
        <v>12</v>
      </c>
      <c r="I1784" s="17">
        <v>24</v>
      </c>
      <c r="J1784" s="15">
        <v>4457200</v>
      </c>
      <c r="K1784" s="98">
        <f t="shared" si="81"/>
        <v>0</v>
      </c>
      <c r="L1784" s="98" t="str">
        <f t="shared" si="82"/>
        <v>Lancar</v>
      </c>
      <c r="M1784" s="5" t="str">
        <f t="shared" si="83"/>
        <v>006</v>
      </c>
      <c r="N1784" s="55" t="str">
        <f>VLOOKUP(D1784,Pinjaman!$E$7:$N$1900,10,FALSE)</f>
        <v>PENDIDIKAN</v>
      </c>
      <c r="O1784" s="55">
        <f>VLOOKUP(B1784,'Data Angt'!$A$5:$H$5810,6,FALSE)</f>
        <v>57</v>
      </c>
      <c r="P1784" s="55" t="str">
        <f>VLOOKUP(B1784,'Data Angt'!$A$5:$H$5810,8,FALSE)</f>
        <v>Wiraswasta</v>
      </c>
    </row>
    <row r="1785" spans="1:16" x14ac:dyDescent="0.3">
      <c r="A1785" s="8">
        <v>1778</v>
      </c>
      <c r="B1785" s="9" t="s">
        <v>5748</v>
      </c>
      <c r="C1785" s="10" t="str">
        <f>VLOOKUP(B1785,'Data Angt'!$A$5:$B$5809,2,FALSE)</f>
        <v>A2535</v>
      </c>
      <c r="D1785" s="12" t="s">
        <v>17833</v>
      </c>
      <c r="E1785" s="13">
        <v>45726</v>
      </c>
      <c r="F1785" s="14">
        <v>45901</v>
      </c>
      <c r="G1785" s="15">
        <v>3000000</v>
      </c>
      <c r="H1785" s="16">
        <v>12</v>
      </c>
      <c r="I1785" s="17">
        <v>24</v>
      </c>
      <c r="J1785" s="15">
        <v>1589200</v>
      </c>
      <c r="K1785" s="98">
        <f t="shared" si="81"/>
        <v>0</v>
      </c>
      <c r="L1785" s="98" t="str">
        <f t="shared" si="82"/>
        <v>Lancar</v>
      </c>
      <c r="M1785" s="5" t="str">
        <f t="shared" si="83"/>
        <v>006</v>
      </c>
      <c r="N1785" s="55" t="str">
        <f>VLOOKUP(D1785,Pinjaman!$E$7:$N$1900,10,FALSE)</f>
        <v>PRODUKTIF</v>
      </c>
      <c r="O1785" s="55">
        <f>VLOOKUP(B1785,'Data Angt'!$A$5:$H$5810,6,FALSE)</f>
        <v>26</v>
      </c>
      <c r="P1785" s="55" t="str">
        <f>VLOOKUP(B1785,'Data Angt'!$A$5:$H$5810,8,FALSE)</f>
        <v>Pelajar/Mahasiswa</v>
      </c>
    </row>
    <row r="1786" spans="1:16" x14ac:dyDescent="0.3">
      <c r="A1786" s="8">
        <v>1779</v>
      </c>
      <c r="B1786" s="9" t="s">
        <v>5752</v>
      </c>
      <c r="C1786" s="10" t="str">
        <f>VLOOKUP(B1786,'Data Angt'!$A$5:$B$5809,2,FALSE)</f>
        <v>A2537</v>
      </c>
      <c r="D1786" s="12" t="s">
        <v>17835</v>
      </c>
      <c r="E1786" s="13">
        <v>45356</v>
      </c>
      <c r="F1786" s="14">
        <v>45910</v>
      </c>
      <c r="G1786" s="15">
        <v>13000000</v>
      </c>
      <c r="H1786" s="16">
        <v>30</v>
      </c>
      <c r="I1786" s="17">
        <v>24</v>
      </c>
      <c r="J1786" s="15">
        <v>6138300</v>
      </c>
      <c r="K1786" s="98">
        <f t="shared" si="81"/>
        <v>0</v>
      </c>
      <c r="L1786" s="98" t="str">
        <f t="shared" si="82"/>
        <v>Lancar</v>
      </c>
      <c r="M1786" s="5" t="str">
        <f t="shared" si="83"/>
        <v>006</v>
      </c>
      <c r="N1786" s="55" t="str">
        <f>VLOOKUP(D1786,Pinjaman!$E$7:$N$1900,10,FALSE)</f>
        <v>KESEJAHTERAAN</v>
      </c>
      <c r="O1786" s="55">
        <f>VLOOKUP(B1786,'Data Angt'!$A$5:$H$5810,6,FALSE)</f>
        <v>51</v>
      </c>
      <c r="P1786" s="55" t="str">
        <f>VLOOKUP(B1786,'Data Angt'!$A$5:$H$5810,8,FALSE)</f>
        <v>Lain-Lain</v>
      </c>
    </row>
    <row r="1787" spans="1:16" x14ac:dyDescent="0.3">
      <c r="A1787" s="8">
        <v>1780</v>
      </c>
      <c r="B1787" s="9" t="s">
        <v>5831</v>
      </c>
      <c r="C1787" s="10" t="str">
        <f>VLOOKUP(B1787,'Data Angt'!$A$5:$B$5809,2,FALSE)</f>
        <v>A2572</v>
      </c>
      <c r="D1787" s="12" t="s">
        <v>10710</v>
      </c>
      <c r="E1787" s="13">
        <v>44365</v>
      </c>
      <c r="F1787" s="14">
        <v>44681</v>
      </c>
      <c r="G1787" s="15">
        <v>25000000</v>
      </c>
      <c r="H1787" s="16">
        <v>24</v>
      </c>
      <c r="I1787" s="17">
        <v>24</v>
      </c>
      <c r="J1787" s="15">
        <v>19816100</v>
      </c>
      <c r="K1787" s="98">
        <f t="shared" si="81"/>
        <v>41</v>
      </c>
      <c r="L1787" s="98" t="str">
        <f t="shared" si="82"/>
        <v>Macet</v>
      </c>
      <c r="M1787" s="5" t="str">
        <f t="shared" si="83"/>
        <v>006</v>
      </c>
      <c r="N1787" s="55" t="str">
        <f>VLOOKUP(D1787,Pinjaman!$E$7:$N$1900,10,FALSE)</f>
        <v>PRODUKTIF</v>
      </c>
      <c r="O1787" s="55">
        <f>VLOOKUP(B1787,'Data Angt'!$A$5:$H$5810,6,FALSE)</f>
        <v>42</v>
      </c>
      <c r="P1787" s="55" t="str">
        <f>VLOOKUP(B1787,'Data Angt'!$A$5:$H$5810,8,FALSE)</f>
        <v>Wiraswasta</v>
      </c>
    </row>
    <row r="1788" spans="1:16" x14ac:dyDescent="0.3">
      <c r="A1788" s="8">
        <v>1781</v>
      </c>
      <c r="B1788" s="9" t="s">
        <v>5856</v>
      </c>
      <c r="C1788" s="10" t="str">
        <f>VLOOKUP(B1788,'Data Angt'!$A$5:$B$5809,2,FALSE)</f>
        <v>A2586</v>
      </c>
      <c r="D1788" s="12" t="s">
        <v>17837</v>
      </c>
      <c r="E1788" s="13">
        <v>45371</v>
      </c>
      <c r="F1788" s="14">
        <v>45891</v>
      </c>
      <c r="G1788" s="15">
        <v>15000000</v>
      </c>
      <c r="H1788" s="16">
        <v>36</v>
      </c>
      <c r="I1788" s="17">
        <v>24</v>
      </c>
      <c r="J1788" s="15">
        <v>12160100</v>
      </c>
      <c r="K1788" s="98">
        <f t="shared" si="81"/>
        <v>1</v>
      </c>
      <c r="L1788" s="98" t="str">
        <f t="shared" si="82"/>
        <v>Lancar</v>
      </c>
      <c r="M1788" s="5" t="str">
        <f t="shared" si="83"/>
        <v>006</v>
      </c>
      <c r="N1788" s="55" t="str">
        <f>VLOOKUP(D1788,Pinjaman!$E$7:$N$1900,10,FALSE)</f>
        <v>KONSUMTIF</v>
      </c>
      <c r="O1788" s="55">
        <f>VLOOKUP(B1788,'Data Angt'!$A$5:$H$5810,6,FALSE)</f>
        <v>46</v>
      </c>
      <c r="P1788" s="55" t="str">
        <f>VLOOKUP(B1788,'Data Angt'!$A$5:$H$5810,8,FALSE)</f>
        <v>Wiraswasta</v>
      </c>
    </row>
    <row r="1789" spans="1:16" x14ac:dyDescent="0.3">
      <c r="A1789" s="8">
        <v>1782</v>
      </c>
      <c r="B1789" s="9" t="s">
        <v>5920</v>
      </c>
      <c r="C1789" s="10" t="str">
        <f>VLOOKUP(B1789,'Data Angt'!$A$5:$B$5809,2,FALSE)</f>
        <v>A2614</v>
      </c>
      <c r="D1789" s="12" t="s">
        <v>10712</v>
      </c>
      <c r="E1789" s="13">
        <v>44756</v>
      </c>
      <c r="F1789" s="14">
        <v>45531</v>
      </c>
      <c r="G1789" s="15">
        <v>25000000</v>
      </c>
      <c r="H1789" s="16">
        <v>24</v>
      </c>
      <c r="I1789" s="17">
        <v>21</v>
      </c>
      <c r="J1789" s="15">
        <v>16274700</v>
      </c>
      <c r="K1789" s="98">
        <f t="shared" si="81"/>
        <v>13</v>
      </c>
      <c r="L1789" s="98" t="str">
        <f t="shared" si="82"/>
        <v>Macet</v>
      </c>
      <c r="M1789" s="5" t="str">
        <f t="shared" si="83"/>
        <v>006</v>
      </c>
      <c r="N1789" s="55" t="str">
        <f>VLOOKUP(D1789,Pinjaman!$E$7:$N$1900,10,FALSE)</f>
        <v>PRODUKTIF</v>
      </c>
      <c r="O1789" s="55">
        <f>VLOOKUP(B1789,'Data Angt'!$A$5:$H$5810,6,FALSE)</f>
        <v>34</v>
      </c>
      <c r="P1789" s="55" t="str">
        <f>VLOOKUP(B1789,'Data Angt'!$A$5:$H$5810,8,FALSE)</f>
        <v>Wiraswasta</v>
      </c>
    </row>
    <row r="1790" spans="1:16" x14ac:dyDescent="0.3">
      <c r="A1790" s="8">
        <v>1783</v>
      </c>
      <c r="B1790" s="9" t="s">
        <v>6060</v>
      </c>
      <c r="C1790" s="10" t="str">
        <f>VLOOKUP(B1790,'Data Angt'!$A$5:$B$5809,2,FALSE)</f>
        <v>A2679</v>
      </c>
      <c r="D1790" s="12" t="s">
        <v>17839</v>
      </c>
      <c r="E1790" s="13">
        <v>45322</v>
      </c>
      <c r="F1790" s="14">
        <v>45927</v>
      </c>
      <c r="G1790" s="15">
        <v>50000000</v>
      </c>
      <c r="H1790" s="16">
        <v>60</v>
      </c>
      <c r="I1790" s="17">
        <v>24</v>
      </c>
      <c r="J1790" s="15">
        <v>39348900</v>
      </c>
      <c r="K1790" s="98">
        <f t="shared" si="81"/>
        <v>0</v>
      </c>
      <c r="L1790" s="98" t="str">
        <f t="shared" si="82"/>
        <v>Lancar</v>
      </c>
      <c r="M1790" s="5" t="str">
        <f t="shared" si="83"/>
        <v>006</v>
      </c>
      <c r="N1790" s="55" t="str">
        <f>VLOOKUP(D1790,Pinjaman!$E$7:$N$1900,10,FALSE)</f>
        <v>PENDIDIKAN</v>
      </c>
      <c r="O1790" s="55">
        <f>VLOOKUP(B1790,'Data Angt'!$A$5:$H$5810,6,FALSE)</f>
        <v>64</v>
      </c>
      <c r="P1790" s="55" t="str">
        <f>VLOOKUP(B1790,'Data Angt'!$A$5:$H$5810,8,FALSE)</f>
        <v>Tenaga Pengajar</v>
      </c>
    </row>
    <row r="1791" spans="1:16" x14ac:dyDescent="0.3">
      <c r="A1791" s="8">
        <v>1784</v>
      </c>
      <c r="B1791" s="9" t="s">
        <v>6129</v>
      </c>
      <c r="C1791" s="10" t="str">
        <f>VLOOKUP(B1791,'Data Angt'!$A$5:$B$5809,2,FALSE)</f>
        <v>A2715</v>
      </c>
      <c r="D1791" s="12" t="s">
        <v>17842</v>
      </c>
      <c r="E1791" s="13">
        <v>45670</v>
      </c>
      <c r="F1791" s="14">
        <v>45909</v>
      </c>
      <c r="G1791" s="15">
        <v>2000000</v>
      </c>
      <c r="H1791" s="16">
        <v>12</v>
      </c>
      <c r="I1791" s="17">
        <v>24</v>
      </c>
      <c r="J1791" s="15">
        <v>719800</v>
      </c>
      <c r="K1791" s="98">
        <f t="shared" si="81"/>
        <v>0</v>
      </c>
      <c r="L1791" s="98" t="str">
        <f t="shared" si="82"/>
        <v>Lancar</v>
      </c>
      <c r="M1791" s="5" t="str">
        <f t="shared" si="83"/>
        <v>006</v>
      </c>
      <c r="N1791" s="55" t="str">
        <f>VLOOKUP(D1791,Pinjaman!$E$7:$N$1900,10,FALSE)</f>
        <v>KESEHATAN</v>
      </c>
      <c r="O1791" s="55">
        <f>VLOOKUP(B1791,'Data Angt'!$A$5:$H$5810,6,FALSE)</f>
        <v>46</v>
      </c>
      <c r="P1791" s="55" t="str">
        <f>VLOOKUP(B1791,'Data Angt'!$A$5:$H$5810,8,FALSE)</f>
        <v>Karyawan</v>
      </c>
    </row>
    <row r="1792" spans="1:16" x14ac:dyDescent="0.3">
      <c r="A1792" s="8">
        <v>1785</v>
      </c>
      <c r="B1792" s="9" t="s">
        <v>6129</v>
      </c>
      <c r="C1792" s="10" t="str">
        <f>VLOOKUP(B1792,'Data Angt'!$A$5:$B$5809,2,FALSE)</f>
        <v>A2715</v>
      </c>
      <c r="D1792" s="12" t="s">
        <v>23890</v>
      </c>
      <c r="E1792" s="13">
        <v>45878</v>
      </c>
      <c r="F1792" s="14">
        <v>45909</v>
      </c>
      <c r="G1792" s="15">
        <v>30000000</v>
      </c>
      <c r="H1792" s="16">
        <v>48</v>
      </c>
      <c r="I1792" s="17">
        <v>21</v>
      </c>
      <c r="J1792" s="15">
        <v>29596000</v>
      </c>
      <c r="K1792" s="98">
        <f t="shared" si="81"/>
        <v>0</v>
      </c>
      <c r="L1792" s="98" t="str">
        <f t="shared" si="82"/>
        <v>Lancar</v>
      </c>
      <c r="M1792" s="5" t="str">
        <f t="shared" si="83"/>
        <v>006</v>
      </c>
      <c r="N1792" s="55" t="str">
        <f>VLOOKUP(D1792,Pinjaman!$E$7:$N$1900,10,FALSE)</f>
        <v>PENDIDIKAN</v>
      </c>
      <c r="O1792" s="55">
        <f>VLOOKUP(B1792,'Data Angt'!$A$5:$H$5810,6,FALSE)</f>
        <v>46</v>
      </c>
      <c r="P1792" s="55" t="str">
        <f>VLOOKUP(B1792,'Data Angt'!$A$5:$H$5810,8,FALSE)</f>
        <v>Karyawan</v>
      </c>
    </row>
    <row r="1793" spans="1:16" x14ac:dyDescent="0.3">
      <c r="A1793" s="8">
        <v>1786</v>
      </c>
      <c r="B1793" s="9" t="s">
        <v>6263</v>
      </c>
      <c r="C1793" s="10" t="str">
        <f>VLOOKUP(B1793,'Data Angt'!$A$5:$B$5809,2,FALSE)</f>
        <v>A2775</v>
      </c>
      <c r="D1793" s="12" t="s">
        <v>17845</v>
      </c>
      <c r="E1793" s="13">
        <v>45307</v>
      </c>
      <c r="F1793" s="14">
        <v>45917</v>
      </c>
      <c r="G1793" s="15">
        <v>6000000</v>
      </c>
      <c r="H1793" s="16">
        <v>24</v>
      </c>
      <c r="I1793" s="17">
        <v>24</v>
      </c>
      <c r="J1793" s="15">
        <v>1223800</v>
      </c>
      <c r="K1793" s="98">
        <f t="shared" si="81"/>
        <v>0</v>
      </c>
      <c r="L1793" s="98" t="str">
        <f t="shared" si="82"/>
        <v>Lancar</v>
      </c>
      <c r="M1793" s="5" t="str">
        <f t="shared" si="83"/>
        <v>006</v>
      </c>
      <c r="N1793" s="55" t="str">
        <f>VLOOKUP(D1793,Pinjaman!$E$7:$N$1900,10,FALSE)</f>
        <v>KESEJAHTERAAN</v>
      </c>
      <c r="O1793" s="55">
        <f>VLOOKUP(B1793,'Data Angt'!$A$5:$H$5810,6,FALSE)</f>
        <v>33</v>
      </c>
      <c r="P1793" s="55" t="str">
        <f>VLOOKUP(B1793,'Data Angt'!$A$5:$H$5810,8,FALSE)</f>
        <v>Karyawan</v>
      </c>
    </row>
    <row r="1794" spans="1:16" x14ac:dyDescent="0.3">
      <c r="A1794" s="8">
        <v>1787</v>
      </c>
      <c r="B1794" s="9" t="s">
        <v>6534</v>
      </c>
      <c r="C1794" s="10" t="str">
        <f>VLOOKUP(B1794,'Data Angt'!$A$5:$B$5809,2,FALSE)</f>
        <v>A2902</v>
      </c>
      <c r="D1794" s="12" t="s">
        <v>17848</v>
      </c>
      <c r="E1794" s="13">
        <v>45469</v>
      </c>
      <c r="F1794" s="14">
        <v>45909</v>
      </c>
      <c r="G1794" s="15">
        <v>17000000</v>
      </c>
      <c r="H1794" s="16">
        <v>36</v>
      </c>
      <c r="I1794" s="17">
        <v>24</v>
      </c>
      <c r="J1794" s="15">
        <v>11784800</v>
      </c>
      <c r="K1794" s="98">
        <f t="shared" si="81"/>
        <v>0</v>
      </c>
      <c r="L1794" s="98" t="str">
        <f t="shared" si="82"/>
        <v>Lancar</v>
      </c>
      <c r="M1794" s="5" t="str">
        <f t="shared" si="83"/>
        <v>006</v>
      </c>
      <c r="N1794" s="55" t="str">
        <f>VLOOKUP(D1794,Pinjaman!$E$7:$N$1900,10,FALSE)</f>
        <v>KESEHATAN</v>
      </c>
      <c r="O1794" s="55">
        <f>VLOOKUP(B1794,'Data Angt'!$A$5:$H$5810,6,FALSE)</f>
        <v>43</v>
      </c>
      <c r="P1794" s="55" t="str">
        <f>VLOOKUP(B1794,'Data Angt'!$A$5:$H$5810,8,FALSE)</f>
        <v>Tenaga Pengajar</v>
      </c>
    </row>
    <row r="1795" spans="1:16" x14ac:dyDescent="0.3">
      <c r="A1795" s="8">
        <v>1788</v>
      </c>
      <c r="B1795" s="9" t="s">
        <v>6548</v>
      </c>
      <c r="C1795" s="10" t="str">
        <f>VLOOKUP(B1795,'Data Angt'!$A$5:$B$5809,2,FALSE)</f>
        <v>A2907</v>
      </c>
      <c r="D1795" s="12" t="s">
        <v>17850</v>
      </c>
      <c r="E1795" s="13">
        <v>45681</v>
      </c>
      <c r="F1795" s="14">
        <v>45930</v>
      </c>
      <c r="G1795" s="15">
        <v>4000000</v>
      </c>
      <c r="H1795" s="16">
        <v>18</v>
      </c>
      <c r="I1795" s="17">
        <v>24</v>
      </c>
      <c r="J1795" s="15">
        <v>2417200</v>
      </c>
      <c r="K1795" s="98">
        <f t="shared" si="81"/>
        <v>0</v>
      </c>
      <c r="L1795" s="98" t="str">
        <f t="shared" si="82"/>
        <v>Lancar</v>
      </c>
      <c r="M1795" s="5" t="str">
        <f t="shared" si="83"/>
        <v>006</v>
      </c>
      <c r="N1795" s="55" t="str">
        <f>VLOOKUP(D1795,Pinjaman!$E$7:$N$1900,10,FALSE)</f>
        <v>PRODUKTIF</v>
      </c>
      <c r="O1795" s="55">
        <f>VLOOKUP(B1795,'Data Angt'!$A$5:$H$5810,6,FALSE)</f>
        <v>36</v>
      </c>
      <c r="P1795" s="55" t="str">
        <f>VLOOKUP(B1795,'Data Angt'!$A$5:$H$5810,8,FALSE)</f>
        <v>Karyawan</v>
      </c>
    </row>
    <row r="1796" spans="1:16" x14ac:dyDescent="0.3">
      <c r="A1796" s="8">
        <v>1789</v>
      </c>
      <c r="B1796" s="9" t="s">
        <v>6613</v>
      </c>
      <c r="C1796" s="10" t="str">
        <f>VLOOKUP(B1796,'Data Angt'!$A$5:$B$5809,2,FALSE)</f>
        <v>A2937</v>
      </c>
      <c r="D1796" s="12" t="s">
        <v>10716</v>
      </c>
      <c r="E1796" s="13">
        <v>44527</v>
      </c>
      <c r="F1796" s="14">
        <v>45925</v>
      </c>
      <c r="G1796" s="15">
        <v>14000000</v>
      </c>
      <c r="H1796" s="16">
        <v>36</v>
      </c>
      <c r="I1796" s="17">
        <v>27</v>
      </c>
      <c r="J1796" s="15">
        <v>10510500</v>
      </c>
      <c r="K1796" s="98">
        <f t="shared" si="81"/>
        <v>0</v>
      </c>
      <c r="L1796" s="98" t="str">
        <f t="shared" si="82"/>
        <v>Lancar</v>
      </c>
      <c r="M1796" s="5" t="str">
        <f t="shared" si="83"/>
        <v>006</v>
      </c>
      <c r="N1796" s="55" t="str">
        <f>VLOOKUP(D1796,Pinjaman!$E$7:$N$1900,10,FALSE)</f>
        <v>PRODUKTIF</v>
      </c>
      <c r="O1796" s="55">
        <f>VLOOKUP(B1796,'Data Angt'!$A$5:$H$5810,6,FALSE)</f>
        <v>37</v>
      </c>
      <c r="P1796" s="55" t="str">
        <f>VLOOKUP(B1796,'Data Angt'!$A$5:$H$5810,8,FALSE)</f>
        <v>Mengurus Rumah Tangga</v>
      </c>
    </row>
    <row r="1797" spans="1:16" x14ac:dyDescent="0.3">
      <c r="A1797" s="8">
        <v>1790</v>
      </c>
      <c r="B1797" s="9" t="s">
        <v>6695</v>
      </c>
      <c r="C1797" s="10" t="str">
        <f>VLOOKUP(B1797,'Data Angt'!$A$5:$B$5809,2,FALSE)</f>
        <v>A2978</v>
      </c>
      <c r="D1797" s="12" t="s">
        <v>10719</v>
      </c>
      <c r="E1797" s="13">
        <v>45262</v>
      </c>
      <c r="F1797" s="14">
        <v>45839</v>
      </c>
      <c r="G1797" s="15">
        <v>25000000</v>
      </c>
      <c r="H1797" s="16">
        <v>48</v>
      </c>
      <c r="I1797" s="17">
        <v>21</v>
      </c>
      <c r="J1797" s="15">
        <v>17527900</v>
      </c>
      <c r="K1797" s="98">
        <f t="shared" si="81"/>
        <v>2</v>
      </c>
      <c r="L1797" s="98" t="str">
        <f t="shared" si="82"/>
        <v>Lancar</v>
      </c>
      <c r="M1797" s="5" t="str">
        <f t="shared" si="83"/>
        <v>006</v>
      </c>
      <c r="N1797" s="55" t="str">
        <f>VLOOKUP(D1797,Pinjaman!$E$7:$N$1900,10,FALSE)</f>
        <v>KONSUMTIF</v>
      </c>
      <c r="O1797" s="55">
        <f>VLOOKUP(B1797,'Data Angt'!$A$5:$H$5810,6,FALSE)</f>
        <v>46</v>
      </c>
      <c r="P1797" s="55" t="str">
        <f>VLOOKUP(B1797,'Data Angt'!$A$5:$H$5810,8,FALSE)</f>
        <v>Karyawan</v>
      </c>
    </row>
    <row r="1798" spans="1:16" x14ac:dyDescent="0.3">
      <c r="A1798" s="8">
        <v>1791</v>
      </c>
      <c r="B1798" s="9" t="s">
        <v>6795</v>
      </c>
      <c r="C1798" s="10" t="str">
        <f>VLOOKUP(B1798,'Data Angt'!$A$5:$B$5809,2,FALSE)</f>
        <v>A3024</v>
      </c>
      <c r="D1798" s="12" t="s">
        <v>17853</v>
      </c>
      <c r="E1798" s="13">
        <v>45700</v>
      </c>
      <c r="F1798" s="14">
        <v>45930</v>
      </c>
      <c r="G1798" s="15">
        <v>3000000</v>
      </c>
      <c r="H1798" s="16">
        <v>18</v>
      </c>
      <c r="I1798" s="17">
        <v>24</v>
      </c>
      <c r="J1798" s="15">
        <v>2270600</v>
      </c>
      <c r="K1798" s="98">
        <f t="shared" si="81"/>
        <v>0</v>
      </c>
      <c r="L1798" s="98" t="str">
        <f t="shared" si="82"/>
        <v>Lancar</v>
      </c>
      <c r="M1798" s="5" t="str">
        <f t="shared" si="83"/>
        <v>006</v>
      </c>
      <c r="N1798" s="55" t="str">
        <f>VLOOKUP(D1798,Pinjaman!$E$7:$N$1900,10,FALSE)</f>
        <v>KONSUMTIF</v>
      </c>
      <c r="O1798" s="55">
        <f>VLOOKUP(B1798,'Data Angt'!$A$5:$H$5810,6,FALSE)</f>
        <v>41</v>
      </c>
      <c r="P1798" s="55" t="str">
        <f>VLOOKUP(B1798,'Data Angt'!$A$5:$H$5810,8,FALSE)</f>
        <v>Wiraswasta</v>
      </c>
    </row>
    <row r="1799" spans="1:16" x14ac:dyDescent="0.3">
      <c r="A1799" s="8">
        <v>1792</v>
      </c>
      <c r="B1799" s="9" t="s">
        <v>6797</v>
      </c>
      <c r="C1799" s="10" t="str">
        <f>VLOOKUP(B1799,'Data Angt'!$A$5:$B$5809,2,FALSE)</f>
        <v>A3025</v>
      </c>
      <c r="D1799" s="12" t="s">
        <v>17855</v>
      </c>
      <c r="E1799" s="13">
        <v>45419</v>
      </c>
      <c r="F1799" s="14">
        <v>45929</v>
      </c>
      <c r="G1799" s="15">
        <v>3000000</v>
      </c>
      <c r="H1799" s="16">
        <v>18</v>
      </c>
      <c r="I1799" s="17">
        <v>24</v>
      </c>
      <c r="J1799" s="15">
        <v>1623200</v>
      </c>
      <c r="K1799" s="98">
        <f t="shared" si="81"/>
        <v>0</v>
      </c>
      <c r="L1799" s="98" t="str">
        <f t="shared" si="82"/>
        <v>Lancar</v>
      </c>
      <c r="M1799" s="5" t="str">
        <f t="shared" si="83"/>
        <v>006</v>
      </c>
      <c r="N1799" s="55" t="str">
        <f>VLOOKUP(D1799,Pinjaman!$E$7:$N$1900,10,FALSE)</f>
        <v>PRODUKTIF</v>
      </c>
      <c r="O1799" s="55">
        <f>VLOOKUP(B1799,'Data Angt'!$A$5:$H$5810,6,FALSE)</f>
        <v>61</v>
      </c>
      <c r="P1799" s="55" t="str">
        <f>VLOOKUP(B1799,'Data Angt'!$A$5:$H$5810,8,FALSE)</f>
        <v>Mengurus Rumah Tangga</v>
      </c>
    </row>
    <row r="1800" spans="1:16" x14ac:dyDescent="0.3">
      <c r="A1800" s="8">
        <v>1793</v>
      </c>
      <c r="B1800" s="9" t="s">
        <v>7133</v>
      </c>
      <c r="C1800" s="10" t="str">
        <f>VLOOKUP(B1800,'Data Angt'!$A$5:$B$5809,2,FALSE)</f>
        <v>A3192</v>
      </c>
      <c r="D1800" s="12" t="s">
        <v>17857</v>
      </c>
      <c r="E1800" s="13">
        <v>45477</v>
      </c>
      <c r="F1800" s="14">
        <v>45930</v>
      </c>
      <c r="G1800" s="15">
        <v>15000000</v>
      </c>
      <c r="H1800" s="16">
        <v>24</v>
      </c>
      <c r="I1800" s="17">
        <v>24</v>
      </c>
      <c r="J1800" s="15">
        <v>7124000</v>
      </c>
      <c r="K1800" s="98">
        <f t="shared" si="81"/>
        <v>0</v>
      </c>
      <c r="L1800" s="98" t="str">
        <f t="shared" si="82"/>
        <v>Lancar</v>
      </c>
      <c r="M1800" s="5" t="str">
        <f t="shared" si="83"/>
        <v>006</v>
      </c>
      <c r="N1800" s="55" t="str">
        <f>VLOOKUP(D1800,Pinjaman!$E$7:$N$1900,10,FALSE)</f>
        <v>KONSUMTIF</v>
      </c>
      <c r="O1800" s="55">
        <f>VLOOKUP(B1800,'Data Angt'!$A$5:$H$5810,6,FALSE)</f>
        <v>37</v>
      </c>
      <c r="P1800" s="55" t="str">
        <f>VLOOKUP(B1800,'Data Angt'!$A$5:$H$5810,8,FALSE)</f>
        <v>Tenaga Pengajar</v>
      </c>
    </row>
    <row r="1801" spans="1:16" x14ac:dyDescent="0.3">
      <c r="A1801" s="8">
        <v>1794</v>
      </c>
      <c r="B1801" s="9" t="s">
        <v>7151</v>
      </c>
      <c r="C1801" s="10" t="str">
        <f>VLOOKUP(B1801,'Data Angt'!$A$5:$B$5809,2,FALSE)</f>
        <v>A3199</v>
      </c>
      <c r="D1801" s="12" t="s">
        <v>17859</v>
      </c>
      <c r="E1801" s="13">
        <v>45483</v>
      </c>
      <c r="F1801" s="14">
        <v>45909</v>
      </c>
      <c r="G1801" s="15">
        <v>15000000</v>
      </c>
      <c r="H1801" s="16">
        <v>18</v>
      </c>
      <c r="I1801" s="17">
        <v>24</v>
      </c>
      <c r="J1801" s="15">
        <v>3809400</v>
      </c>
      <c r="K1801" s="98">
        <f t="shared" ref="K1801:K1864" si="84">DATEDIF(F1801,$K$6,"m")</f>
        <v>0</v>
      </c>
      <c r="L1801" s="98" t="str">
        <f t="shared" ref="L1801:L1864" si="85">IF(K1801&lt;=3,"Lancar",IF(K1801&lt;=6,"Kurang lancar",IF(K1801&lt;=12,"Diragukan","Macet")))</f>
        <v>Lancar</v>
      </c>
      <c r="M1801" s="5" t="str">
        <f t="shared" ref="M1801:M1864" si="86">MID(B1801,7,3)</f>
        <v>006</v>
      </c>
      <c r="N1801" s="55" t="str">
        <f>VLOOKUP(D1801,Pinjaman!$E$7:$N$1900,10,FALSE)</f>
        <v>KESEJAHTERAAN</v>
      </c>
      <c r="O1801" s="55">
        <f>VLOOKUP(B1801,'Data Angt'!$A$5:$H$5810,6,FALSE)</f>
        <v>48</v>
      </c>
      <c r="P1801" s="55" t="str">
        <f>VLOOKUP(B1801,'Data Angt'!$A$5:$H$5810,8,FALSE)</f>
        <v>Karyawan</v>
      </c>
    </row>
    <row r="1802" spans="1:16" x14ac:dyDescent="0.3">
      <c r="A1802" s="8">
        <v>1795</v>
      </c>
      <c r="B1802" s="9" t="s">
        <v>7154</v>
      </c>
      <c r="C1802" s="10" t="str">
        <f>VLOOKUP(B1802,'Data Angt'!$A$5:$B$5809,2,FALSE)</f>
        <v>A3200</v>
      </c>
      <c r="D1802" s="12" t="s">
        <v>17861</v>
      </c>
      <c r="E1802" s="13">
        <v>45819</v>
      </c>
      <c r="F1802" s="14">
        <v>45916</v>
      </c>
      <c r="G1802" s="15">
        <v>3000000</v>
      </c>
      <c r="H1802" s="16">
        <v>8</v>
      </c>
      <c r="I1802" s="17">
        <v>24</v>
      </c>
      <c r="J1802" s="15">
        <v>1930200</v>
      </c>
      <c r="K1802" s="98">
        <f t="shared" si="84"/>
        <v>0</v>
      </c>
      <c r="L1802" s="98" t="str">
        <f t="shared" si="85"/>
        <v>Lancar</v>
      </c>
      <c r="M1802" s="5" t="str">
        <f t="shared" si="86"/>
        <v>006</v>
      </c>
      <c r="N1802" s="55" t="str">
        <f>VLOOKUP(D1802,Pinjaman!$E$7:$N$1900,10,FALSE)</f>
        <v>KONSUMTIF</v>
      </c>
      <c r="O1802" s="55">
        <f>VLOOKUP(B1802,'Data Angt'!$A$5:$H$5810,6,FALSE)</f>
        <v>44</v>
      </c>
      <c r="P1802" s="55" t="str">
        <f>VLOOKUP(B1802,'Data Angt'!$A$5:$H$5810,8,FALSE)</f>
        <v>Karyawan</v>
      </c>
    </row>
    <row r="1803" spans="1:16" x14ac:dyDescent="0.3">
      <c r="A1803" s="8">
        <v>1796</v>
      </c>
      <c r="B1803" s="9" t="s">
        <v>7156</v>
      </c>
      <c r="C1803" s="10" t="str">
        <f>VLOOKUP(B1803,'Data Angt'!$A$5:$B$5809,2,FALSE)</f>
        <v>A3201</v>
      </c>
      <c r="D1803" s="12" t="s">
        <v>17863</v>
      </c>
      <c r="E1803" s="13">
        <v>45792</v>
      </c>
      <c r="F1803" s="14">
        <v>45917</v>
      </c>
      <c r="G1803" s="15">
        <v>3000000</v>
      </c>
      <c r="H1803" s="16">
        <v>12</v>
      </c>
      <c r="I1803" s="17">
        <v>24</v>
      </c>
      <c r="J1803" s="15">
        <v>2000000</v>
      </c>
      <c r="K1803" s="98">
        <f t="shared" si="84"/>
        <v>0</v>
      </c>
      <c r="L1803" s="98" t="str">
        <f t="shared" si="85"/>
        <v>Lancar</v>
      </c>
      <c r="M1803" s="5" t="str">
        <f t="shared" si="86"/>
        <v>006</v>
      </c>
      <c r="N1803" s="55" t="str">
        <f>VLOOKUP(D1803,Pinjaman!$E$7:$N$1900,10,FALSE)</f>
        <v>KONSUMTIF</v>
      </c>
      <c r="O1803" s="55">
        <f>VLOOKUP(B1803,'Data Angt'!$A$5:$H$5810,6,FALSE)</f>
        <v>66</v>
      </c>
      <c r="P1803" s="55" t="str">
        <f>VLOOKUP(B1803,'Data Angt'!$A$5:$H$5810,8,FALSE)</f>
        <v>Karyawan</v>
      </c>
    </row>
    <row r="1804" spans="1:16" x14ac:dyDescent="0.3">
      <c r="A1804" s="8">
        <v>1797</v>
      </c>
      <c r="B1804" s="9" t="s">
        <v>7212</v>
      </c>
      <c r="C1804" s="10" t="str">
        <f>VLOOKUP(B1804,'Data Angt'!$A$5:$B$5809,2,FALSE)</f>
        <v>A3224</v>
      </c>
      <c r="D1804" s="12" t="s">
        <v>17865</v>
      </c>
      <c r="E1804" s="13">
        <v>45499</v>
      </c>
      <c r="F1804" s="14">
        <v>45916</v>
      </c>
      <c r="G1804" s="15">
        <v>10000000</v>
      </c>
      <c r="H1804" s="16">
        <v>36</v>
      </c>
      <c r="I1804" s="17">
        <v>24</v>
      </c>
      <c r="J1804" s="15">
        <v>6927200</v>
      </c>
      <c r="K1804" s="98">
        <f t="shared" si="84"/>
        <v>0</v>
      </c>
      <c r="L1804" s="98" t="str">
        <f t="shared" si="85"/>
        <v>Lancar</v>
      </c>
      <c r="M1804" s="5" t="str">
        <f t="shared" si="86"/>
        <v>006</v>
      </c>
      <c r="N1804" s="55" t="str">
        <f>VLOOKUP(D1804,Pinjaman!$E$7:$N$1900,10,FALSE)</f>
        <v>KESEJAHTERAAN</v>
      </c>
      <c r="O1804" s="55">
        <f>VLOOKUP(B1804,'Data Angt'!$A$5:$H$5810,6,FALSE)</f>
        <v>42</v>
      </c>
      <c r="P1804" s="55" t="str">
        <f>VLOOKUP(B1804,'Data Angt'!$A$5:$H$5810,8,FALSE)</f>
        <v>Karyawan</v>
      </c>
    </row>
    <row r="1805" spans="1:16" x14ac:dyDescent="0.3">
      <c r="A1805" s="8">
        <v>1798</v>
      </c>
      <c r="B1805" s="9" t="s">
        <v>7289</v>
      </c>
      <c r="C1805" s="10" t="str">
        <f>VLOOKUP(B1805,'Data Angt'!$A$5:$B$5809,2,FALSE)</f>
        <v>A3262</v>
      </c>
      <c r="D1805" s="12" t="s">
        <v>17868</v>
      </c>
      <c r="E1805" s="13">
        <v>45546</v>
      </c>
      <c r="F1805" s="14">
        <v>45903</v>
      </c>
      <c r="G1805" s="15">
        <v>10000000</v>
      </c>
      <c r="H1805" s="16">
        <v>24</v>
      </c>
      <c r="I1805" s="17">
        <v>24</v>
      </c>
      <c r="J1805" s="15">
        <v>5590700</v>
      </c>
      <c r="K1805" s="98">
        <f t="shared" si="84"/>
        <v>0</v>
      </c>
      <c r="L1805" s="98" t="str">
        <f t="shared" si="85"/>
        <v>Lancar</v>
      </c>
      <c r="M1805" s="5" t="str">
        <f t="shared" si="86"/>
        <v>006</v>
      </c>
      <c r="N1805" s="55" t="str">
        <f>VLOOKUP(D1805,Pinjaman!$E$7:$N$1900,10,FALSE)</f>
        <v>KESEJAHTERAAN</v>
      </c>
      <c r="O1805" s="55">
        <f>VLOOKUP(B1805,'Data Angt'!$A$5:$H$5810,6,FALSE)</f>
        <v>41</v>
      </c>
      <c r="P1805" s="55" t="str">
        <f>VLOOKUP(B1805,'Data Angt'!$A$5:$H$5810,8,FALSE)</f>
        <v>Mengurus Rumah Tangga</v>
      </c>
    </row>
    <row r="1806" spans="1:16" x14ac:dyDescent="0.3">
      <c r="A1806" s="8">
        <v>1799</v>
      </c>
      <c r="B1806" s="9" t="s">
        <v>7482</v>
      </c>
      <c r="C1806" s="10" t="str">
        <f>VLOOKUP(B1806,'Data Angt'!$A$5:$B$5809,2,FALSE)</f>
        <v>A3348</v>
      </c>
      <c r="D1806" s="12" t="s">
        <v>17871</v>
      </c>
      <c r="E1806" s="13">
        <v>45801</v>
      </c>
      <c r="F1806" s="14">
        <v>45930</v>
      </c>
      <c r="G1806" s="15">
        <v>20000000</v>
      </c>
      <c r="H1806" s="16">
        <v>36</v>
      </c>
      <c r="I1806" s="17">
        <v>24</v>
      </c>
      <c r="J1806" s="15">
        <v>18410900</v>
      </c>
      <c r="K1806" s="98">
        <f t="shared" si="84"/>
        <v>0</v>
      </c>
      <c r="L1806" s="98" t="str">
        <f t="shared" si="85"/>
        <v>Lancar</v>
      </c>
      <c r="M1806" s="5" t="str">
        <f t="shared" si="86"/>
        <v>006</v>
      </c>
      <c r="N1806" s="55" t="str">
        <f>VLOOKUP(D1806,Pinjaman!$E$7:$N$1900,10,FALSE)</f>
        <v>KONSUMTIF</v>
      </c>
      <c r="O1806" s="55">
        <f>VLOOKUP(B1806,'Data Angt'!$A$5:$H$5810,6,FALSE)</f>
        <v>32</v>
      </c>
      <c r="P1806" s="55" t="str">
        <f>VLOOKUP(B1806,'Data Angt'!$A$5:$H$5810,8,FALSE)</f>
        <v>Wiraswasta</v>
      </c>
    </row>
    <row r="1807" spans="1:16" x14ac:dyDescent="0.3">
      <c r="A1807" s="8">
        <v>1800</v>
      </c>
      <c r="B1807" s="9" t="s">
        <v>7623</v>
      </c>
      <c r="C1807" s="10" t="str">
        <f>VLOOKUP(B1807,'Data Angt'!$A$5:$B$5809,2,FALSE)</f>
        <v>A3415</v>
      </c>
      <c r="D1807" s="12" t="s">
        <v>23903</v>
      </c>
      <c r="E1807" s="13">
        <v>45920</v>
      </c>
      <c r="F1807" s="14">
        <v>45920</v>
      </c>
      <c r="G1807" s="15">
        <v>2500000</v>
      </c>
      <c r="H1807" s="16">
        <v>12</v>
      </c>
      <c r="I1807" s="17">
        <v>24</v>
      </c>
      <c r="J1807" s="15">
        <v>2500000</v>
      </c>
      <c r="K1807" s="98">
        <f t="shared" si="84"/>
        <v>0</v>
      </c>
      <c r="L1807" s="98" t="str">
        <f t="shared" si="85"/>
        <v>Lancar</v>
      </c>
      <c r="M1807" s="5" t="str">
        <f t="shared" si="86"/>
        <v>006</v>
      </c>
      <c r="N1807" s="55" t="str">
        <f>VLOOKUP(D1807,Pinjaman!$E$7:$N$1900,10,FALSE)</f>
        <v>KONSUMTIF</v>
      </c>
      <c r="O1807" s="55">
        <f>VLOOKUP(B1807,'Data Angt'!$A$5:$H$5810,6,FALSE)</f>
        <v>46</v>
      </c>
      <c r="P1807" s="55" t="str">
        <f>VLOOKUP(B1807,'Data Angt'!$A$5:$H$5810,8,FALSE)</f>
        <v>Karyawan</v>
      </c>
    </row>
    <row r="1808" spans="1:16" x14ac:dyDescent="0.3">
      <c r="A1808" s="8">
        <v>1801</v>
      </c>
      <c r="B1808" s="9" t="s">
        <v>7753</v>
      </c>
      <c r="C1808" s="10" t="str">
        <f>VLOOKUP(B1808,'Data Angt'!$A$5:$B$5809,2,FALSE)</f>
        <v>A3479</v>
      </c>
      <c r="D1808" s="12" t="s">
        <v>10724</v>
      </c>
      <c r="E1808" s="13">
        <v>45282</v>
      </c>
      <c r="F1808" s="14">
        <v>45923</v>
      </c>
      <c r="G1808" s="15">
        <v>65000000</v>
      </c>
      <c r="H1808" s="16">
        <v>48</v>
      </c>
      <c r="I1808" s="17">
        <v>21</v>
      </c>
      <c r="J1808" s="15">
        <v>43204600</v>
      </c>
      <c r="K1808" s="98">
        <f t="shared" si="84"/>
        <v>0</v>
      </c>
      <c r="L1808" s="98" t="str">
        <f t="shared" si="85"/>
        <v>Lancar</v>
      </c>
      <c r="M1808" s="5" t="str">
        <f t="shared" si="86"/>
        <v>006</v>
      </c>
      <c r="N1808" s="55" t="str">
        <f>VLOOKUP(D1808,Pinjaman!$E$7:$N$1900,10,FALSE)</f>
        <v>KESEJAHTERAAN</v>
      </c>
      <c r="O1808" s="55">
        <f>VLOOKUP(B1808,'Data Angt'!$A$5:$H$5810,6,FALSE)</f>
        <v>42</v>
      </c>
      <c r="P1808" s="55" t="str">
        <f>VLOOKUP(B1808,'Data Angt'!$A$5:$H$5810,8,FALSE)</f>
        <v>Mengurus Rumah Tangga</v>
      </c>
    </row>
    <row r="1809" spans="1:16" x14ac:dyDescent="0.3">
      <c r="A1809" s="8">
        <v>1802</v>
      </c>
      <c r="B1809" s="9" t="s">
        <v>7828</v>
      </c>
      <c r="C1809" s="10" t="str">
        <f>VLOOKUP(B1809,'Data Angt'!$A$5:$B$5809,2,FALSE)</f>
        <v>A3519</v>
      </c>
      <c r="D1809" s="12" t="s">
        <v>17874</v>
      </c>
      <c r="E1809" s="13">
        <v>45358</v>
      </c>
      <c r="F1809" s="14">
        <v>45908</v>
      </c>
      <c r="G1809" s="15">
        <v>18000000</v>
      </c>
      <c r="H1809" s="16">
        <v>48</v>
      </c>
      <c r="I1809" s="17">
        <v>24</v>
      </c>
      <c r="J1809" s="15">
        <v>13148700</v>
      </c>
      <c r="K1809" s="98">
        <f t="shared" si="84"/>
        <v>0</v>
      </c>
      <c r="L1809" s="98" t="str">
        <f t="shared" si="85"/>
        <v>Lancar</v>
      </c>
      <c r="M1809" s="5" t="str">
        <f t="shared" si="86"/>
        <v>006</v>
      </c>
      <c r="N1809" s="55" t="str">
        <f>VLOOKUP(D1809,Pinjaman!$E$7:$N$1900,10,FALSE)</f>
        <v>KESEHATAN</v>
      </c>
      <c r="O1809" s="55">
        <f>VLOOKUP(B1809,'Data Angt'!$A$5:$H$5810,6,FALSE)</f>
        <v>33</v>
      </c>
      <c r="P1809" s="55" t="str">
        <f>VLOOKUP(B1809,'Data Angt'!$A$5:$H$5810,8,FALSE)</f>
        <v>Karyawan</v>
      </c>
    </row>
    <row r="1810" spans="1:16" x14ac:dyDescent="0.3">
      <c r="A1810" s="8">
        <v>1803</v>
      </c>
      <c r="B1810" s="9" t="s">
        <v>8044</v>
      </c>
      <c r="C1810" s="10" t="str">
        <f>VLOOKUP(B1810,'Data Angt'!$A$5:$B$5809,2,FALSE)</f>
        <v>A3632</v>
      </c>
      <c r="D1810" s="12" t="s">
        <v>17876</v>
      </c>
      <c r="E1810" s="13">
        <v>45600</v>
      </c>
      <c r="F1810" s="14">
        <v>45929</v>
      </c>
      <c r="G1810" s="15">
        <v>10000000</v>
      </c>
      <c r="H1810" s="16">
        <v>24</v>
      </c>
      <c r="I1810" s="17">
        <v>24</v>
      </c>
      <c r="J1810" s="15">
        <v>6400200</v>
      </c>
      <c r="K1810" s="98">
        <f t="shared" si="84"/>
        <v>0</v>
      </c>
      <c r="L1810" s="98" t="str">
        <f t="shared" si="85"/>
        <v>Lancar</v>
      </c>
      <c r="M1810" s="5" t="str">
        <f t="shared" si="86"/>
        <v>006</v>
      </c>
      <c r="N1810" s="55" t="str">
        <f>VLOOKUP(D1810,Pinjaman!$E$7:$N$1900,10,FALSE)</f>
        <v>KONSUMTIF</v>
      </c>
      <c r="O1810" s="55">
        <f>VLOOKUP(B1810,'Data Angt'!$A$5:$H$5810,6,FALSE)</f>
        <v>35</v>
      </c>
      <c r="P1810" s="55" t="str">
        <f>VLOOKUP(B1810,'Data Angt'!$A$5:$H$5810,8,FALSE)</f>
        <v>Lain-Lain</v>
      </c>
    </row>
    <row r="1811" spans="1:16" x14ac:dyDescent="0.3">
      <c r="A1811" s="8">
        <v>1804</v>
      </c>
      <c r="B1811" s="9" t="s">
        <v>8156</v>
      </c>
      <c r="C1811" s="10" t="str">
        <f>VLOOKUP(B1811,'Data Angt'!$A$5:$B$5809,2,FALSE)</f>
        <v>A3693</v>
      </c>
      <c r="D1811" s="12" t="s">
        <v>23909</v>
      </c>
      <c r="E1811" s="13">
        <v>45917</v>
      </c>
      <c r="F1811" s="14">
        <v>45917</v>
      </c>
      <c r="G1811" s="15">
        <v>50000000</v>
      </c>
      <c r="H1811" s="16">
        <v>60</v>
      </c>
      <c r="I1811" s="17">
        <v>11.4</v>
      </c>
      <c r="J1811" s="15">
        <v>50000000</v>
      </c>
      <c r="K1811" s="98">
        <f t="shared" si="84"/>
        <v>0</v>
      </c>
      <c r="L1811" s="98" t="str">
        <f t="shared" si="85"/>
        <v>Lancar</v>
      </c>
      <c r="M1811" s="5" t="str">
        <f t="shared" si="86"/>
        <v>006</v>
      </c>
      <c r="N1811" s="55" t="str">
        <f>VLOOKUP(D1811,Pinjaman!$E$7:$N$1900,10,FALSE)</f>
        <v>KESEJAHTERAAN</v>
      </c>
      <c r="O1811" s="55">
        <f>VLOOKUP(B1811,'Data Angt'!$A$5:$H$5810,6,FALSE)</f>
        <v>50</v>
      </c>
      <c r="P1811" s="55" t="str">
        <f>VLOOKUP(B1811,'Data Angt'!$A$5:$H$5810,8,FALSE)</f>
        <v>Karyawan</v>
      </c>
    </row>
    <row r="1812" spans="1:16" x14ac:dyDescent="0.3">
      <c r="A1812" s="8">
        <v>1805</v>
      </c>
      <c r="B1812" s="9" t="s">
        <v>8191</v>
      </c>
      <c r="C1812" s="10" t="str">
        <f>VLOOKUP(B1812,'Data Angt'!$A$5:$B$5809,2,FALSE)</f>
        <v>A3709</v>
      </c>
      <c r="D1812" s="12" t="s">
        <v>17879</v>
      </c>
      <c r="E1812" s="13">
        <v>45799</v>
      </c>
      <c r="F1812" s="14">
        <v>45930</v>
      </c>
      <c r="G1812" s="15">
        <v>15000000</v>
      </c>
      <c r="H1812" s="16">
        <v>30</v>
      </c>
      <c r="I1812" s="17">
        <v>24</v>
      </c>
      <c r="J1812" s="15">
        <v>13476000</v>
      </c>
      <c r="K1812" s="98">
        <f t="shared" si="84"/>
        <v>0</v>
      </c>
      <c r="L1812" s="98" t="str">
        <f t="shared" si="85"/>
        <v>Lancar</v>
      </c>
      <c r="M1812" s="5" t="str">
        <f t="shared" si="86"/>
        <v>006</v>
      </c>
      <c r="N1812" s="55" t="str">
        <f>VLOOKUP(D1812,Pinjaman!$E$7:$N$1900,10,FALSE)</f>
        <v>PRODUKTIF</v>
      </c>
      <c r="O1812" s="55">
        <f>VLOOKUP(B1812,'Data Angt'!$A$5:$H$5810,6,FALSE)</f>
        <v>49</v>
      </c>
      <c r="P1812" s="55" t="str">
        <f>VLOOKUP(B1812,'Data Angt'!$A$5:$H$5810,8,FALSE)</f>
        <v>Wiraswasta</v>
      </c>
    </row>
    <row r="1813" spans="1:16" x14ac:dyDescent="0.3">
      <c r="A1813" s="8">
        <v>1806</v>
      </c>
      <c r="B1813" s="9" t="s">
        <v>8237</v>
      </c>
      <c r="C1813" s="10" t="str">
        <f>VLOOKUP(B1813,'Data Angt'!$A$5:$B$5809,2,FALSE)</f>
        <v>A3731</v>
      </c>
      <c r="D1813" s="12" t="s">
        <v>10729</v>
      </c>
      <c r="E1813" s="13">
        <v>44631</v>
      </c>
      <c r="F1813" s="14">
        <v>45929</v>
      </c>
      <c r="G1813" s="15">
        <v>2400000</v>
      </c>
      <c r="H1813" s="16">
        <v>12</v>
      </c>
      <c r="I1813" s="17">
        <v>12</v>
      </c>
      <c r="J1813" s="15">
        <v>1453500</v>
      </c>
      <c r="K1813" s="98">
        <f t="shared" si="84"/>
        <v>0</v>
      </c>
      <c r="L1813" s="98" t="str">
        <f t="shared" si="85"/>
        <v>Lancar</v>
      </c>
      <c r="M1813" s="5" t="str">
        <f t="shared" si="86"/>
        <v>006</v>
      </c>
      <c r="N1813" s="55" t="str">
        <f>VLOOKUP(D1813,Pinjaman!$E$7:$N$1900,10,FALSE)</f>
        <v>KONSUMTIF</v>
      </c>
      <c r="O1813" s="55">
        <f>VLOOKUP(B1813,'Data Angt'!$A$5:$H$5810,6,FALSE)</f>
        <v>40</v>
      </c>
      <c r="P1813" s="55" t="str">
        <f>VLOOKUP(B1813,'Data Angt'!$A$5:$H$5810,8,FALSE)</f>
        <v>Wiraswasta</v>
      </c>
    </row>
    <row r="1814" spans="1:16" x14ac:dyDescent="0.3">
      <c r="A1814" s="8">
        <v>1807</v>
      </c>
      <c r="B1814" s="9" t="s">
        <v>8309</v>
      </c>
      <c r="C1814" s="10" t="str">
        <f>VLOOKUP(B1814,'Data Angt'!$A$5:$B$5809,2,FALSE)</f>
        <v>A3767</v>
      </c>
      <c r="D1814" s="12" t="s">
        <v>17882</v>
      </c>
      <c r="E1814" s="13">
        <v>45810</v>
      </c>
      <c r="F1814" s="14">
        <v>45902</v>
      </c>
      <c r="G1814" s="15">
        <v>13000000</v>
      </c>
      <c r="H1814" s="16">
        <v>20</v>
      </c>
      <c r="I1814" s="17">
        <v>24</v>
      </c>
      <c r="J1814" s="15">
        <v>11362400</v>
      </c>
      <c r="K1814" s="98">
        <f t="shared" si="84"/>
        <v>0</v>
      </c>
      <c r="L1814" s="98" t="str">
        <f t="shared" si="85"/>
        <v>Lancar</v>
      </c>
      <c r="M1814" s="5" t="str">
        <f t="shared" si="86"/>
        <v>006</v>
      </c>
      <c r="N1814" s="55" t="str">
        <f>VLOOKUP(D1814,Pinjaman!$E$7:$N$1900,10,FALSE)</f>
        <v>PENDIDIKAN</v>
      </c>
      <c r="O1814" s="55">
        <f>VLOOKUP(B1814,'Data Angt'!$A$5:$H$5810,6,FALSE)</f>
        <v>37</v>
      </c>
      <c r="P1814" s="55" t="str">
        <f>VLOOKUP(B1814,'Data Angt'!$A$5:$H$5810,8,FALSE)</f>
        <v>Karyawan</v>
      </c>
    </row>
    <row r="1815" spans="1:16" x14ac:dyDescent="0.3">
      <c r="A1815" s="8">
        <v>1808</v>
      </c>
      <c r="B1815" s="9" t="s">
        <v>8379</v>
      </c>
      <c r="C1815" s="10" t="str">
        <f>VLOOKUP(B1815,'Data Angt'!$A$5:$B$5809,2,FALSE)</f>
        <v>A3798</v>
      </c>
      <c r="D1815" s="12" t="s">
        <v>23915</v>
      </c>
      <c r="E1815" s="13">
        <v>45909</v>
      </c>
      <c r="F1815" s="14">
        <v>45909</v>
      </c>
      <c r="G1815" s="15">
        <v>15000000</v>
      </c>
      <c r="H1815" s="16">
        <v>24</v>
      </c>
      <c r="I1815" s="17">
        <v>24</v>
      </c>
      <c r="J1815" s="15">
        <v>15000000</v>
      </c>
      <c r="K1815" s="98">
        <f t="shared" si="84"/>
        <v>0</v>
      </c>
      <c r="L1815" s="98" t="str">
        <f t="shared" si="85"/>
        <v>Lancar</v>
      </c>
      <c r="M1815" s="5" t="str">
        <f t="shared" si="86"/>
        <v>006</v>
      </c>
      <c r="N1815" s="55" t="str">
        <f>VLOOKUP(D1815,Pinjaman!$E$7:$N$1900,10,FALSE)</f>
        <v>PRODUKTIF</v>
      </c>
      <c r="O1815" s="55">
        <f>VLOOKUP(B1815,'Data Angt'!$A$5:$H$5810,6,FALSE)</f>
        <v>36</v>
      </c>
      <c r="P1815" s="55" t="str">
        <f>VLOOKUP(B1815,'Data Angt'!$A$5:$H$5810,8,FALSE)</f>
        <v>Wiraswasta</v>
      </c>
    </row>
    <row r="1816" spans="1:16" x14ac:dyDescent="0.3">
      <c r="A1816" s="8">
        <v>1809</v>
      </c>
      <c r="B1816" s="9" t="s">
        <v>8439</v>
      </c>
      <c r="C1816" s="10" t="str">
        <f>VLOOKUP(B1816,'Data Angt'!$A$5:$B$5809,2,FALSE)</f>
        <v>A3826</v>
      </c>
      <c r="D1816" s="12" t="s">
        <v>17884</v>
      </c>
      <c r="E1816" s="13">
        <v>45771</v>
      </c>
      <c r="F1816" s="14">
        <v>45903</v>
      </c>
      <c r="G1816" s="15">
        <v>10000000</v>
      </c>
      <c r="H1816" s="16">
        <v>24</v>
      </c>
      <c r="I1816" s="17">
        <v>24</v>
      </c>
      <c r="J1816" s="15">
        <v>8289100</v>
      </c>
      <c r="K1816" s="98">
        <f t="shared" si="84"/>
        <v>0</v>
      </c>
      <c r="L1816" s="98" t="str">
        <f t="shared" si="85"/>
        <v>Lancar</v>
      </c>
      <c r="M1816" s="5" t="str">
        <f t="shared" si="86"/>
        <v>006</v>
      </c>
      <c r="N1816" s="55" t="str">
        <f>VLOOKUP(D1816,Pinjaman!$E$7:$N$1900,10,FALSE)</f>
        <v>PRODUKTIF</v>
      </c>
      <c r="O1816" s="55">
        <f>VLOOKUP(B1816,'Data Angt'!$A$5:$H$5810,6,FALSE)</f>
        <v>62</v>
      </c>
      <c r="P1816" s="55" t="str">
        <f>VLOOKUP(B1816,'Data Angt'!$A$5:$H$5810,8,FALSE)</f>
        <v>Pensiunan</v>
      </c>
    </row>
    <row r="1817" spans="1:16" x14ac:dyDescent="0.3">
      <c r="A1817" s="8">
        <v>1810</v>
      </c>
      <c r="B1817" s="9" t="s">
        <v>8439</v>
      </c>
      <c r="C1817" s="10" t="str">
        <f>VLOOKUP(B1817,'Data Angt'!$A$5:$B$5809,2,FALSE)</f>
        <v>A3826</v>
      </c>
      <c r="D1817" s="12" t="s">
        <v>23919</v>
      </c>
      <c r="E1817" s="13">
        <v>45885</v>
      </c>
      <c r="F1817" s="14">
        <v>45903</v>
      </c>
      <c r="G1817" s="15">
        <v>5000000</v>
      </c>
      <c r="H1817" s="16">
        <v>12</v>
      </c>
      <c r="I1817" s="17">
        <v>24</v>
      </c>
      <c r="J1817" s="15">
        <v>4627200</v>
      </c>
      <c r="K1817" s="98">
        <f t="shared" si="84"/>
        <v>0</v>
      </c>
      <c r="L1817" s="98" t="str">
        <f t="shared" si="85"/>
        <v>Lancar</v>
      </c>
      <c r="M1817" s="5" t="str">
        <f t="shared" si="86"/>
        <v>006</v>
      </c>
      <c r="N1817" s="55" t="str">
        <f>VLOOKUP(D1817,Pinjaman!$E$7:$N$1900,10,FALSE)</f>
        <v>PRODUKTIF</v>
      </c>
      <c r="O1817" s="55">
        <f>VLOOKUP(B1817,'Data Angt'!$A$5:$H$5810,6,FALSE)</f>
        <v>62</v>
      </c>
      <c r="P1817" s="55" t="str">
        <f>VLOOKUP(B1817,'Data Angt'!$A$5:$H$5810,8,FALSE)</f>
        <v>Pensiunan</v>
      </c>
    </row>
    <row r="1818" spans="1:16" x14ac:dyDescent="0.3">
      <c r="A1818" s="8">
        <v>1811</v>
      </c>
      <c r="B1818" s="9" t="s">
        <v>8446</v>
      </c>
      <c r="C1818" s="10" t="str">
        <f>VLOOKUP(B1818,'Data Angt'!$A$5:$B$5809,2,FALSE)</f>
        <v>A3830</v>
      </c>
      <c r="D1818" s="12" t="s">
        <v>10733</v>
      </c>
      <c r="E1818" s="13">
        <v>45257</v>
      </c>
      <c r="F1818" s="14">
        <v>45848</v>
      </c>
      <c r="G1818" s="15">
        <v>5000000</v>
      </c>
      <c r="H1818" s="16">
        <v>24</v>
      </c>
      <c r="I1818" s="17">
        <v>24</v>
      </c>
      <c r="J1818" s="15">
        <v>1062400</v>
      </c>
      <c r="K1818" s="98">
        <f t="shared" si="84"/>
        <v>2</v>
      </c>
      <c r="L1818" s="98" t="str">
        <f t="shared" si="85"/>
        <v>Lancar</v>
      </c>
      <c r="M1818" s="5" t="str">
        <f t="shared" si="86"/>
        <v>006</v>
      </c>
      <c r="N1818" s="55" t="str">
        <f>VLOOKUP(D1818,Pinjaman!$E$7:$N$1900,10,FALSE)</f>
        <v>PRODUKTIF</v>
      </c>
      <c r="O1818" s="55">
        <f>VLOOKUP(B1818,'Data Angt'!$A$5:$H$5810,6,FALSE)</f>
        <v>36</v>
      </c>
      <c r="P1818" s="55" t="str">
        <f>VLOOKUP(B1818,'Data Angt'!$A$5:$H$5810,8,FALSE)</f>
        <v>Karyawan</v>
      </c>
    </row>
    <row r="1819" spans="1:16" x14ac:dyDescent="0.3">
      <c r="A1819" s="8">
        <v>1812</v>
      </c>
      <c r="B1819" s="9" t="s">
        <v>8448</v>
      </c>
      <c r="C1819" s="10" t="str">
        <f>VLOOKUP(B1819,'Data Angt'!$A$5:$B$5809,2,FALSE)</f>
        <v>A3831</v>
      </c>
      <c r="D1819" s="12" t="s">
        <v>23922</v>
      </c>
      <c r="E1819" s="13">
        <v>45891</v>
      </c>
      <c r="F1819" s="14">
        <v>45922</v>
      </c>
      <c r="G1819" s="15">
        <v>2000000</v>
      </c>
      <c r="H1819" s="16">
        <v>10</v>
      </c>
      <c r="I1819" s="17">
        <v>24</v>
      </c>
      <c r="J1819" s="15">
        <v>1817300</v>
      </c>
      <c r="K1819" s="98">
        <f t="shared" si="84"/>
        <v>0</v>
      </c>
      <c r="L1819" s="98" t="str">
        <f t="shared" si="85"/>
        <v>Lancar</v>
      </c>
      <c r="M1819" s="5" t="str">
        <f t="shared" si="86"/>
        <v>006</v>
      </c>
      <c r="N1819" s="55" t="str">
        <f>VLOOKUP(D1819,Pinjaman!$E$7:$N$1900,10,FALSE)</f>
        <v>PRODUKTIF</v>
      </c>
      <c r="O1819" s="55">
        <f>VLOOKUP(B1819,'Data Angt'!$A$5:$H$5810,6,FALSE)</f>
        <v>42</v>
      </c>
      <c r="P1819" s="55" t="str">
        <f>VLOOKUP(B1819,'Data Angt'!$A$5:$H$5810,8,FALSE)</f>
        <v>Karyawan</v>
      </c>
    </row>
    <row r="1820" spans="1:16" x14ac:dyDescent="0.3">
      <c r="A1820" s="8">
        <v>1813</v>
      </c>
      <c r="B1820" s="9" t="s">
        <v>8453</v>
      </c>
      <c r="C1820" s="10" t="str">
        <f>VLOOKUP(B1820,'Data Angt'!$A$5:$B$5809,2,FALSE)</f>
        <v>A3835</v>
      </c>
      <c r="D1820" s="12" t="s">
        <v>17886</v>
      </c>
      <c r="E1820" s="13">
        <v>45608</v>
      </c>
      <c r="F1820" s="14">
        <v>45930</v>
      </c>
      <c r="G1820" s="15">
        <v>12000000</v>
      </c>
      <c r="H1820" s="16">
        <v>36</v>
      </c>
      <c r="I1820" s="17">
        <v>24</v>
      </c>
      <c r="J1820" s="15">
        <v>9473000</v>
      </c>
      <c r="K1820" s="98">
        <f t="shared" si="84"/>
        <v>0</v>
      </c>
      <c r="L1820" s="98" t="str">
        <f t="shared" si="85"/>
        <v>Lancar</v>
      </c>
      <c r="M1820" s="5" t="str">
        <f t="shared" si="86"/>
        <v>006</v>
      </c>
      <c r="N1820" s="55" t="str">
        <f>VLOOKUP(D1820,Pinjaman!$E$7:$N$1900,10,FALSE)</f>
        <v>KONSUMTIF</v>
      </c>
      <c r="O1820" s="55">
        <f>VLOOKUP(B1820,'Data Angt'!$A$5:$H$5810,6,FALSE)</f>
        <v>47</v>
      </c>
      <c r="P1820" s="55" t="str">
        <f>VLOOKUP(B1820,'Data Angt'!$A$5:$H$5810,8,FALSE)</f>
        <v>Karyawan</v>
      </c>
    </row>
    <row r="1821" spans="1:16" x14ac:dyDescent="0.3">
      <c r="A1821" s="8">
        <v>1814</v>
      </c>
      <c r="B1821" s="9" t="s">
        <v>8488</v>
      </c>
      <c r="C1821" s="10" t="str">
        <f>VLOOKUP(B1821,'Data Angt'!$A$5:$B$5809,2,FALSE)</f>
        <v>A3849</v>
      </c>
      <c r="D1821" s="12" t="s">
        <v>17888</v>
      </c>
      <c r="E1821" s="13">
        <v>45544</v>
      </c>
      <c r="F1821" s="14">
        <v>45919</v>
      </c>
      <c r="G1821" s="15">
        <v>2500000</v>
      </c>
      <c r="H1821" s="16">
        <v>10</v>
      </c>
      <c r="I1821" s="17">
        <v>24</v>
      </c>
      <c r="J1821" s="15">
        <v>1458700</v>
      </c>
      <c r="K1821" s="98">
        <f t="shared" si="84"/>
        <v>0</v>
      </c>
      <c r="L1821" s="98" t="str">
        <f t="shared" si="85"/>
        <v>Lancar</v>
      </c>
      <c r="M1821" s="5" t="str">
        <f t="shared" si="86"/>
        <v>006</v>
      </c>
      <c r="N1821" s="55" t="str">
        <f>VLOOKUP(D1821,Pinjaman!$E$7:$N$1900,10,FALSE)</f>
        <v>PRODUKTIF</v>
      </c>
      <c r="O1821" s="55">
        <f>VLOOKUP(B1821,'Data Angt'!$A$5:$H$5810,6,FALSE)</f>
        <v>45</v>
      </c>
      <c r="P1821" s="55" t="str">
        <f>VLOOKUP(B1821,'Data Angt'!$A$5:$H$5810,8,FALSE)</f>
        <v>Lain-Lain</v>
      </c>
    </row>
    <row r="1822" spans="1:16" x14ac:dyDescent="0.3">
      <c r="A1822" s="8">
        <v>1815</v>
      </c>
      <c r="B1822" s="9" t="s">
        <v>8511</v>
      </c>
      <c r="C1822" s="10" t="str">
        <f>VLOOKUP(B1822,'Data Angt'!$A$5:$B$5809,2,FALSE)</f>
        <v>A3861</v>
      </c>
      <c r="D1822" s="12" t="s">
        <v>17891</v>
      </c>
      <c r="E1822" s="13">
        <v>45427</v>
      </c>
      <c r="F1822" s="14">
        <v>45909</v>
      </c>
      <c r="G1822" s="15">
        <v>17000000</v>
      </c>
      <c r="H1822" s="16">
        <v>24</v>
      </c>
      <c r="I1822" s="17">
        <v>24</v>
      </c>
      <c r="J1822" s="15">
        <v>8795800</v>
      </c>
      <c r="K1822" s="98">
        <f t="shared" si="84"/>
        <v>0</v>
      </c>
      <c r="L1822" s="98" t="str">
        <f t="shared" si="85"/>
        <v>Lancar</v>
      </c>
      <c r="M1822" s="5" t="str">
        <f t="shared" si="86"/>
        <v>006</v>
      </c>
      <c r="N1822" s="55" t="str">
        <f>VLOOKUP(D1822,Pinjaman!$E$7:$N$1900,10,FALSE)</f>
        <v>KESEJAHTERAAN</v>
      </c>
      <c r="O1822" s="55">
        <f>VLOOKUP(B1822,'Data Angt'!$A$5:$H$5810,6,FALSE)</f>
        <v>27</v>
      </c>
      <c r="P1822" s="55" t="str">
        <f>VLOOKUP(B1822,'Data Angt'!$A$5:$H$5810,8,FALSE)</f>
        <v>Karyawan</v>
      </c>
    </row>
    <row r="1823" spans="1:16" x14ac:dyDescent="0.3">
      <c r="A1823" s="8">
        <v>1816</v>
      </c>
      <c r="B1823" s="9" t="s">
        <v>8552</v>
      </c>
      <c r="C1823" s="10" t="str">
        <f>VLOOKUP(B1823,'Data Angt'!$A$5:$B$5809,2,FALSE)</f>
        <v>A3879</v>
      </c>
      <c r="D1823" s="12" t="s">
        <v>17893</v>
      </c>
      <c r="E1823" s="13">
        <v>45458</v>
      </c>
      <c r="F1823" s="14">
        <v>45918</v>
      </c>
      <c r="G1823" s="15">
        <v>35000000</v>
      </c>
      <c r="H1823" s="16">
        <v>36</v>
      </c>
      <c r="I1823" s="17">
        <v>21</v>
      </c>
      <c r="J1823" s="15">
        <v>24791500</v>
      </c>
      <c r="K1823" s="98">
        <f t="shared" si="84"/>
        <v>0</v>
      </c>
      <c r="L1823" s="98" t="str">
        <f t="shared" si="85"/>
        <v>Lancar</v>
      </c>
      <c r="M1823" s="5" t="str">
        <f t="shared" si="86"/>
        <v>006</v>
      </c>
      <c r="N1823" s="55" t="str">
        <f>VLOOKUP(D1823,Pinjaman!$E$7:$N$1900,10,FALSE)</f>
        <v>KESEJAHTERAAN</v>
      </c>
      <c r="O1823" s="55">
        <f>VLOOKUP(B1823,'Data Angt'!$A$5:$H$5810,6,FALSE)</f>
        <v>36</v>
      </c>
      <c r="P1823" s="55" t="str">
        <f>VLOOKUP(B1823,'Data Angt'!$A$5:$H$5810,8,FALSE)</f>
        <v>Lain-Lain</v>
      </c>
    </row>
    <row r="1824" spans="1:16" x14ac:dyDescent="0.3">
      <c r="A1824" s="8">
        <v>1817</v>
      </c>
      <c r="B1824" s="9" t="s">
        <v>8642</v>
      </c>
      <c r="C1824" s="10" t="str">
        <f>VLOOKUP(B1824,'Data Angt'!$A$5:$B$5809,2,FALSE)</f>
        <v>A3919</v>
      </c>
      <c r="D1824" s="12" t="s">
        <v>23927</v>
      </c>
      <c r="E1824" s="13">
        <v>45842</v>
      </c>
      <c r="F1824" s="14">
        <v>45902</v>
      </c>
      <c r="G1824" s="15">
        <v>10000000</v>
      </c>
      <c r="H1824" s="16">
        <v>18</v>
      </c>
      <c r="I1824" s="17">
        <v>24</v>
      </c>
      <c r="J1824" s="15">
        <v>9056500</v>
      </c>
      <c r="K1824" s="98">
        <f t="shared" si="84"/>
        <v>0</v>
      </c>
      <c r="L1824" s="98" t="str">
        <f t="shared" si="85"/>
        <v>Lancar</v>
      </c>
      <c r="M1824" s="5" t="str">
        <f t="shared" si="86"/>
        <v>006</v>
      </c>
      <c r="N1824" s="55" t="str">
        <f>VLOOKUP(D1824,Pinjaman!$E$7:$N$1900,10,FALSE)</f>
        <v>PENDIDIKAN</v>
      </c>
      <c r="O1824" s="55">
        <f>VLOOKUP(B1824,'Data Angt'!$A$5:$H$5810,6,FALSE)</f>
        <v>48</v>
      </c>
      <c r="P1824" s="55" t="str">
        <f>VLOOKUP(B1824,'Data Angt'!$A$5:$H$5810,8,FALSE)</f>
        <v>Mengurus Rumah Tangga</v>
      </c>
    </row>
    <row r="1825" spans="1:16" x14ac:dyDescent="0.3">
      <c r="A1825" s="8">
        <v>1818</v>
      </c>
      <c r="B1825" s="9" t="s">
        <v>8650</v>
      </c>
      <c r="C1825" s="10" t="str">
        <f>VLOOKUP(B1825,'Data Angt'!$A$5:$B$5809,2,FALSE)</f>
        <v>A3923</v>
      </c>
      <c r="D1825" s="12" t="s">
        <v>17895</v>
      </c>
      <c r="E1825" s="13">
        <v>45694</v>
      </c>
      <c r="F1825" s="14">
        <v>45915</v>
      </c>
      <c r="G1825" s="15">
        <v>2500000</v>
      </c>
      <c r="H1825" s="16">
        <v>12</v>
      </c>
      <c r="I1825" s="17">
        <v>24</v>
      </c>
      <c r="J1825" s="15">
        <v>1114500</v>
      </c>
      <c r="K1825" s="98">
        <f t="shared" si="84"/>
        <v>0</v>
      </c>
      <c r="L1825" s="98" t="str">
        <f t="shared" si="85"/>
        <v>Lancar</v>
      </c>
      <c r="M1825" s="5" t="str">
        <f t="shared" si="86"/>
        <v>006</v>
      </c>
      <c r="N1825" s="55" t="str">
        <f>VLOOKUP(D1825,Pinjaman!$E$7:$N$1900,10,FALSE)</f>
        <v>PRODUKTIF</v>
      </c>
      <c r="O1825" s="55">
        <f>VLOOKUP(B1825,'Data Angt'!$A$5:$H$5810,6,FALSE)</f>
        <v>43</v>
      </c>
      <c r="P1825" s="55" t="str">
        <f>VLOOKUP(B1825,'Data Angt'!$A$5:$H$5810,8,FALSE)</f>
        <v>Karyawan</v>
      </c>
    </row>
    <row r="1826" spans="1:16" x14ac:dyDescent="0.3">
      <c r="A1826" s="8">
        <v>1819</v>
      </c>
      <c r="B1826" s="9" t="s">
        <v>8699</v>
      </c>
      <c r="C1826" s="10" t="str">
        <f>VLOOKUP(B1826,'Data Angt'!$A$5:$B$5809,2,FALSE)</f>
        <v>A3948</v>
      </c>
      <c r="D1826" s="12" t="s">
        <v>23929</v>
      </c>
      <c r="E1826" s="13">
        <v>45847</v>
      </c>
      <c r="F1826" s="14">
        <v>45912</v>
      </c>
      <c r="G1826" s="15">
        <v>3000000</v>
      </c>
      <c r="H1826" s="16">
        <v>5</v>
      </c>
      <c r="I1826" s="17">
        <v>24</v>
      </c>
      <c r="J1826" s="15">
        <v>1835500</v>
      </c>
      <c r="K1826" s="98">
        <f t="shared" si="84"/>
        <v>0</v>
      </c>
      <c r="L1826" s="98" t="str">
        <f t="shared" si="85"/>
        <v>Lancar</v>
      </c>
      <c r="M1826" s="5" t="str">
        <f t="shared" si="86"/>
        <v>006</v>
      </c>
      <c r="N1826" s="55" t="str">
        <f>VLOOKUP(D1826,Pinjaman!$E$7:$N$1900,10,FALSE)</f>
        <v>PRODUKTIF</v>
      </c>
      <c r="O1826" s="55">
        <f>VLOOKUP(B1826,'Data Angt'!$A$5:$H$5810,6,FALSE)</f>
        <v>30</v>
      </c>
      <c r="P1826" s="55" t="str">
        <f>VLOOKUP(B1826,'Data Angt'!$A$5:$H$5810,8,FALSE)</f>
        <v>Lain-Lain</v>
      </c>
    </row>
    <row r="1827" spans="1:16" x14ac:dyDescent="0.3">
      <c r="A1827" s="8">
        <v>1820</v>
      </c>
      <c r="B1827" s="9" t="s">
        <v>8750</v>
      </c>
      <c r="C1827" s="10" t="str">
        <f>VLOOKUP(B1827,'Data Angt'!$A$5:$B$5809,2,FALSE)</f>
        <v>A3974</v>
      </c>
      <c r="D1827" s="12" t="s">
        <v>17898</v>
      </c>
      <c r="E1827" s="13">
        <v>45385</v>
      </c>
      <c r="F1827" s="14">
        <v>45776</v>
      </c>
      <c r="G1827" s="15">
        <v>5000000</v>
      </c>
      <c r="H1827" s="16">
        <v>12</v>
      </c>
      <c r="I1827" s="17">
        <v>24</v>
      </c>
      <c r="J1827" s="15">
        <v>1800600</v>
      </c>
      <c r="K1827" s="98">
        <f t="shared" si="84"/>
        <v>5</v>
      </c>
      <c r="L1827" s="98" t="str">
        <f t="shared" si="85"/>
        <v>Kurang lancar</v>
      </c>
      <c r="M1827" s="5" t="str">
        <f t="shared" si="86"/>
        <v>006</v>
      </c>
      <c r="N1827" s="55" t="str">
        <f>VLOOKUP(D1827,Pinjaman!$E$7:$N$1900,10,FALSE)</f>
        <v>PRODUKTIF</v>
      </c>
      <c r="O1827" s="55">
        <f>VLOOKUP(B1827,'Data Angt'!$A$5:$H$5810,6,FALSE)</f>
        <v>32</v>
      </c>
      <c r="P1827" s="55" t="str">
        <f>VLOOKUP(B1827,'Data Angt'!$A$5:$H$5810,8,FALSE)</f>
        <v>Wiraswasta</v>
      </c>
    </row>
    <row r="1828" spans="1:16" x14ac:dyDescent="0.3">
      <c r="A1828" s="8">
        <v>1821</v>
      </c>
      <c r="B1828" s="9" t="s">
        <v>8760</v>
      </c>
      <c r="C1828" s="10" t="str">
        <f>VLOOKUP(B1828,'Data Angt'!$A$5:$B$5809,2,FALSE)</f>
        <v>A3978</v>
      </c>
      <c r="D1828" s="12" t="s">
        <v>17900</v>
      </c>
      <c r="E1828" s="13">
        <v>45303</v>
      </c>
      <c r="F1828" s="14">
        <v>45926</v>
      </c>
      <c r="G1828" s="15">
        <v>15000000</v>
      </c>
      <c r="H1828" s="16">
        <v>20</v>
      </c>
      <c r="I1828" s="17">
        <v>24</v>
      </c>
      <c r="J1828" s="15">
        <v>1739500</v>
      </c>
      <c r="K1828" s="98">
        <f t="shared" si="84"/>
        <v>0</v>
      </c>
      <c r="L1828" s="98" t="str">
        <f t="shared" si="85"/>
        <v>Lancar</v>
      </c>
      <c r="M1828" s="5" t="str">
        <f t="shared" si="86"/>
        <v>006</v>
      </c>
      <c r="N1828" s="55" t="str">
        <f>VLOOKUP(D1828,Pinjaman!$E$7:$N$1900,10,FALSE)</f>
        <v>KONSUMTIF</v>
      </c>
      <c r="O1828" s="55">
        <f>VLOOKUP(B1828,'Data Angt'!$A$5:$H$5810,6,FALSE)</f>
        <v>49</v>
      </c>
      <c r="P1828" s="55" t="str">
        <f>VLOOKUP(B1828,'Data Angt'!$A$5:$H$5810,8,FALSE)</f>
        <v>Wiraswasta</v>
      </c>
    </row>
    <row r="1829" spans="1:16" x14ac:dyDescent="0.3">
      <c r="A1829" s="8">
        <v>1822</v>
      </c>
      <c r="B1829" s="9" t="s">
        <v>8851</v>
      </c>
      <c r="C1829" s="10" t="str">
        <f>VLOOKUP(B1829,'Data Angt'!$A$5:$B$5809,2,FALSE)</f>
        <v>A4018</v>
      </c>
      <c r="D1829" s="12" t="s">
        <v>17904</v>
      </c>
      <c r="E1829" s="13">
        <v>45826</v>
      </c>
      <c r="F1829" s="14">
        <v>45918</v>
      </c>
      <c r="G1829" s="15">
        <v>1500000</v>
      </c>
      <c r="H1829" s="16">
        <v>12</v>
      </c>
      <c r="I1829" s="17">
        <v>24</v>
      </c>
      <c r="J1829" s="15">
        <v>1157600</v>
      </c>
      <c r="K1829" s="98">
        <f t="shared" si="84"/>
        <v>0</v>
      </c>
      <c r="L1829" s="98" t="str">
        <f t="shared" si="85"/>
        <v>Lancar</v>
      </c>
      <c r="M1829" s="5" t="str">
        <f t="shared" si="86"/>
        <v>006</v>
      </c>
      <c r="N1829" s="55" t="str">
        <f>VLOOKUP(D1829,Pinjaman!$E$7:$N$1900,10,FALSE)</f>
        <v>PRODUKTIF</v>
      </c>
      <c r="O1829" s="55">
        <f>VLOOKUP(B1829,'Data Angt'!$A$5:$H$5810,6,FALSE)</f>
        <v>47</v>
      </c>
      <c r="P1829" s="55" t="str">
        <f>VLOOKUP(B1829,'Data Angt'!$A$5:$H$5810,8,FALSE)</f>
        <v>Wiraswasta</v>
      </c>
    </row>
    <row r="1830" spans="1:16" x14ac:dyDescent="0.3">
      <c r="A1830" s="8">
        <v>1823</v>
      </c>
      <c r="B1830" s="9" t="s">
        <v>8851</v>
      </c>
      <c r="C1830" s="10" t="str">
        <f>VLOOKUP(B1830,'Data Angt'!$A$5:$B$5809,2,FALSE)</f>
        <v>A4018</v>
      </c>
      <c r="D1830" s="12" t="s">
        <v>17902</v>
      </c>
      <c r="E1830" s="13">
        <v>45702</v>
      </c>
      <c r="F1830" s="14">
        <v>45915</v>
      </c>
      <c r="G1830" s="15">
        <v>25000000</v>
      </c>
      <c r="H1830" s="16">
        <v>24</v>
      </c>
      <c r="I1830" s="17">
        <v>21</v>
      </c>
      <c r="J1830" s="15">
        <v>18749300</v>
      </c>
      <c r="K1830" s="98">
        <f t="shared" si="84"/>
        <v>0</v>
      </c>
      <c r="L1830" s="98" t="str">
        <f t="shared" si="85"/>
        <v>Lancar</v>
      </c>
      <c r="M1830" s="5" t="str">
        <f t="shared" si="86"/>
        <v>006</v>
      </c>
      <c r="N1830" s="55" t="str">
        <f>VLOOKUP(D1830,Pinjaman!$E$7:$N$1900,10,FALSE)</f>
        <v>PRODUKTIF</v>
      </c>
      <c r="O1830" s="55">
        <f>VLOOKUP(B1830,'Data Angt'!$A$5:$H$5810,6,FALSE)</f>
        <v>47</v>
      </c>
      <c r="P1830" s="55" t="str">
        <f>VLOOKUP(B1830,'Data Angt'!$A$5:$H$5810,8,FALSE)</f>
        <v>Wiraswasta</v>
      </c>
    </row>
    <row r="1831" spans="1:16" x14ac:dyDescent="0.3">
      <c r="A1831" s="8">
        <v>1824</v>
      </c>
      <c r="B1831" s="9" t="s">
        <v>8868</v>
      </c>
      <c r="C1831" s="10" t="str">
        <f>VLOOKUP(B1831,'Data Angt'!$A$5:$B$5809,2,FALSE)</f>
        <v>A4027</v>
      </c>
      <c r="D1831" s="12" t="s">
        <v>17906</v>
      </c>
      <c r="E1831" s="13">
        <v>45722</v>
      </c>
      <c r="F1831" s="14">
        <v>45923</v>
      </c>
      <c r="G1831" s="15">
        <v>2500000</v>
      </c>
      <c r="H1831" s="16">
        <v>12</v>
      </c>
      <c r="I1831" s="17">
        <v>24</v>
      </c>
      <c r="J1831" s="15">
        <v>1530100</v>
      </c>
      <c r="K1831" s="98">
        <f t="shared" si="84"/>
        <v>0</v>
      </c>
      <c r="L1831" s="98" t="str">
        <f t="shared" si="85"/>
        <v>Lancar</v>
      </c>
      <c r="M1831" s="5" t="str">
        <f t="shared" si="86"/>
        <v>006</v>
      </c>
      <c r="N1831" s="55" t="str">
        <f>VLOOKUP(D1831,Pinjaman!$E$7:$N$1900,10,FALSE)</f>
        <v>PRODUKTIF</v>
      </c>
      <c r="O1831" s="55">
        <f>VLOOKUP(B1831,'Data Angt'!$A$5:$H$5810,6,FALSE)</f>
        <v>53</v>
      </c>
      <c r="P1831" s="55" t="str">
        <f>VLOOKUP(B1831,'Data Angt'!$A$5:$H$5810,8,FALSE)</f>
        <v>Wiraswasta</v>
      </c>
    </row>
    <row r="1832" spans="1:16" x14ac:dyDescent="0.3">
      <c r="A1832" s="8">
        <v>1825</v>
      </c>
      <c r="B1832" s="9" t="s">
        <v>8899</v>
      </c>
      <c r="C1832" s="10" t="str">
        <f>VLOOKUP(B1832,'Data Angt'!$A$5:$B$5809,2,FALSE)</f>
        <v>A4043</v>
      </c>
      <c r="D1832" s="12" t="s">
        <v>17908</v>
      </c>
      <c r="E1832" s="13">
        <v>45733</v>
      </c>
      <c r="F1832" s="14">
        <v>45908</v>
      </c>
      <c r="G1832" s="15">
        <v>2500000</v>
      </c>
      <c r="H1832" s="16">
        <v>8</v>
      </c>
      <c r="I1832" s="17">
        <v>24</v>
      </c>
      <c r="J1832" s="15">
        <v>625000</v>
      </c>
      <c r="K1832" s="98">
        <f t="shared" si="84"/>
        <v>0</v>
      </c>
      <c r="L1832" s="98" t="str">
        <f t="shared" si="85"/>
        <v>Lancar</v>
      </c>
      <c r="M1832" s="5" t="str">
        <f t="shared" si="86"/>
        <v>006</v>
      </c>
      <c r="N1832" s="55" t="str">
        <f>VLOOKUP(D1832,Pinjaman!$E$7:$N$1900,10,FALSE)</f>
        <v>KONSUMTIF</v>
      </c>
      <c r="O1832" s="55">
        <f>VLOOKUP(B1832,'Data Angt'!$A$5:$H$5810,6,FALSE)</f>
        <v>51</v>
      </c>
      <c r="P1832" s="55" t="str">
        <f>VLOOKUP(B1832,'Data Angt'!$A$5:$H$5810,8,FALSE)</f>
        <v>Wiraswasta</v>
      </c>
    </row>
    <row r="1833" spans="1:16" x14ac:dyDescent="0.3">
      <c r="A1833" s="8">
        <v>1826</v>
      </c>
      <c r="B1833" s="9" t="s">
        <v>8930</v>
      </c>
      <c r="C1833" s="10" t="str">
        <f>VLOOKUP(B1833,'Data Angt'!$A$5:$B$5809,2,FALSE)</f>
        <v>A4059</v>
      </c>
      <c r="D1833" s="12" t="s">
        <v>17910</v>
      </c>
      <c r="E1833" s="13">
        <v>45821</v>
      </c>
      <c r="F1833" s="14">
        <v>45908</v>
      </c>
      <c r="G1833" s="15">
        <v>5000000</v>
      </c>
      <c r="H1833" s="16">
        <v>18</v>
      </c>
      <c r="I1833" s="17">
        <v>24</v>
      </c>
      <c r="J1833" s="15">
        <v>4285200</v>
      </c>
      <c r="K1833" s="98">
        <f t="shared" si="84"/>
        <v>0</v>
      </c>
      <c r="L1833" s="98" t="str">
        <f t="shared" si="85"/>
        <v>Lancar</v>
      </c>
      <c r="M1833" s="5" t="str">
        <f t="shared" si="86"/>
        <v>006</v>
      </c>
      <c r="N1833" s="55" t="str">
        <f>VLOOKUP(D1833,Pinjaman!$E$7:$N$1900,10,FALSE)</f>
        <v>PRODUKTIF</v>
      </c>
      <c r="O1833" s="55">
        <f>VLOOKUP(B1833,'Data Angt'!$A$5:$H$5810,6,FALSE)</f>
        <v>37</v>
      </c>
      <c r="P1833" s="55" t="str">
        <f>VLOOKUP(B1833,'Data Angt'!$A$5:$H$5810,8,FALSE)</f>
        <v>Wiraswasta</v>
      </c>
    </row>
    <row r="1834" spans="1:16" x14ac:dyDescent="0.3">
      <c r="A1834" s="8">
        <v>1827</v>
      </c>
      <c r="B1834" s="9" t="s">
        <v>8952</v>
      </c>
      <c r="C1834" s="10" t="str">
        <f>VLOOKUP(B1834,'Data Angt'!$A$5:$B$5809,2,FALSE)</f>
        <v>A4071</v>
      </c>
      <c r="D1834" s="12" t="s">
        <v>17913</v>
      </c>
      <c r="E1834" s="13">
        <v>45629</v>
      </c>
      <c r="F1834" s="14">
        <v>45838</v>
      </c>
      <c r="G1834" s="15">
        <v>3000000</v>
      </c>
      <c r="H1834" s="16">
        <v>6</v>
      </c>
      <c r="I1834" s="17">
        <v>24</v>
      </c>
      <c r="J1834" s="15">
        <v>1544500</v>
      </c>
      <c r="K1834" s="98">
        <f t="shared" si="84"/>
        <v>3</v>
      </c>
      <c r="L1834" s="98" t="str">
        <f t="shared" si="85"/>
        <v>Lancar</v>
      </c>
      <c r="M1834" s="5" t="str">
        <f t="shared" si="86"/>
        <v>006</v>
      </c>
      <c r="N1834" s="55" t="str">
        <f>VLOOKUP(D1834,Pinjaman!$E$7:$N$1900,10,FALSE)</f>
        <v>PRODUKTIF</v>
      </c>
      <c r="O1834" s="55">
        <f>VLOOKUP(B1834,'Data Angt'!$A$5:$H$5810,6,FALSE)</f>
        <v>40</v>
      </c>
      <c r="P1834" s="55" t="str">
        <f>VLOOKUP(B1834,'Data Angt'!$A$5:$H$5810,8,FALSE)</f>
        <v>Wiraswasta</v>
      </c>
    </row>
    <row r="1835" spans="1:16" x14ac:dyDescent="0.3">
      <c r="A1835" s="8">
        <v>1828</v>
      </c>
      <c r="B1835" s="9" t="s">
        <v>8977</v>
      </c>
      <c r="C1835" s="10" t="str">
        <f>VLOOKUP(B1835,'Data Angt'!$A$5:$B$5809,2,FALSE)</f>
        <v>A4083</v>
      </c>
      <c r="D1835" s="12" t="s">
        <v>17915</v>
      </c>
      <c r="E1835" s="13">
        <v>45547</v>
      </c>
      <c r="F1835" s="14">
        <v>45908</v>
      </c>
      <c r="G1835" s="15">
        <v>5000000</v>
      </c>
      <c r="H1835" s="16">
        <v>18</v>
      </c>
      <c r="I1835" s="17">
        <v>24</v>
      </c>
      <c r="J1835" s="15">
        <v>1867600</v>
      </c>
      <c r="K1835" s="98">
        <f t="shared" si="84"/>
        <v>0</v>
      </c>
      <c r="L1835" s="98" t="str">
        <f t="shared" si="85"/>
        <v>Lancar</v>
      </c>
      <c r="M1835" s="5" t="str">
        <f t="shared" si="86"/>
        <v>006</v>
      </c>
      <c r="N1835" s="55" t="str">
        <f>VLOOKUP(D1835,Pinjaman!$E$7:$N$1900,10,FALSE)</f>
        <v>PRODUKTIF</v>
      </c>
      <c r="O1835" s="55">
        <f>VLOOKUP(B1835,'Data Angt'!$A$5:$H$5810,6,FALSE)</f>
        <v>28</v>
      </c>
      <c r="P1835" s="55" t="str">
        <f>VLOOKUP(B1835,'Data Angt'!$A$5:$H$5810,8,FALSE)</f>
        <v>Karyawan</v>
      </c>
    </row>
    <row r="1836" spans="1:16" x14ac:dyDescent="0.3">
      <c r="A1836" s="8">
        <v>1829</v>
      </c>
      <c r="B1836" s="9" t="s">
        <v>9069</v>
      </c>
      <c r="C1836" s="10" t="str">
        <f>VLOOKUP(B1836,'Data Angt'!$A$5:$B$5809,2,FALSE)</f>
        <v>A4125</v>
      </c>
      <c r="D1836" s="12" t="s">
        <v>10738</v>
      </c>
      <c r="E1836" s="13">
        <v>45077</v>
      </c>
      <c r="F1836" s="14">
        <v>45152</v>
      </c>
      <c r="G1836" s="15">
        <v>5000000</v>
      </c>
      <c r="H1836" s="16">
        <v>12</v>
      </c>
      <c r="I1836" s="17">
        <v>27</v>
      </c>
      <c r="J1836" s="15">
        <v>4256600</v>
      </c>
      <c r="K1836" s="98">
        <f t="shared" si="84"/>
        <v>25</v>
      </c>
      <c r="L1836" s="98" t="str">
        <f t="shared" si="85"/>
        <v>Macet</v>
      </c>
      <c r="M1836" s="5" t="str">
        <f t="shared" si="86"/>
        <v>006</v>
      </c>
      <c r="N1836" s="55" t="str">
        <f>VLOOKUP(D1836,Pinjaman!$E$7:$N$1900,10,FALSE)</f>
        <v>KONSUMTIF</v>
      </c>
      <c r="O1836" s="55">
        <f>VLOOKUP(B1836,'Data Angt'!$A$5:$H$5810,6,FALSE)</f>
        <v>58</v>
      </c>
      <c r="P1836" s="55" t="str">
        <f>VLOOKUP(B1836,'Data Angt'!$A$5:$H$5810,8,FALSE)</f>
        <v>Wiraswasta</v>
      </c>
    </row>
    <row r="1837" spans="1:16" x14ac:dyDescent="0.3">
      <c r="A1837" s="8">
        <v>1830</v>
      </c>
      <c r="B1837" s="9" t="s">
        <v>9157</v>
      </c>
      <c r="C1837" s="10" t="str">
        <f>VLOOKUP(B1837,'Data Angt'!$A$5:$B$5809,2,FALSE)</f>
        <v>A4166</v>
      </c>
      <c r="D1837" s="12" t="s">
        <v>17917</v>
      </c>
      <c r="E1837" s="13">
        <v>45448</v>
      </c>
      <c r="F1837" s="14">
        <v>45908</v>
      </c>
      <c r="G1837" s="15">
        <v>50000000</v>
      </c>
      <c r="H1837" s="16">
        <v>36</v>
      </c>
      <c r="I1837" s="17">
        <v>21</v>
      </c>
      <c r="J1837" s="15">
        <v>40279000</v>
      </c>
      <c r="K1837" s="98">
        <f t="shared" si="84"/>
        <v>0</v>
      </c>
      <c r="L1837" s="98" t="str">
        <f t="shared" si="85"/>
        <v>Lancar</v>
      </c>
      <c r="M1837" s="5" t="str">
        <f t="shared" si="86"/>
        <v>006</v>
      </c>
      <c r="N1837" s="55" t="str">
        <f>VLOOKUP(D1837,Pinjaman!$E$7:$N$1900,10,FALSE)</f>
        <v>KESEJAHTERAAN</v>
      </c>
      <c r="O1837" s="55">
        <f>VLOOKUP(B1837,'Data Angt'!$A$5:$H$5810,6,FALSE)</f>
        <v>72</v>
      </c>
      <c r="P1837" s="55" t="str">
        <f>VLOOKUP(B1837,'Data Angt'!$A$5:$H$5810,8,FALSE)</f>
        <v>Petani/Pekebun/Nelayan</v>
      </c>
    </row>
    <row r="1838" spans="1:16" x14ac:dyDescent="0.3">
      <c r="A1838" s="8">
        <v>1831</v>
      </c>
      <c r="B1838" s="9" t="s">
        <v>9163</v>
      </c>
      <c r="C1838" s="10" t="str">
        <f>VLOOKUP(B1838,'Data Angt'!$A$5:$B$5809,2,FALSE)</f>
        <v>A4169</v>
      </c>
      <c r="D1838" s="12" t="s">
        <v>23934</v>
      </c>
      <c r="E1838" s="13">
        <v>45882</v>
      </c>
      <c r="F1838" s="14">
        <v>45915</v>
      </c>
      <c r="G1838" s="15">
        <v>6000000</v>
      </c>
      <c r="H1838" s="16">
        <v>24</v>
      </c>
      <c r="I1838" s="17">
        <v>24</v>
      </c>
      <c r="J1838" s="15">
        <v>5802700</v>
      </c>
      <c r="K1838" s="98">
        <f t="shared" si="84"/>
        <v>0</v>
      </c>
      <c r="L1838" s="98" t="str">
        <f t="shared" si="85"/>
        <v>Lancar</v>
      </c>
      <c r="M1838" s="5" t="str">
        <f t="shared" si="86"/>
        <v>006</v>
      </c>
      <c r="N1838" s="55" t="str">
        <f>VLOOKUP(D1838,Pinjaman!$E$7:$N$1900,10,FALSE)</f>
        <v>PENDIDIKAN</v>
      </c>
      <c r="O1838" s="55">
        <f>VLOOKUP(B1838,'Data Angt'!$A$5:$H$5810,6,FALSE)</f>
        <v>48</v>
      </c>
      <c r="P1838" s="55" t="str">
        <f>VLOOKUP(B1838,'Data Angt'!$A$5:$H$5810,8,FALSE)</f>
        <v>Karyawan</v>
      </c>
    </row>
    <row r="1839" spans="1:16" x14ac:dyDescent="0.3">
      <c r="A1839" s="8">
        <v>1832</v>
      </c>
      <c r="B1839" s="9" t="s">
        <v>9191</v>
      </c>
      <c r="C1839" s="10" t="str">
        <f>VLOOKUP(B1839,'Data Angt'!$A$5:$B$5809,2,FALSE)</f>
        <v>A4182</v>
      </c>
      <c r="D1839" s="12" t="s">
        <v>17920</v>
      </c>
      <c r="E1839" s="13">
        <v>45635</v>
      </c>
      <c r="F1839" s="14">
        <v>45884</v>
      </c>
      <c r="G1839" s="15">
        <v>10000000</v>
      </c>
      <c r="H1839" s="16">
        <v>24</v>
      </c>
      <c r="I1839" s="17">
        <v>24</v>
      </c>
      <c r="J1839" s="15">
        <v>7192900</v>
      </c>
      <c r="K1839" s="98">
        <f t="shared" si="84"/>
        <v>1</v>
      </c>
      <c r="L1839" s="98" t="str">
        <f t="shared" si="85"/>
        <v>Lancar</v>
      </c>
      <c r="M1839" s="5" t="str">
        <f t="shared" si="86"/>
        <v>006</v>
      </c>
      <c r="N1839" s="55" t="str">
        <f>VLOOKUP(D1839,Pinjaman!$E$7:$N$1900,10,FALSE)</f>
        <v>PRODUKTIF</v>
      </c>
      <c r="O1839" s="55">
        <f>VLOOKUP(B1839,'Data Angt'!$A$5:$H$5810,6,FALSE)</f>
        <v>56</v>
      </c>
      <c r="P1839" s="55" t="str">
        <f>VLOOKUP(B1839,'Data Angt'!$A$5:$H$5810,8,FALSE)</f>
        <v>Mengurus Rumah Tangga</v>
      </c>
    </row>
    <row r="1840" spans="1:16" x14ac:dyDescent="0.3">
      <c r="A1840" s="8">
        <v>1833</v>
      </c>
      <c r="B1840" s="9" t="s">
        <v>9334</v>
      </c>
      <c r="C1840" s="10" t="str">
        <f>VLOOKUP(B1840,'Data Angt'!$A$5:$B$5809,2,FALSE)</f>
        <v>A4244</v>
      </c>
      <c r="D1840" s="12" t="s">
        <v>10741</v>
      </c>
      <c r="E1840" s="13">
        <v>45282</v>
      </c>
      <c r="F1840" s="14">
        <v>45922</v>
      </c>
      <c r="G1840" s="15">
        <v>5000000</v>
      </c>
      <c r="H1840" s="16">
        <v>24</v>
      </c>
      <c r="I1840" s="17">
        <v>24</v>
      </c>
      <c r="J1840" s="15">
        <v>762500</v>
      </c>
      <c r="K1840" s="98">
        <f t="shared" si="84"/>
        <v>0</v>
      </c>
      <c r="L1840" s="98" t="str">
        <f t="shared" si="85"/>
        <v>Lancar</v>
      </c>
      <c r="M1840" s="5" t="str">
        <f t="shared" si="86"/>
        <v>006</v>
      </c>
      <c r="N1840" s="55" t="str">
        <f>VLOOKUP(D1840,Pinjaman!$E$7:$N$1900,10,FALSE)</f>
        <v>KONSUMTIF</v>
      </c>
      <c r="O1840" s="55">
        <f>VLOOKUP(B1840,'Data Angt'!$A$5:$H$5810,6,FALSE)</f>
        <v>51</v>
      </c>
      <c r="P1840" s="55" t="str">
        <f>VLOOKUP(B1840,'Data Angt'!$A$5:$H$5810,8,FALSE)</f>
        <v>Tenaga Medis</v>
      </c>
    </row>
    <row r="1841" spans="1:16" x14ac:dyDescent="0.3">
      <c r="A1841" s="8">
        <v>1834</v>
      </c>
      <c r="B1841" s="9" t="s">
        <v>9410</v>
      </c>
      <c r="C1841" s="10" t="str">
        <f>VLOOKUP(B1841,'Data Angt'!$A$5:$B$5809,2,FALSE)</f>
        <v>A4281</v>
      </c>
      <c r="D1841" s="12" t="s">
        <v>17922</v>
      </c>
      <c r="E1841" s="13">
        <v>45665</v>
      </c>
      <c r="F1841" s="14">
        <v>45902</v>
      </c>
      <c r="G1841" s="15">
        <v>2500000</v>
      </c>
      <c r="H1841" s="16">
        <v>12</v>
      </c>
      <c r="I1841" s="17">
        <v>12</v>
      </c>
      <c r="J1841" s="15">
        <v>866400</v>
      </c>
      <c r="K1841" s="98">
        <f t="shared" si="84"/>
        <v>0</v>
      </c>
      <c r="L1841" s="98" t="str">
        <f t="shared" si="85"/>
        <v>Lancar</v>
      </c>
      <c r="M1841" s="5" t="str">
        <f t="shared" si="86"/>
        <v>006</v>
      </c>
      <c r="N1841" s="55" t="str">
        <f>VLOOKUP(D1841,Pinjaman!$E$7:$N$1900,10,FALSE)</f>
        <v>KONSUMTIF</v>
      </c>
      <c r="O1841" s="55">
        <f>VLOOKUP(B1841,'Data Angt'!$A$5:$H$5810,6,FALSE)</f>
        <v>27</v>
      </c>
      <c r="P1841" s="55" t="str">
        <f>VLOOKUP(B1841,'Data Angt'!$A$5:$H$5810,8,FALSE)</f>
        <v>Lain-Lain</v>
      </c>
    </row>
    <row r="1842" spans="1:16" x14ac:dyDescent="0.3">
      <c r="A1842" s="8">
        <v>1835</v>
      </c>
      <c r="B1842" s="9" t="s">
        <v>9410</v>
      </c>
      <c r="C1842" s="10" t="str">
        <f>VLOOKUP(B1842,'Data Angt'!$A$5:$B$5809,2,FALSE)</f>
        <v>A4281</v>
      </c>
      <c r="D1842" s="12" t="s">
        <v>23939</v>
      </c>
      <c r="E1842" s="13">
        <v>45852</v>
      </c>
      <c r="F1842" s="14">
        <v>45902</v>
      </c>
      <c r="G1842" s="15">
        <v>8000000</v>
      </c>
      <c r="H1842" s="16">
        <v>12</v>
      </c>
      <c r="I1842" s="17">
        <v>24</v>
      </c>
      <c r="J1842" s="15">
        <v>6795100</v>
      </c>
      <c r="K1842" s="98">
        <f t="shared" si="84"/>
        <v>0</v>
      </c>
      <c r="L1842" s="98" t="str">
        <f t="shared" si="85"/>
        <v>Lancar</v>
      </c>
      <c r="M1842" s="5" t="str">
        <f t="shared" si="86"/>
        <v>006</v>
      </c>
      <c r="N1842" s="55" t="str">
        <f>VLOOKUP(D1842,Pinjaman!$E$7:$N$1900,10,FALSE)</f>
        <v>KESEJAHTERAAN</v>
      </c>
      <c r="O1842" s="55">
        <f>VLOOKUP(B1842,'Data Angt'!$A$5:$H$5810,6,FALSE)</f>
        <v>27</v>
      </c>
      <c r="P1842" s="55" t="str">
        <f>VLOOKUP(B1842,'Data Angt'!$A$5:$H$5810,8,FALSE)</f>
        <v>Lain-Lain</v>
      </c>
    </row>
    <row r="1843" spans="1:16" x14ac:dyDescent="0.3">
      <c r="A1843" s="8">
        <v>1836</v>
      </c>
      <c r="B1843" s="9" t="s">
        <v>9452</v>
      </c>
      <c r="C1843" s="10" t="str">
        <f>VLOOKUP(B1843,'Data Angt'!$A$5:$B$5809,2,FALSE)</f>
        <v>A4299</v>
      </c>
      <c r="D1843" s="12" t="s">
        <v>17924</v>
      </c>
      <c r="E1843" s="13">
        <v>45541</v>
      </c>
      <c r="F1843" s="14">
        <v>45930</v>
      </c>
      <c r="G1843" s="15">
        <v>5500000</v>
      </c>
      <c r="H1843" s="16">
        <v>24</v>
      </c>
      <c r="I1843" s="17">
        <v>24</v>
      </c>
      <c r="J1843" s="15">
        <v>4946700</v>
      </c>
      <c r="K1843" s="98">
        <f t="shared" si="84"/>
        <v>0</v>
      </c>
      <c r="L1843" s="98" t="str">
        <f t="shared" si="85"/>
        <v>Lancar</v>
      </c>
      <c r="M1843" s="5" t="str">
        <f t="shared" si="86"/>
        <v>006</v>
      </c>
      <c r="N1843" s="55" t="str">
        <f>VLOOKUP(D1843,Pinjaman!$E$7:$N$1900,10,FALSE)</f>
        <v>PENDIDIKAN</v>
      </c>
      <c r="O1843" s="55">
        <f>VLOOKUP(B1843,'Data Angt'!$A$5:$H$5810,6,FALSE)</f>
        <v>44</v>
      </c>
      <c r="P1843" s="55" t="str">
        <f>VLOOKUP(B1843,'Data Angt'!$A$5:$H$5810,8,FALSE)</f>
        <v>Aparatur/Pejabat Negara</v>
      </c>
    </row>
    <row r="1844" spans="1:16" x14ac:dyDescent="0.3">
      <c r="A1844" s="8">
        <v>1837</v>
      </c>
      <c r="B1844" s="9" t="s">
        <v>9472</v>
      </c>
      <c r="C1844" s="10" t="str">
        <f>VLOOKUP(B1844,'Data Angt'!$A$5:$B$5809,2,FALSE)</f>
        <v>A4308</v>
      </c>
      <c r="D1844" s="12" t="s">
        <v>17926</v>
      </c>
      <c r="E1844" s="13">
        <v>45813</v>
      </c>
      <c r="F1844" s="14">
        <v>45908</v>
      </c>
      <c r="G1844" s="15">
        <v>2000000</v>
      </c>
      <c r="H1844" s="16">
        <v>12</v>
      </c>
      <c r="I1844" s="17">
        <v>24</v>
      </c>
      <c r="J1844" s="15">
        <v>1543500</v>
      </c>
      <c r="K1844" s="98">
        <f t="shared" si="84"/>
        <v>0</v>
      </c>
      <c r="L1844" s="98" t="str">
        <f t="shared" si="85"/>
        <v>Lancar</v>
      </c>
      <c r="M1844" s="5" t="str">
        <f t="shared" si="86"/>
        <v>006</v>
      </c>
      <c r="N1844" s="55" t="str">
        <f>VLOOKUP(D1844,Pinjaman!$E$7:$N$1900,10,FALSE)</f>
        <v>PRODUKTIF</v>
      </c>
      <c r="O1844" s="55">
        <f>VLOOKUP(B1844,'Data Angt'!$A$5:$H$5810,6,FALSE)</f>
        <v>41</v>
      </c>
      <c r="P1844" s="55" t="str">
        <f>VLOOKUP(B1844,'Data Angt'!$A$5:$H$5810,8,FALSE)</f>
        <v>Belum/Tidak Bekerja</v>
      </c>
    </row>
    <row r="1845" spans="1:16" x14ac:dyDescent="0.3">
      <c r="A1845" s="8">
        <v>1838</v>
      </c>
      <c r="B1845" s="9" t="s">
        <v>9472</v>
      </c>
      <c r="C1845" s="10" t="str">
        <f>VLOOKUP(B1845,'Data Angt'!$A$5:$B$5809,2,FALSE)</f>
        <v>A4308</v>
      </c>
      <c r="D1845" s="12" t="s">
        <v>17928</v>
      </c>
      <c r="E1845" s="13">
        <v>45622</v>
      </c>
      <c r="F1845" s="14">
        <v>45924</v>
      </c>
      <c r="G1845" s="15">
        <v>2000000</v>
      </c>
      <c r="H1845" s="16">
        <v>12</v>
      </c>
      <c r="I1845" s="17">
        <v>24</v>
      </c>
      <c r="J1845" s="15">
        <v>366700</v>
      </c>
      <c r="K1845" s="98">
        <f t="shared" si="84"/>
        <v>0</v>
      </c>
      <c r="L1845" s="98" t="str">
        <f t="shared" si="85"/>
        <v>Lancar</v>
      </c>
      <c r="M1845" s="5" t="str">
        <f t="shared" si="86"/>
        <v>006</v>
      </c>
      <c r="N1845" s="55" t="str">
        <f>VLOOKUP(D1845,Pinjaman!$E$7:$N$1900,10,FALSE)</f>
        <v>PRODUKTIF</v>
      </c>
      <c r="O1845" s="55">
        <f>VLOOKUP(B1845,'Data Angt'!$A$5:$H$5810,6,FALSE)</f>
        <v>41</v>
      </c>
      <c r="P1845" s="55" t="str">
        <f>VLOOKUP(B1845,'Data Angt'!$A$5:$H$5810,8,FALSE)</f>
        <v>Belum/Tidak Bekerja</v>
      </c>
    </row>
    <row r="1846" spans="1:16" x14ac:dyDescent="0.3">
      <c r="A1846" s="8">
        <v>1839</v>
      </c>
      <c r="B1846" s="9" t="s">
        <v>12641</v>
      </c>
      <c r="C1846" s="10" t="str">
        <f>VLOOKUP(B1846,'Data Angt'!$A$5:$B$5809,2,FALSE)</f>
        <v>A4373</v>
      </c>
      <c r="D1846" s="12" t="s">
        <v>23943</v>
      </c>
      <c r="E1846" s="13">
        <v>45901</v>
      </c>
      <c r="F1846" s="14">
        <v>45901</v>
      </c>
      <c r="G1846" s="15">
        <v>3500000</v>
      </c>
      <c r="H1846" s="16">
        <v>12</v>
      </c>
      <c r="I1846" s="17">
        <v>24</v>
      </c>
      <c r="J1846" s="15">
        <v>3500000</v>
      </c>
      <c r="K1846" s="98">
        <f t="shared" si="84"/>
        <v>0</v>
      </c>
      <c r="L1846" s="98" t="str">
        <f t="shared" si="85"/>
        <v>Lancar</v>
      </c>
      <c r="M1846" s="5" t="str">
        <f t="shared" si="86"/>
        <v>006</v>
      </c>
      <c r="N1846" s="55" t="str">
        <f>VLOOKUP(D1846,Pinjaman!$E$7:$N$1900,10,FALSE)</f>
        <v>PRODUKTIF</v>
      </c>
      <c r="O1846" s="55">
        <f>VLOOKUP(B1846,'Data Angt'!$A$5:$H$5810,6,FALSE)</f>
        <v>24</v>
      </c>
      <c r="P1846" s="55" t="str">
        <f>VLOOKUP(B1846,'Data Angt'!$A$5:$H$5810,8,FALSE)</f>
        <v>Karyawan</v>
      </c>
    </row>
    <row r="1847" spans="1:16" x14ac:dyDescent="0.3">
      <c r="A1847" s="8">
        <v>1840</v>
      </c>
      <c r="B1847" s="9" t="s">
        <v>12943</v>
      </c>
      <c r="C1847" s="10" t="str">
        <f>VLOOKUP(B1847,'Data Angt'!$A$5:$B$5809,2,FALSE)</f>
        <v>A4508</v>
      </c>
      <c r="D1847" s="12" t="s">
        <v>17930</v>
      </c>
      <c r="E1847" s="13">
        <v>45762</v>
      </c>
      <c r="F1847" s="14">
        <v>45915</v>
      </c>
      <c r="G1847" s="15">
        <v>60000000</v>
      </c>
      <c r="H1847" s="16">
        <v>48</v>
      </c>
      <c r="I1847" s="17">
        <v>21</v>
      </c>
      <c r="J1847" s="15">
        <v>58309900</v>
      </c>
      <c r="K1847" s="98">
        <f t="shared" si="84"/>
        <v>0</v>
      </c>
      <c r="L1847" s="98" t="str">
        <f t="shared" si="85"/>
        <v>Lancar</v>
      </c>
      <c r="M1847" s="5" t="str">
        <f t="shared" si="86"/>
        <v>006</v>
      </c>
      <c r="N1847" s="55" t="str">
        <f>VLOOKUP(D1847,Pinjaman!$E$7:$N$1900,10,FALSE)</f>
        <v>PENDIDIKAN</v>
      </c>
      <c r="O1847" s="55">
        <f>VLOOKUP(B1847,'Data Angt'!$A$5:$H$5810,6,FALSE)</f>
        <v>48</v>
      </c>
      <c r="P1847" s="55" t="str">
        <f>VLOOKUP(B1847,'Data Angt'!$A$5:$H$5810,8,FALSE)</f>
        <v>Karyawan</v>
      </c>
    </row>
    <row r="1848" spans="1:16" x14ac:dyDescent="0.3">
      <c r="A1848" s="8">
        <v>1841</v>
      </c>
      <c r="B1848" s="9" t="s">
        <v>12948</v>
      </c>
      <c r="C1848" s="10" t="str">
        <f>VLOOKUP(B1848,'Data Angt'!$A$5:$B$5809,2,FALSE)</f>
        <v>A4510</v>
      </c>
      <c r="D1848" s="12" t="s">
        <v>17932</v>
      </c>
      <c r="E1848" s="13">
        <v>45625</v>
      </c>
      <c r="F1848" s="14">
        <v>45923</v>
      </c>
      <c r="G1848" s="15">
        <v>10000000</v>
      </c>
      <c r="H1848" s="16">
        <v>18</v>
      </c>
      <c r="I1848" s="17">
        <v>24</v>
      </c>
      <c r="J1848" s="15">
        <v>4885800</v>
      </c>
      <c r="K1848" s="98">
        <f t="shared" si="84"/>
        <v>0</v>
      </c>
      <c r="L1848" s="98" t="str">
        <f t="shared" si="85"/>
        <v>Lancar</v>
      </c>
      <c r="M1848" s="5" t="str">
        <f t="shared" si="86"/>
        <v>006</v>
      </c>
      <c r="N1848" s="55" t="str">
        <f>VLOOKUP(D1848,Pinjaman!$E$7:$N$1900,10,FALSE)</f>
        <v>PRODUKTIF</v>
      </c>
      <c r="O1848" s="55">
        <f>VLOOKUP(B1848,'Data Angt'!$A$5:$H$5810,6,FALSE)</f>
        <v>40</v>
      </c>
      <c r="P1848" s="55" t="str">
        <f>VLOOKUP(B1848,'Data Angt'!$A$5:$H$5810,8,FALSE)</f>
        <v>Wiraswasta</v>
      </c>
    </row>
    <row r="1849" spans="1:16" x14ac:dyDescent="0.3">
      <c r="A1849" s="8">
        <v>1842</v>
      </c>
      <c r="B1849" s="9" t="s">
        <v>12948</v>
      </c>
      <c r="C1849" s="10" t="str">
        <f>VLOOKUP(B1849,'Data Angt'!$A$5:$B$5809,2,FALSE)</f>
        <v>A4510</v>
      </c>
      <c r="D1849" s="12" t="s">
        <v>17935</v>
      </c>
      <c r="E1849" s="13">
        <v>45741</v>
      </c>
      <c r="F1849" s="14">
        <v>45915</v>
      </c>
      <c r="G1849" s="15">
        <v>2000000</v>
      </c>
      <c r="H1849" s="16">
        <v>12</v>
      </c>
      <c r="I1849" s="17">
        <v>24</v>
      </c>
      <c r="J1849" s="15">
        <v>1226900</v>
      </c>
      <c r="K1849" s="98">
        <f t="shared" si="84"/>
        <v>0</v>
      </c>
      <c r="L1849" s="98" t="str">
        <f t="shared" si="85"/>
        <v>Lancar</v>
      </c>
      <c r="M1849" s="5" t="str">
        <f t="shared" si="86"/>
        <v>006</v>
      </c>
      <c r="N1849" s="55" t="str">
        <f>VLOOKUP(D1849,Pinjaman!$E$7:$N$1900,10,FALSE)</f>
        <v>PRODUKTIF</v>
      </c>
      <c r="O1849" s="55">
        <f>VLOOKUP(B1849,'Data Angt'!$A$5:$H$5810,6,FALSE)</f>
        <v>40</v>
      </c>
      <c r="P1849" s="55" t="str">
        <f>VLOOKUP(B1849,'Data Angt'!$A$5:$H$5810,8,FALSE)</f>
        <v>Wiraswasta</v>
      </c>
    </row>
    <row r="1850" spans="1:16" x14ac:dyDescent="0.3">
      <c r="A1850" s="8">
        <v>1843</v>
      </c>
      <c r="B1850" s="9" t="s">
        <v>13021</v>
      </c>
      <c r="C1850" s="10" t="str">
        <f>VLOOKUP(B1850,'Data Angt'!$A$5:$B$5809,2,FALSE)</f>
        <v>A4544</v>
      </c>
      <c r="D1850" s="12" t="s">
        <v>17938</v>
      </c>
      <c r="E1850" s="13">
        <v>45794</v>
      </c>
      <c r="F1850" s="14">
        <v>45917</v>
      </c>
      <c r="G1850" s="15">
        <v>3000000</v>
      </c>
      <c r="H1850" s="16">
        <v>12</v>
      </c>
      <c r="I1850" s="17">
        <v>24</v>
      </c>
      <c r="J1850" s="15">
        <v>2078200</v>
      </c>
      <c r="K1850" s="98">
        <f t="shared" si="84"/>
        <v>0</v>
      </c>
      <c r="L1850" s="98" t="str">
        <f t="shared" si="85"/>
        <v>Lancar</v>
      </c>
      <c r="M1850" s="5" t="str">
        <f t="shared" si="86"/>
        <v>006</v>
      </c>
      <c r="N1850" s="55" t="str">
        <f>VLOOKUP(D1850,Pinjaman!$E$7:$N$1900,10,FALSE)</f>
        <v>PENDIDIKAN</v>
      </c>
      <c r="O1850" s="55">
        <f>VLOOKUP(B1850,'Data Angt'!$A$5:$H$5810,6,FALSE)</f>
        <v>52</v>
      </c>
      <c r="P1850" s="55" t="str">
        <f>VLOOKUP(B1850,'Data Angt'!$A$5:$H$5810,8,FALSE)</f>
        <v>Karyawan</v>
      </c>
    </row>
    <row r="1851" spans="1:16" x14ac:dyDescent="0.3">
      <c r="A1851" s="8">
        <v>1844</v>
      </c>
      <c r="B1851" s="9" t="s">
        <v>13118</v>
      </c>
      <c r="C1851" s="10" t="str">
        <f>VLOOKUP(B1851,'Data Angt'!$A$5:$B$5809,2,FALSE)</f>
        <v>A4592</v>
      </c>
      <c r="D1851" s="12" t="s">
        <v>23948</v>
      </c>
      <c r="E1851" s="13">
        <v>45915</v>
      </c>
      <c r="F1851" s="14">
        <v>45917</v>
      </c>
      <c r="G1851" s="15">
        <v>20000000</v>
      </c>
      <c r="H1851" s="16">
        <v>24</v>
      </c>
      <c r="I1851" s="17">
        <v>24</v>
      </c>
      <c r="J1851" s="15">
        <v>20000000</v>
      </c>
      <c r="K1851" s="98">
        <f t="shared" si="84"/>
        <v>0</v>
      </c>
      <c r="L1851" s="98" t="str">
        <f t="shared" si="85"/>
        <v>Lancar</v>
      </c>
      <c r="M1851" s="5" t="str">
        <f t="shared" si="86"/>
        <v>006</v>
      </c>
      <c r="N1851" s="55" t="str">
        <f>VLOOKUP(D1851,Pinjaman!$E$7:$N$1900,10,FALSE)</f>
        <v>KESEJAHTERAAN</v>
      </c>
      <c r="O1851" s="55">
        <f>VLOOKUP(B1851,'Data Angt'!$A$5:$H$5810,6,FALSE)</f>
        <v>51</v>
      </c>
      <c r="P1851" s="55" t="str">
        <f>VLOOKUP(B1851,'Data Angt'!$A$5:$H$5810,8,FALSE)</f>
        <v>Karyawan</v>
      </c>
    </row>
    <row r="1852" spans="1:16" x14ac:dyDescent="0.3">
      <c r="A1852" s="8">
        <v>1845</v>
      </c>
      <c r="B1852" s="9" t="s">
        <v>13118</v>
      </c>
      <c r="C1852" s="10" t="str">
        <f>VLOOKUP(B1852,'Data Angt'!$A$5:$B$5809,2,FALSE)</f>
        <v>A4592</v>
      </c>
      <c r="D1852" s="12" t="s">
        <v>17940</v>
      </c>
      <c r="E1852" s="13">
        <v>45580</v>
      </c>
      <c r="F1852" s="14">
        <v>45929</v>
      </c>
      <c r="G1852" s="15">
        <v>1000000</v>
      </c>
      <c r="H1852" s="16">
        <v>12</v>
      </c>
      <c r="I1852" s="17">
        <v>24</v>
      </c>
      <c r="J1852" s="15">
        <v>100000</v>
      </c>
      <c r="K1852" s="98">
        <f t="shared" si="84"/>
        <v>0</v>
      </c>
      <c r="L1852" s="98" t="str">
        <f t="shared" si="85"/>
        <v>Lancar</v>
      </c>
      <c r="M1852" s="5" t="str">
        <f t="shared" si="86"/>
        <v>006</v>
      </c>
      <c r="N1852" s="55" t="str">
        <f>VLOOKUP(D1852,Pinjaman!$E$7:$N$1900,10,FALSE)</f>
        <v>KONSUMTIF</v>
      </c>
      <c r="O1852" s="55">
        <f>VLOOKUP(B1852,'Data Angt'!$A$5:$H$5810,6,FALSE)</f>
        <v>51</v>
      </c>
      <c r="P1852" s="55" t="str">
        <f>VLOOKUP(B1852,'Data Angt'!$A$5:$H$5810,8,FALSE)</f>
        <v>Karyawan</v>
      </c>
    </row>
    <row r="1853" spans="1:16" x14ac:dyDescent="0.3">
      <c r="A1853" s="8">
        <v>1846</v>
      </c>
      <c r="B1853" s="9" t="s">
        <v>13123</v>
      </c>
      <c r="C1853" s="10" t="str">
        <f>VLOOKUP(B1853,'Data Angt'!$A$5:$B$5809,2,FALSE)</f>
        <v>A4594</v>
      </c>
      <c r="D1853" s="12" t="s">
        <v>23950</v>
      </c>
      <c r="E1853" s="13">
        <v>45922</v>
      </c>
      <c r="F1853" s="14">
        <v>45922</v>
      </c>
      <c r="G1853" s="15">
        <v>2000000</v>
      </c>
      <c r="H1853" s="16">
        <v>6</v>
      </c>
      <c r="I1853" s="17">
        <v>24</v>
      </c>
      <c r="J1853" s="15">
        <v>2000000</v>
      </c>
      <c r="K1853" s="98">
        <f t="shared" si="84"/>
        <v>0</v>
      </c>
      <c r="L1853" s="98" t="str">
        <f t="shared" si="85"/>
        <v>Lancar</v>
      </c>
      <c r="M1853" s="5" t="str">
        <f t="shared" si="86"/>
        <v>006</v>
      </c>
      <c r="N1853" s="55" t="str">
        <f>VLOOKUP(D1853,Pinjaman!$E$7:$N$1900,10,FALSE)</f>
        <v>PRODUKTIF</v>
      </c>
      <c r="O1853" s="55">
        <f>VLOOKUP(B1853,'Data Angt'!$A$5:$H$5810,6,FALSE)</f>
        <v>32</v>
      </c>
      <c r="P1853" s="55" t="str">
        <f>VLOOKUP(B1853,'Data Angt'!$A$5:$H$5810,8,FALSE)</f>
        <v>Wiraswasta</v>
      </c>
    </row>
    <row r="1854" spans="1:16" x14ac:dyDescent="0.3">
      <c r="A1854" s="8">
        <v>1847</v>
      </c>
      <c r="B1854" s="9" t="s">
        <v>13525</v>
      </c>
      <c r="C1854" s="10" t="str">
        <f>VLOOKUP(B1854,'Data Angt'!$A$5:$B$5809,2,FALSE)</f>
        <v>A4829</v>
      </c>
      <c r="D1854" s="12" t="s">
        <v>23952</v>
      </c>
      <c r="E1854" s="13">
        <v>45915</v>
      </c>
      <c r="F1854" s="14">
        <v>45915</v>
      </c>
      <c r="G1854" s="15">
        <v>10000000</v>
      </c>
      <c r="H1854" s="16">
        <v>12</v>
      </c>
      <c r="I1854" s="17">
        <v>24</v>
      </c>
      <c r="J1854" s="15">
        <v>10000000</v>
      </c>
      <c r="K1854" s="98">
        <f t="shared" si="84"/>
        <v>0</v>
      </c>
      <c r="L1854" s="98" t="str">
        <f t="shared" si="85"/>
        <v>Lancar</v>
      </c>
      <c r="M1854" s="5" t="str">
        <f t="shared" si="86"/>
        <v>006</v>
      </c>
      <c r="N1854" s="55" t="str">
        <f>VLOOKUP(D1854,Pinjaman!$E$7:$N$1900,10,FALSE)</f>
        <v>PRODUKTIF</v>
      </c>
      <c r="O1854" s="55">
        <f>VLOOKUP(B1854,'Data Angt'!$A$5:$H$5810,6,FALSE)</f>
        <v>27</v>
      </c>
      <c r="P1854" s="55" t="str">
        <f>VLOOKUP(B1854,'Data Angt'!$A$5:$H$5810,8,FALSE)</f>
        <v>Karyawan</v>
      </c>
    </row>
    <row r="1855" spans="1:16" x14ac:dyDescent="0.3">
      <c r="A1855" s="8">
        <v>1848</v>
      </c>
      <c r="B1855" s="9" t="s">
        <v>13605</v>
      </c>
      <c r="C1855" s="10" t="str">
        <f>VLOOKUP(B1855,'Data Angt'!$A$5:$B$5809,2,FALSE)</f>
        <v>A4866</v>
      </c>
      <c r="D1855" s="12" t="s">
        <v>17942</v>
      </c>
      <c r="E1855" s="13">
        <v>45552</v>
      </c>
      <c r="F1855" s="14">
        <v>45904</v>
      </c>
      <c r="G1855" s="15">
        <v>10000000</v>
      </c>
      <c r="H1855" s="16">
        <v>24</v>
      </c>
      <c r="I1855" s="17">
        <v>24</v>
      </c>
      <c r="J1855" s="15">
        <v>5590700</v>
      </c>
      <c r="K1855" s="98">
        <f t="shared" si="84"/>
        <v>0</v>
      </c>
      <c r="L1855" s="98" t="str">
        <f t="shared" si="85"/>
        <v>Lancar</v>
      </c>
      <c r="M1855" s="5" t="str">
        <f t="shared" si="86"/>
        <v>006</v>
      </c>
      <c r="N1855" s="55" t="str">
        <f>VLOOKUP(D1855,Pinjaman!$E$7:$N$1900,10,FALSE)</f>
        <v>KESEJAHTERAAN</v>
      </c>
      <c r="O1855" s="55">
        <f>VLOOKUP(B1855,'Data Angt'!$A$5:$H$5810,6,FALSE)</f>
        <v>30</v>
      </c>
      <c r="P1855" s="55" t="str">
        <f>VLOOKUP(B1855,'Data Angt'!$A$5:$H$5810,8,FALSE)</f>
        <v>Karyawan</v>
      </c>
    </row>
    <row r="1856" spans="1:16" x14ac:dyDescent="0.3">
      <c r="A1856" s="8">
        <v>1849</v>
      </c>
      <c r="B1856" s="9" t="s">
        <v>13679</v>
      </c>
      <c r="C1856" s="10" t="str">
        <f>VLOOKUP(B1856,'Data Angt'!$A$5:$B$5809,2,FALSE)</f>
        <v>A4896</v>
      </c>
      <c r="D1856" s="12" t="s">
        <v>23957</v>
      </c>
      <c r="E1856" s="13">
        <v>45902</v>
      </c>
      <c r="F1856" s="14">
        <v>45902</v>
      </c>
      <c r="G1856" s="15">
        <v>9000000</v>
      </c>
      <c r="H1856" s="16">
        <v>12</v>
      </c>
      <c r="I1856" s="17">
        <v>24</v>
      </c>
      <c r="J1856" s="15">
        <v>9000000</v>
      </c>
      <c r="K1856" s="98">
        <f t="shared" si="84"/>
        <v>0</v>
      </c>
      <c r="L1856" s="98" t="str">
        <f t="shared" si="85"/>
        <v>Lancar</v>
      </c>
      <c r="M1856" s="5" t="str">
        <f t="shared" si="86"/>
        <v>006</v>
      </c>
      <c r="N1856" s="55" t="str">
        <f>VLOOKUP(D1856,Pinjaman!$E$7:$N$1900,10,FALSE)</f>
        <v>PRODUKTIF</v>
      </c>
      <c r="O1856" s="55">
        <f>VLOOKUP(B1856,'Data Angt'!$A$5:$H$5810,6,FALSE)</f>
        <v>56</v>
      </c>
      <c r="P1856" s="55" t="str">
        <f>VLOOKUP(B1856,'Data Angt'!$A$5:$H$5810,8,FALSE)</f>
        <v>Wiraswasta</v>
      </c>
    </row>
    <row r="1857" spans="1:16" x14ac:dyDescent="0.3">
      <c r="A1857" s="8">
        <v>1850</v>
      </c>
      <c r="B1857" s="9" t="s">
        <v>13773</v>
      </c>
      <c r="C1857" s="10" t="str">
        <f>VLOOKUP(B1857,'Data Angt'!$A$5:$B$5809,2,FALSE)</f>
        <v>A4938</v>
      </c>
      <c r="D1857" s="12" t="s">
        <v>23960</v>
      </c>
      <c r="E1857" s="13">
        <v>45842</v>
      </c>
      <c r="F1857" s="14">
        <v>45904</v>
      </c>
      <c r="G1857" s="15">
        <v>3000000</v>
      </c>
      <c r="H1857" s="16">
        <v>18</v>
      </c>
      <c r="I1857" s="17">
        <v>24</v>
      </c>
      <c r="J1857" s="15">
        <v>2716800</v>
      </c>
      <c r="K1857" s="98">
        <f t="shared" si="84"/>
        <v>0</v>
      </c>
      <c r="L1857" s="98" t="str">
        <f t="shared" si="85"/>
        <v>Lancar</v>
      </c>
      <c r="M1857" s="5" t="str">
        <f t="shared" si="86"/>
        <v>006</v>
      </c>
      <c r="N1857" s="55" t="str">
        <f>VLOOKUP(D1857,Pinjaman!$E$7:$N$1900,10,FALSE)</f>
        <v>PRODUKTIF</v>
      </c>
      <c r="O1857" s="55">
        <f>VLOOKUP(B1857,'Data Angt'!$A$5:$H$5810,6,FALSE)</f>
        <v>60</v>
      </c>
      <c r="P1857" s="55" t="str">
        <f>VLOOKUP(B1857,'Data Angt'!$A$5:$H$5810,8,FALSE)</f>
        <v>Wiraswasta</v>
      </c>
    </row>
    <row r="1858" spans="1:16" x14ac:dyDescent="0.3">
      <c r="A1858" s="8">
        <v>1851</v>
      </c>
      <c r="B1858" s="9" t="s">
        <v>13886</v>
      </c>
      <c r="C1858" s="10" t="str">
        <f>VLOOKUP(B1858,'Data Angt'!$A$5:$B$5809,2,FALSE)</f>
        <v>A4994</v>
      </c>
      <c r="D1858" s="12" t="s">
        <v>17944</v>
      </c>
      <c r="E1858" s="13">
        <v>45674</v>
      </c>
      <c r="F1858" s="14">
        <v>45917</v>
      </c>
      <c r="G1858" s="15">
        <v>5000000</v>
      </c>
      <c r="H1858" s="16">
        <v>12</v>
      </c>
      <c r="I1858" s="17">
        <v>18</v>
      </c>
      <c r="J1858" s="15">
        <v>1767100</v>
      </c>
      <c r="K1858" s="98">
        <f t="shared" si="84"/>
        <v>0</v>
      </c>
      <c r="L1858" s="98" t="str">
        <f t="shared" si="85"/>
        <v>Lancar</v>
      </c>
      <c r="M1858" s="5" t="str">
        <f t="shared" si="86"/>
        <v>006</v>
      </c>
      <c r="N1858" s="55" t="str">
        <f>VLOOKUP(D1858,Pinjaman!$E$7:$N$1900,10,FALSE)</f>
        <v>KESEJAHTERAAN</v>
      </c>
      <c r="O1858" s="55">
        <f>VLOOKUP(B1858,'Data Angt'!$A$5:$H$5810,6,FALSE)</f>
        <v>28</v>
      </c>
      <c r="P1858" s="55" t="str">
        <f>VLOOKUP(B1858,'Data Angt'!$A$5:$H$5810,8,FALSE)</f>
        <v>Tenaga Medis</v>
      </c>
    </row>
    <row r="1859" spans="1:16" x14ac:dyDescent="0.3">
      <c r="A1859" s="8">
        <v>1852</v>
      </c>
      <c r="B1859" s="9" t="s">
        <v>14030</v>
      </c>
      <c r="C1859" s="10" t="str">
        <f>VLOOKUP(B1859,'Data Angt'!$A$5:$B$5809,2,FALSE)</f>
        <v>A5055</v>
      </c>
      <c r="D1859" s="12" t="s">
        <v>17946</v>
      </c>
      <c r="E1859" s="13">
        <v>45701</v>
      </c>
      <c r="F1859" s="14">
        <v>45902</v>
      </c>
      <c r="G1859" s="15">
        <v>5000000</v>
      </c>
      <c r="H1859" s="16">
        <v>24</v>
      </c>
      <c r="I1859" s="17">
        <v>24</v>
      </c>
      <c r="J1859" s="15">
        <v>3778100</v>
      </c>
      <c r="K1859" s="98">
        <f t="shared" si="84"/>
        <v>0</v>
      </c>
      <c r="L1859" s="98" t="str">
        <f t="shared" si="85"/>
        <v>Lancar</v>
      </c>
      <c r="M1859" s="5" t="str">
        <f t="shared" si="86"/>
        <v>006</v>
      </c>
      <c r="N1859" s="55" t="str">
        <f>VLOOKUP(D1859,Pinjaman!$E$7:$N$1900,10,FALSE)</f>
        <v>KONSUMTIF</v>
      </c>
      <c r="O1859" s="55">
        <f>VLOOKUP(B1859,'Data Angt'!$A$5:$H$5810,6,FALSE)</f>
        <v>56</v>
      </c>
      <c r="P1859" s="55" t="str">
        <f>VLOOKUP(B1859,'Data Angt'!$A$5:$H$5810,8,FALSE)</f>
        <v>Lain-Lain</v>
      </c>
    </row>
    <row r="1860" spans="1:16" x14ac:dyDescent="0.3">
      <c r="A1860" s="8">
        <v>1853</v>
      </c>
      <c r="B1860" s="9" t="s">
        <v>14105</v>
      </c>
      <c r="C1860" s="10" t="str">
        <f>VLOOKUP(B1860,'Data Angt'!$A$5:$B$5809,2,FALSE)</f>
        <v>A5087</v>
      </c>
      <c r="D1860" s="12" t="s">
        <v>17949</v>
      </c>
      <c r="E1860" s="13">
        <v>45622</v>
      </c>
      <c r="F1860" s="14">
        <v>45917</v>
      </c>
      <c r="G1860" s="15">
        <v>2700000</v>
      </c>
      <c r="H1860" s="16">
        <v>12</v>
      </c>
      <c r="I1860" s="17">
        <v>24</v>
      </c>
      <c r="J1860" s="15">
        <v>495100</v>
      </c>
      <c r="K1860" s="98">
        <f t="shared" si="84"/>
        <v>0</v>
      </c>
      <c r="L1860" s="98" t="str">
        <f t="shared" si="85"/>
        <v>Lancar</v>
      </c>
      <c r="M1860" s="5" t="str">
        <f t="shared" si="86"/>
        <v>006</v>
      </c>
      <c r="N1860" s="55" t="str">
        <f>VLOOKUP(D1860,Pinjaman!$E$7:$N$1900,10,FALSE)</f>
        <v>KONSUMTIF</v>
      </c>
      <c r="O1860" s="55">
        <f>VLOOKUP(B1860,'Data Angt'!$A$5:$H$5810,6,FALSE)</f>
        <v>47</v>
      </c>
      <c r="P1860" s="55" t="str">
        <f>VLOOKUP(B1860,'Data Angt'!$A$5:$H$5810,8,FALSE)</f>
        <v>Karyawan</v>
      </c>
    </row>
    <row r="1861" spans="1:16" x14ac:dyDescent="0.3">
      <c r="A1861" s="8">
        <v>1854</v>
      </c>
      <c r="B1861" s="9" t="s">
        <v>14130</v>
      </c>
      <c r="C1861" s="10" t="str">
        <f>VLOOKUP(B1861,'Data Angt'!$A$5:$B$5809,2,FALSE)</f>
        <v>A5100</v>
      </c>
      <c r="D1861" s="12" t="s">
        <v>17951</v>
      </c>
      <c r="E1861" s="13">
        <v>45622</v>
      </c>
      <c r="F1861" s="14">
        <v>45902</v>
      </c>
      <c r="G1861" s="15">
        <v>2000000</v>
      </c>
      <c r="H1861" s="16">
        <v>12</v>
      </c>
      <c r="I1861" s="17">
        <v>24</v>
      </c>
      <c r="J1861" s="15">
        <v>1223800</v>
      </c>
      <c r="K1861" s="98">
        <f t="shared" si="84"/>
        <v>0</v>
      </c>
      <c r="L1861" s="98" t="str">
        <f t="shared" si="85"/>
        <v>Lancar</v>
      </c>
      <c r="M1861" s="5" t="str">
        <f t="shared" si="86"/>
        <v>006</v>
      </c>
      <c r="N1861" s="55" t="str">
        <f>VLOOKUP(D1861,Pinjaman!$E$7:$N$1900,10,FALSE)</f>
        <v>PRODUKTIF</v>
      </c>
      <c r="O1861" s="55">
        <f>VLOOKUP(B1861,'Data Angt'!$A$5:$H$5810,6,FALSE)</f>
        <v>19</v>
      </c>
      <c r="P1861" s="55" t="str">
        <f>VLOOKUP(B1861,'Data Angt'!$A$5:$H$5810,8,FALSE)</f>
        <v>Mengurus Rumah Tangga</v>
      </c>
    </row>
    <row r="1862" spans="1:16" x14ac:dyDescent="0.3">
      <c r="A1862" s="8">
        <v>1855</v>
      </c>
      <c r="B1862" s="9" t="s">
        <v>14132</v>
      </c>
      <c r="C1862" s="10" t="str">
        <f>VLOOKUP(B1862,'Data Angt'!$A$5:$B$5809,2,FALSE)</f>
        <v>A5101</v>
      </c>
      <c r="D1862" s="12" t="s">
        <v>23964</v>
      </c>
      <c r="E1862" s="13">
        <v>45908</v>
      </c>
      <c r="F1862" s="14">
        <v>45908</v>
      </c>
      <c r="G1862" s="15">
        <v>3000000</v>
      </c>
      <c r="H1862" s="16">
        <v>18</v>
      </c>
      <c r="I1862" s="17">
        <v>24</v>
      </c>
      <c r="J1862" s="15">
        <v>3000000</v>
      </c>
      <c r="K1862" s="98">
        <f t="shared" si="84"/>
        <v>0</v>
      </c>
      <c r="L1862" s="98" t="str">
        <f t="shared" si="85"/>
        <v>Lancar</v>
      </c>
      <c r="M1862" s="5" t="str">
        <f t="shared" si="86"/>
        <v>006</v>
      </c>
      <c r="N1862" s="55" t="str">
        <f>VLOOKUP(D1862,Pinjaman!$E$7:$N$1900,10,FALSE)</f>
        <v>KONSUMTIF</v>
      </c>
      <c r="O1862" s="55">
        <f>VLOOKUP(B1862,'Data Angt'!$A$5:$H$5810,6,FALSE)</f>
        <v>22</v>
      </c>
      <c r="P1862" s="55" t="str">
        <f>VLOOKUP(B1862,'Data Angt'!$A$5:$H$5810,8,FALSE)</f>
        <v>Karyawan</v>
      </c>
    </row>
    <row r="1863" spans="1:16" x14ac:dyDescent="0.3">
      <c r="A1863" s="8">
        <v>1856</v>
      </c>
      <c r="B1863" s="9" t="s">
        <v>14151</v>
      </c>
      <c r="C1863" s="10" t="str">
        <f>VLOOKUP(B1863,'Data Angt'!$A$5:$B$5809,2,FALSE)</f>
        <v>A5111</v>
      </c>
      <c r="D1863" s="12" t="s">
        <v>17954</v>
      </c>
      <c r="E1863" s="13">
        <v>45624</v>
      </c>
      <c r="F1863" s="14">
        <v>45904</v>
      </c>
      <c r="G1863" s="15">
        <v>2000000</v>
      </c>
      <c r="H1863" s="16">
        <v>12</v>
      </c>
      <c r="I1863" s="17">
        <v>24</v>
      </c>
      <c r="J1863" s="15">
        <v>366700</v>
      </c>
      <c r="K1863" s="98">
        <f t="shared" si="84"/>
        <v>0</v>
      </c>
      <c r="L1863" s="98" t="str">
        <f t="shared" si="85"/>
        <v>Lancar</v>
      </c>
      <c r="M1863" s="5" t="str">
        <f t="shared" si="86"/>
        <v>006</v>
      </c>
      <c r="N1863" s="55" t="str">
        <f>VLOOKUP(D1863,Pinjaman!$E$7:$N$1900,10,FALSE)</f>
        <v>KONSUMTIF</v>
      </c>
      <c r="O1863" s="55">
        <f>VLOOKUP(B1863,'Data Angt'!$A$5:$H$5810,6,FALSE)</f>
        <v>50</v>
      </c>
      <c r="P1863" s="55" t="str">
        <f>VLOOKUP(B1863,'Data Angt'!$A$5:$H$5810,8,FALSE)</f>
        <v>Lain-Lain</v>
      </c>
    </row>
    <row r="1864" spans="1:16" x14ac:dyDescent="0.3">
      <c r="A1864" s="8">
        <v>1857</v>
      </c>
      <c r="B1864" s="9" t="s">
        <v>14727</v>
      </c>
      <c r="C1864" s="10" t="str">
        <f>VLOOKUP(B1864,'Data Angt'!$A$5:$B$5809,2,FALSE)</f>
        <v>A5332</v>
      </c>
      <c r="D1864" s="12" t="s">
        <v>17957</v>
      </c>
      <c r="E1864" s="13">
        <v>45772</v>
      </c>
      <c r="F1864" s="14">
        <v>45929</v>
      </c>
      <c r="G1864" s="15">
        <v>5000000</v>
      </c>
      <c r="H1864" s="16">
        <v>10</v>
      </c>
      <c r="I1864" s="17">
        <v>24</v>
      </c>
      <c r="J1864" s="15">
        <v>2633200</v>
      </c>
      <c r="K1864" s="98">
        <f t="shared" si="84"/>
        <v>0</v>
      </c>
      <c r="L1864" s="98" t="str">
        <f t="shared" si="85"/>
        <v>Lancar</v>
      </c>
      <c r="M1864" s="5" t="str">
        <f t="shared" si="86"/>
        <v>006</v>
      </c>
      <c r="N1864" s="55" t="str">
        <f>VLOOKUP(D1864,Pinjaman!$E$7:$N$1900,10,FALSE)</f>
        <v>PENDIDIKAN</v>
      </c>
      <c r="O1864" s="55">
        <f>VLOOKUP(B1864,'Data Angt'!$A$5:$H$5810,6,FALSE)</f>
        <v>51</v>
      </c>
      <c r="P1864" s="55" t="str">
        <f>VLOOKUP(B1864,'Data Angt'!$A$5:$H$5810,8,FALSE)</f>
        <v>Lain-Lain</v>
      </c>
    </row>
    <row r="1865" spans="1:16" x14ac:dyDescent="0.3">
      <c r="A1865" s="8">
        <v>1858</v>
      </c>
      <c r="B1865" s="9" t="s">
        <v>14788</v>
      </c>
      <c r="C1865" s="10" t="str">
        <f>VLOOKUP(B1865,'Data Angt'!$A$5:$B$5809,2,FALSE)</f>
        <v>A5360</v>
      </c>
      <c r="D1865" s="12" t="s">
        <v>23967</v>
      </c>
      <c r="E1865" s="13">
        <v>45849</v>
      </c>
      <c r="F1865" s="14">
        <v>45915</v>
      </c>
      <c r="G1865" s="15">
        <v>3000000</v>
      </c>
      <c r="H1865" s="16">
        <v>12</v>
      </c>
      <c r="I1865" s="17">
        <v>24</v>
      </c>
      <c r="J1865" s="15">
        <v>2548200</v>
      </c>
      <c r="K1865" s="98">
        <f t="shared" ref="K1865:K1869" si="87">DATEDIF(F1865,$K$6,"m")</f>
        <v>0</v>
      </c>
      <c r="L1865" s="98" t="str">
        <f t="shared" ref="L1865:L1869" si="88">IF(K1865&lt;=3,"Lancar",IF(K1865&lt;=6,"Kurang lancar",IF(K1865&lt;=12,"Diragukan","Macet")))</f>
        <v>Lancar</v>
      </c>
      <c r="M1865" s="5" t="str">
        <f t="shared" ref="M1865:M1869" si="89">MID(B1865,7,3)</f>
        <v>006</v>
      </c>
      <c r="N1865" s="55" t="str">
        <f>VLOOKUP(D1865,Pinjaman!$E$7:$N$1900,10,FALSE)</f>
        <v>PRODUKTIF</v>
      </c>
      <c r="O1865" s="55">
        <f>VLOOKUP(B1865,'Data Angt'!$A$5:$H$5810,6,FALSE)</f>
        <v>55</v>
      </c>
      <c r="P1865" s="55" t="str">
        <f>VLOOKUP(B1865,'Data Angt'!$A$5:$H$5810,8,FALSE)</f>
        <v>Wiraswasta</v>
      </c>
    </row>
    <row r="1866" spans="1:16" x14ac:dyDescent="0.3">
      <c r="A1866" s="8">
        <v>1859</v>
      </c>
      <c r="B1866" s="9" t="s">
        <v>14790</v>
      </c>
      <c r="C1866" s="10" t="str">
        <f>VLOOKUP(B1866,'Data Angt'!$A$5:$B$5809,2,FALSE)</f>
        <v>A5361</v>
      </c>
      <c r="D1866" s="12" t="s">
        <v>17959</v>
      </c>
      <c r="E1866" s="13">
        <v>45799</v>
      </c>
      <c r="F1866" s="14">
        <v>45923</v>
      </c>
      <c r="G1866" s="15">
        <v>5000000</v>
      </c>
      <c r="H1866" s="16">
        <v>12</v>
      </c>
      <c r="I1866" s="17">
        <v>24</v>
      </c>
      <c r="J1866" s="15">
        <v>3463600</v>
      </c>
      <c r="K1866" s="98">
        <f t="shared" si="87"/>
        <v>0</v>
      </c>
      <c r="L1866" s="98" t="str">
        <f t="shared" si="88"/>
        <v>Lancar</v>
      </c>
      <c r="M1866" s="5" t="str">
        <f t="shared" si="89"/>
        <v>006</v>
      </c>
      <c r="N1866" s="55" t="str">
        <f>VLOOKUP(D1866,Pinjaman!$E$7:$N$1900,10,FALSE)</f>
        <v>PENDIDIKAN</v>
      </c>
      <c r="O1866" s="55">
        <f>VLOOKUP(B1866,'Data Angt'!$A$5:$H$5810,6,FALSE)</f>
        <v>37</v>
      </c>
      <c r="P1866" s="55" t="str">
        <f>VLOOKUP(B1866,'Data Angt'!$A$5:$H$5810,8,FALSE)</f>
        <v>Mengurus Rumah Tangga</v>
      </c>
    </row>
    <row r="1867" spans="1:16" x14ac:dyDescent="0.3">
      <c r="A1867" s="8">
        <v>1860</v>
      </c>
      <c r="B1867" s="9" t="s">
        <v>14856</v>
      </c>
      <c r="C1867" s="10" t="str">
        <f>VLOOKUP(B1867,'Data Angt'!$A$5:$B$5809,2,FALSE)</f>
        <v>A5392</v>
      </c>
      <c r="D1867" s="12" t="s">
        <v>17961</v>
      </c>
      <c r="E1867" s="13">
        <v>45828</v>
      </c>
      <c r="F1867" s="14">
        <v>45922</v>
      </c>
      <c r="G1867" s="15">
        <v>1500000</v>
      </c>
      <c r="H1867" s="16">
        <v>12</v>
      </c>
      <c r="I1867" s="17">
        <v>24</v>
      </c>
      <c r="J1867" s="15">
        <v>1157600</v>
      </c>
      <c r="K1867" s="98">
        <f t="shared" si="87"/>
        <v>0</v>
      </c>
      <c r="L1867" s="98" t="str">
        <f t="shared" si="88"/>
        <v>Lancar</v>
      </c>
      <c r="M1867" s="5" t="str">
        <f t="shared" si="89"/>
        <v>006</v>
      </c>
      <c r="N1867" s="55" t="str">
        <f>VLOOKUP(D1867,Pinjaman!$E$7:$N$1900,10,FALSE)</f>
        <v>KONSUMTIF</v>
      </c>
      <c r="O1867" s="55">
        <f>VLOOKUP(B1867,'Data Angt'!$A$5:$H$5810,6,FALSE)</f>
        <v>39</v>
      </c>
      <c r="P1867" s="55" t="str">
        <f>VLOOKUP(B1867,'Data Angt'!$A$5:$H$5810,8,FALSE)</f>
        <v>Karyawan</v>
      </c>
    </row>
    <row r="1868" spans="1:16" x14ac:dyDescent="0.3">
      <c r="A1868" s="8">
        <v>1861</v>
      </c>
      <c r="B1868" s="9" t="s">
        <v>14918</v>
      </c>
      <c r="C1868" s="10" t="str">
        <f>VLOOKUP(B1868,'Data Angt'!$A$5:$B$5809,2,FALSE)</f>
        <v>A5419</v>
      </c>
      <c r="D1868" s="12" t="s">
        <v>17964</v>
      </c>
      <c r="E1868" s="13">
        <v>45727</v>
      </c>
      <c r="F1868" s="14">
        <v>45915</v>
      </c>
      <c r="G1868" s="15">
        <v>2000000</v>
      </c>
      <c r="H1868" s="16">
        <v>12</v>
      </c>
      <c r="I1868" s="17">
        <v>24</v>
      </c>
      <c r="J1868" s="15">
        <v>1385200</v>
      </c>
      <c r="K1868" s="98">
        <f t="shared" si="87"/>
        <v>0</v>
      </c>
      <c r="L1868" s="98" t="str">
        <f t="shared" si="88"/>
        <v>Lancar</v>
      </c>
      <c r="M1868" s="5" t="str">
        <f t="shared" si="89"/>
        <v>006</v>
      </c>
      <c r="N1868" s="55" t="str">
        <f>VLOOKUP(D1868,Pinjaman!$E$7:$N$1900,10,FALSE)</f>
        <v>PENDIDIKAN</v>
      </c>
      <c r="O1868" s="55">
        <f>VLOOKUP(B1868,'Data Angt'!$A$5:$H$5810,6,FALSE)</f>
        <v>38</v>
      </c>
      <c r="P1868" s="55" t="str">
        <f>VLOOKUP(B1868,'Data Angt'!$A$5:$H$5810,8,FALSE)</f>
        <v>Karyawan</v>
      </c>
    </row>
    <row r="1869" spans="1:16" x14ac:dyDescent="0.3">
      <c r="A1869" s="8">
        <v>1862</v>
      </c>
      <c r="B1869" s="9" t="s">
        <v>15303</v>
      </c>
      <c r="C1869" s="10" t="str">
        <f>VLOOKUP(B1869,'Data Angt'!$A$5:$B$5809,2,FALSE)</f>
        <v>A5597</v>
      </c>
      <c r="D1869" s="12" t="s">
        <v>23971</v>
      </c>
      <c r="E1869" s="13">
        <v>45839</v>
      </c>
      <c r="F1869" s="14">
        <v>45901</v>
      </c>
      <c r="G1869" s="15">
        <v>1500000</v>
      </c>
      <c r="H1869" s="16">
        <v>6</v>
      </c>
      <c r="I1869" s="17">
        <v>24</v>
      </c>
      <c r="J1869" s="15">
        <v>1019700</v>
      </c>
      <c r="K1869" s="98">
        <f t="shared" si="87"/>
        <v>0</v>
      </c>
      <c r="L1869" s="98" t="str">
        <f t="shared" si="88"/>
        <v>Lancar</v>
      </c>
      <c r="M1869" s="5" t="str">
        <f t="shared" si="89"/>
        <v>006</v>
      </c>
      <c r="N1869" s="55" t="str">
        <f>VLOOKUP(D1869,Pinjaman!$E$7:$N$1900,10,FALSE)</f>
        <v>PRODUKTIF</v>
      </c>
      <c r="O1869" s="55">
        <f>VLOOKUP(B1869,'Data Angt'!$A$5:$H$5810,6,FALSE)</f>
        <v>30</v>
      </c>
      <c r="P1869" s="55" t="str">
        <f>VLOOKUP(B1869,'Data Angt'!$A$5:$H$5810,8,FALSE)</f>
        <v>Karyawan</v>
      </c>
    </row>
    <row r="1870" spans="1:16" ht="15" thickBot="1" x14ac:dyDescent="0.35">
      <c r="A1870" s="340" t="s">
        <v>10743</v>
      </c>
      <c r="B1870" s="341"/>
      <c r="C1870" s="341"/>
      <c r="D1870" s="341"/>
      <c r="E1870" s="341"/>
      <c r="F1870" s="342"/>
      <c r="G1870" s="18">
        <v>54800972000</v>
      </c>
      <c r="H1870" s="343">
        <v>40154069800</v>
      </c>
      <c r="I1870" s="344"/>
      <c r="J1870" s="345"/>
      <c r="L1870" s="98"/>
    </row>
  </sheetData>
  <autoFilter ref="A7:P1870" xr:uid="{2571B29A-9A20-40DC-A0CF-BB9F6E0E812F}"/>
  <mergeCells count="14">
    <mergeCell ref="A1870:F1870"/>
    <mergeCell ref="H1870:J1870"/>
    <mergeCell ref="A1:J1"/>
    <mergeCell ref="A2:J2"/>
    <mergeCell ref="A3:J3"/>
    <mergeCell ref="A4:J4"/>
    <mergeCell ref="A6:A7"/>
    <mergeCell ref="B6:B7"/>
    <mergeCell ref="C6:C7"/>
    <mergeCell ref="D6:D7"/>
    <mergeCell ref="E6:E7"/>
    <mergeCell ref="G6:G7"/>
    <mergeCell ref="I6:I7"/>
    <mergeCell ref="J6:J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DBEE4-3F4C-4CFC-BBC2-32F0530E523A}">
  <dimension ref="A1:J656"/>
  <sheetViews>
    <sheetView workbookViewId="0">
      <selection activeCell="F25" sqref="F25"/>
    </sheetView>
  </sheetViews>
  <sheetFormatPr defaultColWidth="9.109375" defaultRowHeight="14.4" x14ac:dyDescent="0.3"/>
  <cols>
    <col min="1" max="1" width="4.109375" style="124" bestFit="1" customWidth="1"/>
    <col min="2" max="2" width="18" style="124" bestFit="1" customWidth="1"/>
    <col min="3" max="3" width="30.6640625" style="124" customWidth="1"/>
    <col min="4" max="4" width="19.33203125" style="124" bestFit="1" customWidth="1"/>
    <col min="5" max="5" width="2.88671875" style="124" bestFit="1" customWidth="1"/>
    <col min="6" max="6" width="7.44140625" style="124" bestFit="1" customWidth="1"/>
    <col min="7" max="7" width="14.109375" style="124" bestFit="1" customWidth="1"/>
    <col min="8" max="8" width="56.5546875" style="124" bestFit="1" customWidth="1"/>
    <col min="9" max="10" width="9.109375" style="124"/>
    <col min="11" max="11" width="8.88671875" style="124" bestFit="1" customWidth="1"/>
    <col min="12" max="25" width="5.6640625" style="124" customWidth="1"/>
    <col min="26" max="16384" width="9.109375" style="124"/>
  </cols>
  <sheetData>
    <row r="1" spans="1:9" x14ac:dyDescent="0.3">
      <c r="A1" s="365" t="s">
        <v>20485</v>
      </c>
      <c r="B1" s="363" t="s">
        <v>20484</v>
      </c>
      <c r="C1" s="363" t="s">
        <v>2</v>
      </c>
      <c r="D1" s="363" t="s">
        <v>20483</v>
      </c>
      <c r="E1" s="363" t="s">
        <v>4</v>
      </c>
      <c r="F1" s="363" t="s">
        <v>19267</v>
      </c>
      <c r="G1" s="363" t="s">
        <v>20482</v>
      </c>
      <c r="H1" s="363" t="s">
        <v>20481</v>
      </c>
    </row>
    <row r="2" spans="1:9" x14ac:dyDescent="0.3">
      <c r="A2" s="366"/>
      <c r="B2" s="364"/>
      <c r="C2" s="364"/>
      <c r="D2" s="364"/>
      <c r="E2" s="364"/>
      <c r="F2" s="364"/>
      <c r="G2" s="364"/>
      <c r="H2" s="364"/>
      <c r="I2" s="124" t="s">
        <v>9786</v>
      </c>
    </row>
    <row r="3" spans="1:9" x14ac:dyDescent="0.3">
      <c r="A3" s="127">
        <v>1</v>
      </c>
      <c r="B3" s="125" t="s">
        <v>20480</v>
      </c>
      <c r="C3" s="10" t="e">
        <f>VLOOKUP(B3,'Data Angt'!$A$5:$B$5809,2,FALSE)</f>
        <v>#N/A</v>
      </c>
      <c r="D3" s="125" t="s">
        <v>20479</v>
      </c>
      <c r="E3" s="125" t="s">
        <v>22</v>
      </c>
      <c r="F3" s="125" t="str">
        <f>MID(B3,7,3)</f>
        <v>001</v>
      </c>
      <c r="G3" s="126">
        <v>45664</v>
      </c>
      <c r="H3" s="125" t="s">
        <v>19274</v>
      </c>
      <c r="I3" s="124">
        <v>62</v>
      </c>
    </row>
    <row r="4" spans="1:9" x14ac:dyDescent="0.3">
      <c r="A4" s="127">
        <v>2</v>
      </c>
      <c r="B4" s="125" t="s">
        <v>20478</v>
      </c>
      <c r="C4" s="10" t="e">
        <f>VLOOKUP(B4,'Data Angt'!$A$5:$B$5809,2,FALSE)</f>
        <v>#N/A</v>
      </c>
      <c r="D4" s="125" t="s">
        <v>20477</v>
      </c>
      <c r="E4" s="125" t="s">
        <v>11</v>
      </c>
      <c r="F4" s="125" t="str">
        <f t="shared" ref="F4:F67" si="0">MID(B4,7,3)</f>
        <v>004</v>
      </c>
      <c r="G4" s="126">
        <v>45671</v>
      </c>
      <c r="H4" s="125" t="s">
        <v>20476</v>
      </c>
      <c r="I4" s="124">
        <v>43</v>
      </c>
    </row>
    <row r="5" spans="1:9" x14ac:dyDescent="0.3">
      <c r="A5" s="127">
        <v>3</v>
      </c>
      <c r="B5" s="125" t="s">
        <v>20475</v>
      </c>
      <c r="C5" s="10" t="e">
        <f>VLOOKUP(B5,'Data Angt'!$A$5:$B$5809,2,FALSE)</f>
        <v>#N/A</v>
      </c>
      <c r="D5" s="125" t="s">
        <v>20474</v>
      </c>
      <c r="E5" s="125" t="s">
        <v>22</v>
      </c>
      <c r="F5" s="125" t="str">
        <f t="shared" si="0"/>
        <v>003</v>
      </c>
      <c r="G5" s="126">
        <v>45677</v>
      </c>
      <c r="H5" s="125" t="s">
        <v>20473</v>
      </c>
      <c r="I5" s="124">
        <v>46</v>
      </c>
    </row>
    <row r="6" spans="1:9" x14ac:dyDescent="0.3">
      <c r="A6" s="127">
        <v>4</v>
      </c>
      <c r="B6" s="125" t="s">
        <v>20472</v>
      </c>
      <c r="C6" s="10" t="e">
        <f>VLOOKUP(B6,'Data Angt'!$A$5:$B$5809,2,FALSE)</f>
        <v>#N/A</v>
      </c>
      <c r="D6" s="125" t="s">
        <v>20471</v>
      </c>
      <c r="E6" s="125" t="s">
        <v>22</v>
      </c>
      <c r="F6" s="125" t="str">
        <f t="shared" si="0"/>
        <v>003</v>
      </c>
      <c r="G6" s="126">
        <v>45677</v>
      </c>
      <c r="H6" s="125" t="s">
        <v>20470</v>
      </c>
      <c r="I6" s="124">
        <v>42</v>
      </c>
    </row>
    <row r="7" spans="1:9" x14ac:dyDescent="0.3">
      <c r="A7" s="127">
        <v>5</v>
      </c>
      <c r="B7" s="125" t="s">
        <v>20469</v>
      </c>
      <c r="C7" s="10" t="e">
        <f>VLOOKUP(B7,'Data Angt'!$A$5:$B$5809,2,FALSE)</f>
        <v>#N/A</v>
      </c>
      <c r="D7" s="125" t="s">
        <v>20468</v>
      </c>
      <c r="E7" s="125" t="s">
        <v>22</v>
      </c>
      <c r="F7" s="125" t="str">
        <f t="shared" si="0"/>
        <v>005</v>
      </c>
      <c r="G7" s="126">
        <v>45681</v>
      </c>
      <c r="H7" s="125" t="s">
        <v>20467</v>
      </c>
      <c r="I7" s="124">
        <v>59</v>
      </c>
    </row>
    <row r="8" spans="1:9" x14ac:dyDescent="0.3">
      <c r="A8" s="127">
        <v>6</v>
      </c>
      <c r="B8" s="125" t="s">
        <v>14804</v>
      </c>
      <c r="C8" s="10" t="e">
        <f>VLOOKUP(B8,'Data Angt'!$A$5:$B$5809,2,FALSE)</f>
        <v>#N/A</v>
      </c>
      <c r="D8" s="125" t="s">
        <v>20466</v>
      </c>
      <c r="E8" s="125" t="s">
        <v>22</v>
      </c>
      <c r="F8" s="125" t="str">
        <f t="shared" si="0"/>
        <v>005</v>
      </c>
      <c r="G8" s="126">
        <v>45709</v>
      </c>
      <c r="H8" s="125" t="s">
        <v>20465</v>
      </c>
      <c r="I8" s="124">
        <v>37</v>
      </c>
    </row>
    <row r="9" spans="1:9" x14ac:dyDescent="0.3">
      <c r="A9" s="127">
        <v>7</v>
      </c>
      <c r="B9" s="125" t="s">
        <v>20464</v>
      </c>
      <c r="C9" s="10" t="e">
        <f>VLOOKUP(B9,'Data Angt'!$A$5:$B$5809,2,FALSE)</f>
        <v>#N/A</v>
      </c>
      <c r="D9" s="125" t="s">
        <v>20463</v>
      </c>
      <c r="E9" s="125" t="s">
        <v>11</v>
      </c>
      <c r="F9" s="125" t="str">
        <f t="shared" si="0"/>
        <v>004</v>
      </c>
      <c r="G9" s="126">
        <v>45692</v>
      </c>
      <c r="H9" s="125" t="s">
        <v>20462</v>
      </c>
      <c r="I9" s="124">
        <v>43</v>
      </c>
    </row>
    <row r="10" spans="1:9" x14ac:dyDescent="0.3">
      <c r="A10" s="127">
        <v>8</v>
      </c>
      <c r="B10" s="125" t="s">
        <v>20461</v>
      </c>
      <c r="C10" s="10" t="e">
        <f>VLOOKUP(B10,'Data Angt'!$A$5:$B$5809,2,FALSE)</f>
        <v>#N/A</v>
      </c>
      <c r="D10" s="125" t="s">
        <v>20460</v>
      </c>
      <c r="E10" s="125" t="s">
        <v>11</v>
      </c>
      <c r="F10" s="125" t="str">
        <f t="shared" si="0"/>
        <v>001</v>
      </c>
      <c r="G10" s="126">
        <v>45694</v>
      </c>
      <c r="H10" s="125" t="s">
        <v>20459</v>
      </c>
      <c r="I10" s="124">
        <v>21</v>
      </c>
    </row>
    <row r="11" spans="1:9" x14ac:dyDescent="0.3">
      <c r="A11" s="127">
        <v>9</v>
      </c>
      <c r="B11" s="125" t="s">
        <v>20458</v>
      </c>
      <c r="C11" s="10" t="e">
        <f>VLOOKUP(B11,'Data Angt'!$A$5:$B$5809,2,FALSE)</f>
        <v>#N/A</v>
      </c>
      <c r="D11" s="125" t="s">
        <v>20457</v>
      </c>
      <c r="E11" s="125" t="s">
        <v>11</v>
      </c>
      <c r="F11" s="125" t="str">
        <f t="shared" si="0"/>
        <v>001</v>
      </c>
      <c r="G11" s="126">
        <v>45694</v>
      </c>
      <c r="H11" s="125" t="s">
        <v>20005</v>
      </c>
      <c r="I11" s="124">
        <v>35</v>
      </c>
    </row>
    <row r="12" spans="1:9" x14ac:dyDescent="0.3">
      <c r="A12" s="127">
        <v>10</v>
      </c>
      <c r="B12" s="125" t="s">
        <v>20456</v>
      </c>
      <c r="C12" s="10" t="e">
        <f>VLOOKUP(B12,'Data Angt'!$A$5:$B$5809,2,FALSE)</f>
        <v>#N/A</v>
      </c>
      <c r="D12" s="125" t="s">
        <v>20455</v>
      </c>
      <c r="E12" s="125" t="s">
        <v>11</v>
      </c>
      <c r="F12" s="125" t="str">
        <f t="shared" si="0"/>
        <v>001</v>
      </c>
      <c r="G12" s="126">
        <v>45694</v>
      </c>
      <c r="H12" s="125" t="s">
        <v>20454</v>
      </c>
      <c r="I12" s="124">
        <v>49</v>
      </c>
    </row>
    <row r="13" spans="1:9" x14ac:dyDescent="0.3">
      <c r="A13" s="127">
        <v>11</v>
      </c>
      <c r="B13" s="125" t="s">
        <v>20453</v>
      </c>
      <c r="C13" s="10" t="e">
        <f>VLOOKUP(B13,'Data Angt'!$A$5:$B$5809,2,FALSE)</f>
        <v>#N/A</v>
      </c>
      <c r="D13" s="125" t="s">
        <v>20452</v>
      </c>
      <c r="E13" s="125" t="s">
        <v>11</v>
      </c>
      <c r="F13" s="125" t="str">
        <f t="shared" si="0"/>
        <v>001</v>
      </c>
      <c r="G13" s="126">
        <v>45694</v>
      </c>
      <c r="H13" s="125" t="s">
        <v>20451</v>
      </c>
      <c r="I13" s="124">
        <v>26</v>
      </c>
    </row>
    <row r="14" spans="1:9" x14ac:dyDescent="0.3">
      <c r="A14" s="127">
        <v>12</v>
      </c>
      <c r="B14" s="125" t="s">
        <v>20450</v>
      </c>
      <c r="C14" s="10" t="e">
        <f>VLOOKUP(B14,'Data Angt'!$A$5:$B$5809,2,FALSE)</f>
        <v>#N/A</v>
      </c>
      <c r="D14" s="125" t="s">
        <v>20449</v>
      </c>
      <c r="E14" s="125" t="s">
        <v>22</v>
      </c>
      <c r="F14" s="125" t="str">
        <f t="shared" si="0"/>
        <v>001</v>
      </c>
      <c r="G14" s="126">
        <v>45700</v>
      </c>
      <c r="H14" s="125" t="s">
        <v>20448</v>
      </c>
      <c r="I14" s="124">
        <v>24</v>
      </c>
    </row>
    <row r="15" spans="1:9" x14ac:dyDescent="0.3">
      <c r="A15" s="127">
        <v>13</v>
      </c>
      <c r="B15" s="125" t="s">
        <v>20447</v>
      </c>
      <c r="C15" s="10" t="e">
        <f>VLOOKUP(B15,'Data Angt'!$A$5:$B$5809,2,FALSE)</f>
        <v>#N/A</v>
      </c>
      <c r="D15" s="125" t="s">
        <v>20446</v>
      </c>
      <c r="E15" s="125" t="s">
        <v>22</v>
      </c>
      <c r="F15" s="125" t="str">
        <f t="shared" si="0"/>
        <v>001</v>
      </c>
      <c r="G15" s="126">
        <v>45701</v>
      </c>
      <c r="H15" s="125" t="s">
        <v>20445</v>
      </c>
      <c r="I15" s="124">
        <v>44</v>
      </c>
    </row>
    <row r="16" spans="1:9" x14ac:dyDescent="0.3">
      <c r="A16" s="127">
        <v>14</v>
      </c>
      <c r="B16" s="125" t="s">
        <v>14716</v>
      </c>
      <c r="C16" s="10" t="e">
        <f>VLOOKUP(B16,'Data Angt'!$A$5:$B$5809,2,FALSE)</f>
        <v>#N/A</v>
      </c>
      <c r="D16" s="125" t="s">
        <v>20444</v>
      </c>
      <c r="E16" s="125" t="s">
        <v>11</v>
      </c>
      <c r="F16" s="125" t="str">
        <f t="shared" si="0"/>
        <v>001</v>
      </c>
      <c r="G16" s="126">
        <v>45705</v>
      </c>
      <c r="H16" s="125" t="s">
        <v>20443</v>
      </c>
      <c r="I16" s="124">
        <v>42</v>
      </c>
    </row>
    <row r="17" spans="1:9" x14ac:dyDescent="0.3">
      <c r="A17" s="127">
        <v>15</v>
      </c>
      <c r="B17" s="125" t="s">
        <v>14782</v>
      </c>
      <c r="C17" s="10" t="e">
        <f>VLOOKUP(B17,'Data Angt'!$A$5:$B$5809,2,FALSE)</f>
        <v>#N/A</v>
      </c>
      <c r="D17" s="125" t="s">
        <v>20442</v>
      </c>
      <c r="E17" s="125" t="s">
        <v>22</v>
      </c>
      <c r="F17" s="125" t="str">
        <f t="shared" si="0"/>
        <v>005</v>
      </c>
      <c r="G17" s="126">
        <v>45709</v>
      </c>
      <c r="H17" s="125" t="s">
        <v>20441</v>
      </c>
      <c r="I17" s="124">
        <v>51</v>
      </c>
    </row>
    <row r="18" spans="1:9" x14ac:dyDescent="0.3">
      <c r="A18" s="127">
        <v>16</v>
      </c>
      <c r="B18" s="125" t="s">
        <v>14787</v>
      </c>
      <c r="C18" s="10" t="e">
        <f>VLOOKUP(B18,'Data Angt'!$A$5:$B$5809,2,FALSE)</f>
        <v>#N/A</v>
      </c>
      <c r="D18" s="125" t="s">
        <v>19851</v>
      </c>
      <c r="E18" s="125" t="s">
        <v>22</v>
      </c>
      <c r="F18" s="125" t="str">
        <f t="shared" si="0"/>
        <v>005</v>
      </c>
      <c r="G18" s="126">
        <v>45709</v>
      </c>
      <c r="H18" s="125" t="s">
        <v>20440</v>
      </c>
      <c r="I18" s="124">
        <v>47</v>
      </c>
    </row>
    <row r="19" spans="1:9" x14ac:dyDescent="0.3">
      <c r="A19" s="127">
        <v>17</v>
      </c>
      <c r="B19" s="125" t="s">
        <v>20439</v>
      </c>
      <c r="C19" s="10" t="e">
        <f>VLOOKUP(B19,'Data Angt'!$A$5:$B$5809,2,FALSE)</f>
        <v>#N/A</v>
      </c>
      <c r="D19" s="125" t="s">
        <v>20438</v>
      </c>
      <c r="E19" s="125" t="s">
        <v>11</v>
      </c>
      <c r="F19" s="125" t="str">
        <f t="shared" si="0"/>
        <v>001</v>
      </c>
      <c r="G19" s="126">
        <v>45714</v>
      </c>
      <c r="H19" s="125" t="s">
        <v>20437</v>
      </c>
      <c r="I19" s="124">
        <v>43</v>
      </c>
    </row>
    <row r="20" spans="1:9" x14ac:dyDescent="0.3">
      <c r="A20" s="127">
        <v>18</v>
      </c>
      <c r="B20" s="125" t="s">
        <v>20436</v>
      </c>
      <c r="C20" s="10" t="e">
        <f>VLOOKUP(B20,'Data Angt'!$A$5:$B$5809,2,FALSE)</f>
        <v>#N/A</v>
      </c>
      <c r="D20" s="125" t="s">
        <v>20435</v>
      </c>
      <c r="E20" s="125" t="s">
        <v>22</v>
      </c>
      <c r="F20" s="125" t="str">
        <f t="shared" si="0"/>
        <v>001</v>
      </c>
      <c r="G20" s="126">
        <v>45716</v>
      </c>
      <c r="H20" s="125" t="s">
        <v>20434</v>
      </c>
      <c r="I20" s="124">
        <v>51</v>
      </c>
    </row>
    <row r="21" spans="1:9" x14ac:dyDescent="0.3">
      <c r="A21" s="127">
        <v>19</v>
      </c>
      <c r="B21" s="125" t="s">
        <v>20433</v>
      </c>
      <c r="C21" s="10" t="e">
        <f>VLOOKUP(B21,'Data Angt'!$A$5:$B$5809,2,FALSE)</f>
        <v>#N/A</v>
      </c>
      <c r="D21" s="125" t="s">
        <v>20432</v>
      </c>
      <c r="E21" s="125" t="s">
        <v>11</v>
      </c>
      <c r="F21" s="125" t="str">
        <f t="shared" si="0"/>
        <v>001</v>
      </c>
      <c r="G21" s="126">
        <v>45716</v>
      </c>
      <c r="H21" s="125" t="s">
        <v>20431</v>
      </c>
      <c r="I21" s="124">
        <v>35</v>
      </c>
    </row>
    <row r="22" spans="1:9" x14ac:dyDescent="0.3">
      <c r="A22" s="127">
        <v>20</v>
      </c>
      <c r="B22" s="125" t="s">
        <v>14907</v>
      </c>
      <c r="C22" s="10" t="e">
        <f>VLOOKUP(B22,'Data Angt'!$A$5:$B$5809,2,FALSE)</f>
        <v>#N/A</v>
      </c>
      <c r="D22" s="125" t="s">
        <v>20430</v>
      </c>
      <c r="E22" s="125" t="s">
        <v>22</v>
      </c>
      <c r="F22" s="125" t="str">
        <f t="shared" si="0"/>
        <v>004</v>
      </c>
      <c r="G22" s="126">
        <v>45722</v>
      </c>
      <c r="H22" s="125" t="s">
        <v>20429</v>
      </c>
      <c r="I22" s="124">
        <v>49</v>
      </c>
    </row>
    <row r="23" spans="1:9" x14ac:dyDescent="0.3">
      <c r="A23" s="127">
        <v>21</v>
      </c>
      <c r="B23" s="125" t="s">
        <v>14908</v>
      </c>
      <c r="C23" s="10" t="e">
        <f>VLOOKUP(B23,'Data Angt'!$A$5:$B$5809,2,FALSE)</f>
        <v>#N/A</v>
      </c>
      <c r="D23" s="125" t="s">
        <v>20428</v>
      </c>
      <c r="E23" s="125" t="s">
        <v>22</v>
      </c>
      <c r="F23" s="125" t="str">
        <f t="shared" si="0"/>
        <v>004</v>
      </c>
      <c r="G23" s="126">
        <v>45722</v>
      </c>
      <c r="H23" s="125" t="s">
        <v>20427</v>
      </c>
      <c r="I23" s="124">
        <v>21</v>
      </c>
    </row>
    <row r="24" spans="1:9" x14ac:dyDescent="0.3">
      <c r="A24" s="127">
        <v>22</v>
      </c>
      <c r="B24" s="125" t="s">
        <v>20426</v>
      </c>
      <c r="C24" s="10" t="e">
        <f>VLOOKUP(B24,'Data Angt'!$A$5:$B$5809,2,FALSE)</f>
        <v>#N/A</v>
      </c>
      <c r="D24" s="125" t="s">
        <v>20425</v>
      </c>
      <c r="E24" s="125" t="s">
        <v>22</v>
      </c>
      <c r="F24" s="125" t="str">
        <f t="shared" si="0"/>
        <v>001</v>
      </c>
      <c r="G24" s="126">
        <v>45723</v>
      </c>
      <c r="H24" s="125" t="s">
        <v>19274</v>
      </c>
      <c r="I24" s="124">
        <v>25</v>
      </c>
    </row>
    <row r="25" spans="1:9" x14ac:dyDescent="0.3">
      <c r="A25" s="127">
        <v>23</v>
      </c>
      <c r="B25" s="125" t="s">
        <v>20424</v>
      </c>
      <c r="C25" s="10" t="e">
        <f>VLOOKUP(B25,'Data Angt'!$A$5:$B$5809,2,FALSE)</f>
        <v>#N/A</v>
      </c>
      <c r="D25" s="125" t="s">
        <v>20423</v>
      </c>
      <c r="E25" s="125" t="s">
        <v>22</v>
      </c>
      <c r="F25" s="125" t="str">
        <f t="shared" si="0"/>
        <v>005</v>
      </c>
      <c r="G25" s="126">
        <v>45724</v>
      </c>
      <c r="H25" s="125" t="s">
        <v>20422</v>
      </c>
      <c r="I25" s="124">
        <v>44</v>
      </c>
    </row>
    <row r="26" spans="1:9" x14ac:dyDescent="0.3">
      <c r="A26" s="127">
        <v>24</v>
      </c>
      <c r="B26" s="125" t="s">
        <v>20421</v>
      </c>
      <c r="C26" s="10" t="e">
        <f>VLOOKUP(B26,'Data Angt'!$A$5:$B$5809,2,FALSE)</f>
        <v>#N/A</v>
      </c>
      <c r="D26" s="125" t="s">
        <v>20420</v>
      </c>
      <c r="E26" s="125" t="s">
        <v>22</v>
      </c>
      <c r="F26" s="125" t="str">
        <f t="shared" si="0"/>
        <v>001</v>
      </c>
      <c r="G26" s="126">
        <v>45754</v>
      </c>
      <c r="H26" s="125" t="s">
        <v>20419</v>
      </c>
      <c r="I26" s="124">
        <v>20</v>
      </c>
    </row>
    <row r="27" spans="1:9" x14ac:dyDescent="0.3">
      <c r="A27" s="127">
        <v>25</v>
      </c>
      <c r="B27" s="125" t="s">
        <v>20418</v>
      </c>
      <c r="C27" s="10" t="e">
        <f>VLOOKUP(B27,'Data Angt'!$A$5:$B$5809,2,FALSE)</f>
        <v>#N/A</v>
      </c>
      <c r="D27" s="125" t="s">
        <v>20417</v>
      </c>
      <c r="E27" s="125" t="s">
        <v>11</v>
      </c>
      <c r="F27" s="125" t="str">
        <f t="shared" si="0"/>
        <v>001</v>
      </c>
      <c r="G27" s="126">
        <v>45754</v>
      </c>
      <c r="H27" s="125" t="s">
        <v>19891</v>
      </c>
      <c r="I27" s="124">
        <v>25</v>
      </c>
    </row>
    <row r="28" spans="1:9" x14ac:dyDescent="0.3">
      <c r="A28" s="127">
        <v>26</v>
      </c>
      <c r="B28" s="125" t="s">
        <v>20416</v>
      </c>
      <c r="C28" s="10" t="e">
        <f>VLOOKUP(B28,'Data Angt'!$A$5:$B$5809,2,FALSE)</f>
        <v>#N/A</v>
      </c>
      <c r="D28" s="125" t="s">
        <v>20415</v>
      </c>
      <c r="E28" s="125" t="s">
        <v>22</v>
      </c>
      <c r="F28" s="125" t="str">
        <f t="shared" si="0"/>
        <v>001</v>
      </c>
      <c r="G28" s="126">
        <v>45756</v>
      </c>
      <c r="H28" s="125" t="s">
        <v>20414</v>
      </c>
      <c r="I28" s="124">
        <v>50</v>
      </c>
    </row>
    <row r="29" spans="1:9" x14ac:dyDescent="0.3">
      <c r="A29" s="127">
        <v>27</v>
      </c>
      <c r="B29" s="125" t="s">
        <v>20413</v>
      </c>
      <c r="C29" s="10" t="e">
        <f>VLOOKUP(B29,'Data Angt'!$A$5:$B$5809,2,FALSE)</f>
        <v>#N/A</v>
      </c>
      <c r="D29" s="125" t="s">
        <v>20412</v>
      </c>
      <c r="E29" s="125" t="s">
        <v>11</v>
      </c>
      <c r="F29" s="125" t="str">
        <f t="shared" si="0"/>
        <v>001</v>
      </c>
      <c r="G29" s="126">
        <v>45783</v>
      </c>
      <c r="H29" s="125" t="s">
        <v>20411</v>
      </c>
      <c r="I29" s="124">
        <v>19</v>
      </c>
    </row>
    <row r="30" spans="1:9" x14ac:dyDescent="0.3">
      <c r="A30" s="127">
        <v>28</v>
      </c>
      <c r="B30" s="125" t="s">
        <v>20410</v>
      </c>
      <c r="C30" s="10" t="e">
        <f>VLOOKUP(B30,'Data Angt'!$A$5:$B$5809,2,FALSE)</f>
        <v>#N/A</v>
      </c>
      <c r="D30" s="125" t="s">
        <v>20409</v>
      </c>
      <c r="E30" s="125" t="s">
        <v>22</v>
      </c>
      <c r="F30" s="125" t="str">
        <f t="shared" si="0"/>
        <v>004</v>
      </c>
      <c r="G30" s="126">
        <v>45843</v>
      </c>
      <c r="H30" s="125" t="s">
        <v>20408</v>
      </c>
      <c r="I30" s="124">
        <v>56</v>
      </c>
    </row>
    <row r="31" spans="1:9" x14ac:dyDescent="0.3">
      <c r="A31" s="127">
        <v>29</v>
      </c>
      <c r="B31" s="125" t="s">
        <v>20407</v>
      </c>
      <c r="C31" s="10" t="e">
        <f>VLOOKUP(B31,'Data Angt'!$A$5:$B$5809,2,FALSE)</f>
        <v>#N/A</v>
      </c>
      <c r="D31" s="125" t="s">
        <v>20406</v>
      </c>
      <c r="E31" s="125" t="s">
        <v>11</v>
      </c>
      <c r="F31" s="125" t="str">
        <f t="shared" si="0"/>
        <v>001</v>
      </c>
      <c r="G31" s="126">
        <v>45843</v>
      </c>
      <c r="H31" s="125" t="s">
        <v>20405</v>
      </c>
      <c r="I31" s="124">
        <v>27</v>
      </c>
    </row>
    <row r="32" spans="1:9" x14ac:dyDescent="0.3">
      <c r="A32" s="127">
        <v>30</v>
      </c>
      <c r="B32" s="125" t="s">
        <v>20404</v>
      </c>
      <c r="C32" s="10" t="e">
        <f>VLOOKUP(B32,'Data Angt'!$A$5:$B$5809,2,FALSE)</f>
        <v>#N/A</v>
      </c>
      <c r="D32" s="125" t="s">
        <v>20403</v>
      </c>
      <c r="E32" s="125" t="s">
        <v>11</v>
      </c>
      <c r="F32" s="125" t="str">
        <f t="shared" si="0"/>
        <v>004</v>
      </c>
      <c r="G32" s="126">
        <v>45855</v>
      </c>
      <c r="H32" s="125" t="s">
        <v>19772</v>
      </c>
      <c r="I32" s="124">
        <v>59</v>
      </c>
    </row>
    <row r="33" spans="1:9" x14ac:dyDescent="0.3">
      <c r="A33" s="127">
        <v>31</v>
      </c>
      <c r="B33" s="125" t="s">
        <v>14587</v>
      </c>
      <c r="C33" s="10" t="str">
        <f>VLOOKUP(B33,'Data Angt'!$A$5:$B$5809,2,FALSE)</f>
        <v>A5273</v>
      </c>
      <c r="D33" s="125" t="s">
        <v>20402</v>
      </c>
      <c r="E33" s="125" t="s">
        <v>11</v>
      </c>
      <c r="F33" s="125" t="str">
        <f t="shared" si="0"/>
        <v>001</v>
      </c>
      <c r="G33" s="126">
        <v>45694</v>
      </c>
      <c r="H33" s="125" t="s">
        <v>20401</v>
      </c>
      <c r="I33" s="124">
        <v>40</v>
      </c>
    </row>
    <row r="34" spans="1:9" x14ac:dyDescent="0.3">
      <c r="A34" s="127">
        <v>32</v>
      </c>
      <c r="B34" s="125" t="s">
        <v>14359</v>
      </c>
      <c r="C34" s="10" t="str">
        <f>VLOOKUP(B34,'Data Angt'!$A$5:$B$5809,2,FALSE)</f>
        <v>A5176</v>
      </c>
      <c r="D34" s="125" t="s">
        <v>20400</v>
      </c>
      <c r="E34" s="125" t="s">
        <v>22</v>
      </c>
      <c r="F34" s="125" t="str">
        <f t="shared" si="0"/>
        <v>006</v>
      </c>
      <c r="G34" s="126">
        <v>45663</v>
      </c>
      <c r="H34" s="125" t="s">
        <v>20399</v>
      </c>
      <c r="I34" s="124">
        <v>17</v>
      </c>
    </row>
    <row r="35" spans="1:9" x14ac:dyDescent="0.3">
      <c r="A35" s="127">
        <v>33</v>
      </c>
      <c r="B35" s="125" t="s">
        <v>14361</v>
      </c>
      <c r="C35" s="10" t="str">
        <f>VLOOKUP(B35,'Data Angt'!$A$5:$B$5809,2,FALSE)</f>
        <v>A5177</v>
      </c>
      <c r="D35" s="125" t="s">
        <v>20398</v>
      </c>
      <c r="E35" s="125" t="s">
        <v>11</v>
      </c>
      <c r="F35" s="125" t="str">
        <f t="shared" si="0"/>
        <v>001</v>
      </c>
      <c r="G35" s="126">
        <v>45663</v>
      </c>
      <c r="H35" s="125" t="s">
        <v>20397</v>
      </c>
      <c r="I35" s="124">
        <v>70</v>
      </c>
    </row>
    <row r="36" spans="1:9" x14ac:dyDescent="0.3">
      <c r="A36" s="127">
        <v>34</v>
      </c>
      <c r="B36" s="125" t="s">
        <v>14363</v>
      </c>
      <c r="C36" s="10" t="str">
        <f>VLOOKUP(B36,'Data Angt'!$A$5:$B$5809,2,FALSE)</f>
        <v>A5178</v>
      </c>
      <c r="D36" s="125" t="s">
        <v>19327</v>
      </c>
      <c r="E36" s="125" t="s">
        <v>22</v>
      </c>
      <c r="F36" s="125" t="str">
        <f t="shared" si="0"/>
        <v>006</v>
      </c>
      <c r="G36" s="126">
        <v>45663</v>
      </c>
      <c r="H36" s="125" t="s">
        <v>20396</v>
      </c>
      <c r="I36" s="124">
        <v>25</v>
      </c>
    </row>
    <row r="37" spans="1:9" x14ac:dyDescent="0.3">
      <c r="A37" s="127">
        <v>35</v>
      </c>
      <c r="B37" s="125" t="s">
        <v>14367</v>
      </c>
      <c r="C37" s="10" t="str">
        <f>VLOOKUP(B37,'Data Angt'!$A$5:$B$5809,2,FALSE)</f>
        <v>A5179</v>
      </c>
      <c r="D37" s="125" t="s">
        <v>20395</v>
      </c>
      <c r="E37" s="125" t="s">
        <v>22</v>
      </c>
      <c r="F37" s="125" t="str">
        <f t="shared" si="0"/>
        <v>002</v>
      </c>
      <c r="G37" s="126">
        <v>45663</v>
      </c>
      <c r="H37" s="125" t="s">
        <v>19274</v>
      </c>
      <c r="I37" s="124">
        <v>41</v>
      </c>
    </row>
    <row r="38" spans="1:9" x14ac:dyDescent="0.3">
      <c r="A38" s="127">
        <v>36</v>
      </c>
      <c r="B38" s="125" t="s">
        <v>14368</v>
      </c>
      <c r="C38" s="10" t="str">
        <f>VLOOKUP(B38,'Data Angt'!$A$5:$B$5809,2,FALSE)</f>
        <v>A5180</v>
      </c>
      <c r="D38" s="125" t="s">
        <v>20394</v>
      </c>
      <c r="E38" s="125" t="s">
        <v>22</v>
      </c>
      <c r="F38" s="125" t="str">
        <f t="shared" si="0"/>
        <v>001</v>
      </c>
      <c r="G38" s="126">
        <v>45664</v>
      </c>
      <c r="H38" s="125" t="s">
        <v>20393</v>
      </c>
      <c r="I38" s="124">
        <v>43</v>
      </c>
    </row>
    <row r="39" spans="1:9" x14ac:dyDescent="0.3">
      <c r="A39" s="127">
        <v>37</v>
      </c>
      <c r="B39" s="125" t="s">
        <v>14371</v>
      </c>
      <c r="C39" s="10" t="str">
        <f>VLOOKUP(B39,'Data Angt'!$A$5:$B$5809,2,FALSE)</f>
        <v>A5181</v>
      </c>
      <c r="D39" s="125" t="s">
        <v>20392</v>
      </c>
      <c r="E39" s="125" t="s">
        <v>22</v>
      </c>
      <c r="F39" s="125" t="str">
        <f t="shared" si="0"/>
        <v>005</v>
      </c>
      <c r="G39" s="126">
        <v>45664</v>
      </c>
      <c r="H39" s="125" t="s">
        <v>20391</v>
      </c>
      <c r="I39" s="124">
        <v>70</v>
      </c>
    </row>
    <row r="40" spans="1:9" x14ac:dyDescent="0.3">
      <c r="A40" s="127">
        <v>38</v>
      </c>
      <c r="B40" s="125" t="s">
        <v>14373</v>
      </c>
      <c r="C40" s="10" t="str">
        <f>VLOOKUP(B40,'Data Angt'!$A$5:$B$5809,2,FALSE)</f>
        <v>A5182</v>
      </c>
      <c r="D40" s="125" t="s">
        <v>20390</v>
      </c>
      <c r="E40" s="125" t="s">
        <v>22</v>
      </c>
      <c r="F40" s="125" t="str">
        <f t="shared" si="0"/>
        <v>004</v>
      </c>
      <c r="G40" s="126">
        <v>45664</v>
      </c>
      <c r="H40" s="125" t="s">
        <v>20389</v>
      </c>
      <c r="I40" s="124">
        <v>64</v>
      </c>
    </row>
    <row r="41" spans="1:9" x14ac:dyDescent="0.3">
      <c r="A41" s="127">
        <v>39</v>
      </c>
      <c r="B41" s="125" t="s">
        <v>14375</v>
      </c>
      <c r="C41" s="10" t="str">
        <f>VLOOKUP(B41,'Data Angt'!$A$5:$B$5809,2,FALSE)</f>
        <v>A5183</v>
      </c>
      <c r="D41" s="125" t="s">
        <v>20388</v>
      </c>
      <c r="E41" s="125" t="s">
        <v>22</v>
      </c>
      <c r="F41" s="125" t="str">
        <f t="shared" si="0"/>
        <v>004</v>
      </c>
      <c r="G41" s="126">
        <v>45664</v>
      </c>
      <c r="H41" s="125" t="s">
        <v>20387</v>
      </c>
      <c r="I41" s="124">
        <v>43</v>
      </c>
    </row>
    <row r="42" spans="1:9" x14ac:dyDescent="0.3">
      <c r="A42" s="127">
        <v>40</v>
      </c>
      <c r="B42" s="125" t="s">
        <v>14377</v>
      </c>
      <c r="C42" s="10" t="str">
        <f>VLOOKUP(B42,'Data Angt'!$A$5:$B$5809,2,FALSE)</f>
        <v>A5184</v>
      </c>
      <c r="D42" s="125" t="s">
        <v>20386</v>
      </c>
      <c r="E42" s="125" t="s">
        <v>11</v>
      </c>
      <c r="F42" s="125" t="str">
        <f t="shared" si="0"/>
        <v>003</v>
      </c>
      <c r="G42" s="126">
        <v>45664</v>
      </c>
      <c r="H42" s="125" t="s">
        <v>20385</v>
      </c>
      <c r="I42" s="124">
        <v>25</v>
      </c>
    </row>
    <row r="43" spans="1:9" x14ac:dyDescent="0.3">
      <c r="A43" s="127">
        <v>41</v>
      </c>
      <c r="B43" s="125" t="s">
        <v>14379</v>
      </c>
      <c r="C43" s="10" t="str">
        <f>VLOOKUP(B43,'Data Angt'!$A$5:$B$5809,2,FALSE)</f>
        <v>A5185</v>
      </c>
      <c r="D43" s="125" t="s">
        <v>20384</v>
      </c>
      <c r="E43" s="125" t="s">
        <v>22</v>
      </c>
      <c r="F43" s="125" t="str">
        <f t="shared" si="0"/>
        <v>001</v>
      </c>
      <c r="G43" s="126">
        <v>45664</v>
      </c>
      <c r="H43" s="125" t="s">
        <v>19915</v>
      </c>
      <c r="I43" s="124">
        <v>57</v>
      </c>
    </row>
    <row r="44" spans="1:9" x14ac:dyDescent="0.3">
      <c r="A44" s="127">
        <v>42</v>
      </c>
      <c r="B44" s="125" t="s">
        <v>14381</v>
      </c>
      <c r="C44" s="10" t="str">
        <f>VLOOKUP(B44,'Data Angt'!$A$5:$B$5809,2,FALSE)</f>
        <v>A5186</v>
      </c>
      <c r="D44" s="125" t="s">
        <v>20383</v>
      </c>
      <c r="E44" s="125" t="s">
        <v>22</v>
      </c>
      <c r="F44" s="125" t="str">
        <f t="shared" si="0"/>
        <v>003</v>
      </c>
      <c r="G44" s="126">
        <v>45664</v>
      </c>
      <c r="H44" s="125" t="s">
        <v>20382</v>
      </c>
      <c r="I44" s="124">
        <v>56</v>
      </c>
    </row>
    <row r="45" spans="1:9" x14ac:dyDescent="0.3">
      <c r="A45" s="127">
        <v>43</v>
      </c>
      <c r="B45" s="125" t="s">
        <v>14383</v>
      </c>
      <c r="C45" s="10" t="str">
        <f>VLOOKUP(B45,'Data Angt'!$A$5:$B$5809,2,FALSE)</f>
        <v>A5187</v>
      </c>
      <c r="D45" s="125" t="s">
        <v>20381</v>
      </c>
      <c r="E45" s="125" t="s">
        <v>22</v>
      </c>
      <c r="F45" s="125" t="str">
        <f t="shared" si="0"/>
        <v>002</v>
      </c>
      <c r="G45" s="126">
        <v>45664</v>
      </c>
      <c r="H45" s="125" t="s">
        <v>19274</v>
      </c>
      <c r="I45" s="124">
        <v>51</v>
      </c>
    </row>
    <row r="46" spans="1:9" x14ac:dyDescent="0.3">
      <c r="A46" s="127">
        <v>44</v>
      </c>
      <c r="B46" s="125" t="s">
        <v>14387</v>
      </c>
      <c r="C46" s="10" t="str">
        <f>VLOOKUP(B46,'Data Angt'!$A$5:$B$5809,2,FALSE)</f>
        <v>A5188</v>
      </c>
      <c r="D46" s="125" t="s">
        <v>20380</v>
      </c>
      <c r="E46" s="125" t="s">
        <v>22</v>
      </c>
      <c r="F46" s="125" t="str">
        <f t="shared" si="0"/>
        <v>003</v>
      </c>
      <c r="G46" s="126">
        <v>45664</v>
      </c>
      <c r="H46" s="125" t="s">
        <v>20379</v>
      </c>
      <c r="I46" s="124">
        <v>36</v>
      </c>
    </row>
    <row r="47" spans="1:9" x14ac:dyDescent="0.3">
      <c r="A47" s="127">
        <v>45</v>
      </c>
      <c r="B47" s="125" t="s">
        <v>14390</v>
      </c>
      <c r="C47" s="10" t="str">
        <f>VLOOKUP(B47,'Data Angt'!$A$5:$B$5809,2,FALSE)</f>
        <v>A5189</v>
      </c>
      <c r="D47" s="125" t="s">
        <v>20378</v>
      </c>
      <c r="E47" s="125" t="s">
        <v>22</v>
      </c>
      <c r="F47" s="125" t="str">
        <f t="shared" si="0"/>
        <v>001</v>
      </c>
      <c r="G47" s="126">
        <v>45664</v>
      </c>
      <c r="H47" s="125" t="s">
        <v>19274</v>
      </c>
      <c r="I47" s="124">
        <v>59</v>
      </c>
    </row>
    <row r="48" spans="1:9" x14ac:dyDescent="0.3">
      <c r="A48" s="127">
        <v>46</v>
      </c>
      <c r="B48" s="125" t="s">
        <v>14393</v>
      </c>
      <c r="C48" s="10" t="str">
        <f>VLOOKUP(B48,'Data Angt'!$A$5:$B$5809,2,FALSE)</f>
        <v>A5190</v>
      </c>
      <c r="D48" s="125" t="s">
        <v>20377</v>
      </c>
      <c r="E48" s="125" t="s">
        <v>22</v>
      </c>
      <c r="F48" s="125" t="str">
        <f t="shared" si="0"/>
        <v>001</v>
      </c>
      <c r="G48" s="126">
        <v>45664</v>
      </c>
      <c r="H48" s="125" t="s">
        <v>19274</v>
      </c>
      <c r="I48" s="124">
        <v>49</v>
      </c>
    </row>
    <row r="49" spans="1:9" x14ac:dyDescent="0.3">
      <c r="A49" s="127">
        <v>47</v>
      </c>
      <c r="B49" s="125" t="s">
        <v>14394</v>
      </c>
      <c r="C49" s="10" t="str">
        <f>VLOOKUP(B49,'Data Angt'!$A$5:$B$5809,2,FALSE)</f>
        <v>A5191</v>
      </c>
      <c r="D49" s="125" t="s">
        <v>20376</v>
      </c>
      <c r="E49" s="125" t="s">
        <v>22</v>
      </c>
      <c r="F49" s="125" t="str">
        <f t="shared" si="0"/>
        <v>001</v>
      </c>
      <c r="G49" s="126">
        <v>45664</v>
      </c>
      <c r="H49" s="125" t="s">
        <v>19274</v>
      </c>
      <c r="I49" s="124">
        <v>50</v>
      </c>
    </row>
    <row r="50" spans="1:9" x14ac:dyDescent="0.3">
      <c r="A50" s="127">
        <v>48</v>
      </c>
      <c r="B50" s="125" t="s">
        <v>14397</v>
      </c>
      <c r="C50" s="10" t="str">
        <f>VLOOKUP(B50,'Data Angt'!$A$5:$B$5809,2,FALSE)</f>
        <v>A5192</v>
      </c>
      <c r="D50" s="125" t="s">
        <v>20375</v>
      </c>
      <c r="E50" s="125" t="s">
        <v>22</v>
      </c>
      <c r="F50" s="125" t="str">
        <f t="shared" si="0"/>
        <v>001</v>
      </c>
      <c r="G50" s="126">
        <v>45664</v>
      </c>
      <c r="H50" s="125" t="s">
        <v>19274</v>
      </c>
      <c r="I50" s="124">
        <v>48</v>
      </c>
    </row>
    <row r="51" spans="1:9" x14ac:dyDescent="0.3">
      <c r="A51" s="127">
        <v>49</v>
      </c>
      <c r="B51" s="125" t="s">
        <v>14398</v>
      </c>
      <c r="C51" s="10" t="str">
        <f>VLOOKUP(B51,'Data Angt'!$A$5:$B$5809,2,FALSE)</f>
        <v>A5193</v>
      </c>
      <c r="D51" s="125" t="s">
        <v>20374</v>
      </c>
      <c r="E51" s="125" t="s">
        <v>22</v>
      </c>
      <c r="F51" s="125" t="str">
        <f t="shared" si="0"/>
        <v>004</v>
      </c>
      <c r="G51" s="126">
        <v>45665</v>
      </c>
      <c r="H51" s="125" t="s">
        <v>20373</v>
      </c>
      <c r="I51" s="124">
        <v>42</v>
      </c>
    </row>
    <row r="52" spans="1:9" x14ac:dyDescent="0.3">
      <c r="A52" s="127">
        <v>50</v>
      </c>
      <c r="B52" s="125" t="s">
        <v>14400</v>
      </c>
      <c r="C52" s="10" t="str">
        <f>VLOOKUP(B52,'Data Angt'!$A$5:$B$5809,2,FALSE)</f>
        <v>A5194</v>
      </c>
      <c r="D52" s="125" t="s">
        <v>20372</v>
      </c>
      <c r="E52" s="125" t="s">
        <v>11</v>
      </c>
      <c r="F52" s="125" t="str">
        <f t="shared" si="0"/>
        <v>001</v>
      </c>
      <c r="G52" s="126">
        <v>45665</v>
      </c>
      <c r="H52" s="125" t="s">
        <v>20371</v>
      </c>
      <c r="I52" s="124">
        <v>25</v>
      </c>
    </row>
    <row r="53" spans="1:9" x14ac:dyDescent="0.3">
      <c r="A53" s="127">
        <v>51</v>
      </c>
      <c r="B53" s="125" t="s">
        <v>14403</v>
      </c>
      <c r="C53" s="10" t="str">
        <f>VLOOKUP(B53,'Data Angt'!$A$5:$B$5809,2,FALSE)</f>
        <v>A5195</v>
      </c>
      <c r="D53" s="125" t="s">
        <v>20370</v>
      </c>
      <c r="E53" s="125" t="s">
        <v>22</v>
      </c>
      <c r="F53" s="125" t="str">
        <f t="shared" si="0"/>
        <v>006</v>
      </c>
      <c r="G53" s="126">
        <v>45666</v>
      </c>
      <c r="H53" s="125" t="s">
        <v>20369</v>
      </c>
      <c r="I53" s="124">
        <v>23</v>
      </c>
    </row>
    <row r="54" spans="1:9" x14ac:dyDescent="0.3">
      <c r="A54" s="127">
        <v>52</v>
      </c>
      <c r="B54" s="125" t="s">
        <v>14405</v>
      </c>
      <c r="C54" s="10" t="str">
        <f>VLOOKUP(B54,'Data Angt'!$A$5:$B$5809,2,FALSE)</f>
        <v>A5196</v>
      </c>
      <c r="D54" s="125" t="s">
        <v>20368</v>
      </c>
      <c r="E54" s="125" t="s">
        <v>11</v>
      </c>
      <c r="F54" s="125" t="str">
        <f t="shared" si="0"/>
        <v>004</v>
      </c>
      <c r="G54" s="126">
        <v>45666</v>
      </c>
      <c r="H54" s="125" t="s">
        <v>19597</v>
      </c>
      <c r="I54" s="124">
        <v>50</v>
      </c>
    </row>
    <row r="55" spans="1:9" x14ac:dyDescent="0.3">
      <c r="A55" s="127">
        <v>53</v>
      </c>
      <c r="B55" s="125" t="s">
        <v>14408</v>
      </c>
      <c r="C55" s="10" t="str">
        <f>VLOOKUP(B55,'Data Angt'!$A$5:$B$5809,2,FALSE)</f>
        <v>A5197</v>
      </c>
      <c r="D55" s="125" t="s">
        <v>20367</v>
      </c>
      <c r="E55" s="125" t="s">
        <v>11</v>
      </c>
      <c r="F55" s="125" t="str">
        <f t="shared" si="0"/>
        <v>001</v>
      </c>
      <c r="G55" s="126">
        <v>45666</v>
      </c>
      <c r="H55" s="125" t="s">
        <v>20366</v>
      </c>
      <c r="I55" s="124">
        <v>22</v>
      </c>
    </row>
    <row r="56" spans="1:9" x14ac:dyDescent="0.3">
      <c r="A56" s="127">
        <v>54</v>
      </c>
      <c r="B56" s="125" t="s">
        <v>14411</v>
      </c>
      <c r="C56" s="10" t="str">
        <f>VLOOKUP(B56,'Data Angt'!$A$5:$B$5809,2,FALSE)</f>
        <v>A5198</v>
      </c>
      <c r="D56" s="125" t="s">
        <v>20365</v>
      </c>
      <c r="E56" s="125" t="s">
        <v>22</v>
      </c>
      <c r="F56" s="125" t="str">
        <f t="shared" si="0"/>
        <v>005</v>
      </c>
      <c r="G56" s="126">
        <v>45666</v>
      </c>
      <c r="H56" s="125" t="s">
        <v>20364</v>
      </c>
      <c r="I56" s="124">
        <v>58</v>
      </c>
    </row>
    <row r="57" spans="1:9" x14ac:dyDescent="0.3">
      <c r="A57" s="127">
        <v>55</v>
      </c>
      <c r="B57" s="125" t="s">
        <v>14414</v>
      </c>
      <c r="C57" s="10" t="str">
        <f>VLOOKUP(B57,'Data Angt'!$A$5:$B$5809,2,FALSE)</f>
        <v>A5199</v>
      </c>
      <c r="D57" s="125" t="s">
        <v>20363</v>
      </c>
      <c r="E57" s="125" t="s">
        <v>11</v>
      </c>
      <c r="F57" s="125" t="str">
        <f t="shared" si="0"/>
        <v>002</v>
      </c>
      <c r="G57" s="126">
        <v>45667</v>
      </c>
      <c r="H57" s="125" t="s">
        <v>20362</v>
      </c>
      <c r="I57" s="124">
        <v>41</v>
      </c>
    </row>
    <row r="58" spans="1:9" x14ac:dyDescent="0.3">
      <c r="A58" s="127">
        <v>56</v>
      </c>
      <c r="B58" s="125" t="s">
        <v>14417</v>
      </c>
      <c r="C58" s="10" t="str">
        <f>VLOOKUP(B58,'Data Angt'!$A$5:$B$5809,2,FALSE)</f>
        <v>A5200</v>
      </c>
      <c r="D58" s="125" t="s">
        <v>20361</v>
      </c>
      <c r="E58" s="125" t="s">
        <v>22</v>
      </c>
      <c r="F58" s="125" t="str">
        <f t="shared" si="0"/>
        <v>004</v>
      </c>
      <c r="G58" s="126">
        <v>45667</v>
      </c>
      <c r="H58" s="125" t="s">
        <v>20360</v>
      </c>
      <c r="I58" s="124">
        <v>39</v>
      </c>
    </row>
    <row r="59" spans="1:9" x14ac:dyDescent="0.3">
      <c r="A59" s="127">
        <v>57</v>
      </c>
      <c r="B59" s="125" t="s">
        <v>14418</v>
      </c>
      <c r="C59" s="10" t="str">
        <f>VLOOKUP(B59,'Data Angt'!$A$5:$B$5809,2,FALSE)</f>
        <v>A5201</v>
      </c>
      <c r="D59" s="125" t="s">
        <v>20359</v>
      </c>
      <c r="E59" s="125" t="s">
        <v>11</v>
      </c>
      <c r="F59" s="125" t="str">
        <f t="shared" si="0"/>
        <v>001</v>
      </c>
      <c r="G59" s="126">
        <v>45667</v>
      </c>
      <c r="H59" s="125" t="s">
        <v>20358</v>
      </c>
      <c r="I59" s="124">
        <v>52</v>
      </c>
    </row>
    <row r="60" spans="1:9" x14ac:dyDescent="0.3">
      <c r="A60" s="127">
        <v>58</v>
      </c>
      <c r="B60" s="125" t="s">
        <v>14420</v>
      </c>
      <c r="C60" s="10" t="str">
        <f>VLOOKUP(B60,'Data Angt'!$A$5:$B$5809,2,FALSE)</f>
        <v>A5202</v>
      </c>
      <c r="D60" s="125" t="s">
        <v>20357</v>
      </c>
      <c r="E60" s="125" t="s">
        <v>22</v>
      </c>
      <c r="F60" s="125" t="str">
        <f t="shared" si="0"/>
        <v>001</v>
      </c>
      <c r="G60" s="126">
        <v>45668</v>
      </c>
      <c r="H60" s="125" t="s">
        <v>20053</v>
      </c>
      <c r="I60" s="124">
        <v>50</v>
      </c>
    </row>
    <row r="61" spans="1:9" x14ac:dyDescent="0.3">
      <c r="A61" s="127">
        <v>59</v>
      </c>
      <c r="B61" s="125" t="s">
        <v>14421</v>
      </c>
      <c r="C61" s="10" t="str">
        <f>VLOOKUP(B61,'Data Angt'!$A$5:$B$5809,2,FALSE)</f>
        <v>A5203</v>
      </c>
      <c r="D61" s="125" t="s">
        <v>20356</v>
      </c>
      <c r="E61" s="125" t="s">
        <v>11</v>
      </c>
      <c r="F61" s="125" t="str">
        <f t="shared" si="0"/>
        <v>003</v>
      </c>
      <c r="G61" s="126">
        <v>45668</v>
      </c>
      <c r="H61" s="125" t="s">
        <v>20355</v>
      </c>
      <c r="I61" s="124">
        <v>36</v>
      </c>
    </row>
    <row r="62" spans="1:9" x14ac:dyDescent="0.3">
      <c r="A62" s="127">
        <v>60</v>
      </c>
      <c r="B62" s="125" t="s">
        <v>14988</v>
      </c>
      <c r="C62" s="10" t="str">
        <f>VLOOKUP(B62,'Data Angt'!$A$5:$B$5809,2,FALSE)</f>
        <v>A5453</v>
      </c>
      <c r="D62" s="125" t="s">
        <v>20354</v>
      </c>
      <c r="E62" s="125" t="s">
        <v>22</v>
      </c>
      <c r="F62" s="125" t="str">
        <f t="shared" si="0"/>
        <v>001</v>
      </c>
      <c r="G62" s="126">
        <v>45741</v>
      </c>
      <c r="H62" s="125" t="s">
        <v>20353</v>
      </c>
      <c r="I62" s="124">
        <v>36</v>
      </c>
    </row>
    <row r="63" spans="1:9" x14ac:dyDescent="0.3">
      <c r="A63" s="127">
        <v>61</v>
      </c>
      <c r="B63" s="125" t="s">
        <v>14423</v>
      </c>
      <c r="C63" s="10" t="str">
        <f>VLOOKUP(B63,'Data Angt'!$A$5:$B$5809,2,FALSE)</f>
        <v>A5204</v>
      </c>
      <c r="D63" s="125" t="s">
        <v>20352</v>
      </c>
      <c r="E63" s="125" t="s">
        <v>22</v>
      </c>
      <c r="F63" s="125" t="str">
        <f t="shared" si="0"/>
        <v>006</v>
      </c>
      <c r="G63" s="126">
        <v>45670</v>
      </c>
      <c r="H63" s="125" t="s">
        <v>20351</v>
      </c>
      <c r="I63" s="124">
        <v>59</v>
      </c>
    </row>
    <row r="64" spans="1:9" x14ac:dyDescent="0.3">
      <c r="A64" s="127">
        <v>62</v>
      </c>
      <c r="B64" s="125" t="s">
        <v>14425</v>
      </c>
      <c r="C64" s="10" t="str">
        <f>VLOOKUP(B64,'Data Angt'!$A$5:$B$5809,2,FALSE)</f>
        <v>A5205</v>
      </c>
      <c r="D64" s="125" t="s">
        <v>20350</v>
      </c>
      <c r="E64" s="125" t="s">
        <v>22</v>
      </c>
      <c r="F64" s="125" t="str">
        <f t="shared" si="0"/>
        <v>001</v>
      </c>
      <c r="G64" s="126">
        <v>45670</v>
      </c>
      <c r="H64" s="125" t="s">
        <v>20349</v>
      </c>
      <c r="I64" s="124">
        <v>52</v>
      </c>
    </row>
    <row r="65" spans="1:9" x14ac:dyDescent="0.3">
      <c r="A65" s="127">
        <v>63</v>
      </c>
      <c r="B65" s="125" t="s">
        <v>14427</v>
      </c>
      <c r="C65" s="10" t="str">
        <f>VLOOKUP(B65,'Data Angt'!$A$5:$B$5809,2,FALSE)</f>
        <v>A5206</v>
      </c>
      <c r="D65" s="125" t="s">
        <v>20348</v>
      </c>
      <c r="E65" s="125" t="s">
        <v>11</v>
      </c>
      <c r="F65" s="125" t="str">
        <f t="shared" si="0"/>
        <v>002</v>
      </c>
      <c r="G65" s="126">
        <v>45670</v>
      </c>
      <c r="H65" s="125" t="s">
        <v>20347</v>
      </c>
      <c r="I65" s="124">
        <v>35</v>
      </c>
    </row>
    <row r="66" spans="1:9" x14ac:dyDescent="0.3">
      <c r="A66" s="127">
        <v>64</v>
      </c>
      <c r="B66" s="125" t="s">
        <v>14430</v>
      </c>
      <c r="C66" s="10" t="str">
        <f>VLOOKUP(B66,'Data Angt'!$A$5:$B$5809,2,FALSE)</f>
        <v>A5207</v>
      </c>
      <c r="D66" s="125" t="s">
        <v>20346</v>
      </c>
      <c r="E66" s="125" t="s">
        <v>11</v>
      </c>
      <c r="F66" s="125" t="str">
        <f t="shared" si="0"/>
        <v>002</v>
      </c>
      <c r="G66" s="126">
        <v>45670</v>
      </c>
      <c r="H66" s="125" t="s">
        <v>20345</v>
      </c>
      <c r="I66" s="124">
        <v>68</v>
      </c>
    </row>
    <row r="67" spans="1:9" x14ac:dyDescent="0.3">
      <c r="A67" s="127">
        <v>65</v>
      </c>
      <c r="B67" s="125" t="s">
        <v>14433</v>
      </c>
      <c r="C67" s="10" t="str">
        <f>VLOOKUP(B67,'Data Angt'!$A$5:$B$5809,2,FALSE)</f>
        <v>A5208</v>
      </c>
      <c r="D67" s="125" t="s">
        <v>20344</v>
      </c>
      <c r="E67" s="125" t="s">
        <v>22</v>
      </c>
      <c r="F67" s="125" t="str">
        <f t="shared" si="0"/>
        <v>002</v>
      </c>
      <c r="G67" s="126">
        <v>45670</v>
      </c>
      <c r="H67" s="125" t="s">
        <v>20343</v>
      </c>
      <c r="I67" s="124">
        <v>36</v>
      </c>
    </row>
    <row r="68" spans="1:9" x14ac:dyDescent="0.3">
      <c r="A68" s="127">
        <v>66</v>
      </c>
      <c r="B68" s="125" t="s">
        <v>14436</v>
      </c>
      <c r="C68" s="10" t="str">
        <f>VLOOKUP(B68,'Data Angt'!$A$5:$B$5809,2,FALSE)</f>
        <v>A5209</v>
      </c>
      <c r="D68" s="125" t="s">
        <v>20342</v>
      </c>
      <c r="E68" s="125" t="s">
        <v>22</v>
      </c>
      <c r="F68" s="125" t="str">
        <f t="shared" ref="F68:F131" si="1">MID(B68,7,3)</f>
        <v>001</v>
      </c>
      <c r="G68" s="126">
        <v>45671</v>
      </c>
      <c r="H68" s="125" t="s">
        <v>20341</v>
      </c>
      <c r="I68" s="124">
        <v>41</v>
      </c>
    </row>
    <row r="69" spans="1:9" x14ac:dyDescent="0.3">
      <c r="A69" s="127">
        <v>67</v>
      </c>
      <c r="B69" s="125" t="s">
        <v>14439</v>
      </c>
      <c r="C69" s="10" t="str">
        <f>VLOOKUP(B69,'Data Angt'!$A$5:$B$5809,2,FALSE)</f>
        <v>A5210</v>
      </c>
      <c r="D69" s="125" t="s">
        <v>20340</v>
      </c>
      <c r="E69" s="125" t="s">
        <v>11</v>
      </c>
      <c r="F69" s="125" t="str">
        <f t="shared" si="1"/>
        <v>005</v>
      </c>
      <c r="G69" s="126">
        <v>45672</v>
      </c>
      <c r="H69" s="125" t="s">
        <v>20339</v>
      </c>
      <c r="I69" s="124">
        <v>44</v>
      </c>
    </row>
    <row r="70" spans="1:9" x14ac:dyDescent="0.3">
      <c r="A70" s="127">
        <v>68</v>
      </c>
      <c r="B70" s="125" t="s">
        <v>14440</v>
      </c>
      <c r="C70" s="10" t="str">
        <f>VLOOKUP(B70,'Data Angt'!$A$5:$B$5809,2,FALSE)</f>
        <v>A5211</v>
      </c>
      <c r="D70" s="125" t="s">
        <v>20144</v>
      </c>
      <c r="E70" s="125" t="s">
        <v>22</v>
      </c>
      <c r="F70" s="125" t="str">
        <f t="shared" si="1"/>
        <v>001</v>
      </c>
      <c r="G70" s="126">
        <v>45672</v>
      </c>
      <c r="H70" s="125" t="s">
        <v>20338</v>
      </c>
      <c r="I70" s="124">
        <v>54</v>
      </c>
    </row>
    <row r="71" spans="1:9" x14ac:dyDescent="0.3">
      <c r="A71" s="127">
        <v>69</v>
      </c>
      <c r="B71" s="125" t="s">
        <v>14443</v>
      </c>
      <c r="C71" s="10" t="str">
        <f>VLOOKUP(B71,'Data Angt'!$A$5:$B$5809,2,FALSE)</f>
        <v>A5212</v>
      </c>
      <c r="D71" s="125" t="s">
        <v>20337</v>
      </c>
      <c r="E71" s="125" t="s">
        <v>22</v>
      </c>
      <c r="F71" s="125" t="str">
        <f t="shared" si="1"/>
        <v>001</v>
      </c>
      <c r="G71" s="126">
        <v>45672</v>
      </c>
      <c r="H71" s="125" t="s">
        <v>20336</v>
      </c>
      <c r="I71" s="124">
        <v>30</v>
      </c>
    </row>
    <row r="72" spans="1:9" x14ac:dyDescent="0.3">
      <c r="A72" s="127">
        <v>70</v>
      </c>
      <c r="B72" s="125" t="s">
        <v>14444</v>
      </c>
      <c r="C72" s="10" t="str">
        <f>VLOOKUP(B72,'Data Angt'!$A$5:$B$5809,2,FALSE)</f>
        <v>A5213</v>
      </c>
      <c r="D72" s="125" t="s">
        <v>20335</v>
      </c>
      <c r="E72" s="125" t="s">
        <v>11</v>
      </c>
      <c r="F72" s="125" t="str">
        <f t="shared" si="1"/>
        <v>002</v>
      </c>
      <c r="G72" s="126">
        <v>45672</v>
      </c>
      <c r="H72" s="125" t="s">
        <v>20334</v>
      </c>
      <c r="I72" s="124">
        <v>49</v>
      </c>
    </row>
    <row r="73" spans="1:9" x14ac:dyDescent="0.3">
      <c r="A73" s="127">
        <v>71</v>
      </c>
      <c r="B73" s="125" t="s">
        <v>14446</v>
      </c>
      <c r="C73" s="10" t="str">
        <f>VLOOKUP(B73,'Data Angt'!$A$5:$B$5809,2,FALSE)</f>
        <v>A5214</v>
      </c>
      <c r="D73" s="125" t="s">
        <v>20333</v>
      </c>
      <c r="E73" s="125" t="s">
        <v>11</v>
      </c>
      <c r="F73" s="125" t="str">
        <f t="shared" si="1"/>
        <v>004</v>
      </c>
      <c r="G73" s="126">
        <v>45673</v>
      </c>
      <c r="H73" s="125" t="s">
        <v>20332</v>
      </c>
      <c r="I73" s="124">
        <v>42</v>
      </c>
    </row>
    <row r="74" spans="1:9" x14ac:dyDescent="0.3">
      <c r="A74" s="127">
        <v>72</v>
      </c>
      <c r="B74" s="125" t="s">
        <v>15088</v>
      </c>
      <c r="C74" s="10" t="str">
        <f>VLOOKUP(B74,'Data Angt'!$A$5:$B$5809,2,FALSE)</f>
        <v>A5498</v>
      </c>
      <c r="D74" s="125" t="s">
        <v>20331</v>
      </c>
      <c r="E74" s="125" t="s">
        <v>11</v>
      </c>
      <c r="F74" s="125" t="str">
        <f t="shared" si="1"/>
        <v>001</v>
      </c>
      <c r="G74" s="126">
        <v>45780</v>
      </c>
      <c r="H74" s="125" t="s">
        <v>20330</v>
      </c>
      <c r="I74" s="124">
        <v>22</v>
      </c>
    </row>
    <row r="75" spans="1:9" x14ac:dyDescent="0.3">
      <c r="A75" s="127">
        <v>73</v>
      </c>
      <c r="B75" s="125" t="s">
        <v>14449</v>
      </c>
      <c r="C75" s="10" t="str">
        <f>VLOOKUP(B75,'Data Angt'!$A$5:$B$5809,2,FALSE)</f>
        <v>A5215</v>
      </c>
      <c r="D75" s="125" t="s">
        <v>20329</v>
      </c>
      <c r="E75" s="125" t="s">
        <v>11</v>
      </c>
      <c r="F75" s="125" t="str">
        <f t="shared" si="1"/>
        <v>001</v>
      </c>
      <c r="G75" s="126">
        <v>45673</v>
      </c>
      <c r="H75" s="125" t="s">
        <v>20328</v>
      </c>
      <c r="I75" s="124">
        <v>55</v>
      </c>
    </row>
    <row r="76" spans="1:9" x14ac:dyDescent="0.3">
      <c r="A76" s="127">
        <v>74</v>
      </c>
      <c r="B76" s="125" t="s">
        <v>14452</v>
      </c>
      <c r="C76" s="10" t="str">
        <f>VLOOKUP(B76,'Data Angt'!$A$5:$B$5809,2,FALSE)</f>
        <v>A5216</v>
      </c>
      <c r="D76" s="125" t="s">
        <v>20327</v>
      </c>
      <c r="E76" s="125" t="s">
        <v>22</v>
      </c>
      <c r="F76" s="125" t="str">
        <f t="shared" si="1"/>
        <v>001</v>
      </c>
      <c r="G76" s="126">
        <v>45673</v>
      </c>
      <c r="H76" s="125" t="s">
        <v>20326</v>
      </c>
      <c r="I76" s="124">
        <v>49</v>
      </c>
    </row>
    <row r="77" spans="1:9" x14ac:dyDescent="0.3">
      <c r="A77" s="127">
        <v>75</v>
      </c>
      <c r="B77" s="125" t="s">
        <v>14456</v>
      </c>
      <c r="C77" s="10" t="str">
        <f>VLOOKUP(B77,'Data Angt'!$A$5:$B$5809,2,FALSE)</f>
        <v>A5217</v>
      </c>
      <c r="D77" s="125" t="s">
        <v>20325</v>
      </c>
      <c r="E77" s="125" t="s">
        <v>11</v>
      </c>
      <c r="F77" s="125" t="str">
        <f t="shared" si="1"/>
        <v>001</v>
      </c>
      <c r="G77" s="126">
        <v>45673</v>
      </c>
      <c r="H77" s="125" t="s">
        <v>20324</v>
      </c>
      <c r="I77" s="124">
        <v>56</v>
      </c>
    </row>
    <row r="78" spans="1:9" x14ac:dyDescent="0.3">
      <c r="A78" s="127">
        <v>76</v>
      </c>
      <c r="B78" s="125" t="s">
        <v>14459</v>
      </c>
      <c r="C78" s="10" t="str">
        <f>VLOOKUP(B78,'Data Angt'!$A$5:$B$5809,2,FALSE)</f>
        <v>A5218</v>
      </c>
      <c r="D78" s="125" t="s">
        <v>20323</v>
      </c>
      <c r="E78" s="125" t="s">
        <v>11</v>
      </c>
      <c r="F78" s="125" t="str">
        <f t="shared" si="1"/>
        <v>001</v>
      </c>
      <c r="G78" s="126">
        <v>45674</v>
      </c>
      <c r="H78" s="125" t="s">
        <v>20322</v>
      </c>
      <c r="I78" s="124">
        <v>40</v>
      </c>
    </row>
    <row r="79" spans="1:9" x14ac:dyDescent="0.3">
      <c r="A79" s="127">
        <v>77</v>
      </c>
      <c r="B79" s="125" t="s">
        <v>14461</v>
      </c>
      <c r="C79" s="10" t="str">
        <f>VLOOKUP(B79,'Data Angt'!$A$5:$B$5809,2,FALSE)</f>
        <v>A5219</v>
      </c>
      <c r="D79" s="125" t="s">
        <v>19511</v>
      </c>
      <c r="E79" s="125" t="s">
        <v>22</v>
      </c>
      <c r="F79" s="125" t="str">
        <f t="shared" si="1"/>
        <v>002</v>
      </c>
      <c r="G79" s="126">
        <v>45674</v>
      </c>
      <c r="H79" s="125" t="s">
        <v>20321</v>
      </c>
      <c r="I79" s="124">
        <v>46</v>
      </c>
    </row>
    <row r="80" spans="1:9" x14ac:dyDescent="0.3">
      <c r="A80" s="127">
        <v>78</v>
      </c>
      <c r="B80" s="125" t="s">
        <v>14462</v>
      </c>
      <c r="C80" s="10" t="str">
        <f>VLOOKUP(B80,'Data Angt'!$A$5:$B$5809,2,FALSE)</f>
        <v>A5220</v>
      </c>
      <c r="D80" s="125" t="s">
        <v>20320</v>
      </c>
      <c r="E80" s="125" t="s">
        <v>11</v>
      </c>
      <c r="F80" s="125" t="str">
        <f t="shared" si="1"/>
        <v>001</v>
      </c>
      <c r="G80" s="126">
        <v>45677</v>
      </c>
      <c r="H80" s="125" t="s">
        <v>20319</v>
      </c>
      <c r="I80" s="124">
        <v>72</v>
      </c>
    </row>
    <row r="81" spans="1:9" x14ac:dyDescent="0.3">
      <c r="A81" s="127">
        <v>79</v>
      </c>
      <c r="B81" s="125" t="s">
        <v>14464</v>
      </c>
      <c r="C81" s="10" t="str">
        <f>VLOOKUP(B81,'Data Angt'!$A$5:$B$5809,2,FALSE)</f>
        <v>A5221</v>
      </c>
      <c r="D81" s="125" t="s">
        <v>20318</v>
      </c>
      <c r="E81" s="125" t="s">
        <v>11</v>
      </c>
      <c r="F81" s="125" t="str">
        <f t="shared" si="1"/>
        <v>001</v>
      </c>
      <c r="G81" s="126">
        <v>45677</v>
      </c>
      <c r="H81" s="125" t="s">
        <v>20214</v>
      </c>
      <c r="I81" s="124">
        <v>28</v>
      </c>
    </row>
    <row r="82" spans="1:9" x14ac:dyDescent="0.3">
      <c r="A82" s="127">
        <v>80</v>
      </c>
      <c r="B82" s="125" t="s">
        <v>14467</v>
      </c>
      <c r="C82" s="10" t="str">
        <f>VLOOKUP(B82,'Data Angt'!$A$5:$B$5809,2,FALSE)</f>
        <v>A5222</v>
      </c>
      <c r="D82" s="125" t="s">
        <v>20317</v>
      </c>
      <c r="E82" s="125" t="s">
        <v>11</v>
      </c>
      <c r="F82" s="125" t="str">
        <f t="shared" si="1"/>
        <v>001</v>
      </c>
      <c r="G82" s="126">
        <v>45677</v>
      </c>
      <c r="H82" s="125" t="s">
        <v>20316</v>
      </c>
      <c r="I82" s="124">
        <v>27</v>
      </c>
    </row>
    <row r="83" spans="1:9" x14ac:dyDescent="0.3">
      <c r="A83" s="127">
        <v>81</v>
      </c>
      <c r="B83" s="125" t="s">
        <v>14469</v>
      </c>
      <c r="C83" s="10" t="str">
        <f>VLOOKUP(B83,'Data Angt'!$A$5:$B$5809,2,FALSE)</f>
        <v>A5223</v>
      </c>
      <c r="D83" s="125" t="s">
        <v>20315</v>
      </c>
      <c r="E83" s="125" t="s">
        <v>22</v>
      </c>
      <c r="F83" s="125" t="str">
        <f t="shared" si="1"/>
        <v>003</v>
      </c>
      <c r="G83" s="126">
        <v>45677</v>
      </c>
      <c r="H83" s="125" t="s">
        <v>20314</v>
      </c>
      <c r="I83" s="124">
        <v>46</v>
      </c>
    </row>
    <row r="84" spans="1:9" x14ac:dyDescent="0.3">
      <c r="A84" s="127">
        <v>82</v>
      </c>
      <c r="B84" s="125" t="s">
        <v>14472</v>
      </c>
      <c r="C84" s="10" t="str">
        <f>VLOOKUP(B84,'Data Angt'!$A$5:$B$5809,2,FALSE)</f>
        <v>A5224</v>
      </c>
      <c r="D84" s="125" t="s">
        <v>20313</v>
      </c>
      <c r="E84" s="125" t="s">
        <v>22</v>
      </c>
      <c r="F84" s="125" t="str">
        <f t="shared" si="1"/>
        <v>001</v>
      </c>
      <c r="G84" s="126">
        <v>45678</v>
      </c>
      <c r="H84" s="125" t="s">
        <v>20289</v>
      </c>
      <c r="I84" s="124">
        <v>41</v>
      </c>
    </row>
    <row r="85" spans="1:9" x14ac:dyDescent="0.3">
      <c r="A85" s="127">
        <v>83</v>
      </c>
      <c r="B85" s="125" t="s">
        <v>14474</v>
      </c>
      <c r="C85" s="10" t="str">
        <f>VLOOKUP(B85,'Data Angt'!$A$5:$B$5809,2,FALSE)</f>
        <v>A5225</v>
      </c>
      <c r="D85" s="125" t="s">
        <v>20312</v>
      </c>
      <c r="E85" s="125" t="s">
        <v>22</v>
      </c>
      <c r="F85" s="125" t="str">
        <f t="shared" si="1"/>
        <v>001</v>
      </c>
      <c r="G85" s="126">
        <v>45678</v>
      </c>
      <c r="H85" s="125" t="s">
        <v>20311</v>
      </c>
      <c r="I85" s="124">
        <v>41</v>
      </c>
    </row>
    <row r="86" spans="1:9" x14ac:dyDescent="0.3">
      <c r="A86" s="127">
        <v>84</v>
      </c>
      <c r="B86" s="125" t="s">
        <v>14476</v>
      </c>
      <c r="C86" s="10" t="str">
        <f>VLOOKUP(B86,'Data Angt'!$A$5:$B$5809,2,FALSE)</f>
        <v>A5226</v>
      </c>
      <c r="D86" s="125" t="s">
        <v>20310</v>
      </c>
      <c r="E86" s="125" t="s">
        <v>22</v>
      </c>
      <c r="F86" s="125" t="str">
        <f t="shared" si="1"/>
        <v>001</v>
      </c>
      <c r="G86" s="126">
        <v>45679</v>
      </c>
      <c r="H86" s="125" t="s">
        <v>20309</v>
      </c>
      <c r="I86" s="124">
        <v>58</v>
      </c>
    </row>
    <row r="87" spans="1:9" x14ac:dyDescent="0.3">
      <c r="A87" s="127">
        <v>85</v>
      </c>
      <c r="B87" s="125" t="s">
        <v>14478</v>
      </c>
      <c r="C87" s="10" t="str">
        <f>VLOOKUP(B87,'Data Angt'!$A$5:$B$5809,2,FALSE)</f>
        <v>A5227</v>
      </c>
      <c r="D87" s="125" t="s">
        <v>20308</v>
      </c>
      <c r="E87" s="125" t="s">
        <v>22</v>
      </c>
      <c r="F87" s="125" t="str">
        <f t="shared" si="1"/>
        <v>004</v>
      </c>
      <c r="G87" s="126">
        <v>45679</v>
      </c>
      <c r="H87" s="125" t="s">
        <v>20307</v>
      </c>
      <c r="I87" s="124">
        <v>43</v>
      </c>
    </row>
    <row r="88" spans="1:9" x14ac:dyDescent="0.3">
      <c r="A88" s="127">
        <v>86</v>
      </c>
      <c r="B88" s="125" t="s">
        <v>14480</v>
      </c>
      <c r="C88" s="10" t="str">
        <f>VLOOKUP(B88,'Data Angt'!$A$5:$B$5809,2,FALSE)</f>
        <v>A5228</v>
      </c>
      <c r="D88" s="125" t="s">
        <v>20306</v>
      </c>
      <c r="E88" s="125" t="s">
        <v>11</v>
      </c>
      <c r="F88" s="125" t="str">
        <f t="shared" si="1"/>
        <v>001</v>
      </c>
      <c r="G88" s="126">
        <v>45679</v>
      </c>
      <c r="H88" s="125" t="s">
        <v>20305</v>
      </c>
      <c r="I88" s="124">
        <v>51</v>
      </c>
    </row>
    <row r="89" spans="1:9" x14ac:dyDescent="0.3">
      <c r="A89" s="127">
        <v>87</v>
      </c>
      <c r="B89" s="125" t="s">
        <v>14483</v>
      </c>
      <c r="C89" s="10" t="str">
        <f>VLOOKUP(B89,'Data Angt'!$A$5:$B$5809,2,FALSE)</f>
        <v>A5229</v>
      </c>
      <c r="D89" s="125" t="s">
        <v>20304</v>
      </c>
      <c r="E89" s="125" t="s">
        <v>22</v>
      </c>
      <c r="F89" s="125" t="str">
        <f t="shared" si="1"/>
        <v>003</v>
      </c>
      <c r="G89" s="126">
        <v>45680</v>
      </c>
      <c r="H89" s="125" t="s">
        <v>20303</v>
      </c>
      <c r="I89" s="124">
        <v>37</v>
      </c>
    </row>
    <row r="90" spans="1:9" x14ac:dyDescent="0.3">
      <c r="A90" s="127">
        <v>88</v>
      </c>
      <c r="B90" s="125" t="s">
        <v>14484</v>
      </c>
      <c r="C90" s="10" t="str">
        <f>VLOOKUP(B90,'Data Angt'!$A$5:$B$5809,2,FALSE)</f>
        <v>A5230</v>
      </c>
      <c r="D90" s="125" t="s">
        <v>20302</v>
      </c>
      <c r="E90" s="125" t="s">
        <v>11</v>
      </c>
      <c r="F90" s="125" t="str">
        <f t="shared" si="1"/>
        <v>001</v>
      </c>
      <c r="G90" s="126">
        <v>45681</v>
      </c>
      <c r="H90" s="125" t="s">
        <v>20301</v>
      </c>
      <c r="I90" s="124">
        <v>42</v>
      </c>
    </row>
    <row r="91" spans="1:9" x14ac:dyDescent="0.3">
      <c r="A91" s="127">
        <v>89</v>
      </c>
      <c r="B91" s="125" t="s">
        <v>14486</v>
      </c>
      <c r="C91" s="10" t="str">
        <f>VLOOKUP(B91,'Data Angt'!$A$5:$B$5809,2,FALSE)</f>
        <v>A5231</v>
      </c>
      <c r="D91" s="125" t="s">
        <v>20300</v>
      </c>
      <c r="E91" s="125" t="s">
        <v>22</v>
      </c>
      <c r="F91" s="125" t="str">
        <f t="shared" si="1"/>
        <v>004</v>
      </c>
      <c r="G91" s="126">
        <v>45681</v>
      </c>
      <c r="H91" s="125" t="s">
        <v>20299</v>
      </c>
      <c r="I91" s="124">
        <v>36</v>
      </c>
    </row>
    <row r="92" spans="1:9" x14ac:dyDescent="0.3">
      <c r="A92" s="127">
        <v>90</v>
      </c>
      <c r="B92" s="125" t="s">
        <v>14489</v>
      </c>
      <c r="C92" s="10" t="str">
        <f>VLOOKUP(B92,'Data Angt'!$A$5:$B$5809,2,FALSE)</f>
        <v>A5232</v>
      </c>
      <c r="D92" s="125" t="s">
        <v>20298</v>
      </c>
      <c r="E92" s="125" t="s">
        <v>22</v>
      </c>
      <c r="F92" s="125" t="str">
        <f t="shared" si="1"/>
        <v>002</v>
      </c>
      <c r="G92" s="126">
        <v>45681</v>
      </c>
      <c r="H92" s="125" t="s">
        <v>20297</v>
      </c>
      <c r="I92" s="124">
        <v>28</v>
      </c>
    </row>
    <row r="93" spans="1:9" x14ac:dyDescent="0.3">
      <c r="A93" s="127">
        <v>91</v>
      </c>
      <c r="B93" s="125" t="s">
        <v>14492</v>
      </c>
      <c r="C93" s="10" t="str">
        <f>VLOOKUP(B93,'Data Angt'!$A$5:$B$5809,2,FALSE)</f>
        <v>A5233</v>
      </c>
      <c r="D93" s="125" t="s">
        <v>20296</v>
      </c>
      <c r="E93" s="125" t="s">
        <v>22</v>
      </c>
      <c r="F93" s="125" t="str">
        <f t="shared" si="1"/>
        <v>001</v>
      </c>
      <c r="G93" s="126">
        <v>45682</v>
      </c>
      <c r="H93" s="125" t="s">
        <v>20295</v>
      </c>
      <c r="I93" s="124">
        <v>47</v>
      </c>
    </row>
    <row r="94" spans="1:9" x14ac:dyDescent="0.3">
      <c r="A94" s="127">
        <v>92</v>
      </c>
      <c r="B94" s="125" t="s">
        <v>14495</v>
      </c>
      <c r="C94" s="10" t="str">
        <f>VLOOKUP(B94,'Data Angt'!$A$5:$B$5809,2,FALSE)</f>
        <v>A5234</v>
      </c>
      <c r="D94" s="125" t="s">
        <v>20294</v>
      </c>
      <c r="E94" s="125" t="s">
        <v>11</v>
      </c>
      <c r="F94" s="125" t="str">
        <f t="shared" si="1"/>
        <v>001</v>
      </c>
      <c r="G94" s="126">
        <v>45682</v>
      </c>
      <c r="H94" s="125" t="s">
        <v>20293</v>
      </c>
      <c r="I94" s="124">
        <v>25</v>
      </c>
    </row>
    <row r="95" spans="1:9" x14ac:dyDescent="0.3">
      <c r="A95" s="127">
        <v>93</v>
      </c>
      <c r="B95" s="125" t="s">
        <v>14496</v>
      </c>
      <c r="C95" s="10" t="str">
        <f>VLOOKUP(B95,'Data Angt'!$A$5:$B$5809,2,FALSE)</f>
        <v>A5235</v>
      </c>
      <c r="D95" s="125" t="s">
        <v>20292</v>
      </c>
      <c r="E95" s="125" t="s">
        <v>11</v>
      </c>
      <c r="F95" s="125" t="str">
        <f t="shared" si="1"/>
        <v>001</v>
      </c>
      <c r="G95" s="126">
        <v>45682</v>
      </c>
      <c r="H95" s="125" t="s">
        <v>20291</v>
      </c>
      <c r="I95" s="124">
        <v>21</v>
      </c>
    </row>
    <row r="96" spans="1:9" x14ac:dyDescent="0.3">
      <c r="A96" s="127">
        <v>94</v>
      </c>
      <c r="B96" s="125" t="s">
        <v>14499</v>
      </c>
      <c r="C96" s="10" t="str">
        <f>VLOOKUP(B96,'Data Angt'!$A$5:$B$5809,2,FALSE)</f>
        <v>A5236</v>
      </c>
      <c r="D96" s="125" t="s">
        <v>20290</v>
      </c>
      <c r="E96" s="125" t="s">
        <v>22</v>
      </c>
      <c r="F96" s="125" t="str">
        <f t="shared" si="1"/>
        <v>001</v>
      </c>
      <c r="G96" s="126">
        <v>45685</v>
      </c>
      <c r="H96" s="125" t="s">
        <v>20289</v>
      </c>
      <c r="I96" s="124">
        <v>23</v>
      </c>
    </row>
    <row r="97" spans="1:9" x14ac:dyDescent="0.3">
      <c r="A97" s="127">
        <v>95</v>
      </c>
      <c r="B97" s="125" t="s">
        <v>14501</v>
      </c>
      <c r="C97" s="10" t="str">
        <f>VLOOKUP(B97,'Data Angt'!$A$5:$B$5809,2,FALSE)</f>
        <v>A5237</v>
      </c>
      <c r="D97" s="125" t="s">
        <v>20288</v>
      </c>
      <c r="E97" s="125" t="s">
        <v>11</v>
      </c>
      <c r="F97" s="125" t="str">
        <f t="shared" si="1"/>
        <v>004</v>
      </c>
      <c r="G97" s="126">
        <v>45685</v>
      </c>
      <c r="H97" s="125" t="s">
        <v>20287</v>
      </c>
      <c r="I97" s="124">
        <v>33</v>
      </c>
    </row>
    <row r="98" spans="1:9" x14ac:dyDescent="0.3">
      <c r="A98" s="127">
        <v>96</v>
      </c>
      <c r="B98" s="125" t="s">
        <v>14504</v>
      </c>
      <c r="C98" s="10" t="str">
        <f>VLOOKUP(B98,'Data Angt'!$A$5:$B$5809,2,FALSE)</f>
        <v>A5238</v>
      </c>
      <c r="D98" s="125" t="s">
        <v>20286</v>
      </c>
      <c r="E98" s="125" t="s">
        <v>22</v>
      </c>
      <c r="F98" s="125" t="str">
        <f t="shared" si="1"/>
        <v>004</v>
      </c>
      <c r="G98" s="126">
        <v>45685</v>
      </c>
      <c r="H98" s="125" t="s">
        <v>20285</v>
      </c>
      <c r="I98" s="124">
        <v>32</v>
      </c>
    </row>
    <row r="99" spans="1:9" x14ac:dyDescent="0.3">
      <c r="A99" s="127">
        <v>97</v>
      </c>
      <c r="B99" s="125" t="s">
        <v>14507</v>
      </c>
      <c r="C99" s="10" t="str">
        <f>VLOOKUP(B99,'Data Angt'!$A$5:$B$5809,2,FALSE)</f>
        <v>A5239</v>
      </c>
      <c r="D99" s="125" t="s">
        <v>20284</v>
      </c>
      <c r="E99" s="125" t="s">
        <v>22</v>
      </c>
      <c r="F99" s="125" t="str">
        <f t="shared" si="1"/>
        <v>003</v>
      </c>
      <c r="G99" s="126">
        <v>45685</v>
      </c>
      <c r="H99" s="125" t="s">
        <v>20283</v>
      </c>
      <c r="I99" s="124">
        <v>48</v>
      </c>
    </row>
    <row r="100" spans="1:9" x14ac:dyDescent="0.3">
      <c r="A100" s="127">
        <v>98</v>
      </c>
      <c r="B100" s="125" t="s">
        <v>14509</v>
      </c>
      <c r="C100" s="10" t="str">
        <f>VLOOKUP(B100,'Data Angt'!$A$5:$B$5809,2,FALSE)</f>
        <v>A5240</v>
      </c>
      <c r="D100" s="125" t="s">
        <v>20282</v>
      </c>
      <c r="E100" s="125" t="s">
        <v>11</v>
      </c>
      <c r="F100" s="125" t="str">
        <f t="shared" si="1"/>
        <v>001</v>
      </c>
      <c r="G100" s="126">
        <v>45685</v>
      </c>
      <c r="H100" s="125" t="s">
        <v>20281</v>
      </c>
      <c r="I100" s="124">
        <v>19</v>
      </c>
    </row>
    <row r="101" spans="1:9" x14ac:dyDescent="0.3">
      <c r="A101" s="127">
        <v>99</v>
      </c>
      <c r="B101" s="125" t="s">
        <v>14512</v>
      </c>
      <c r="C101" s="10" t="str">
        <f>VLOOKUP(B101,'Data Angt'!$A$5:$B$5809,2,FALSE)</f>
        <v>A5241</v>
      </c>
      <c r="D101" s="125" t="s">
        <v>20280</v>
      </c>
      <c r="E101" s="125" t="s">
        <v>11</v>
      </c>
      <c r="F101" s="125" t="str">
        <f t="shared" si="1"/>
        <v>002</v>
      </c>
      <c r="G101" s="126">
        <v>45687</v>
      </c>
      <c r="H101" s="125" t="s">
        <v>20279</v>
      </c>
      <c r="I101" s="124">
        <v>31</v>
      </c>
    </row>
    <row r="102" spans="1:9" x14ac:dyDescent="0.3">
      <c r="A102" s="127">
        <v>100</v>
      </c>
      <c r="B102" s="125" t="s">
        <v>14513</v>
      </c>
      <c r="C102" s="10" t="str">
        <f>VLOOKUP(B102,'Data Angt'!$A$5:$B$5809,2,FALSE)</f>
        <v>A5242</v>
      </c>
      <c r="D102" s="125" t="s">
        <v>20278</v>
      </c>
      <c r="E102" s="125" t="s">
        <v>22</v>
      </c>
      <c r="F102" s="125" t="str">
        <f t="shared" si="1"/>
        <v>001</v>
      </c>
      <c r="G102" s="126">
        <v>45687</v>
      </c>
      <c r="H102" s="125" t="s">
        <v>20277</v>
      </c>
      <c r="I102" s="124">
        <v>63</v>
      </c>
    </row>
    <row r="103" spans="1:9" x14ac:dyDescent="0.3">
      <c r="A103" s="127">
        <v>101</v>
      </c>
      <c r="B103" s="125" t="s">
        <v>14516</v>
      </c>
      <c r="C103" s="10" t="str">
        <f>VLOOKUP(B103,'Data Angt'!$A$5:$B$5809,2,FALSE)</f>
        <v>A5243</v>
      </c>
      <c r="D103" s="125" t="s">
        <v>20276</v>
      </c>
      <c r="E103" s="125" t="s">
        <v>22</v>
      </c>
      <c r="F103" s="125" t="str">
        <f t="shared" si="1"/>
        <v>002</v>
      </c>
      <c r="G103" s="126">
        <v>45687</v>
      </c>
      <c r="H103" s="125" t="s">
        <v>20275</v>
      </c>
      <c r="I103" s="124">
        <v>39</v>
      </c>
    </row>
    <row r="104" spans="1:9" x14ac:dyDescent="0.3">
      <c r="A104" s="127">
        <v>102</v>
      </c>
      <c r="B104" s="125" t="s">
        <v>14517</v>
      </c>
      <c r="C104" s="10" t="str">
        <f>VLOOKUP(B104,'Data Angt'!$A$5:$B$5809,2,FALSE)</f>
        <v>A5244</v>
      </c>
      <c r="D104" s="125" t="s">
        <v>20274</v>
      </c>
      <c r="E104" s="125" t="s">
        <v>11</v>
      </c>
      <c r="F104" s="125" t="str">
        <f t="shared" si="1"/>
        <v>001</v>
      </c>
      <c r="G104" s="126">
        <v>45687</v>
      </c>
      <c r="H104" s="125" t="s">
        <v>20087</v>
      </c>
      <c r="I104" s="124">
        <v>59</v>
      </c>
    </row>
    <row r="105" spans="1:9" x14ac:dyDescent="0.3">
      <c r="A105" s="127">
        <v>103</v>
      </c>
      <c r="B105" s="125" t="s">
        <v>14519</v>
      </c>
      <c r="C105" s="10" t="str">
        <f>VLOOKUP(B105,'Data Angt'!$A$5:$B$5809,2,FALSE)</f>
        <v>A5245</v>
      </c>
      <c r="D105" s="125" t="s">
        <v>20273</v>
      </c>
      <c r="E105" s="125" t="s">
        <v>22</v>
      </c>
      <c r="F105" s="125" t="str">
        <f t="shared" si="1"/>
        <v>001</v>
      </c>
      <c r="G105" s="126">
        <v>45688</v>
      </c>
      <c r="H105" s="125" t="s">
        <v>20272</v>
      </c>
      <c r="I105" s="124">
        <v>52</v>
      </c>
    </row>
    <row r="106" spans="1:9" x14ac:dyDescent="0.3">
      <c r="A106" s="127">
        <v>104</v>
      </c>
      <c r="B106" s="125" t="s">
        <v>14521</v>
      </c>
      <c r="C106" s="10" t="str">
        <f>VLOOKUP(B106,'Data Angt'!$A$5:$B$5809,2,FALSE)</f>
        <v>A5246</v>
      </c>
      <c r="D106" s="125" t="s">
        <v>20271</v>
      </c>
      <c r="E106" s="125" t="s">
        <v>11</v>
      </c>
      <c r="F106" s="125" t="str">
        <f t="shared" si="1"/>
        <v>001</v>
      </c>
      <c r="G106" s="126">
        <v>45688</v>
      </c>
      <c r="H106" s="125" t="s">
        <v>20270</v>
      </c>
      <c r="I106" s="124">
        <v>41</v>
      </c>
    </row>
    <row r="107" spans="1:9" x14ac:dyDescent="0.3">
      <c r="A107" s="127">
        <v>105</v>
      </c>
      <c r="B107" s="125" t="s">
        <v>14523</v>
      </c>
      <c r="C107" s="10" t="str">
        <f>VLOOKUP(B107,'Data Angt'!$A$5:$B$5809,2,FALSE)</f>
        <v>A5247</v>
      </c>
      <c r="D107" s="125" t="s">
        <v>20269</v>
      </c>
      <c r="E107" s="125" t="s">
        <v>22</v>
      </c>
      <c r="F107" s="125" t="str">
        <f t="shared" si="1"/>
        <v>001</v>
      </c>
      <c r="G107" s="126">
        <v>45688</v>
      </c>
      <c r="H107" s="125" t="s">
        <v>20268</v>
      </c>
      <c r="I107" s="124">
        <v>27</v>
      </c>
    </row>
    <row r="108" spans="1:9" x14ac:dyDescent="0.3">
      <c r="A108" s="127">
        <v>106</v>
      </c>
      <c r="B108" s="125" t="s">
        <v>14526</v>
      </c>
      <c r="C108" s="10" t="str">
        <f>VLOOKUP(B108,'Data Angt'!$A$5:$B$5809,2,FALSE)</f>
        <v>A5248</v>
      </c>
      <c r="D108" s="125" t="s">
        <v>20267</v>
      </c>
      <c r="E108" s="125" t="s">
        <v>22</v>
      </c>
      <c r="F108" s="125" t="str">
        <f t="shared" si="1"/>
        <v>005</v>
      </c>
      <c r="G108" s="126">
        <v>45688</v>
      </c>
      <c r="H108" s="125" t="s">
        <v>20266</v>
      </c>
      <c r="I108" s="124">
        <v>62</v>
      </c>
    </row>
    <row r="109" spans="1:9" x14ac:dyDescent="0.3">
      <c r="A109" s="127">
        <v>107</v>
      </c>
      <c r="B109" s="125" t="s">
        <v>14528</v>
      </c>
      <c r="C109" s="10" t="str">
        <f>VLOOKUP(B109,'Data Angt'!$A$5:$B$5809,2,FALSE)</f>
        <v>A5249</v>
      </c>
      <c r="D109" s="125" t="s">
        <v>20265</v>
      </c>
      <c r="E109" s="125" t="s">
        <v>11</v>
      </c>
      <c r="F109" s="125" t="str">
        <f t="shared" si="1"/>
        <v>001</v>
      </c>
      <c r="G109" s="126">
        <v>45688</v>
      </c>
      <c r="H109" s="125" t="s">
        <v>20264</v>
      </c>
      <c r="I109" s="124">
        <v>24</v>
      </c>
    </row>
    <row r="110" spans="1:9" x14ac:dyDescent="0.3">
      <c r="A110" s="127">
        <v>108</v>
      </c>
      <c r="B110" s="125" t="s">
        <v>14531</v>
      </c>
      <c r="C110" s="10" t="str">
        <f>VLOOKUP(B110,'Data Angt'!$A$5:$B$5809,2,FALSE)</f>
        <v>A5250</v>
      </c>
      <c r="D110" s="125" t="s">
        <v>20263</v>
      </c>
      <c r="E110" s="125" t="s">
        <v>11</v>
      </c>
      <c r="F110" s="125" t="str">
        <f t="shared" si="1"/>
        <v>001</v>
      </c>
      <c r="G110" s="126">
        <v>45691</v>
      </c>
      <c r="H110" s="125" t="s">
        <v>20262</v>
      </c>
      <c r="I110" s="124">
        <v>52</v>
      </c>
    </row>
    <row r="111" spans="1:9" x14ac:dyDescent="0.3">
      <c r="A111" s="127">
        <v>109</v>
      </c>
      <c r="B111" s="125" t="s">
        <v>14534</v>
      </c>
      <c r="C111" s="10" t="str">
        <f>VLOOKUP(B111,'Data Angt'!$A$5:$B$5809,2,FALSE)</f>
        <v>A5251</v>
      </c>
      <c r="D111" s="125" t="s">
        <v>20261</v>
      </c>
      <c r="E111" s="125" t="s">
        <v>22</v>
      </c>
      <c r="F111" s="125" t="str">
        <f t="shared" si="1"/>
        <v>003</v>
      </c>
      <c r="G111" s="126">
        <v>45691</v>
      </c>
      <c r="H111" s="125" t="s">
        <v>19274</v>
      </c>
      <c r="I111" s="124">
        <v>54</v>
      </c>
    </row>
    <row r="112" spans="1:9" x14ac:dyDescent="0.3">
      <c r="A112" s="127">
        <v>110</v>
      </c>
      <c r="B112" s="125" t="s">
        <v>14807</v>
      </c>
      <c r="C112" s="10" t="str">
        <f>VLOOKUP(B112,'Data Angt'!$A$5:$B$5809,2,FALSE)</f>
        <v>A5369</v>
      </c>
      <c r="D112" s="125" t="s">
        <v>20260</v>
      </c>
      <c r="E112" s="125" t="s">
        <v>22</v>
      </c>
      <c r="F112" s="125" t="str">
        <f t="shared" si="1"/>
        <v>003</v>
      </c>
      <c r="G112" s="126">
        <v>45709</v>
      </c>
      <c r="H112" s="125" t="s">
        <v>20259</v>
      </c>
      <c r="I112" s="124">
        <v>31</v>
      </c>
    </row>
    <row r="113" spans="1:9" x14ac:dyDescent="0.3">
      <c r="A113" s="127">
        <v>111</v>
      </c>
      <c r="B113" s="125" t="s">
        <v>14536</v>
      </c>
      <c r="C113" s="10" t="str">
        <f>VLOOKUP(B113,'Data Angt'!$A$5:$B$5809,2,FALSE)</f>
        <v>A5252</v>
      </c>
      <c r="D113" s="125" t="s">
        <v>20258</v>
      </c>
      <c r="E113" s="125" t="s">
        <v>22</v>
      </c>
      <c r="F113" s="125" t="str">
        <f t="shared" si="1"/>
        <v>003</v>
      </c>
      <c r="G113" s="126">
        <v>45691</v>
      </c>
      <c r="H113" s="125" t="s">
        <v>20257</v>
      </c>
      <c r="I113" s="124">
        <v>35</v>
      </c>
    </row>
    <row r="114" spans="1:9" x14ac:dyDescent="0.3">
      <c r="A114" s="127">
        <v>112</v>
      </c>
      <c r="B114" s="125" t="s">
        <v>14538</v>
      </c>
      <c r="C114" s="10" t="str">
        <f>VLOOKUP(B114,'Data Angt'!$A$5:$B$5809,2,FALSE)</f>
        <v>A5253</v>
      </c>
      <c r="D114" s="125" t="s">
        <v>20256</v>
      </c>
      <c r="E114" s="125" t="s">
        <v>11</v>
      </c>
      <c r="F114" s="125" t="str">
        <f t="shared" si="1"/>
        <v>001</v>
      </c>
      <c r="G114" s="126">
        <v>45692</v>
      </c>
      <c r="H114" s="125" t="s">
        <v>20255</v>
      </c>
      <c r="I114" s="124">
        <v>30</v>
      </c>
    </row>
    <row r="115" spans="1:9" x14ac:dyDescent="0.3">
      <c r="A115" s="127">
        <v>113</v>
      </c>
      <c r="B115" s="125" t="s">
        <v>18863</v>
      </c>
      <c r="C115" s="10" t="str">
        <f>VLOOKUP(B115,'Data Angt'!$A$5:$B$5809,2,FALSE)</f>
        <v>A5611</v>
      </c>
      <c r="D115" s="125" t="s">
        <v>20254</v>
      </c>
      <c r="E115" s="125" t="s">
        <v>22</v>
      </c>
      <c r="F115" s="125" t="str">
        <f t="shared" si="1"/>
        <v>001</v>
      </c>
      <c r="G115" s="126">
        <v>45839</v>
      </c>
      <c r="H115" s="125" t="s">
        <v>20253</v>
      </c>
      <c r="I115" s="124">
        <v>52</v>
      </c>
    </row>
    <row r="116" spans="1:9" x14ac:dyDescent="0.3">
      <c r="A116" s="127">
        <v>114</v>
      </c>
      <c r="B116" s="125" t="s">
        <v>14539</v>
      </c>
      <c r="C116" s="10" t="str">
        <f>VLOOKUP(B116,'Data Angt'!$A$5:$B$5809,2,FALSE)</f>
        <v>A5254</v>
      </c>
      <c r="D116" s="125" t="s">
        <v>20252</v>
      </c>
      <c r="E116" s="125" t="s">
        <v>11</v>
      </c>
      <c r="F116" s="125" t="str">
        <f t="shared" si="1"/>
        <v>004</v>
      </c>
      <c r="G116" s="126">
        <v>45692</v>
      </c>
      <c r="H116" s="125" t="s">
        <v>20251</v>
      </c>
      <c r="I116" s="124">
        <v>32</v>
      </c>
    </row>
    <row r="117" spans="1:9" x14ac:dyDescent="0.3">
      <c r="A117" s="127">
        <v>115</v>
      </c>
      <c r="B117" s="125" t="s">
        <v>14543</v>
      </c>
      <c r="C117" s="10" t="str">
        <f>VLOOKUP(B117,'Data Angt'!$A$5:$B$5809,2,FALSE)</f>
        <v>A5255</v>
      </c>
      <c r="D117" s="125" t="s">
        <v>20250</v>
      </c>
      <c r="E117" s="125" t="s">
        <v>22</v>
      </c>
      <c r="F117" s="125" t="str">
        <f t="shared" si="1"/>
        <v>001</v>
      </c>
      <c r="G117" s="126">
        <v>45692</v>
      </c>
      <c r="H117" s="125" t="s">
        <v>20249</v>
      </c>
      <c r="I117" s="124">
        <v>55</v>
      </c>
    </row>
    <row r="118" spans="1:9" x14ac:dyDescent="0.3">
      <c r="A118" s="127">
        <v>116</v>
      </c>
      <c r="B118" s="125" t="s">
        <v>14545</v>
      </c>
      <c r="C118" s="10" t="str">
        <f>VLOOKUP(B118,'Data Angt'!$A$5:$B$5809,2,FALSE)</f>
        <v>A5256</v>
      </c>
      <c r="D118" s="125" t="s">
        <v>20248</v>
      </c>
      <c r="E118" s="125" t="s">
        <v>22</v>
      </c>
      <c r="F118" s="125" t="str">
        <f t="shared" si="1"/>
        <v>003</v>
      </c>
      <c r="G118" s="126">
        <v>45692</v>
      </c>
      <c r="H118" s="125" t="s">
        <v>20247</v>
      </c>
      <c r="I118" s="124">
        <v>64</v>
      </c>
    </row>
    <row r="119" spans="1:9" x14ac:dyDescent="0.3">
      <c r="A119" s="127">
        <v>117</v>
      </c>
      <c r="B119" s="125" t="s">
        <v>14548</v>
      </c>
      <c r="C119" s="10" t="str">
        <f>VLOOKUP(B119,'Data Angt'!$A$5:$B$5809,2,FALSE)</f>
        <v>A5257</v>
      </c>
      <c r="D119" s="125" t="s">
        <v>20246</v>
      </c>
      <c r="E119" s="125" t="s">
        <v>22</v>
      </c>
      <c r="F119" s="125" t="str">
        <f t="shared" si="1"/>
        <v>004</v>
      </c>
      <c r="G119" s="126">
        <v>45692</v>
      </c>
      <c r="H119" s="125" t="s">
        <v>19933</v>
      </c>
      <c r="I119" s="124">
        <v>54</v>
      </c>
    </row>
    <row r="120" spans="1:9" x14ac:dyDescent="0.3">
      <c r="A120" s="127">
        <v>118</v>
      </c>
      <c r="B120" s="125" t="s">
        <v>14551</v>
      </c>
      <c r="C120" s="10" t="str">
        <f>VLOOKUP(B120,'Data Angt'!$A$5:$B$5809,2,FALSE)</f>
        <v>A5258</v>
      </c>
      <c r="D120" s="125" t="s">
        <v>20245</v>
      </c>
      <c r="E120" s="125" t="s">
        <v>22</v>
      </c>
      <c r="F120" s="125" t="str">
        <f t="shared" si="1"/>
        <v>005</v>
      </c>
      <c r="G120" s="126">
        <v>45692</v>
      </c>
      <c r="H120" s="125" t="s">
        <v>20244</v>
      </c>
      <c r="I120" s="124">
        <v>48</v>
      </c>
    </row>
    <row r="121" spans="1:9" x14ac:dyDescent="0.3">
      <c r="A121" s="127">
        <v>119</v>
      </c>
      <c r="B121" s="125" t="s">
        <v>14554</v>
      </c>
      <c r="C121" s="10" t="str">
        <f>VLOOKUP(B121,'Data Angt'!$A$5:$B$5809,2,FALSE)</f>
        <v>A5259</v>
      </c>
      <c r="D121" s="125" t="s">
        <v>20243</v>
      </c>
      <c r="E121" s="125" t="s">
        <v>22</v>
      </c>
      <c r="F121" s="125" t="str">
        <f t="shared" si="1"/>
        <v>003</v>
      </c>
      <c r="G121" s="126">
        <v>45693</v>
      </c>
      <c r="H121" s="125" t="s">
        <v>20242</v>
      </c>
      <c r="I121" s="124">
        <v>54</v>
      </c>
    </row>
    <row r="122" spans="1:9" x14ac:dyDescent="0.3">
      <c r="A122" s="127">
        <v>120</v>
      </c>
      <c r="B122" s="125" t="s">
        <v>14557</v>
      </c>
      <c r="C122" s="10" t="str">
        <f>VLOOKUP(B122,'Data Angt'!$A$5:$B$5809,2,FALSE)</f>
        <v>A5260</v>
      </c>
      <c r="D122" s="125" t="s">
        <v>20241</v>
      </c>
      <c r="E122" s="125" t="s">
        <v>11</v>
      </c>
      <c r="F122" s="125" t="str">
        <f t="shared" si="1"/>
        <v>003</v>
      </c>
      <c r="G122" s="126">
        <v>45693</v>
      </c>
      <c r="H122" s="125" t="s">
        <v>20240</v>
      </c>
      <c r="I122" s="124">
        <v>62</v>
      </c>
    </row>
    <row r="123" spans="1:9" x14ac:dyDescent="0.3">
      <c r="A123" s="127">
        <v>121</v>
      </c>
      <c r="B123" s="125" t="s">
        <v>14559</v>
      </c>
      <c r="C123" s="10" t="str">
        <f>VLOOKUP(B123,'Data Angt'!$A$5:$B$5809,2,FALSE)</f>
        <v>A5261</v>
      </c>
      <c r="D123" s="125" t="s">
        <v>20239</v>
      </c>
      <c r="E123" s="125" t="s">
        <v>22</v>
      </c>
      <c r="F123" s="125" t="str">
        <f t="shared" si="1"/>
        <v>004</v>
      </c>
      <c r="G123" s="126">
        <v>45693</v>
      </c>
      <c r="H123" s="125" t="s">
        <v>20238</v>
      </c>
      <c r="I123" s="124">
        <v>44</v>
      </c>
    </row>
    <row r="124" spans="1:9" x14ac:dyDescent="0.3">
      <c r="A124" s="127">
        <v>122</v>
      </c>
      <c r="B124" s="125" t="s">
        <v>14561</v>
      </c>
      <c r="C124" s="10" t="str">
        <f>VLOOKUP(B124,'Data Angt'!$A$5:$B$5809,2,FALSE)</f>
        <v>A5262</v>
      </c>
      <c r="D124" s="125" t="s">
        <v>20237</v>
      </c>
      <c r="E124" s="125" t="s">
        <v>11</v>
      </c>
      <c r="F124" s="125" t="str">
        <f t="shared" si="1"/>
        <v>002</v>
      </c>
      <c r="G124" s="126">
        <v>45693</v>
      </c>
      <c r="H124" s="125" t="s">
        <v>20232</v>
      </c>
      <c r="I124" s="124">
        <v>50</v>
      </c>
    </row>
    <row r="125" spans="1:9" x14ac:dyDescent="0.3">
      <c r="A125" s="127">
        <v>123</v>
      </c>
      <c r="B125" s="125" t="s">
        <v>14564</v>
      </c>
      <c r="C125" s="10" t="str">
        <f>VLOOKUP(B125,'Data Angt'!$A$5:$B$5809,2,FALSE)</f>
        <v>A5263</v>
      </c>
      <c r="D125" s="125" t="s">
        <v>20236</v>
      </c>
      <c r="E125" s="125" t="s">
        <v>22</v>
      </c>
      <c r="F125" s="125" t="str">
        <f t="shared" si="1"/>
        <v>002</v>
      </c>
      <c r="G125" s="126">
        <v>45693</v>
      </c>
      <c r="H125" s="125" t="s">
        <v>20232</v>
      </c>
      <c r="I125" s="124">
        <v>57</v>
      </c>
    </row>
    <row r="126" spans="1:9" x14ac:dyDescent="0.3">
      <c r="A126" s="127">
        <v>124</v>
      </c>
      <c r="B126" s="125" t="s">
        <v>14566</v>
      </c>
      <c r="C126" s="10" t="str">
        <f>VLOOKUP(B126,'Data Angt'!$A$5:$B$5809,2,FALSE)</f>
        <v>A5264</v>
      </c>
      <c r="D126" s="125" t="s">
        <v>20235</v>
      </c>
      <c r="E126" s="125" t="s">
        <v>22</v>
      </c>
      <c r="F126" s="125" t="str">
        <f t="shared" si="1"/>
        <v>002</v>
      </c>
      <c r="G126" s="126">
        <v>45693</v>
      </c>
      <c r="H126" s="125" t="s">
        <v>20234</v>
      </c>
      <c r="I126" s="124">
        <v>40</v>
      </c>
    </row>
    <row r="127" spans="1:9" x14ac:dyDescent="0.3">
      <c r="A127" s="127">
        <v>125</v>
      </c>
      <c r="B127" s="125" t="s">
        <v>14568</v>
      </c>
      <c r="C127" s="10" t="str">
        <f>VLOOKUP(B127,'Data Angt'!$A$5:$B$5809,2,FALSE)</f>
        <v>A5265</v>
      </c>
      <c r="D127" s="125" t="s">
        <v>20233</v>
      </c>
      <c r="E127" s="125" t="s">
        <v>11</v>
      </c>
      <c r="F127" s="125" t="str">
        <f t="shared" si="1"/>
        <v>002</v>
      </c>
      <c r="G127" s="126">
        <v>45693</v>
      </c>
      <c r="H127" s="125" t="s">
        <v>20232</v>
      </c>
      <c r="I127" s="124">
        <v>41</v>
      </c>
    </row>
    <row r="128" spans="1:9" x14ac:dyDescent="0.3">
      <c r="A128" s="127">
        <v>126</v>
      </c>
      <c r="B128" s="125" t="s">
        <v>14571</v>
      </c>
      <c r="C128" s="10" t="str">
        <f>VLOOKUP(B128,'Data Angt'!$A$5:$B$5809,2,FALSE)</f>
        <v>A5266</v>
      </c>
      <c r="D128" s="125" t="s">
        <v>20231</v>
      </c>
      <c r="E128" s="125" t="s">
        <v>22</v>
      </c>
      <c r="F128" s="125" t="str">
        <f t="shared" si="1"/>
        <v>003</v>
      </c>
      <c r="G128" s="126">
        <v>45693</v>
      </c>
      <c r="H128" s="125" t="s">
        <v>20230</v>
      </c>
      <c r="I128" s="124">
        <v>32</v>
      </c>
    </row>
    <row r="129" spans="1:9" x14ac:dyDescent="0.3">
      <c r="A129" s="127">
        <v>127</v>
      </c>
      <c r="B129" s="125" t="s">
        <v>14573</v>
      </c>
      <c r="C129" s="10" t="str">
        <f>VLOOKUP(B129,'Data Angt'!$A$5:$B$5809,2,FALSE)</f>
        <v>A5267</v>
      </c>
      <c r="D129" s="125" t="s">
        <v>20229</v>
      </c>
      <c r="E129" s="125" t="s">
        <v>22</v>
      </c>
      <c r="F129" s="125" t="str">
        <f t="shared" si="1"/>
        <v>002</v>
      </c>
      <c r="G129" s="126">
        <v>45693</v>
      </c>
      <c r="H129" s="125" t="s">
        <v>20228</v>
      </c>
      <c r="I129" s="124">
        <v>36</v>
      </c>
    </row>
    <row r="130" spans="1:9" x14ac:dyDescent="0.3">
      <c r="A130" s="127">
        <v>128</v>
      </c>
      <c r="B130" s="125" t="s">
        <v>14575</v>
      </c>
      <c r="C130" s="10" t="str">
        <f>VLOOKUP(B130,'Data Angt'!$A$5:$B$5809,2,FALSE)</f>
        <v>A5268</v>
      </c>
      <c r="D130" s="125" t="s">
        <v>20227</v>
      </c>
      <c r="E130" s="125" t="s">
        <v>22</v>
      </c>
      <c r="F130" s="125" t="str">
        <f t="shared" si="1"/>
        <v>003</v>
      </c>
      <c r="G130" s="126">
        <v>45694</v>
      </c>
      <c r="H130" s="125" t="s">
        <v>20226</v>
      </c>
      <c r="I130" s="124">
        <v>62</v>
      </c>
    </row>
    <row r="131" spans="1:9" x14ac:dyDescent="0.3">
      <c r="A131" s="127">
        <v>129</v>
      </c>
      <c r="B131" s="125" t="s">
        <v>14578</v>
      </c>
      <c r="C131" s="10" t="str">
        <f>VLOOKUP(B131,'Data Angt'!$A$5:$B$5809,2,FALSE)</f>
        <v>A5269</v>
      </c>
      <c r="D131" s="125" t="s">
        <v>20225</v>
      </c>
      <c r="E131" s="125" t="s">
        <v>11</v>
      </c>
      <c r="F131" s="125" t="str">
        <f t="shared" si="1"/>
        <v>001</v>
      </c>
      <c r="G131" s="126">
        <v>45694</v>
      </c>
      <c r="H131" s="125" t="s">
        <v>19274</v>
      </c>
      <c r="I131" s="124">
        <v>22</v>
      </c>
    </row>
    <row r="132" spans="1:9" x14ac:dyDescent="0.3">
      <c r="A132" s="127">
        <v>130</v>
      </c>
      <c r="B132" s="125" t="s">
        <v>14580</v>
      </c>
      <c r="C132" s="10" t="str">
        <f>VLOOKUP(B132,'Data Angt'!$A$5:$B$5809,2,FALSE)</f>
        <v>A5270</v>
      </c>
      <c r="D132" s="125" t="s">
        <v>20224</v>
      </c>
      <c r="E132" s="125" t="s">
        <v>22</v>
      </c>
      <c r="F132" s="125" t="str">
        <f t="shared" ref="F132:F195" si="2">MID(B132,7,3)</f>
        <v>001</v>
      </c>
      <c r="G132" s="126">
        <v>45694</v>
      </c>
      <c r="H132" s="125" t="s">
        <v>20223</v>
      </c>
      <c r="I132" s="124">
        <v>19</v>
      </c>
    </row>
    <row r="133" spans="1:9" x14ac:dyDescent="0.3">
      <c r="A133" s="127">
        <v>131</v>
      </c>
      <c r="B133" s="125" t="s">
        <v>14582</v>
      </c>
      <c r="C133" s="10" t="str">
        <f>VLOOKUP(B133,'Data Angt'!$A$5:$B$5809,2,FALSE)</f>
        <v>A5271</v>
      </c>
      <c r="D133" s="125" t="s">
        <v>20222</v>
      </c>
      <c r="E133" s="125" t="s">
        <v>11</v>
      </c>
      <c r="F133" s="125" t="str">
        <f t="shared" si="2"/>
        <v>001</v>
      </c>
      <c r="G133" s="126">
        <v>45694</v>
      </c>
      <c r="H133" s="125" t="s">
        <v>20221</v>
      </c>
      <c r="I133" s="124">
        <v>21</v>
      </c>
    </row>
    <row r="134" spans="1:9" x14ac:dyDescent="0.3">
      <c r="A134" s="127">
        <v>132</v>
      </c>
      <c r="B134" s="125" t="s">
        <v>14584</v>
      </c>
      <c r="C134" s="10" t="str">
        <f>VLOOKUP(B134,'Data Angt'!$A$5:$B$5809,2,FALSE)</f>
        <v>A5272</v>
      </c>
      <c r="D134" s="125" t="s">
        <v>20220</v>
      </c>
      <c r="E134" s="125" t="s">
        <v>11</v>
      </c>
      <c r="F134" s="125" t="str">
        <f t="shared" si="2"/>
        <v>001</v>
      </c>
      <c r="G134" s="126">
        <v>45694</v>
      </c>
      <c r="H134" s="125" t="s">
        <v>20219</v>
      </c>
      <c r="I134" s="124">
        <v>45</v>
      </c>
    </row>
    <row r="135" spans="1:9" x14ac:dyDescent="0.3">
      <c r="A135" s="127">
        <v>133</v>
      </c>
      <c r="B135" s="125" t="s">
        <v>14590</v>
      </c>
      <c r="C135" s="10" t="str">
        <f>VLOOKUP(B135,'Data Angt'!$A$5:$B$5809,2,FALSE)</f>
        <v>A5274</v>
      </c>
      <c r="D135" s="125" t="s">
        <v>20218</v>
      </c>
      <c r="E135" s="125" t="s">
        <v>22</v>
      </c>
      <c r="F135" s="125" t="str">
        <f t="shared" si="2"/>
        <v>001</v>
      </c>
      <c r="G135" s="126">
        <v>45694</v>
      </c>
      <c r="H135" s="125" t="s">
        <v>20217</v>
      </c>
      <c r="I135" s="124">
        <v>22</v>
      </c>
    </row>
    <row r="136" spans="1:9" x14ac:dyDescent="0.3">
      <c r="A136" s="127">
        <v>134</v>
      </c>
      <c r="B136" s="125" t="s">
        <v>14592</v>
      </c>
      <c r="C136" s="10" t="str">
        <f>VLOOKUP(B136,'Data Angt'!$A$5:$B$5809,2,FALSE)</f>
        <v>A5275</v>
      </c>
      <c r="D136" s="125" t="s">
        <v>20216</v>
      </c>
      <c r="E136" s="125" t="s">
        <v>11</v>
      </c>
      <c r="F136" s="125" t="str">
        <f t="shared" si="2"/>
        <v>001</v>
      </c>
      <c r="G136" s="126">
        <v>45694</v>
      </c>
      <c r="H136" s="125" t="s">
        <v>20087</v>
      </c>
      <c r="I136" s="124">
        <v>32</v>
      </c>
    </row>
    <row r="137" spans="1:9" x14ac:dyDescent="0.3">
      <c r="A137" s="127">
        <v>135</v>
      </c>
      <c r="B137" s="125" t="s">
        <v>14595</v>
      </c>
      <c r="C137" s="10" t="str">
        <f>VLOOKUP(B137,'Data Angt'!$A$5:$B$5809,2,FALSE)</f>
        <v>A5276</v>
      </c>
      <c r="D137" s="125" t="s">
        <v>20215</v>
      </c>
      <c r="E137" s="125" t="s">
        <v>22</v>
      </c>
      <c r="F137" s="125" t="str">
        <f t="shared" si="2"/>
        <v>001</v>
      </c>
      <c r="G137" s="126">
        <v>45694</v>
      </c>
      <c r="H137" s="125" t="s">
        <v>20214</v>
      </c>
      <c r="I137" s="124">
        <v>20</v>
      </c>
    </row>
    <row r="138" spans="1:9" x14ac:dyDescent="0.3">
      <c r="A138" s="127">
        <v>136</v>
      </c>
      <c r="B138" s="125" t="s">
        <v>14598</v>
      </c>
      <c r="C138" s="10" t="str">
        <f>VLOOKUP(B138,'Data Angt'!$A$5:$B$5809,2,FALSE)</f>
        <v>A5277</v>
      </c>
      <c r="D138" s="125" t="s">
        <v>20213</v>
      </c>
      <c r="E138" s="125" t="s">
        <v>22</v>
      </c>
      <c r="F138" s="125" t="str">
        <f t="shared" si="2"/>
        <v>006</v>
      </c>
      <c r="G138" s="126">
        <v>45695</v>
      </c>
      <c r="H138" s="125" t="s">
        <v>20009</v>
      </c>
      <c r="I138" s="124">
        <v>40</v>
      </c>
    </row>
    <row r="139" spans="1:9" x14ac:dyDescent="0.3">
      <c r="A139" s="127">
        <v>137</v>
      </c>
      <c r="B139" s="125" t="s">
        <v>14600</v>
      </c>
      <c r="C139" s="10" t="str">
        <f>VLOOKUP(B139,'Data Angt'!$A$5:$B$5809,2,FALSE)</f>
        <v>A5278</v>
      </c>
      <c r="D139" s="125" t="s">
        <v>20212</v>
      </c>
      <c r="E139" s="125" t="s">
        <v>22</v>
      </c>
      <c r="F139" s="125" t="str">
        <f t="shared" si="2"/>
        <v>006</v>
      </c>
      <c r="G139" s="126">
        <v>45695</v>
      </c>
      <c r="H139" s="125" t="s">
        <v>20009</v>
      </c>
      <c r="I139" s="124">
        <v>54</v>
      </c>
    </row>
    <row r="140" spans="1:9" x14ac:dyDescent="0.3">
      <c r="A140" s="127">
        <v>138</v>
      </c>
      <c r="B140" s="125" t="s">
        <v>14602</v>
      </c>
      <c r="C140" s="10" t="str">
        <f>VLOOKUP(B140,'Data Angt'!$A$5:$B$5809,2,FALSE)</f>
        <v>A5279</v>
      </c>
      <c r="D140" s="125" t="s">
        <v>20211</v>
      </c>
      <c r="E140" s="125" t="s">
        <v>22</v>
      </c>
      <c r="F140" s="125" t="str">
        <f t="shared" si="2"/>
        <v>003</v>
      </c>
      <c r="G140" s="126">
        <v>45695</v>
      </c>
      <c r="H140" s="125" t="s">
        <v>20210</v>
      </c>
      <c r="I140" s="124">
        <v>42</v>
      </c>
    </row>
    <row r="141" spans="1:9" x14ac:dyDescent="0.3">
      <c r="A141" s="127">
        <v>139</v>
      </c>
      <c r="B141" s="125" t="s">
        <v>14604</v>
      </c>
      <c r="C141" s="10" t="str">
        <f>VLOOKUP(B141,'Data Angt'!$A$5:$B$5809,2,FALSE)</f>
        <v>A5280</v>
      </c>
      <c r="D141" s="125" t="s">
        <v>20209</v>
      </c>
      <c r="E141" s="125" t="s">
        <v>22</v>
      </c>
      <c r="F141" s="125" t="str">
        <f t="shared" si="2"/>
        <v>002</v>
      </c>
      <c r="G141" s="126">
        <v>45695</v>
      </c>
      <c r="H141" s="125" t="s">
        <v>20208</v>
      </c>
      <c r="I141" s="124">
        <v>23</v>
      </c>
    </row>
    <row r="142" spans="1:9" x14ac:dyDescent="0.3">
      <c r="A142" s="127">
        <v>140</v>
      </c>
      <c r="B142" s="125" t="s">
        <v>14606</v>
      </c>
      <c r="C142" s="10" t="str">
        <f>VLOOKUP(B142,'Data Angt'!$A$5:$B$5809,2,FALSE)</f>
        <v>A5281</v>
      </c>
      <c r="D142" s="125" t="s">
        <v>20207</v>
      </c>
      <c r="E142" s="125" t="s">
        <v>22</v>
      </c>
      <c r="F142" s="125" t="str">
        <f t="shared" si="2"/>
        <v>003</v>
      </c>
      <c r="G142" s="126">
        <v>45695</v>
      </c>
      <c r="H142" s="125" t="s">
        <v>20206</v>
      </c>
      <c r="I142" s="124">
        <v>51</v>
      </c>
    </row>
    <row r="143" spans="1:9" x14ac:dyDescent="0.3">
      <c r="A143" s="127">
        <v>141</v>
      </c>
      <c r="B143" s="125" t="s">
        <v>14609</v>
      </c>
      <c r="C143" s="10" t="str">
        <f>VLOOKUP(B143,'Data Angt'!$A$5:$B$5809,2,FALSE)</f>
        <v>A5282</v>
      </c>
      <c r="D143" s="125" t="s">
        <v>20205</v>
      </c>
      <c r="E143" s="125" t="s">
        <v>22</v>
      </c>
      <c r="F143" s="125" t="str">
        <f t="shared" si="2"/>
        <v>003</v>
      </c>
      <c r="G143" s="126">
        <v>45695</v>
      </c>
      <c r="H143" s="125" t="s">
        <v>20204</v>
      </c>
      <c r="I143" s="124">
        <v>30</v>
      </c>
    </row>
    <row r="144" spans="1:9" x14ac:dyDescent="0.3">
      <c r="A144" s="127">
        <v>142</v>
      </c>
      <c r="B144" s="125" t="s">
        <v>14612</v>
      </c>
      <c r="C144" s="10" t="str">
        <f>VLOOKUP(B144,'Data Angt'!$A$5:$B$5809,2,FALSE)</f>
        <v>A5283</v>
      </c>
      <c r="D144" s="125" t="s">
        <v>20203</v>
      </c>
      <c r="E144" s="125" t="s">
        <v>22</v>
      </c>
      <c r="F144" s="125" t="str">
        <f t="shared" si="2"/>
        <v>003</v>
      </c>
      <c r="G144" s="126">
        <v>45695</v>
      </c>
      <c r="H144" s="125" t="s">
        <v>20202</v>
      </c>
      <c r="I144" s="124">
        <v>35</v>
      </c>
    </row>
    <row r="145" spans="1:9" x14ac:dyDescent="0.3">
      <c r="A145" s="127">
        <v>143</v>
      </c>
      <c r="B145" s="125" t="s">
        <v>14614</v>
      </c>
      <c r="C145" s="10" t="str">
        <f>VLOOKUP(B145,'Data Angt'!$A$5:$B$5809,2,FALSE)</f>
        <v>A5284</v>
      </c>
      <c r="D145" s="125" t="s">
        <v>20201</v>
      </c>
      <c r="E145" s="125" t="s">
        <v>22</v>
      </c>
      <c r="F145" s="125" t="str">
        <f t="shared" si="2"/>
        <v>001</v>
      </c>
      <c r="G145" s="126">
        <v>45696</v>
      </c>
      <c r="H145" s="125" t="s">
        <v>20200</v>
      </c>
      <c r="I145" s="124">
        <v>35</v>
      </c>
    </row>
    <row r="146" spans="1:9" x14ac:dyDescent="0.3">
      <c r="A146" s="127">
        <v>144</v>
      </c>
      <c r="B146" s="125" t="s">
        <v>14616</v>
      </c>
      <c r="C146" s="10" t="str">
        <f>VLOOKUP(B146,'Data Angt'!$A$5:$B$5809,2,FALSE)</f>
        <v>A5285</v>
      </c>
      <c r="D146" s="125" t="s">
        <v>20199</v>
      </c>
      <c r="E146" s="125" t="s">
        <v>22</v>
      </c>
      <c r="F146" s="125" t="str">
        <f t="shared" si="2"/>
        <v>003</v>
      </c>
      <c r="G146" s="126">
        <v>45696</v>
      </c>
      <c r="H146" s="125" t="s">
        <v>20198</v>
      </c>
      <c r="I146" s="124">
        <v>43</v>
      </c>
    </row>
    <row r="147" spans="1:9" x14ac:dyDescent="0.3">
      <c r="A147" s="127">
        <v>145</v>
      </c>
      <c r="B147" s="125" t="s">
        <v>14618</v>
      </c>
      <c r="C147" s="10" t="str">
        <f>VLOOKUP(B147,'Data Angt'!$A$5:$B$5809,2,FALSE)</f>
        <v>A5286</v>
      </c>
      <c r="D147" s="125" t="s">
        <v>20197</v>
      </c>
      <c r="E147" s="125" t="s">
        <v>11</v>
      </c>
      <c r="F147" s="125" t="str">
        <f t="shared" si="2"/>
        <v>001</v>
      </c>
      <c r="G147" s="126">
        <v>45696</v>
      </c>
      <c r="H147" s="125" t="s">
        <v>20196</v>
      </c>
      <c r="I147" s="124">
        <v>25</v>
      </c>
    </row>
    <row r="148" spans="1:9" x14ac:dyDescent="0.3">
      <c r="A148" s="127">
        <v>146</v>
      </c>
      <c r="B148" s="125" t="s">
        <v>14620</v>
      </c>
      <c r="C148" s="10" t="str">
        <f>VLOOKUP(B148,'Data Angt'!$A$5:$B$5809,2,FALSE)</f>
        <v>A5287</v>
      </c>
      <c r="D148" s="125" t="s">
        <v>20195</v>
      </c>
      <c r="E148" s="125" t="s">
        <v>11</v>
      </c>
      <c r="F148" s="125" t="str">
        <f t="shared" si="2"/>
        <v>005</v>
      </c>
      <c r="G148" s="126">
        <v>45696</v>
      </c>
      <c r="H148" s="125" t="s">
        <v>20194</v>
      </c>
      <c r="I148" s="124">
        <v>63</v>
      </c>
    </row>
    <row r="149" spans="1:9" x14ac:dyDescent="0.3">
      <c r="A149" s="127">
        <v>147</v>
      </c>
      <c r="B149" s="125" t="s">
        <v>14622</v>
      </c>
      <c r="C149" s="10" t="str">
        <f>VLOOKUP(B149,'Data Angt'!$A$5:$B$5809,2,FALSE)</f>
        <v>A5288</v>
      </c>
      <c r="D149" s="125" t="s">
        <v>20193</v>
      </c>
      <c r="E149" s="125" t="s">
        <v>22</v>
      </c>
      <c r="F149" s="125" t="str">
        <f t="shared" si="2"/>
        <v>001</v>
      </c>
      <c r="G149" s="126">
        <v>45698</v>
      </c>
      <c r="H149" s="125" t="s">
        <v>20192</v>
      </c>
      <c r="I149" s="124">
        <v>39</v>
      </c>
    </row>
    <row r="150" spans="1:9" x14ac:dyDescent="0.3">
      <c r="A150" s="127">
        <v>148</v>
      </c>
      <c r="B150" s="125" t="s">
        <v>14624</v>
      </c>
      <c r="C150" s="10" t="str">
        <f>VLOOKUP(B150,'Data Angt'!$A$5:$B$5809,2,FALSE)</f>
        <v>A5289</v>
      </c>
      <c r="D150" s="125" t="s">
        <v>20191</v>
      </c>
      <c r="E150" s="125" t="s">
        <v>22</v>
      </c>
      <c r="F150" s="125" t="str">
        <f t="shared" si="2"/>
        <v>004</v>
      </c>
      <c r="G150" s="126">
        <v>45698</v>
      </c>
      <c r="H150" s="125" t="s">
        <v>20190</v>
      </c>
      <c r="I150" s="124">
        <v>23</v>
      </c>
    </row>
    <row r="151" spans="1:9" x14ac:dyDescent="0.3">
      <c r="A151" s="127">
        <v>149</v>
      </c>
      <c r="B151" s="125" t="s">
        <v>14626</v>
      </c>
      <c r="C151" s="10" t="str">
        <f>VLOOKUP(B151,'Data Angt'!$A$5:$B$5809,2,FALSE)</f>
        <v>A5290</v>
      </c>
      <c r="D151" s="125" t="s">
        <v>20189</v>
      </c>
      <c r="E151" s="125" t="s">
        <v>11</v>
      </c>
      <c r="F151" s="125" t="str">
        <f t="shared" si="2"/>
        <v>004</v>
      </c>
      <c r="G151" s="126">
        <v>45698</v>
      </c>
      <c r="H151" s="125" t="s">
        <v>20188</v>
      </c>
      <c r="I151" s="124">
        <v>22</v>
      </c>
    </row>
    <row r="152" spans="1:9" x14ac:dyDescent="0.3">
      <c r="A152" s="127">
        <v>150</v>
      </c>
      <c r="B152" s="125" t="s">
        <v>14629</v>
      </c>
      <c r="C152" s="10" t="str">
        <f>VLOOKUP(B152,'Data Angt'!$A$5:$B$5809,2,FALSE)</f>
        <v>A5291</v>
      </c>
      <c r="D152" s="125" t="s">
        <v>20187</v>
      </c>
      <c r="E152" s="125" t="s">
        <v>11</v>
      </c>
      <c r="F152" s="125" t="str">
        <f t="shared" si="2"/>
        <v>001</v>
      </c>
      <c r="G152" s="126">
        <v>45698</v>
      </c>
      <c r="H152" s="125" t="s">
        <v>20186</v>
      </c>
      <c r="I152" s="124">
        <v>47</v>
      </c>
    </row>
    <row r="153" spans="1:9" x14ac:dyDescent="0.3">
      <c r="A153" s="127">
        <v>151</v>
      </c>
      <c r="B153" s="125" t="s">
        <v>14631</v>
      </c>
      <c r="C153" s="10" t="str">
        <f>VLOOKUP(B153,'Data Angt'!$A$5:$B$5809,2,FALSE)</f>
        <v>A5292</v>
      </c>
      <c r="D153" s="125" t="s">
        <v>20185</v>
      </c>
      <c r="E153" s="125" t="s">
        <v>11</v>
      </c>
      <c r="F153" s="125" t="str">
        <f t="shared" si="2"/>
        <v>001</v>
      </c>
      <c r="G153" s="126">
        <v>45698</v>
      </c>
      <c r="H153" s="125" t="s">
        <v>20184</v>
      </c>
      <c r="I153" s="124">
        <v>27</v>
      </c>
    </row>
    <row r="154" spans="1:9" x14ac:dyDescent="0.3">
      <c r="A154" s="127">
        <v>152</v>
      </c>
      <c r="B154" s="125" t="s">
        <v>14634</v>
      </c>
      <c r="C154" s="10" t="str">
        <f>VLOOKUP(B154,'Data Angt'!$A$5:$B$5809,2,FALSE)</f>
        <v>A5293</v>
      </c>
      <c r="D154" s="125" t="s">
        <v>20183</v>
      </c>
      <c r="E154" s="125" t="s">
        <v>11</v>
      </c>
      <c r="F154" s="125" t="str">
        <f t="shared" si="2"/>
        <v>001</v>
      </c>
      <c r="G154" s="126">
        <v>45698</v>
      </c>
      <c r="H154" s="125" t="s">
        <v>20182</v>
      </c>
      <c r="I154" s="124">
        <v>57</v>
      </c>
    </row>
    <row r="155" spans="1:9" x14ac:dyDescent="0.3">
      <c r="A155" s="127">
        <v>153</v>
      </c>
      <c r="B155" s="125" t="s">
        <v>14636</v>
      </c>
      <c r="C155" s="10" t="str">
        <f>VLOOKUP(B155,'Data Angt'!$A$5:$B$5809,2,FALSE)</f>
        <v>A5294</v>
      </c>
      <c r="D155" s="125" t="s">
        <v>20181</v>
      </c>
      <c r="E155" s="125" t="s">
        <v>11</v>
      </c>
      <c r="F155" s="125" t="str">
        <f t="shared" si="2"/>
        <v>003</v>
      </c>
      <c r="G155" s="126">
        <v>45698</v>
      </c>
      <c r="H155" s="125" t="s">
        <v>20180</v>
      </c>
      <c r="I155" s="124">
        <v>72</v>
      </c>
    </row>
    <row r="156" spans="1:9" x14ac:dyDescent="0.3">
      <c r="A156" s="127">
        <v>154</v>
      </c>
      <c r="B156" s="125" t="s">
        <v>14638</v>
      </c>
      <c r="C156" s="10" t="str">
        <f>VLOOKUP(B156,'Data Angt'!$A$5:$B$5809,2,FALSE)</f>
        <v>A5295</v>
      </c>
      <c r="D156" s="125" t="s">
        <v>20179</v>
      </c>
      <c r="E156" s="125" t="s">
        <v>22</v>
      </c>
      <c r="F156" s="125" t="str">
        <f t="shared" si="2"/>
        <v>004</v>
      </c>
      <c r="G156" s="126">
        <v>45698</v>
      </c>
      <c r="H156" s="125" t="s">
        <v>20178</v>
      </c>
      <c r="I156" s="124">
        <v>45</v>
      </c>
    </row>
    <row r="157" spans="1:9" x14ac:dyDescent="0.3">
      <c r="A157" s="127">
        <v>155</v>
      </c>
      <c r="B157" s="125" t="s">
        <v>14640</v>
      </c>
      <c r="C157" s="10" t="str">
        <f>VLOOKUP(B157,'Data Angt'!$A$5:$B$5809,2,FALSE)</f>
        <v>A5296</v>
      </c>
      <c r="D157" s="125" t="s">
        <v>20177</v>
      </c>
      <c r="E157" s="125" t="s">
        <v>11</v>
      </c>
      <c r="F157" s="125" t="str">
        <f t="shared" si="2"/>
        <v>003</v>
      </c>
      <c r="G157" s="126">
        <v>45698</v>
      </c>
      <c r="H157" s="125" t="s">
        <v>20176</v>
      </c>
      <c r="I157" s="124">
        <v>55</v>
      </c>
    </row>
    <row r="158" spans="1:9" x14ac:dyDescent="0.3">
      <c r="A158" s="127">
        <v>156</v>
      </c>
      <c r="B158" s="125" t="s">
        <v>14642</v>
      </c>
      <c r="C158" s="10" t="str">
        <f>VLOOKUP(B158,'Data Angt'!$A$5:$B$5809,2,FALSE)</f>
        <v>A5297</v>
      </c>
      <c r="D158" s="125" t="s">
        <v>20175</v>
      </c>
      <c r="E158" s="125" t="s">
        <v>22</v>
      </c>
      <c r="F158" s="125" t="str">
        <f t="shared" si="2"/>
        <v>002</v>
      </c>
      <c r="G158" s="126">
        <v>45698</v>
      </c>
      <c r="H158" s="125" t="s">
        <v>20174</v>
      </c>
      <c r="I158" s="124">
        <v>35</v>
      </c>
    </row>
    <row r="159" spans="1:9" x14ac:dyDescent="0.3">
      <c r="A159" s="127">
        <v>157</v>
      </c>
      <c r="B159" s="125" t="s">
        <v>14645</v>
      </c>
      <c r="C159" s="10" t="str">
        <f>VLOOKUP(B159,'Data Angt'!$A$5:$B$5809,2,FALSE)</f>
        <v>A5298</v>
      </c>
      <c r="D159" s="125" t="s">
        <v>20173</v>
      </c>
      <c r="E159" s="125" t="s">
        <v>11</v>
      </c>
      <c r="F159" s="125" t="str">
        <f t="shared" si="2"/>
        <v>001</v>
      </c>
      <c r="G159" s="126">
        <v>45699</v>
      </c>
      <c r="H159" s="125" t="s">
        <v>20172</v>
      </c>
      <c r="I159" s="124">
        <v>48</v>
      </c>
    </row>
    <row r="160" spans="1:9" x14ac:dyDescent="0.3">
      <c r="A160" s="127">
        <v>158</v>
      </c>
      <c r="B160" s="125" t="s">
        <v>14648</v>
      </c>
      <c r="C160" s="10" t="str">
        <f>VLOOKUP(B160,'Data Angt'!$A$5:$B$5809,2,FALSE)</f>
        <v>A5299</v>
      </c>
      <c r="D160" s="125" t="s">
        <v>20171</v>
      </c>
      <c r="E160" s="125" t="s">
        <v>22</v>
      </c>
      <c r="F160" s="125" t="str">
        <f t="shared" si="2"/>
        <v>001</v>
      </c>
      <c r="G160" s="126">
        <v>45699</v>
      </c>
      <c r="H160" s="125" t="s">
        <v>20170</v>
      </c>
      <c r="I160" s="124">
        <v>46</v>
      </c>
    </row>
    <row r="161" spans="1:9" x14ac:dyDescent="0.3">
      <c r="A161" s="127">
        <v>159</v>
      </c>
      <c r="B161" s="125" t="s">
        <v>14651</v>
      </c>
      <c r="C161" s="10" t="str">
        <f>VLOOKUP(B161,'Data Angt'!$A$5:$B$5809,2,FALSE)</f>
        <v>A5300</v>
      </c>
      <c r="D161" s="125" t="s">
        <v>20169</v>
      </c>
      <c r="E161" s="125" t="s">
        <v>22</v>
      </c>
      <c r="F161" s="125" t="str">
        <f t="shared" si="2"/>
        <v>004</v>
      </c>
      <c r="G161" s="126">
        <v>45699</v>
      </c>
      <c r="H161" s="125" t="s">
        <v>20168</v>
      </c>
      <c r="I161" s="124">
        <v>23</v>
      </c>
    </row>
    <row r="162" spans="1:9" x14ac:dyDescent="0.3">
      <c r="A162" s="127">
        <v>160</v>
      </c>
      <c r="B162" s="125" t="s">
        <v>14653</v>
      </c>
      <c r="C162" s="10" t="str">
        <f>VLOOKUP(B162,'Data Angt'!$A$5:$B$5809,2,FALSE)</f>
        <v>A5301</v>
      </c>
      <c r="D162" s="125" t="s">
        <v>19399</v>
      </c>
      <c r="E162" s="125" t="s">
        <v>22</v>
      </c>
      <c r="F162" s="125" t="str">
        <f t="shared" si="2"/>
        <v>001</v>
      </c>
      <c r="G162" s="126">
        <v>45699</v>
      </c>
      <c r="H162" s="125" t="s">
        <v>20167</v>
      </c>
      <c r="I162" s="124">
        <v>56</v>
      </c>
    </row>
    <row r="163" spans="1:9" x14ac:dyDescent="0.3">
      <c r="A163" s="127">
        <v>161</v>
      </c>
      <c r="B163" s="125" t="s">
        <v>14655</v>
      </c>
      <c r="C163" s="10" t="str">
        <f>VLOOKUP(B163,'Data Angt'!$A$5:$B$5809,2,FALSE)</f>
        <v>A5302</v>
      </c>
      <c r="D163" s="125" t="s">
        <v>20166</v>
      </c>
      <c r="E163" s="125" t="s">
        <v>22</v>
      </c>
      <c r="F163" s="125" t="str">
        <f t="shared" si="2"/>
        <v>002</v>
      </c>
      <c r="G163" s="126">
        <v>45699</v>
      </c>
      <c r="H163" s="125" t="s">
        <v>20165</v>
      </c>
      <c r="I163" s="124">
        <v>47</v>
      </c>
    </row>
    <row r="164" spans="1:9" x14ac:dyDescent="0.3">
      <c r="A164" s="127">
        <v>162</v>
      </c>
      <c r="B164" s="125" t="s">
        <v>14657</v>
      </c>
      <c r="C164" s="10" t="str">
        <f>VLOOKUP(B164,'Data Angt'!$A$5:$B$5809,2,FALSE)</f>
        <v>A5303</v>
      </c>
      <c r="D164" s="125" t="s">
        <v>20164</v>
      </c>
      <c r="E164" s="125" t="s">
        <v>22</v>
      </c>
      <c r="F164" s="125" t="str">
        <f t="shared" si="2"/>
        <v>005</v>
      </c>
      <c r="G164" s="126">
        <v>45699</v>
      </c>
      <c r="H164" s="125" t="s">
        <v>20163</v>
      </c>
      <c r="I164" s="124">
        <v>40</v>
      </c>
    </row>
    <row r="165" spans="1:9" x14ac:dyDescent="0.3">
      <c r="A165" s="127">
        <v>163</v>
      </c>
      <c r="B165" s="125" t="s">
        <v>14660</v>
      </c>
      <c r="C165" s="10" t="str">
        <f>VLOOKUP(B165,'Data Angt'!$A$5:$B$5809,2,FALSE)</f>
        <v>A5304</v>
      </c>
      <c r="D165" s="125" t="s">
        <v>20162</v>
      </c>
      <c r="E165" s="125" t="s">
        <v>22</v>
      </c>
      <c r="F165" s="125" t="str">
        <f t="shared" si="2"/>
        <v>001</v>
      </c>
      <c r="G165" s="126">
        <v>45699</v>
      </c>
      <c r="H165" s="125" t="s">
        <v>20161</v>
      </c>
      <c r="I165" s="124">
        <v>45</v>
      </c>
    </row>
    <row r="166" spans="1:9" x14ac:dyDescent="0.3">
      <c r="A166" s="127">
        <v>164</v>
      </c>
      <c r="B166" s="125" t="s">
        <v>14661</v>
      </c>
      <c r="C166" s="10" t="str">
        <f>VLOOKUP(B166,'Data Angt'!$A$5:$B$5809,2,FALSE)</f>
        <v>A5305</v>
      </c>
      <c r="D166" s="125" t="s">
        <v>20160</v>
      </c>
      <c r="E166" s="125" t="s">
        <v>22</v>
      </c>
      <c r="F166" s="125" t="str">
        <f t="shared" si="2"/>
        <v>004</v>
      </c>
      <c r="G166" s="126">
        <v>45700</v>
      </c>
      <c r="H166" s="125" t="s">
        <v>20159</v>
      </c>
      <c r="I166" s="124">
        <v>34</v>
      </c>
    </row>
    <row r="167" spans="1:9" x14ac:dyDescent="0.3">
      <c r="A167" s="127">
        <v>165</v>
      </c>
      <c r="B167" s="125" t="s">
        <v>14664</v>
      </c>
      <c r="C167" s="10" t="str">
        <f>VLOOKUP(B167,'Data Angt'!$A$5:$B$5809,2,FALSE)</f>
        <v>A5306</v>
      </c>
      <c r="D167" s="125" t="s">
        <v>20158</v>
      </c>
      <c r="E167" s="125" t="s">
        <v>11</v>
      </c>
      <c r="F167" s="125" t="str">
        <f t="shared" si="2"/>
        <v>001</v>
      </c>
      <c r="G167" s="126">
        <v>45700</v>
      </c>
      <c r="H167" s="125" t="s">
        <v>20157</v>
      </c>
      <c r="I167" s="124">
        <v>26</v>
      </c>
    </row>
    <row r="168" spans="1:9" x14ac:dyDescent="0.3">
      <c r="A168" s="127">
        <v>166</v>
      </c>
      <c r="B168" s="125" t="s">
        <v>14666</v>
      </c>
      <c r="C168" s="10" t="str">
        <f>VLOOKUP(B168,'Data Angt'!$A$5:$B$5809,2,FALSE)</f>
        <v>A5307</v>
      </c>
      <c r="D168" s="125" t="s">
        <v>20156</v>
      </c>
      <c r="E168" s="125" t="s">
        <v>22</v>
      </c>
      <c r="F168" s="125" t="str">
        <f t="shared" si="2"/>
        <v>001</v>
      </c>
      <c r="G168" s="126">
        <v>45700</v>
      </c>
      <c r="H168" s="125" t="s">
        <v>20155</v>
      </c>
      <c r="I168" s="124">
        <v>63</v>
      </c>
    </row>
    <row r="169" spans="1:9" x14ac:dyDescent="0.3">
      <c r="A169" s="127">
        <v>167</v>
      </c>
      <c r="B169" s="125" t="s">
        <v>14668</v>
      </c>
      <c r="C169" s="10" t="str">
        <f>VLOOKUP(B169,'Data Angt'!$A$5:$B$5809,2,FALSE)</f>
        <v>A5308</v>
      </c>
      <c r="D169" s="125" t="s">
        <v>20154</v>
      </c>
      <c r="E169" s="125" t="s">
        <v>22</v>
      </c>
      <c r="F169" s="125" t="str">
        <f t="shared" si="2"/>
        <v>001</v>
      </c>
      <c r="G169" s="126">
        <v>45700</v>
      </c>
      <c r="H169" s="125" t="s">
        <v>20153</v>
      </c>
      <c r="I169" s="124">
        <v>36</v>
      </c>
    </row>
    <row r="170" spans="1:9" x14ac:dyDescent="0.3">
      <c r="A170" s="127">
        <v>168</v>
      </c>
      <c r="B170" s="125" t="s">
        <v>14671</v>
      </c>
      <c r="C170" s="10" t="str">
        <f>VLOOKUP(B170,'Data Angt'!$A$5:$B$5809,2,FALSE)</f>
        <v>A5309</v>
      </c>
      <c r="D170" s="125" t="s">
        <v>20152</v>
      </c>
      <c r="E170" s="125" t="s">
        <v>22</v>
      </c>
      <c r="F170" s="125" t="str">
        <f t="shared" si="2"/>
        <v>005</v>
      </c>
      <c r="G170" s="126">
        <v>45700</v>
      </c>
      <c r="H170" s="125" t="s">
        <v>20149</v>
      </c>
      <c r="I170" s="124">
        <v>21</v>
      </c>
    </row>
    <row r="171" spans="1:9" x14ac:dyDescent="0.3">
      <c r="A171" s="127">
        <v>169</v>
      </c>
      <c r="B171" s="125" t="s">
        <v>14673</v>
      </c>
      <c r="C171" s="10" t="str">
        <f>VLOOKUP(B171,'Data Angt'!$A$5:$B$5809,2,FALSE)</f>
        <v>A5310</v>
      </c>
      <c r="D171" s="125" t="s">
        <v>20151</v>
      </c>
      <c r="E171" s="125" t="s">
        <v>11</v>
      </c>
      <c r="F171" s="125" t="str">
        <f t="shared" si="2"/>
        <v>005</v>
      </c>
      <c r="G171" s="126">
        <v>45700</v>
      </c>
      <c r="H171" s="125" t="s">
        <v>20149</v>
      </c>
      <c r="I171" s="124">
        <v>19</v>
      </c>
    </row>
    <row r="172" spans="1:9" x14ac:dyDescent="0.3">
      <c r="A172" s="127">
        <v>170</v>
      </c>
      <c r="B172" s="125" t="s">
        <v>14675</v>
      </c>
      <c r="C172" s="10" t="str">
        <f>VLOOKUP(B172,'Data Angt'!$A$5:$B$5809,2,FALSE)</f>
        <v>A5311</v>
      </c>
      <c r="D172" s="125" t="s">
        <v>20150</v>
      </c>
      <c r="E172" s="125" t="s">
        <v>22</v>
      </c>
      <c r="F172" s="125" t="str">
        <f t="shared" si="2"/>
        <v>005</v>
      </c>
      <c r="G172" s="126">
        <v>45700</v>
      </c>
      <c r="H172" s="125" t="s">
        <v>20149</v>
      </c>
      <c r="I172" s="124">
        <v>22</v>
      </c>
    </row>
    <row r="173" spans="1:9" x14ac:dyDescent="0.3">
      <c r="A173" s="127">
        <v>171</v>
      </c>
      <c r="B173" s="125" t="s">
        <v>14677</v>
      </c>
      <c r="C173" s="10" t="str">
        <f>VLOOKUP(B173,'Data Angt'!$A$5:$B$5809,2,FALSE)</f>
        <v>A5312</v>
      </c>
      <c r="D173" s="125" t="s">
        <v>20148</v>
      </c>
      <c r="E173" s="125" t="s">
        <v>22</v>
      </c>
      <c r="F173" s="125" t="str">
        <f t="shared" si="2"/>
        <v>005</v>
      </c>
      <c r="G173" s="126">
        <v>45700</v>
      </c>
      <c r="H173" s="125" t="s">
        <v>20147</v>
      </c>
      <c r="I173" s="124">
        <v>23</v>
      </c>
    </row>
    <row r="174" spans="1:9" x14ac:dyDescent="0.3">
      <c r="A174" s="127">
        <v>172</v>
      </c>
      <c r="B174" s="125" t="s">
        <v>14679</v>
      </c>
      <c r="C174" s="10" t="str">
        <f>VLOOKUP(B174,'Data Angt'!$A$5:$B$5809,2,FALSE)</f>
        <v>A5313</v>
      </c>
      <c r="D174" s="125" t="s">
        <v>20146</v>
      </c>
      <c r="E174" s="125" t="s">
        <v>22</v>
      </c>
      <c r="F174" s="125" t="str">
        <f t="shared" si="2"/>
        <v>004</v>
      </c>
      <c r="G174" s="126">
        <v>45701</v>
      </c>
      <c r="H174" s="125" t="s">
        <v>20145</v>
      </c>
      <c r="I174" s="124">
        <v>52</v>
      </c>
    </row>
    <row r="175" spans="1:9" x14ac:dyDescent="0.3">
      <c r="A175" s="127">
        <v>173</v>
      </c>
      <c r="B175" s="125" t="s">
        <v>14681</v>
      </c>
      <c r="C175" s="10" t="str">
        <f>VLOOKUP(B175,'Data Angt'!$A$5:$B$5809,2,FALSE)</f>
        <v>A5314</v>
      </c>
      <c r="D175" s="125" t="s">
        <v>20144</v>
      </c>
      <c r="E175" s="125" t="s">
        <v>11</v>
      </c>
      <c r="F175" s="125" t="str">
        <f t="shared" si="2"/>
        <v>001</v>
      </c>
      <c r="G175" s="126">
        <v>45701</v>
      </c>
      <c r="H175" s="125" t="s">
        <v>20143</v>
      </c>
      <c r="I175" s="124">
        <v>54</v>
      </c>
    </row>
    <row r="176" spans="1:9" x14ac:dyDescent="0.3">
      <c r="A176" s="127">
        <v>174</v>
      </c>
      <c r="B176" s="125" t="s">
        <v>14683</v>
      </c>
      <c r="C176" s="10" t="str">
        <f>VLOOKUP(B176,'Data Angt'!$A$5:$B$5809,2,FALSE)</f>
        <v>A5315</v>
      </c>
      <c r="D176" s="125" t="s">
        <v>20142</v>
      </c>
      <c r="E176" s="125" t="s">
        <v>22</v>
      </c>
      <c r="F176" s="125" t="str">
        <f t="shared" si="2"/>
        <v>004</v>
      </c>
      <c r="G176" s="126">
        <v>45701</v>
      </c>
      <c r="H176" s="125" t="s">
        <v>20141</v>
      </c>
      <c r="I176" s="124">
        <v>25</v>
      </c>
    </row>
    <row r="177" spans="1:9" x14ac:dyDescent="0.3">
      <c r="A177" s="127">
        <v>175</v>
      </c>
      <c r="B177" s="125" t="s">
        <v>14686</v>
      </c>
      <c r="C177" s="10" t="str">
        <f>VLOOKUP(B177,'Data Angt'!$A$5:$B$5809,2,FALSE)</f>
        <v>A5316</v>
      </c>
      <c r="D177" s="125" t="s">
        <v>20140</v>
      </c>
      <c r="E177" s="125" t="s">
        <v>22</v>
      </c>
      <c r="F177" s="125" t="str">
        <f t="shared" si="2"/>
        <v>003</v>
      </c>
      <c r="G177" s="126">
        <v>45701</v>
      </c>
      <c r="H177" s="125" t="s">
        <v>20139</v>
      </c>
      <c r="I177" s="124">
        <v>56</v>
      </c>
    </row>
    <row r="178" spans="1:9" x14ac:dyDescent="0.3">
      <c r="A178" s="127">
        <v>176</v>
      </c>
      <c r="B178" s="125" t="s">
        <v>14690</v>
      </c>
      <c r="C178" s="10" t="str">
        <f>VLOOKUP(B178,'Data Angt'!$A$5:$B$5809,2,FALSE)</f>
        <v>A5317</v>
      </c>
      <c r="D178" s="125" t="s">
        <v>20138</v>
      </c>
      <c r="E178" s="125" t="s">
        <v>11</v>
      </c>
      <c r="F178" s="125" t="str">
        <f t="shared" si="2"/>
        <v>001</v>
      </c>
      <c r="G178" s="126">
        <v>45701</v>
      </c>
      <c r="H178" s="125" t="s">
        <v>20137</v>
      </c>
      <c r="I178" s="124">
        <v>22</v>
      </c>
    </row>
    <row r="179" spans="1:9" x14ac:dyDescent="0.3">
      <c r="A179" s="127">
        <v>177</v>
      </c>
      <c r="B179" s="125" t="s">
        <v>14692</v>
      </c>
      <c r="C179" s="10" t="str">
        <f>VLOOKUP(B179,'Data Angt'!$A$5:$B$5809,2,FALSE)</f>
        <v>A5318</v>
      </c>
      <c r="D179" s="125" t="s">
        <v>20136</v>
      </c>
      <c r="E179" s="125" t="s">
        <v>22</v>
      </c>
      <c r="F179" s="125" t="str">
        <f t="shared" si="2"/>
        <v>004</v>
      </c>
      <c r="G179" s="126">
        <v>45701</v>
      </c>
      <c r="H179" s="125" t="s">
        <v>19704</v>
      </c>
      <c r="I179" s="124">
        <v>55</v>
      </c>
    </row>
    <row r="180" spans="1:9" x14ac:dyDescent="0.3">
      <c r="A180" s="127">
        <v>178</v>
      </c>
      <c r="B180" s="125" t="s">
        <v>14694</v>
      </c>
      <c r="C180" s="10" t="str">
        <f>VLOOKUP(B180,'Data Angt'!$A$5:$B$5809,2,FALSE)</f>
        <v>A5319</v>
      </c>
      <c r="D180" s="125" t="s">
        <v>20135</v>
      </c>
      <c r="E180" s="125" t="s">
        <v>22</v>
      </c>
      <c r="F180" s="125" t="str">
        <f t="shared" si="2"/>
        <v>005</v>
      </c>
      <c r="G180" s="126">
        <v>45701</v>
      </c>
      <c r="H180" s="125" t="s">
        <v>20020</v>
      </c>
      <c r="I180" s="124">
        <v>44</v>
      </c>
    </row>
    <row r="181" spans="1:9" x14ac:dyDescent="0.3">
      <c r="A181" s="127">
        <v>179</v>
      </c>
      <c r="B181" s="125" t="s">
        <v>14696</v>
      </c>
      <c r="C181" s="10" t="str">
        <f>VLOOKUP(B181,'Data Angt'!$A$5:$B$5809,2,FALSE)</f>
        <v>A5320</v>
      </c>
      <c r="D181" s="125" t="s">
        <v>20134</v>
      </c>
      <c r="E181" s="125" t="s">
        <v>22</v>
      </c>
      <c r="F181" s="125" t="str">
        <f t="shared" si="2"/>
        <v>005</v>
      </c>
      <c r="G181" s="126">
        <v>45701</v>
      </c>
      <c r="H181" s="125" t="s">
        <v>20133</v>
      </c>
      <c r="I181" s="124">
        <v>49</v>
      </c>
    </row>
    <row r="182" spans="1:9" x14ac:dyDescent="0.3">
      <c r="A182" s="127">
        <v>180</v>
      </c>
      <c r="B182" s="125" t="s">
        <v>14698</v>
      </c>
      <c r="C182" s="10" t="str">
        <f>VLOOKUP(B182,'Data Angt'!$A$5:$B$5809,2,FALSE)</f>
        <v>A5321</v>
      </c>
      <c r="D182" s="125" t="s">
        <v>20132</v>
      </c>
      <c r="E182" s="125" t="s">
        <v>22</v>
      </c>
      <c r="F182" s="125" t="str">
        <f t="shared" si="2"/>
        <v>001</v>
      </c>
      <c r="G182" s="126">
        <v>45702</v>
      </c>
      <c r="H182" s="125" t="s">
        <v>20131</v>
      </c>
      <c r="I182" s="124">
        <v>29</v>
      </c>
    </row>
    <row r="183" spans="1:9" x14ac:dyDescent="0.3">
      <c r="A183" s="127">
        <v>181</v>
      </c>
      <c r="B183" s="125" t="s">
        <v>14699</v>
      </c>
      <c r="C183" s="10" t="str">
        <f>VLOOKUP(B183,'Data Angt'!$A$5:$B$5809,2,FALSE)</f>
        <v>A5322</v>
      </c>
      <c r="D183" s="125" t="s">
        <v>20130</v>
      </c>
      <c r="E183" s="125" t="s">
        <v>22</v>
      </c>
      <c r="F183" s="125" t="str">
        <f t="shared" si="2"/>
        <v>001</v>
      </c>
      <c r="G183" s="126">
        <v>45702</v>
      </c>
      <c r="H183" s="125" t="s">
        <v>20129</v>
      </c>
      <c r="I183" s="124">
        <v>61</v>
      </c>
    </row>
    <row r="184" spans="1:9" x14ac:dyDescent="0.3">
      <c r="A184" s="127">
        <v>182</v>
      </c>
      <c r="B184" s="125" t="s">
        <v>14702</v>
      </c>
      <c r="C184" s="10" t="str">
        <f>VLOOKUP(B184,'Data Angt'!$A$5:$B$5809,2,FALSE)</f>
        <v>A5323</v>
      </c>
      <c r="D184" s="125" t="s">
        <v>20128</v>
      </c>
      <c r="E184" s="125" t="s">
        <v>11</v>
      </c>
      <c r="F184" s="125" t="str">
        <f t="shared" si="2"/>
        <v>002</v>
      </c>
      <c r="G184" s="126">
        <v>45702</v>
      </c>
      <c r="H184" s="125" t="s">
        <v>20127</v>
      </c>
      <c r="I184" s="124">
        <v>43</v>
      </c>
    </row>
    <row r="185" spans="1:9" x14ac:dyDescent="0.3">
      <c r="A185" s="127">
        <v>183</v>
      </c>
      <c r="B185" s="125" t="s">
        <v>14705</v>
      </c>
      <c r="C185" s="10" t="str">
        <f>VLOOKUP(B185,'Data Angt'!$A$5:$B$5809,2,FALSE)</f>
        <v>A5324</v>
      </c>
      <c r="D185" s="125" t="s">
        <v>20126</v>
      </c>
      <c r="E185" s="125" t="s">
        <v>11</v>
      </c>
      <c r="F185" s="125" t="str">
        <f t="shared" si="2"/>
        <v>001</v>
      </c>
      <c r="G185" s="126">
        <v>45702</v>
      </c>
      <c r="H185" s="125" t="s">
        <v>20125</v>
      </c>
      <c r="I185" s="124">
        <v>40</v>
      </c>
    </row>
    <row r="186" spans="1:9" x14ac:dyDescent="0.3">
      <c r="A186" s="127">
        <v>184</v>
      </c>
      <c r="B186" s="125" t="s">
        <v>14708</v>
      </c>
      <c r="C186" s="10" t="str">
        <f>VLOOKUP(B186,'Data Angt'!$A$5:$B$5809,2,FALSE)</f>
        <v>A5325</v>
      </c>
      <c r="D186" s="125" t="s">
        <v>20124</v>
      </c>
      <c r="E186" s="125" t="s">
        <v>22</v>
      </c>
      <c r="F186" s="125" t="str">
        <f t="shared" si="2"/>
        <v>001</v>
      </c>
      <c r="G186" s="126">
        <v>45703</v>
      </c>
      <c r="H186" s="125" t="s">
        <v>20123</v>
      </c>
      <c r="I186" s="124">
        <v>44</v>
      </c>
    </row>
    <row r="187" spans="1:9" x14ac:dyDescent="0.3">
      <c r="A187" s="127">
        <v>185</v>
      </c>
      <c r="B187" s="125" t="s">
        <v>14710</v>
      </c>
      <c r="C187" s="10" t="str">
        <f>VLOOKUP(B187,'Data Angt'!$A$5:$B$5809,2,FALSE)</f>
        <v>A5326</v>
      </c>
      <c r="D187" s="125" t="s">
        <v>20122</v>
      </c>
      <c r="E187" s="125" t="s">
        <v>11</v>
      </c>
      <c r="F187" s="125" t="str">
        <f t="shared" si="2"/>
        <v>005</v>
      </c>
      <c r="G187" s="126">
        <v>45703</v>
      </c>
      <c r="H187" s="125" t="s">
        <v>20121</v>
      </c>
      <c r="I187" s="124">
        <v>51</v>
      </c>
    </row>
    <row r="188" spans="1:9" x14ac:dyDescent="0.3">
      <c r="A188" s="127">
        <v>186</v>
      </c>
      <c r="B188" s="125" t="s">
        <v>14713</v>
      </c>
      <c r="C188" s="10" t="str">
        <f>VLOOKUP(B188,'Data Angt'!$A$5:$B$5809,2,FALSE)</f>
        <v>A5327</v>
      </c>
      <c r="D188" s="125" t="s">
        <v>20120</v>
      </c>
      <c r="E188" s="125" t="s">
        <v>11</v>
      </c>
      <c r="F188" s="125" t="str">
        <f t="shared" si="2"/>
        <v>001</v>
      </c>
      <c r="G188" s="126">
        <v>45703</v>
      </c>
      <c r="H188" s="125" t="s">
        <v>20119</v>
      </c>
      <c r="I188" s="124">
        <v>43</v>
      </c>
    </row>
    <row r="189" spans="1:9" x14ac:dyDescent="0.3">
      <c r="A189" s="127">
        <v>187</v>
      </c>
      <c r="B189" s="125" t="s">
        <v>14717</v>
      </c>
      <c r="C189" s="10" t="str">
        <f>VLOOKUP(B189,'Data Angt'!$A$5:$B$5809,2,FALSE)</f>
        <v>A5328</v>
      </c>
      <c r="D189" s="125" t="s">
        <v>20118</v>
      </c>
      <c r="E189" s="125" t="s">
        <v>22</v>
      </c>
      <c r="F189" s="125" t="str">
        <f t="shared" si="2"/>
        <v>005</v>
      </c>
      <c r="G189" s="126">
        <v>45705</v>
      </c>
      <c r="H189" s="125" t="s">
        <v>20117</v>
      </c>
      <c r="I189" s="124">
        <v>54</v>
      </c>
    </row>
    <row r="190" spans="1:9" x14ac:dyDescent="0.3">
      <c r="A190" s="127">
        <v>188</v>
      </c>
      <c r="B190" s="125" t="s">
        <v>14720</v>
      </c>
      <c r="C190" s="10" t="str">
        <f>VLOOKUP(B190,'Data Angt'!$A$5:$B$5809,2,FALSE)</f>
        <v>A5329</v>
      </c>
      <c r="D190" s="125" t="s">
        <v>20116</v>
      </c>
      <c r="E190" s="125" t="s">
        <v>22</v>
      </c>
      <c r="F190" s="125" t="str">
        <f t="shared" si="2"/>
        <v>003</v>
      </c>
      <c r="G190" s="126">
        <v>45705</v>
      </c>
      <c r="H190" s="125" t="s">
        <v>20115</v>
      </c>
      <c r="I190" s="124">
        <v>48</v>
      </c>
    </row>
    <row r="191" spans="1:9" x14ac:dyDescent="0.3">
      <c r="A191" s="127">
        <v>189</v>
      </c>
      <c r="B191" s="125" t="s">
        <v>14723</v>
      </c>
      <c r="C191" s="10" t="str">
        <f>VLOOKUP(B191,'Data Angt'!$A$5:$B$5809,2,FALSE)</f>
        <v>A5330</v>
      </c>
      <c r="D191" s="125" t="s">
        <v>20114</v>
      </c>
      <c r="E191" s="125" t="s">
        <v>22</v>
      </c>
      <c r="F191" s="125" t="str">
        <f t="shared" si="2"/>
        <v>002</v>
      </c>
      <c r="G191" s="126">
        <v>45705</v>
      </c>
      <c r="H191" s="125" t="s">
        <v>19866</v>
      </c>
      <c r="I191" s="124">
        <v>39</v>
      </c>
    </row>
    <row r="192" spans="1:9" x14ac:dyDescent="0.3">
      <c r="A192" s="127">
        <v>190</v>
      </c>
      <c r="B192" s="125" t="s">
        <v>14725</v>
      </c>
      <c r="C192" s="10" t="str">
        <f>VLOOKUP(B192,'Data Angt'!$A$5:$B$5809,2,FALSE)</f>
        <v>A5331</v>
      </c>
      <c r="D192" s="125" t="s">
        <v>20113</v>
      </c>
      <c r="E192" s="125" t="s">
        <v>11</v>
      </c>
      <c r="F192" s="125" t="str">
        <f t="shared" si="2"/>
        <v>001</v>
      </c>
      <c r="G192" s="126">
        <v>45706</v>
      </c>
      <c r="H192" s="125" t="s">
        <v>20112</v>
      </c>
      <c r="I192" s="124">
        <v>56</v>
      </c>
    </row>
    <row r="193" spans="1:9" x14ac:dyDescent="0.3">
      <c r="A193" s="127">
        <v>191</v>
      </c>
      <c r="B193" s="125" t="s">
        <v>14727</v>
      </c>
      <c r="C193" s="10" t="str">
        <f>VLOOKUP(B193,'Data Angt'!$A$5:$B$5809,2,FALSE)</f>
        <v>A5332</v>
      </c>
      <c r="D193" s="125" t="s">
        <v>20111</v>
      </c>
      <c r="E193" s="125" t="s">
        <v>22</v>
      </c>
      <c r="F193" s="125" t="str">
        <f t="shared" si="2"/>
        <v>006</v>
      </c>
      <c r="G193" s="126">
        <v>45706</v>
      </c>
      <c r="H193" s="125" t="s">
        <v>20009</v>
      </c>
      <c r="I193" s="124">
        <v>51</v>
      </c>
    </row>
    <row r="194" spans="1:9" x14ac:dyDescent="0.3">
      <c r="A194" s="127">
        <v>192</v>
      </c>
      <c r="B194" s="125" t="s">
        <v>14728</v>
      </c>
      <c r="C194" s="10" t="str">
        <f>VLOOKUP(B194,'Data Angt'!$A$5:$B$5809,2,FALSE)</f>
        <v>A5333</v>
      </c>
      <c r="D194" s="125" t="s">
        <v>20110</v>
      </c>
      <c r="E194" s="125" t="s">
        <v>22</v>
      </c>
      <c r="F194" s="125" t="str">
        <f t="shared" si="2"/>
        <v>004</v>
      </c>
      <c r="G194" s="126">
        <v>45706</v>
      </c>
      <c r="H194" s="125" t="s">
        <v>20109</v>
      </c>
      <c r="I194" s="124">
        <v>41</v>
      </c>
    </row>
    <row r="195" spans="1:9" x14ac:dyDescent="0.3">
      <c r="A195" s="127">
        <v>193</v>
      </c>
      <c r="B195" s="125" t="s">
        <v>14730</v>
      </c>
      <c r="C195" s="10" t="str">
        <f>VLOOKUP(B195,'Data Angt'!$A$5:$B$5809,2,FALSE)</f>
        <v>A5334</v>
      </c>
      <c r="D195" s="125" t="s">
        <v>20108</v>
      </c>
      <c r="E195" s="125" t="s">
        <v>11</v>
      </c>
      <c r="F195" s="125" t="str">
        <f t="shared" si="2"/>
        <v>006</v>
      </c>
      <c r="G195" s="126">
        <v>45706</v>
      </c>
      <c r="H195" s="125" t="s">
        <v>20107</v>
      </c>
      <c r="I195" s="124">
        <v>39</v>
      </c>
    </row>
    <row r="196" spans="1:9" x14ac:dyDescent="0.3">
      <c r="A196" s="127">
        <v>194</v>
      </c>
      <c r="B196" s="125" t="s">
        <v>14731</v>
      </c>
      <c r="C196" s="10" t="str">
        <f>VLOOKUP(B196,'Data Angt'!$A$5:$B$5809,2,FALSE)</f>
        <v>A5335</v>
      </c>
      <c r="D196" s="125" t="s">
        <v>20106</v>
      </c>
      <c r="E196" s="125" t="s">
        <v>11</v>
      </c>
      <c r="F196" s="125" t="str">
        <f t="shared" ref="F196:F259" si="3">MID(B196,7,3)</f>
        <v>001</v>
      </c>
      <c r="G196" s="126">
        <v>45706</v>
      </c>
      <c r="H196" s="125" t="s">
        <v>20105</v>
      </c>
      <c r="I196" s="124">
        <v>30</v>
      </c>
    </row>
    <row r="197" spans="1:9" x14ac:dyDescent="0.3">
      <c r="A197" s="127">
        <v>195</v>
      </c>
      <c r="B197" s="125" t="s">
        <v>14733</v>
      </c>
      <c r="C197" s="10" t="str">
        <f>VLOOKUP(B197,'Data Angt'!$A$5:$B$5809,2,FALSE)</f>
        <v>A5336</v>
      </c>
      <c r="D197" s="125" t="s">
        <v>20104</v>
      </c>
      <c r="E197" s="125" t="s">
        <v>11</v>
      </c>
      <c r="F197" s="125" t="str">
        <f t="shared" si="3"/>
        <v>001</v>
      </c>
      <c r="G197" s="126">
        <v>45706</v>
      </c>
      <c r="H197" s="125" t="s">
        <v>20103</v>
      </c>
      <c r="I197" s="124">
        <v>39</v>
      </c>
    </row>
    <row r="198" spans="1:9" x14ac:dyDescent="0.3">
      <c r="A198" s="127">
        <v>196</v>
      </c>
      <c r="B198" s="125" t="s">
        <v>14735</v>
      </c>
      <c r="C198" s="10" t="str">
        <f>VLOOKUP(B198,'Data Angt'!$A$5:$B$5809,2,FALSE)</f>
        <v>A5337</v>
      </c>
      <c r="D198" s="125" t="s">
        <v>20102</v>
      </c>
      <c r="E198" s="125" t="s">
        <v>11</v>
      </c>
      <c r="F198" s="125" t="str">
        <f t="shared" si="3"/>
        <v>001</v>
      </c>
      <c r="G198" s="126">
        <v>45706</v>
      </c>
      <c r="H198" s="125" t="s">
        <v>20101</v>
      </c>
      <c r="I198" s="124">
        <v>32</v>
      </c>
    </row>
    <row r="199" spans="1:9" x14ac:dyDescent="0.3">
      <c r="A199" s="127">
        <v>197</v>
      </c>
      <c r="B199" s="125" t="s">
        <v>14738</v>
      </c>
      <c r="C199" s="10" t="str">
        <f>VLOOKUP(B199,'Data Angt'!$A$5:$B$5809,2,FALSE)</f>
        <v>A5338</v>
      </c>
      <c r="D199" s="125" t="s">
        <v>20100</v>
      </c>
      <c r="E199" s="125" t="s">
        <v>22</v>
      </c>
      <c r="F199" s="125" t="str">
        <f t="shared" si="3"/>
        <v>005</v>
      </c>
      <c r="G199" s="126">
        <v>45706</v>
      </c>
      <c r="H199" s="125" t="s">
        <v>20020</v>
      </c>
      <c r="I199" s="124">
        <v>39</v>
      </c>
    </row>
    <row r="200" spans="1:9" x14ac:dyDescent="0.3">
      <c r="A200" s="127">
        <v>198</v>
      </c>
      <c r="B200" s="125" t="s">
        <v>14740</v>
      </c>
      <c r="C200" s="10" t="str">
        <f>VLOOKUP(B200,'Data Angt'!$A$5:$B$5809,2,FALSE)</f>
        <v>A5339</v>
      </c>
      <c r="D200" s="125" t="s">
        <v>20099</v>
      </c>
      <c r="E200" s="125" t="s">
        <v>22</v>
      </c>
      <c r="F200" s="125" t="str">
        <f t="shared" si="3"/>
        <v>001</v>
      </c>
      <c r="G200" s="126">
        <v>45706</v>
      </c>
      <c r="H200" s="125" t="s">
        <v>20098</v>
      </c>
      <c r="I200" s="124">
        <v>18</v>
      </c>
    </row>
    <row r="201" spans="1:9" x14ac:dyDescent="0.3">
      <c r="A201" s="127">
        <v>199</v>
      </c>
      <c r="B201" s="125" t="s">
        <v>14741</v>
      </c>
      <c r="C201" s="10" t="str">
        <f>VLOOKUP(B201,'Data Angt'!$A$5:$B$5809,2,FALSE)</f>
        <v>A5340</v>
      </c>
      <c r="D201" s="125" t="s">
        <v>20097</v>
      </c>
      <c r="E201" s="125" t="s">
        <v>22</v>
      </c>
      <c r="F201" s="125" t="str">
        <f t="shared" si="3"/>
        <v>001</v>
      </c>
      <c r="G201" s="126">
        <v>45706</v>
      </c>
      <c r="H201" s="125" t="s">
        <v>20095</v>
      </c>
      <c r="I201" s="124">
        <v>55</v>
      </c>
    </row>
    <row r="202" spans="1:9" x14ac:dyDescent="0.3">
      <c r="A202" s="127">
        <v>200</v>
      </c>
      <c r="B202" s="125" t="s">
        <v>14745</v>
      </c>
      <c r="C202" s="10" t="str">
        <f>VLOOKUP(B202,'Data Angt'!$A$5:$B$5809,2,FALSE)</f>
        <v>A5341</v>
      </c>
      <c r="D202" s="125" t="s">
        <v>20096</v>
      </c>
      <c r="E202" s="125" t="s">
        <v>22</v>
      </c>
      <c r="F202" s="125" t="str">
        <f t="shared" si="3"/>
        <v>001</v>
      </c>
      <c r="G202" s="126">
        <v>45706</v>
      </c>
      <c r="H202" s="125" t="s">
        <v>20095</v>
      </c>
      <c r="I202" s="124">
        <v>30</v>
      </c>
    </row>
    <row r="203" spans="1:9" x14ac:dyDescent="0.3">
      <c r="A203" s="127">
        <v>201</v>
      </c>
      <c r="B203" s="125" t="s">
        <v>14748</v>
      </c>
      <c r="C203" s="10" t="str">
        <f>VLOOKUP(B203,'Data Angt'!$A$5:$B$5809,2,FALSE)</f>
        <v>A5342</v>
      </c>
      <c r="D203" s="125" t="s">
        <v>20094</v>
      </c>
      <c r="E203" s="125" t="s">
        <v>11</v>
      </c>
      <c r="F203" s="125" t="str">
        <f t="shared" si="3"/>
        <v>001</v>
      </c>
      <c r="G203" s="126">
        <v>45706</v>
      </c>
      <c r="H203" s="125" t="s">
        <v>20093</v>
      </c>
      <c r="I203" s="124">
        <v>22</v>
      </c>
    </row>
    <row r="204" spans="1:9" x14ac:dyDescent="0.3">
      <c r="A204" s="127">
        <v>202</v>
      </c>
      <c r="B204" s="125" t="s">
        <v>14751</v>
      </c>
      <c r="C204" s="10" t="str">
        <f>VLOOKUP(B204,'Data Angt'!$A$5:$B$5809,2,FALSE)</f>
        <v>A5343</v>
      </c>
      <c r="D204" s="125" t="s">
        <v>20092</v>
      </c>
      <c r="E204" s="125" t="s">
        <v>22</v>
      </c>
      <c r="F204" s="125" t="str">
        <f t="shared" si="3"/>
        <v>006</v>
      </c>
      <c r="G204" s="126">
        <v>45707</v>
      </c>
      <c r="H204" s="125" t="s">
        <v>20091</v>
      </c>
      <c r="I204" s="124">
        <v>45</v>
      </c>
    </row>
    <row r="205" spans="1:9" x14ac:dyDescent="0.3">
      <c r="A205" s="127">
        <v>203</v>
      </c>
      <c r="B205" s="125" t="s">
        <v>14753</v>
      </c>
      <c r="C205" s="10" t="str">
        <f>VLOOKUP(B205,'Data Angt'!$A$5:$B$5809,2,FALSE)</f>
        <v>A5344</v>
      </c>
      <c r="D205" s="125" t="s">
        <v>20090</v>
      </c>
      <c r="E205" s="125" t="s">
        <v>22</v>
      </c>
      <c r="F205" s="125" t="str">
        <f t="shared" si="3"/>
        <v>003</v>
      </c>
      <c r="G205" s="126">
        <v>45707</v>
      </c>
      <c r="H205" s="125" t="s">
        <v>20089</v>
      </c>
      <c r="I205" s="124">
        <v>39</v>
      </c>
    </row>
    <row r="206" spans="1:9" x14ac:dyDescent="0.3">
      <c r="A206" s="127">
        <v>204</v>
      </c>
      <c r="B206" s="125" t="s">
        <v>15020</v>
      </c>
      <c r="C206" s="10" t="str">
        <f>VLOOKUP(B206,'Data Angt'!$A$5:$B$5809,2,FALSE)</f>
        <v>A5469</v>
      </c>
      <c r="D206" s="125" t="s">
        <v>20088</v>
      </c>
      <c r="E206" s="125" t="s">
        <v>22</v>
      </c>
      <c r="F206" s="125" t="str">
        <f t="shared" si="3"/>
        <v>001</v>
      </c>
      <c r="G206" s="126">
        <v>45763</v>
      </c>
      <c r="H206" s="125" t="s">
        <v>20087</v>
      </c>
      <c r="I206" s="124">
        <v>49</v>
      </c>
    </row>
    <row r="207" spans="1:9" x14ac:dyDescent="0.3">
      <c r="A207" s="127">
        <v>205</v>
      </c>
      <c r="B207" s="125" t="s">
        <v>14755</v>
      </c>
      <c r="C207" s="10" t="str">
        <f>VLOOKUP(B207,'Data Angt'!$A$5:$B$5809,2,FALSE)</f>
        <v>A5345</v>
      </c>
      <c r="D207" s="125" t="s">
        <v>20086</v>
      </c>
      <c r="E207" s="125" t="s">
        <v>22</v>
      </c>
      <c r="F207" s="125" t="str">
        <f t="shared" si="3"/>
        <v>002</v>
      </c>
      <c r="G207" s="126">
        <v>45707</v>
      </c>
      <c r="H207" s="125" t="s">
        <v>19534</v>
      </c>
      <c r="I207" s="124">
        <v>47</v>
      </c>
    </row>
    <row r="208" spans="1:9" x14ac:dyDescent="0.3">
      <c r="A208" s="127">
        <v>206</v>
      </c>
      <c r="B208" s="125" t="s">
        <v>14756</v>
      </c>
      <c r="C208" s="10" t="str">
        <f>VLOOKUP(B208,'Data Angt'!$A$5:$B$5809,2,FALSE)</f>
        <v>A5346</v>
      </c>
      <c r="D208" s="125" t="s">
        <v>20085</v>
      </c>
      <c r="E208" s="125" t="s">
        <v>22</v>
      </c>
      <c r="F208" s="125" t="str">
        <f t="shared" si="3"/>
        <v>003</v>
      </c>
      <c r="G208" s="126">
        <v>45707</v>
      </c>
      <c r="H208" s="125" t="s">
        <v>20084</v>
      </c>
      <c r="I208" s="124">
        <v>56</v>
      </c>
    </row>
    <row r="209" spans="1:9" x14ac:dyDescent="0.3">
      <c r="A209" s="127">
        <v>207</v>
      </c>
      <c r="B209" s="125" t="s">
        <v>14758</v>
      </c>
      <c r="C209" s="10" t="str">
        <f>VLOOKUP(B209,'Data Angt'!$A$5:$B$5809,2,FALSE)</f>
        <v>A5347</v>
      </c>
      <c r="D209" s="125" t="s">
        <v>19948</v>
      </c>
      <c r="E209" s="125" t="s">
        <v>22</v>
      </c>
      <c r="F209" s="125" t="str">
        <f t="shared" si="3"/>
        <v>001</v>
      </c>
      <c r="G209" s="126">
        <v>45708</v>
      </c>
      <c r="H209" s="125" t="s">
        <v>20083</v>
      </c>
      <c r="I209" s="124">
        <v>27</v>
      </c>
    </row>
    <row r="210" spans="1:9" x14ac:dyDescent="0.3">
      <c r="A210" s="127">
        <v>208</v>
      </c>
      <c r="B210" s="125" t="s">
        <v>14760</v>
      </c>
      <c r="C210" s="10" t="str">
        <f>VLOOKUP(B210,'Data Angt'!$A$5:$B$5809,2,FALSE)</f>
        <v>A5348</v>
      </c>
      <c r="D210" s="125" t="s">
        <v>20082</v>
      </c>
      <c r="E210" s="125" t="s">
        <v>11</v>
      </c>
      <c r="F210" s="125" t="str">
        <f t="shared" si="3"/>
        <v>006</v>
      </c>
      <c r="G210" s="126">
        <v>45708</v>
      </c>
      <c r="H210" s="125" t="s">
        <v>20081</v>
      </c>
      <c r="I210" s="124">
        <v>26</v>
      </c>
    </row>
    <row r="211" spans="1:9" x14ac:dyDescent="0.3">
      <c r="A211" s="127">
        <v>209</v>
      </c>
      <c r="B211" s="125" t="s">
        <v>14762</v>
      </c>
      <c r="C211" s="10" t="str">
        <f>VLOOKUP(B211,'Data Angt'!$A$5:$B$5809,2,FALSE)</f>
        <v>A5349</v>
      </c>
      <c r="D211" s="125" t="s">
        <v>20080</v>
      </c>
      <c r="E211" s="125" t="s">
        <v>11</v>
      </c>
      <c r="F211" s="125" t="str">
        <f t="shared" si="3"/>
        <v>001</v>
      </c>
      <c r="G211" s="126">
        <v>45708</v>
      </c>
      <c r="H211" s="125" t="s">
        <v>20079</v>
      </c>
      <c r="I211" s="124">
        <v>21</v>
      </c>
    </row>
    <row r="212" spans="1:9" x14ac:dyDescent="0.3">
      <c r="A212" s="127">
        <v>210</v>
      </c>
      <c r="B212" s="125" t="s">
        <v>14765</v>
      </c>
      <c r="C212" s="10" t="str">
        <f>VLOOKUP(B212,'Data Angt'!$A$5:$B$5809,2,FALSE)</f>
        <v>A5350</v>
      </c>
      <c r="D212" s="125" t="s">
        <v>20078</v>
      </c>
      <c r="E212" s="125" t="s">
        <v>22</v>
      </c>
      <c r="F212" s="125" t="str">
        <f t="shared" si="3"/>
        <v>003</v>
      </c>
      <c r="G212" s="126">
        <v>45708</v>
      </c>
      <c r="H212" s="125" t="s">
        <v>19645</v>
      </c>
      <c r="I212" s="124">
        <v>32</v>
      </c>
    </row>
    <row r="213" spans="1:9" x14ac:dyDescent="0.3">
      <c r="A213" s="127">
        <v>211</v>
      </c>
      <c r="B213" s="125" t="s">
        <v>14767</v>
      </c>
      <c r="C213" s="10" t="str">
        <f>VLOOKUP(B213,'Data Angt'!$A$5:$B$5809,2,FALSE)</f>
        <v>A5351</v>
      </c>
      <c r="D213" s="125" t="s">
        <v>20077</v>
      </c>
      <c r="E213" s="125" t="s">
        <v>11</v>
      </c>
      <c r="F213" s="125" t="str">
        <f t="shared" si="3"/>
        <v>002</v>
      </c>
      <c r="G213" s="126">
        <v>45708</v>
      </c>
      <c r="H213" s="125" t="s">
        <v>20076</v>
      </c>
      <c r="I213" s="124">
        <v>52</v>
      </c>
    </row>
    <row r="214" spans="1:9" x14ac:dyDescent="0.3">
      <c r="A214" s="127">
        <v>212</v>
      </c>
      <c r="B214" s="125" t="s">
        <v>14769</v>
      </c>
      <c r="C214" s="10" t="str">
        <f>VLOOKUP(B214,'Data Angt'!$A$5:$B$5809,2,FALSE)</f>
        <v>A5352</v>
      </c>
      <c r="D214" s="125" t="s">
        <v>20075</v>
      </c>
      <c r="E214" s="125" t="s">
        <v>22</v>
      </c>
      <c r="F214" s="125" t="str">
        <f t="shared" si="3"/>
        <v>002</v>
      </c>
      <c r="G214" s="126">
        <v>45708</v>
      </c>
      <c r="H214" s="125" t="s">
        <v>20073</v>
      </c>
      <c r="I214" s="124">
        <v>24</v>
      </c>
    </row>
    <row r="215" spans="1:9" x14ac:dyDescent="0.3">
      <c r="A215" s="127">
        <v>213</v>
      </c>
      <c r="B215" s="125" t="s">
        <v>14771</v>
      </c>
      <c r="C215" s="10" t="str">
        <f>VLOOKUP(B215,'Data Angt'!$A$5:$B$5809,2,FALSE)</f>
        <v>A5353</v>
      </c>
      <c r="D215" s="125" t="s">
        <v>20074</v>
      </c>
      <c r="E215" s="125" t="s">
        <v>22</v>
      </c>
      <c r="F215" s="125" t="str">
        <f t="shared" si="3"/>
        <v>002</v>
      </c>
      <c r="G215" s="126">
        <v>45708</v>
      </c>
      <c r="H215" s="125" t="s">
        <v>20073</v>
      </c>
      <c r="I215" s="124">
        <v>49</v>
      </c>
    </row>
    <row r="216" spans="1:9" x14ac:dyDescent="0.3">
      <c r="A216" s="127">
        <v>214</v>
      </c>
      <c r="B216" s="125" t="s">
        <v>14773</v>
      </c>
      <c r="C216" s="10" t="str">
        <f>VLOOKUP(B216,'Data Angt'!$A$5:$B$5809,2,FALSE)</f>
        <v>A5354</v>
      </c>
      <c r="D216" s="125" t="s">
        <v>20072</v>
      </c>
      <c r="E216" s="125" t="s">
        <v>22</v>
      </c>
      <c r="F216" s="125" t="str">
        <f t="shared" si="3"/>
        <v>002</v>
      </c>
      <c r="G216" s="126">
        <v>45708</v>
      </c>
      <c r="H216" s="125" t="s">
        <v>20071</v>
      </c>
      <c r="I216" s="124">
        <v>44</v>
      </c>
    </row>
    <row r="217" spans="1:9" x14ac:dyDescent="0.3">
      <c r="A217" s="127">
        <v>215</v>
      </c>
      <c r="B217" s="125" t="s">
        <v>14775</v>
      </c>
      <c r="C217" s="10" t="str">
        <f>VLOOKUP(B217,'Data Angt'!$A$5:$B$5809,2,FALSE)</f>
        <v>A5355</v>
      </c>
      <c r="D217" s="125" t="s">
        <v>20070</v>
      </c>
      <c r="E217" s="125" t="s">
        <v>22</v>
      </c>
      <c r="F217" s="125" t="str">
        <f t="shared" si="3"/>
        <v>002</v>
      </c>
      <c r="G217" s="126">
        <v>45708</v>
      </c>
      <c r="H217" s="125" t="s">
        <v>19506</v>
      </c>
      <c r="I217" s="124">
        <v>46</v>
      </c>
    </row>
    <row r="218" spans="1:9" x14ac:dyDescent="0.3">
      <c r="A218" s="127">
        <v>216</v>
      </c>
      <c r="B218" s="125" t="s">
        <v>14776</v>
      </c>
      <c r="C218" s="10" t="str">
        <f>VLOOKUP(B218,'Data Angt'!$A$5:$B$5809,2,FALSE)</f>
        <v>A5356</v>
      </c>
      <c r="D218" s="125" t="s">
        <v>20069</v>
      </c>
      <c r="E218" s="125" t="s">
        <v>22</v>
      </c>
      <c r="F218" s="125" t="str">
        <f t="shared" si="3"/>
        <v>001</v>
      </c>
      <c r="G218" s="126">
        <v>45709</v>
      </c>
      <c r="H218" s="125" t="s">
        <v>20068</v>
      </c>
      <c r="I218" s="124">
        <v>20</v>
      </c>
    </row>
    <row r="219" spans="1:9" x14ac:dyDescent="0.3">
      <c r="A219" s="127">
        <v>217</v>
      </c>
      <c r="B219" s="125" t="s">
        <v>14779</v>
      </c>
      <c r="C219" s="10" t="str">
        <f>VLOOKUP(B219,'Data Angt'!$A$5:$B$5809,2,FALSE)</f>
        <v>A5357</v>
      </c>
      <c r="D219" s="125" t="s">
        <v>20067</v>
      </c>
      <c r="E219" s="125" t="s">
        <v>22</v>
      </c>
      <c r="F219" s="125" t="str">
        <f t="shared" si="3"/>
        <v>005</v>
      </c>
      <c r="G219" s="126">
        <v>45709</v>
      </c>
      <c r="H219" s="125" t="s">
        <v>19306</v>
      </c>
      <c r="I219" s="124">
        <v>58</v>
      </c>
    </row>
    <row r="220" spans="1:9" x14ac:dyDescent="0.3">
      <c r="A220" s="127">
        <v>218</v>
      </c>
      <c r="B220" s="125" t="s">
        <v>14783</v>
      </c>
      <c r="C220" s="10" t="str">
        <f>VLOOKUP(B220,'Data Angt'!$A$5:$B$5809,2,FALSE)</f>
        <v>A5358</v>
      </c>
      <c r="D220" s="125" t="s">
        <v>20066</v>
      </c>
      <c r="E220" s="125" t="s">
        <v>22</v>
      </c>
      <c r="F220" s="125" t="str">
        <f t="shared" si="3"/>
        <v>005</v>
      </c>
      <c r="G220" s="126">
        <v>45709</v>
      </c>
      <c r="H220" s="125" t="s">
        <v>20065</v>
      </c>
      <c r="I220" s="124">
        <v>48</v>
      </c>
    </row>
    <row r="221" spans="1:9" x14ac:dyDescent="0.3">
      <c r="A221" s="127">
        <v>219</v>
      </c>
      <c r="B221" s="125" t="s">
        <v>14785</v>
      </c>
      <c r="C221" s="10" t="str">
        <f>VLOOKUP(B221,'Data Angt'!$A$5:$B$5809,2,FALSE)</f>
        <v>A5359</v>
      </c>
      <c r="D221" s="125" t="s">
        <v>20064</v>
      </c>
      <c r="E221" s="125" t="s">
        <v>22</v>
      </c>
      <c r="F221" s="125" t="str">
        <f t="shared" si="3"/>
        <v>005</v>
      </c>
      <c r="G221" s="126">
        <v>45709</v>
      </c>
      <c r="H221" s="125" t="s">
        <v>20063</v>
      </c>
      <c r="I221" s="124">
        <v>48</v>
      </c>
    </row>
    <row r="222" spans="1:9" x14ac:dyDescent="0.3">
      <c r="A222" s="127">
        <v>220</v>
      </c>
      <c r="B222" s="125" t="s">
        <v>14788</v>
      </c>
      <c r="C222" s="10" t="str">
        <f>VLOOKUP(B222,'Data Angt'!$A$5:$B$5809,2,FALSE)</f>
        <v>A5360</v>
      </c>
      <c r="D222" s="125" t="s">
        <v>20062</v>
      </c>
      <c r="E222" s="125" t="s">
        <v>22</v>
      </c>
      <c r="F222" s="125" t="str">
        <f t="shared" si="3"/>
        <v>006</v>
      </c>
      <c r="G222" s="126">
        <v>45709</v>
      </c>
      <c r="H222" s="125" t="s">
        <v>20009</v>
      </c>
      <c r="I222" s="124">
        <v>55</v>
      </c>
    </row>
    <row r="223" spans="1:9" x14ac:dyDescent="0.3">
      <c r="A223" s="127">
        <v>221</v>
      </c>
      <c r="B223" s="125" t="s">
        <v>14790</v>
      </c>
      <c r="C223" s="10" t="str">
        <f>VLOOKUP(B223,'Data Angt'!$A$5:$B$5809,2,FALSE)</f>
        <v>A5361</v>
      </c>
      <c r="D223" s="125" t="s">
        <v>20061</v>
      </c>
      <c r="E223" s="125" t="s">
        <v>22</v>
      </c>
      <c r="F223" s="125" t="str">
        <f t="shared" si="3"/>
        <v>006</v>
      </c>
      <c r="G223" s="126">
        <v>45709</v>
      </c>
      <c r="H223" s="125" t="s">
        <v>20009</v>
      </c>
      <c r="I223" s="124">
        <v>37</v>
      </c>
    </row>
    <row r="224" spans="1:9" x14ac:dyDescent="0.3">
      <c r="A224" s="127">
        <v>222</v>
      </c>
      <c r="B224" s="125" t="s">
        <v>14792</v>
      </c>
      <c r="C224" s="10" t="str">
        <f>VLOOKUP(B224,'Data Angt'!$A$5:$B$5809,2,FALSE)</f>
        <v>A5362</v>
      </c>
      <c r="D224" s="125" t="s">
        <v>20060</v>
      </c>
      <c r="E224" s="125" t="s">
        <v>22</v>
      </c>
      <c r="F224" s="125" t="str">
        <f t="shared" si="3"/>
        <v>005</v>
      </c>
      <c r="G224" s="126">
        <v>45709</v>
      </c>
      <c r="H224" s="125" t="s">
        <v>20059</v>
      </c>
      <c r="I224" s="124">
        <v>45</v>
      </c>
    </row>
    <row r="225" spans="1:9" x14ac:dyDescent="0.3">
      <c r="A225" s="127">
        <v>223</v>
      </c>
      <c r="B225" s="125" t="s">
        <v>14794</v>
      </c>
      <c r="C225" s="10" t="str">
        <f>VLOOKUP(B225,'Data Angt'!$A$5:$B$5809,2,FALSE)</f>
        <v>A5363</v>
      </c>
      <c r="D225" s="125" t="s">
        <v>20058</v>
      </c>
      <c r="E225" s="125" t="s">
        <v>22</v>
      </c>
      <c r="F225" s="125" t="str">
        <f t="shared" si="3"/>
        <v>005</v>
      </c>
      <c r="G225" s="126">
        <v>45709</v>
      </c>
      <c r="H225" s="125" t="s">
        <v>20057</v>
      </c>
      <c r="I225" s="124">
        <v>53</v>
      </c>
    </row>
    <row r="226" spans="1:9" x14ac:dyDescent="0.3">
      <c r="A226" s="127">
        <v>224</v>
      </c>
      <c r="B226" s="125" t="s">
        <v>14796</v>
      </c>
      <c r="C226" s="10" t="str">
        <f>VLOOKUP(B226,'Data Angt'!$A$5:$B$5809,2,FALSE)</f>
        <v>A5364</v>
      </c>
      <c r="D226" s="125" t="s">
        <v>20056</v>
      </c>
      <c r="E226" s="125" t="s">
        <v>22</v>
      </c>
      <c r="F226" s="125" t="str">
        <f t="shared" si="3"/>
        <v>005</v>
      </c>
      <c r="G226" s="126">
        <v>45709</v>
      </c>
      <c r="H226" s="125" t="s">
        <v>20055</v>
      </c>
      <c r="I226" s="124">
        <v>55</v>
      </c>
    </row>
    <row r="227" spans="1:9" x14ac:dyDescent="0.3">
      <c r="A227" s="127">
        <v>225</v>
      </c>
      <c r="B227" s="125" t="s">
        <v>14799</v>
      </c>
      <c r="C227" s="10" t="str">
        <f>VLOOKUP(B227,'Data Angt'!$A$5:$B$5809,2,FALSE)</f>
        <v>A5365</v>
      </c>
      <c r="D227" s="125" t="s">
        <v>20054</v>
      </c>
      <c r="E227" s="125" t="s">
        <v>22</v>
      </c>
      <c r="F227" s="125" t="str">
        <f t="shared" si="3"/>
        <v>001</v>
      </c>
      <c r="G227" s="126">
        <v>45709</v>
      </c>
      <c r="H227" s="125" t="s">
        <v>20053</v>
      </c>
      <c r="I227" s="124">
        <v>43</v>
      </c>
    </row>
    <row r="228" spans="1:9" x14ac:dyDescent="0.3">
      <c r="A228" s="127">
        <v>226</v>
      </c>
      <c r="B228" s="125" t="s">
        <v>14800</v>
      </c>
      <c r="C228" s="10" t="str">
        <f>VLOOKUP(B228,'Data Angt'!$A$5:$B$5809,2,FALSE)</f>
        <v>A5366</v>
      </c>
      <c r="D228" s="125" t="s">
        <v>20052</v>
      </c>
      <c r="E228" s="125" t="s">
        <v>22</v>
      </c>
      <c r="F228" s="125" t="str">
        <f t="shared" si="3"/>
        <v>004</v>
      </c>
      <c r="G228" s="126">
        <v>45709</v>
      </c>
      <c r="H228" s="125" t="s">
        <v>19274</v>
      </c>
      <c r="I228" s="124">
        <v>63</v>
      </c>
    </row>
    <row r="229" spans="1:9" x14ac:dyDescent="0.3">
      <c r="A229" s="127">
        <v>227</v>
      </c>
      <c r="B229" s="125" t="s">
        <v>14801</v>
      </c>
      <c r="C229" s="10" t="str">
        <f>VLOOKUP(B229,'Data Angt'!$A$5:$B$5809,2,FALSE)</f>
        <v>A5367</v>
      </c>
      <c r="D229" s="125" t="s">
        <v>19570</v>
      </c>
      <c r="E229" s="125" t="s">
        <v>22</v>
      </c>
      <c r="F229" s="125" t="str">
        <f t="shared" si="3"/>
        <v>001</v>
      </c>
      <c r="G229" s="126">
        <v>45709</v>
      </c>
      <c r="H229" s="125" t="s">
        <v>20051</v>
      </c>
      <c r="I229" s="124">
        <v>44</v>
      </c>
    </row>
    <row r="230" spans="1:9" x14ac:dyDescent="0.3">
      <c r="A230" s="127">
        <v>228</v>
      </c>
      <c r="B230" s="125" t="s">
        <v>14805</v>
      </c>
      <c r="C230" s="10" t="str">
        <f>VLOOKUP(B230,'Data Angt'!$A$5:$B$5809,2,FALSE)</f>
        <v>A5368</v>
      </c>
      <c r="D230" s="125" t="s">
        <v>20050</v>
      </c>
      <c r="E230" s="125" t="s">
        <v>22</v>
      </c>
      <c r="F230" s="125" t="str">
        <f t="shared" si="3"/>
        <v>003</v>
      </c>
      <c r="G230" s="126">
        <v>45709</v>
      </c>
      <c r="H230" s="125" t="s">
        <v>20049</v>
      </c>
      <c r="I230" s="124">
        <v>48</v>
      </c>
    </row>
    <row r="231" spans="1:9" x14ac:dyDescent="0.3">
      <c r="A231" s="127">
        <v>229</v>
      </c>
      <c r="B231" s="125" t="s">
        <v>14809</v>
      </c>
      <c r="C231" s="10" t="str">
        <f>VLOOKUP(B231,'Data Angt'!$A$5:$B$5809,2,FALSE)</f>
        <v>A5370</v>
      </c>
      <c r="D231" s="125" t="s">
        <v>20048</v>
      </c>
      <c r="E231" s="125" t="s">
        <v>22</v>
      </c>
      <c r="F231" s="125" t="str">
        <f t="shared" si="3"/>
        <v>001</v>
      </c>
      <c r="G231" s="126">
        <v>45710</v>
      </c>
      <c r="H231" s="125" t="s">
        <v>20047</v>
      </c>
      <c r="I231" s="124">
        <v>34</v>
      </c>
    </row>
    <row r="232" spans="1:9" x14ac:dyDescent="0.3">
      <c r="A232" s="127">
        <v>230</v>
      </c>
      <c r="B232" s="125" t="s">
        <v>14810</v>
      </c>
      <c r="C232" s="10" t="str">
        <f>VLOOKUP(B232,'Data Angt'!$A$5:$B$5809,2,FALSE)</f>
        <v>A5371</v>
      </c>
      <c r="D232" s="125" t="s">
        <v>20046</v>
      </c>
      <c r="E232" s="125" t="s">
        <v>22</v>
      </c>
      <c r="F232" s="125" t="str">
        <f t="shared" si="3"/>
        <v>006</v>
      </c>
      <c r="G232" s="126">
        <v>45712</v>
      </c>
      <c r="H232" s="125" t="s">
        <v>20045</v>
      </c>
      <c r="I232" s="124">
        <v>50</v>
      </c>
    </row>
    <row r="233" spans="1:9" x14ac:dyDescent="0.3">
      <c r="A233" s="127">
        <v>231</v>
      </c>
      <c r="B233" s="125" t="s">
        <v>14811</v>
      </c>
      <c r="C233" s="10" t="str">
        <f>VLOOKUP(B233,'Data Angt'!$A$5:$B$5809,2,FALSE)</f>
        <v>A5372</v>
      </c>
      <c r="D233" s="125" t="s">
        <v>20044</v>
      </c>
      <c r="E233" s="125" t="s">
        <v>11</v>
      </c>
      <c r="F233" s="125" t="str">
        <f t="shared" si="3"/>
        <v>006</v>
      </c>
      <c r="G233" s="126">
        <v>45712</v>
      </c>
      <c r="H233" s="125" t="s">
        <v>20043</v>
      </c>
      <c r="I233" s="124">
        <v>59</v>
      </c>
    </row>
    <row r="234" spans="1:9" x14ac:dyDescent="0.3">
      <c r="A234" s="127">
        <v>232</v>
      </c>
      <c r="B234" s="125" t="s">
        <v>14813</v>
      </c>
      <c r="C234" s="10" t="str">
        <f>VLOOKUP(B234,'Data Angt'!$A$5:$B$5809,2,FALSE)</f>
        <v>A5373</v>
      </c>
      <c r="D234" s="125" t="s">
        <v>20042</v>
      </c>
      <c r="E234" s="125" t="s">
        <v>22</v>
      </c>
      <c r="F234" s="125" t="str">
        <f t="shared" si="3"/>
        <v>006</v>
      </c>
      <c r="G234" s="126">
        <v>45712</v>
      </c>
      <c r="H234" s="125" t="s">
        <v>20041</v>
      </c>
      <c r="I234" s="124">
        <v>48</v>
      </c>
    </row>
    <row r="235" spans="1:9" x14ac:dyDescent="0.3">
      <c r="A235" s="127">
        <v>233</v>
      </c>
      <c r="B235" s="125" t="s">
        <v>14814</v>
      </c>
      <c r="C235" s="10" t="str">
        <f>VLOOKUP(B235,'Data Angt'!$A$5:$B$5809,2,FALSE)</f>
        <v>A5374</v>
      </c>
      <c r="D235" s="125" t="s">
        <v>20040</v>
      </c>
      <c r="E235" s="125" t="s">
        <v>22</v>
      </c>
      <c r="F235" s="125" t="str">
        <f t="shared" si="3"/>
        <v>006</v>
      </c>
      <c r="G235" s="126">
        <v>45712</v>
      </c>
      <c r="H235" s="125" t="s">
        <v>20036</v>
      </c>
      <c r="I235" s="124">
        <v>44</v>
      </c>
    </row>
    <row r="236" spans="1:9" x14ac:dyDescent="0.3">
      <c r="A236" s="127">
        <v>234</v>
      </c>
      <c r="B236" s="125" t="s">
        <v>14816</v>
      </c>
      <c r="C236" s="10" t="str">
        <f>VLOOKUP(B236,'Data Angt'!$A$5:$B$5809,2,FALSE)</f>
        <v>A5375</v>
      </c>
      <c r="D236" s="125" t="s">
        <v>20039</v>
      </c>
      <c r="E236" s="125" t="s">
        <v>11</v>
      </c>
      <c r="F236" s="125" t="str">
        <f t="shared" si="3"/>
        <v>006</v>
      </c>
      <c r="G236" s="126">
        <v>45712</v>
      </c>
      <c r="H236" s="125" t="s">
        <v>20038</v>
      </c>
      <c r="I236" s="124">
        <v>57</v>
      </c>
    </row>
    <row r="237" spans="1:9" x14ac:dyDescent="0.3">
      <c r="A237" s="127">
        <v>235</v>
      </c>
      <c r="B237" s="125" t="s">
        <v>14818</v>
      </c>
      <c r="C237" s="10" t="str">
        <f>VLOOKUP(B237,'Data Angt'!$A$5:$B$5809,2,FALSE)</f>
        <v>A5376</v>
      </c>
      <c r="D237" s="125" t="s">
        <v>20037</v>
      </c>
      <c r="E237" s="125" t="s">
        <v>22</v>
      </c>
      <c r="F237" s="125" t="str">
        <f t="shared" si="3"/>
        <v>006</v>
      </c>
      <c r="G237" s="126">
        <v>45712</v>
      </c>
      <c r="H237" s="125" t="s">
        <v>20036</v>
      </c>
      <c r="I237" s="124">
        <v>56</v>
      </c>
    </row>
    <row r="238" spans="1:9" x14ac:dyDescent="0.3">
      <c r="A238" s="127">
        <v>236</v>
      </c>
      <c r="B238" s="125" t="s">
        <v>14820</v>
      </c>
      <c r="C238" s="10" t="str">
        <f>VLOOKUP(B238,'Data Angt'!$A$5:$B$5809,2,FALSE)</f>
        <v>A5377</v>
      </c>
      <c r="D238" s="125" t="s">
        <v>20035</v>
      </c>
      <c r="E238" s="125" t="s">
        <v>22</v>
      </c>
      <c r="F238" s="125" t="str">
        <f t="shared" si="3"/>
        <v>006</v>
      </c>
      <c r="G238" s="126">
        <v>45712</v>
      </c>
      <c r="H238" s="125" t="s">
        <v>20034</v>
      </c>
      <c r="I238" s="124">
        <v>69</v>
      </c>
    </row>
    <row r="239" spans="1:9" x14ac:dyDescent="0.3">
      <c r="A239" s="127">
        <v>237</v>
      </c>
      <c r="B239" s="125" t="s">
        <v>14821</v>
      </c>
      <c r="C239" s="10" t="str">
        <f>VLOOKUP(B239,'Data Angt'!$A$5:$B$5809,2,FALSE)</f>
        <v>A5378</v>
      </c>
      <c r="D239" s="125" t="s">
        <v>20033</v>
      </c>
      <c r="E239" s="125" t="s">
        <v>11</v>
      </c>
      <c r="F239" s="125" t="str">
        <f t="shared" si="3"/>
        <v>002</v>
      </c>
      <c r="G239" s="126">
        <v>45712</v>
      </c>
      <c r="H239" s="125" t="s">
        <v>19274</v>
      </c>
      <c r="I239" s="124">
        <v>56</v>
      </c>
    </row>
    <row r="240" spans="1:9" x14ac:dyDescent="0.3">
      <c r="A240" s="127">
        <v>238</v>
      </c>
      <c r="B240" s="125" t="s">
        <v>14824</v>
      </c>
      <c r="C240" s="10" t="str">
        <f>VLOOKUP(B240,'Data Angt'!$A$5:$B$5809,2,FALSE)</f>
        <v>A5379</v>
      </c>
      <c r="D240" s="125" t="s">
        <v>20032</v>
      </c>
      <c r="E240" s="125" t="s">
        <v>22</v>
      </c>
      <c r="F240" s="125" t="str">
        <f t="shared" si="3"/>
        <v>004</v>
      </c>
      <c r="G240" s="126">
        <v>45712</v>
      </c>
      <c r="H240" s="125" t="s">
        <v>20031</v>
      </c>
      <c r="I240" s="124">
        <v>43</v>
      </c>
    </row>
    <row r="241" spans="1:9" x14ac:dyDescent="0.3">
      <c r="A241" s="127">
        <v>239</v>
      </c>
      <c r="B241" s="125" t="s">
        <v>14827</v>
      </c>
      <c r="C241" s="10" t="str">
        <f>VLOOKUP(B241,'Data Angt'!$A$5:$B$5809,2,FALSE)</f>
        <v>A5380</v>
      </c>
      <c r="D241" s="125" t="s">
        <v>20030</v>
      </c>
      <c r="E241" s="125" t="s">
        <v>22</v>
      </c>
      <c r="F241" s="125" t="str">
        <f t="shared" si="3"/>
        <v>004</v>
      </c>
      <c r="G241" s="126">
        <v>45712</v>
      </c>
      <c r="H241" s="125" t="s">
        <v>19806</v>
      </c>
      <c r="I241" s="124">
        <v>42</v>
      </c>
    </row>
    <row r="242" spans="1:9" x14ac:dyDescent="0.3">
      <c r="A242" s="127">
        <v>240</v>
      </c>
      <c r="B242" s="125" t="s">
        <v>14829</v>
      </c>
      <c r="C242" s="10" t="str">
        <f>VLOOKUP(B242,'Data Angt'!$A$5:$B$5809,2,FALSE)</f>
        <v>A5381</v>
      </c>
      <c r="D242" s="125" t="s">
        <v>20029</v>
      </c>
      <c r="E242" s="125" t="s">
        <v>22</v>
      </c>
      <c r="F242" s="125" t="str">
        <f t="shared" si="3"/>
        <v>001</v>
      </c>
      <c r="G242" s="126">
        <v>45713</v>
      </c>
      <c r="H242" s="125" t="s">
        <v>20027</v>
      </c>
      <c r="I242" s="124">
        <v>19</v>
      </c>
    </row>
    <row r="243" spans="1:9" x14ac:dyDescent="0.3">
      <c r="A243" s="127">
        <v>241</v>
      </c>
      <c r="B243" s="125" t="s">
        <v>14830</v>
      </c>
      <c r="C243" s="10" t="str">
        <f>VLOOKUP(B243,'Data Angt'!$A$5:$B$5809,2,FALSE)</f>
        <v>A5382</v>
      </c>
      <c r="D243" s="125" t="s">
        <v>20028</v>
      </c>
      <c r="E243" s="125" t="s">
        <v>22</v>
      </c>
      <c r="F243" s="125" t="str">
        <f t="shared" si="3"/>
        <v>001</v>
      </c>
      <c r="G243" s="126">
        <v>45713</v>
      </c>
      <c r="H243" s="125" t="s">
        <v>20027</v>
      </c>
      <c r="I243" s="124">
        <v>39</v>
      </c>
    </row>
    <row r="244" spans="1:9" x14ac:dyDescent="0.3">
      <c r="A244" s="127">
        <v>242</v>
      </c>
      <c r="B244" s="125" t="s">
        <v>14832</v>
      </c>
      <c r="C244" s="10" t="str">
        <f>VLOOKUP(B244,'Data Angt'!$A$5:$B$5809,2,FALSE)</f>
        <v>A5383</v>
      </c>
      <c r="D244" s="125" t="s">
        <v>20026</v>
      </c>
      <c r="E244" s="125" t="s">
        <v>11</v>
      </c>
      <c r="F244" s="125" t="str">
        <f t="shared" si="3"/>
        <v>001</v>
      </c>
      <c r="G244" s="126">
        <v>45713</v>
      </c>
      <c r="H244" s="125" t="s">
        <v>20025</v>
      </c>
      <c r="I244" s="124">
        <v>59</v>
      </c>
    </row>
    <row r="245" spans="1:9" x14ac:dyDescent="0.3">
      <c r="A245" s="127">
        <v>243</v>
      </c>
      <c r="B245" s="125" t="s">
        <v>14836</v>
      </c>
      <c r="C245" s="10" t="str">
        <f>VLOOKUP(B245,'Data Angt'!$A$5:$B$5809,2,FALSE)</f>
        <v>A5384</v>
      </c>
      <c r="D245" s="125" t="s">
        <v>20024</v>
      </c>
      <c r="E245" s="125" t="s">
        <v>11</v>
      </c>
      <c r="F245" s="125" t="str">
        <f t="shared" si="3"/>
        <v>001</v>
      </c>
      <c r="G245" s="126">
        <v>45713</v>
      </c>
      <c r="H245" s="125" t="s">
        <v>20023</v>
      </c>
      <c r="I245" s="124">
        <v>51</v>
      </c>
    </row>
    <row r="246" spans="1:9" x14ac:dyDescent="0.3">
      <c r="A246" s="127">
        <v>244</v>
      </c>
      <c r="B246" s="125" t="s">
        <v>14839</v>
      </c>
      <c r="C246" s="10" t="str">
        <f>VLOOKUP(B246,'Data Angt'!$A$5:$B$5809,2,FALSE)</f>
        <v>A5385</v>
      </c>
      <c r="D246" s="125" t="s">
        <v>19397</v>
      </c>
      <c r="E246" s="125" t="s">
        <v>11</v>
      </c>
      <c r="F246" s="125" t="str">
        <f t="shared" si="3"/>
        <v>002</v>
      </c>
      <c r="G246" s="126">
        <v>45713</v>
      </c>
      <c r="H246" s="125" t="s">
        <v>20022</v>
      </c>
      <c r="I246" s="124">
        <v>54</v>
      </c>
    </row>
    <row r="247" spans="1:9" x14ac:dyDescent="0.3">
      <c r="A247" s="127">
        <v>245</v>
      </c>
      <c r="B247" s="125" t="s">
        <v>14842</v>
      </c>
      <c r="C247" s="10" t="str">
        <f>VLOOKUP(B247,'Data Angt'!$A$5:$B$5809,2,FALSE)</f>
        <v>A5386</v>
      </c>
      <c r="D247" s="125" t="s">
        <v>20021</v>
      </c>
      <c r="E247" s="125" t="s">
        <v>11</v>
      </c>
      <c r="F247" s="125" t="str">
        <f t="shared" si="3"/>
        <v>005</v>
      </c>
      <c r="G247" s="126">
        <v>45714</v>
      </c>
      <c r="H247" s="125" t="s">
        <v>20020</v>
      </c>
      <c r="I247" s="124">
        <v>18</v>
      </c>
    </row>
    <row r="248" spans="1:9" x14ac:dyDescent="0.3">
      <c r="A248" s="127">
        <v>246</v>
      </c>
      <c r="B248" s="125" t="s">
        <v>14844</v>
      </c>
      <c r="C248" s="10" t="str">
        <f>VLOOKUP(B248,'Data Angt'!$A$5:$B$5809,2,FALSE)</f>
        <v>A5387</v>
      </c>
      <c r="D248" s="125" t="s">
        <v>20019</v>
      </c>
      <c r="E248" s="125" t="s">
        <v>22</v>
      </c>
      <c r="F248" s="125" t="str">
        <f t="shared" si="3"/>
        <v>004</v>
      </c>
      <c r="G248" s="126">
        <v>45714</v>
      </c>
      <c r="H248" s="125" t="s">
        <v>20018</v>
      </c>
      <c r="I248" s="124">
        <v>33</v>
      </c>
    </row>
    <row r="249" spans="1:9" x14ac:dyDescent="0.3">
      <c r="A249" s="127">
        <v>247</v>
      </c>
      <c r="B249" s="125" t="s">
        <v>14846</v>
      </c>
      <c r="C249" s="10" t="str">
        <f>VLOOKUP(B249,'Data Angt'!$A$5:$B$5809,2,FALSE)</f>
        <v>A5388</v>
      </c>
      <c r="D249" s="125" t="s">
        <v>20017</v>
      </c>
      <c r="E249" s="125" t="s">
        <v>11</v>
      </c>
      <c r="F249" s="125" t="str">
        <f t="shared" si="3"/>
        <v>001</v>
      </c>
      <c r="G249" s="126">
        <v>45715</v>
      </c>
      <c r="H249" s="125" t="s">
        <v>20016</v>
      </c>
      <c r="I249" s="124">
        <v>37</v>
      </c>
    </row>
    <row r="250" spans="1:9" x14ac:dyDescent="0.3">
      <c r="A250" s="127">
        <v>248</v>
      </c>
      <c r="B250" s="125" t="s">
        <v>14849</v>
      </c>
      <c r="C250" s="10" t="str">
        <f>VLOOKUP(B250,'Data Angt'!$A$5:$B$5809,2,FALSE)</f>
        <v>A5389</v>
      </c>
      <c r="D250" s="125" t="s">
        <v>20015</v>
      </c>
      <c r="E250" s="125" t="s">
        <v>11</v>
      </c>
      <c r="F250" s="125" t="str">
        <f t="shared" si="3"/>
        <v>001</v>
      </c>
      <c r="G250" s="126">
        <v>45715</v>
      </c>
      <c r="H250" s="125" t="s">
        <v>20014</v>
      </c>
      <c r="I250" s="124">
        <v>23</v>
      </c>
    </row>
    <row r="251" spans="1:9" x14ac:dyDescent="0.3">
      <c r="A251" s="127">
        <v>249</v>
      </c>
      <c r="B251" s="125" t="s">
        <v>14852</v>
      </c>
      <c r="C251" s="10" t="str">
        <f>VLOOKUP(B251,'Data Angt'!$A$5:$B$5809,2,FALSE)</f>
        <v>A5390</v>
      </c>
      <c r="D251" s="125" t="s">
        <v>20013</v>
      </c>
      <c r="E251" s="125" t="s">
        <v>22</v>
      </c>
      <c r="F251" s="125" t="str">
        <f t="shared" si="3"/>
        <v>005</v>
      </c>
      <c r="G251" s="126">
        <v>45715</v>
      </c>
      <c r="H251" s="125" t="s">
        <v>20012</v>
      </c>
      <c r="I251" s="124">
        <v>47</v>
      </c>
    </row>
    <row r="252" spans="1:9" x14ac:dyDescent="0.3">
      <c r="A252" s="127">
        <v>250</v>
      </c>
      <c r="B252" s="125" t="s">
        <v>14854</v>
      </c>
      <c r="C252" s="10" t="str">
        <f>VLOOKUP(B252,'Data Angt'!$A$5:$B$5809,2,FALSE)</f>
        <v>A5391</v>
      </c>
      <c r="D252" s="125" t="s">
        <v>20011</v>
      </c>
      <c r="E252" s="125" t="s">
        <v>22</v>
      </c>
      <c r="F252" s="125" t="str">
        <f t="shared" si="3"/>
        <v>006</v>
      </c>
      <c r="G252" s="126">
        <v>45715</v>
      </c>
      <c r="H252" s="125" t="s">
        <v>20009</v>
      </c>
      <c r="I252" s="124">
        <v>31</v>
      </c>
    </row>
    <row r="253" spans="1:9" x14ac:dyDescent="0.3">
      <c r="A253" s="127">
        <v>251</v>
      </c>
      <c r="B253" s="125" t="s">
        <v>14856</v>
      </c>
      <c r="C253" s="10" t="str">
        <f>VLOOKUP(B253,'Data Angt'!$A$5:$B$5809,2,FALSE)</f>
        <v>A5392</v>
      </c>
      <c r="D253" s="125" t="s">
        <v>20010</v>
      </c>
      <c r="E253" s="125" t="s">
        <v>11</v>
      </c>
      <c r="F253" s="125" t="str">
        <f t="shared" si="3"/>
        <v>006</v>
      </c>
      <c r="G253" s="126">
        <v>45715</v>
      </c>
      <c r="H253" s="125" t="s">
        <v>20009</v>
      </c>
      <c r="I253" s="124">
        <v>39</v>
      </c>
    </row>
    <row r="254" spans="1:9" x14ac:dyDescent="0.3">
      <c r="A254" s="127">
        <v>252</v>
      </c>
      <c r="B254" s="125" t="s">
        <v>14858</v>
      </c>
      <c r="C254" s="10" t="str">
        <f>VLOOKUP(B254,'Data Angt'!$A$5:$B$5809,2,FALSE)</f>
        <v>A5393</v>
      </c>
      <c r="D254" s="125" t="s">
        <v>20008</v>
      </c>
      <c r="E254" s="125" t="s">
        <v>22</v>
      </c>
      <c r="F254" s="125" t="str">
        <f t="shared" si="3"/>
        <v>005</v>
      </c>
      <c r="G254" s="126">
        <v>45715</v>
      </c>
      <c r="H254" s="125" t="s">
        <v>20007</v>
      </c>
      <c r="I254" s="124">
        <v>22</v>
      </c>
    </row>
    <row r="255" spans="1:9" x14ac:dyDescent="0.3">
      <c r="A255" s="127">
        <v>253</v>
      </c>
      <c r="B255" s="125" t="s">
        <v>14860</v>
      </c>
      <c r="C255" s="10" t="str">
        <f>VLOOKUP(B255,'Data Angt'!$A$5:$B$5809,2,FALSE)</f>
        <v>A5394</v>
      </c>
      <c r="D255" s="125" t="s">
        <v>20006</v>
      </c>
      <c r="E255" s="125" t="s">
        <v>11</v>
      </c>
      <c r="F255" s="125" t="str">
        <f t="shared" si="3"/>
        <v>001</v>
      </c>
      <c r="G255" s="126">
        <v>45715</v>
      </c>
      <c r="H255" s="125" t="s">
        <v>20005</v>
      </c>
      <c r="I255" s="124">
        <v>40</v>
      </c>
    </row>
    <row r="256" spans="1:9" x14ac:dyDescent="0.3">
      <c r="A256" s="127">
        <v>254</v>
      </c>
      <c r="B256" s="125" t="s">
        <v>14861</v>
      </c>
      <c r="C256" s="10" t="str">
        <f>VLOOKUP(B256,'Data Angt'!$A$5:$B$5809,2,FALSE)</f>
        <v>A5395</v>
      </c>
      <c r="D256" s="125" t="s">
        <v>20004</v>
      </c>
      <c r="E256" s="125" t="s">
        <v>22</v>
      </c>
      <c r="F256" s="125" t="str">
        <f t="shared" si="3"/>
        <v>001</v>
      </c>
      <c r="G256" s="126">
        <v>45715</v>
      </c>
      <c r="H256" s="125" t="s">
        <v>19462</v>
      </c>
      <c r="I256" s="124">
        <v>27</v>
      </c>
    </row>
    <row r="257" spans="1:9" x14ac:dyDescent="0.3">
      <c r="A257" s="127">
        <v>255</v>
      </c>
      <c r="B257" s="125" t="s">
        <v>14863</v>
      </c>
      <c r="C257" s="10" t="str">
        <f>VLOOKUP(B257,'Data Angt'!$A$5:$B$5809,2,FALSE)</f>
        <v>A5396</v>
      </c>
      <c r="D257" s="125" t="s">
        <v>20003</v>
      </c>
      <c r="E257" s="125" t="s">
        <v>22</v>
      </c>
      <c r="F257" s="125" t="str">
        <f t="shared" si="3"/>
        <v>001</v>
      </c>
      <c r="G257" s="126">
        <v>45715</v>
      </c>
      <c r="H257" s="125" t="s">
        <v>20002</v>
      </c>
      <c r="I257" s="124">
        <v>28</v>
      </c>
    </row>
    <row r="258" spans="1:9" x14ac:dyDescent="0.3">
      <c r="A258" s="127">
        <v>256</v>
      </c>
      <c r="B258" s="125" t="s">
        <v>14865</v>
      </c>
      <c r="C258" s="10" t="str">
        <f>VLOOKUP(B258,'Data Angt'!$A$5:$B$5809,2,FALSE)</f>
        <v>A5397</v>
      </c>
      <c r="D258" s="125" t="s">
        <v>20001</v>
      </c>
      <c r="E258" s="125" t="s">
        <v>11</v>
      </c>
      <c r="F258" s="125" t="str">
        <f t="shared" si="3"/>
        <v>001</v>
      </c>
      <c r="G258" s="126">
        <v>45715</v>
      </c>
      <c r="H258" s="125" t="s">
        <v>20000</v>
      </c>
      <c r="I258" s="124">
        <v>19</v>
      </c>
    </row>
    <row r="259" spans="1:9" x14ac:dyDescent="0.3">
      <c r="A259" s="127">
        <v>257</v>
      </c>
      <c r="B259" s="125" t="s">
        <v>14867</v>
      </c>
      <c r="C259" s="10" t="str">
        <f>VLOOKUP(B259,'Data Angt'!$A$5:$B$5809,2,FALSE)</f>
        <v>A5398</v>
      </c>
      <c r="D259" s="125" t="s">
        <v>19999</v>
      </c>
      <c r="E259" s="125" t="s">
        <v>22</v>
      </c>
      <c r="F259" s="125" t="str">
        <f t="shared" si="3"/>
        <v>005</v>
      </c>
      <c r="G259" s="126">
        <v>45716</v>
      </c>
      <c r="H259" s="125" t="s">
        <v>19998</v>
      </c>
      <c r="I259" s="124">
        <v>50</v>
      </c>
    </row>
    <row r="260" spans="1:9" x14ac:dyDescent="0.3">
      <c r="A260" s="127">
        <v>258</v>
      </c>
      <c r="B260" s="125" t="s">
        <v>14869</v>
      </c>
      <c r="C260" s="10" t="str">
        <f>VLOOKUP(B260,'Data Angt'!$A$5:$B$5809,2,FALSE)</f>
        <v>A5399</v>
      </c>
      <c r="D260" s="125" t="s">
        <v>19997</v>
      </c>
      <c r="E260" s="125" t="s">
        <v>22</v>
      </c>
      <c r="F260" s="125" t="str">
        <f t="shared" ref="F260:F323" si="4">MID(B260,7,3)</f>
        <v>004</v>
      </c>
      <c r="G260" s="126">
        <v>45716</v>
      </c>
      <c r="H260" s="125" t="s">
        <v>19996</v>
      </c>
      <c r="I260" s="124">
        <v>22</v>
      </c>
    </row>
    <row r="261" spans="1:9" x14ac:dyDescent="0.3">
      <c r="A261" s="127">
        <v>259</v>
      </c>
      <c r="B261" s="125" t="s">
        <v>14871</v>
      </c>
      <c r="C261" s="10" t="str">
        <f>VLOOKUP(B261,'Data Angt'!$A$5:$B$5809,2,FALSE)</f>
        <v>A5400</v>
      </c>
      <c r="D261" s="125" t="s">
        <v>19995</v>
      </c>
      <c r="E261" s="125" t="s">
        <v>22</v>
      </c>
      <c r="F261" s="125" t="str">
        <f t="shared" si="4"/>
        <v>002</v>
      </c>
      <c r="G261" s="126">
        <v>45716</v>
      </c>
      <c r="H261" s="125" t="s">
        <v>19452</v>
      </c>
      <c r="I261" s="124">
        <v>29</v>
      </c>
    </row>
    <row r="262" spans="1:9" x14ac:dyDescent="0.3">
      <c r="A262" s="127">
        <v>260</v>
      </c>
      <c r="B262" s="125" t="s">
        <v>14874</v>
      </c>
      <c r="C262" s="10" t="str">
        <f>VLOOKUP(B262,'Data Angt'!$A$5:$B$5809,2,FALSE)</f>
        <v>A5401</v>
      </c>
      <c r="D262" s="125" t="s">
        <v>19994</v>
      </c>
      <c r="E262" s="125" t="s">
        <v>22</v>
      </c>
      <c r="F262" s="125" t="str">
        <f t="shared" si="4"/>
        <v>001</v>
      </c>
      <c r="G262" s="126">
        <v>45716</v>
      </c>
      <c r="H262" s="125" t="s">
        <v>19993</v>
      </c>
      <c r="I262" s="124">
        <v>55</v>
      </c>
    </row>
    <row r="263" spans="1:9" x14ac:dyDescent="0.3">
      <c r="A263" s="127">
        <v>261</v>
      </c>
      <c r="B263" s="125" t="s">
        <v>14876</v>
      </c>
      <c r="C263" s="10" t="str">
        <f>VLOOKUP(B263,'Data Angt'!$A$5:$B$5809,2,FALSE)</f>
        <v>A5402</v>
      </c>
      <c r="D263" s="125" t="s">
        <v>19992</v>
      </c>
      <c r="E263" s="125" t="s">
        <v>11</v>
      </c>
      <c r="F263" s="125" t="str">
        <f t="shared" si="4"/>
        <v>004</v>
      </c>
      <c r="G263" s="126">
        <v>45719</v>
      </c>
      <c r="H263" s="125" t="s">
        <v>19882</v>
      </c>
      <c r="I263" s="124">
        <v>53</v>
      </c>
    </row>
    <row r="264" spans="1:9" x14ac:dyDescent="0.3">
      <c r="A264" s="127">
        <v>262</v>
      </c>
      <c r="B264" s="125" t="s">
        <v>14879</v>
      </c>
      <c r="C264" s="10" t="str">
        <f>VLOOKUP(B264,'Data Angt'!$A$5:$B$5809,2,FALSE)</f>
        <v>A5403</v>
      </c>
      <c r="D264" s="125" t="s">
        <v>19991</v>
      </c>
      <c r="E264" s="125" t="s">
        <v>22</v>
      </c>
      <c r="F264" s="125" t="str">
        <f t="shared" si="4"/>
        <v>004</v>
      </c>
      <c r="G264" s="126">
        <v>45720</v>
      </c>
      <c r="H264" s="125" t="s">
        <v>19772</v>
      </c>
      <c r="I264" s="124">
        <v>37</v>
      </c>
    </row>
    <row r="265" spans="1:9" x14ac:dyDescent="0.3">
      <c r="A265" s="127">
        <v>263</v>
      </c>
      <c r="B265" s="125" t="s">
        <v>14882</v>
      </c>
      <c r="C265" s="10" t="str">
        <f>VLOOKUP(B265,'Data Angt'!$A$5:$B$5809,2,FALSE)</f>
        <v>A5404</v>
      </c>
      <c r="D265" s="125" t="s">
        <v>19990</v>
      </c>
      <c r="E265" s="125" t="s">
        <v>22</v>
      </c>
      <c r="F265" s="125" t="str">
        <f t="shared" si="4"/>
        <v>002</v>
      </c>
      <c r="G265" s="126">
        <v>45720</v>
      </c>
      <c r="H265" s="125" t="s">
        <v>19989</v>
      </c>
      <c r="I265" s="124">
        <v>48</v>
      </c>
    </row>
    <row r="266" spans="1:9" x14ac:dyDescent="0.3">
      <c r="A266" s="127">
        <v>264</v>
      </c>
      <c r="B266" s="125" t="s">
        <v>14883</v>
      </c>
      <c r="C266" s="10" t="str">
        <f>VLOOKUP(B266,'Data Angt'!$A$5:$B$5809,2,FALSE)</f>
        <v>A5405</v>
      </c>
      <c r="D266" s="125" t="s">
        <v>19769</v>
      </c>
      <c r="E266" s="125" t="s">
        <v>22</v>
      </c>
      <c r="F266" s="125" t="str">
        <f t="shared" si="4"/>
        <v>003</v>
      </c>
      <c r="G266" s="126">
        <v>45720</v>
      </c>
      <c r="H266" s="125" t="s">
        <v>19988</v>
      </c>
      <c r="I266" s="124">
        <v>22</v>
      </c>
    </row>
    <row r="267" spans="1:9" x14ac:dyDescent="0.3">
      <c r="A267" s="127">
        <v>265</v>
      </c>
      <c r="B267" s="125" t="s">
        <v>14886</v>
      </c>
      <c r="C267" s="10" t="str">
        <f>VLOOKUP(B267,'Data Angt'!$A$5:$B$5809,2,FALSE)</f>
        <v>A5406</v>
      </c>
      <c r="D267" s="125" t="s">
        <v>19987</v>
      </c>
      <c r="E267" s="125" t="s">
        <v>22</v>
      </c>
      <c r="F267" s="125" t="str">
        <f t="shared" si="4"/>
        <v>002</v>
      </c>
      <c r="G267" s="126">
        <v>45720</v>
      </c>
      <c r="H267" s="125" t="s">
        <v>19986</v>
      </c>
      <c r="I267" s="124">
        <v>34</v>
      </c>
    </row>
    <row r="268" spans="1:9" x14ac:dyDescent="0.3">
      <c r="A268" s="127">
        <v>266</v>
      </c>
      <c r="B268" s="125" t="s">
        <v>14888</v>
      </c>
      <c r="C268" s="10" t="str">
        <f>VLOOKUP(B268,'Data Angt'!$A$5:$B$5809,2,FALSE)</f>
        <v>A5407</v>
      </c>
      <c r="D268" s="125" t="s">
        <v>19985</v>
      </c>
      <c r="E268" s="125" t="s">
        <v>22</v>
      </c>
      <c r="F268" s="125" t="str">
        <f t="shared" si="4"/>
        <v>002</v>
      </c>
      <c r="G268" s="126">
        <v>45720</v>
      </c>
      <c r="H268" s="125" t="s">
        <v>19506</v>
      </c>
      <c r="I268" s="124">
        <v>23</v>
      </c>
    </row>
    <row r="269" spans="1:9" x14ac:dyDescent="0.3">
      <c r="A269" s="127">
        <v>267</v>
      </c>
      <c r="B269" s="125" t="s">
        <v>14890</v>
      </c>
      <c r="C269" s="10" t="str">
        <f>VLOOKUP(B269,'Data Angt'!$A$5:$B$5809,2,FALSE)</f>
        <v>A5408</v>
      </c>
      <c r="D269" s="125" t="s">
        <v>19984</v>
      </c>
      <c r="E269" s="125" t="s">
        <v>22</v>
      </c>
      <c r="F269" s="125" t="str">
        <f t="shared" si="4"/>
        <v>001</v>
      </c>
      <c r="G269" s="126">
        <v>45720</v>
      </c>
      <c r="H269" s="125" t="s">
        <v>19983</v>
      </c>
      <c r="I269" s="124">
        <v>54</v>
      </c>
    </row>
    <row r="270" spans="1:9" x14ac:dyDescent="0.3">
      <c r="A270" s="127">
        <v>268</v>
      </c>
      <c r="B270" s="125" t="s">
        <v>14893</v>
      </c>
      <c r="C270" s="10" t="str">
        <f>VLOOKUP(B270,'Data Angt'!$A$5:$B$5809,2,FALSE)</f>
        <v>A5409</v>
      </c>
      <c r="D270" s="125" t="s">
        <v>19982</v>
      </c>
      <c r="E270" s="125" t="s">
        <v>11</v>
      </c>
      <c r="F270" s="125" t="str">
        <f t="shared" si="4"/>
        <v>001</v>
      </c>
      <c r="G270" s="126">
        <v>45721</v>
      </c>
      <c r="H270" s="125" t="s">
        <v>19981</v>
      </c>
      <c r="I270" s="124">
        <v>51</v>
      </c>
    </row>
    <row r="271" spans="1:9" x14ac:dyDescent="0.3">
      <c r="A271" s="127">
        <v>269</v>
      </c>
      <c r="B271" s="125" t="s">
        <v>14895</v>
      </c>
      <c r="C271" s="10" t="str">
        <f>VLOOKUP(B271,'Data Angt'!$A$5:$B$5809,2,FALSE)</f>
        <v>A5410</v>
      </c>
      <c r="D271" s="125" t="s">
        <v>19980</v>
      </c>
      <c r="E271" s="125" t="s">
        <v>22</v>
      </c>
      <c r="F271" s="125" t="str">
        <f t="shared" si="4"/>
        <v>002</v>
      </c>
      <c r="G271" s="126">
        <v>45721</v>
      </c>
      <c r="H271" s="125" t="s">
        <v>19905</v>
      </c>
      <c r="I271" s="124">
        <v>33</v>
      </c>
    </row>
    <row r="272" spans="1:9" x14ac:dyDescent="0.3">
      <c r="A272" s="127">
        <v>270</v>
      </c>
      <c r="B272" s="125" t="s">
        <v>14897</v>
      </c>
      <c r="C272" s="10" t="str">
        <f>VLOOKUP(B272,'Data Angt'!$A$5:$B$5809,2,FALSE)</f>
        <v>A5411</v>
      </c>
      <c r="D272" s="125" t="s">
        <v>19979</v>
      </c>
      <c r="E272" s="125" t="s">
        <v>22</v>
      </c>
      <c r="F272" s="125" t="str">
        <f t="shared" si="4"/>
        <v>003</v>
      </c>
      <c r="G272" s="126">
        <v>45721</v>
      </c>
      <c r="H272" s="125" t="s">
        <v>19978</v>
      </c>
      <c r="I272" s="124">
        <v>40</v>
      </c>
    </row>
    <row r="273" spans="1:9" x14ac:dyDescent="0.3">
      <c r="A273" s="127">
        <v>271</v>
      </c>
      <c r="B273" s="125" t="s">
        <v>14899</v>
      </c>
      <c r="C273" s="10" t="str">
        <f>VLOOKUP(B273,'Data Angt'!$A$5:$B$5809,2,FALSE)</f>
        <v>A5412</v>
      </c>
      <c r="D273" s="125" t="s">
        <v>19977</v>
      </c>
      <c r="E273" s="125" t="s">
        <v>22</v>
      </c>
      <c r="F273" s="125" t="str">
        <f t="shared" si="4"/>
        <v>003</v>
      </c>
      <c r="G273" s="126">
        <v>45721</v>
      </c>
      <c r="H273" s="125" t="s">
        <v>19976</v>
      </c>
      <c r="I273" s="124">
        <v>40</v>
      </c>
    </row>
    <row r="274" spans="1:9" x14ac:dyDescent="0.3">
      <c r="A274" s="127">
        <v>272</v>
      </c>
      <c r="B274" s="125" t="s">
        <v>14942</v>
      </c>
      <c r="C274" s="10" t="str">
        <f>VLOOKUP(B274,'Data Angt'!$A$5:$B$5809,2,FALSE)</f>
        <v>A5431</v>
      </c>
      <c r="D274" s="125" t="s">
        <v>19975</v>
      </c>
      <c r="E274" s="125" t="s">
        <v>22</v>
      </c>
      <c r="F274" s="125" t="str">
        <f t="shared" si="4"/>
        <v>003</v>
      </c>
      <c r="G274" s="126">
        <v>45728</v>
      </c>
      <c r="H274" s="125" t="s">
        <v>19974</v>
      </c>
      <c r="I274" s="124">
        <v>33</v>
      </c>
    </row>
    <row r="275" spans="1:9" x14ac:dyDescent="0.3">
      <c r="A275" s="127">
        <v>273</v>
      </c>
      <c r="B275" s="125" t="s">
        <v>14902</v>
      </c>
      <c r="C275" s="10" t="str">
        <f>VLOOKUP(B275,'Data Angt'!$A$5:$B$5809,2,FALSE)</f>
        <v>A5413</v>
      </c>
      <c r="D275" s="125" t="s">
        <v>19973</v>
      </c>
      <c r="E275" s="125" t="s">
        <v>22</v>
      </c>
      <c r="F275" s="125" t="str">
        <f t="shared" si="4"/>
        <v>003</v>
      </c>
      <c r="G275" s="126">
        <v>45722</v>
      </c>
      <c r="H275" s="125" t="s">
        <v>19972</v>
      </c>
      <c r="I275" s="124">
        <v>42</v>
      </c>
    </row>
    <row r="276" spans="1:9" x14ac:dyDescent="0.3">
      <c r="A276" s="127">
        <v>274</v>
      </c>
      <c r="B276" s="125" t="s">
        <v>14903</v>
      </c>
      <c r="C276" s="10" t="str">
        <f>VLOOKUP(B276,'Data Angt'!$A$5:$B$5809,2,FALSE)</f>
        <v>A5414</v>
      </c>
      <c r="D276" s="125" t="s">
        <v>19971</v>
      </c>
      <c r="E276" s="125" t="s">
        <v>11</v>
      </c>
      <c r="F276" s="125" t="str">
        <f t="shared" si="4"/>
        <v>001</v>
      </c>
      <c r="G276" s="126">
        <v>45722</v>
      </c>
      <c r="H276" s="125" t="s">
        <v>19969</v>
      </c>
      <c r="I276" s="124">
        <v>70</v>
      </c>
    </row>
    <row r="277" spans="1:9" x14ac:dyDescent="0.3">
      <c r="A277" s="127">
        <v>275</v>
      </c>
      <c r="B277" s="125" t="s">
        <v>14905</v>
      </c>
      <c r="C277" s="10" t="str">
        <f>VLOOKUP(B277,'Data Angt'!$A$5:$B$5809,2,FALSE)</f>
        <v>A5415</v>
      </c>
      <c r="D277" s="125" t="s">
        <v>19970</v>
      </c>
      <c r="E277" s="125" t="s">
        <v>22</v>
      </c>
      <c r="F277" s="125" t="str">
        <f t="shared" si="4"/>
        <v>001</v>
      </c>
      <c r="G277" s="126">
        <v>45722</v>
      </c>
      <c r="H277" s="125" t="s">
        <v>19969</v>
      </c>
      <c r="I277" s="124">
        <v>63</v>
      </c>
    </row>
    <row r="278" spans="1:9" x14ac:dyDescent="0.3">
      <c r="A278" s="127">
        <v>276</v>
      </c>
      <c r="B278" s="125" t="s">
        <v>14909</v>
      </c>
      <c r="C278" s="10" t="str">
        <f>VLOOKUP(B278,'Data Angt'!$A$5:$B$5809,2,FALSE)</f>
        <v>A5416</v>
      </c>
      <c r="D278" s="125" t="s">
        <v>19968</v>
      </c>
      <c r="E278" s="125" t="s">
        <v>11</v>
      </c>
      <c r="F278" s="125" t="str">
        <f t="shared" si="4"/>
        <v>001</v>
      </c>
      <c r="G278" s="126">
        <v>45722</v>
      </c>
      <c r="H278" s="125" t="s">
        <v>19967</v>
      </c>
      <c r="I278" s="124">
        <v>30</v>
      </c>
    </row>
    <row r="279" spans="1:9" x14ac:dyDescent="0.3">
      <c r="A279" s="127">
        <v>277</v>
      </c>
      <c r="B279" s="125" t="s">
        <v>14913</v>
      </c>
      <c r="C279" s="10" t="str">
        <f>VLOOKUP(B279,'Data Angt'!$A$5:$B$5809,2,FALSE)</f>
        <v>A5417</v>
      </c>
      <c r="D279" s="125" t="s">
        <v>19966</v>
      </c>
      <c r="E279" s="125" t="s">
        <v>11</v>
      </c>
      <c r="F279" s="125" t="str">
        <f t="shared" si="4"/>
        <v>005</v>
      </c>
      <c r="G279" s="126">
        <v>45723</v>
      </c>
      <c r="H279" s="125" t="s">
        <v>19965</v>
      </c>
      <c r="I279" s="124">
        <v>47</v>
      </c>
    </row>
    <row r="280" spans="1:9" x14ac:dyDescent="0.3">
      <c r="A280" s="127">
        <v>278</v>
      </c>
      <c r="B280" s="125" t="s">
        <v>14915</v>
      </c>
      <c r="C280" s="10" t="str">
        <f>VLOOKUP(B280,'Data Angt'!$A$5:$B$5809,2,FALSE)</f>
        <v>A5418</v>
      </c>
      <c r="D280" s="125" t="s">
        <v>19964</v>
      </c>
      <c r="E280" s="125" t="s">
        <v>22</v>
      </c>
      <c r="F280" s="125" t="str">
        <f t="shared" si="4"/>
        <v>004</v>
      </c>
      <c r="G280" s="126">
        <v>45723</v>
      </c>
      <c r="H280" s="125" t="s">
        <v>19274</v>
      </c>
      <c r="I280" s="124">
        <v>28</v>
      </c>
    </row>
    <row r="281" spans="1:9" x14ac:dyDescent="0.3">
      <c r="A281" s="127">
        <v>279</v>
      </c>
      <c r="B281" s="125" t="s">
        <v>14918</v>
      </c>
      <c r="C281" s="10" t="str">
        <f>VLOOKUP(B281,'Data Angt'!$A$5:$B$5809,2,FALSE)</f>
        <v>A5419</v>
      </c>
      <c r="D281" s="125" t="s">
        <v>19963</v>
      </c>
      <c r="E281" s="125" t="s">
        <v>11</v>
      </c>
      <c r="F281" s="125" t="str">
        <f t="shared" si="4"/>
        <v>006</v>
      </c>
      <c r="G281" s="126">
        <v>45724</v>
      </c>
      <c r="H281" s="125" t="s">
        <v>19962</v>
      </c>
      <c r="I281" s="124">
        <v>38</v>
      </c>
    </row>
    <row r="282" spans="1:9" x14ac:dyDescent="0.3">
      <c r="A282" s="127">
        <v>280</v>
      </c>
      <c r="B282" s="125" t="s">
        <v>14921</v>
      </c>
      <c r="C282" s="10" t="str">
        <f>VLOOKUP(B282,'Data Angt'!$A$5:$B$5809,2,FALSE)</f>
        <v>A5420</v>
      </c>
      <c r="D282" s="125" t="s">
        <v>19598</v>
      </c>
      <c r="E282" s="125" t="s">
        <v>22</v>
      </c>
      <c r="F282" s="125" t="str">
        <f t="shared" si="4"/>
        <v>004</v>
      </c>
      <c r="G282" s="126">
        <v>45724</v>
      </c>
      <c r="H282" s="125" t="s">
        <v>19597</v>
      </c>
      <c r="I282" s="124">
        <v>42</v>
      </c>
    </row>
    <row r="283" spans="1:9" x14ac:dyDescent="0.3">
      <c r="A283" s="127">
        <v>281</v>
      </c>
      <c r="B283" s="125" t="s">
        <v>14923</v>
      </c>
      <c r="C283" s="10" t="str">
        <f>VLOOKUP(B283,'Data Angt'!$A$5:$B$5809,2,FALSE)</f>
        <v>A5421</v>
      </c>
      <c r="D283" s="125" t="s">
        <v>19961</v>
      </c>
      <c r="E283" s="125" t="s">
        <v>22</v>
      </c>
      <c r="F283" s="125" t="str">
        <f t="shared" si="4"/>
        <v>001</v>
      </c>
      <c r="G283" s="126">
        <v>45726</v>
      </c>
      <c r="H283" s="125" t="s">
        <v>19960</v>
      </c>
      <c r="I283" s="124">
        <v>41</v>
      </c>
    </row>
    <row r="284" spans="1:9" x14ac:dyDescent="0.3">
      <c r="A284" s="127">
        <v>282</v>
      </c>
      <c r="B284" s="125" t="s">
        <v>14925</v>
      </c>
      <c r="C284" s="10" t="str">
        <f>VLOOKUP(B284,'Data Angt'!$A$5:$B$5809,2,FALSE)</f>
        <v>A5422</v>
      </c>
      <c r="D284" s="125" t="s">
        <v>19959</v>
      </c>
      <c r="E284" s="125" t="s">
        <v>22</v>
      </c>
      <c r="F284" s="125" t="str">
        <f t="shared" si="4"/>
        <v>001</v>
      </c>
      <c r="G284" s="126">
        <v>45726</v>
      </c>
      <c r="H284" s="125" t="s">
        <v>19958</v>
      </c>
      <c r="I284" s="124">
        <v>70</v>
      </c>
    </row>
    <row r="285" spans="1:9" x14ac:dyDescent="0.3">
      <c r="A285" s="127">
        <v>283</v>
      </c>
      <c r="B285" s="125" t="s">
        <v>14926</v>
      </c>
      <c r="C285" s="10" t="str">
        <f>VLOOKUP(B285,'Data Angt'!$A$5:$B$5809,2,FALSE)</f>
        <v>A5423</v>
      </c>
      <c r="D285" s="125" t="s">
        <v>19957</v>
      </c>
      <c r="E285" s="125" t="s">
        <v>22</v>
      </c>
      <c r="F285" s="125" t="str">
        <f t="shared" si="4"/>
        <v>006</v>
      </c>
      <c r="G285" s="126">
        <v>45726</v>
      </c>
      <c r="H285" s="125" t="s">
        <v>19956</v>
      </c>
      <c r="I285" s="124">
        <v>55</v>
      </c>
    </row>
    <row r="286" spans="1:9" x14ac:dyDescent="0.3">
      <c r="A286" s="127">
        <v>284</v>
      </c>
      <c r="B286" s="125" t="s">
        <v>14928</v>
      </c>
      <c r="C286" s="10" t="str">
        <f>VLOOKUP(B286,'Data Angt'!$A$5:$B$5809,2,FALSE)</f>
        <v>A5424</v>
      </c>
      <c r="D286" s="125" t="s">
        <v>19955</v>
      </c>
      <c r="E286" s="125" t="s">
        <v>11</v>
      </c>
      <c r="F286" s="125" t="str">
        <f t="shared" si="4"/>
        <v>001</v>
      </c>
      <c r="G286" s="126">
        <v>45726</v>
      </c>
      <c r="H286" s="125" t="s">
        <v>19954</v>
      </c>
      <c r="I286" s="124">
        <v>28</v>
      </c>
    </row>
    <row r="287" spans="1:9" x14ac:dyDescent="0.3">
      <c r="A287" s="127">
        <v>285</v>
      </c>
      <c r="B287" s="125" t="s">
        <v>14931</v>
      </c>
      <c r="C287" s="10" t="str">
        <f>VLOOKUP(B287,'Data Angt'!$A$5:$B$5809,2,FALSE)</f>
        <v>A5425</v>
      </c>
      <c r="D287" s="125" t="s">
        <v>19953</v>
      </c>
      <c r="E287" s="125" t="s">
        <v>22</v>
      </c>
      <c r="F287" s="125" t="str">
        <f t="shared" si="4"/>
        <v>003</v>
      </c>
      <c r="G287" s="126">
        <v>45726</v>
      </c>
      <c r="H287" s="125" t="s">
        <v>19952</v>
      </c>
      <c r="I287" s="124">
        <v>58</v>
      </c>
    </row>
    <row r="288" spans="1:9" x14ac:dyDescent="0.3">
      <c r="A288" s="127">
        <v>286</v>
      </c>
      <c r="B288" s="125" t="s">
        <v>14933</v>
      </c>
      <c r="C288" s="10" t="str">
        <f>VLOOKUP(B288,'Data Angt'!$A$5:$B$5809,2,FALSE)</f>
        <v>A5426</v>
      </c>
      <c r="D288" s="125" t="s">
        <v>19951</v>
      </c>
      <c r="E288" s="125" t="s">
        <v>11</v>
      </c>
      <c r="F288" s="125" t="str">
        <f t="shared" si="4"/>
        <v>004</v>
      </c>
      <c r="G288" s="126">
        <v>45726</v>
      </c>
      <c r="H288" s="125" t="s">
        <v>19950</v>
      </c>
      <c r="I288" s="124">
        <v>50</v>
      </c>
    </row>
    <row r="289" spans="1:9" x14ac:dyDescent="0.3">
      <c r="A289" s="127">
        <v>287</v>
      </c>
      <c r="B289" s="125" t="s">
        <v>14935</v>
      </c>
      <c r="C289" s="10" t="str">
        <f>VLOOKUP(B289,'Data Angt'!$A$5:$B$5809,2,FALSE)</f>
        <v>A5427</v>
      </c>
      <c r="D289" s="125" t="s">
        <v>19949</v>
      </c>
      <c r="E289" s="125" t="s">
        <v>22</v>
      </c>
      <c r="F289" s="125" t="str">
        <f t="shared" si="4"/>
        <v>002</v>
      </c>
      <c r="G289" s="126">
        <v>45727</v>
      </c>
      <c r="H289" s="125" t="s">
        <v>19274</v>
      </c>
      <c r="I289" s="124">
        <v>51</v>
      </c>
    </row>
    <row r="290" spans="1:9" x14ac:dyDescent="0.3">
      <c r="A290" s="127">
        <v>288</v>
      </c>
      <c r="B290" s="125" t="s">
        <v>14938</v>
      </c>
      <c r="C290" s="10" t="str">
        <f>VLOOKUP(B290,'Data Angt'!$A$5:$B$5809,2,FALSE)</f>
        <v>A5428</v>
      </c>
      <c r="D290" s="125" t="s">
        <v>19948</v>
      </c>
      <c r="E290" s="125" t="s">
        <v>11</v>
      </c>
      <c r="F290" s="125" t="str">
        <f t="shared" si="4"/>
        <v>003</v>
      </c>
      <c r="G290" s="126">
        <v>45727</v>
      </c>
      <c r="H290" s="125" t="s">
        <v>19947</v>
      </c>
      <c r="I290" s="124">
        <v>27</v>
      </c>
    </row>
    <row r="291" spans="1:9" x14ac:dyDescent="0.3">
      <c r="A291" s="127">
        <v>289</v>
      </c>
      <c r="B291" s="125" t="s">
        <v>14939</v>
      </c>
      <c r="C291" s="10" t="str">
        <f>VLOOKUP(B291,'Data Angt'!$A$5:$B$5809,2,FALSE)</f>
        <v>A5429</v>
      </c>
      <c r="D291" s="125" t="s">
        <v>19946</v>
      </c>
      <c r="E291" s="125" t="s">
        <v>22</v>
      </c>
      <c r="F291" s="125" t="str">
        <f t="shared" si="4"/>
        <v>002</v>
      </c>
      <c r="G291" s="126">
        <v>45727</v>
      </c>
      <c r="H291" s="125" t="s">
        <v>19945</v>
      </c>
      <c r="I291" s="124">
        <v>47</v>
      </c>
    </row>
    <row r="292" spans="1:9" x14ac:dyDescent="0.3">
      <c r="A292" s="127">
        <v>290</v>
      </c>
      <c r="B292" s="125" t="s">
        <v>14940</v>
      </c>
      <c r="C292" s="10" t="str">
        <f>VLOOKUP(B292,'Data Angt'!$A$5:$B$5809,2,FALSE)</f>
        <v>A5430</v>
      </c>
      <c r="D292" s="125" t="s">
        <v>19944</v>
      </c>
      <c r="E292" s="125" t="s">
        <v>11</v>
      </c>
      <c r="F292" s="125" t="str">
        <f t="shared" si="4"/>
        <v>001</v>
      </c>
      <c r="G292" s="126">
        <v>45728</v>
      </c>
      <c r="H292" s="125" t="s">
        <v>19943</v>
      </c>
      <c r="I292" s="124">
        <v>41</v>
      </c>
    </row>
    <row r="293" spans="1:9" x14ac:dyDescent="0.3">
      <c r="A293" s="127">
        <v>291</v>
      </c>
      <c r="B293" s="125" t="s">
        <v>15025</v>
      </c>
      <c r="C293" s="10" t="str">
        <f>VLOOKUP(B293,'Data Angt'!$A$5:$B$5809,2,FALSE)</f>
        <v>A5471</v>
      </c>
      <c r="D293" s="125" t="s">
        <v>19942</v>
      </c>
      <c r="E293" s="125" t="s">
        <v>22</v>
      </c>
      <c r="F293" s="125" t="str">
        <f t="shared" si="4"/>
        <v>006</v>
      </c>
      <c r="G293" s="126">
        <v>45763</v>
      </c>
      <c r="H293" s="125" t="s">
        <v>19941</v>
      </c>
      <c r="I293" s="124">
        <v>42</v>
      </c>
    </row>
    <row r="294" spans="1:9" x14ac:dyDescent="0.3">
      <c r="A294" s="127">
        <v>292</v>
      </c>
      <c r="B294" s="125" t="s">
        <v>14944</v>
      </c>
      <c r="C294" s="10" t="str">
        <f>VLOOKUP(B294,'Data Angt'!$A$5:$B$5809,2,FALSE)</f>
        <v>A5432</v>
      </c>
      <c r="D294" s="125" t="s">
        <v>19938</v>
      </c>
      <c r="E294" s="125" t="s">
        <v>22</v>
      </c>
      <c r="F294" s="125" t="str">
        <f t="shared" si="4"/>
        <v>003</v>
      </c>
      <c r="G294" s="126">
        <v>45729</v>
      </c>
      <c r="H294" s="125" t="s">
        <v>19940</v>
      </c>
      <c r="I294" s="124">
        <v>29</v>
      </c>
    </row>
    <row r="295" spans="1:9" x14ac:dyDescent="0.3">
      <c r="A295" s="127">
        <v>293</v>
      </c>
      <c r="B295" s="125" t="s">
        <v>14945</v>
      </c>
      <c r="C295" s="10" t="str">
        <f>VLOOKUP(B295,'Data Angt'!$A$5:$B$5809,2,FALSE)</f>
        <v>A5433</v>
      </c>
      <c r="D295" s="125" t="s">
        <v>19939</v>
      </c>
      <c r="E295" s="125" t="s">
        <v>11</v>
      </c>
      <c r="F295" s="125" t="str">
        <f t="shared" si="4"/>
        <v>004</v>
      </c>
      <c r="G295" s="126">
        <v>45729</v>
      </c>
      <c r="H295" s="125" t="s">
        <v>19882</v>
      </c>
      <c r="I295" s="124">
        <v>30</v>
      </c>
    </row>
    <row r="296" spans="1:9" x14ac:dyDescent="0.3">
      <c r="A296" s="127">
        <v>294</v>
      </c>
      <c r="B296" s="125" t="s">
        <v>14947</v>
      </c>
      <c r="C296" s="10" t="str">
        <f>VLOOKUP(B296,'Data Angt'!$A$5:$B$5809,2,FALSE)</f>
        <v>A5434</v>
      </c>
      <c r="D296" s="125" t="s">
        <v>19938</v>
      </c>
      <c r="E296" s="125" t="s">
        <v>22</v>
      </c>
      <c r="F296" s="125" t="str">
        <f t="shared" si="4"/>
        <v>004</v>
      </c>
      <c r="G296" s="126">
        <v>45729</v>
      </c>
      <c r="H296" s="125" t="s">
        <v>19663</v>
      </c>
      <c r="I296" s="124">
        <v>29</v>
      </c>
    </row>
    <row r="297" spans="1:9" x14ac:dyDescent="0.3">
      <c r="A297" s="127">
        <v>295</v>
      </c>
      <c r="B297" s="125" t="s">
        <v>14948</v>
      </c>
      <c r="C297" s="10" t="str">
        <f>VLOOKUP(B297,'Data Angt'!$A$5:$B$5809,2,FALSE)</f>
        <v>A5435</v>
      </c>
      <c r="D297" s="125" t="s">
        <v>19937</v>
      </c>
      <c r="E297" s="125" t="s">
        <v>22</v>
      </c>
      <c r="F297" s="125" t="str">
        <f t="shared" si="4"/>
        <v>001</v>
      </c>
      <c r="G297" s="126">
        <v>45730</v>
      </c>
      <c r="H297" s="125" t="s">
        <v>19274</v>
      </c>
      <c r="I297" s="124">
        <v>52</v>
      </c>
    </row>
    <row r="298" spans="1:9" x14ac:dyDescent="0.3">
      <c r="A298" s="127">
        <v>296</v>
      </c>
      <c r="B298" s="125" t="s">
        <v>14949</v>
      </c>
      <c r="C298" s="10" t="str">
        <f>VLOOKUP(B298,'Data Angt'!$A$5:$B$5809,2,FALSE)</f>
        <v>A5436</v>
      </c>
      <c r="D298" s="125" t="s">
        <v>19936</v>
      </c>
      <c r="E298" s="125" t="s">
        <v>22</v>
      </c>
      <c r="F298" s="125" t="str">
        <f t="shared" si="4"/>
        <v>002</v>
      </c>
      <c r="G298" s="126">
        <v>45730</v>
      </c>
      <c r="H298" s="125" t="s">
        <v>19935</v>
      </c>
      <c r="I298" s="124">
        <v>54</v>
      </c>
    </row>
    <row r="299" spans="1:9" x14ac:dyDescent="0.3">
      <c r="A299" s="127">
        <v>297</v>
      </c>
      <c r="B299" s="125" t="s">
        <v>14951</v>
      </c>
      <c r="C299" s="10" t="str">
        <f>VLOOKUP(B299,'Data Angt'!$A$5:$B$5809,2,FALSE)</f>
        <v>A5437</v>
      </c>
      <c r="D299" s="125" t="s">
        <v>19934</v>
      </c>
      <c r="E299" s="125" t="s">
        <v>22</v>
      </c>
      <c r="F299" s="125" t="str">
        <f t="shared" si="4"/>
        <v>004</v>
      </c>
      <c r="G299" s="126">
        <v>45730</v>
      </c>
      <c r="H299" s="125" t="s">
        <v>19933</v>
      </c>
      <c r="I299" s="124">
        <v>19</v>
      </c>
    </row>
    <row r="300" spans="1:9" x14ac:dyDescent="0.3">
      <c r="A300" s="127">
        <v>298</v>
      </c>
      <c r="B300" s="125" t="s">
        <v>14954</v>
      </c>
      <c r="C300" s="10" t="str">
        <f>VLOOKUP(B300,'Data Angt'!$A$5:$B$5809,2,FALSE)</f>
        <v>A5438</v>
      </c>
      <c r="D300" s="125" t="s">
        <v>19932</v>
      </c>
      <c r="E300" s="125" t="s">
        <v>11</v>
      </c>
      <c r="F300" s="125" t="str">
        <f t="shared" si="4"/>
        <v>002</v>
      </c>
      <c r="G300" s="126">
        <v>45730</v>
      </c>
      <c r="H300" s="125" t="s">
        <v>19931</v>
      </c>
      <c r="I300" s="124">
        <v>44</v>
      </c>
    </row>
    <row r="301" spans="1:9" x14ac:dyDescent="0.3">
      <c r="A301" s="127">
        <v>299</v>
      </c>
      <c r="B301" s="125" t="s">
        <v>14957</v>
      </c>
      <c r="C301" s="10" t="str">
        <f>VLOOKUP(B301,'Data Angt'!$A$5:$B$5809,2,FALSE)</f>
        <v>A5439</v>
      </c>
      <c r="D301" s="125" t="s">
        <v>19930</v>
      </c>
      <c r="E301" s="125" t="s">
        <v>22</v>
      </c>
      <c r="F301" s="125" t="str">
        <f t="shared" si="4"/>
        <v>002</v>
      </c>
      <c r="G301" s="126">
        <v>45733</v>
      </c>
      <c r="H301" s="125" t="s">
        <v>19929</v>
      </c>
      <c r="I301" s="124">
        <v>55</v>
      </c>
    </row>
    <row r="302" spans="1:9" x14ac:dyDescent="0.3">
      <c r="A302" s="127">
        <v>300</v>
      </c>
      <c r="B302" s="125" t="s">
        <v>14959</v>
      </c>
      <c r="C302" s="10" t="str">
        <f>VLOOKUP(B302,'Data Angt'!$A$5:$B$5809,2,FALSE)</f>
        <v>A5440</v>
      </c>
      <c r="D302" s="125" t="s">
        <v>19928</v>
      </c>
      <c r="E302" s="125" t="s">
        <v>11</v>
      </c>
      <c r="F302" s="125" t="str">
        <f t="shared" si="4"/>
        <v>005</v>
      </c>
      <c r="G302" s="126">
        <v>45734</v>
      </c>
      <c r="H302" s="125" t="s">
        <v>19927</v>
      </c>
      <c r="I302" s="124">
        <v>71</v>
      </c>
    </row>
    <row r="303" spans="1:9" x14ac:dyDescent="0.3">
      <c r="A303" s="127">
        <v>301</v>
      </c>
      <c r="B303" s="125" t="s">
        <v>14961</v>
      </c>
      <c r="C303" s="10" t="str">
        <f>VLOOKUP(B303,'Data Angt'!$A$5:$B$5809,2,FALSE)</f>
        <v>A5441</v>
      </c>
      <c r="D303" s="125" t="s">
        <v>19926</v>
      </c>
      <c r="E303" s="125" t="s">
        <v>22</v>
      </c>
      <c r="F303" s="125" t="str">
        <f t="shared" si="4"/>
        <v>001</v>
      </c>
      <c r="G303" s="126">
        <v>45735</v>
      </c>
      <c r="H303" s="125" t="s">
        <v>19925</v>
      </c>
      <c r="I303" s="124">
        <v>48</v>
      </c>
    </row>
    <row r="304" spans="1:9" x14ac:dyDescent="0.3">
      <c r="A304" s="127">
        <v>302</v>
      </c>
      <c r="B304" s="125" t="s">
        <v>14963</v>
      </c>
      <c r="C304" s="10" t="str">
        <f>VLOOKUP(B304,'Data Angt'!$A$5:$B$5809,2,FALSE)</f>
        <v>A5442</v>
      </c>
      <c r="D304" s="125" t="s">
        <v>19924</v>
      </c>
      <c r="E304" s="125" t="s">
        <v>11</v>
      </c>
      <c r="F304" s="125" t="str">
        <f t="shared" si="4"/>
        <v>001</v>
      </c>
      <c r="G304" s="126">
        <v>45736</v>
      </c>
      <c r="H304" s="125" t="s">
        <v>19923</v>
      </c>
      <c r="I304" s="124">
        <v>52</v>
      </c>
    </row>
    <row r="305" spans="1:9" x14ac:dyDescent="0.3">
      <c r="A305" s="127">
        <v>303</v>
      </c>
      <c r="B305" s="125" t="s">
        <v>14966</v>
      </c>
      <c r="C305" s="10" t="str">
        <f>VLOOKUP(B305,'Data Angt'!$A$5:$B$5809,2,FALSE)</f>
        <v>A5443</v>
      </c>
      <c r="D305" s="125" t="s">
        <v>19922</v>
      </c>
      <c r="E305" s="125" t="s">
        <v>22</v>
      </c>
      <c r="F305" s="125" t="str">
        <f t="shared" si="4"/>
        <v>001</v>
      </c>
      <c r="G305" s="126">
        <v>45736</v>
      </c>
      <c r="H305" s="125" t="s">
        <v>19921</v>
      </c>
      <c r="I305" s="124">
        <v>26</v>
      </c>
    </row>
    <row r="306" spans="1:9" x14ac:dyDescent="0.3">
      <c r="A306" s="127">
        <v>304</v>
      </c>
      <c r="B306" s="125" t="s">
        <v>14968</v>
      </c>
      <c r="C306" s="10" t="str">
        <f>VLOOKUP(B306,'Data Angt'!$A$5:$B$5809,2,FALSE)</f>
        <v>A5444</v>
      </c>
      <c r="D306" s="125" t="s">
        <v>19920</v>
      </c>
      <c r="E306" s="125" t="s">
        <v>22</v>
      </c>
      <c r="F306" s="125" t="str">
        <f t="shared" si="4"/>
        <v>004</v>
      </c>
      <c r="G306" s="126">
        <v>45736</v>
      </c>
      <c r="H306" s="125" t="s">
        <v>19919</v>
      </c>
      <c r="I306" s="124">
        <v>41</v>
      </c>
    </row>
    <row r="307" spans="1:9" x14ac:dyDescent="0.3">
      <c r="A307" s="127">
        <v>305</v>
      </c>
      <c r="B307" s="125" t="s">
        <v>14971</v>
      </c>
      <c r="C307" s="10" t="str">
        <f>VLOOKUP(B307,'Data Angt'!$A$5:$B$5809,2,FALSE)</f>
        <v>A5445</v>
      </c>
      <c r="D307" s="125" t="s">
        <v>19918</v>
      </c>
      <c r="E307" s="125" t="s">
        <v>11</v>
      </c>
      <c r="F307" s="125" t="str">
        <f t="shared" si="4"/>
        <v>001</v>
      </c>
      <c r="G307" s="126">
        <v>45737</v>
      </c>
      <c r="H307" s="125" t="s">
        <v>19917</v>
      </c>
      <c r="I307" s="124">
        <v>43</v>
      </c>
    </row>
    <row r="308" spans="1:9" x14ac:dyDescent="0.3">
      <c r="A308" s="127">
        <v>306</v>
      </c>
      <c r="B308" s="125" t="s">
        <v>14972</v>
      </c>
      <c r="C308" s="10" t="str">
        <f>VLOOKUP(B308,'Data Angt'!$A$5:$B$5809,2,FALSE)</f>
        <v>A5446</v>
      </c>
      <c r="D308" s="125" t="s">
        <v>19916</v>
      </c>
      <c r="E308" s="125" t="s">
        <v>22</v>
      </c>
      <c r="F308" s="125" t="str">
        <f t="shared" si="4"/>
        <v>001</v>
      </c>
      <c r="G308" s="126">
        <v>45737</v>
      </c>
      <c r="H308" s="125" t="s">
        <v>19915</v>
      </c>
      <c r="I308" s="124">
        <v>21</v>
      </c>
    </row>
    <row r="309" spans="1:9" x14ac:dyDescent="0.3">
      <c r="A309" s="127">
        <v>307</v>
      </c>
      <c r="B309" s="125" t="s">
        <v>14974</v>
      </c>
      <c r="C309" s="10" t="str">
        <f>VLOOKUP(B309,'Data Angt'!$A$5:$B$5809,2,FALSE)</f>
        <v>A5447</v>
      </c>
      <c r="D309" s="125" t="s">
        <v>19914</v>
      </c>
      <c r="E309" s="125" t="s">
        <v>11</v>
      </c>
      <c r="F309" s="125" t="str">
        <f t="shared" si="4"/>
        <v>001</v>
      </c>
      <c r="G309" s="126">
        <v>45738</v>
      </c>
      <c r="H309" s="125" t="s">
        <v>19913</v>
      </c>
      <c r="I309" s="124">
        <v>21</v>
      </c>
    </row>
    <row r="310" spans="1:9" x14ac:dyDescent="0.3">
      <c r="A310" s="127">
        <v>308</v>
      </c>
      <c r="B310" s="125" t="s">
        <v>14976</v>
      </c>
      <c r="C310" s="10" t="str">
        <f>VLOOKUP(B310,'Data Angt'!$A$5:$B$5809,2,FALSE)</f>
        <v>A5448</v>
      </c>
      <c r="D310" s="125" t="s">
        <v>19912</v>
      </c>
      <c r="E310" s="125" t="s">
        <v>22</v>
      </c>
      <c r="F310" s="125" t="str">
        <f t="shared" si="4"/>
        <v>003</v>
      </c>
      <c r="G310" s="126">
        <v>45738</v>
      </c>
      <c r="H310" s="125" t="s">
        <v>19911</v>
      </c>
      <c r="I310" s="124">
        <v>48</v>
      </c>
    </row>
    <row r="311" spans="1:9" x14ac:dyDescent="0.3">
      <c r="A311" s="127">
        <v>309</v>
      </c>
      <c r="B311" s="125" t="s">
        <v>14979</v>
      </c>
      <c r="C311" s="10" t="str">
        <f>VLOOKUP(B311,'Data Angt'!$A$5:$B$5809,2,FALSE)</f>
        <v>A5449</v>
      </c>
      <c r="D311" s="125" t="s">
        <v>19910</v>
      </c>
      <c r="E311" s="125" t="s">
        <v>22</v>
      </c>
      <c r="F311" s="125" t="str">
        <f t="shared" si="4"/>
        <v>001</v>
      </c>
      <c r="G311" s="126">
        <v>45738</v>
      </c>
      <c r="H311" s="125" t="s">
        <v>19909</v>
      </c>
      <c r="I311" s="124">
        <v>36</v>
      </c>
    </row>
    <row r="312" spans="1:9" x14ac:dyDescent="0.3">
      <c r="A312" s="127">
        <v>310</v>
      </c>
      <c r="B312" s="125" t="s">
        <v>14981</v>
      </c>
      <c r="C312" s="10" t="str">
        <f>VLOOKUP(B312,'Data Angt'!$A$5:$B$5809,2,FALSE)</f>
        <v>A5450</v>
      </c>
      <c r="D312" s="125" t="s">
        <v>19908</v>
      </c>
      <c r="E312" s="125" t="s">
        <v>11</v>
      </c>
      <c r="F312" s="125" t="str">
        <f t="shared" si="4"/>
        <v>001</v>
      </c>
      <c r="G312" s="126">
        <v>45740</v>
      </c>
      <c r="H312" s="125" t="s">
        <v>19907</v>
      </c>
      <c r="I312" s="124">
        <v>33</v>
      </c>
    </row>
    <row r="313" spans="1:9" x14ac:dyDescent="0.3">
      <c r="A313" s="127">
        <v>311</v>
      </c>
      <c r="B313" s="125" t="s">
        <v>14982</v>
      </c>
      <c r="C313" s="10" t="str">
        <f>VLOOKUP(B313,'Data Angt'!$A$5:$B$5809,2,FALSE)</f>
        <v>A5451</v>
      </c>
      <c r="D313" s="125" t="s">
        <v>19906</v>
      </c>
      <c r="E313" s="125" t="s">
        <v>11</v>
      </c>
      <c r="F313" s="125" t="str">
        <f t="shared" si="4"/>
        <v>002</v>
      </c>
      <c r="G313" s="126">
        <v>45740</v>
      </c>
      <c r="H313" s="125" t="s">
        <v>19905</v>
      </c>
      <c r="I313" s="124">
        <v>37</v>
      </c>
    </row>
    <row r="314" spans="1:9" x14ac:dyDescent="0.3">
      <c r="A314" s="127">
        <v>312</v>
      </c>
      <c r="B314" s="125" t="s">
        <v>14985</v>
      </c>
      <c r="C314" s="10" t="str">
        <f>VLOOKUP(B314,'Data Angt'!$A$5:$B$5809,2,FALSE)</f>
        <v>A5452</v>
      </c>
      <c r="D314" s="125" t="s">
        <v>19904</v>
      </c>
      <c r="E314" s="125" t="s">
        <v>22</v>
      </c>
      <c r="F314" s="125" t="str">
        <f t="shared" si="4"/>
        <v>002</v>
      </c>
      <c r="G314" s="126">
        <v>45740</v>
      </c>
      <c r="H314" s="125" t="s">
        <v>19903</v>
      </c>
      <c r="I314" s="124">
        <v>58</v>
      </c>
    </row>
    <row r="315" spans="1:9" x14ac:dyDescent="0.3">
      <c r="A315" s="127">
        <v>313</v>
      </c>
      <c r="B315" s="125" t="s">
        <v>14991</v>
      </c>
      <c r="C315" s="10" t="str">
        <f>VLOOKUP(B315,'Data Angt'!$A$5:$B$5809,2,FALSE)</f>
        <v>A5454</v>
      </c>
      <c r="D315" s="125" t="s">
        <v>19902</v>
      </c>
      <c r="E315" s="125" t="s">
        <v>22</v>
      </c>
      <c r="F315" s="125" t="str">
        <f t="shared" si="4"/>
        <v>004</v>
      </c>
      <c r="G315" s="126">
        <v>45742</v>
      </c>
      <c r="H315" s="125" t="s">
        <v>19901</v>
      </c>
      <c r="I315" s="124">
        <v>34</v>
      </c>
    </row>
    <row r="316" spans="1:9" x14ac:dyDescent="0.3">
      <c r="A316" s="127">
        <v>314</v>
      </c>
      <c r="B316" s="125" t="s">
        <v>14993</v>
      </c>
      <c r="C316" s="10" t="str">
        <f>VLOOKUP(B316,'Data Angt'!$A$5:$B$5809,2,FALSE)</f>
        <v>A5455</v>
      </c>
      <c r="D316" s="125" t="s">
        <v>19900</v>
      </c>
      <c r="E316" s="125" t="s">
        <v>22</v>
      </c>
      <c r="F316" s="125" t="str">
        <f t="shared" si="4"/>
        <v>001</v>
      </c>
      <c r="G316" s="126">
        <v>45743</v>
      </c>
      <c r="H316" s="125" t="s">
        <v>19899</v>
      </c>
      <c r="I316" s="124">
        <v>43</v>
      </c>
    </row>
    <row r="317" spans="1:9" x14ac:dyDescent="0.3">
      <c r="A317" s="127">
        <v>315</v>
      </c>
      <c r="B317" s="125" t="s">
        <v>14995</v>
      </c>
      <c r="C317" s="10" t="str">
        <f>VLOOKUP(B317,'Data Angt'!$A$5:$B$5809,2,FALSE)</f>
        <v>A5456</v>
      </c>
      <c r="D317" s="125" t="s">
        <v>19898</v>
      </c>
      <c r="E317" s="125" t="s">
        <v>22</v>
      </c>
      <c r="F317" s="125" t="str">
        <f t="shared" si="4"/>
        <v>004</v>
      </c>
      <c r="G317" s="126">
        <v>45743</v>
      </c>
      <c r="H317" s="125" t="s">
        <v>19897</v>
      </c>
      <c r="I317" s="124">
        <v>38</v>
      </c>
    </row>
    <row r="318" spans="1:9" x14ac:dyDescent="0.3">
      <c r="A318" s="127">
        <v>316</v>
      </c>
      <c r="B318" s="125" t="s">
        <v>14997</v>
      </c>
      <c r="C318" s="10" t="str">
        <f>VLOOKUP(B318,'Data Angt'!$A$5:$B$5809,2,FALSE)</f>
        <v>A5457</v>
      </c>
      <c r="D318" s="125" t="s">
        <v>19896</v>
      </c>
      <c r="E318" s="125" t="s">
        <v>11</v>
      </c>
      <c r="F318" s="125" t="str">
        <f t="shared" si="4"/>
        <v>001</v>
      </c>
      <c r="G318" s="126">
        <v>45754</v>
      </c>
      <c r="H318" s="125" t="s">
        <v>19895</v>
      </c>
      <c r="I318" s="124">
        <v>23</v>
      </c>
    </row>
    <row r="319" spans="1:9" x14ac:dyDescent="0.3">
      <c r="A319" s="127">
        <v>317</v>
      </c>
      <c r="B319" s="125" t="s">
        <v>14999</v>
      </c>
      <c r="C319" s="10" t="str">
        <f>VLOOKUP(B319,'Data Angt'!$A$5:$B$5809,2,FALSE)</f>
        <v>A5458</v>
      </c>
      <c r="D319" s="125" t="s">
        <v>19894</v>
      </c>
      <c r="E319" s="125" t="s">
        <v>11</v>
      </c>
      <c r="F319" s="125" t="str">
        <f t="shared" si="4"/>
        <v>001</v>
      </c>
      <c r="G319" s="126">
        <v>45754</v>
      </c>
      <c r="H319" s="125" t="s">
        <v>19893</v>
      </c>
      <c r="I319" s="124">
        <v>30</v>
      </c>
    </row>
    <row r="320" spans="1:9" x14ac:dyDescent="0.3">
      <c r="A320" s="127">
        <v>318</v>
      </c>
      <c r="B320" s="125" t="s">
        <v>15001</v>
      </c>
      <c r="C320" s="10" t="str">
        <f>VLOOKUP(B320,'Data Angt'!$A$5:$B$5809,2,FALSE)</f>
        <v>A5459</v>
      </c>
      <c r="D320" s="125" t="s">
        <v>19892</v>
      </c>
      <c r="E320" s="125" t="s">
        <v>11</v>
      </c>
      <c r="F320" s="125" t="str">
        <f t="shared" si="4"/>
        <v>001</v>
      </c>
      <c r="G320" s="126">
        <v>45754</v>
      </c>
      <c r="H320" s="125" t="s">
        <v>19891</v>
      </c>
      <c r="I320" s="124">
        <v>19</v>
      </c>
    </row>
    <row r="321" spans="1:9" x14ac:dyDescent="0.3">
      <c r="A321" s="127">
        <v>319</v>
      </c>
      <c r="B321" s="125" t="s">
        <v>15002</v>
      </c>
      <c r="C321" s="10" t="str">
        <f>VLOOKUP(B321,'Data Angt'!$A$5:$B$5809,2,FALSE)</f>
        <v>A5460</v>
      </c>
      <c r="D321" s="125" t="s">
        <v>19890</v>
      </c>
      <c r="E321" s="125" t="s">
        <v>22</v>
      </c>
      <c r="F321" s="125" t="str">
        <f t="shared" si="4"/>
        <v>001</v>
      </c>
      <c r="G321" s="126">
        <v>45756</v>
      </c>
      <c r="H321" s="125" t="s">
        <v>19889</v>
      </c>
      <c r="I321" s="124">
        <v>42</v>
      </c>
    </row>
    <row r="322" spans="1:9" x14ac:dyDescent="0.3">
      <c r="A322" s="127">
        <v>320</v>
      </c>
      <c r="B322" s="125" t="s">
        <v>15005</v>
      </c>
      <c r="C322" s="10" t="str">
        <f>VLOOKUP(B322,'Data Angt'!$A$5:$B$5809,2,FALSE)</f>
        <v>A5461</v>
      </c>
      <c r="D322" s="125" t="s">
        <v>19888</v>
      </c>
      <c r="E322" s="125" t="s">
        <v>22</v>
      </c>
      <c r="F322" s="125" t="str">
        <f t="shared" si="4"/>
        <v>006</v>
      </c>
      <c r="G322" s="126">
        <v>45756</v>
      </c>
      <c r="H322" s="125" t="s">
        <v>19887</v>
      </c>
      <c r="I322" s="124">
        <v>56</v>
      </c>
    </row>
    <row r="323" spans="1:9" x14ac:dyDescent="0.3">
      <c r="A323" s="127">
        <v>321</v>
      </c>
      <c r="B323" s="125" t="s">
        <v>15006</v>
      </c>
      <c r="C323" s="10" t="str">
        <f>VLOOKUP(B323,'Data Angt'!$A$5:$B$5809,2,FALSE)</f>
        <v>A5462</v>
      </c>
      <c r="D323" s="125" t="s">
        <v>19886</v>
      </c>
      <c r="E323" s="125" t="s">
        <v>22</v>
      </c>
      <c r="F323" s="125" t="str">
        <f t="shared" si="4"/>
        <v>004</v>
      </c>
      <c r="G323" s="126">
        <v>45757</v>
      </c>
      <c r="H323" s="125" t="s">
        <v>19274</v>
      </c>
      <c r="I323" s="124">
        <v>36</v>
      </c>
    </row>
    <row r="324" spans="1:9" x14ac:dyDescent="0.3">
      <c r="A324" s="127">
        <v>322</v>
      </c>
      <c r="B324" s="125" t="s">
        <v>15008</v>
      </c>
      <c r="C324" s="10" t="str">
        <f>VLOOKUP(B324,'Data Angt'!$A$5:$B$5809,2,FALSE)</f>
        <v>A5463</v>
      </c>
      <c r="D324" s="125" t="s">
        <v>19885</v>
      </c>
      <c r="E324" s="125" t="s">
        <v>22</v>
      </c>
      <c r="F324" s="125" t="str">
        <f t="shared" ref="F324:F387" si="5">MID(B324,7,3)</f>
        <v>004</v>
      </c>
      <c r="G324" s="126">
        <v>45758</v>
      </c>
      <c r="H324" s="125" t="s">
        <v>19884</v>
      </c>
      <c r="I324" s="124">
        <v>35</v>
      </c>
    </row>
    <row r="325" spans="1:9" x14ac:dyDescent="0.3">
      <c r="A325" s="127">
        <v>323</v>
      </c>
      <c r="B325" s="125" t="s">
        <v>15009</v>
      </c>
      <c r="C325" s="10" t="str">
        <f>VLOOKUP(B325,'Data Angt'!$A$5:$B$5809,2,FALSE)</f>
        <v>A5464</v>
      </c>
      <c r="D325" s="125" t="s">
        <v>19883</v>
      </c>
      <c r="E325" s="125" t="s">
        <v>22</v>
      </c>
      <c r="F325" s="125" t="str">
        <f t="shared" si="5"/>
        <v>004</v>
      </c>
      <c r="G325" s="126">
        <v>45759</v>
      </c>
      <c r="H325" s="125" t="s">
        <v>19882</v>
      </c>
      <c r="I325" s="124">
        <v>22</v>
      </c>
    </row>
    <row r="326" spans="1:9" x14ac:dyDescent="0.3">
      <c r="A326" s="127">
        <v>324</v>
      </c>
      <c r="B326" s="125" t="s">
        <v>15011</v>
      </c>
      <c r="C326" s="10" t="str">
        <f>VLOOKUP(B326,'Data Angt'!$A$5:$B$5809,2,FALSE)</f>
        <v>A5465</v>
      </c>
      <c r="D326" s="125" t="s">
        <v>19881</v>
      </c>
      <c r="E326" s="125" t="s">
        <v>22</v>
      </c>
      <c r="F326" s="125" t="str">
        <f t="shared" si="5"/>
        <v>001</v>
      </c>
      <c r="G326" s="126">
        <v>45759</v>
      </c>
      <c r="H326" s="125" t="s">
        <v>19880</v>
      </c>
      <c r="I326" s="124">
        <v>32</v>
      </c>
    </row>
    <row r="327" spans="1:9" x14ac:dyDescent="0.3">
      <c r="A327" s="127">
        <v>325</v>
      </c>
      <c r="B327" s="125" t="s">
        <v>15014</v>
      </c>
      <c r="C327" s="10" t="str">
        <f>VLOOKUP(B327,'Data Angt'!$A$5:$B$5809,2,FALSE)</f>
        <v>A5466</v>
      </c>
      <c r="D327" s="125" t="s">
        <v>19879</v>
      </c>
      <c r="E327" s="125" t="s">
        <v>22</v>
      </c>
      <c r="F327" s="125" t="str">
        <f t="shared" si="5"/>
        <v>003</v>
      </c>
      <c r="G327" s="126">
        <v>45761</v>
      </c>
      <c r="H327" s="125" t="s">
        <v>19878</v>
      </c>
      <c r="I327" s="124">
        <v>58</v>
      </c>
    </row>
    <row r="328" spans="1:9" x14ac:dyDescent="0.3">
      <c r="A328" s="127">
        <v>326</v>
      </c>
      <c r="B328" s="125" t="s">
        <v>15016</v>
      </c>
      <c r="C328" s="10" t="str">
        <f>VLOOKUP(B328,'Data Angt'!$A$5:$B$5809,2,FALSE)</f>
        <v>A5467</v>
      </c>
      <c r="D328" s="125" t="s">
        <v>19877</v>
      </c>
      <c r="E328" s="125" t="s">
        <v>22</v>
      </c>
      <c r="F328" s="125" t="str">
        <f t="shared" si="5"/>
        <v>002</v>
      </c>
      <c r="G328" s="126">
        <v>45761</v>
      </c>
      <c r="H328" s="125" t="s">
        <v>19876</v>
      </c>
      <c r="I328" s="124">
        <v>82</v>
      </c>
    </row>
    <row r="329" spans="1:9" x14ac:dyDescent="0.3">
      <c r="A329" s="127">
        <v>327</v>
      </c>
      <c r="B329" s="125" t="s">
        <v>15018</v>
      </c>
      <c r="C329" s="10" t="str">
        <f>VLOOKUP(B329,'Data Angt'!$A$5:$B$5809,2,FALSE)</f>
        <v>A5468</v>
      </c>
      <c r="D329" s="125" t="s">
        <v>19875</v>
      </c>
      <c r="E329" s="125" t="s">
        <v>22</v>
      </c>
      <c r="F329" s="125" t="str">
        <f t="shared" si="5"/>
        <v>003</v>
      </c>
      <c r="G329" s="126">
        <v>45761</v>
      </c>
      <c r="H329" s="125" t="s">
        <v>19874</v>
      </c>
      <c r="I329" s="124">
        <v>41</v>
      </c>
    </row>
    <row r="330" spans="1:9" x14ac:dyDescent="0.3">
      <c r="A330" s="127">
        <v>328</v>
      </c>
      <c r="B330" s="125" t="s">
        <v>15023</v>
      </c>
      <c r="C330" s="10" t="str">
        <f>VLOOKUP(B330,'Data Angt'!$A$5:$B$5809,2,FALSE)</f>
        <v>A5470</v>
      </c>
      <c r="D330" s="125" t="s">
        <v>19873</v>
      </c>
      <c r="E330" s="125" t="s">
        <v>22</v>
      </c>
      <c r="F330" s="125" t="str">
        <f t="shared" si="5"/>
        <v>003</v>
      </c>
      <c r="G330" s="126">
        <v>45763</v>
      </c>
      <c r="H330" s="125" t="s">
        <v>19872</v>
      </c>
      <c r="I330" s="124">
        <v>51</v>
      </c>
    </row>
    <row r="331" spans="1:9" x14ac:dyDescent="0.3">
      <c r="A331" s="127">
        <v>329</v>
      </c>
      <c r="B331" s="125" t="s">
        <v>15028</v>
      </c>
      <c r="C331" s="10" t="str">
        <f>VLOOKUP(B331,'Data Angt'!$A$5:$B$5809,2,FALSE)</f>
        <v>A5472</v>
      </c>
      <c r="D331" s="125" t="s">
        <v>19871</v>
      </c>
      <c r="E331" s="125" t="s">
        <v>22</v>
      </c>
      <c r="F331" s="125" t="str">
        <f t="shared" si="5"/>
        <v>001</v>
      </c>
      <c r="G331" s="126">
        <v>45769</v>
      </c>
      <c r="H331" s="125" t="s">
        <v>19274</v>
      </c>
      <c r="I331" s="124">
        <v>68</v>
      </c>
    </row>
    <row r="332" spans="1:9" x14ac:dyDescent="0.3">
      <c r="A332" s="127">
        <v>330</v>
      </c>
      <c r="B332" s="125" t="s">
        <v>15031</v>
      </c>
      <c r="C332" s="10" t="str">
        <f>VLOOKUP(B332,'Data Angt'!$A$5:$B$5809,2,FALSE)</f>
        <v>A5473</v>
      </c>
      <c r="D332" s="125" t="s">
        <v>19870</v>
      </c>
      <c r="E332" s="125" t="s">
        <v>22</v>
      </c>
      <c r="F332" s="125" t="str">
        <f t="shared" si="5"/>
        <v>003</v>
      </c>
      <c r="G332" s="126">
        <v>45769</v>
      </c>
      <c r="H332" s="125" t="s">
        <v>19869</v>
      </c>
      <c r="I332" s="124">
        <v>44</v>
      </c>
    </row>
    <row r="333" spans="1:9" x14ac:dyDescent="0.3">
      <c r="A333" s="127">
        <v>331</v>
      </c>
      <c r="B333" s="125" t="s">
        <v>15032</v>
      </c>
      <c r="C333" s="10" t="str">
        <f>VLOOKUP(B333,'Data Angt'!$A$5:$B$5809,2,FALSE)</f>
        <v>A5474</v>
      </c>
      <c r="D333" s="125" t="s">
        <v>19868</v>
      </c>
      <c r="E333" s="125" t="s">
        <v>22</v>
      </c>
      <c r="F333" s="125" t="str">
        <f t="shared" si="5"/>
        <v>002</v>
      </c>
      <c r="G333" s="126">
        <v>45769</v>
      </c>
      <c r="H333" s="125" t="s">
        <v>19274</v>
      </c>
      <c r="I333" s="124">
        <v>49</v>
      </c>
    </row>
    <row r="334" spans="1:9" x14ac:dyDescent="0.3">
      <c r="A334" s="127">
        <v>332</v>
      </c>
      <c r="B334" s="125" t="s">
        <v>15034</v>
      </c>
      <c r="C334" s="10" t="str">
        <f>VLOOKUP(B334,'Data Angt'!$A$5:$B$5809,2,FALSE)</f>
        <v>A5475</v>
      </c>
      <c r="D334" s="125" t="s">
        <v>19867</v>
      </c>
      <c r="E334" s="125" t="s">
        <v>11</v>
      </c>
      <c r="F334" s="125" t="str">
        <f t="shared" si="5"/>
        <v>002</v>
      </c>
      <c r="G334" s="126">
        <v>45769</v>
      </c>
      <c r="H334" s="125" t="s">
        <v>19866</v>
      </c>
      <c r="I334" s="124">
        <v>41</v>
      </c>
    </row>
    <row r="335" spans="1:9" x14ac:dyDescent="0.3">
      <c r="A335" s="127">
        <v>333</v>
      </c>
      <c r="B335" s="125" t="s">
        <v>15036</v>
      </c>
      <c r="C335" s="10" t="str">
        <f>VLOOKUP(B335,'Data Angt'!$A$5:$B$5809,2,FALSE)</f>
        <v>A5476</v>
      </c>
      <c r="D335" s="125" t="s">
        <v>19865</v>
      </c>
      <c r="E335" s="125" t="s">
        <v>22</v>
      </c>
      <c r="F335" s="125" t="str">
        <f t="shared" si="5"/>
        <v>003</v>
      </c>
      <c r="G335" s="126">
        <v>45769</v>
      </c>
      <c r="H335" s="125" t="s">
        <v>19864</v>
      </c>
      <c r="I335" s="124">
        <v>34</v>
      </c>
    </row>
    <row r="336" spans="1:9" x14ac:dyDescent="0.3">
      <c r="A336" s="127">
        <v>334</v>
      </c>
      <c r="B336" s="125" t="s">
        <v>15038</v>
      </c>
      <c r="C336" s="10" t="str">
        <f>VLOOKUP(B336,'Data Angt'!$A$5:$B$5809,2,FALSE)</f>
        <v>A5477</v>
      </c>
      <c r="D336" s="125" t="s">
        <v>19863</v>
      </c>
      <c r="E336" s="125" t="s">
        <v>11</v>
      </c>
      <c r="F336" s="125" t="str">
        <f t="shared" si="5"/>
        <v>004</v>
      </c>
      <c r="G336" s="126">
        <v>45769</v>
      </c>
      <c r="H336" s="125" t="s">
        <v>19714</v>
      </c>
      <c r="I336" s="124">
        <v>21</v>
      </c>
    </row>
    <row r="337" spans="1:9" x14ac:dyDescent="0.3">
      <c r="A337" s="127">
        <v>335</v>
      </c>
      <c r="B337" s="125" t="s">
        <v>15040</v>
      </c>
      <c r="C337" s="10" t="str">
        <f>VLOOKUP(B337,'Data Angt'!$A$5:$B$5809,2,FALSE)</f>
        <v>A5478</v>
      </c>
      <c r="D337" s="125" t="s">
        <v>19862</v>
      </c>
      <c r="E337" s="125" t="s">
        <v>11</v>
      </c>
      <c r="F337" s="125" t="str">
        <f t="shared" si="5"/>
        <v>004</v>
      </c>
      <c r="G337" s="126">
        <v>45769</v>
      </c>
      <c r="H337" s="125" t="s">
        <v>19704</v>
      </c>
      <c r="I337" s="124">
        <v>23</v>
      </c>
    </row>
    <row r="338" spans="1:9" x14ac:dyDescent="0.3">
      <c r="A338" s="127">
        <v>336</v>
      </c>
      <c r="B338" s="125" t="s">
        <v>15043</v>
      </c>
      <c r="C338" s="10" t="str">
        <f>VLOOKUP(B338,'Data Angt'!$A$5:$B$5809,2,FALSE)</f>
        <v>A5479</v>
      </c>
      <c r="D338" s="125" t="s">
        <v>19861</v>
      </c>
      <c r="E338" s="125" t="s">
        <v>22</v>
      </c>
      <c r="F338" s="125" t="str">
        <f t="shared" si="5"/>
        <v>005</v>
      </c>
      <c r="G338" s="126">
        <v>45770</v>
      </c>
      <c r="H338" s="125" t="s">
        <v>19860</v>
      </c>
      <c r="I338" s="124">
        <v>47</v>
      </c>
    </row>
    <row r="339" spans="1:9" x14ac:dyDescent="0.3">
      <c r="A339" s="127">
        <v>337</v>
      </c>
      <c r="B339" s="125" t="s">
        <v>15063</v>
      </c>
      <c r="C339" s="10" t="str">
        <f>VLOOKUP(B339,'Data Angt'!$A$5:$B$5809,2,FALSE)</f>
        <v>A5488</v>
      </c>
      <c r="D339" s="125" t="s">
        <v>19859</v>
      </c>
      <c r="E339" s="125" t="s">
        <v>22</v>
      </c>
      <c r="F339" s="125" t="str">
        <f t="shared" si="5"/>
        <v>001</v>
      </c>
      <c r="G339" s="126">
        <v>45773</v>
      </c>
      <c r="H339" s="125" t="s">
        <v>19629</v>
      </c>
      <c r="I339" s="124">
        <v>24</v>
      </c>
    </row>
    <row r="340" spans="1:9" x14ac:dyDescent="0.3">
      <c r="A340" s="127">
        <v>338</v>
      </c>
      <c r="B340" s="125" t="s">
        <v>15046</v>
      </c>
      <c r="C340" s="10" t="str">
        <f>VLOOKUP(B340,'Data Angt'!$A$5:$B$5809,2,FALSE)</f>
        <v>A5480</v>
      </c>
      <c r="D340" s="125" t="s">
        <v>19858</v>
      </c>
      <c r="E340" s="125" t="s">
        <v>22</v>
      </c>
      <c r="F340" s="125" t="str">
        <f t="shared" si="5"/>
        <v>005</v>
      </c>
      <c r="G340" s="126">
        <v>45770</v>
      </c>
      <c r="H340" s="125" t="s">
        <v>19857</v>
      </c>
      <c r="I340" s="124">
        <v>51</v>
      </c>
    </row>
    <row r="341" spans="1:9" x14ac:dyDescent="0.3">
      <c r="A341" s="127">
        <v>339</v>
      </c>
      <c r="B341" s="125" t="s">
        <v>15048</v>
      </c>
      <c r="C341" s="10" t="str">
        <f>VLOOKUP(B341,'Data Angt'!$A$5:$B$5809,2,FALSE)</f>
        <v>A5481</v>
      </c>
      <c r="D341" s="125" t="s">
        <v>19856</v>
      </c>
      <c r="E341" s="125" t="s">
        <v>22</v>
      </c>
      <c r="F341" s="125" t="str">
        <f t="shared" si="5"/>
        <v>005</v>
      </c>
      <c r="G341" s="126">
        <v>45770</v>
      </c>
      <c r="H341" s="125" t="s">
        <v>19298</v>
      </c>
      <c r="I341" s="124">
        <v>67</v>
      </c>
    </row>
    <row r="342" spans="1:9" x14ac:dyDescent="0.3">
      <c r="A342" s="127">
        <v>340</v>
      </c>
      <c r="B342" s="125" t="s">
        <v>15051</v>
      </c>
      <c r="C342" s="10" t="str">
        <f>VLOOKUP(B342,'Data Angt'!$A$5:$B$5809,2,FALSE)</f>
        <v>A5482</v>
      </c>
      <c r="D342" s="125" t="s">
        <v>19855</v>
      </c>
      <c r="E342" s="125" t="s">
        <v>22</v>
      </c>
      <c r="F342" s="125" t="str">
        <f t="shared" si="5"/>
        <v>002</v>
      </c>
      <c r="G342" s="126">
        <v>45770</v>
      </c>
      <c r="H342" s="125" t="s">
        <v>19854</v>
      </c>
      <c r="I342" s="124">
        <v>65</v>
      </c>
    </row>
    <row r="343" spans="1:9" x14ac:dyDescent="0.3">
      <c r="A343" s="127">
        <v>341</v>
      </c>
      <c r="B343" s="125" t="s">
        <v>15053</v>
      </c>
      <c r="C343" s="10" t="str">
        <f>VLOOKUP(B343,'Data Angt'!$A$5:$B$5809,2,FALSE)</f>
        <v>A5483</v>
      </c>
      <c r="D343" s="125" t="s">
        <v>19853</v>
      </c>
      <c r="E343" s="125" t="s">
        <v>22</v>
      </c>
      <c r="F343" s="125" t="str">
        <f t="shared" si="5"/>
        <v>005</v>
      </c>
      <c r="G343" s="126">
        <v>45770</v>
      </c>
      <c r="H343" s="125" t="s">
        <v>19852</v>
      </c>
      <c r="I343" s="124">
        <v>46</v>
      </c>
    </row>
    <row r="344" spans="1:9" x14ac:dyDescent="0.3">
      <c r="A344" s="127">
        <v>342</v>
      </c>
      <c r="B344" s="125" t="s">
        <v>15054</v>
      </c>
      <c r="C344" s="10" t="str">
        <f>VLOOKUP(B344,'Data Angt'!$A$5:$B$5809,2,FALSE)</f>
        <v>A5484</v>
      </c>
      <c r="D344" s="125" t="s">
        <v>19851</v>
      </c>
      <c r="E344" s="125" t="s">
        <v>22</v>
      </c>
      <c r="F344" s="125" t="str">
        <f t="shared" si="5"/>
        <v>003</v>
      </c>
      <c r="G344" s="126">
        <v>45771</v>
      </c>
      <c r="H344" s="125" t="s">
        <v>19850</v>
      </c>
      <c r="I344" s="124">
        <v>47</v>
      </c>
    </row>
    <row r="345" spans="1:9" x14ac:dyDescent="0.3">
      <c r="A345" s="127">
        <v>343</v>
      </c>
      <c r="B345" s="125" t="s">
        <v>15056</v>
      </c>
      <c r="C345" s="10" t="str">
        <f>VLOOKUP(B345,'Data Angt'!$A$5:$B$5809,2,FALSE)</f>
        <v>A5485</v>
      </c>
      <c r="D345" s="125" t="s">
        <v>19849</v>
      </c>
      <c r="E345" s="125" t="s">
        <v>11</v>
      </c>
      <c r="F345" s="125" t="str">
        <f t="shared" si="5"/>
        <v>001</v>
      </c>
      <c r="G345" s="126">
        <v>45771</v>
      </c>
      <c r="H345" s="125" t="s">
        <v>19848</v>
      </c>
      <c r="I345" s="124">
        <v>30</v>
      </c>
    </row>
    <row r="346" spans="1:9" x14ac:dyDescent="0.3">
      <c r="A346" s="127">
        <v>344</v>
      </c>
      <c r="B346" s="125" t="s">
        <v>15059</v>
      </c>
      <c r="C346" s="10" t="str">
        <f>VLOOKUP(B346,'Data Angt'!$A$5:$B$5809,2,FALSE)</f>
        <v>A5486</v>
      </c>
      <c r="D346" s="125" t="s">
        <v>19847</v>
      </c>
      <c r="E346" s="125" t="s">
        <v>11</v>
      </c>
      <c r="F346" s="125" t="str">
        <f t="shared" si="5"/>
        <v>006</v>
      </c>
      <c r="G346" s="126">
        <v>45771</v>
      </c>
      <c r="H346" s="125" t="s">
        <v>19846</v>
      </c>
      <c r="I346" s="124">
        <v>54</v>
      </c>
    </row>
    <row r="347" spans="1:9" x14ac:dyDescent="0.3">
      <c r="A347" s="127">
        <v>345</v>
      </c>
      <c r="B347" s="125" t="s">
        <v>15060</v>
      </c>
      <c r="C347" s="10" t="str">
        <f>VLOOKUP(B347,'Data Angt'!$A$5:$B$5809,2,FALSE)</f>
        <v>A5487</v>
      </c>
      <c r="D347" s="125" t="s">
        <v>19845</v>
      </c>
      <c r="E347" s="125" t="s">
        <v>22</v>
      </c>
      <c r="F347" s="125" t="str">
        <f t="shared" si="5"/>
        <v>005</v>
      </c>
      <c r="G347" s="126">
        <v>45772</v>
      </c>
      <c r="H347" s="125" t="s">
        <v>19712</v>
      </c>
      <c r="I347" s="124">
        <v>55</v>
      </c>
    </row>
    <row r="348" spans="1:9" x14ac:dyDescent="0.3">
      <c r="A348" s="127">
        <v>346</v>
      </c>
      <c r="B348" s="125" t="s">
        <v>15064</v>
      </c>
      <c r="C348" s="10" t="str">
        <f>VLOOKUP(B348,'Data Angt'!$A$5:$B$5809,2,FALSE)</f>
        <v>A5489</v>
      </c>
      <c r="D348" s="125" t="s">
        <v>19844</v>
      </c>
      <c r="E348" s="125" t="s">
        <v>22</v>
      </c>
      <c r="F348" s="125" t="str">
        <f t="shared" si="5"/>
        <v>001</v>
      </c>
      <c r="G348" s="126">
        <v>45773</v>
      </c>
      <c r="H348" s="125" t="s">
        <v>19843</v>
      </c>
      <c r="I348" s="124">
        <v>33</v>
      </c>
    </row>
    <row r="349" spans="1:9" x14ac:dyDescent="0.3">
      <c r="A349" s="127">
        <v>347</v>
      </c>
      <c r="B349" s="125" t="s">
        <v>15067</v>
      </c>
      <c r="C349" s="10" t="str">
        <f>VLOOKUP(B349,'Data Angt'!$A$5:$B$5809,2,FALSE)</f>
        <v>A5490</v>
      </c>
      <c r="D349" s="125" t="s">
        <v>19842</v>
      </c>
      <c r="E349" s="125" t="s">
        <v>22</v>
      </c>
      <c r="F349" s="125" t="str">
        <f t="shared" si="5"/>
        <v>001</v>
      </c>
      <c r="G349" s="126">
        <v>45775</v>
      </c>
      <c r="H349" s="125" t="s">
        <v>19841</v>
      </c>
      <c r="I349" s="124">
        <v>59</v>
      </c>
    </row>
    <row r="350" spans="1:9" x14ac:dyDescent="0.3">
      <c r="A350" s="127">
        <v>348</v>
      </c>
      <c r="B350" s="125" t="s">
        <v>15070</v>
      </c>
      <c r="C350" s="10" t="str">
        <f>VLOOKUP(B350,'Data Angt'!$A$5:$B$5809,2,FALSE)</f>
        <v>A5491</v>
      </c>
      <c r="D350" s="125" t="s">
        <v>19840</v>
      </c>
      <c r="E350" s="125" t="s">
        <v>22</v>
      </c>
      <c r="F350" s="125" t="str">
        <f t="shared" si="5"/>
        <v>005</v>
      </c>
      <c r="G350" s="126">
        <v>45775</v>
      </c>
      <c r="H350" s="125" t="s">
        <v>19839</v>
      </c>
      <c r="I350" s="124">
        <v>26</v>
      </c>
    </row>
    <row r="351" spans="1:9" x14ac:dyDescent="0.3">
      <c r="A351" s="127">
        <v>349</v>
      </c>
      <c r="B351" s="125" t="s">
        <v>15074</v>
      </c>
      <c r="C351" s="10" t="str">
        <f>VLOOKUP(B351,'Data Angt'!$A$5:$B$5809,2,FALSE)</f>
        <v>A5492</v>
      </c>
      <c r="D351" s="125" t="s">
        <v>19838</v>
      </c>
      <c r="E351" s="125" t="s">
        <v>22</v>
      </c>
      <c r="F351" s="125" t="str">
        <f t="shared" si="5"/>
        <v>004</v>
      </c>
      <c r="G351" s="126">
        <v>45775</v>
      </c>
      <c r="H351" s="125" t="s">
        <v>19837</v>
      </c>
      <c r="I351" s="124">
        <v>43</v>
      </c>
    </row>
    <row r="352" spans="1:9" x14ac:dyDescent="0.3">
      <c r="A352" s="127">
        <v>350</v>
      </c>
      <c r="B352" s="125" t="s">
        <v>15076</v>
      </c>
      <c r="C352" s="10" t="str">
        <f>VLOOKUP(B352,'Data Angt'!$A$5:$B$5809,2,FALSE)</f>
        <v>A5493</v>
      </c>
      <c r="D352" s="125" t="s">
        <v>19836</v>
      </c>
      <c r="E352" s="125" t="s">
        <v>22</v>
      </c>
      <c r="F352" s="125" t="str">
        <f t="shared" si="5"/>
        <v>002</v>
      </c>
      <c r="G352" s="126">
        <v>45776</v>
      </c>
      <c r="H352" s="125" t="s">
        <v>19835</v>
      </c>
      <c r="I352" s="124">
        <v>45</v>
      </c>
    </row>
    <row r="353" spans="1:9" x14ac:dyDescent="0.3">
      <c r="A353" s="127">
        <v>351</v>
      </c>
      <c r="B353" s="125" t="s">
        <v>15079</v>
      </c>
      <c r="C353" s="10" t="str">
        <f>VLOOKUP(B353,'Data Angt'!$A$5:$B$5809,2,FALSE)</f>
        <v>A5494</v>
      </c>
      <c r="D353" s="125" t="s">
        <v>19834</v>
      </c>
      <c r="E353" s="125" t="s">
        <v>22</v>
      </c>
      <c r="F353" s="125" t="str">
        <f t="shared" si="5"/>
        <v>004</v>
      </c>
      <c r="G353" s="126">
        <v>45776</v>
      </c>
      <c r="H353" s="125" t="s">
        <v>19833</v>
      </c>
      <c r="I353" s="124">
        <v>24</v>
      </c>
    </row>
    <row r="354" spans="1:9" x14ac:dyDescent="0.3">
      <c r="A354" s="127">
        <v>352</v>
      </c>
      <c r="B354" s="125" t="s">
        <v>15082</v>
      </c>
      <c r="C354" s="10" t="str">
        <f>VLOOKUP(B354,'Data Angt'!$A$5:$B$5809,2,FALSE)</f>
        <v>A5495</v>
      </c>
      <c r="D354" s="125" t="s">
        <v>19832</v>
      </c>
      <c r="E354" s="125" t="s">
        <v>22</v>
      </c>
      <c r="F354" s="125" t="str">
        <f t="shared" si="5"/>
        <v>001</v>
      </c>
      <c r="G354" s="126">
        <v>45777</v>
      </c>
      <c r="H354" s="125" t="s">
        <v>19831</v>
      </c>
      <c r="I354" s="124">
        <v>32</v>
      </c>
    </row>
    <row r="355" spans="1:9" x14ac:dyDescent="0.3">
      <c r="A355" s="127">
        <v>353</v>
      </c>
      <c r="B355" s="125" t="s">
        <v>15084</v>
      </c>
      <c r="C355" s="10" t="str">
        <f>VLOOKUP(B355,'Data Angt'!$A$5:$B$5809,2,FALSE)</f>
        <v>A5496</v>
      </c>
      <c r="D355" s="125" t="s">
        <v>19830</v>
      </c>
      <c r="E355" s="125" t="s">
        <v>22</v>
      </c>
      <c r="F355" s="125" t="str">
        <f t="shared" si="5"/>
        <v>003</v>
      </c>
      <c r="G355" s="126">
        <v>45777</v>
      </c>
      <c r="H355" s="125" t="s">
        <v>19829</v>
      </c>
      <c r="I355" s="124">
        <v>42</v>
      </c>
    </row>
    <row r="356" spans="1:9" x14ac:dyDescent="0.3">
      <c r="A356" s="127">
        <v>354</v>
      </c>
      <c r="B356" s="125" t="s">
        <v>15086</v>
      </c>
      <c r="C356" s="10" t="str">
        <f>VLOOKUP(B356,'Data Angt'!$A$5:$B$5809,2,FALSE)</f>
        <v>A5497</v>
      </c>
      <c r="D356" s="125" t="s">
        <v>19828</v>
      </c>
      <c r="E356" s="125" t="s">
        <v>22</v>
      </c>
      <c r="F356" s="125" t="str">
        <f t="shared" si="5"/>
        <v>002</v>
      </c>
      <c r="G356" s="126">
        <v>45779</v>
      </c>
      <c r="H356" s="125" t="s">
        <v>19827</v>
      </c>
      <c r="I356" s="124">
        <v>27</v>
      </c>
    </row>
    <row r="357" spans="1:9" x14ac:dyDescent="0.3">
      <c r="A357" s="127">
        <v>355</v>
      </c>
      <c r="B357" s="125" t="s">
        <v>15090</v>
      </c>
      <c r="C357" s="10" t="str">
        <f>VLOOKUP(B357,'Data Angt'!$A$5:$B$5809,2,FALSE)</f>
        <v>A5499</v>
      </c>
      <c r="D357" s="125" t="s">
        <v>19826</v>
      </c>
      <c r="E357" s="125" t="s">
        <v>11</v>
      </c>
      <c r="F357" s="125" t="str">
        <f t="shared" si="5"/>
        <v>001</v>
      </c>
      <c r="G357" s="126">
        <v>45780</v>
      </c>
      <c r="H357" s="125" t="s">
        <v>19825</v>
      </c>
      <c r="I357" s="124">
        <v>19</v>
      </c>
    </row>
    <row r="358" spans="1:9" x14ac:dyDescent="0.3">
      <c r="A358" s="127">
        <v>356</v>
      </c>
      <c r="B358" s="125" t="s">
        <v>15091</v>
      </c>
      <c r="C358" s="10" t="str">
        <f>VLOOKUP(B358,'Data Angt'!$A$5:$B$5809,2,FALSE)</f>
        <v>A5500</v>
      </c>
      <c r="D358" s="125" t="s">
        <v>19824</v>
      </c>
      <c r="E358" s="125" t="s">
        <v>22</v>
      </c>
      <c r="F358" s="125" t="str">
        <f t="shared" si="5"/>
        <v>001</v>
      </c>
      <c r="G358" s="126">
        <v>45780</v>
      </c>
      <c r="H358" s="125" t="s">
        <v>19823</v>
      </c>
      <c r="I358" s="124">
        <v>45</v>
      </c>
    </row>
    <row r="359" spans="1:9" x14ac:dyDescent="0.3">
      <c r="A359" s="127">
        <v>357</v>
      </c>
      <c r="B359" s="125" t="s">
        <v>15093</v>
      </c>
      <c r="C359" s="10" t="str">
        <f>VLOOKUP(B359,'Data Angt'!$A$5:$B$5809,2,FALSE)</f>
        <v>A5501</v>
      </c>
      <c r="D359" s="125" t="s">
        <v>19822</v>
      </c>
      <c r="E359" s="125" t="s">
        <v>22</v>
      </c>
      <c r="F359" s="125" t="str">
        <f t="shared" si="5"/>
        <v>004</v>
      </c>
      <c r="G359" s="126">
        <v>45782</v>
      </c>
      <c r="H359" s="125" t="s">
        <v>19557</v>
      </c>
      <c r="I359" s="124">
        <v>29</v>
      </c>
    </row>
    <row r="360" spans="1:9" x14ac:dyDescent="0.3">
      <c r="A360" s="127">
        <v>358</v>
      </c>
      <c r="B360" s="125" t="s">
        <v>15095</v>
      </c>
      <c r="C360" s="10" t="str">
        <f>VLOOKUP(B360,'Data Angt'!$A$5:$B$5809,2,FALSE)</f>
        <v>A5502</v>
      </c>
      <c r="D360" s="125" t="s">
        <v>19821</v>
      </c>
      <c r="E360" s="125" t="s">
        <v>22</v>
      </c>
      <c r="F360" s="125" t="str">
        <f t="shared" si="5"/>
        <v>003</v>
      </c>
      <c r="G360" s="126">
        <v>45782</v>
      </c>
      <c r="H360" s="125" t="s">
        <v>19820</v>
      </c>
      <c r="I360" s="124">
        <v>20</v>
      </c>
    </row>
    <row r="361" spans="1:9" x14ac:dyDescent="0.3">
      <c r="A361" s="127">
        <v>359</v>
      </c>
      <c r="B361" s="125" t="s">
        <v>15097</v>
      </c>
      <c r="C361" s="10" t="str">
        <f>VLOOKUP(B361,'Data Angt'!$A$5:$B$5809,2,FALSE)</f>
        <v>A5503</v>
      </c>
      <c r="D361" s="125" t="s">
        <v>19819</v>
      </c>
      <c r="E361" s="125" t="s">
        <v>11</v>
      </c>
      <c r="F361" s="125" t="str">
        <f t="shared" si="5"/>
        <v>001</v>
      </c>
      <c r="G361" s="126">
        <v>45783</v>
      </c>
      <c r="H361" s="125" t="s">
        <v>19818</v>
      </c>
      <c r="I361" s="124">
        <v>37</v>
      </c>
    </row>
    <row r="362" spans="1:9" x14ac:dyDescent="0.3">
      <c r="A362" s="127">
        <v>360</v>
      </c>
      <c r="B362" s="125" t="s">
        <v>15099</v>
      </c>
      <c r="C362" s="10" t="str">
        <f>VLOOKUP(B362,'Data Angt'!$A$5:$B$5809,2,FALSE)</f>
        <v>A5504</v>
      </c>
      <c r="D362" s="125" t="s">
        <v>19817</v>
      </c>
      <c r="E362" s="125" t="s">
        <v>11</v>
      </c>
      <c r="F362" s="125" t="str">
        <f t="shared" si="5"/>
        <v>001</v>
      </c>
      <c r="G362" s="126">
        <v>45783</v>
      </c>
      <c r="H362" s="125" t="s">
        <v>19816</v>
      </c>
      <c r="I362" s="124">
        <v>22</v>
      </c>
    </row>
    <row r="363" spans="1:9" x14ac:dyDescent="0.3">
      <c r="A363" s="127">
        <v>361</v>
      </c>
      <c r="B363" s="125" t="s">
        <v>15101</v>
      </c>
      <c r="C363" s="10" t="str">
        <f>VLOOKUP(B363,'Data Angt'!$A$5:$B$5809,2,FALSE)</f>
        <v>A5505</v>
      </c>
      <c r="D363" s="125" t="s">
        <v>19815</v>
      </c>
      <c r="E363" s="125" t="s">
        <v>11</v>
      </c>
      <c r="F363" s="125" t="str">
        <f t="shared" si="5"/>
        <v>001</v>
      </c>
      <c r="G363" s="126">
        <v>45783</v>
      </c>
      <c r="H363" s="125" t="s">
        <v>19814</v>
      </c>
      <c r="I363" s="124">
        <v>62</v>
      </c>
    </row>
    <row r="364" spans="1:9" x14ac:dyDescent="0.3">
      <c r="A364" s="127">
        <v>362</v>
      </c>
      <c r="B364" s="125" t="s">
        <v>15103</v>
      </c>
      <c r="C364" s="10" t="str">
        <f>VLOOKUP(B364,'Data Angt'!$A$5:$B$5809,2,FALSE)</f>
        <v>A5506</v>
      </c>
      <c r="D364" s="125" t="s">
        <v>19813</v>
      </c>
      <c r="E364" s="125" t="s">
        <v>22</v>
      </c>
      <c r="F364" s="125" t="str">
        <f t="shared" si="5"/>
        <v>001</v>
      </c>
      <c r="G364" s="126">
        <v>45784</v>
      </c>
      <c r="H364" s="125" t="s">
        <v>19812</v>
      </c>
      <c r="I364" s="124">
        <v>28</v>
      </c>
    </row>
    <row r="365" spans="1:9" x14ac:dyDescent="0.3">
      <c r="A365" s="127">
        <v>363</v>
      </c>
      <c r="B365" s="125" t="s">
        <v>15104</v>
      </c>
      <c r="C365" s="10" t="str">
        <f>VLOOKUP(B365,'Data Angt'!$A$5:$B$5809,2,FALSE)</f>
        <v>A5507</v>
      </c>
      <c r="D365" s="125" t="s">
        <v>19811</v>
      </c>
      <c r="E365" s="125" t="s">
        <v>11</v>
      </c>
      <c r="F365" s="125" t="str">
        <f t="shared" si="5"/>
        <v>004</v>
      </c>
      <c r="G365" s="126">
        <v>45784</v>
      </c>
      <c r="H365" s="125" t="s">
        <v>19810</v>
      </c>
      <c r="I365" s="124">
        <v>23</v>
      </c>
    </row>
    <row r="366" spans="1:9" x14ac:dyDescent="0.3">
      <c r="A366" s="127">
        <v>364</v>
      </c>
      <c r="B366" s="125" t="s">
        <v>15106</v>
      </c>
      <c r="C366" s="10" t="str">
        <f>VLOOKUP(B366,'Data Angt'!$A$5:$B$5809,2,FALSE)</f>
        <v>A5508</v>
      </c>
      <c r="D366" s="125" t="s">
        <v>19809</v>
      </c>
      <c r="E366" s="125" t="s">
        <v>11</v>
      </c>
      <c r="F366" s="125" t="str">
        <f t="shared" si="5"/>
        <v>001</v>
      </c>
      <c r="G366" s="126">
        <v>45785</v>
      </c>
      <c r="H366" s="125" t="s">
        <v>19808</v>
      </c>
      <c r="I366" s="124">
        <v>32</v>
      </c>
    </row>
    <row r="367" spans="1:9" x14ac:dyDescent="0.3">
      <c r="A367" s="127">
        <v>365</v>
      </c>
      <c r="B367" s="125" t="s">
        <v>15109</v>
      </c>
      <c r="C367" s="10" t="str">
        <f>VLOOKUP(B367,'Data Angt'!$A$5:$B$5809,2,FALSE)</f>
        <v>A5509</v>
      </c>
      <c r="D367" s="125" t="s">
        <v>19807</v>
      </c>
      <c r="E367" s="125" t="s">
        <v>11</v>
      </c>
      <c r="F367" s="125" t="str">
        <f t="shared" si="5"/>
        <v>004</v>
      </c>
      <c r="G367" s="126">
        <v>45785</v>
      </c>
      <c r="H367" s="125" t="s">
        <v>19806</v>
      </c>
      <c r="I367" s="124">
        <v>23</v>
      </c>
    </row>
    <row r="368" spans="1:9" x14ac:dyDescent="0.3">
      <c r="A368" s="127">
        <v>366</v>
      </c>
      <c r="B368" s="125" t="s">
        <v>15112</v>
      </c>
      <c r="C368" s="10" t="str">
        <f>VLOOKUP(B368,'Data Angt'!$A$5:$B$5809,2,FALSE)</f>
        <v>A5510</v>
      </c>
      <c r="D368" s="125" t="s">
        <v>19805</v>
      </c>
      <c r="E368" s="125" t="s">
        <v>11</v>
      </c>
      <c r="F368" s="125" t="str">
        <f t="shared" si="5"/>
        <v>002</v>
      </c>
      <c r="G368" s="126">
        <v>45785</v>
      </c>
      <c r="H368" s="125" t="s">
        <v>19804</v>
      </c>
      <c r="I368" s="124">
        <v>29</v>
      </c>
    </row>
    <row r="369" spans="1:9" x14ac:dyDescent="0.3">
      <c r="A369" s="127">
        <v>367</v>
      </c>
      <c r="B369" s="125" t="s">
        <v>15114</v>
      </c>
      <c r="C369" s="10" t="str">
        <f>VLOOKUP(B369,'Data Angt'!$A$5:$B$5809,2,FALSE)</f>
        <v>A5511</v>
      </c>
      <c r="D369" s="125" t="s">
        <v>19803</v>
      </c>
      <c r="E369" s="125" t="s">
        <v>22</v>
      </c>
      <c r="F369" s="125" t="str">
        <f t="shared" si="5"/>
        <v>002</v>
      </c>
      <c r="G369" s="126">
        <v>45785</v>
      </c>
      <c r="H369" s="125" t="s">
        <v>19350</v>
      </c>
      <c r="I369" s="124">
        <v>39</v>
      </c>
    </row>
    <row r="370" spans="1:9" x14ac:dyDescent="0.3">
      <c r="A370" s="127">
        <v>368</v>
      </c>
      <c r="B370" s="125" t="s">
        <v>15115</v>
      </c>
      <c r="C370" s="10" t="str">
        <f>VLOOKUP(B370,'Data Angt'!$A$5:$B$5809,2,FALSE)</f>
        <v>A5512</v>
      </c>
      <c r="D370" s="125" t="s">
        <v>19802</v>
      </c>
      <c r="E370" s="125" t="s">
        <v>22</v>
      </c>
      <c r="F370" s="125" t="str">
        <f t="shared" si="5"/>
        <v>001</v>
      </c>
      <c r="G370" s="126">
        <v>45785</v>
      </c>
      <c r="H370" s="125" t="s">
        <v>19274</v>
      </c>
      <c r="I370" s="124">
        <v>48</v>
      </c>
    </row>
    <row r="371" spans="1:9" x14ac:dyDescent="0.3">
      <c r="A371" s="127">
        <v>369</v>
      </c>
      <c r="B371" s="125" t="s">
        <v>15118</v>
      </c>
      <c r="C371" s="10" t="str">
        <f>VLOOKUP(B371,'Data Angt'!$A$5:$B$5809,2,FALSE)</f>
        <v>A5513</v>
      </c>
      <c r="D371" s="125" t="s">
        <v>19801</v>
      </c>
      <c r="E371" s="125" t="s">
        <v>11</v>
      </c>
      <c r="F371" s="125" t="str">
        <f t="shared" si="5"/>
        <v>001</v>
      </c>
      <c r="G371" s="126">
        <v>45785</v>
      </c>
      <c r="H371" s="125" t="s">
        <v>19800</v>
      </c>
      <c r="I371" s="124">
        <v>21</v>
      </c>
    </row>
    <row r="372" spans="1:9" x14ac:dyDescent="0.3">
      <c r="A372" s="127">
        <v>370</v>
      </c>
      <c r="B372" s="125" t="s">
        <v>15121</v>
      </c>
      <c r="C372" s="10" t="str">
        <f>VLOOKUP(B372,'Data Angt'!$A$5:$B$5809,2,FALSE)</f>
        <v>A5514</v>
      </c>
      <c r="D372" s="125" t="s">
        <v>19799</v>
      </c>
      <c r="E372" s="125" t="s">
        <v>11</v>
      </c>
      <c r="F372" s="125" t="str">
        <f t="shared" si="5"/>
        <v>001</v>
      </c>
      <c r="G372" s="126">
        <v>45787</v>
      </c>
      <c r="H372" s="125" t="s">
        <v>19798</v>
      </c>
      <c r="I372" s="124">
        <v>29</v>
      </c>
    </row>
    <row r="373" spans="1:9" x14ac:dyDescent="0.3">
      <c r="A373" s="127">
        <v>371</v>
      </c>
      <c r="B373" s="125" t="s">
        <v>15124</v>
      </c>
      <c r="C373" s="10" t="str">
        <f>VLOOKUP(B373,'Data Angt'!$A$5:$B$5809,2,FALSE)</f>
        <v>A5515</v>
      </c>
      <c r="D373" s="125" t="s">
        <v>19797</v>
      </c>
      <c r="E373" s="125" t="s">
        <v>22</v>
      </c>
      <c r="F373" s="125" t="str">
        <f t="shared" si="5"/>
        <v>001</v>
      </c>
      <c r="G373" s="126">
        <v>45787</v>
      </c>
      <c r="H373" s="125" t="s">
        <v>19793</v>
      </c>
      <c r="I373" s="124">
        <v>49</v>
      </c>
    </row>
    <row r="374" spans="1:9" x14ac:dyDescent="0.3">
      <c r="A374" s="127">
        <v>372</v>
      </c>
      <c r="B374" s="125" t="s">
        <v>15127</v>
      </c>
      <c r="C374" s="10" t="str">
        <f>VLOOKUP(B374,'Data Angt'!$A$5:$B$5809,2,FALSE)</f>
        <v>A5516</v>
      </c>
      <c r="D374" s="125" t="s">
        <v>19796</v>
      </c>
      <c r="E374" s="125" t="s">
        <v>22</v>
      </c>
      <c r="F374" s="125" t="str">
        <f t="shared" si="5"/>
        <v>001</v>
      </c>
      <c r="G374" s="126">
        <v>45787</v>
      </c>
      <c r="H374" s="125" t="s">
        <v>19793</v>
      </c>
      <c r="I374" s="124">
        <v>57</v>
      </c>
    </row>
    <row r="375" spans="1:9" x14ac:dyDescent="0.3">
      <c r="A375" s="127">
        <v>373</v>
      </c>
      <c r="B375" s="125" t="s">
        <v>15128</v>
      </c>
      <c r="C375" s="10" t="str">
        <f>VLOOKUP(B375,'Data Angt'!$A$5:$B$5809,2,FALSE)</f>
        <v>A5517</v>
      </c>
      <c r="D375" s="125" t="s">
        <v>19795</v>
      </c>
      <c r="E375" s="125" t="s">
        <v>22</v>
      </c>
      <c r="F375" s="125" t="str">
        <f t="shared" si="5"/>
        <v>001</v>
      </c>
      <c r="G375" s="126">
        <v>45787</v>
      </c>
      <c r="H375" s="125" t="s">
        <v>19793</v>
      </c>
      <c r="I375" s="124">
        <v>58</v>
      </c>
    </row>
    <row r="376" spans="1:9" x14ac:dyDescent="0.3">
      <c r="A376" s="127">
        <v>374</v>
      </c>
      <c r="B376" s="125" t="s">
        <v>15130</v>
      </c>
      <c r="C376" s="10" t="str">
        <f>VLOOKUP(B376,'Data Angt'!$A$5:$B$5809,2,FALSE)</f>
        <v>A5518</v>
      </c>
      <c r="D376" s="125" t="s">
        <v>19794</v>
      </c>
      <c r="E376" s="125" t="s">
        <v>22</v>
      </c>
      <c r="F376" s="125" t="str">
        <f t="shared" si="5"/>
        <v>001</v>
      </c>
      <c r="G376" s="126">
        <v>45787</v>
      </c>
      <c r="H376" s="125" t="s">
        <v>19793</v>
      </c>
      <c r="I376" s="124">
        <v>34</v>
      </c>
    </row>
    <row r="377" spans="1:9" x14ac:dyDescent="0.3">
      <c r="A377" s="127">
        <v>375</v>
      </c>
      <c r="B377" s="125" t="s">
        <v>15132</v>
      </c>
      <c r="C377" s="10" t="str">
        <f>VLOOKUP(B377,'Data Angt'!$A$5:$B$5809,2,FALSE)</f>
        <v>A5519</v>
      </c>
      <c r="D377" s="125" t="s">
        <v>19792</v>
      </c>
      <c r="E377" s="125" t="s">
        <v>22</v>
      </c>
      <c r="F377" s="125" t="str">
        <f t="shared" si="5"/>
        <v>001</v>
      </c>
      <c r="G377" s="126">
        <v>45787</v>
      </c>
      <c r="H377" s="125" t="s">
        <v>19791</v>
      </c>
      <c r="I377" s="124">
        <v>27</v>
      </c>
    </row>
    <row r="378" spans="1:9" x14ac:dyDescent="0.3">
      <c r="A378" s="127">
        <v>376</v>
      </c>
      <c r="B378" s="125" t="s">
        <v>15133</v>
      </c>
      <c r="C378" s="10" t="str">
        <f>VLOOKUP(B378,'Data Angt'!$A$5:$B$5809,2,FALSE)</f>
        <v>A5520</v>
      </c>
      <c r="D378" s="125" t="s">
        <v>19790</v>
      </c>
      <c r="E378" s="125" t="s">
        <v>22</v>
      </c>
      <c r="F378" s="125" t="str">
        <f t="shared" si="5"/>
        <v>005</v>
      </c>
      <c r="G378" s="126">
        <v>45791</v>
      </c>
      <c r="H378" s="125" t="s">
        <v>19789</v>
      </c>
      <c r="I378" s="124">
        <v>66</v>
      </c>
    </row>
    <row r="379" spans="1:9" x14ac:dyDescent="0.3">
      <c r="A379" s="127">
        <v>377</v>
      </c>
      <c r="B379" s="125" t="s">
        <v>15135</v>
      </c>
      <c r="C379" s="10" t="str">
        <f>VLOOKUP(B379,'Data Angt'!$A$5:$B$5809,2,FALSE)</f>
        <v>A5521</v>
      </c>
      <c r="D379" s="125" t="s">
        <v>19788</v>
      </c>
      <c r="E379" s="125" t="s">
        <v>22</v>
      </c>
      <c r="F379" s="125" t="str">
        <f t="shared" si="5"/>
        <v>001</v>
      </c>
      <c r="G379" s="126">
        <v>45791</v>
      </c>
      <c r="H379" s="125" t="s">
        <v>19787</v>
      </c>
      <c r="I379" s="124">
        <v>50</v>
      </c>
    </row>
    <row r="380" spans="1:9" x14ac:dyDescent="0.3">
      <c r="A380" s="127">
        <v>378</v>
      </c>
      <c r="B380" s="125" t="s">
        <v>15137</v>
      </c>
      <c r="C380" s="10" t="str">
        <f>VLOOKUP(B380,'Data Angt'!$A$5:$B$5809,2,FALSE)</f>
        <v>A5522</v>
      </c>
      <c r="D380" s="125" t="s">
        <v>19786</v>
      </c>
      <c r="E380" s="125" t="s">
        <v>22</v>
      </c>
      <c r="F380" s="125" t="str">
        <f t="shared" si="5"/>
        <v>001</v>
      </c>
      <c r="G380" s="126">
        <v>45791</v>
      </c>
      <c r="H380" s="125" t="s">
        <v>19785</v>
      </c>
      <c r="I380" s="124">
        <v>40</v>
      </c>
    </row>
    <row r="381" spans="1:9" x14ac:dyDescent="0.3">
      <c r="A381" s="127">
        <v>379</v>
      </c>
      <c r="B381" s="125" t="s">
        <v>15140</v>
      </c>
      <c r="C381" s="10" t="str">
        <f>VLOOKUP(B381,'Data Angt'!$A$5:$B$5809,2,FALSE)</f>
        <v>A5523</v>
      </c>
      <c r="D381" s="125" t="s">
        <v>19784</v>
      </c>
      <c r="E381" s="125" t="s">
        <v>22</v>
      </c>
      <c r="F381" s="125" t="str">
        <f t="shared" si="5"/>
        <v>001</v>
      </c>
      <c r="G381" s="126">
        <v>45791</v>
      </c>
      <c r="H381" s="125" t="s">
        <v>19783</v>
      </c>
      <c r="I381" s="124">
        <v>34</v>
      </c>
    </row>
    <row r="382" spans="1:9" x14ac:dyDescent="0.3">
      <c r="A382" s="127">
        <v>380</v>
      </c>
      <c r="B382" s="125" t="s">
        <v>15142</v>
      </c>
      <c r="C382" s="10" t="str">
        <f>VLOOKUP(B382,'Data Angt'!$A$5:$B$5809,2,FALSE)</f>
        <v>A5524</v>
      </c>
      <c r="D382" s="125" t="s">
        <v>19782</v>
      </c>
      <c r="E382" s="125" t="s">
        <v>22</v>
      </c>
      <c r="F382" s="125" t="str">
        <f t="shared" si="5"/>
        <v>003</v>
      </c>
      <c r="G382" s="126">
        <v>45792</v>
      </c>
      <c r="H382" s="125" t="s">
        <v>19781</v>
      </c>
      <c r="I382" s="124">
        <v>42</v>
      </c>
    </row>
    <row r="383" spans="1:9" x14ac:dyDescent="0.3">
      <c r="A383" s="127">
        <v>381</v>
      </c>
      <c r="B383" s="125" t="s">
        <v>15143</v>
      </c>
      <c r="C383" s="10" t="str">
        <f>VLOOKUP(B383,'Data Angt'!$A$5:$B$5809,2,FALSE)</f>
        <v>A5525</v>
      </c>
      <c r="D383" s="125" t="s">
        <v>19780</v>
      </c>
      <c r="E383" s="125" t="s">
        <v>11</v>
      </c>
      <c r="F383" s="125" t="str">
        <f t="shared" si="5"/>
        <v>004</v>
      </c>
      <c r="G383" s="126">
        <v>45792</v>
      </c>
      <c r="H383" s="125" t="s">
        <v>19274</v>
      </c>
      <c r="I383" s="124">
        <v>30</v>
      </c>
    </row>
    <row r="384" spans="1:9" x14ac:dyDescent="0.3">
      <c r="A384" s="127">
        <v>382</v>
      </c>
      <c r="B384" s="125" t="s">
        <v>15145</v>
      </c>
      <c r="C384" s="10" t="str">
        <f>VLOOKUP(B384,'Data Angt'!$A$5:$B$5809,2,FALSE)</f>
        <v>A5526</v>
      </c>
      <c r="D384" s="125" t="s">
        <v>19779</v>
      </c>
      <c r="E384" s="125" t="s">
        <v>22</v>
      </c>
      <c r="F384" s="125" t="str">
        <f t="shared" si="5"/>
        <v>005</v>
      </c>
      <c r="G384" s="126">
        <v>45792</v>
      </c>
      <c r="H384" s="125" t="s">
        <v>19778</v>
      </c>
      <c r="I384" s="124">
        <v>48</v>
      </c>
    </row>
    <row r="385" spans="1:9" x14ac:dyDescent="0.3">
      <c r="A385" s="127">
        <v>383</v>
      </c>
      <c r="B385" s="125" t="s">
        <v>15146</v>
      </c>
      <c r="C385" s="10" t="str">
        <f>VLOOKUP(B385,'Data Angt'!$A$5:$B$5809,2,FALSE)</f>
        <v>A5527</v>
      </c>
      <c r="D385" s="125" t="s">
        <v>19777</v>
      </c>
      <c r="E385" s="125" t="s">
        <v>22</v>
      </c>
      <c r="F385" s="125" t="str">
        <f t="shared" si="5"/>
        <v>004</v>
      </c>
      <c r="G385" s="126">
        <v>45793</v>
      </c>
      <c r="H385" s="125" t="s">
        <v>19597</v>
      </c>
      <c r="I385" s="124">
        <v>52</v>
      </c>
    </row>
    <row r="386" spans="1:9" x14ac:dyDescent="0.3">
      <c r="A386" s="127">
        <v>384</v>
      </c>
      <c r="B386" s="125" t="s">
        <v>15147</v>
      </c>
      <c r="C386" s="10" t="str">
        <f>VLOOKUP(B386,'Data Angt'!$A$5:$B$5809,2,FALSE)</f>
        <v>A5528</v>
      </c>
      <c r="D386" s="125" t="s">
        <v>19776</v>
      </c>
      <c r="E386" s="125" t="s">
        <v>22</v>
      </c>
      <c r="F386" s="125" t="str">
        <f t="shared" si="5"/>
        <v>004</v>
      </c>
      <c r="G386" s="126">
        <v>45793</v>
      </c>
      <c r="H386" s="125" t="s">
        <v>19597</v>
      </c>
      <c r="I386" s="124">
        <v>68</v>
      </c>
    </row>
    <row r="387" spans="1:9" x14ac:dyDescent="0.3">
      <c r="A387" s="127">
        <v>385</v>
      </c>
      <c r="B387" s="125" t="s">
        <v>15149</v>
      </c>
      <c r="C387" s="10" t="str">
        <f>VLOOKUP(B387,'Data Angt'!$A$5:$B$5809,2,FALSE)</f>
        <v>A5529</v>
      </c>
      <c r="D387" s="125" t="s">
        <v>19775</v>
      </c>
      <c r="E387" s="125" t="s">
        <v>22</v>
      </c>
      <c r="F387" s="125" t="str">
        <f t="shared" si="5"/>
        <v>002</v>
      </c>
      <c r="G387" s="126">
        <v>45794</v>
      </c>
      <c r="H387" s="125" t="s">
        <v>19774</v>
      </c>
      <c r="I387" s="124">
        <v>31</v>
      </c>
    </row>
    <row r="388" spans="1:9" x14ac:dyDescent="0.3">
      <c r="A388" s="127">
        <v>386</v>
      </c>
      <c r="B388" s="125" t="s">
        <v>15152</v>
      </c>
      <c r="C388" s="10" t="str">
        <f>VLOOKUP(B388,'Data Angt'!$A$5:$B$5809,2,FALSE)</f>
        <v>A5530</v>
      </c>
      <c r="D388" s="125" t="s">
        <v>19773</v>
      </c>
      <c r="E388" s="125" t="s">
        <v>22</v>
      </c>
      <c r="F388" s="125" t="str">
        <f t="shared" ref="F388:F451" si="6">MID(B388,7,3)</f>
        <v>004</v>
      </c>
      <c r="G388" s="126">
        <v>45794</v>
      </c>
      <c r="H388" s="125" t="s">
        <v>19772</v>
      </c>
      <c r="I388" s="124">
        <v>55</v>
      </c>
    </row>
    <row r="389" spans="1:9" x14ac:dyDescent="0.3">
      <c r="A389" s="127">
        <v>387</v>
      </c>
      <c r="B389" s="125" t="s">
        <v>15156</v>
      </c>
      <c r="C389" s="10" t="str">
        <f>VLOOKUP(B389,'Data Angt'!$A$5:$B$5809,2,FALSE)</f>
        <v>A5531</v>
      </c>
      <c r="D389" s="125" t="s">
        <v>19771</v>
      </c>
      <c r="E389" s="125" t="s">
        <v>22</v>
      </c>
      <c r="F389" s="125" t="str">
        <f t="shared" si="6"/>
        <v>001</v>
      </c>
      <c r="G389" s="126">
        <v>45796</v>
      </c>
      <c r="H389" s="125" t="s">
        <v>19770</v>
      </c>
      <c r="I389" s="124">
        <v>25</v>
      </c>
    </row>
    <row r="390" spans="1:9" x14ac:dyDescent="0.3">
      <c r="A390" s="127">
        <v>388</v>
      </c>
      <c r="B390" s="125" t="s">
        <v>15159</v>
      </c>
      <c r="C390" s="10" t="str">
        <f>VLOOKUP(B390,'Data Angt'!$A$5:$B$5809,2,FALSE)</f>
        <v>A5532</v>
      </c>
      <c r="D390" s="125" t="s">
        <v>19769</v>
      </c>
      <c r="E390" s="125" t="s">
        <v>11</v>
      </c>
      <c r="F390" s="125" t="str">
        <f t="shared" si="6"/>
        <v>003</v>
      </c>
      <c r="G390" s="126">
        <v>45796</v>
      </c>
      <c r="H390" s="125" t="s">
        <v>19768</v>
      </c>
      <c r="I390" s="124">
        <v>22</v>
      </c>
    </row>
    <row r="391" spans="1:9" x14ac:dyDescent="0.3">
      <c r="A391" s="127">
        <v>389</v>
      </c>
      <c r="B391" s="125" t="s">
        <v>15160</v>
      </c>
      <c r="C391" s="10" t="str">
        <f>VLOOKUP(B391,'Data Angt'!$A$5:$B$5809,2,FALSE)</f>
        <v>A5533</v>
      </c>
      <c r="D391" s="125" t="s">
        <v>19767</v>
      </c>
      <c r="E391" s="125" t="s">
        <v>11</v>
      </c>
      <c r="F391" s="125" t="str">
        <f t="shared" si="6"/>
        <v>001</v>
      </c>
      <c r="G391" s="126">
        <v>45797</v>
      </c>
      <c r="H391" s="125" t="s">
        <v>19766</v>
      </c>
      <c r="I391" s="124">
        <v>55</v>
      </c>
    </row>
    <row r="392" spans="1:9" x14ac:dyDescent="0.3">
      <c r="A392" s="127">
        <v>390</v>
      </c>
      <c r="B392" s="125" t="s">
        <v>15163</v>
      </c>
      <c r="C392" s="10" t="str">
        <f>VLOOKUP(B392,'Data Angt'!$A$5:$B$5809,2,FALSE)</f>
        <v>A5534</v>
      </c>
      <c r="D392" s="125" t="s">
        <v>19765</v>
      </c>
      <c r="E392" s="125" t="s">
        <v>11</v>
      </c>
      <c r="F392" s="125" t="str">
        <f t="shared" si="6"/>
        <v>002</v>
      </c>
      <c r="G392" s="126">
        <v>45797</v>
      </c>
      <c r="H392" s="125" t="s">
        <v>19764</v>
      </c>
      <c r="I392" s="124">
        <v>49</v>
      </c>
    </row>
    <row r="393" spans="1:9" x14ac:dyDescent="0.3">
      <c r="A393" s="127">
        <v>391</v>
      </c>
      <c r="B393" s="125" t="s">
        <v>15165</v>
      </c>
      <c r="C393" s="10" t="str">
        <f>VLOOKUP(B393,'Data Angt'!$A$5:$B$5809,2,FALSE)</f>
        <v>A5535</v>
      </c>
      <c r="D393" s="125" t="s">
        <v>19763</v>
      </c>
      <c r="E393" s="125" t="s">
        <v>11</v>
      </c>
      <c r="F393" s="125" t="str">
        <f t="shared" si="6"/>
        <v>004</v>
      </c>
      <c r="G393" s="126">
        <v>45797</v>
      </c>
      <c r="H393" s="125" t="s">
        <v>19597</v>
      </c>
      <c r="I393" s="124">
        <v>31</v>
      </c>
    </row>
    <row r="394" spans="1:9" x14ac:dyDescent="0.3">
      <c r="A394" s="127">
        <v>392</v>
      </c>
      <c r="B394" s="125" t="s">
        <v>15169</v>
      </c>
      <c r="C394" s="10" t="str">
        <f>VLOOKUP(B394,'Data Angt'!$A$5:$B$5809,2,FALSE)</f>
        <v>A5536</v>
      </c>
      <c r="D394" s="125" t="s">
        <v>19762</v>
      </c>
      <c r="E394" s="125" t="s">
        <v>22</v>
      </c>
      <c r="F394" s="125" t="str">
        <f t="shared" si="6"/>
        <v>005</v>
      </c>
      <c r="G394" s="126">
        <v>45797</v>
      </c>
      <c r="H394" s="125" t="s">
        <v>19761</v>
      </c>
      <c r="I394" s="124">
        <v>56</v>
      </c>
    </row>
    <row r="395" spans="1:9" x14ac:dyDescent="0.3">
      <c r="A395" s="127">
        <v>393</v>
      </c>
      <c r="B395" s="125" t="s">
        <v>15171</v>
      </c>
      <c r="C395" s="10" t="str">
        <f>VLOOKUP(B395,'Data Angt'!$A$5:$B$5809,2,FALSE)</f>
        <v>A5537</v>
      </c>
      <c r="D395" s="125" t="s">
        <v>19760</v>
      </c>
      <c r="E395" s="125" t="s">
        <v>22</v>
      </c>
      <c r="F395" s="125" t="str">
        <f t="shared" si="6"/>
        <v>003</v>
      </c>
      <c r="G395" s="126">
        <v>45797</v>
      </c>
      <c r="H395" s="125" t="s">
        <v>19759</v>
      </c>
      <c r="I395" s="124">
        <v>37</v>
      </c>
    </row>
    <row r="396" spans="1:9" x14ac:dyDescent="0.3">
      <c r="A396" s="127">
        <v>394</v>
      </c>
      <c r="B396" s="125" t="s">
        <v>15174</v>
      </c>
      <c r="C396" s="10" t="str">
        <f>VLOOKUP(B396,'Data Angt'!$A$5:$B$5809,2,FALSE)</f>
        <v>A5538</v>
      </c>
      <c r="D396" s="125" t="s">
        <v>19758</v>
      </c>
      <c r="E396" s="125" t="s">
        <v>22</v>
      </c>
      <c r="F396" s="125" t="str">
        <f t="shared" si="6"/>
        <v>005</v>
      </c>
      <c r="G396" s="126">
        <v>45797</v>
      </c>
      <c r="H396" s="125" t="s">
        <v>19757</v>
      </c>
      <c r="I396" s="124">
        <v>58</v>
      </c>
    </row>
    <row r="397" spans="1:9" x14ac:dyDescent="0.3">
      <c r="A397" s="127">
        <v>395</v>
      </c>
      <c r="B397" s="125" t="s">
        <v>15176</v>
      </c>
      <c r="C397" s="10" t="str">
        <f>VLOOKUP(B397,'Data Angt'!$A$5:$B$5809,2,FALSE)</f>
        <v>A5539</v>
      </c>
      <c r="D397" s="125" t="s">
        <v>19756</v>
      </c>
      <c r="E397" s="125" t="s">
        <v>22</v>
      </c>
      <c r="F397" s="125" t="str">
        <f t="shared" si="6"/>
        <v>005</v>
      </c>
      <c r="G397" s="126">
        <v>45797</v>
      </c>
      <c r="H397" s="125" t="s">
        <v>19755</v>
      </c>
      <c r="I397" s="124">
        <v>54</v>
      </c>
    </row>
    <row r="398" spans="1:9" x14ac:dyDescent="0.3">
      <c r="A398" s="127">
        <v>396</v>
      </c>
      <c r="B398" s="125" t="s">
        <v>15178</v>
      </c>
      <c r="C398" s="10" t="str">
        <f>VLOOKUP(B398,'Data Angt'!$A$5:$B$5809,2,FALSE)</f>
        <v>A5540</v>
      </c>
      <c r="D398" s="125" t="s">
        <v>19754</v>
      </c>
      <c r="E398" s="125" t="s">
        <v>22</v>
      </c>
      <c r="F398" s="125" t="str">
        <f t="shared" si="6"/>
        <v>002</v>
      </c>
      <c r="G398" s="126">
        <v>45797</v>
      </c>
      <c r="H398" s="125" t="s">
        <v>19753</v>
      </c>
      <c r="I398" s="124">
        <v>59</v>
      </c>
    </row>
    <row r="399" spans="1:9" x14ac:dyDescent="0.3">
      <c r="A399" s="127">
        <v>397</v>
      </c>
      <c r="B399" s="125" t="s">
        <v>15180</v>
      </c>
      <c r="C399" s="10" t="str">
        <f>VLOOKUP(B399,'Data Angt'!$A$5:$B$5809,2,FALSE)</f>
        <v>A5541</v>
      </c>
      <c r="D399" s="125" t="s">
        <v>19752</v>
      </c>
      <c r="E399" s="125" t="s">
        <v>22</v>
      </c>
      <c r="F399" s="125" t="str">
        <f t="shared" si="6"/>
        <v>001</v>
      </c>
      <c r="G399" s="126">
        <v>45797</v>
      </c>
      <c r="H399" s="125" t="s">
        <v>19751</v>
      </c>
      <c r="I399" s="124">
        <v>30</v>
      </c>
    </row>
    <row r="400" spans="1:9" x14ac:dyDescent="0.3">
      <c r="A400" s="127">
        <v>398</v>
      </c>
      <c r="B400" s="125" t="s">
        <v>15184</v>
      </c>
      <c r="C400" s="10" t="str">
        <f>VLOOKUP(B400,'Data Angt'!$A$5:$B$5809,2,FALSE)</f>
        <v>A5542</v>
      </c>
      <c r="D400" s="125" t="s">
        <v>19750</v>
      </c>
      <c r="E400" s="125" t="s">
        <v>22</v>
      </c>
      <c r="F400" s="125" t="str">
        <f t="shared" si="6"/>
        <v>003</v>
      </c>
      <c r="G400" s="126">
        <v>45798</v>
      </c>
      <c r="H400" s="125" t="s">
        <v>19749</v>
      </c>
      <c r="I400" s="124">
        <v>47</v>
      </c>
    </row>
    <row r="401" spans="1:9" x14ac:dyDescent="0.3">
      <c r="A401" s="127">
        <v>399</v>
      </c>
      <c r="B401" s="125" t="s">
        <v>15186</v>
      </c>
      <c r="C401" s="10" t="str">
        <f>VLOOKUP(B401,'Data Angt'!$A$5:$B$5809,2,FALSE)</f>
        <v>A5543</v>
      </c>
      <c r="D401" s="125" t="s">
        <v>19748</v>
      </c>
      <c r="E401" s="125" t="s">
        <v>22</v>
      </c>
      <c r="F401" s="125" t="str">
        <f t="shared" si="6"/>
        <v>001</v>
      </c>
      <c r="G401" s="126">
        <v>45799</v>
      </c>
      <c r="H401" s="125" t="s">
        <v>19747</v>
      </c>
      <c r="I401" s="124">
        <v>51</v>
      </c>
    </row>
    <row r="402" spans="1:9" x14ac:dyDescent="0.3">
      <c r="A402" s="127">
        <v>400</v>
      </c>
      <c r="B402" s="125" t="s">
        <v>15188</v>
      </c>
      <c r="C402" s="10" t="str">
        <f>VLOOKUP(B402,'Data Angt'!$A$5:$B$5809,2,FALSE)</f>
        <v>A5544</v>
      </c>
      <c r="D402" s="125" t="s">
        <v>19746</v>
      </c>
      <c r="E402" s="125" t="s">
        <v>22</v>
      </c>
      <c r="F402" s="125" t="str">
        <f t="shared" si="6"/>
        <v>003</v>
      </c>
      <c r="G402" s="126">
        <v>45800</v>
      </c>
      <c r="H402" s="125" t="s">
        <v>19745</v>
      </c>
      <c r="I402" s="124">
        <v>53</v>
      </c>
    </row>
    <row r="403" spans="1:9" x14ac:dyDescent="0.3">
      <c r="A403" s="127">
        <v>401</v>
      </c>
      <c r="B403" s="125" t="s">
        <v>15189</v>
      </c>
      <c r="C403" s="10" t="str">
        <f>VLOOKUP(B403,'Data Angt'!$A$5:$B$5809,2,FALSE)</f>
        <v>A5545</v>
      </c>
      <c r="D403" s="125" t="s">
        <v>19744</v>
      </c>
      <c r="E403" s="125" t="s">
        <v>11</v>
      </c>
      <c r="F403" s="125" t="str">
        <f t="shared" si="6"/>
        <v>003</v>
      </c>
      <c r="G403" s="126">
        <v>45800</v>
      </c>
      <c r="H403" s="125" t="s">
        <v>19743</v>
      </c>
      <c r="I403" s="124">
        <v>59</v>
      </c>
    </row>
    <row r="404" spans="1:9" x14ac:dyDescent="0.3">
      <c r="A404" s="127">
        <v>402</v>
      </c>
      <c r="B404" s="125" t="s">
        <v>15191</v>
      </c>
      <c r="C404" s="10" t="str">
        <f>VLOOKUP(B404,'Data Angt'!$A$5:$B$5809,2,FALSE)</f>
        <v>A5546</v>
      </c>
      <c r="D404" s="125" t="s">
        <v>19742</v>
      </c>
      <c r="E404" s="125" t="s">
        <v>11</v>
      </c>
      <c r="F404" s="125" t="str">
        <f t="shared" si="6"/>
        <v>001</v>
      </c>
      <c r="G404" s="126">
        <v>45801</v>
      </c>
      <c r="H404" s="125" t="s">
        <v>19741</v>
      </c>
      <c r="I404" s="124">
        <v>49</v>
      </c>
    </row>
    <row r="405" spans="1:9" x14ac:dyDescent="0.3">
      <c r="A405" s="127">
        <v>403</v>
      </c>
      <c r="B405" s="125" t="s">
        <v>15193</v>
      </c>
      <c r="C405" s="10" t="str">
        <f>VLOOKUP(B405,'Data Angt'!$A$5:$B$5809,2,FALSE)</f>
        <v>A5547</v>
      </c>
      <c r="D405" s="125" t="s">
        <v>19740</v>
      </c>
      <c r="E405" s="125" t="s">
        <v>22</v>
      </c>
      <c r="F405" s="125" t="str">
        <f t="shared" si="6"/>
        <v>004</v>
      </c>
      <c r="G405" s="126">
        <v>45801</v>
      </c>
      <c r="H405" s="125" t="s">
        <v>19739</v>
      </c>
      <c r="I405" s="124">
        <v>33</v>
      </c>
    </row>
    <row r="406" spans="1:9" x14ac:dyDescent="0.3">
      <c r="A406" s="127">
        <v>404</v>
      </c>
      <c r="B406" s="125" t="s">
        <v>15195</v>
      </c>
      <c r="C406" s="10" t="str">
        <f>VLOOKUP(B406,'Data Angt'!$A$5:$B$5809,2,FALSE)</f>
        <v>A5548</v>
      </c>
      <c r="D406" s="125" t="s">
        <v>19738</v>
      </c>
      <c r="E406" s="125" t="s">
        <v>22</v>
      </c>
      <c r="F406" s="125" t="str">
        <f t="shared" si="6"/>
        <v>001</v>
      </c>
      <c r="G406" s="126">
        <v>45801</v>
      </c>
      <c r="H406" s="125" t="s">
        <v>19737</v>
      </c>
      <c r="I406" s="124">
        <v>29</v>
      </c>
    </row>
    <row r="407" spans="1:9" x14ac:dyDescent="0.3">
      <c r="A407" s="127">
        <v>405</v>
      </c>
      <c r="B407" s="125" t="s">
        <v>15198</v>
      </c>
      <c r="C407" s="10" t="str">
        <f>VLOOKUP(B407,'Data Angt'!$A$5:$B$5809,2,FALSE)</f>
        <v>A5549</v>
      </c>
      <c r="D407" s="125" t="s">
        <v>19736</v>
      </c>
      <c r="E407" s="125" t="s">
        <v>11</v>
      </c>
      <c r="F407" s="125" t="str">
        <f t="shared" si="6"/>
        <v>004</v>
      </c>
      <c r="G407" s="126">
        <v>45803</v>
      </c>
      <c r="H407" s="125" t="s">
        <v>19274</v>
      </c>
      <c r="I407" s="124">
        <v>30</v>
      </c>
    </row>
    <row r="408" spans="1:9" x14ac:dyDescent="0.3">
      <c r="A408" s="127">
        <v>406</v>
      </c>
      <c r="B408" s="125" t="s">
        <v>15201</v>
      </c>
      <c r="C408" s="10" t="str">
        <f>VLOOKUP(B408,'Data Angt'!$A$5:$B$5809,2,FALSE)</f>
        <v>A5550</v>
      </c>
      <c r="D408" s="125" t="s">
        <v>19735</v>
      </c>
      <c r="E408" s="125" t="s">
        <v>22</v>
      </c>
      <c r="F408" s="125" t="str">
        <f t="shared" si="6"/>
        <v>005</v>
      </c>
      <c r="G408" s="126">
        <v>45803</v>
      </c>
      <c r="H408" s="125" t="s">
        <v>19734</v>
      </c>
      <c r="I408" s="124">
        <v>56</v>
      </c>
    </row>
    <row r="409" spans="1:9" x14ac:dyDescent="0.3">
      <c r="A409" s="127">
        <v>407</v>
      </c>
      <c r="B409" s="125" t="s">
        <v>15203</v>
      </c>
      <c r="C409" s="10" t="str">
        <f>VLOOKUP(B409,'Data Angt'!$A$5:$B$5809,2,FALSE)</f>
        <v>A5551</v>
      </c>
      <c r="D409" s="125" t="s">
        <v>19733</v>
      </c>
      <c r="E409" s="125" t="s">
        <v>11</v>
      </c>
      <c r="F409" s="125" t="str">
        <f t="shared" si="6"/>
        <v>001</v>
      </c>
      <c r="G409" s="126">
        <v>45804</v>
      </c>
      <c r="H409" s="125" t="s">
        <v>19732</v>
      </c>
      <c r="I409" s="124">
        <v>26</v>
      </c>
    </row>
    <row r="410" spans="1:9" x14ac:dyDescent="0.3">
      <c r="A410" s="127">
        <v>408</v>
      </c>
      <c r="B410" s="125" t="s">
        <v>15205</v>
      </c>
      <c r="C410" s="10" t="str">
        <f>VLOOKUP(B410,'Data Angt'!$A$5:$B$5809,2,FALSE)</f>
        <v>A5552</v>
      </c>
      <c r="D410" s="125" t="s">
        <v>19731</v>
      </c>
      <c r="E410" s="125" t="s">
        <v>11</v>
      </c>
      <c r="F410" s="125" t="str">
        <f t="shared" si="6"/>
        <v>001</v>
      </c>
      <c r="G410" s="126">
        <v>45804</v>
      </c>
      <c r="H410" s="125" t="s">
        <v>19730</v>
      </c>
      <c r="I410" s="124">
        <v>21</v>
      </c>
    </row>
    <row r="411" spans="1:9" x14ac:dyDescent="0.3">
      <c r="A411" s="127">
        <v>409</v>
      </c>
      <c r="B411" s="125" t="s">
        <v>15207</v>
      </c>
      <c r="C411" s="10" t="str">
        <f>VLOOKUP(B411,'Data Angt'!$A$5:$B$5809,2,FALSE)</f>
        <v>A5553</v>
      </c>
      <c r="D411" s="125" t="s">
        <v>19729</v>
      </c>
      <c r="E411" s="125" t="s">
        <v>11</v>
      </c>
      <c r="F411" s="125" t="str">
        <f t="shared" si="6"/>
        <v>001</v>
      </c>
      <c r="G411" s="126">
        <v>45804</v>
      </c>
      <c r="H411" s="125" t="s">
        <v>19728</v>
      </c>
      <c r="I411" s="124">
        <v>27</v>
      </c>
    </row>
    <row r="412" spans="1:9" x14ac:dyDescent="0.3">
      <c r="A412" s="127">
        <v>410</v>
      </c>
      <c r="B412" s="125" t="s">
        <v>15210</v>
      </c>
      <c r="C412" s="10" t="str">
        <f>VLOOKUP(B412,'Data Angt'!$A$5:$B$5809,2,FALSE)</f>
        <v>A5554</v>
      </c>
      <c r="D412" s="125" t="s">
        <v>19727</v>
      </c>
      <c r="E412" s="125" t="s">
        <v>11</v>
      </c>
      <c r="F412" s="125" t="str">
        <f t="shared" si="6"/>
        <v>001</v>
      </c>
      <c r="G412" s="126">
        <v>45804</v>
      </c>
      <c r="H412" s="125" t="s">
        <v>19274</v>
      </c>
      <c r="I412" s="124">
        <v>30</v>
      </c>
    </row>
    <row r="413" spans="1:9" x14ac:dyDescent="0.3">
      <c r="A413" s="127">
        <v>411</v>
      </c>
      <c r="B413" s="125" t="s">
        <v>15212</v>
      </c>
      <c r="C413" s="10" t="str">
        <f>VLOOKUP(B413,'Data Angt'!$A$5:$B$5809,2,FALSE)</f>
        <v>A5555</v>
      </c>
      <c r="D413" s="125" t="s">
        <v>19726</v>
      </c>
      <c r="E413" s="125" t="s">
        <v>22</v>
      </c>
      <c r="F413" s="125" t="str">
        <f t="shared" si="6"/>
        <v>001</v>
      </c>
      <c r="G413" s="126">
        <v>45804</v>
      </c>
      <c r="H413" s="125" t="s">
        <v>19725</v>
      </c>
      <c r="I413" s="124">
        <v>41</v>
      </c>
    </row>
    <row r="414" spans="1:9" x14ac:dyDescent="0.3">
      <c r="A414" s="127">
        <v>412</v>
      </c>
      <c r="B414" s="125" t="s">
        <v>15215</v>
      </c>
      <c r="C414" s="10" t="str">
        <f>VLOOKUP(B414,'Data Angt'!$A$5:$B$5809,2,FALSE)</f>
        <v>A5556</v>
      </c>
      <c r="D414" s="125" t="s">
        <v>19724</v>
      </c>
      <c r="E414" s="125" t="s">
        <v>22</v>
      </c>
      <c r="F414" s="125" t="str">
        <f t="shared" si="6"/>
        <v>002</v>
      </c>
      <c r="G414" s="126">
        <v>45804</v>
      </c>
      <c r="H414" s="125" t="s">
        <v>19274</v>
      </c>
      <c r="I414" s="124">
        <v>47</v>
      </c>
    </row>
    <row r="415" spans="1:9" x14ac:dyDescent="0.3">
      <c r="A415" s="127">
        <v>413</v>
      </c>
      <c r="B415" s="125" t="s">
        <v>15217</v>
      </c>
      <c r="C415" s="10" t="str">
        <f>VLOOKUP(B415,'Data Angt'!$A$5:$B$5809,2,FALSE)</f>
        <v>A5557</v>
      </c>
      <c r="D415" s="125" t="s">
        <v>19723</v>
      </c>
      <c r="E415" s="125" t="s">
        <v>22</v>
      </c>
      <c r="F415" s="125" t="str">
        <f t="shared" si="6"/>
        <v>005</v>
      </c>
      <c r="G415" s="126">
        <v>45805</v>
      </c>
      <c r="H415" s="125" t="s">
        <v>19722</v>
      </c>
      <c r="I415" s="124">
        <v>49</v>
      </c>
    </row>
    <row r="416" spans="1:9" x14ac:dyDescent="0.3">
      <c r="A416" s="127">
        <v>414</v>
      </c>
      <c r="B416" s="125" t="s">
        <v>15219</v>
      </c>
      <c r="C416" s="10" t="str">
        <f>VLOOKUP(B416,'Data Angt'!$A$5:$B$5809,2,FALSE)</f>
        <v>A5558</v>
      </c>
      <c r="D416" s="125" t="s">
        <v>19721</v>
      </c>
      <c r="E416" s="125" t="s">
        <v>11</v>
      </c>
      <c r="F416" s="125" t="str">
        <f t="shared" si="6"/>
        <v>001</v>
      </c>
      <c r="G416" s="126">
        <v>45807</v>
      </c>
      <c r="H416" s="125" t="s">
        <v>19720</v>
      </c>
      <c r="I416" s="124">
        <v>26</v>
      </c>
    </row>
    <row r="417" spans="1:9" x14ac:dyDescent="0.3">
      <c r="A417" s="127">
        <v>415</v>
      </c>
      <c r="B417" s="125" t="s">
        <v>15222</v>
      </c>
      <c r="C417" s="10" t="str">
        <f>VLOOKUP(B417,'Data Angt'!$A$5:$B$5809,2,FALSE)</f>
        <v>A5559</v>
      </c>
      <c r="D417" s="125" t="s">
        <v>19719</v>
      </c>
      <c r="E417" s="125" t="s">
        <v>11</v>
      </c>
      <c r="F417" s="125" t="str">
        <f t="shared" si="6"/>
        <v>001</v>
      </c>
      <c r="G417" s="126">
        <v>45807</v>
      </c>
      <c r="H417" s="125" t="s">
        <v>19718</v>
      </c>
      <c r="I417" s="124">
        <v>21</v>
      </c>
    </row>
    <row r="418" spans="1:9" x14ac:dyDescent="0.3">
      <c r="A418" s="127">
        <v>416</v>
      </c>
      <c r="B418" s="125" t="s">
        <v>15224</v>
      </c>
      <c r="C418" s="10" t="str">
        <f>VLOOKUP(B418,'Data Angt'!$A$5:$B$5809,2,FALSE)</f>
        <v>A5560</v>
      </c>
      <c r="D418" s="125" t="s">
        <v>19717</v>
      </c>
      <c r="E418" s="125" t="s">
        <v>11</v>
      </c>
      <c r="F418" s="125" t="str">
        <f t="shared" si="6"/>
        <v>001</v>
      </c>
      <c r="G418" s="126">
        <v>45807</v>
      </c>
      <c r="H418" s="125" t="s">
        <v>19716</v>
      </c>
      <c r="I418" s="124">
        <v>20</v>
      </c>
    </row>
    <row r="419" spans="1:9" x14ac:dyDescent="0.3">
      <c r="A419" s="127">
        <v>417</v>
      </c>
      <c r="B419" s="125" t="s">
        <v>15226</v>
      </c>
      <c r="C419" s="10" t="str">
        <f>VLOOKUP(B419,'Data Angt'!$A$5:$B$5809,2,FALSE)</f>
        <v>A5561</v>
      </c>
      <c r="D419" s="125" t="s">
        <v>19715</v>
      </c>
      <c r="E419" s="125" t="s">
        <v>11</v>
      </c>
      <c r="F419" s="125" t="str">
        <f t="shared" si="6"/>
        <v>004</v>
      </c>
      <c r="G419" s="126">
        <v>45807</v>
      </c>
      <c r="H419" s="125" t="s">
        <v>19714</v>
      </c>
      <c r="I419" s="124">
        <v>29</v>
      </c>
    </row>
    <row r="420" spans="1:9" x14ac:dyDescent="0.3">
      <c r="A420" s="127">
        <v>418</v>
      </c>
      <c r="B420" s="125" t="s">
        <v>15229</v>
      </c>
      <c r="C420" s="10" t="str">
        <f>VLOOKUP(B420,'Data Angt'!$A$5:$B$5809,2,FALSE)</f>
        <v>A5562</v>
      </c>
      <c r="D420" s="125" t="s">
        <v>19713</v>
      </c>
      <c r="E420" s="125" t="s">
        <v>22</v>
      </c>
      <c r="F420" s="125" t="str">
        <f t="shared" si="6"/>
        <v>005</v>
      </c>
      <c r="G420" s="126">
        <v>45808</v>
      </c>
      <c r="H420" s="125" t="s">
        <v>19712</v>
      </c>
      <c r="I420" s="124">
        <v>24</v>
      </c>
    </row>
    <row r="421" spans="1:9" x14ac:dyDescent="0.3">
      <c r="A421" s="127">
        <v>419</v>
      </c>
      <c r="B421" s="125" t="s">
        <v>15232</v>
      </c>
      <c r="C421" s="10" t="str">
        <f>VLOOKUP(B421,'Data Angt'!$A$5:$B$5809,2,FALSE)</f>
        <v>A5563</v>
      </c>
      <c r="D421" s="125" t="s">
        <v>19711</v>
      </c>
      <c r="E421" s="125" t="s">
        <v>11</v>
      </c>
      <c r="F421" s="125" t="str">
        <f t="shared" si="6"/>
        <v>001</v>
      </c>
      <c r="G421" s="126">
        <v>45808</v>
      </c>
      <c r="H421" s="125" t="s">
        <v>19710</v>
      </c>
      <c r="I421" s="124">
        <v>43</v>
      </c>
    </row>
    <row r="422" spans="1:9" x14ac:dyDescent="0.3">
      <c r="A422" s="127">
        <v>420</v>
      </c>
      <c r="B422" s="125" t="s">
        <v>15235</v>
      </c>
      <c r="C422" s="10" t="str">
        <f>VLOOKUP(B422,'Data Angt'!$A$5:$B$5809,2,FALSE)</f>
        <v>A5564</v>
      </c>
      <c r="D422" s="125" t="s">
        <v>19709</v>
      </c>
      <c r="E422" s="125" t="s">
        <v>11</v>
      </c>
      <c r="F422" s="125" t="str">
        <f t="shared" si="6"/>
        <v>001</v>
      </c>
      <c r="G422" s="126">
        <v>45808</v>
      </c>
      <c r="H422" s="125" t="s">
        <v>19708</v>
      </c>
      <c r="I422" s="124">
        <v>16</v>
      </c>
    </row>
    <row r="423" spans="1:9" x14ac:dyDescent="0.3">
      <c r="A423" s="127">
        <v>421</v>
      </c>
      <c r="B423" s="125" t="s">
        <v>15237</v>
      </c>
      <c r="C423" s="10" t="str">
        <f>VLOOKUP(B423,'Data Angt'!$A$5:$B$5809,2,FALSE)</f>
        <v>A5565</v>
      </c>
      <c r="D423" s="125" t="s">
        <v>19707</v>
      </c>
      <c r="E423" s="125" t="s">
        <v>22</v>
      </c>
      <c r="F423" s="125" t="str">
        <f t="shared" si="6"/>
        <v>001</v>
      </c>
      <c r="G423" s="126">
        <v>45808</v>
      </c>
      <c r="H423" s="125" t="s">
        <v>19706</v>
      </c>
      <c r="I423" s="124">
        <v>21</v>
      </c>
    </row>
    <row r="424" spans="1:9" x14ac:dyDescent="0.3">
      <c r="A424" s="127">
        <v>422</v>
      </c>
      <c r="B424" s="125" t="s">
        <v>15240</v>
      </c>
      <c r="C424" s="10" t="str">
        <f>VLOOKUP(B424,'Data Angt'!$A$5:$B$5809,2,FALSE)</f>
        <v>A5566</v>
      </c>
      <c r="D424" s="125" t="s">
        <v>19705</v>
      </c>
      <c r="E424" s="125" t="s">
        <v>22</v>
      </c>
      <c r="F424" s="125" t="str">
        <f t="shared" si="6"/>
        <v>004</v>
      </c>
      <c r="G424" s="126">
        <v>45808</v>
      </c>
      <c r="H424" s="125" t="s">
        <v>19704</v>
      </c>
      <c r="I424" s="124">
        <v>27</v>
      </c>
    </row>
    <row r="425" spans="1:9" x14ac:dyDescent="0.3">
      <c r="A425" s="127">
        <v>423</v>
      </c>
      <c r="B425" s="125" t="s">
        <v>15244</v>
      </c>
      <c r="C425" s="10" t="str">
        <f>VLOOKUP(B425,'Data Angt'!$A$5:$B$5809,2,FALSE)</f>
        <v>A5567</v>
      </c>
      <c r="D425" s="125" t="s">
        <v>19703</v>
      </c>
      <c r="E425" s="125" t="s">
        <v>11</v>
      </c>
      <c r="F425" s="125" t="str">
        <f t="shared" si="6"/>
        <v>001</v>
      </c>
      <c r="G425" s="126">
        <v>45808</v>
      </c>
      <c r="H425" s="125" t="s">
        <v>19702</v>
      </c>
      <c r="I425" s="124">
        <v>35</v>
      </c>
    </row>
    <row r="426" spans="1:9" x14ac:dyDescent="0.3">
      <c r="A426" s="127">
        <v>424</v>
      </c>
      <c r="B426" s="125" t="s">
        <v>15245</v>
      </c>
      <c r="C426" s="10" t="str">
        <f>VLOOKUP(B426,'Data Angt'!$A$5:$B$5809,2,FALSE)</f>
        <v>A5568</v>
      </c>
      <c r="D426" s="125" t="s">
        <v>19701</v>
      </c>
      <c r="E426" s="125" t="s">
        <v>22</v>
      </c>
      <c r="F426" s="125" t="str">
        <f t="shared" si="6"/>
        <v>005</v>
      </c>
      <c r="G426" s="126">
        <v>45811</v>
      </c>
      <c r="H426" s="125" t="s">
        <v>19700</v>
      </c>
      <c r="I426" s="124">
        <v>49</v>
      </c>
    </row>
    <row r="427" spans="1:9" x14ac:dyDescent="0.3">
      <c r="A427" s="127">
        <v>425</v>
      </c>
      <c r="B427" s="125" t="s">
        <v>15246</v>
      </c>
      <c r="C427" s="10" t="str">
        <f>VLOOKUP(B427,'Data Angt'!$A$5:$B$5809,2,FALSE)</f>
        <v>A5569</v>
      </c>
      <c r="D427" s="125" t="s">
        <v>19699</v>
      </c>
      <c r="E427" s="125" t="s">
        <v>22</v>
      </c>
      <c r="F427" s="125" t="str">
        <f t="shared" si="6"/>
        <v>005</v>
      </c>
      <c r="G427" s="126">
        <v>45811</v>
      </c>
      <c r="H427" s="125" t="s">
        <v>19698</v>
      </c>
      <c r="I427" s="124">
        <v>49</v>
      </c>
    </row>
    <row r="428" spans="1:9" x14ac:dyDescent="0.3">
      <c r="A428" s="127">
        <v>426</v>
      </c>
      <c r="B428" s="125" t="s">
        <v>15248</v>
      </c>
      <c r="C428" s="10" t="str">
        <f>VLOOKUP(B428,'Data Angt'!$A$5:$B$5809,2,FALSE)</f>
        <v>A5570</v>
      </c>
      <c r="D428" s="125" t="s">
        <v>19697</v>
      </c>
      <c r="E428" s="125" t="s">
        <v>22</v>
      </c>
      <c r="F428" s="125" t="str">
        <f t="shared" si="6"/>
        <v>004</v>
      </c>
      <c r="G428" s="126">
        <v>45811</v>
      </c>
      <c r="H428" s="125" t="s">
        <v>19696</v>
      </c>
      <c r="I428" s="124">
        <v>39</v>
      </c>
    </row>
    <row r="429" spans="1:9" x14ac:dyDescent="0.3">
      <c r="A429" s="127">
        <v>427</v>
      </c>
      <c r="B429" s="125" t="s">
        <v>15250</v>
      </c>
      <c r="C429" s="10" t="str">
        <f>VLOOKUP(B429,'Data Angt'!$A$5:$B$5809,2,FALSE)</f>
        <v>A5571</v>
      </c>
      <c r="D429" s="125" t="s">
        <v>19695</v>
      </c>
      <c r="E429" s="125" t="s">
        <v>11</v>
      </c>
      <c r="F429" s="125" t="str">
        <f t="shared" si="6"/>
        <v>002</v>
      </c>
      <c r="G429" s="126">
        <v>45812</v>
      </c>
      <c r="H429" s="125" t="s">
        <v>19274</v>
      </c>
      <c r="I429" s="124">
        <v>71</v>
      </c>
    </row>
    <row r="430" spans="1:9" x14ac:dyDescent="0.3">
      <c r="A430" s="127">
        <v>428</v>
      </c>
      <c r="B430" s="125" t="s">
        <v>15253</v>
      </c>
      <c r="C430" s="10" t="str">
        <f>VLOOKUP(B430,'Data Angt'!$A$5:$B$5809,2,FALSE)</f>
        <v>A5572</v>
      </c>
      <c r="D430" s="125" t="s">
        <v>19694</v>
      </c>
      <c r="E430" s="125" t="s">
        <v>11</v>
      </c>
      <c r="F430" s="125" t="str">
        <f t="shared" si="6"/>
        <v>006</v>
      </c>
      <c r="G430" s="126">
        <v>45813</v>
      </c>
      <c r="H430" s="125" t="s">
        <v>19693</v>
      </c>
      <c r="I430" s="124">
        <v>22</v>
      </c>
    </row>
    <row r="431" spans="1:9" x14ac:dyDescent="0.3">
      <c r="A431" s="127">
        <v>429</v>
      </c>
      <c r="B431" s="125" t="s">
        <v>15255</v>
      </c>
      <c r="C431" s="10" t="str">
        <f>VLOOKUP(B431,'Data Angt'!$A$5:$B$5809,2,FALSE)</f>
        <v>A5573</v>
      </c>
      <c r="D431" s="125" t="s">
        <v>19692</v>
      </c>
      <c r="E431" s="125" t="s">
        <v>11</v>
      </c>
      <c r="F431" s="125" t="str">
        <f t="shared" si="6"/>
        <v>001</v>
      </c>
      <c r="G431" s="126">
        <v>45813</v>
      </c>
      <c r="H431" s="125" t="s">
        <v>19691</v>
      </c>
      <c r="I431" s="124">
        <v>29</v>
      </c>
    </row>
    <row r="432" spans="1:9" x14ac:dyDescent="0.3">
      <c r="A432" s="127">
        <v>430</v>
      </c>
      <c r="B432" s="125" t="s">
        <v>15257</v>
      </c>
      <c r="C432" s="10" t="str">
        <f>VLOOKUP(B432,'Data Angt'!$A$5:$B$5809,2,FALSE)</f>
        <v>A5574</v>
      </c>
      <c r="D432" s="125" t="s">
        <v>19690</v>
      </c>
      <c r="E432" s="125" t="s">
        <v>11</v>
      </c>
      <c r="F432" s="125" t="str">
        <f t="shared" si="6"/>
        <v>002</v>
      </c>
      <c r="G432" s="126">
        <v>45813</v>
      </c>
      <c r="H432" s="125" t="s">
        <v>19689</v>
      </c>
      <c r="I432" s="124">
        <v>45</v>
      </c>
    </row>
    <row r="433" spans="1:9" x14ac:dyDescent="0.3">
      <c r="A433" s="127">
        <v>431</v>
      </c>
      <c r="B433" s="125" t="s">
        <v>15259</v>
      </c>
      <c r="C433" s="10" t="str">
        <f>VLOOKUP(B433,'Data Angt'!$A$5:$B$5809,2,FALSE)</f>
        <v>A5575</v>
      </c>
      <c r="D433" s="125" t="s">
        <v>19688</v>
      </c>
      <c r="E433" s="125" t="s">
        <v>11</v>
      </c>
      <c r="F433" s="125" t="str">
        <f t="shared" si="6"/>
        <v>003</v>
      </c>
      <c r="G433" s="126">
        <v>45817</v>
      </c>
      <c r="H433" s="125" t="s">
        <v>19687</v>
      </c>
      <c r="I433" s="124">
        <v>52</v>
      </c>
    </row>
    <row r="434" spans="1:9" x14ac:dyDescent="0.3">
      <c r="A434" s="127">
        <v>432</v>
      </c>
      <c r="B434" s="125" t="s">
        <v>15261</v>
      </c>
      <c r="C434" s="10" t="str">
        <f>VLOOKUP(B434,'Data Angt'!$A$5:$B$5809,2,FALSE)</f>
        <v>A5576</v>
      </c>
      <c r="D434" s="125" t="s">
        <v>19686</v>
      </c>
      <c r="E434" s="125" t="s">
        <v>11</v>
      </c>
      <c r="F434" s="125" t="str">
        <f t="shared" si="6"/>
        <v>005</v>
      </c>
      <c r="G434" s="126">
        <v>45817</v>
      </c>
      <c r="H434" s="125" t="s">
        <v>19685</v>
      </c>
      <c r="I434" s="124">
        <v>19</v>
      </c>
    </row>
    <row r="435" spans="1:9" x14ac:dyDescent="0.3">
      <c r="A435" s="127">
        <v>433</v>
      </c>
      <c r="B435" s="125" t="s">
        <v>15263</v>
      </c>
      <c r="C435" s="10" t="str">
        <f>VLOOKUP(B435,'Data Angt'!$A$5:$B$5809,2,FALSE)</f>
        <v>A5577</v>
      </c>
      <c r="D435" s="125" t="s">
        <v>19684</v>
      </c>
      <c r="E435" s="125" t="s">
        <v>22</v>
      </c>
      <c r="F435" s="125" t="str">
        <f t="shared" si="6"/>
        <v>001</v>
      </c>
      <c r="G435" s="126">
        <v>45819</v>
      </c>
      <c r="H435" s="125" t="s">
        <v>19683</v>
      </c>
      <c r="I435" s="124">
        <v>54</v>
      </c>
    </row>
    <row r="436" spans="1:9" x14ac:dyDescent="0.3">
      <c r="A436" s="127">
        <v>434</v>
      </c>
      <c r="B436" s="125" t="s">
        <v>15264</v>
      </c>
      <c r="C436" s="10" t="str">
        <f>VLOOKUP(B436,'Data Angt'!$A$5:$B$5809,2,FALSE)</f>
        <v>A5578</v>
      </c>
      <c r="D436" s="125" t="s">
        <v>19682</v>
      </c>
      <c r="E436" s="125" t="s">
        <v>22</v>
      </c>
      <c r="F436" s="125" t="str">
        <f t="shared" si="6"/>
        <v>002</v>
      </c>
      <c r="G436" s="126">
        <v>45819</v>
      </c>
      <c r="H436" s="125" t="s">
        <v>19681</v>
      </c>
      <c r="I436" s="124">
        <v>37</v>
      </c>
    </row>
    <row r="437" spans="1:9" x14ac:dyDescent="0.3">
      <c r="A437" s="127">
        <v>435</v>
      </c>
      <c r="B437" s="125" t="s">
        <v>15265</v>
      </c>
      <c r="C437" s="10" t="str">
        <f>VLOOKUP(B437,'Data Angt'!$A$5:$B$5809,2,FALSE)</f>
        <v>A5579</v>
      </c>
      <c r="D437" s="125" t="s">
        <v>19680</v>
      </c>
      <c r="E437" s="125" t="s">
        <v>22</v>
      </c>
      <c r="F437" s="125" t="str">
        <f t="shared" si="6"/>
        <v>006</v>
      </c>
      <c r="G437" s="126">
        <v>45819</v>
      </c>
      <c r="H437" s="125" t="s">
        <v>19342</v>
      </c>
      <c r="I437" s="124">
        <v>59</v>
      </c>
    </row>
    <row r="438" spans="1:9" x14ac:dyDescent="0.3">
      <c r="A438" s="127">
        <v>436</v>
      </c>
      <c r="B438" s="125" t="s">
        <v>15266</v>
      </c>
      <c r="C438" s="10" t="str">
        <f>VLOOKUP(B438,'Data Angt'!$A$5:$B$5809,2,FALSE)</f>
        <v>A5580</v>
      </c>
      <c r="D438" s="125" t="s">
        <v>19679</v>
      </c>
      <c r="E438" s="125" t="s">
        <v>11</v>
      </c>
      <c r="F438" s="125" t="str">
        <f t="shared" si="6"/>
        <v>003</v>
      </c>
      <c r="G438" s="126">
        <v>45820</v>
      </c>
      <c r="H438" s="125" t="s">
        <v>19678</v>
      </c>
      <c r="I438" s="124">
        <v>29</v>
      </c>
    </row>
    <row r="439" spans="1:9" x14ac:dyDescent="0.3">
      <c r="A439" s="127">
        <v>437</v>
      </c>
      <c r="B439" s="125" t="s">
        <v>18898</v>
      </c>
      <c r="C439" s="10" t="str">
        <f>VLOOKUP(B439,'Data Angt'!$A$5:$B$5809,2,FALSE)</f>
        <v>A5625</v>
      </c>
      <c r="D439" s="125" t="s">
        <v>19677</v>
      </c>
      <c r="E439" s="125" t="s">
        <v>22</v>
      </c>
      <c r="F439" s="125" t="str">
        <f t="shared" si="6"/>
        <v>001</v>
      </c>
      <c r="G439" s="126">
        <v>45849</v>
      </c>
      <c r="H439" s="125" t="s">
        <v>19676</v>
      </c>
      <c r="I439" s="124">
        <v>36</v>
      </c>
    </row>
    <row r="440" spans="1:9" x14ac:dyDescent="0.3">
      <c r="A440" s="127">
        <v>438</v>
      </c>
      <c r="B440" s="125" t="s">
        <v>15267</v>
      </c>
      <c r="C440" s="10" t="str">
        <f>VLOOKUP(B440,'Data Angt'!$A$5:$B$5809,2,FALSE)</f>
        <v>A5581</v>
      </c>
      <c r="D440" s="125" t="s">
        <v>19675</v>
      </c>
      <c r="E440" s="125" t="s">
        <v>22</v>
      </c>
      <c r="F440" s="125" t="str">
        <f t="shared" si="6"/>
        <v>001</v>
      </c>
      <c r="G440" s="126">
        <v>45821</v>
      </c>
      <c r="H440" s="125" t="s">
        <v>19674</v>
      </c>
      <c r="I440" s="124">
        <v>42</v>
      </c>
    </row>
    <row r="441" spans="1:9" x14ac:dyDescent="0.3">
      <c r="A441" s="127">
        <v>439</v>
      </c>
      <c r="B441" s="125" t="s">
        <v>15270</v>
      </c>
      <c r="C441" s="10" t="str">
        <f>VLOOKUP(B441,'Data Angt'!$A$5:$B$5809,2,FALSE)</f>
        <v>A5582</v>
      </c>
      <c r="D441" s="125" t="s">
        <v>19673</v>
      </c>
      <c r="E441" s="125" t="s">
        <v>22</v>
      </c>
      <c r="F441" s="125" t="str">
        <f t="shared" si="6"/>
        <v>001</v>
      </c>
      <c r="G441" s="126">
        <v>45822</v>
      </c>
      <c r="H441" s="125" t="s">
        <v>19672</v>
      </c>
      <c r="I441" s="124">
        <v>29</v>
      </c>
    </row>
    <row r="442" spans="1:9" x14ac:dyDescent="0.3">
      <c r="A442" s="127">
        <v>440</v>
      </c>
      <c r="B442" s="125" t="s">
        <v>15271</v>
      </c>
      <c r="C442" s="10" t="str">
        <f>VLOOKUP(B442,'Data Angt'!$A$5:$B$5809,2,FALSE)</f>
        <v>A5583</v>
      </c>
      <c r="D442" s="125" t="s">
        <v>19671</v>
      </c>
      <c r="E442" s="125" t="s">
        <v>22</v>
      </c>
      <c r="F442" s="125" t="str">
        <f t="shared" si="6"/>
        <v>004</v>
      </c>
      <c r="G442" s="126">
        <v>45822</v>
      </c>
      <c r="H442" s="125" t="s">
        <v>19670</v>
      </c>
      <c r="I442" s="124">
        <v>38</v>
      </c>
    </row>
    <row r="443" spans="1:9" x14ac:dyDescent="0.3">
      <c r="A443" s="127">
        <v>441</v>
      </c>
      <c r="B443" s="125" t="s">
        <v>15274</v>
      </c>
      <c r="C443" s="10" t="str">
        <f>VLOOKUP(B443,'Data Angt'!$A$5:$B$5809,2,FALSE)</f>
        <v>A5584</v>
      </c>
      <c r="D443" s="125" t="s">
        <v>19669</v>
      </c>
      <c r="E443" s="125" t="s">
        <v>22</v>
      </c>
      <c r="F443" s="125" t="str">
        <f t="shared" si="6"/>
        <v>005</v>
      </c>
      <c r="G443" s="126">
        <v>45824</v>
      </c>
      <c r="H443" s="125" t="s">
        <v>19668</v>
      </c>
      <c r="I443" s="124">
        <v>70</v>
      </c>
    </row>
    <row r="444" spans="1:9" x14ac:dyDescent="0.3">
      <c r="A444" s="127">
        <v>442</v>
      </c>
      <c r="B444" s="125" t="s">
        <v>15275</v>
      </c>
      <c r="C444" s="10" t="str">
        <f>VLOOKUP(B444,'Data Angt'!$A$5:$B$5809,2,FALSE)</f>
        <v>A5585</v>
      </c>
      <c r="D444" s="125" t="s">
        <v>19381</v>
      </c>
      <c r="E444" s="125" t="s">
        <v>22</v>
      </c>
      <c r="F444" s="125" t="str">
        <f t="shared" si="6"/>
        <v>002</v>
      </c>
      <c r="G444" s="126">
        <v>45824</v>
      </c>
      <c r="H444" s="125" t="s">
        <v>19667</v>
      </c>
      <c r="I444" s="124">
        <v>49</v>
      </c>
    </row>
    <row r="445" spans="1:9" x14ac:dyDescent="0.3">
      <c r="A445" s="127">
        <v>443</v>
      </c>
      <c r="B445" s="125" t="s">
        <v>15276</v>
      </c>
      <c r="C445" s="10" t="str">
        <f>VLOOKUP(B445,'Data Angt'!$A$5:$B$5809,2,FALSE)</f>
        <v>A5586</v>
      </c>
      <c r="D445" s="125" t="s">
        <v>19666</v>
      </c>
      <c r="E445" s="125" t="s">
        <v>22</v>
      </c>
      <c r="F445" s="125" t="str">
        <f t="shared" si="6"/>
        <v>005</v>
      </c>
      <c r="G445" s="126">
        <v>45824</v>
      </c>
      <c r="H445" s="125" t="s">
        <v>19665</v>
      </c>
      <c r="I445" s="124">
        <v>51</v>
      </c>
    </row>
    <row r="446" spans="1:9" x14ac:dyDescent="0.3">
      <c r="A446" s="127">
        <v>444</v>
      </c>
      <c r="B446" s="125" t="s">
        <v>15279</v>
      </c>
      <c r="C446" s="10" t="str">
        <f>VLOOKUP(B446,'Data Angt'!$A$5:$B$5809,2,FALSE)</f>
        <v>A5587</v>
      </c>
      <c r="D446" s="125" t="s">
        <v>19664</v>
      </c>
      <c r="E446" s="125" t="s">
        <v>11</v>
      </c>
      <c r="F446" s="125" t="str">
        <f t="shared" si="6"/>
        <v>004</v>
      </c>
      <c r="G446" s="126">
        <v>45824</v>
      </c>
      <c r="H446" s="125" t="s">
        <v>19663</v>
      </c>
      <c r="I446" s="124">
        <v>33</v>
      </c>
    </row>
    <row r="447" spans="1:9" x14ac:dyDescent="0.3">
      <c r="A447" s="127">
        <v>445</v>
      </c>
      <c r="B447" s="125" t="s">
        <v>15281</v>
      </c>
      <c r="C447" s="10" t="str">
        <f>VLOOKUP(B447,'Data Angt'!$A$5:$B$5809,2,FALSE)</f>
        <v>A5588</v>
      </c>
      <c r="D447" s="125" t="s">
        <v>19662</v>
      </c>
      <c r="E447" s="125" t="s">
        <v>22</v>
      </c>
      <c r="F447" s="125" t="str">
        <f t="shared" si="6"/>
        <v>002</v>
      </c>
      <c r="G447" s="126">
        <v>45824</v>
      </c>
      <c r="H447" s="125" t="s">
        <v>19661</v>
      </c>
      <c r="I447" s="124">
        <v>44</v>
      </c>
    </row>
    <row r="448" spans="1:9" x14ac:dyDescent="0.3">
      <c r="A448" s="127">
        <v>446</v>
      </c>
      <c r="B448" s="125" t="s">
        <v>15283</v>
      </c>
      <c r="C448" s="10" t="str">
        <f>VLOOKUP(B448,'Data Angt'!$A$5:$B$5809,2,FALSE)</f>
        <v>A5589</v>
      </c>
      <c r="D448" s="125" t="s">
        <v>19660</v>
      </c>
      <c r="E448" s="125" t="s">
        <v>11</v>
      </c>
      <c r="F448" s="125" t="str">
        <f t="shared" si="6"/>
        <v>006</v>
      </c>
      <c r="G448" s="126">
        <v>45826</v>
      </c>
      <c r="H448" s="125" t="s">
        <v>19659</v>
      </c>
      <c r="I448" s="124">
        <v>42</v>
      </c>
    </row>
    <row r="449" spans="1:9" x14ac:dyDescent="0.3">
      <c r="A449" s="127">
        <v>447</v>
      </c>
      <c r="B449" s="125" t="s">
        <v>15284</v>
      </c>
      <c r="C449" s="10" t="str">
        <f>VLOOKUP(B449,'Data Angt'!$A$5:$B$5809,2,FALSE)</f>
        <v>A5590</v>
      </c>
      <c r="D449" s="125" t="s">
        <v>19658</v>
      </c>
      <c r="E449" s="125" t="s">
        <v>22</v>
      </c>
      <c r="F449" s="125" t="str">
        <f t="shared" si="6"/>
        <v>002</v>
      </c>
      <c r="G449" s="126">
        <v>45827</v>
      </c>
      <c r="H449" s="125" t="s">
        <v>19657</v>
      </c>
      <c r="I449" s="124">
        <v>17</v>
      </c>
    </row>
    <row r="450" spans="1:9" x14ac:dyDescent="0.3">
      <c r="A450" s="127">
        <v>448</v>
      </c>
      <c r="B450" s="125" t="s">
        <v>15286</v>
      </c>
      <c r="C450" s="10" t="str">
        <f>VLOOKUP(B450,'Data Angt'!$A$5:$B$5809,2,FALSE)</f>
        <v>A5591</v>
      </c>
      <c r="D450" s="125" t="s">
        <v>19656</v>
      </c>
      <c r="E450" s="125" t="s">
        <v>22</v>
      </c>
      <c r="F450" s="125" t="str">
        <f t="shared" si="6"/>
        <v>005</v>
      </c>
      <c r="G450" s="126">
        <v>45827</v>
      </c>
      <c r="H450" s="125" t="s">
        <v>19655</v>
      </c>
      <c r="I450" s="124">
        <v>49</v>
      </c>
    </row>
    <row r="451" spans="1:9" x14ac:dyDescent="0.3">
      <c r="A451" s="127">
        <v>449</v>
      </c>
      <c r="B451" s="125" t="s">
        <v>15288</v>
      </c>
      <c r="C451" s="10" t="str">
        <f>VLOOKUP(B451,'Data Angt'!$A$5:$B$5809,2,FALSE)</f>
        <v>A5592</v>
      </c>
      <c r="D451" s="125" t="s">
        <v>19654</v>
      </c>
      <c r="E451" s="125" t="s">
        <v>22</v>
      </c>
      <c r="F451" s="125" t="str">
        <f t="shared" si="6"/>
        <v>001</v>
      </c>
      <c r="G451" s="126">
        <v>45829</v>
      </c>
      <c r="H451" s="125" t="s">
        <v>19653</v>
      </c>
      <c r="I451" s="124">
        <v>37</v>
      </c>
    </row>
    <row r="452" spans="1:9" x14ac:dyDescent="0.3">
      <c r="A452" s="127">
        <v>450</v>
      </c>
      <c r="B452" s="125" t="s">
        <v>15291</v>
      </c>
      <c r="C452" s="10" t="str">
        <f>VLOOKUP(B452,'Data Angt'!$A$5:$B$5809,2,FALSE)</f>
        <v>A5593</v>
      </c>
      <c r="D452" s="125" t="s">
        <v>19652</v>
      </c>
      <c r="E452" s="125" t="s">
        <v>11</v>
      </c>
      <c r="F452" s="125" t="str">
        <f t="shared" ref="F452:F515" si="7">MID(B452,7,3)</f>
        <v>001</v>
      </c>
      <c r="G452" s="126">
        <v>45831</v>
      </c>
      <c r="H452" s="125" t="s">
        <v>19651</v>
      </c>
      <c r="I452" s="124">
        <v>20</v>
      </c>
    </row>
    <row r="453" spans="1:9" x14ac:dyDescent="0.3">
      <c r="A453" s="127">
        <v>451</v>
      </c>
      <c r="B453" s="125" t="s">
        <v>15295</v>
      </c>
      <c r="C453" s="10" t="str">
        <f>VLOOKUP(B453,'Data Angt'!$A$5:$B$5809,2,FALSE)</f>
        <v>A5594</v>
      </c>
      <c r="D453" s="125" t="s">
        <v>19650</v>
      </c>
      <c r="E453" s="125" t="s">
        <v>11</v>
      </c>
      <c r="F453" s="125" t="str">
        <f t="shared" si="7"/>
        <v>003</v>
      </c>
      <c r="G453" s="126">
        <v>45831</v>
      </c>
      <c r="H453" s="125" t="s">
        <v>19649</v>
      </c>
      <c r="I453" s="124">
        <v>38</v>
      </c>
    </row>
    <row r="454" spans="1:9" x14ac:dyDescent="0.3">
      <c r="A454" s="127">
        <v>452</v>
      </c>
      <c r="B454" s="125" t="s">
        <v>15297</v>
      </c>
      <c r="C454" s="10" t="str">
        <f>VLOOKUP(B454,'Data Angt'!$A$5:$B$5809,2,FALSE)</f>
        <v>A5595</v>
      </c>
      <c r="D454" s="125" t="s">
        <v>19648</v>
      </c>
      <c r="E454" s="125" t="s">
        <v>22</v>
      </c>
      <c r="F454" s="125" t="str">
        <f t="shared" si="7"/>
        <v>001</v>
      </c>
      <c r="G454" s="126">
        <v>45832</v>
      </c>
      <c r="H454" s="125" t="s">
        <v>19647</v>
      </c>
      <c r="I454" s="124">
        <v>35</v>
      </c>
    </row>
    <row r="455" spans="1:9" x14ac:dyDescent="0.3">
      <c r="A455" s="127">
        <v>453</v>
      </c>
      <c r="B455" s="125" t="s">
        <v>15300</v>
      </c>
      <c r="C455" s="10" t="str">
        <f>VLOOKUP(B455,'Data Angt'!$A$5:$B$5809,2,FALSE)</f>
        <v>A5596</v>
      </c>
      <c r="D455" s="125" t="s">
        <v>19646</v>
      </c>
      <c r="E455" s="125" t="s">
        <v>22</v>
      </c>
      <c r="F455" s="125" t="str">
        <f t="shared" si="7"/>
        <v>003</v>
      </c>
      <c r="G455" s="126">
        <v>45832</v>
      </c>
      <c r="H455" s="125" t="s">
        <v>19645</v>
      </c>
      <c r="I455" s="124">
        <v>28</v>
      </c>
    </row>
    <row r="456" spans="1:9" x14ac:dyDescent="0.3">
      <c r="A456" s="127">
        <v>454</v>
      </c>
      <c r="B456" s="125" t="s">
        <v>15303</v>
      </c>
      <c r="C456" s="10" t="str">
        <f>VLOOKUP(B456,'Data Angt'!$A$5:$B$5809,2,FALSE)</f>
        <v>A5597</v>
      </c>
      <c r="D456" s="125" t="s">
        <v>19644</v>
      </c>
      <c r="E456" s="125" t="s">
        <v>11</v>
      </c>
      <c r="F456" s="125" t="str">
        <f t="shared" si="7"/>
        <v>006</v>
      </c>
      <c r="G456" s="126">
        <v>45832</v>
      </c>
      <c r="H456" s="125" t="s">
        <v>19643</v>
      </c>
      <c r="I456" s="124">
        <v>29</v>
      </c>
    </row>
    <row r="457" spans="1:9" x14ac:dyDescent="0.3">
      <c r="A457" s="127">
        <v>455</v>
      </c>
      <c r="B457" s="125" t="s">
        <v>15304</v>
      </c>
      <c r="C457" s="10" t="str">
        <f>VLOOKUP(B457,'Data Angt'!$A$5:$B$5809,2,FALSE)</f>
        <v>A5598</v>
      </c>
      <c r="D457" s="125" t="s">
        <v>19642</v>
      </c>
      <c r="E457" s="125" t="s">
        <v>22</v>
      </c>
      <c r="F457" s="125" t="str">
        <f t="shared" si="7"/>
        <v>001</v>
      </c>
      <c r="G457" s="126">
        <v>45833</v>
      </c>
      <c r="H457" s="125" t="s">
        <v>19641</v>
      </c>
      <c r="I457" s="124">
        <v>59</v>
      </c>
    </row>
    <row r="458" spans="1:9" x14ac:dyDescent="0.3">
      <c r="A458" s="127">
        <v>456</v>
      </c>
      <c r="B458" s="125" t="s">
        <v>15307</v>
      </c>
      <c r="C458" s="10" t="str">
        <f>VLOOKUP(B458,'Data Angt'!$A$5:$B$5809,2,FALSE)</f>
        <v>A5599</v>
      </c>
      <c r="D458" s="125" t="s">
        <v>19640</v>
      </c>
      <c r="E458" s="125" t="s">
        <v>11</v>
      </c>
      <c r="F458" s="125" t="str">
        <f t="shared" si="7"/>
        <v>001</v>
      </c>
      <c r="G458" s="126">
        <v>45833</v>
      </c>
      <c r="H458" s="125" t="s">
        <v>19639</v>
      </c>
      <c r="I458" s="124">
        <v>25</v>
      </c>
    </row>
    <row r="459" spans="1:9" x14ac:dyDescent="0.3">
      <c r="A459" s="127">
        <v>457</v>
      </c>
      <c r="B459" s="125" t="s">
        <v>15309</v>
      </c>
      <c r="C459" s="10" t="str">
        <f>VLOOKUP(B459,'Data Angt'!$A$5:$B$5809,2,FALSE)</f>
        <v>A5600</v>
      </c>
      <c r="D459" s="125" t="s">
        <v>19638</v>
      </c>
      <c r="E459" s="125" t="s">
        <v>11</v>
      </c>
      <c r="F459" s="125" t="str">
        <f t="shared" si="7"/>
        <v>001</v>
      </c>
      <c r="G459" s="126">
        <v>45833</v>
      </c>
      <c r="H459" s="125" t="s">
        <v>19637</v>
      </c>
      <c r="I459" s="124">
        <v>24</v>
      </c>
    </row>
    <row r="460" spans="1:9" x14ac:dyDescent="0.3">
      <c r="A460" s="127">
        <v>458</v>
      </c>
      <c r="B460" s="125" t="s">
        <v>15311</v>
      </c>
      <c r="C460" s="10" t="str">
        <f>VLOOKUP(B460,'Data Angt'!$A$5:$B$5809,2,FALSE)</f>
        <v>A5601</v>
      </c>
      <c r="D460" s="125" t="s">
        <v>19636</v>
      </c>
      <c r="E460" s="125" t="s">
        <v>22</v>
      </c>
      <c r="F460" s="125" t="str">
        <f t="shared" si="7"/>
        <v>001</v>
      </c>
      <c r="G460" s="126">
        <v>45833</v>
      </c>
      <c r="H460" s="125" t="s">
        <v>19635</v>
      </c>
      <c r="I460" s="124">
        <v>18</v>
      </c>
    </row>
    <row r="461" spans="1:9" x14ac:dyDescent="0.3">
      <c r="A461" s="127">
        <v>459</v>
      </c>
      <c r="B461" s="125" t="s">
        <v>15313</v>
      </c>
      <c r="C461" s="10" t="str">
        <f>VLOOKUP(B461,'Data Angt'!$A$5:$B$5809,2,FALSE)</f>
        <v>A5602</v>
      </c>
      <c r="D461" s="125" t="s">
        <v>19634</v>
      </c>
      <c r="E461" s="125" t="s">
        <v>11</v>
      </c>
      <c r="F461" s="125" t="str">
        <f t="shared" si="7"/>
        <v>003</v>
      </c>
      <c r="G461" s="126">
        <v>45834</v>
      </c>
      <c r="H461" s="125" t="s">
        <v>19633</v>
      </c>
      <c r="I461" s="124">
        <v>17</v>
      </c>
    </row>
    <row r="462" spans="1:9" x14ac:dyDescent="0.3">
      <c r="A462" s="127">
        <v>460</v>
      </c>
      <c r="B462" s="125" t="s">
        <v>15315</v>
      </c>
      <c r="C462" s="10" t="str">
        <f>VLOOKUP(B462,'Data Angt'!$A$5:$B$5809,2,FALSE)</f>
        <v>A5603</v>
      </c>
      <c r="D462" s="125" t="s">
        <v>19632</v>
      </c>
      <c r="E462" s="125" t="s">
        <v>11</v>
      </c>
      <c r="F462" s="125" t="str">
        <f t="shared" si="7"/>
        <v>001</v>
      </c>
      <c r="G462" s="126">
        <v>45836</v>
      </c>
      <c r="H462" s="125" t="s">
        <v>19631</v>
      </c>
      <c r="I462" s="124">
        <v>47</v>
      </c>
    </row>
    <row r="463" spans="1:9" x14ac:dyDescent="0.3">
      <c r="A463" s="127">
        <v>461</v>
      </c>
      <c r="B463" s="125" t="s">
        <v>15318</v>
      </c>
      <c r="C463" s="10" t="str">
        <f>VLOOKUP(B463,'Data Angt'!$A$5:$B$5809,2,FALSE)</f>
        <v>A5604</v>
      </c>
      <c r="D463" s="125" t="s">
        <v>19630</v>
      </c>
      <c r="E463" s="125" t="s">
        <v>11</v>
      </c>
      <c r="F463" s="125" t="str">
        <f t="shared" si="7"/>
        <v>006</v>
      </c>
      <c r="G463" s="126">
        <v>45836</v>
      </c>
      <c r="H463" s="125" t="s">
        <v>19629</v>
      </c>
      <c r="I463" s="124">
        <v>55</v>
      </c>
    </row>
    <row r="464" spans="1:9" x14ac:dyDescent="0.3">
      <c r="A464" s="127">
        <v>462</v>
      </c>
      <c r="B464" s="125" t="s">
        <v>15320</v>
      </c>
      <c r="C464" s="10" t="str">
        <f>VLOOKUP(B464,'Data Angt'!$A$5:$B$5809,2,FALSE)</f>
        <v>A5605</v>
      </c>
      <c r="D464" s="125" t="s">
        <v>19628</v>
      </c>
      <c r="E464" s="125" t="s">
        <v>22</v>
      </c>
      <c r="F464" s="125" t="str">
        <f t="shared" si="7"/>
        <v>001</v>
      </c>
      <c r="G464" s="126">
        <v>45836</v>
      </c>
      <c r="H464" s="125" t="s">
        <v>19627</v>
      </c>
      <c r="I464" s="124">
        <v>50</v>
      </c>
    </row>
    <row r="465" spans="1:9" x14ac:dyDescent="0.3">
      <c r="A465" s="127">
        <v>463</v>
      </c>
      <c r="B465" s="125" t="s">
        <v>15321</v>
      </c>
      <c r="C465" s="10" t="str">
        <f>VLOOKUP(B465,'Data Angt'!$A$5:$B$5809,2,FALSE)</f>
        <v>A5606</v>
      </c>
      <c r="D465" s="125" t="s">
        <v>19626</v>
      </c>
      <c r="E465" s="125" t="s">
        <v>22</v>
      </c>
      <c r="F465" s="125" t="str">
        <f t="shared" si="7"/>
        <v>005</v>
      </c>
      <c r="G465" s="126">
        <v>45836</v>
      </c>
      <c r="H465" s="125" t="s">
        <v>19625</v>
      </c>
      <c r="I465" s="124">
        <v>34</v>
      </c>
    </row>
    <row r="466" spans="1:9" x14ac:dyDescent="0.3">
      <c r="A466" s="127">
        <v>464</v>
      </c>
      <c r="B466" s="125" t="s">
        <v>15323</v>
      </c>
      <c r="C466" s="10" t="str">
        <f>VLOOKUP(B466,'Data Angt'!$A$5:$B$5809,2,FALSE)</f>
        <v>A5607</v>
      </c>
      <c r="D466" s="125" t="s">
        <v>19624</v>
      </c>
      <c r="E466" s="125" t="s">
        <v>11</v>
      </c>
      <c r="F466" s="125" t="str">
        <f t="shared" si="7"/>
        <v>001</v>
      </c>
      <c r="G466" s="126">
        <v>45838</v>
      </c>
      <c r="H466" s="125" t="s">
        <v>19623</v>
      </c>
      <c r="I466" s="124">
        <v>31</v>
      </c>
    </row>
    <row r="467" spans="1:9" x14ac:dyDescent="0.3">
      <c r="A467" s="127">
        <v>465</v>
      </c>
      <c r="B467" s="125" t="s">
        <v>15326</v>
      </c>
      <c r="C467" s="10" t="str">
        <f>VLOOKUP(B467,'Data Angt'!$A$5:$B$5809,2,FALSE)</f>
        <v>A5608</v>
      </c>
      <c r="D467" s="125" t="s">
        <v>19622</v>
      </c>
      <c r="E467" s="125" t="s">
        <v>11</v>
      </c>
      <c r="F467" s="125" t="str">
        <f t="shared" si="7"/>
        <v>001</v>
      </c>
      <c r="G467" s="126">
        <v>45838</v>
      </c>
      <c r="H467" s="125" t="s">
        <v>19534</v>
      </c>
      <c r="I467" s="124">
        <v>21</v>
      </c>
    </row>
    <row r="468" spans="1:9" x14ac:dyDescent="0.3">
      <c r="A468" s="127">
        <v>466</v>
      </c>
      <c r="B468" s="125" t="s">
        <v>15329</v>
      </c>
      <c r="C468" s="10" t="str">
        <f>VLOOKUP(B468,'Data Angt'!$A$5:$B$5809,2,FALSE)</f>
        <v>A5609</v>
      </c>
      <c r="D468" s="125" t="s">
        <v>19621</v>
      </c>
      <c r="E468" s="125" t="s">
        <v>22</v>
      </c>
      <c r="F468" s="125" t="str">
        <f t="shared" si="7"/>
        <v>001</v>
      </c>
      <c r="G468" s="126">
        <v>45838</v>
      </c>
      <c r="H468" s="125" t="s">
        <v>19620</v>
      </c>
      <c r="I468" s="124">
        <v>48</v>
      </c>
    </row>
    <row r="469" spans="1:9" x14ac:dyDescent="0.3">
      <c r="A469" s="127">
        <v>467</v>
      </c>
      <c r="B469" s="125" t="s">
        <v>15332</v>
      </c>
      <c r="C469" s="10" t="str">
        <f>VLOOKUP(B469,'Data Angt'!$A$5:$B$5809,2,FALSE)</f>
        <v>A5610</v>
      </c>
      <c r="D469" s="125" t="s">
        <v>19618</v>
      </c>
      <c r="E469" s="125" t="s">
        <v>22</v>
      </c>
      <c r="F469" s="125" t="str">
        <f t="shared" si="7"/>
        <v>001</v>
      </c>
      <c r="G469" s="126">
        <v>45838</v>
      </c>
      <c r="H469" s="125" t="s">
        <v>19617</v>
      </c>
      <c r="I469" s="124">
        <v>45</v>
      </c>
    </row>
    <row r="470" spans="1:9" x14ac:dyDescent="0.3">
      <c r="A470" s="127">
        <v>468</v>
      </c>
      <c r="B470" s="125" t="s">
        <v>18865</v>
      </c>
      <c r="C470" s="10" t="str">
        <f>VLOOKUP(B470,'Data Angt'!$A$5:$B$5809,2,FALSE)</f>
        <v>A5612</v>
      </c>
      <c r="D470" s="125" t="s">
        <v>19616</v>
      </c>
      <c r="E470" s="125" t="s">
        <v>11</v>
      </c>
      <c r="F470" s="125" t="str">
        <f t="shared" si="7"/>
        <v>001</v>
      </c>
      <c r="G470" s="126">
        <v>45841</v>
      </c>
      <c r="H470" s="125" t="s">
        <v>19615</v>
      </c>
      <c r="I470" s="124">
        <v>33</v>
      </c>
    </row>
    <row r="471" spans="1:9" x14ac:dyDescent="0.3">
      <c r="A471" s="127">
        <v>469</v>
      </c>
      <c r="B471" s="125" t="s">
        <v>18867</v>
      </c>
      <c r="C471" s="10" t="str">
        <f>VLOOKUP(B471,'Data Angt'!$A$5:$B$5809,2,FALSE)</f>
        <v>A5613</v>
      </c>
      <c r="D471" s="125" t="s">
        <v>19614</v>
      </c>
      <c r="E471" s="125" t="s">
        <v>11</v>
      </c>
      <c r="F471" s="125" t="str">
        <f t="shared" si="7"/>
        <v>004</v>
      </c>
      <c r="G471" s="126">
        <v>45841</v>
      </c>
      <c r="H471" s="125" t="s">
        <v>19613</v>
      </c>
      <c r="I471" s="124">
        <v>24</v>
      </c>
    </row>
    <row r="472" spans="1:9" x14ac:dyDescent="0.3">
      <c r="A472" s="127">
        <v>470</v>
      </c>
      <c r="B472" s="125" t="s">
        <v>18869</v>
      </c>
      <c r="C472" s="10" t="str">
        <f>VLOOKUP(B472,'Data Angt'!$A$5:$B$5809,2,FALSE)</f>
        <v>A5614</v>
      </c>
      <c r="D472" s="125" t="s">
        <v>19612</v>
      </c>
      <c r="E472" s="125" t="s">
        <v>22</v>
      </c>
      <c r="F472" s="125" t="str">
        <f t="shared" si="7"/>
        <v>001</v>
      </c>
      <c r="G472" s="126">
        <v>45841</v>
      </c>
      <c r="H472" s="125" t="s">
        <v>19611</v>
      </c>
      <c r="I472" s="124">
        <v>59</v>
      </c>
    </row>
    <row r="473" spans="1:9" x14ac:dyDescent="0.3">
      <c r="A473" s="127">
        <v>471</v>
      </c>
      <c r="B473" s="125" t="s">
        <v>18872</v>
      </c>
      <c r="C473" s="10" t="str">
        <f>VLOOKUP(B473,'Data Angt'!$A$5:$B$5809,2,FALSE)</f>
        <v>A5615</v>
      </c>
      <c r="D473" s="125" t="s">
        <v>19610</v>
      </c>
      <c r="E473" s="125" t="s">
        <v>22</v>
      </c>
      <c r="F473" s="125" t="str">
        <f t="shared" si="7"/>
        <v>001</v>
      </c>
      <c r="G473" s="126">
        <v>45842</v>
      </c>
      <c r="H473" s="125" t="s">
        <v>19609</v>
      </c>
      <c r="I473" s="124">
        <v>25</v>
      </c>
    </row>
    <row r="474" spans="1:9" x14ac:dyDescent="0.3">
      <c r="A474" s="127">
        <v>472</v>
      </c>
      <c r="B474" s="125" t="s">
        <v>18875</v>
      </c>
      <c r="C474" s="10" t="e">
        <f>VLOOKUP(B474,'Data Angt'!$A$5:$B$5809,2,FALSE)</f>
        <v>#N/A</v>
      </c>
      <c r="D474" s="125" t="s">
        <v>19608</v>
      </c>
      <c r="E474" s="125" t="s">
        <v>11</v>
      </c>
      <c r="F474" s="125" t="str">
        <f t="shared" si="7"/>
        <v>001</v>
      </c>
      <c r="G474" s="126">
        <v>45843</v>
      </c>
      <c r="H474" s="125" t="s">
        <v>19607</v>
      </c>
      <c r="I474" s="124">
        <v>28</v>
      </c>
    </row>
    <row r="475" spans="1:9" x14ac:dyDescent="0.3">
      <c r="A475" s="127">
        <v>473</v>
      </c>
      <c r="B475" s="125" t="s">
        <v>18876</v>
      </c>
      <c r="C475" s="10" t="str">
        <f>VLOOKUP(B475,'Data Angt'!$A$5:$B$5809,2,FALSE)</f>
        <v>A5616</v>
      </c>
      <c r="D475" s="125" t="s">
        <v>19606</v>
      </c>
      <c r="E475" s="125" t="s">
        <v>11</v>
      </c>
      <c r="F475" s="125" t="str">
        <f t="shared" si="7"/>
        <v>001</v>
      </c>
      <c r="G475" s="126">
        <v>45843</v>
      </c>
      <c r="H475" s="125" t="s">
        <v>19605</v>
      </c>
      <c r="I475" s="124">
        <v>23</v>
      </c>
    </row>
    <row r="476" spans="1:9" x14ac:dyDescent="0.3">
      <c r="A476" s="127">
        <v>474</v>
      </c>
      <c r="B476" s="125" t="s">
        <v>18878</v>
      </c>
      <c r="C476" s="10" t="str">
        <f>VLOOKUP(B476,'Data Angt'!$A$5:$B$5809,2,FALSE)</f>
        <v>A5617</v>
      </c>
      <c r="D476" s="125" t="s">
        <v>19604</v>
      </c>
      <c r="E476" s="125" t="s">
        <v>11</v>
      </c>
      <c r="F476" s="125" t="str">
        <f t="shared" si="7"/>
        <v>001</v>
      </c>
      <c r="G476" s="126">
        <v>45845</v>
      </c>
      <c r="H476" s="125" t="s">
        <v>19603</v>
      </c>
      <c r="I476" s="124">
        <v>23</v>
      </c>
    </row>
    <row r="477" spans="1:9" x14ac:dyDescent="0.3">
      <c r="A477" s="127">
        <v>475</v>
      </c>
      <c r="B477" s="125" t="s">
        <v>18881</v>
      </c>
      <c r="C477" s="10" t="str">
        <f>VLOOKUP(B477,'Data Angt'!$A$5:$B$5809,2,FALSE)</f>
        <v>A5618</v>
      </c>
      <c r="D477" s="125" t="s">
        <v>19602</v>
      </c>
      <c r="E477" s="125" t="s">
        <v>11</v>
      </c>
      <c r="F477" s="125" t="str">
        <f t="shared" si="7"/>
        <v>001</v>
      </c>
      <c r="G477" s="126">
        <v>45845</v>
      </c>
      <c r="H477" s="125" t="s">
        <v>19601</v>
      </c>
      <c r="I477" s="124">
        <v>19</v>
      </c>
    </row>
    <row r="478" spans="1:9" x14ac:dyDescent="0.3">
      <c r="A478" s="127">
        <v>476</v>
      </c>
      <c r="B478" s="125" t="s">
        <v>18885</v>
      </c>
      <c r="C478" s="10" t="str">
        <f>VLOOKUP(B478,'Data Angt'!$A$5:$B$5809,2,FALSE)</f>
        <v>A5619</v>
      </c>
      <c r="D478" s="125" t="s">
        <v>19600</v>
      </c>
      <c r="E478" s="125" t="s">
        <v>22</v>
      </c>
      <c r="F478" s="125" t="str">
        <f t="shared" si="7"/>
        <v>003</v>
      </c>
      <c r="G478" s="126">
        <v>45845</v>
      </c>
      <c r="H478" s="125" t="s">
        <v>19599</v>
      </c>
      <c r="I478" s="124">
        <v>20</v>
      </c>
    </row>
    <row r="479" spans="1:9" x14ac:dyDescent="0.3">
      <c r="A479" s="127">
        <v>477</v>
      </c>
      <c r="B479" s="125" t="s">
        <v>18887</v>
      </c>
      <c r="C479" s="10" t="str">
        <f>VLOOKUP(B479,'Data Angt'!$A$5:$B$5809,2,FALSE)</f>
        <v>A5620</v>
      </c>
      <c r="D479" s="125" t="s">
        <v>19598</v>
      </c>
      <c r="E479" s="125" t="s">
        <v>22</v>
      </c>
      <c r="F479" s="125" t="str">
        <f t="shared" si="7"/>
        <v>004</v>
      </c>
      <c r="G479" s="126">
        <v>45846</v>
      </c>
      <c r="H479" s="125" t="s">
        <v>19597</v>
      </c>
      <c r="I479" s="124">
        <v>42</v>
      </c>
    </row>
    <row r="480" spans="1:9" x14ac:dyDescent="0.3">
      <c r="A480" s="127">
        <v>478</v>
      </c>
      <c r="B480" s="125" t="s">
        <v>18888</v>
      </c>
      <c r="C480" s="10" t="str">
        <f>VLOOKUP(B480,'Data Angt'!$A$5:$B$5809,2,FALSE)</f>
        <v>A5621</v>
      </c>
      <c r="D480" s="125" t="s">
        <v>19596</v>
      </c>
      <c r="E480" s="125" t="s">
        <v>11</v>
      </c>
      <c r="F480" s="125" t="str">
        <f t="shared" si="7"/>
        <v>002</v>
      </c>
      <c r="G480" s="126">
        <v>45846</v>
      </c>
      <c r="H480" s="125" t="s">
        <v>19274</v>
      </c>
      <c r="I480" s="124">
        <v>47</v>
      </c>
    </row>
    <row r="481" spans="1:9" x14ac:dyDescent="0.3">
      <c r="A481" s="127">
        <v>479</v>
      </c>
      <c r="B481" s="125" t="s">
        <v>18891</v>
      </c>
      <c r="C481" s="10" t="str">
        <f>VLOOKUP(B481,'Data Angt'!$A$5:$B$5809,2,FALSE)</f>
        <v>A5622</v>
      </c>
      <c r="D481" s="125" t="s">
        <v>19595</v>
      </c>
      <c r="E481" s="125" t="s">
        <v>11</v>
      </c>
      <c r="F481" s="125" t="str">
        <f t="shared" si="7"/>
        <v>005</v>
      </c>
      <c r="G481" s="126">
        <v>45846</v>
      </c>
      <c r="H481" s="125" t="s">
        <v>19594</v>
      </c>
      <c r="I481" s="124">
        <v>59</v>
      </c>
    </row>
    <row r="482" spans="1:9" x14ac:dyDescent="0.3">
      <c r="A482" s="127">
        <v>480</v>
      </c>
      <c r="B482" s="125" t="s">
        <v>18893</v>
      </c>
      <c r="C482" s="10" t="str">
        <f>VLOOKUP(B482,'Data Angt'!$A$5:$B$5809,2,FALSE)</f>
        <v>A5623</v>
      </c>
      <c r="D482" s="125" t="s">
        <v>19593</v>
      </c>
      <c r="E482" s="125" t="s">
        <v>11</v>
      </c>
      <c r="F482" s="125" t="str">
        <f t="shared" si="7"/>
        <v>002</v>
      </c>
      <c r="G482" s="126">
        <v>45848</v>
      </c>
      <c r="H482" s="125" t="s">
        <v>19592</v>
      </c>
      <c r="I482" s="124">
        <v>30</v>
      </c>
    </row>
    <row r="483" spans="1:9" x14ac:dyDescent="0.3">
      <c r="A483" s="127">
        <v>481</v>
      </c>
      <c r="B483" s="125" t="s">
        <v>18896</v>
      </c>
      <c r="C483" s="10" t="str">
        <f>VLOOKUP(B483,'Data Angt'!$A$5:$B$5809,2,FALSE)</f>
        <v>A5624</v>
      </c>
      <c r="D483" s="125" t="s">
        <v>19591</v>
      </c>
      <c r="E483" s="125" t="s">
        <v>22</v>
      </c>
      <c r="F483" s="125" t="str">
        <f t="shared" si="7"/>
        <v>002</v>
      </c>
      <c r="G483" s="126">
        <v>45848</v>
      </c>
      <c r="H483" s="125" t="s">
        <v>19328</v>
      </c>
      <c r="I483" s="124">
        <v>41</v>
      </c>
    </row>
    <row r="484" spans="1:9" x14ac:dyDescent="0.3">
      <c r="A484" s="127">
        <v>482</v>
      </c>
      <c r="B484" s="125" t="s">
        <v>18900</v>
      </c>
      <c r="C484" s="10" t="str">
        <f>VLOOKUP(B484,'Data Angt'!$A$5:$B$5809,2,FALSE)</f>
        <v>A5626</v>
      </c>
      <c r="D484" s="125" t="s">
        <v>19590</v>
      </c>
      <c r="E484" s="125" t="s">
        <v>22</v>
      </c>
      <c r="F484" s="125" t="str">
        <f t="shared" si="7"/>
        <v>001</v>
      </c>
      <c r="G484" s="126">
        <v>45849</v>
      </c>
      <c r="H484" s="125" t="s">
        <v>19589</v>
      </c>
      <c r="I484" s="124">
        <v>33</v>
      </c>
    </row>
    <row r="485" spans="1:9" x14ac:dyDescent="0.3">
      <c r="A485" s="127">
        <v>483</v>
      </c>
      <c r="B485" s="125" t="s">
        <v>18904</v>
      </c>
      <c r="C485" s="10" t="str">
        <f>VLOOKUP(B485,'Data Angt'!$A$5:$B$5809,2,FALSE)</f>
        <v>A5627</v>
      </c>
      <c r="D485" s="125" t="s">
        <v>19588</v>
      </c>
      <c r="E485" s="125" t="s">
        <v>22</v>
      </c>
      <c r="F485" s="125" t="str">
        <f t="shared" si="7"/>
        <v>003</v>
      </c>
      <c r="G485" s="126">
        <v>45849</v>
      </c>
      <c r="H485" s="125" t="s">
        <v>19587</v>
      </c>
      <c r="I485" s="124">
        <v>57</v>
      </c>
    </row>
    <row r="486" spans="1:9" x14ac:dyDescent="0.3">
      <c r="A486" s="127">
        <v>484</v>
      </c>
      <c r="B486" s="125" t="s">
        <v>18906</v>
      </c>
      <c r="C486" s="10" t="str">
        <f>VLOOKUP(B486,'Data Angt'!$A$5:$B$5809,2,FALSE)</f>
        <v>A5628</v>
      </c>
      <c r="D486" s="125" t="s">
        <v>19586</v>
      </c>
      <c r="E486" s="125" t="s">
        <v>22</v>
      </c>
      <c r="F486" s="125" t="str">
        <f t="shared" si="7"/>
        <v>001</v>
      </c>
      <c r="G486" s="126">
        <v>45852</v>
      </c>
      <c r="H486" s="125" t="s">
        <v>19585</v>
      </c>
      <c r="I486" s="124">
        <v>48</v>
      </c>
    </row>
    <row r="487" spans="1:9" x14ac:dyDescent="0.3">
      <c r="A487" s="127">
        <v>485</v>
      </c>
      <c r="B487" s="125" t="s">
        <v>18907</v>
      </c>
      <c r="C487" s="10" t="str">
        <f>VLOOKUP(B487,'Data Angt'!$A$5:$B$5809,2,FALSE)</f>
        <v>A5629</v>
      </c>
      <c r="D487" s="125" t="s">
        <v>19584</v>
      </c>
      <c r="E487" s="125" t="s">
        <v>22</v>
      </c>
      <c r="F487" s="125" t="str">
        <f t="shared" si="7"/>
        <v>001</v>
      </c>
      <c r="G487" s="126">
        <v>45852</v>
      </c>
      <c r="H487" s="125" t="s">
        <v>19583</v>
      </c>
      <c r="I487" s="124">
        <v>51</v>
      </c>
    </row>
    <row r="488" spans="1:9" x14ac:dyDescent="0.3">
      <c r="A488" s="127">
        <v>486</v>
      </c>
      <c r="B488" s="125" t="s">
        <v>18909</v>
      </c>
      <c r="C488" s="10" t="str">
        <f>VLOOKUP(B488,'Data Angt'!$A$5:$B$5809,2,FALSE)</f>
        <v>A5630</v>
      </c>
      <c r="D488" s="125" t="s">
        <v>19582</v>
      </c>
      <c r="E488" s="125" t="s">
        <v>11</v>
      </c>
      <c r="F488" s="125" t="str">
        <f t="shared" si="7"/>
        <v>005</v>
      </c>
      <c r="G488" s="126">
        <v>45853</v>
      </c>
      <c r="H488" s="125" t="s">
        <v>19581</v>
      </c>
      <c r="I488" s="124">
        <v>71</v>
      </c>
    </row>
    <row r="489" spans="1:9" x14ac:dyDescent="0.3">
      <c r="A489" s="127">
        <v>487</v>
      </c>
      <c r="B489" s="125" t="s">
        <v>18914</v>
      </c>
      <c r="C489" s="10" t="str">
        <f>VLOOKUP(B489,'Data Angt'!$A$5:$B$5809,2,FALSE)</f>
        <v>A5632</v>
      </c>
      <c r="D489" s="125" t="s">
        <v>19580</v>
      </c>
      <c r="E489" s="125" t="s">
        <v>22</v>
      </c>
      <c r="F489" s="125" t="str">
        <f t="shared" si="7"/>
        <v>006</v>
      </c>
      <c r="G489" s="126">
        <v>45853</v>
      </c>
      <c r="H489" s="125" t="s">
        <v>19579</v>
      </c>
      <c r="I489" s="124">
        <v>32</v>
      </c>
    </row>
    <row r="490" spans="1:9" x14ac:dyDescent="0.3">
      <c r="A490" s="127">
        <v>488</v>
      </c>
      <c r="B490" s="125" t="s">
        <v>18911</v>
      </c>
      <c r="C490" s="10" t="str">
        <f>VLOOKUP(B490,'Data Angt'!$A$5:$B$5809,2,FALSE)</f>
        <v>A5631</v>
      </c>
      <c r="D490" s="125" t="s">
        <v>19578</v>
      </c>
      <c r="E490" s="125" t="s">
        <v>11</v>
      </c>
      <c r="F490" s="125" t="str">
        <f t="shared" si="7"/>
        <v>002</v>
      </c>
      <c r="G490" s="126">
        <v>45853</v>
      </c>
      <c r="H490" s="125" t="s">
        <v>19577</v>
      </c>
      <c r="I490" s="124">
        <v>39</v>
      </c>
    </row>
    <row r="491" spans="1:9" x14ac:dyDescent="0.3">
      <c r="A491" s="127">
        <v>489</v>
      </c>
      <c r="B491" s="125" t="s">
        <v>18916</v>
      </c>
      <c r="C491" s="10" t="str">
        <f>VLOOKUP(B491,'Data Angt'!$A$5:$B$5809,2,FALSE)</f>
        <v>A5633</v>
      </c>
      <c r="D491" s="125" t="s">
        <v>19576</v>
      </c>
      <c r="E491" s="125" t="s">
        <v>22</v>
      </c>
      <c r="F491" s="125" t="str">
        <f t="shared" si="7"/>
        <v>004</v>
      </c>
      <c r="G491" s="126">
        <v>45853</v>
      </c>
      <c r="H491" s="125" t="s">
        <v>19575</v>
      </c>
      <c r="I491" s="124">
        <v>33</v>
      </c>
    </row>
    <row r="492" spans="1:9" x14ac:dyDescent="0.3">
      <c r="A492" s="127">
        <v>490</v>
      </c>
      <c r="B492" s="125" t="s">
        <v>18919</v>
      </c>
      <c r="C492" s="10" t="str">
        <f>VLOOKUP(B492,'Data Angt'!$A$5:$B$5809,2,FALSE)</f>
        <v>A5634</v>
      </c>
      <c r="D492" s="125" t="s">
        <v>19574</v>
      </c>
      <c r="E492" s="125" t="s">
        <v>22</v>
      </c>
      <c r="F492" s="125" t="str">
        <f t="shared" si="7"/>
        <v>003</v>
      </c>
      <c r="G492" s="126">
        <v>45853</v>
      </c>
      <c r="H492" s="125" t="s">
        <v>19573</v>
      </c>
      <c r="I492" s="124">
        <v>55</v>
      </c>
    </row>
    <row r="493" spans="1:9" x14ac:dyDescent="0.3">
      <c r="A493" s="127">
        <v>491</v>
      </c>
      <c r="B493" s="125" t="s">
        <v>18921</v>
      </c>
      <c r="C493" s="10" t="str">
        <f>VLOOKUP(B493,'Data Angt'!$A$5:$B$5809,2,FALSE)</f>
        <v>A5635</v>
      </c>
      <c r="D493" s="125" t="s">
        <v>19572</v>
      </c>
      <c r="E493" s="125" t="s">
        <v>11</v>
      </c>
      <c r="F493" s="125" t="str">
        <f t="shared" si="7"/>
        <v>001</v>
      </c>
      <c r="G493" s="126">
        <v>45854</v>
      </c>
      <c r="H493" s="125" t="s">
        <v>19571</v>
      </c>
      <c r="I493" s="124">
        <v>40</v>
      </c>
    </row>
    <row r="494" spans="1:9" x14ac:dyDescent="0.3">
      <c r="A494" s="127">
        <v>492</v>
      </c>
      <c r="B494" s="125" t="s">
        <v>18924</v>
      </c>
      <c r="C494" s="10" t="str">
        <f>VLOOKUP(B494,'Data Angt'!$A$5:$B$5809,2,FALSE)</f>
        <v>A5636</v>
      </c>
      <c r="D494" s="125" t="s">
        <v>19570</v>
      </c>
      <c r="E494" s="125" t="s">
        <v>22</v>
      </c>
      <c r="F494" s="125" t="str">
        <f t="shared" si="7"/>
        <v>003</v>
      </c>
      <c r="G494" s="126">
        <v>45854</v>
      </c>
      <c r="H494" s="125" t="s">
        <v>19569</v>
      </c>
      <c r="I494" s="124">
        <v>44</v>
      </c>
    </row>
    <row r="495" spans="1:9" x14ac:dyDescent="0.3">
      <c r="A495" s="127">
        <v>493</v>
      </c>
      <c r="B495" s="125" t="s">
        <v>18926</v>
      </c>
      <c r="C495" s="10" t="str">
        <f>VLOOKUP(B495,'Data Angt'!$A$5:$B$5809,2,FALSE)</f>
        <v>A5637</v>
      </c>
      <c r="D495" s="125" t="s">
        <v>19568</v>
      </c>
      <c r="E495" s="125" t="s">
        <v>22</v>
      </c>
      <c r="F495" s="125" t="str">
        <f t="shared" si="7"/>
        <v>001</v>
      </c>
      <c r="G495" s="126">
        <v>45855</v>
      </c>
      <c r="H495" s="125" t="s">
        <v>19567</v>
      </c>
      <c r="I495" s="124">
        <v>49</v>
      </c>
    </row>
    <row r="496" spans="1:9" x14ac:dyDescent="0.3">
      <c r="A496" s="127">
        <v>494</v>
      </c>
      <c r="B496" s="125" t="s">
        <v>18929</v>
      </c>
      <c r="C496" s="10" t="str">
        <f>VLOOKUP(B496,'Data Angt'!$A$5:$B$5809,2,FALSE)</f>
        <v>A5638</v>
      </c>
      <c r="D496" s="125" t="s">
        <v>19566</v>
      </c>
      <c r="E496" s="125" t="s">
        <v>22</v>
      </c>
      <c r="F496" s="125" t="str">
        <f t="shared" si="7"/>
        <v>001</v>
      </c>
      <c r="G496" s="126">
        <v>45855</v>
      </c>
      <c r="H496" s="125" t="s">
        <v>19565</v>
      </c>
      <c r="I496" s="124">
        <v>47</v>
      </c>
    </row>
    <row r="497" spans="1:9" x14ac:dyDescent="0.3">
      <c r="A497" s="127">
        <v>495</v>
      </c>
      <c r="B497" s="125" t="s">
        <v>18931</v>
      </c>
      <c r="C497" s="10" t="str">
        <f>VLOOKUP(B497,'Data Angt'!$A$5:$B$5809,2,FALSE)</f>
        <v>A5639</v>
      </c>
      <c r="D497" s="125" t="s">
        <v>19564</v>
      </c>
      <c r="E497" s="125" t="s">
        <v>22</v>
      </c>
      <c r="F497" s="125" t="str">
        <f t="shared" si="7"/>
        <v>002</v>
      </c>
      <c r="G497" s="126">
        <v>45855</v>
      </c>
      <c r="H497" s="125" t="s">
        <v>19563</v>
      </c>
      <c r="I497" s="124">
        <v>40</v>
      </c>
    </row>
    <row r="498" spans="1:9" x14ac:dyDescent="0.3">
      <c r="A498" s="127">
        <v>496</v>
      </c>
      <c r="B498" s="125" t="s">
        <v>18933</v>
      </c>
      <c r="C498" s="10" t="str">
        <f>VLOOKUP(B498,'Data Angt'!$A$5:$B$5809,2,FALSE)</f>
        <v>A5640</v>
      </c>
      <c r="D498" s="125" t="s">
        <v>19562</v>
      </c>
      <c r="E498" s="125" t="s">
        <v>22</v>
      </c>
      <c r="F498" s="125" t="str">
        <f t="shared" si="7"/>
        <v>001</v>
      </c>
      <c r="G498" s="126">
        <v>45855</v>
      </c>
      <c r="H498" s="125" t="s">
        <v>19561</v>
      </c>
      <c r="I498" s="124">
        <v>52</v>
      </c>
    </row>
    <row r="499" spans="1:9" x14ac:dyDescent="0.3">
      <c r="A499" s="127">
        <v>497</v>
      </c>
      <c r="B499" s="125" t="s">
        <v>18934</v>
      </c>
      <c r="C499" s="10" t="str">
        <f>VLOOKUP(B499,'Data Angt'!$A$5:$B$5809,2,FALSE)</f>
        <v>A5641</v>
      </c>
      <c r="D499" s="125" t="s">
        <v>19560</v>
      </c>
      <c r="E499" s="125" t="s">
        <v>22</v>
      </c>
      <c r="F499" s="125" t="str">
        <f t="shared" si="7"/>
        <v>005</v>
      </c>
      <c r="G499" s="126">
        <v>45855</v>
      </c>
      <c r="H499" s="125" t="s">
        <v>19559</v>
      </c>
      <c r="I499" s="124">
        <v>45</v>
      </c>
    </row>
    <row r="500" spans="1:9" x14ac:dyDescent="0.3">
      <c r="A500" s="127">
        <v>498</v>
      </c>
      <c r="B500" s="125" t="s">
        <v>18936</v>
      </c>
      <c r="C500" s="10" t="str">
        <f>VLOOKUP(B500,'Data Angt'!$A$5:$B$5809,2,FALSE)</f>
        <v>A5642</v>
      </c>
      <c r="D500" s="125" t="s">
        <v>19558</v>
      </c>
      <c r="E500" s="125" t="s">
        <v>11</v>
      </c>
      <c r="F500" s="125" t="str">
        <f t="shared" si="7"/>
        <v>004</v>
      </c>
      <c r="G500" s="126">
        <v>45856</v>
      </c>
      <c r="H500" s="125" t="s">
        <v>19557</v>
      </c>
      <c r="I500" s="124">
        <v>38</v>
      </c>
    </row>
    <row r="501" spans="1:9" x14ac:dyDescent="0.3">
      <c r="A501" s="127">
        <v>499</v>
      </c>
      <c r="B501" s="125" t="s">
        <v>18938</v>
      </c>
      <c r="C501" s="10" t="str">
        <f>VLOOKUP(B501,'Data Angt'!$A$5:$B$5809,2,FALSE)</f>
        <v>A5643</v>
      </c>
      <c r="D501" s="125" t="s">
        <v>19556</v>
      </c>
      <c r="E501" s="125" t="s">
        <v>22</v>
      </c>
      <c r="F501" s="125" t="str">
        <f t="shared" si="7"/>
        <v>001</v>
      </c>
      <c r="G501" s="126">
        <v>45856</v>
      </c>
      <c r="H501" s="125" t="s">
        <v>19555</v>
      </c>
      <c r="I501" s="124">
        <v>30</v>
      </c>
    </row>
    <row r="502" spans="1:9" x14ac:dyDescent="0.3">
      <c r="A502" s="127">
        <v>500</v>
      </c>
      <c r="B502" s="125" t="s">
        <v>18940</v>
      </c>
      <c r="C502" s="10" t="str">
        <f>VLOOKUP(B502,'Data Angt'!$A$5:$B$5809,2,FALSE)</f>
        <v>A5644</v>
      </c>
      <c r="D502" s="125" t="s">
        <v>19554</v>
      </c>
      <c r="E502" s="125" t="s">
        <v>11</v>
      </c>
      <c r="F502" s="125" t="str">
        <f t="shared" si="7"/>
        <v>002</v>
      </c>
      <c r="G502" s="126">
        <v>45856</v>
      </c>
      <c r="H502" s="125" t="s">
        <v>19553</v>
      </c>
      <c r="I502" s="124">
        <v>40</v>
      </c>
    </row>
    <row r="503" spans="1:9" x14ac:dyDescent="0.3">
      <c r="A503" s="127">
        <v>501</v>
      </c>
      <c r="B503" s="125" t="s">
        <v>18943</v>
      </c>
      <c r="C503" s="10" t="str">
        <f>VLOOKUP(B503,'Data Angt'!$A$5:$B$5809,2,FALSE)</f>
        <v>A5645</v>
      </c>
      <c r="D503" s="125" t="s">
        <v>19552</v>
      </c>
      <c r="E503" s="125" t="s">
        <v>22</v>
      </c>
      <c r="F503" s="125" t="str">
        <f t="shared" si="7"/>
        <v>002</v>
      </c>
      <c r="G503" s="126">
        <v>45856</v>
      </c>
      <c r="H503" s="125" t="s">
        <v>19551</v>
      </c>
      <c r="I503" s="124">
        <v>44</v>
      </c>
    </row>
    <row r="504" spans="1:9" x14ac:dyDescent="0.3">
      <c r="A504" s="127">
        <v>502</v>
      </c>
      <c r="B504" s="125" t="s">
        <v>18945</v>
      </c>
      <c r="C504" s="10" t="str">
        <f>VLOOKUP(B504,'Data Angt'!$A$5:$B$5809,2,FALSE)</f>
        <v>A5646</v>
      </c>
      <c r="D504" s="125" t="s">
        <v>19550</v>
      </c>
      <c r="E504" s="125" t="s">
        <v>22</v>
      </c>
      <c r="F504" s="125" t="str">
        <f t="shared" si="7"/>
        <v>002</v>
      </c>
      <c r="G504" s="126">
        <v>45856</v>
      </c>
      <c r="H504" s="125" t="s">
        <v>19549</v>
      </c>
      <c r="I504" s="124">
        <v>43</v>
      </c>
    </row>
    <row r="505" spans="1:9" x14ac:dyDescent="0.3">
      <c r="A505" s="127">
        <v>503</v>
      </c>
      <c r="B505" s="125" t="s">
        <v>18947</v>
      </c>
      <c r="C505" s="10" t="str">
        <f>VLOOKUP(B505,'Data Angt'!$A$5:$B$5809,2,FALSE)</f>
        <v>A5647</v>
      </c>
      <c r="D505" s="125" t="s">
        <v>19548</v>
      </c>
      <c r="E505" s="125" t="s">
        <v>22</v>
      </c>
      <c r="F505" s="125" t="str">
        <f t="shared" si="7"/>
        <v>005</v>
      </c>
      <c r="G505" s="126">
        <v>45857</v>
      </c>
      <c r="H505" s="125" t="s">
        <v>19547</v>
      </c>
      <c r="I505" s="124">
        <v>53</v>
      </c>
    </row>
    <row r="506" spans="1:9" x14ac:dyDescent="0.3">
      <c r="A506" s="127">
        <v>504</v>
      </c>
      <c r="B506" s="125" t="s">
        <v>18949</v>
      </c>
      <c r="C506" s="10" t="str">
        <f>VLOOKUP(B506,'Data Angt'!$A$5:$B$5809,2,FALSE)</f>
        <v>A5648</v>
      </c>
      <c r="D506" s="125" t="s">
        <v>19546</v>
      </c>
      <c r="E506" s="125" t="s">
        <v>22</v>
      </c>
      <c r="F506" s="125" t="str">
        <f t="shared" si="7"/>
        <v>005</v>
      </c>
      <c r="G506" s="126">
        <v>45857</v>
      </c>
      <c r="H506" s="125" t="s">
        <v>19545</v>
      </c>
      <c r="I506" s="124">
        <v>45</v>
      </c>
    </row>
    <row r="507" spans="1:9" x14ac:dyDescent="0.3">
      <c r="A507" s="127">
        <v>505</v>
      </c>
      <c r="B507" s="125" t="s">
        <v>18950</v>
      </c>
      <c r="C507" s="10" t="str">
        <f>VLOOKUP(B507,'Data Angt'!$A$5:$B$5809,2,FALSE)</f>
        <v>A5649</v>
      </c>
      <c r="D507" s="125" t="s">
        <v>19455</v>
      </c>
      <c r="E507" s="125" t="s">
        <v>22</v>
      </c>
      <c r="F507" s="125" t="str">
        <f t="shared" si="7"/>
        <v>005</v>
      </c>
      <c r="G507" s="126">
        <v>45859</v>
      </c>
      <c r="H507" s="125" t="s">
        <v>19544</v>
      </c>
      <c r="I507" s="124">
        <v>45</v>
      </c>
    </row>
    <row r="508" spans="1:9" x14ac:dyDescent="0.3">
      <c r="A508" s="127">
        <v>506</v>
      </c>
      <c r="B508" s="125" t="s">
        <v>18952</v>
      </c>
      <c r="C508" s="10" t="str">
        <f>VLOOKUP(B508,'Data Angt'!$A$5:$B$5809,2,FALSE)</f>
        <v>A5650</v>
      </c>
      <c r="D508" s="125" t="s">
        <v>19543</v>
      </c>
      <c r="E508" s="125" t="s">
        <v>22</v>
      </c>
      <c r="F508" s="125" t="str">
        <f t="shared" si="7"/>
        <v>005</v>
      </c>
      <c r="G508" s="126">
        <v>45859</v>
      </c>
      <c r="H508" s="125" t="s">
        <v>19542</v>
      </c>
      <c r="I508" s="124">
        <v>50</v>
      </c>
    </row>
    <row r="509" spans="1:9" x14ac:dyDescent="0.3">
      <c r="A509" s="127">
        <v>507</v>
      </c>
      <c r="B509" s="125" t="s">
        <v>18954</v>
      </c>
      <c r="C509" s="10" t="str">
        <f>VLOOKUP(B509,'Data Angt'!$A$5:$B$5809,2,FALSE)</f>
        <v>A5651</v>
      </c>
      <c r="D509" s="125" t="s">
        <v>19541</v>
      </c>
      <c r="E509" s="125" t="s">
        <v>11</v>
      </c>
      <c r="F509" s="125" t="str">
        <f t="shared" si="7"/>
        <v>004</v>
      </c>
      <c r="G509" s="126">
        <v>45859</v>
      </c>
      <c r="H509" s="125" t="s">
        <v>19540</v>
      </c>
      <c r="I509" s="124">
        <v>25</v>
      </c>
    </row>
    <row r="510" spans="1:9" x14ac:dyDescent="0.3">
      <c r="A510" s="127">
        <v>508</v>
      </c>
      <c r="B510" s="125" t="s">
        <v>18956</v>
      </c>
      <c r="C510" s="10" t="str">
        <f>VLOOKUP(B510,'Data Angt'!$A$5:$B$5809,2,FALSE)</f>
        <v>A5652</v>
      </c>
      <c r="D510" s="125" t="s">
        <v>19539</v>
      </c>
      <c r="E510" s="125" t="s">
        <v>22</v>
      </c>
      <c r="F510" s="125" t="str">
        <f t="shared" si="7"/>
        <v>005</v>
      </c>
      <c r="G510" s="126">
        <v>45859</v>
      </c>
      <c r="H510" s="125" t="s">
        <v>19538</v>
      </c>
      <c r="I510" s="124">
        <v>54</v>
      </c>
    </row>
    <row r="511" spans="1:9" x14ac:dyDescent="0.3">
      <c r="A511" s="127">
        <v>509</v>
      </c>
      <c r="B511" s="125" t="s">
        <v>18958</v>
      </c>
      <c r="C511" s="10" t="str">
        <f>VLOOKUP(B511,'Data Angt'!$A$5:$B$5809,2,FALSE)</f>
        <v>A5653</v>
      </c>
      <c r="D511" s="125" t="s">
        <v>19537</v>
      </c>
      <c r="E511" s="125" t="s">
        <v>22</v>
      </c>
      <c r="F511" s="125" t="str">
        <f t="shared" si="7"/>
        <v>005</v>
      </c>
      <c r="G511" s="126">
        <v>45859</v>
      </c>
      <c r="H511" s="125" t="s">
        <v>19536</v>
      </c>
      <c r="I511" s="124">
        <v>49</v>
      </c>
    </row>
    <row r="512" spans="1:9" x14ac:dyDescent="0.3">
      <c r="A512" s="127">
        <v>510</v>
      </c>
      <c r="B512" s="125" t="s">
        <v>18960</v>
      </c>
      <c r="C512" s="10" t="str">
        <f>VLOOKUP(B512,'Data Angt'!$A$5:$B$5809,2,FALSE)</f>
        <v>A5654</v>
      </c>
      <c r="D512" s="125" t="s">
        <v>19535</v>
      </c>
      <c r="E512" s="125" t="s">
        <v>11</v>
      </c>
      <c r="F512" s="125" t="str">
        <f t="shared" si="7"/>
        <v>002</v>
      </c>
      <c r="G512" s="126">
        <v>45861</v>
      </c>
      <c r="H512" s="125" t="s">
        <v>19534</v>
      </c>
      <c r="I512" s="124">
        <v>52</v>
      </c>
    </row>
    <row r="513" spans="1:9" x14ac:dyDescent="0.3">
      <c r="A513" s="127">
        <v>511</v>
      </c>
      <c r="B513" s="125" t="s">
        <v>18962</v>
      </c>
      <c r="C513" s="10" t="str">
        <f>VLOOKUP(B513,'Data Angt'!$A$5:$B$5809,2,FALSE)</f>
        <v>A5655</v>
      </c>
      <c r="D513" s="125" t="s">
        <v>19533</v>
      </c>
      <c r="E513" s="125" t="s">
        <v>22</v>
      </c>
      <c r="F513" s="125" t="str">
        <f t="shared" si="7"/>
        <v>002</v>
      </c>
      <c r="G513" s="126">
        <v>45861</v>
      </c>
      <c r="H513" s="125" t="s">
        <v>19532</v>
      </c>
      <c r="I513" s="124">
        <v>54</v>
      </c>
    </row>
    <row r="514" spans="1:9" x14ac:dyDescent="0.3">
      <c r="A514" s="127">
        <v>512</v>
      </c>
      <c r="B514" s="125" t="s">
        <v>18963</v>
      </c>
      <c r="C514" s="10" t="str">
        <f>VLOOKUP(B514,'Data Angt'!$A$5:$B$5809,2,FALSE)</f>
        <v>A5656</v>
      </c>
      <c r="D514" s="125" t="s">
        <v>19531</v>
      </c>
      <c r="E514" s="125" t="s">
        <v>22</v>
      </c>
      <c r="F514" s="125" t="str">
        <f t="shared" si="7"/>
        <v>003</v>
      </c>
      <c r="G514" s="126">
        <v>45861</v>
      </c>
      <c r="H514" s="125" t="s">
        <v>19530</v>
      </c>
      <c r="I514" s="124">
        <v>37</v>
      </c>
    </row>
    <row r="515" spans="1:9" x14ac:dyDescent="0.3">
      <c r="A515" s="127">
        <v>513</v>
      </c>
      <c r="B515" s="125" t="s">
        <v>18966</v>
      </c>
      <c r="C515" s="10" t="str">
        <f>VLOOKUP(B515,'Data Angt'!$A$5:$B$5809,2,FALSE)</f>
        <v>A5657</v>
      </c>
      <c r="D515" s="125" t="s">
        <v>19529</v>
      </c>
      <c r="E515" s="125" t="s">
        <v>11</v>
      </c>
      <c r="F515" s="125" t="str">
        <f t="shared" si="7"/>
        <v>002</v>
      </c>
      <c r="G515" s="126">
        <v>45861</v>
      </c>
      <c r="H515" s="125" t="s">
        <v>19274</v>
      </c>
      <c r="I515" s="124">
        <v>36</v>
      </c>
    </row>
    <row r="516" spans="1:9" x14ac:dyDescent="0.3">
      <c r="A516" s="127">
        <v>514</v>
      </c>
      <c r="B516" s="125" t="s">
        <v>18968</v>
      </c>
      <c r="C516" s="10" t="str">
        <f>VLOOKUP(B516,'Data Angt'!$A$5:$B$5809,2,FALSE)</f>
        <v>A5658</v>
      </c>
      <c r="D516" s="125" t="s">
        <v>19528</v>
      </c>
      <c r="E516" s="125" t="s">
        <v>22</v>
      </c>
      <c r="F516" s="125" t="str">
        <f t="shared" ref="F516:F579" si="8">MID(B516,7,3)</f>
        <v>004</v>
      </c>
      <c r="G516" s="126">
        <v>45862</v>
      </c>
      <c r="H516" s="125" t="s">
        <v>19274</v>
      </c>
      <c r="I516" s="124">
        <v>39</v>
      </c>
    </row>
    <row r="517" spans="1:9" x14ac:dyDescent="0.3">
      <c r="A517" s="127">
        <v>515</v>
      </c>
      <c r="B517" s="125" t="s">
        <v>18971</v>
      </c>
      <c r="C517" s="10" t="str">
        <f>VLOOKUP(B517,'Data Angt'!$A$5:$B$5809,2,FALSE)</f>
        <v>A5659</v>
      </c>
      <c r="D517" s="125" t="s">
        <v>19527</v>
      </c>
      <c r="E517" s="125" t="s">
        <v>22</v>
      </c>
      <c r="F517" s="125" t="str">
        <f t="shared" si="8"/>
        <v>001</v>
      </c>
      <c r="G517" s="126">
        <v>45862</v>
      </c>
      <c r="H517" s="125" t="s">
        <v>19526</v>
      </c>
      <c r="I517" s="124">
        <v>51</v>
      </c>
    </row>
    <row r="518" spans="1:9" x14ac:dyDescent="0.3">
      <c r="A518" s="127">
        <v>516</v>
      </c>
      <c r="B518" s="125" t="s">
        <v>18972</v>
      </c>
      <c r="C518" s="10" t="str">
        <f>VLOOKUP(B518,'Data Angt'!$A$5:$B$5809,2,FALSE)</f>
        <v>A5660</v>
      </c>
      <c r="D518" s="125" t="s">
        <v>19525</v>
      </c>
      <c r="E518" s="125" t="s">
        <v>22</v>
      </c>
      <c r="F518" s="125" t="str">
        <f t="shared" si="8"/>
        <v>001</v>
      </c>
      <c r="G518" s="126">
        <v>45863</v>
      </c>
      <c r="H518" s="125" t="s">
        <v>19524</v>
      </c>
      <c r="I518" s="124">
        <v>63</v>
      </c>
    </row>
    <row r="519" spans="1:9" x14ac:dyDescent="0.3">
      <c r="A519" s="127">
        <v>517</v>
      </c>
      <c r="B519" s="125" t="s">
        <v>18975</v>
      </c>
      <c r="C519" s="10" t="str">
        <f>VLOOKUP(B519,'Data Angt'!$A$5:$B$5809,2,FALSE)</f>
        <v>A5661</v>
      </c>
      <c r="D519" s="125" t="s">
        <v>19523</v>
      </c>
      <c r="E519" s="125" t="s">
        <v>22</v>
      </c>
      <c r="F519" s="125" t="str">
        <f t="shared" si="8"/>
        <v>005</v>
      </c>
      <c r="G519" s="126">
        <v>45863</v>
      </c>
      <c r="H519" s="125" t="s">
        <v>19522</v>
      </c>
      <c r="I519" s="124">
        <v>44</v>
      </c>
    </row>
    <row r="520" spans="1:9" x14ac:dyDescent="0.3">
      <c r="A520" s="127">
        <v>518</v>
      </c>
      <c r="B520" s="125" t="s">
        <v>18977</v>
      </c>
      <c r="C520" s="10" t="str">
        <f>VLOOKUP(B520,'Data Angt'!$A$5:$B$5809,2,FALSE)</f>
        <v>A5662</v>
      </c>
      <c r="D520" s="125" t="s">
        <v>19521</v>
      </c>
      <c r="E520" s="125" t="s">
        <v>11</v>
      </c>
      <c r="F520" s="125" t="str">
        <f t="shared" si="8"/>
        <v>004</v>
      </c>
      <c r="G520" s="126">
        <v>45863</v>
      </c>
      <c r="H520" s="125" t="s">
        <v>19520</v>
      </c>
      <c r="I520" s="124">
        <v>47</v>
      </c>
    </row>
    <row r="521" spans="1:9" x14ac:dyDescent="0.3">
      <c r="A521" s="127">
        <v>519</v>
      </c>
      <c r="B521" s="125" t="s">
        <v>18979</v>
      </c>
      <c r="C521" s="10" t="str">
        <f>VLOOKUP(B521,'Data Angt'!$A$5:$B$5809,2,FALSE)</f>
        <v>A5663</v>
      </c>
      <c r="D521" s="125" t="s">
        <v>19519</v>
      </c>
      <c r="E521" s="125" t="s">
        <v>22</v>
      </c>
      <c r="F521" s="125" t="str">
        <f t="shared" si="8"/>
        <v>004</v>
      </c>
      <c r="G521" s="126">
        <v>45863</v>
      </c>
      <c r="H521" s="125" t="s">
        <v>19518</v>
      </c>
      <c r="I521" s="124">
        <v>39</v>
      </c>
    </row>
    <row r="522" spans="1:9" x14ac:dyDescent="0.3">
      <c r="A522" s="127">
        <v>520</v>
      </c>
      <c r="B522" s="125" t="s">
        <v>18982</v>
      </c>
      <c r="C522" s="10" t="str">
        <f>VLOOKUP(B522,'Data Angt'!$A$5:$B$5809,2,FALSE)</f>
        <v>A5664</v>
      </c>
      <c r="D522" s="125" t="s">
        <v>19517</v>
      </c>
      <c r="E522" s="125" t="s">
        <v>22</v>
      </c>
      <c r="F522" s="125" t="str">
        <f t="shared" si="8"/>
        <v>003</v>
      </c>
      <c r="G522" s="126">
        <v>45863</v>
      </c>
      <c r="H522" s="125" t="s">
        <v>19516</v>
      </c>
      <c r="I522" s="124">
        <v>32</v>
      </c>
    </row>
    <row r="523" spans="1:9" x14ac:dyDescent="0.3">
      <c r="A523" s="127">
        <v>521</v>
      </c>
      <c r="B523" s="125" t="s">
        <v>18984</v>
      </c>
      <c r="C523" s="10" t="str">
        <f>VLOOKUP(B523,'Data Angt'!$A$5:$B$5809,2,FALSE)</f>
        <v>A5665</v>
      </c>
      <c r="D523" s="125" t="s">
        <v>19515</v>
      </c>
      <c r="E523" s="125" t="s">
        <v>22</v>
      </c>
      <c r="F523" s="125" t="str">
        <f t="shared" si="8"/>
        <v>006</v>
      </c>
      <c r="G523" s="126">
        <v>45863</v>
      </c>
      <c r="H523" s="125" t="s">
        <v>19514</v>
      </c>
      <c r="I523" s="124">
        <v>25</v>
      </c>
    </row>
    <row r="524" spans="1:9" x14ac:dyDescent="0.3">
      <c r="A524" s="127">
        <v>522</v>
      </c>
      <c r="B524" s="125" t="s">
        <v>18986</v>
      </c>
      <c r="C524" s="10" t="str">
        <f>VLOOKUP(B524,'Data Angt'!$A$5:$B$5809,2,FALSE)</f>
        <v>A5666</v>
      </c>
      <c r="D524" s="125" t="s">
        <v>19513</v>
      </c>
      <c r="E524" s="125" t="s">
        <v>22</v>
      </c>
      <c r="F524" s="125" t="str">
        <f t="shared" si="8"/>
        <v>001</v>
      </c>
      <c r="G524" s="126">
        <v>45864</v>
      </c>
      <c r="H524" s="125" t="s">
        <v>19512</v>
      </c>
      <c r="I524" s="124">
        <v>20</v>
      </c>
    </row>
    <row r="525" spans="1:9" x14ac:dyDescent="0.3">
      <c r="A525" s="127">
        <v>523</v>
      </c>
      <c r="B525" s="125" t="s">
        <v>18990</v>
      </c>
      <c r="C525" s="10" t="str">
        <f>VLOOKUP(B525,'Data Angt'!$A$5:$B$5809,2,FALSE)</f>
        <v>A5667</v>
      </c>
      <c r="D525" s="125" t="s">
        <v>19511</v>
      </c>
      <c r="E525" s="125" t="s">
        <v>22</v>
      </c>
      <c r="F525" s="125" t="str">
        <f t="shared" si="8"/>
        <v>002</v>
      </c>
      <c r="G525" s="126">
        <v>45866</v>
      </c>
      <c r="H525" s="125" t="s">
        <v>19510</v>
      </c>
      <c r="I525" s="124">
        <v>46</v>
      </c>
    </row>
    <row r="526" spans="1:9" x14ac:dyDescent="0.3">
      <c r="A526" s="127">
        <v>524</v>
      </c>
      <c r="B526" s="125" t="s">
        <v>18992</v>
      </c>
      <c r="C526" s="10" t="str">
        <f>VLOOKUP(B526,'Data Angt'!$A$5:$B$5809,2,FALSE)</f>
        <v>A5668</v>
      </c>
      <c r="D526" s="125" t="s">
        <v>19509</v>
      </c>
      <c r="E526" s="125" t="s">
        <v>11</v>
      </c>
      <c r="F526" s="125" t="str">
        <f t="shared" si="8"/>
        <v>001</v>
      </c>
      <c r="G526" s="126">
        <v>45866</v>
      </c>
      <c r="H526" s="125" t="s">
        <v>19508</v>
      </c>
      <c r="I526" s="124">
        <v>44</v>
      </c>
    </row>
    <row r="527" spans="1:9" x14ac:dyDescent="0.3">
      <c r="A527" s="127">
        <v>525</v>
      </c>
      <c r="B527" s="125" t="s">
        <v>18994</v>
      </c>
      <c r="C527" s="10" t="str">
        <f>VLOOKUP(B527,'Data Angt'!$A$5:$B$5809,2,FALSE)</f>
        <v>A5669</v>
      </c>
      <c r="D527" s="125" t="s">
        <v>19507</v>
      </c>
      <c r="E527" s="125" t="s">
        <v>11</v>
      </c>
      <c r="F527" s="125" t="str">
        <f t="shared" si="8"/>
        <v>001</v>
      </c>
      <c r="G527" s="126">
        <v>45866</v>
      </c>
      <c r="H527" s="125" t="s">
        <v>19506</v>
      </c>
      <c r="I527" s="124">
        <v>16</v>
      </c>
    </row>
    <row r="528" spans="1:9" x14ac:dyDescent="0.3">
      <c r="A528" s="127">
        <v>526</v>
      </c>
      <c r="B528" s="125" t="s">
        <v>18996</v>
      </c>
      <c r="C528" s="10" t="str">
        <f>VLOOKUP(B528,'Data Angt'!$A$5:$B$5809,2,FALSE)</f>
        <v>A5670</v>
      </c>
      <c r="D528" s="125" t="s">
        <v>19505</v>
      </c>
      <c r="E528" s="125" t="s">
        <v>22</v>
      </c>
      <c r="F528" s="125" t="str">
        <f t="shared" si="8"/>
        <v>002</v>
      </c>
      <c r="G528" s="126">
        <v>45867</v>
      </c>
      <c r="H528" s="125" t="s">
        <v>19504</v>
      </c>
      <c r="I528" s="124">
        <v>53</v>
      </c>
    </row>
    <row r="529" spans="1:9" x14ac:dyDescent="0.3">
      <c r="A529" s="127">
        <v>527</v>
      </c>
      <c r="B529" s="125" t="s">
        <v>18998</v>
      </c>
      <c r="C529" s="10" t="str">
        <f>VLOOKUP(B529,'Data Angt'!$A$5:$B$5809,2,FALSE)</f>
        <v>A5671</v>
      </c>
      <c r="D529" s="125" t="s">
        <v>19503</v>
      </c>
      <c r="E529" s="125" t="s">
        <v>22</v>
      </c>
      <c r="F529" s="125" t="str">
        <f t="shared" si="8"/>
        <v>002</v>
      </c>
      <c r="G529" s="126">
        <v>45867</v>
      </c>
      <c r="H529" s="125" t="s">
        <v>19502</v>
      </c>
      <c r="I529" s="124">
        <v>42</v>
      </c>
    </row>
    <row r="530" spans="1:9" x14ac:dyDescent="0.3">
      <c r="A530" s="127">
        <v>528</v>
      </c>
      <c r="B530" s="125" t="s">
        <v>19000</v>
      </c>
      <c r="C530" s="10" t="str">
        <f>VLOOKUP(B530,'Data Angt'!$A$5:$B$5809,2,FALSE)</f>
        <v>A5672</v>
      </c>
      <c r="D530" s="125" t="s">
        <v>19501</v>
      </c>
      <c r="E530" s="125" t="s">
        <v>11</v>
      </c>
      <c r="F530" s="125" t="str">
        <f t="shared" si="8"/>
        <v>003</v>
      </c>
      <c r="G530" s="126">
        <v>45867</v>
      </c>
      <c r="H530" s="125" t="s">
        <v>19500</v>
      </c>
      <c r="I530" s="124">
        <v>56</v>
      </c>
    </row>
    <row r="531" spans="1:9" x14ac:dyDescent="0.3">
      <c r="A531" s="127">
        <v>529</v>
      </c>
      <c r="B531" s="125" t="s">
        <v>19003</v>
      </c>
      <c r="C531" s="10" t="str">
        <f>VLOOKUP(B531,'Data Angt'!$A$5:$B$5809,2,FALSE)</f>
        <v>A5673</v>
      </c>
      <c r="D531" s="125" t="s">
        <v>19499</v>
      </c>
      <c r="E531" s="125" t="s">
        <v>11</v>
      </c>
      <c r="F531" s="125" t="str">
        <f t="shared" si="8"/>
        <v>001</v>
      </c>
      <c r="G531" s="126">
        <v>45868</v>
      </c>
      <c r="H531" s="125" t="s">
        <v>19498</v>
      </c>
      <c r="I531" s="124">
        <v>40</v>
      </c>
    </row>
    <row r="532" spans="1:9" x14ac:dyDescent="0.3">
      <c r="A532" s="127">
        <v>530</v>
      </c>
      <c r="B532" s="125" t="s">
        <v>19005</v>
      </c>
      <c r="C532" s="10" t="str">
        <f>VLOOKUP(B532,'Data Angt'!$A$5:$B$5809,2,FALSE)</f>
        <v>A5674</v>
      </c>
      <c r="D532" s="125" t="s">
        <v>19497</v>
      </c>
      <c r="E532" s="125" t="s">
        <v>11</v>
      </c>
      <c r="F532" s="125" t="str">
        <f t="shared" si="8"/>
        <v>003</v>
      </c>
      <c r="G532" s="126">
        <v>45868</v>
      </c>
      <c r="H532" s="125" t="s">
        <v>19496</v>
      </c>
      <c r="I532" s="124">
        <v>56</v>
      </c>
    </row>
    <row r="533" spans="1:9" x14ac:dyDescent="0.3">
      <c r="A533" s="127">
        <v>531</v>
      </c>
      <c r="B533" s="125" t="s">
        <v>19007</v>
      </c>
      <c r="C533" s="10" t="str">
        <f>VLOOKUP(B533,'Data Angt'!$A$5:$B$5809,2,FALSE)</f>
        <v>A5675</v>
      </c>
      <c r="D533" s="125" t="s">
        <v>19495</v>
      </c>
      <c r="E533" s="125" t="s">
        <v>22</v>
      </c>
      <c r="F533" s="125" t="str">
        <f t="shared" si="8"/>
        <v>003</v>
      </c>
      <c r="G533" s="126">
        <v>45868</v>
      </c>
      <c r="H533" s="125" t="s">
        <v>19494</v>
      </c>
      <c r="I533" s="124">
        <v>47</v>
      </c>
    </row>
    <row r="534" spans="1:9" x14ac:dyDescent="0.3">
      <c r="A534" s="127">
        <v>532</v>
      </c>
      <c r="B534" s="125" t="s">
        <v>19008</v>
      </c>
      <c r="C534" s="10" t="str">
        <f>VLOOKUP(B534,'Data Angt'!$A$5:$B$5809,2,FALSE)</f>
        <v>A5676</v>
      </c>
      <c r="D534" s="125" t="s">
        <v>19493</v>
      </c>
      <c r="E534" s="125" t="s">
        <v>22</v>
      </c>
      <c r="F534" s="125" t="str">
        <f t="shared" si="8"/>
        <v>006</v>
      </c>
      <c r="G534" s="126">
        <v>45868</v>
      </c>
      <c r="H534" s="125" t="s">
        <v>19492</v>
      </c>
      <c r="I534" s="124">
        <v>29</v>
      </c>
    </row>
    <row r="535" spans="1:9" x14ac:dyDescent="0.3">
      <c r="A535" s="127">
        <v>533</v>
      </c>
      <c r="B535" s="125" t="s">
        <v>19010</v>
      </c>
      <c r="C535" s="10" t="str">
        <f>VLOOKUP(B535,'Data Angt'!$A$5:$B$5809,2,FALSE)</f>
        <v>A5677</v>
      </c>
      <c r="D535" s="125" t="s">
        <v>19491</v>
      </c>
      <c r="E535" s="125" t="s">
        <v>11</v>
      </c>
      <c r="F535" s="125" t="str">
        <f t="shared" si="8"/>
        <v>001</v>
      </c>
      <c r="G535" s="126">
        <v>45868</v>
      </c>
      <c r="H535" s="125" t="s">
        <v>19490</v>
      </c>
      <c r="I535" s="124">
        <v>35</v>
      </c>
    </row>
    <row r="536" spans="1:9" x14ac:dyDescent="0.3">
      <c r="A536" s="127">
        <v>534</v>
      </c>
      <c r="B536" s="125" t="s">
        <v>19013</v>
      </c>
      <c r="C536" s="10" t="str">
        <f>VLOOKUP(B536,'Data Angt'!$A$5:$B$5809,2,FALSE)</f>
        <v>A5678</v>
      </c>
      <c r="D536" s="125" t="s">
        <v>19489</v>
      </c>
      <c r="E536" s="125" t="s">
        <v>11</v>
      </c>
      <c r="F536" s="125" t="str">
        <f t="shared" si="8"/>
        <v>001</v>
      </c>
      <c r="G536" s="126">
        <v>45868</v>
      </c>
      <c r="H536" s="125" t="s">
        <v>19488</v>
      </c>
      <c r="I536" s="124">
        <v>29</v>
      </c>
    </row>
    <row r="537" spans="1:9" x14ac:dyDescent="0.3">
      <c r="A537" s="127">
        <v>535</v>
      </c>
      <c r="B537" s="125" t="s">
        <v>19016</v>
      </c>
      <c r="C537" s="10" t="str">
        <f>VLOOKUP(B537,'Data Angt'!$A$5:$B$5809,2,FALSE)</f>
        <v>A5679</v>
      </c>
      <c r="D537" s="125" t="s">
        <v>19487</v>
      </c>
      <c r="E537" s="125" t="s">
        <v>22</v>
      </c>
      <c r="F537" s="125" t="str">
        <f t="shared" si="8"/>
        <v>001</v>
      </c>
      <c r="G537" s="126">
        <v>45868</v>
      </c>
      <c r="H537" s="125" t="s">
        <v>19486</v>
      </c>
      <c r="I537" s="124">
        <v>66</v>
      </c>
    </row>
    <row r="538" spans="1:9" x14ac:dyDescent="0.3">
      <c r="A538" s="127">
        <v>536</v>
      </c>
      <c r="B538" s="125" t="s">
        <v>19019</v>
      </c>
      <c r="C538" s="10" t="str">
        <f>VLOOKUP(B538,'Data Angt'!$A$5:$B$5809,2,FALSE)</f>
        <v>A5680</v>
      </c>
      <c r="D538" s="125" t="s">
        <v>19485</v>
      </c>
      <c r="E538" s="125" t="s">
        <v>22</v>
      </c>
      <c r="F538" s="125" t="str">
        <f t="shared" si="8"/>
        <v>002</v>
      </c>
      <c r="G538" s="126">
        <v>45868</v>
      </c>
      <c r="H538" s="125" t="s">
        <v>19484</v>
      </c>
      <c r="I538" s="124">
        <v>73</v>
      </c>
    </row>
    <row r="539" spans="1:9" x14ac:dyDescent="0.3">
      <c r="A539" s="127">
        <v>537</v>
      </c>
      <c r="B539" s="125" t="s">
        <v>19021</v>
      </c>
      <c r="C539" s="10" t="str">
        <f>VLOOKUP(B539,'Data Angt'!$A$5:$B$5809,2,FALSE)</f>
        <v>A5681</v>
      </c>
      <c r="D539" s="125" t="s">
        <v>19483</v>
      </c>
      <c r="E539" s="125" t="s">
        <v>11</v>
      </c>
      <c r="F539" s="125" t="str">
        <f t="shared" si="8"/>
        <v>006</v>
      </c>
      <c r="G539" s="126">
        <v>45869</v>
      </c>
      <c r="H539" s="125" t="s">
        <v>19482</v>
      </c>
      <c r="I539" s="124">
        <v>37</v>
      </c>
    </row>
    <row r="540" spans="1:9" x14ac:dyDescent="0.3">
      <c r="A540" s="127">
        <v>538</v>
      </c>
      <c r="B540" s="125" t="s">
        <v>19022</v>
      </c>
      <c r="C540" s="10" t="str">
        <f>VLOOKUP(B540,'Data Angt'!$A$5:$B$5809,2,FALSE)</f>
        <v>A5682</v>
      </c>
      <c r="D540" s="125" t="s">
        <v>19481</v>
      </c>
      <c r="E540" s="125" t="s">
        <v>22</v>
      </c>
      <c r="F540" s="125" t="str">
        <f t="shared" si="8"/>
        <v>001</v>
      </c>
      <c r="G540" s="126">
        <v>45869</v>
      </c>
      <c r="H540" s="125" t="s">
        <v>19480</v>
      </c>
      <c r="I540" s="124">
        <v>19</v>
      </c>
    </row>
    <row r="541" spans="1:9" x14ac:dyDescent="0.3">
      <c r="A541" s="127">
        <v>539</v>
      </c>
      <c r="B541" s="125" t="s">
        <v>19025</v>
      </c>
      <c r="C541" s="10" t="str">
        <f>VLOOKUP(B541,'Data Angt'!$A$5:$B$5809,2,FALSE)</f>
        <v>A5683</v>
      </c>
      <c r="D541" s="125" t="s">
        <v>19479</v>
      </c>
      <c r="E541" s="125" t="s">
        <v>22</v>
      </c>
      <c r="F541" s="125" t="str">
        <f t="shared" si="8"/>
        <v>003</v>
      </c>
      <c r="G541" s="126">
        <v>45869</v>
      </c>
      <c r="H541" s="125" t="s">
        <v>19478</v>
      </c>
      <c r="I541" s="124">
        <v>40</v>
      </c>
    </row>
    <row r="542" spans="1:9" x14ac:dyDescent="0.3">
      <c r="A542" s="127">
        <v>540</v>
      </c>
      <c r="B542" s="125" t="s">
        <v>19027</v>
      </c>
      <c r="C542" s="10" t="str">
        <f>VLOOKUP(B542,'Data Angt'!$A$5:$B$5809,2,FALSE)</f>
        <v>A5684</v>
      </c>
      <c r="D542" s="125" t="s">
        <v>19477</v>
      </c>
      <c r="E542" s="125" t="s">
        <v>11</v>
      </c>
      <c r="F542" s="125" t="str">
        <f t="shared" si="8"/>
        <v>003</v>
      </c>
      <c r="G542" s="126">
        <v>45869</v>
      </c>
      <c r="H542" s="125" t="s">
        <v>19476</v>
      </c>
      <c r="I542" s="124">
        <v>47</v>
      </c>
    </row>
    <row r="543" spans="1:9" x14ac:dyDescent="0.3">
      <c r="A543" s="127">
        <v>541</v>
      </c>
      <c r="B543" s="125" t="s">
        <v>19028</v>
      </c>
      <c r="C543" s="10" t="str">
        <f>VLOOKUP(B543,'Data Angt'!$A$5:$B$5809,2,FALSE)</f>
        <v>A5685</v>
      </c>
      <c r="D543" s="125" t="s">
        <v>19475</v>
      </c>
      <c r="E543" s="125" t="s">
        <v>22</v>
      </c>
      <c r="F543" s="125" t="str">
        <f t="shared" si="8"/>
        <v>001</v>
      </c>
      <c r="G543" s="126">
        <v>45869</v>
      </c>
      <c r="H543" s="125" t="s">
        <v>19474</v>
      </c>
      <c r="I543" s="124">
        <v>49</v>
      </c>
    </row>
    <row r="544" spans="1:9" x14ac:dyDescent="0.3">
      <c r="A544" s="127">
        <v>542</v>
      </c>
      <c r="B544" s="125" t="s">
        <v>19031</v>
      </c>
      <c r="C544" s="10" t="str">
        <f>VLOOKUP(B544,'Data Angt'!$A$5:$B$5809,2,FALSE)</f>
        <v>A5686</v>
      </c>
      <c r="D544" s="125" t="s">
        <v>19473</v>
      </c>
      <c r="E544" s="125" t="s">
        <v>22</v>
      </c>
      <c r="F544" s="125" t="str">
        <f t="shared" si="8"/>
        <v>001</v>
      </c>
      <c r="G544" s="126">
        <v>45869</v>
      </c>
      <c r="H544" s="125" t="s">
        <v>19472</v>
      </c>
      <c r="I544" s="124">
        <v>68</v>
      </c>
    </row>
    <row r="545" spans="1:9" x14ac:dyDescent="0.3">
      <c r="A545" s="127">
        <v>543</v>
      </c>
      <c r="B545" s="125" t="s">
        <v>19033</v>
      </c>
      <c r="C545" s="10" t="str">
        <f>VLOOKUP(B545,'Data Angt'!$A$5:$B$5809,2,FALSE)</f>
        <v>A5687</v>
      </c>
      <c r="D545" s="125" t="s">
        <v>19471</v>
      </c>
      <c r="E545" s="125" t="s">
        <v>22</v>
      </c>
      <c r="F545" s="125" t="str">
        <f t="shared" si="8"/>
        <v>001</v>
      </c>
      <c r="G545" s="126">
        <v>45870</v>
      </c>
      <c r="H545" s="125" t="s">
        <v>19470</v>
      </c>
      <c r="I545" s="124">
        <v>54</v>
      </c>
    </row>
    <row r="546" spans="1:9" x14ac:dyDescent="0.3">
      <c r="A546" s="127">
        <v>544</v>
      </c>
      <c r="B546" s="125" t="s">
        <v>19035</v>
      </c>
      <c r="C546" s="10" t="str">
        <f>VLOOKUP(B546,'Data Angt'!$A$5:$B$5809,2,FALSE)</f>
        <v>A5688</v>
      </c>
      <c r="D546" s="125" t="s">
        <v>19469</v>
      </c>
      <c r="E546" s="125" t="s">
        <v>11</v>
      </c>
      <c r="F546" s="125" t="str">
        <f t="shared" si="8"/>
        <v>001</v>
      </c>
      <c r="G546" s="126">
        <v>45871</v>
      </c>
      <c r="H546" s="125" t="s">
        <v>19468</v>
      </c>
      <c r="I546" s="124">
        <v>25</v>
      </c>
    </row>
    <row r="547" spans="1:9" x14ac:dyDescent="0.3">
      <c r="A547" s="127">
        <v>545</v>
      </c>
      <c r="B547" s="125" t="s">
        <v>19036</v>
      </c>
      <c r="C547" s="10" t="str">
        <f>VLOOKUP(B547,'Data Angt'!$A$5:$B$5809,2,FALSE)</f>
        <v>A5689</v>
      </c>
      <c r="D547" s="125" t="s">
        <v>19467</v>
      </c>
      <c r="E547" s="125" t="s">
        <v>11</v>
      </c>
      <c r="F547" s="125" t="str">
        <f t="shared" si="8"/>
        <v>002</v>
      </c>
      <c r="G547" s="126">
        <v>45874</v>
      </c>
      <c r="H547" s="125" t="s">
        <v>19466</v>
      </c>
      <c r="I547" s="124">
        <v>31</v>
      </c>
    </row>
    <row r="548" spans="1:9" x14ac:dyDescent="0.3">
      <c r="A548" s="127">
        <v>546</v>
      </c>
      <c r="B548" s="125" t="s">
        <v>19039</v>
      </c>
      <c r="C548" s="10" t="str">
        <f>VLOOKUP(B548,'Data Angt'!$A$5:$B$5809,2,FALSE)</f>
        <v>A5690</v>
      </c>
      <c r="D548" s="125" t="s">
        <v>19465</v>
      </c>
      <c r="E548" s="125" t="s">
        <v>22</v>
      </c>
      <c r="F548" s="125" t="str">
        <f t="shared" si="8"/>
        <v>001</v>
      </c>
      <c r="G548" s="126">
        <v>45875</v>
      </c>
      <c r="H548" s="125" t="s">
        <v>19464</v>
      </c>
      <c r="I548" s="124">
        <v>43</v>
      </c>
    </row>
    <row r="549" spans="1:9" x14ac:dyDescent="0.3">
      <c r="A549" s="127">
        <v>547</v>
      </c>
      <c r="B549" s="125" t="s">
        <v>19041</v>
      </c>
      <c r="C549" s="10" t="str">
        <f>VLOOKUP(B549,'Data Angt'!$A$5:$B$5809,2,FALSE)</f>
        <v>A5691</v>
      </c>
      <c r="D549" s="125" t="s">
        <v>19463</v>
      </c>
      <c r="E549" s="125" t="s">
        <v>22</v>
      </c>
      <c r="F549" s="125" t="str">
        <f t="shared" si="8"/>
        <v>004</v>
      </c>
      <c r="G549" s="126">
        <v>45876</v>
      </c>
      <c r="H549" s="125" t="s">
        <v>19462</v>
      </c>
      <c r="I549" s="124">
        <v>25</v>
      </c>
    </row>
    <row r="550" spans="1:9" x14ac:dyDescent="0.3">
      <c r="A550" s="127">
        <v>548</v>
      </c>
      <c r="B550" s="125" t="s">
        <v>19043</v>
      </c>
      <c r="C550" s="10" t="str">
        <f>VLOOKUP(B550,'Data Angt'!$A$5:$B$5809,2,FALSE)</f>
        <v>A5692</v>
      </c>
      <c r="D550" s="125" t="s">
        <v>19461</v>
      </c>
      <c r="E550" s="125" t="s">
        <v>22</v>
      </c>
      <c r="F550" s="125" t="str">
        <f t="shared" si="8"/>
        <v>002</v>
      </c>
      <c r="G550" s="126">
        <v>45876</v>
      </c>
      <c r="H550" s="125" t="s">
        <v>19460</v>
      </c>
      <c r="I550" s="124">
        <v>38</v>
      </c>
    </row>
    <row r="551" spans="1:9" x14ac:dyDescent="0.3">
      <c r="A551" s="127">
        <v>549</v>
      </c>
      <c r="B551" s="125" t="s">
        <v>19046</v>
      </c>
      <c r="C551" s="10" t="str">
        <f>VLOOKUP(B551,'Data Angt'!$A$5:$B$5809,2,FALSE)</f>
        <v>A5693</v>
      </c>
      <c r="D551" s="125" t="s">
        <v>19459</v>
      </c>
      <c r="E551" s="125" t="s">
        <v>22</v>
      </c>
      <c r="F551" s="125" t="str">
        <f t="shared" si="8"/>
        <v>002</v>
      </c>
      <c r="G551" s="126">
        <v>45876</v>
      </c>
      <c r="H551" s="125" t="s">
        <v>19458</v>
      </c>
      <c r="I551" s="124">
        <v>30</v>
      </c>
    </row>
    <row r="552" spans="1:9" x14ac:dyDescent="0.3">
      <c r="A552" s="127">
        <v>550</v>
      </c>
      <c r="B552" s="125" t="s">
        <v>19048</v>
      </c>
      <c r="C552" s="10" t="str">
        <f>VLOOKUP(B552,'Data Angt'!$A$5:$B$5809,2,FALSE)</f>
        <v>A5694</v>
      </c>
      <c r="D552" s="125" t="s">
        <v>19457</v>
      </c>
      <c r="E552" s="125" t="s">
        <v>22</v>
      </c>
      <c r="F552" s="125" t="str">
        <f t="shared" si="8"/>
        <v>006</v>
      </c>
      <c r="G552" s="126">
        <v>45877</v>
      </c>
      <c r="H552" s="125" t="s">
        <v>19456</v>
      </c>
      <c r="I552" s="124">
        <v>46</v>
      </c>
    </row>
    <row r="553" spans="1:9" x14ac:dyDescent="0.3">
      <c r="A553" s="127">
        <v>551</v>
      </c>
      <c r="B553" s="125" t="s">
        <v>19051</v>
      </c>
      <c r="C553" s="10" t="str">
        <f>VLOOKUP(B553,'Data Angt'!$A$5:$B$5809,2,FALSE)</f>
        <v>A5695</v>
      </c>
      <c r="D553" s="125" t="s">
        <v>19455</v>
      </c>
      <c r="E553" s="125" t="s">
        <v>22</v>
      </c>
      <c r="F553" s="125" t="str">
        <f t="shared" si="8"/>
        <v>003</v>
      </c>
      <c r="G553" s="126">
        <v>45877</v>
      </c>
      <c r="H553" s="125" t="s">
        <v>19454</v>
      </c>
      <c r="I553" s="124">
        <v>45</v>
      </c>
    </row>
    <row r="554" spans="1:9" x14ac:dyDescent="0.3">
      <c r="A554" s="127">
        <v>552</v>
      </c>
      <c r="B554" s="125" t="s">
        <v>19052</v>
      </c>
      <c r="C554" s="10" t="str">
        <f>VLOOKUP(B554,'Data Angt'!$A$5:$B$5809,2,FALSE)</f>
        <v>A5696</v>
      </c>
      <c r="D554" s="125" t="s">
        <v>19453</v>
      </c>
      <c r="E554" s="125" t="s">
        <v>22</v>
      </c>
      <c r="F554" s="125" t="str">
        <f t="shared" si="8"/>
        <v>002</v>
      </c>
      <c r="G554" s="126">
        <v>45877</v>
      </c>
      <c r="H554" s="125" t="s">
        <v>19452</v>
      </c>
      <c r="I554" s="124">
        <v>33</v>
      </c>
    </row>
    <row r="555" spans="1:9" x14ac:dyDescent="0.3">
      <c r="A555" s="127">
        <v>553</v>
      </c>
      <c r="B555" s="125" t="s">
        <v>19054</v>
      </c>
      <c r="C555" s="10" t="str">
        <f>VLOOKUP(B555,'Data Angt'!$A$5:$B$5809,2,FALSE)</f>
        <v>A5697</v>
      </c>
      <c r="D555" s="125" t="s">
        <v>19451</v>
      </c>
      <c r="E555" s="125" t="s">
        <v>11</v>
      </c>
      <c r="F555" s="125" t="str">
        <f t="shared" si="8"/>
        <v>001</v>
      </c>
      <c r="G555" s="126">
        <v>45878</v>
      </c>
      <c r="H555" s="125" t="s">
        <v>19450</v>
      </c>
      <c r="I555" s="124">
        <v>48</v>
      </c>
    </row>
    <row r="556" spans="1:9" x14ac:dyDescent="0.3">
      <c r="A556" s="127">
        <v>554</v>
      </c>
      <c r="B556" s="125" t="s">
        <v>19057</v>
      </c>
      <c r="C556" s="10" t="str">
        <f>VLOOKUP(B556,'Data Angt'!$A$5:$B$5809,2,FALSE)</f>
        <v>A5698</v>
      </c>
      <c r="D556" s="125" t="s">
        <v>19449</v>
      </c>
      <c r="E556" s="125" t="s">
        <v>22</v>
      </c>
      <c r="F556" s="125" t="str">
        <f t="shared" si="8"/>
        <v>004</v>
      </c>
      <c r="G556" s="126">
        <v>45878</v>
      </c>
      <c r="H556" s="125" t="s">
        <v>19448</v>
      </c>
      <c r="I556" s="124">
        <v>47</v>
      </c>
    </row>
    <row r="557" spans="1:9" x14ac:dyDescent="0.3">
      <c r="A557" s="127">
        <v>555</v>
      </c>
      <c r="B557" s="125" t="s">
        <v>19059</v>
      </c>
      <c r="C557" s="10" t="str">
        <f>VLOOKUP(B557,'Data Angt'!$A$5:$B$5809,2,FALSE)</f>
        <v>A5699</v>
      </c>
      <c r="D557" s="125" t="s">
        <v>19447</v>
      </c>
      <c r="E557" s="125" t="s">
        <v>11</v>
      </c>
      <c r="F557" s="125" t="str">
        <f t="shared" si="8"/>
        <v>001</v>
      </c>
      <c r="G557" s="126">
        <v>45878</v>
      </c>
      <c r="H557" s="125" t="s">
        <v>19446</v>
      </c>
      <c r="I557" s="124">
        <v>29</v>
      </c>
    </row>
    <row r="558" spans="1:9" x14ac:dyDescent="0.3">
      <c r="A558" s="127">
        <v>556</v>
      </c>
      <c r="B558" s="125" t="s">
        <v>19062</v>
      </c>
      <c r="C558" s="10" t="str">
        <f>VLOOKUP(B558,'Data Angt'!$A$5:$B$5809,2,FALSE)</f>
        <v>A5700</v>
      </c>
      <c r="D558" s="125" t="s">
        <v>19445</v>
      </c>
      <c r="E558" s="125" t="s">
        <v>11</v>
      </c>
      <c r="F558" s="125" t="str">
        <f t="shared" si="8"/>
        <v>006</v>
      </c>
      <c r="G558" s="126">
        <v>45878</v>
      </c>
      <c r="H558" s="125" t="s">
        <v>19444</v>
      </c>
      <c r="I558" s="124">
        <v>53</v>
      </c>
    </row>
    <row r="559" spans="1:9" x14ac:dyDescent="0.3">
      <c r="A559" s="127">
        <v>557</v>
      </c>
      <c r="B559" s="125" t="s">
        <v>19063</v>
      </c>
      <c r="C559" s="10" t="str">
        <f>VLOOKUP(B559,'Data Angt'!$A$5:$B$5809,2,FALSE)</f>
        <v>A5701</v>
      </c>
      <c r="D559" s="125" t="s">
        <v>19443</v>
      </c>
      <c r="E559" s="125" t="s">
        <v>22</v>
      </c>
      <c r="F559" s="125" t="str">
        <f t="shared" si="8"/>
        <v>006</v>
      </c>
      <c r="G559" s="126">
        <v>45878</v>
      </c>
      <c r="H559" s="125" t="s">
        <v>19442</v>
      </c>
      <c r="I559" s="124">
        <v>27</v>
      </c>
    </row>
    <row r="560" spans="1:9" x14ac:dyDescent="0.3">
      <c r="A560" s="127">
        <v>558</v>
      </c>
      <c r="B560" s="125" t="s">
        <v>19066</v>
      </c>
      <c r="C560" s="10" t="str">
        <f>VLOOKUP(B560,'Data Angt'!$A$5:$B$5809,2,FALSE)</f>
        <v>A5702</v>
      </c>
      <c r="D560" s="125" t="s">
        <v>19441</v>
      </c>
      <c r="E560" s="125" t="s">
        <v>22</v>
      </c>
      <c r="F560" s="125" t="str">
        <f t="shared" si="8"/>
        <v>006</v>
      </c>
      <c r="G560" s="126">
        <v>45878</v>
      </c>
      <c r="H560" s="125" t="s">
        <v>19440</v>
      </c>
      <c r="I560" s="124">
        <v>59</v>
      </c>
    </row>
    <row r="561" spans="1:9" x14ac:dyDescent="0.3">
      <c r="A561" s="127">
        <v>559</v>
      </c>
      <c r="B561" s="125" t="s">
        <v>19067</v>
      </c>
      <c r="C561" s="10" t="str">
        <f>VLOOKUP(B561,'Data Angt'!$A$5:$B$5809,2,FALSE)</f>
        <v>A5703</v>
      </c>
      <c r="D561" s="125" t="s">
        <v>19439</v>
      </c>
      <c r="E561" s="125" t="s">
        <v>22</v>
      </c>
      <c r="F561" s="125" t="str">
        <f t="shared" si="8"/>
        <v>002</v>
      </c>
      <c r="G561" s="126">
        <v>45880</v>
      </c>
      <c r="H561" s="125" t="s">
        <v>19438</v>
      </c>
      <c r="I561" s="124">
        <v>58</v>
      </c>
    </row>
    <row r="562" spans="1:9" x14ac:dyDescent="0.3">
      <c r="A562" s="127">
        <v>560</v>
      </c>
      <c r="B562" s="125" t="s">
        <v>19069</v>
      </c>
      <c r="C562" s="10" t="str">
        <f>VLOOKUP(B562,'Data Angt'!$A$5:$B$5809,2,FALSE)</f>
        <v>A5704</v>
      </c>
      <c r="D562" s="125" t="s">
        <v>19437</v>
      </c>
      <c r="E562" s="125" t="s">
        <v>22</v>
      </c>
      <c r="F562" s="125" t="str">
        <f t="shared" si="8"/>
        <v>003</v>
      </c>
      <c r="G562" s="126">
        <v>45880</v>
      </c>
      <c r="H562" s="125" t="s">
        <v>19436</v>
      </c>
      <c r="I562" s="124">
        <v>35</v>
      </c>
    </row>
    <row r="563" spans="1:9" x14ac:dyDescent="0.3">
      <c r="A563" s="127">
        <v>561</v>
      </c>
      <c r="B563" s="125" t="s">
        <v>19071</v>
      </c>
      <c r="C563" s="10" t="str">
        <f>VLOOKUP(B563,'Data Angt'!$A$5:$B$5809,2,FALSE)</f>
        <v>A5705</v>
      </c>
      <c r="D563" s="125" t="s">
        <v>19435</v>
      </c>
      <c r="E563" s="125" t="s">
        <v>11</v>
      </c>
      <c r="F563" s="125" t="str">
        <f t="shared" si="8"/>
        <v>004</v>
      </c>
      <c r="G563" s="126">
        <v>45881</v>
      </c>
      <c r="H563" s="125" t="s">
        <v>19434</v>
      </c>
      <c r="I563" s="124">
        <v>37</v>
      </c>
    </row>
    <row r="564" spans="1:9" x14ac:dyDescent="0.3">
      <c r="A564" s="127">
        <v>562</v>
      </c>
      <c r="B564" s="125" t="s">
        <v>19073</v>
      </c>
      <c r="C564" s="10" t="str">
        <f>VLOOKUP(B564,'Data Angt'!$A$5:$B$5809,2,FALSE)</f>
        <v>A5706</v>
      </c>
      <c r="D564" s="125" t="s">
        <v>19433</v>
      </c>
      <c r="E564" s="125" t="s">
        <v>22</v>
      </c>
      <c r="F564" s="125" t="str">
        <f t="shared" si="8"/>
        <v>002</v>
      </c>
      <c r="G564" s="126">
        <v>45881</v>
      </c>
      <c r="H564" s="125" t="s">
        <v>19274</v>
      </c>
      <c r="I564" s="124">
        <v>42</v>
      </c>
    </row>
    <row r="565" spans="1:9" x14ac:dyDescent="0.3">
      <c r="A565" s="127">
        <v>563</v>
      </c>
      <c r="B565" s="125" t="s">
        <v>19075</v>
      </c>
      <c r="C565" s="10" t="str">
        <f>VLOOKUP(B565,'Data Angt'!$A$5:$B$5809,2,FALSE)</f>
        <v>A5707</v>
      </c>
      <c r="D565" s="125" t="s">
        <v>19432</v>
      </c>
      <c r="E565" s="125" t="s">
        <v>22</v>
      </c>
      <c r="F565" s="125" t="str">
        <f t="shared" si="8"/>
        <v>001</v>
      </c>
      <c r="G565" s="126">
        <v>45883</v>
      </c>
      <c r="H565" s="125" t="s">
        <v>19431</v>
      </c>
      <c r="I565" s="124">
        <v>55</v>
      </c>
    </row>
    <row r="566" spans="1:9" x14ac:dyDescent="0.3">
      <c r="A566" s="127">
        <v>564</v>
      </c>
      <c r="B566" s="125" t="s">
        <v>19078</v>
      </c>
      <c r="C566" s="10" t="str">
        <f>VLOOKUP(B566,'Data Angt'!$A$5:$B$5809,2,FALSE)</f>
        <v>A5708</v>
      </c>
      <c r="D566" s="125" t="s">
        <v>19430</v>
      </c>
      <c r="E566" s="125" t="s">
        <v>11</v>
      </c>
      <c r="F566" s="125" t="str">
        <f t="shared" si="8"/>
        <v>006</v>
      </c>
      <c r="G566" s="126">
        <v>45883</v>
      </c>
      <c r="H566" s="125" t="s">
        <v>19429</v>
      </c>
      <c r="I566" s="124">
        <v>42</v>
      </c>
    </row>
    <row r="567" spans="1:9" x14ac:dyDescent="0.3">
      <c r="A567" s="127">
        <v>565</v>
      </c>
      <c r="B567" s="125" t="s">
        <v>19080</v>
      </c>
      <c r="C567" s="10" t="str">
        <f>VLOOKUP(B567,'Data Angt'!$A$5:$B$5809,2,FALSE)</f>
        <v>A5709</v>
      </c>
      <c r="D567" s="125" t="s">
        <v>19428</v>
      </c>
      <c r="E567" s="125" t="s">
        <v>11</v>
      </c>
      <c r="F567" s="125" t="str">
        <f t="shared" si="8"/>
        <v>004</v>
      </c>
      <c r="G567" s="126">
        <v>45883</v>
      </c>
      <c r="H567" s="125" t="s">
        <v>19274</v>
      </c>
      <c r="I567" s="124">
        <v>34</v>
      </c>
    </row>
    <row r="568" spans="1:9" x14ac:dyDescent="0.3">
      <c r="A568" s="127">
        <v>566</v>
      </c>
      <c r="B568" s="125" t="s">
        <v>19083</v>
      </c>
      <c r="C568" s="10" t="str">
        <f>VLOOKUP(B568,'Data Angt'!$A$5:$B$5809,2,FALSE)</f>
        <v>A5710</v>
      </c>
      <c r="D568" s="125" t="s">
        <v>19427</v>
      </c>
      <c r="E568" s="125" t="s">
        <v>22</v>
      </c>
      <c r="F568" s="125" t="str">
        <f t="shared" si="8"/>
        <v>001</v>
      </c>
      <c r="G568" s="126">
        <v>45883</v>
      </c>
      <c r="H568" s="125" t="s">
        <v>19426</v>
      </c>
      <c r="I568" s="124">
        <v>52</v>
      </c>
    </row>
    <row r="569" spans="1:9" x14ac:dyDescent="0.3">
      <c r="A569" s="127">
        <v>567</v>
      </c>
      <c r="B569" s="125" t="s">
        <v>19084</v>
      </c>
      <c r="C569" s="10" t="str">
        <f>VLOOKUP(B569,'Data Angt'!$A$5:$B$5809,2,FALSE)</f>
        <v>A5711</v>
      </c>
      <c r="D569" s="125" t="s">
        <v>19425</v>
      </c>
      <c r="E569" s="125" t="s">
        <v>11</v>
      </c>
      <c r="F569" s="125" t="str">
        <f t="shared" si="8"/>
        <v>001</v>
      </c>
      <c r="G569" s="126">
        <v>45883</v>
      </c>
      <c r="H569" s="125" t="s">
        <v>19274</v>
      </c>
      <c r="I569" s="124">
        <v>22</v>
      </c>
    </row>
    <row r="570" spans="1:9" x14ac:dyDescent="0.3">
      <c r="A570" s="127">
        <v>568</v>
      </c>
      <c r="B570" s="125" t="s">
        <v>19087</v>
      </c>
      <c r="C570" s="10" t="str">
        <f>VLOOKUP(B570,'Data Angt'!$A$5:$B$5809,2,FALSE)</f>
        <v>A5712</v>
      </c>
      <c r="D570" s="125" t="s">
        <v>19424</v>
      </c>
      <c r="E570" s="125" t="s">
        <v>11</v>
      </c>
      <c r="F570" s="125" t="str">
        <f t="shared" si="8"/>
        <v>001</v>
      </c>
      <c r="G570" s="126">
        <v>45883</v>
      </c>
      <c r="H570" s="125" t="s">
        <v>19423</v>
      </c>
      <c r="I570" s="124">
        <v>58</v>
      </c>
    </row>
    <row r="571" spans="1:9" x14ac:dyDescent="0.3">
      <c r="A571" s="127">
        <v>569</v>
      </c>
      <c r="B571" s="125" t="s">
        <v>19089</v>
      </c>
      <c r="C571" s="10" t="str">
        <f>VLOOKUP(B571,'Data Angt'!$A$5:$B$5809,2,FALSE)</f>
        <v>A5713</v>
      </c>
      <c r="D571" s="125" t="s">
        <v>19422</v>
      </c>
      <c r="E571" s="125" t="s">
        <v>11</v>
      </c>
      <c r="F571" s="125" t="str">
        <f t="shared" si="8"/>
        <v>001</v>
      </c>
      <c r="G571" s="126">
        <v>45884</v>
      </c>
      <c r="H571" s="125" t="s">
        <v>19421</v>
      </c>
      <c r="I571" s="124">
        <v>25</v>
      </c>
    </row>
    <row r="572" spans="1:9" x14ac:dyDescent="0.3">
      <c r="A572" s="127">
        <v>570</v>
      </c>
      <c r="B572" s="125" t="s">
        <v>19090</v>
      </c>
      <c r="C572" s="10" t="str">
        <f>VLOOKUP(B572,'Data Angt'!$A$5:$B$5809,2,FALSE)</f>
        <v>A5714</v>
      </c>
      <c r="D572" s="125" t="s">
        <v>19420</v>
      </c>
      <c r="E572" s="125" t="s">
        <v>22</v>
      </c>
      <c r="F572" s="125" t="str">
        <f t="shared" si="8"/>
        <v>001</v>
      </c>
      <c r="G572" s="126">
        <v>45884</v>
      </c>
      <c r="H572" s="125" t="s">
        <v>19419</v>
      </c>
      <c r="I572" s="124">
        <v>39</v>
      </c>
    </row>
    <row r="573" spans="1:9" x14ac:dyDescent="0.3">
      <c r="A573" s="127">
        <v>571</v>
      </c>
      <c r="B573" s="125" t="s">
        <v>19094</v>
      </c>
      <c r="C573" s="10" t="str">
        <f>VLOOKUP(B573,'Data Angt'!$A$5:$B$5809,2,FALSE)</f>
        <v>A5715</v>
      </c>
      <c r="D573" s="125" t="s">
        <v>19418</v>
      </c>
      <c r="E573" s="125" t="s">
        <v>22</v>
      </c>
      <c r="F573" s="125" t="str">
        <f t="shared" si="8"/>
        <v>004</v>
      </c>
      <c r="G573" s="126">
        <v>45885</v>
      </c>
      <c r="H573" s="125" t="s">
        <v>19417</v>
      </c>
      <c r="I573" s="124">
        <v>36</v>
      </c>
    </row>
    <row r="574" spans="1:9" x14ac:dyDescent="0.3">
      <c r="A574" s="127">
        <v>572</v>
      </c>
      <c r="B574" s="125" t="s">
        <v>19095</v>
      </c>
      <c r="C574" s="10" t="str">
        <f>VLOOKUP(B574,'Data Angt'!$A$5:$B$5809,2,FALSE)</f>
        <v>A5716</v>
      </c>
      <c r="D574" s="125" t="s">
        <v>19416</v>
      </c>
      <c r="E574" s="125" t="s">
        <v>22</v>
      </c>
      <c r="F574" s="125" t="str">
        <f t="shared" si="8"/>
        <v>001</v>
      </c>
      <c r="G574" s="126">
        <v>45885</v>
      </c>
      <c r="H574" s="125" t="s">
        <v>19415</v>
      </c>
      <c r="I574" s="124">
        <v>43</v>
      </c>
    </row>
    <row r="575" spans="1:9" x14ac:dyDescent="0.3">
      <c r="A575" s="127">
        <v>573</v>
      </c>
      <c r="B575" s="125" t="s">
        <v>19098</v>
      </c>
      <c r="C575" s="10" t="str">
        <f>VLOOKUP(B575,'Data Angt'!$A$5:$B$5809,2,FALSE)</f>
        <v>A5717</v>
      </c>
      <c r="D575" s="125" t="s">
        <v>19414</v>
      </c>
      <c r="E575" s="125" t="s">
        <v>22</v>
      </c>
      <c r="F575" s="125" t="str">
        <f t="shared" si="8"/>
        <v>001</v>
      </c>
      <c r="G575" s="126">
        <v>45885</v>
      </c>
      <c r="H575" s="125" t="s">
        <v>19413</v>
      </c>
      <c r="I575" s="124">
        <v>19</v>
      </c>
    </row>
    <row r="576" spans="1:9" x14ac:dyDescent="0.3">
      <c r="A576" s="127">
        <v>574</v>
      </c>
      <c r="B576" s="125" t="s">
        <v>19100</v>
      </c>
      <c r="C576" s="10" t="str">
        <f>VLOOKUP(B576,'Data Angt'!$A$5:$B$5809,2,FALSE)</f>
        <v>A5718</v>
      </c>
      <c r="D576" s="125" t="s">
        <v>19412</v>
      </c>
      <c r="E576" s="125" t="s">
        <v>22</v>
      </c>
      <c r="F576" s="125" t="str">
        <f t="shared" si="8"/>
        <v>001</v>
      </c>
      <c r="G576" s="126">
        <v>45885</v>
      </c>
      <c r="H576" s="125" t="s">
        <v>19411</v>
      </c>
      <c r="I576" s="124">
        <v>18</v>
      </c>
    </row>
    <row r="577" spans="1:9" x14ac:dyDescent="0.3">
      <c r="A577" s="127">
        <v>575</v>
      </c>
      <c r="B577" s="125" t="s">
        <v>19103</v>
      </c>
      <c r="C577" s="10" t="str">
        <f>VLOOKUP(B577,'Data Angt'!$A$5:$B$5809,2,FALSE)</f>
        <v>A5719</v>
      </c>
      <c r="D577" s="125" t="s">
        <v>19410</v>
      </c>
      <c r="E577" s="125" t="s">
        <v>11</v>
      </c>
      <c r="F577" s="125" t="str">
        <f t="shared" si="8"/>
        <v>001</v>
      </c>
      <c r="G577" s="126">
        <v>45885</v>
      </c>
      <c r="H577" s="125" t="s">
        <v>19409</v>
      </c>
      <c r="I577" s="124">
        <v>17</v>
      </c>
    </row>
    <row r="578" spans="1:9" x14ac:dyDescent="0.3">
      <c r="A578" s="127">
        <v>576</v>
      </c>
      <c r="B578" s="125" t="s">
        <v>19105</v>
      </c>
      <c r="C578" s="10" t="str">
        <f>VLOOKUP(B578,'Data Angt'!$A$5:$B$5809,2,FALSE)</f>
        <v>A5720</v>
      </c>
      <c r="D578" s="125" t="s">
        <v>19408</v>
      </c>
      <c r="E578" s="125" t="s">
        <v>22</v>
      </c>
      <c r="F578" s="125" t="str">
        <f t="shared" si="8"/>
        <v>003</v>
      </c>
      <c r="G578" s="126">
        <v>45885</v>
      </c>
      <c r="H578" s="125" t="s">
        <v>19407</v>
      </c>
      <c r="I578" s="124">
        <v>57</v>
      </c>
    </row>
    <row r="579" spans="1:9" x14ac:dyDescent="0.3">
      <c r="A579" s="127">
        <v>577</v>
      </c>
      <c r="B579" s="125" t="s">
        <v>19106</v>
      </c>
      <c r="C579" s="10" t="str">
        <f>VLOOKUP(B579,'Data Angt'!$A$5:$B$5809,2,FALSE)</f>
        <v>A5721</v>
      </c>
      <c r="D579" s="125" t="s">
        <v>19406</v>
      </c>
      <c r="E579" s="125" t="s">
        <v>22</v>
      </c>
      <c r="F579" s="125" t="str">
        <f t="shared" si="8"/>
        <v>001</v>
      </c>
      <c r="G579" s="126">
        <v>45885</v>
      </c>
      <c r="H579" s="125" t="s">
        <v>19348</v>
      </c>
      <c r="I579" s="124">
        <v>37</v>
      </c>
    </row>
    <row r="580" spans="1:9" x14ac:dyDescent="0.3">
      <c r="A580" s="127">
        <v>578</v>
      </c>
      <c r="B580" s="125" t="s">
        <v>19109</v>
      </c>
      <c r="C580" s="10" t="str">
        <f>VLOOKUP(B580,'Data Angt'!$A$5:$B$5809,2,FALSE)</f>
        <v>A5722</v>
      </c>
      <c r="D580" s="125" t="s">
        <v>19405</v>
      </c>
      <c r="E580" s="125" t="s">
        <v>22</v>
      </c>
      <c r="F580" s="125" t="str">
        <f t="shared" ref="F580:F643" si="9">MID(B580,7,3)</f>
        <v>006</v>
      </c>
      <c r="G580" s="126">
        <v>45887</v>
      </c>
      <c r="H580" s="125" t="s">
        <v>19404</v>
      </c>
      <c r="I580" s="124">
        <v>62</v>
      </c>
    </row>
    <row r="581" spans="1:9" x14ac:dyDescent="0.3">
      <c r="A581" s="127">
        <v>579</v>
      </c>
      <c r="B581" s="125" t="s">
        <v>19111</v>
      </c>
      <c r="C581" s="10" t="str">
        <f>VLOOKUP(B581,'Data Angt'!$A$5:$B$5809,2,FALSE)</f>
        <v>A5723</v>
      </c>
      <c r="D581" s="125" t="s">
        <v>19403</v>
      </c>
      <c r="E581" s="125" t="s">
        <v>22</v>
      </c>
      <c r="F581" s="125" t="str">
        <f t="shared" si="9"/>
        <v>001</v>
      </c>
      <c r="G581" s="126">
        <v>45887</v>
      </c>
      <c r="H581" s="125" t="s">
        <v>19402</v>
      </c>
      <c r="I581" s="124">
        <v>30</v>
      </c>
    </row>
    <row r="582" spans="1:9" x14ac:dyDescent="0.3">
      <c r="A582" s="127">
        <v>580</v>
      </c>
      <c r="B582" s="125" t="s">
        <v>19114</v>
      </c>
      <c r="C582" s="10" t="str">
        <f>VLOOKUP(B582,'Data Angt'!$A$5:$B$5809,2,FALSE)</f>
        <v>A5724</v>
      </c>
      <c r="D582" s="125" t="s">
        <v>19401</v>
      </c>
      <c r="E582" s="125" t="s">
        <v>22</v>
      </c>
      <c r="F582" s="125" t="str">
        <f t="shared" si="9"/>
        <v>003</v>
      </c>
      <c r="G582" s="126">
        <v>45887</v>
      </c>
      <c r="H582" s="125" t="s">
        <v>19400</v>
      </c>
      <c r="I582" s="124">
        <v>34</v>
      </c>
    </row>
    <row r="583" spans="1:9" x14ac:dyDescent="0.3">
      <c r="A583" s="127">
        <v>581</v>
      </c>
      <c r="B583" s="125" t="s">
        <v>19116</v>
      </c>
      <c r="C583" s="10" t="str">
        <f>VLOOKUP(B583,'Data Angt'!$A$5:$B$5809,2,FALSE)</f>
        <v>A5725</v>
      </c>
      <c r="D583" s="125" t="s">
        <v>19399</v>
      </c>
      <c r="E583" s="125" t="s">
        <v>22</v>
      </c>
      <c r="F583" s="125" t="str">
        <f t="shared" si="9"/>
        <v>003</v>
      </c>
      <c r="G583" s="126">
        <v>45888</v>
      </c>
      <c r="H583" s="125" t="s">
        <v>19398</v>
      </c>
      <c r="I583" s="124">
        <v>56</v>
      </c>
    </row>
    <row r="584" spans="1:9" x14ac:dyDescent="0.3">
      <c r="A584" s="127">
        <v>582</v>
      </c>
      <c r="B584" s="125" t="s">
        <v>19117</v>
      </c>
      <c r="C584" s="10" t="str">
        <f>VLOOKUP(B584,'Data Angt'!$A$5:$B$5809,2,FALSE)</f>
        <v>A5726</v>
      </c>
      <c r="D584" s="125" t="s">
        <v>19397</v>
      </c>
      <c r="E584" s="125" t="s">
        <v>22</v>
      </c>
      <c r="F584" s="125" t="str">
        <f t="shared" si="9"/>
        <v>001</v>
      </c>
      <c r="G584" s="126">
        <v>45888</v>
      </c>
      <c r="H584" s="125" t="s">
        <v>19396</v>
      </c>
      <c r="I584" s="124">
        <v>54</v>
      </c>
    </row>
    <row r="585" spans="1:9" x14ac:dyDescent="0.3">
      <c r="A585" s="127">
        <v>583</v>
      </c>
      <c r="B585" s="125" t="s">
        <v>19119</v>
      </c>
      <c r="C585" s="10" t="str">
        <f>VLOOKUP(B585,'Data Angt'!$A$5:$B$5809,2,FALSE)</f>
        <v>A5727</v>
      </c>
      <c r="D585" s="125" t="s">
        <v>19395</v>
      </c>
      <c r="E585" s="125" t="s">
        <v>11</v>
      </c>
      <c r="F585" s="125" t="str">
        <f t="shared" si="9"/>
        <v>001</v>
      </c>
      <c r="G585" s="126">
        <v>45889</v>
      </c>
      <c r="H585" s="125" t="s">
        <v>19394</v>
      </c>
      <c r="I585" s="124">
        <v>25</v>
      </c>
    </row>
    <row r="586" spans="1:9" x14ac:dyDescent="0.3">
      <c r="A586" s="127">
        <v>584</v>
      </c>
      <c r="B586" s="125" t="s">
        <v>19122</v>
      </c>
      <c r="C586" s="10" t="str">
        <f>VLOOKUP(B586,'Data Angt'!$A$5:$B$5809,2,FALSE)</f>
        <v>A5728</v>
      </c>
      <c r="D586" s="125" t="s">
        <v>19393</v>
      </c>
      <c r="E586" s="125" t="s">
        <v>11</v>
      </c>
      <c r="F586" s="125" t="str">
        <f t="shared" si="9"/>
        <v>004</v>
      </c>
      <c r="G586" s="126">
        <v>45889</v>
      </c>
      <c r="H586" s="125" t="s">
        <v>19392</v>
      </c>
      <c r="I586" s="124">
        <v>25</v>
      </c>
    </row>
    <row r="587" spans="1:9" x14ac:dyDescent="0.3">
      <c r="A587" s="127">
        <v>585</v>
      </c>
      <c r="B587" s="125" t="s">
        <v>19124</v>
      </c>
      <c r="C587" s="10" t="str">
        <f>VLOOKUP(B587,'Data Angt'!$A$5:$B$5809,2,FALSE)</f>
        <v>A5729</v>
      </c>
      <c r="D587" s="125" t="s">
        <v>19391</v>
      </c>
      <c r="E587" s="125" t="s">
        <v>22</v>
      </c>
      <c r="F587" s="125" t="str">
        <f t="shared" si="9"/>
        <v>006</v>
      </c>
      <c r="G587" s="126">
        <v>45889</v>
      </c>
      <c r="H587" s="125" t="s">
        <v>19390</v>
      </c>
      <c r="I587" s="124">
        <v>22</v>
      </c>
    </row>
    <row r="588" spans="1:9" x14ac:dyDescent="0.3">
      <c r="A588" s="127">
        <v>586</v>
      </c>
      <c r="B588" s="125" t="s">
        <v>19126</v>
      </c>
      <c r="C588" s="10" t="str">
        <f>VLOOKUP(B588,'Data Angt'!$A$5:$B$5809,2,FALSE)</f>
        <v>A5730</v>
      </c>
      <c r="D588" s="125" t="s">
        <v>19389</v>
      </c>
      <c r="E588" s="125" t="s">
        <v>22</v>
      </c>
      <c r="F588" s="125" t="str">
        <f t="shared" si="9"/>
        <v>002</v>
      </c>
      <c r="G588" s="126">
        <v>45889</v>
      </c>
      <c r="H588" s="125" t="s">
        <v>19388</v>
      </c>
      <c r="I588" s="124">
        <v>61</v>
      </c>
    </row>
    <row r="589" spans="1:9" x14ac:dyDescent="0.3">
      <c r="A589" s="127">
        <v>587</v>
      </c>
      <c r="B589" s="125" t="s">
        <v>19127</v>
      </c>
      <c r="C589" s="10" t="str">
        <f>VLOOKUP(B589,'Data Angt'!$A$5:$B$5809,2,FALSE)</f>
        <v>A5731</v>
      </c>
      <c r="D589" s="125" t="s">
        <v>19387</v>
      </c>
      <c r="E589" s="125" t="s">
        <v>22</v>
      </c>
      <c r="F589" s="125" t="str">
        <f t="shared" si="9"/>
        <v>003</v>
      </c>
      <c r="G589" s="126">
        <v>45890</v>
      </c>
      <c r="H589" s="125" t="s">
        <v>19386</v>
      </c>
      <c r="I589" s="124">
        <v>32</v>
      </c>
    </row>
    <row r="590" spans="1:9" x14ac:dyDescent="0.3">
      <c r="A590" s="127">
        <v>588</v>
      </c>
      <c r="B590" s="125" t="s">
        <v>19129</v>
      </c>
      <c r="C590" s="10" t="str">
        <f>VLOOKUP(B590,'Data Angt'!$A$5:$B$5809,2,FALSE)</f>
        <v>A5732</v>
      </c>
      <c r="D590" s="125" t="s">
        <v>19385</v>
      </c>
      <c r="E590" s="125" t="s">
        <v>22</v>
      </c>
      <c r="F590" s="125" t="str">
        <f t="shared" si="9"/>
        <v>002</v>
      </c>
      <c r="G590" s="126">
        <v>45890</v>
      </c>
      <c r="H590" s="125" t="s">
        <v>19384</v>
      </c>
      <c r="I590" s="124">
        <v>37</v>
      </c>
    </row>
    <row r="591" spans="1:9" x14ac:dyDescent="0.3">
      <c r="A591" s="127">
        <v>589</v>
      </c>
      <c r="B591" s="125" t="s">
        <v>19131</v>
      </c>
      <c r="C591" s="10" t="str">
        <f>VLOOKUP(B591,'Data Angt'!$A$5:$B$5809,2,FALSE)</f>
        <v>A5733</v>
      </c>
      <c r="D591" s="125" t="s">
        <v>19383</v>
      </c>
      <c r="E591" s="125" t="s">
        <v>11</v>
      </c>
      <c r="F591" s="125" t="str">
        <f t="shared" si="9"/>
        <v>001</v>
      </c>
      <c r="G591" s="126">
        <v>45890</v>
      </c>
      <c r="H591" s="125" t="s">
        <v>19382</v>
      </c>
      <c r="I591" s="124">
        <v>27</v>
      </c>
    </row>
    <row r="592" spans="1:9" x14ac:dyDescent="0.3">
      <c r="A592" s="127">
        <v>590</v>
      </c>
      <c r="B592" s="125" t="s">
        <v>19134</v>
      </c>
      <c r="C592" s="10" t="str">
        <f>VLOOKUP(B592,'Data Angt'!$A$5:$B$5809,2,FALSE)</f>
        <v>A5734</v>
      </c>
      <c r="D592" s="125" t="s">
        <v>19381</v>
      </c>
      <c r="E592" s="125" t="s">
        <v>22</v>
      </c>
      <c r="F592" s="125" t="str">
        <f t="shared" si="9"/>
        <v>002</v>
      </c>
      <c r="G592" s="126">
        <v>45891</v>
      </c>
      <c r="H592" s="125" t="s">
        <v>19380</v>
      </c>
      <c r="I592" s="124">
        <v>49</v>
      </c>
    </row>
    <row r="593" spans="1:9" x14ac:dyDescent="0.3">
      <c r="A593" s="127">
        <v>591</v>
      </c>
      <c r="B593" s="125" t="s">
        <v>19135</v>
      </c>
      <c r="C593" s="10" t="str">
        <f>VLOOKUP(B593,'Data Angt'!$A$5:$B$5809,2,FALSE)</f>
        <v>A5735</v>
      </c>
      <c r="D593" s="125" t="s">
        <v>19379</v>
      </c>
      <c r="E593" s="125" t="s">
        <v>22</v>
      </c>
      <c r="F593" s="125" t="str">
        <f t="shared" si="9"/>
        <v>005</v>
      </c>
      <c r="G593" s="126">
        <v>45891</v>
      </c>
      <c r="H593" s="125" t="s">
        <v>19378</v>
      </c>
      <c r="I593" s="124">
        <v>54</v>
      </c>
    </row>
    <row r="594" spans="1:9" x14ac:dyDescent="0.3">
      <c r="A594" s="127">
        <v>592</v>
      </c>
      <c r="B594" s="125" t="s">
        <v>19137</v>
      </c>
      <c r="C594" s="10" t="str">
        <f>VLOOKUP(B594,'Data Angt'!$A$5:$B$5809,2,FALSE)</f>
        <v>A5736</v>
      </c>
      <c r="D594" s="125" t="s">
        <v>19377</v>
      </c>
      <c r="E594" s="125" t="s">
        <v>22</v>
      </c>
      <c r="F594" s="125" t="str">
        <f t="shared" si="9"/>
        <v>005</v>
      </c>
      <c r="G594" s="126">
        <v>45892</v>
      </c>
      <c r="H594" s="125" t="s">
        <v>19376</v>
      </c>
      <c r="I594" s="124">
        <v>28</v>
      </c>
    </row>
    <row r="595" spans="1:9" x14ac:dyDescent="0.3">
      <c r="A595" s="127">
        <v>593</v>
      </c>
      <c r="B595" s="125" t="s">
        <v>19140</v>
      </c>
      <c r="C595" s="10" t="str">
        <f>VLOOKUP(B595,'Data Angt'!$A$5:$B$5809,2,FALSE)</f>
        <v>A5737</v>
      </c>
      <c r="D595" s="125" t="s">
        <v>19375</v>
      </c>
      <c r="E595" s="125" t="s">
        <v>22</v>
      </c>
      <c r="F595" s="125" t="str">
        <f t="shared" si="9"/>
        <v>001</v>
      </c>
      <c r="G595" s="126">
        <v>45892</v>
      </c>
      <c r="H595" s="125" t="s">
        <v>19374</v>
      </c>
      <c r="I595" s="124">
        <v>46</v>
      </c>
    </row>
    <row r="596" spans="1:9" x14ac:dyDescent="0.3">
      <c r="A596" s="127">
        <v>594</v>
      </c>
      <c r="B596" s="125" t="s">
        <v>19141</v>
      </c>
      <c r="C596" s="10" t="str">
        <f>VLOOKUP(B596,'Data Angt'!$A$5:$B$5809,2,FALSE)</f>
        <v>A5738</v>
      </c>
      <c r="D596" s="125" t="s">
        <v>19373</v>
      </c>
      <c r="E596" s="125" t="s">
        <v>22</v>
      </c>
      <c r="F596" s="125" t="str">
        <f t="shared" si="9"/>
        <v>003</v>
      </c>
      <c r="G596" s="126">
        <v>45894</v>
      </c>
      <c r="H596" s="125" t="s">
        <v>19372</v>
      </c>
      <c r="I596" s="124">
        <v>24</v>
      </c>
    </row>
    <row r="597" spans="1:9" x14ac:dyDescent="0.3">
      <c r="A597" s="127">
        <v>595</v>
      </c>
      <c r="B597" s="125" t="s">
        <v>19144</v>
      </c>
      <c r="C597" s="10" t="str">
        <f>VLOOKUP(B597,'Data Angt'!$A$5:$B$5809,2,FALSE)</f>
        <v>A5739</v>
      </c>
      <c r="D597" s="125" t="s">
        <v>19371</v>
      </c>
      <c r="E597" s="125" t="s">
        <v>11</v>
      </c>
      <c r="F597" s="125" t="str">
        <f t="shared" si="9"/>
        <v>005</v>
      </c>
      <c r="G597" s="126">
        <v>45894</v>
      </c>
      <c r="H597" s="125" t="s">
        <v>19370</v>
      </c>
      <c r="I597" s="124">
        <v>71</v>
      </c>
    </row>
    <row r="598" spans="1:9" x14ac:dyDescent="0.3">
      <c r="A598" s="127">
        <v>596</v>
      </c>
      <c r="B598" s="125" t="s">
        <v>19147</v>
      </c>
      <c r="C598" s="10" t="str">
        <f>VLOOKUP(B598,'Data Angt'!$A$5:$B$5809,2,FALSE)</f>
        <v>A5740</v>
      </c>
      <c r="D598" s="125" t="s">
        <v>19369</v>
      </c>
      <c r="E598" s="125" t="s">
        <v>22</v>
      </c>
      <c r="F598" s="125" t="str">
        <f t="shared" si="9"/>
        <v>001</v>
      </c>
      <c r="G598" s="126">
        <v>45894</v>
      </c>
      <c r="H598" s="125" t="s">
        <v>19368</v>
      </c>
      <c r="I598" s="124">
        <v>43</v>
      </c>
    </row>
    <row r="599" spans="1:9" x14ac:dyDescent="0.3">
      <c r="A599" s="127">
        <v>597</v>
      </c>
      <c r="B599" s="125" t="s">
        <v>19149</v>
      </c>
      <c r="C599" s="10" t="str">
        <f>VLOOKUP(B599,'Data Angt'!$A$5:$B$5809,2,FALSE)</f>
        <v>A5741</v>
      </c>
      <c r="D599" s="125" t="s">
        <v>19367</v>
      </c>
      <c r="E599" s="125" t="s">
        <v>11</v>
      </c>
      <c r="F599" s="125" t="str">
        <f t="shared" si="9"/>
        <v>003</v>
      </c>
      <c r="G599" s="126">
        <v>45895</v>
      </c>
      <c r="H599" s="125" t="s">
        <v>19366</v>
      </c>
      <c r="I599" s="124">
        <v>35</v>
      </c>
    </row>
    <row r="600" spans="1:9" x14ac:dyDescent="0.3">
      <c r="A600" s="127">
        <v>598</v>
      </c>
      <c r="B600" s="125" t="s">
        <v>19151</v>
      </c>
      <c r="C600" s="10" t="str">
        <f>VLOOKUP(B600,'Data Angt'!$A$5:$B$5809,2,FALSE)</f>
        <v>A5742</v>
      </c>
      <c r="D600" s="125" t="s">
        <v>19365</v>
      </c>
      <c r="E600" s="125" t="s">
        <v>22</v>
      </c>
      <c r="F600" s="125" t="str">
        <f t="shared" si="9"/>
        <v>002</v>
      </c>
      <c r="G600" s="126">
        <v>45896</v>
      </c>
      <c r="H600" s="125" t="s">
        <v>19364</v>
      </c>
      <c r="I600" s="124">
        <v>43</v>
      </c>
    </row>
    <row r="601" spans="1:9" x14ac:dyDescent="0.3">
      <c r="A601" s="127">
        <v>599</v>
      </c>
      <c r="B601" s="125" t="s">
        <v>19159</v>
      </c>
      <c r="C601" s="10" t="str">
        <f>VLOOKUP(B601,'Data Angt'!$A$5:$B$5809,2,FALSE)</f>
        <v>A5745</v>
      </c>
      <c r="D601" s="125" t="s">
        <v>19363</v>
      </c>
      <c r="E601" s="125" t="s">
        <v>22</v>
      </c>
      <c r="F601" s="125" t="str">
        <f t="shared" si="9"/>
        <v>001</v>
      </c>
      <c r="G601" s="126">
        <v>45897</v>
      </c>
      <c r="H601" s="125" t="s">
        <v>19362</v>
      </c>
      <c r="I601" s="124">
        <v>32</v>
      </c>
    </row>
    <row r="602" spans="1:9" x14ac:dyDescent="0.3">
      <c r="A602" s="127">
        <v>600</v>
      </c>
      <c r="B602" s="125" t="s">
        <v>19153</v>
      </c>
      <c r="C602" s="10" t="str">
        <f>VLOOKUP(B602,'Data Angt'!$A$5:$B$5809,2,FALSE)</f>
        <v>A5743</v>
      </c>
      <c r="D602" s="125" t="s">
        <v>19361</v>
      </c>
      <c r="E602" s="125" t="s">
        <v>11</v>
      </c>
      <c r="F602" s="125" t="str">
        <f t="shared" si="9"/>
        <v>001</v>
      </c>
      <c r="G602" s="126">
        <v>45896</v>
      </c>
      <c r="H602" s="125" t="s">
        <v>19360</v>
      </c>
      <c r="I602" s="124">
        <v>28</v>
      </c>
    </row>
    <row r="603" spans="1:9" x14ac:dyDescent="0.3">
      <c r="A603" s="127">
        <v>601</v>
      </c>
      <c r="B603" s="125" t="s">
        <v>19155</v>
      </c>
      <c r="C603" s="10" t="str">
        <f>VLOOKUP(B603,'Data Angt'!$A$5:$B$5809,2,FALSE)</f>
        <v>A5744</v>
      </c>
      <c r="D603" s="125" t="s">
        <v>19359</v>
      </c>
      <c r="E603" s="125" t="s">
        <v>22</v>
      </c>
      <c r="F603" s="125" t="str">
        <f t="shared" si="9"/>
        <v>003</v>
      </c>
      <c r="G603" s="126">
        <v>45896</v>
      </c>
      <c r="H603" s="125" t="s">
        <v>19358</v>
      </c>
      <c r="I603" s="124">
        <v>54</v>
      </c>
    </row>
    <row r="604" spans="1:9" x14ac:dyDescent="0.3">
      <c r="A604" s="127">
        <v>602</v>
      </c>
      <c r="B604" s="125" t="s">
        <v>19162</v>
      </c>
      <c r="C604" s="10" t="str">
        <f>VLOOKUP(B604,'Data Angt'!$A$5:$B$5809,2,FALSE)</f>
        <v>A5746</v>
      </c>
      <c r="D604" s="125" t="s">
        <v>19357</v>
      </c>
      <c r="E604" s="125" t="s">
        <v>22</v>
      </c>
      <c r="F604" s="125" t="str">
        <f t="shared" si="9"/>
        <v>001</v>
      </c>
      <c r="G604" s="126">
        <v>45897</v>
      </c>
      <c r="H604" s="125" t="s">
        <v>19356</v>
      </c>
      <c r="I604" s="124">
        <v>53</v>
      </c>
    </row>
    <row r="605" spans="1:9" x14ac:dyDescent="0.3">
      <c r="A605" s="127">
        <v>603</v>
      </c>
      <c r="B605" s="125" t="s">
        <v>19166</v>
      </c>
      <c r="C605" s="10" t="str">
        <f>VLOOKUP(B605,'Data Angt'!$A$5:$B$5809,2,FALSE)</f>
        <v>A5747</v>
      </c>
      <c r="D605" s="125" t="s">
        <v>19355</v>
      </c>
      <c r="E605" s="125" t="s">
        <v>11</v>
      </c>
      <c r="F605" s="125" t="str">
        <f t="shared" si="9"/>
        <v>003</v>
      </c>
      <c r="G605" s="126">
        <v>45898</v>
      </c>
      <c r="H605" s="125" t="s">
        <v>19354</v>
      </c>
      <c r="I605" s="124">
        <v>17</v>
      </c>
    </row>
    <row r="606" spans="1:9" x14ac:dyDescent="0.3">
      <c r="A606" s="127">
        <v>604</v>
      </c>
      <c r="B606" s="125" t="s">
        <v>19168</v>
      </c>
      <c r="C606" s="10" t="str">
        <f>VLOOKUP(B606,'Data Angt'!$A$5:$B$5809,2,FALSE)</f>
        <v>A5748</v>
      </c>
      <c r="D606" s="125" t="s">
        <v>19353</v>
      </c>
      <c r="E606" s="125" t="s">
        <v>11</v>
      </c>
      <c r="F606" s="125" t="str">
        <f t="shared" si="9"/>
        <v>001</v>
      </c>
      <c r="G606" s="126">
        <v>45898</v>
      </c>
      <c r="H606" s="125" t="s">
        <v>19352</v>
      </c>
      <c r="I606" s="124">
        <v>28</v>
      </c>
    </row>
    <row r="607" spans="1:9" x14ac:dyDescent="0.3">
      <c r="A607" s="127">
        <v>605</v>
      </c>
      <c r="B607" s="125" t="s">
        <v>19169</v>
      </c>
      <c r="C607" s="10" t="str">
        <f>VLOOKUP(B607,'Data Angt'!$A$5:$B$5809,2,FALSE)</f>
        <v>A5749</v>
      </c>
      <c r="D607" s="125" t="s">
        <v>19351</v>
      </c>
      <c r="E607" s="125" t="s">
        <v>11</v>
      </c>
      <c r="F607" s="125" t="str">
        <f t="shared" si="9"/>
        <v>002</v>
      </c>
      <c r="G607" s="126">
        <v>45898</v>
      </c>
      <c r="H607" s="125" t="s">
        <v>19350</v>
      </c>
      <c r="I607" s="124">
        <v>39</v>
      </c>
    </row>
    <row r="608" spans="1:9" x14ac:dyDescent="0.3">
      <c r="A608" s="127">
        <v>606</v>
      </c>
      <c r="B608" s="125" t="s">
        <v>19171</v>
      </c>
      <c r="C608" s="10" t="str">
        <f>VLOOKUP(B608,'Data Angt'!$A$5:$B$5809,2,FALSE)</f>
        <v>A5750</v>
      </c>
      <c r="D608" s="125" t="s">
        <v>19349</v>
      </c>
      <c r="E608" s="125" t="s">
        <v>22</v>
      </c>
      <c r="F608" s="125" t="str">
        <f t="shared" si="9"/>
        <v>001</v>
      </c>
      <c r="G608" s="126">
        <v>45899</v>
      </c>
      <c r="H608" s="125" t="s">
        <v>19348</v>
      </c>
      <c r="I608" s="124">
        <v>39</v>
      </c>
    </row>
    <row r="609" spans="1:9" x14ac:dyDescent="0.3">
      <c r="A609" s="127">
        <v>607</v>
      </c>
      <c r="B609" s="125" t="s">
        <v>19179</v>
      </c>
      <c r="C609" s="10" t="str">
        <f>VLOOKUP(B609,'Data Angt'!$A$5:$B$5809,2,FALSE)</f>
        <v>A5754</v>
      </c>
      <c r="D609" s="125" t="s">
        <v>19347</v>
      </c>
      <c r="E609" s="125" t="s">
        <v>22</v>
      </c>
      <c r="F609" s="125" t="str">
        <f t="shared" si="9"/>
        <v>003</v>
      </c>
      <c r="G609" s="126">
        <v>45899</v>
      </c>
      <c r="H609" s="125" t="s">
        <v>19346</v>
      </c>
      <c r="I609" s="124">
        <v>49</v>
      </c>
    </row>
    <row r="610" spans="1:9" x14ac:dyDescent="0.3">
      <c r="A610" s="127">
        <v>608</v>
      </c>
      <c r="B610" s="125" t="s">
        <v>19174</v>
      </c>
      <c r="C610" s="10" t="str">
        <f>VLOOKUP(B610,'Data Angt'!$A$5:$B$5809,2,FALSE)</f>
        <v>A5751</v>
      </c>
      <c r="D610" s="125" t="s">
        <v>19345</v>
      </c>
      <c r="E610" s="125" t="s">
        <v>22</v>
      </c>
      <c r="F610" s="125" t="str">
        <f t="shared" si="9"/>
        <v>003</v>
      </c>
      <c r="G610" s="126">
        <v>45899</v>
      </c>
      <c r="H610" s="125" t="s">
        <v>19344</v>
      </c>
      <c r="I610" s="124">
        <v>34</v>
      </c>
    </row>
    <row r="611" spans="1:9" x14ac:dyDescent="0.3">
      <c r="A611" s="127">
        <v>609</v>
      </c>
      <c r="B611" s="125" t="s">
        <v>19175</v>
      </c>
      <c r="C611" s="10" t="str">
        <f>VLOOKUP(B611,'Data Angt'!$A$5:$B$5809,2,FALSE)</f>
        <v>A5752</v>
      </c>
      <c r="D611" s="125" t="s">
        <v>19343</v>
      </c>
      <c r="E611" s="125" t="s">
        <v>22</v>
      </c>
      <c r="F611" s="125" t="str">
        <f t="shared" si="9"/>
        <v>006</v>
      </c>
      <c r="G611" s="126">
        <v>45899</v>
      </c>
      <c r="H611" s="125" t="s">
        <v>19342</v>
      </c>
      <c r="I611" s="124">
        <v>18</v>
      </c>
    </row>
    <row r="612" spans="1:9" x14ac:dyDescent="0.3">
      <c r="A612" s="127">
        <v>610</v>
      </c>
      <c r="B612" s="125" t="s">
        <v>19177</v>
      </c>
      <c r="C612" s="10" t="str">
        <f>VLOOKUP(B612,'Data Angt'!$A$5:$B$5809,2,FALSE)</f>
        <v>A5753</v>
      </c>
      <c r="D612" s="125" t="s">
        <v>19341</v>
      </c>
      <c r="E612" s="125" t="s">
        <v>22</v>
      </c>
      <c r="F612" s="125" t="str">
        <f t="shared" si="9"/>
        <v>001</v>
      </c>
      <c r="G612" s="126">
        <v>45899</v>
      </c>
      <c r="H612" s="125" t="s">
        <v>19340</v>
      </c>
      <c r="I612" s="124">
        <v>17</v>
      </c>
    </row>
    <row r="613" spans="1:9" x14ac:dyDescent="0.3">
      <c r="A613" s="127">
        <v>611</v>
      </c>
      <c r="B613" s="125" t="s">
        <v>19181</v>
      </c>
      <c r="C613" s="10" t="str">
        <f>VLOOKUP(B613,'Data Angt'!$A$5:$B$5809,2,FALSE)</f>
        <v>A5755</v>
      </c>
      <c r="D613" s="125" t="s">
        <v>19339</v>
      </c>
      <c r="E613" s="125" t="s">
        <v>22</v>
      </c>
      <c r="F613" s="125" t="str">
        <f t="shared" si="9"/>
        <v>004</v>
      </c>
      <c r="G613" s="126">
        <v>45899</v>
      </c>
      <c r="H613" s="125" t="s">
        <v>19338</v>
      </c>
      <c r="I613" s="124">
        <v>42</v>
      </c>
    </row>
    <row r="614" spans="1:9" x14ac:dyDescent="0.3">
      <c r="A614" s="127">
        <v>612</v>
      </c>
      <c r="B614" s="125" t="s">
        <v>19184</v>
      </c>
      <c r="C614" s="10" t="str">
        <f>VLOOKUP(B614,'Data Angt'!$A$5:$B$5809,2,FALSE)</f>
        <v>A5756</v>
      </c>
      <c r="D614" s="125" t="s">
        <v>19337</v>
      </c>
      <c r="E614" s="125" t="s">
        <v>22</v>
      </c>
      <c r="F614" s="125" t="str">
        <f t="shared" si="9"/>
        <v>001</v>
      </c>
      <c r="G614" s="126">
        <v>45901</v>
      </c>
      <c r="H614" s="125" t="s">
        <v>19336</v>
      </c>
      <c r="I614" s="124">
        <v>35</v>
      </c>
    </row>
    <row r="615" spans="1:9" x14ac:dyDescent="0.3">
      <c r="A615" s="127">
        <v>613</v>
      </c>
      <c r="B615" s="125" t="s">
        <v>19187</v>
      </c>
      <c r="C615" s="10" t="str">
        <f>VLOOKUP(B615,'Data Angt'!$A$5:$B$5809,2,FALSE)</f>
        <v>A5757</v>
      </c>
      <c r="D615" s="125" t="s">
        <v>19335</v>
      </c>
      <c r="E615" s="125" t="s">
        <v>11</v>
      </c>
      <c r="F615" s="125" t="str">
        <f t="shared" si="9"/>
        <v>001</v>
      </c>
      <c r="G615" s="126">
        <v>45902</v>
      </c>
      <c r="H615" s="125" t="s">
        <v>19334</v>
      </c>
      <c r="I615" s="124">
        <v>32</v>
      </c>
    </row>
    <row r="616" spans="1:9" x14ac:dyDescent="0.3">
      <c r="A616" s="127">
        <v>614</v>
      </c>
      <c r="B616" s="125" t="s">
        <v>19189</v>
      </c>
      <c r="C616" s="10" t="str">
        <f>VLOOKUP(B616,'Data Angt'!$A$5:$B$5809,2,FALSE)</f>
        <v>A5758</v>
      </c>
      <c r="D616" s="125" t="s">
        <v>19333</v>
      </c>
      <c r="E616" s="125" t="s">
        <v>11</v>
      </c>
      <c r="F616" s="125" t="str">
        <f t="shared" si="9"/>
        <v>004</v>
      </c>
      <c r="G616" s="126">
        <v>45902</v>
      </c>
      <c r="H616" s="125" t="s">
        <v>19332</v>
      </c>
      <c r="I616" s="124">
        <v>30</v>
      </c>
    </row>
    <row r="617" spans="1:9" x14ac:dyDescent="0.3">
      <c r="A617" s="127">
        <v>615</v>
      </c>
      <c r="B617" s="125" t="s">
        <v>19193</v>
      </c>
      <c r="C617" s="10" t="str">
        <f>VLOOKUP(B617,'Data Angt'!$A$5:$B$5809,2,FALSE)</f>
        <v>A5759</v>
      </c>
      <c r="D617" s="125" t="s">
        <v>19331</v>
      </c>
      <c r="E617" s="125" t="s">
        <v>22</v>
      </c>
      <c r="F617" s="125" t="str">
        <f t="shared" si="9"/>
        <v>002</v>
      </c>
      <c r="G617" s="126">
        <v>45903</v>
      </c>
      <c r="H617" s="125" t="s">
        <v>19330</v>
      </c>
      <c r="I617" s="124">
        <v>23</v>
      </c>
    </row>
    <row r="618" spans="1:9" x14ac:dyDescent="0.3">
      <c r="A618" s="127">
        <v>616</v>
      </c>
      <c r="B618" s="125" t="s">
        <v>19195</v>
      </c>
      <c r="C618" s="10" t="str">
        <f>VLOOKUP(B618,'Data Angt'!$A$5:$B$5809,2,FALSE)</f>
        <v>A5760</v>
      </c>
      <c r="D618" s="125" t="s">
        <v>19329</v>
      </c>
      <c r="E618" s="125" t="s">
        <v>22</v>
      </c>
      <c r="F618" s="125" t="str">
        <f t="shared" si="9"/>
        <v>002</v>
      </c>
      <c r="G618" s="126">
        <v>45904</v>
      </c>
      <c r="H618" s="125" t="s">
        <v>19328</v>
      </c>
      <c r="I618" s="124">
        <v>37</v>
      </c>
    </row>
    <row r="619" spans="1:9" x14ac:dyDescent="0.3">
      <c r="A619" s="127">
        <v>617</v>
      </c>
      <c r="B619" s="125" t="s">
        <v>19198</v>
      </c>
      <c r="C619" s="10" t="str">
        <f>VLOOKUP(B619,'Data Angt'!$A$5:$B$5809,2,FALSE)</f>
        <v>A5761</v>
      </c>
      <c r="D619" s="125" t="s">
        <v>19327</v>
      </c>
      <c r="E619" s="125" t="s">
        <v>22</v>
      </c>
      <c r="F619" s="125" t="str">
        <f t="shared" si="9"/>
        <v>003</v>
      </c>
      <c r="G619" s="126">
        <v>45904</v>
      </c>
      <c r="H619" s="125" t="s">
        <v>19326</v>
      </c>
      <c r="I619" s="124">
        <v>25</v>
      </c>
    </row>
    <row r="620" spans="1:9" x14ac:dyDescent="0.3">
      <c r="A620" s="127">
        <v>618</v>
      </c>
      <c r="B620" s="125" t="s">
        <v>19199</v>
      </c>
      <c r="C620" s="10" t="str">
        <f>VLOOKUP(B620,'Data Angt'!$A$5:$B$5809,2,FALSE)</f>
        <v>A5762</v>
      </c>
      <c r="D620" s="125" t="s">
        <v>19325</v>
      </c>
      <c r="E620" s="125" t="s">
        <v>11</v>
      </c>
      <c r="F620" s="125" t="str">
        <f t="shared" si="9"/>
        <v>003</v>
      </c>
      <c r="G620" s="126">
        <v>45908</v>
      </c>
      <c r="H620" s="125" t="s">
        <v>19324</v>
      </c>
      <c r="I620" s="124">
        <v>28</v>
      </c>
    </row>
    <row r="621" spans="1:9" x14ac:dyDescent="0.3">
      <c r="A621" s="127">
        <v>619</v>
      </c>
      <c r="B621" s="125" t="s">
        <v>19201</v>
      </c>
      <c r="C621" s="10" t="str">
        <f>VLOOKUP(B621,'Data Angt'!$A$5:$B$5809,2,FALSE)</f>
        <v>A5763</v>
      </c>
      <c r="D621" s="125" t="s">
        <v>19323</v>
      </c>
      <c r="E621" s="125" t="s">
        <v>22</v>
      </c>
      <c r="F621" s="125" t="str">
        <f t="shared" si="9"/>
        <v>001</v>
      </c>
      <c r="G621" s="126">
        <v>45909</v>
      </c>
      <c r="H621" s="125" t="s">
        <v>19322</v>
      </c>
      <c r="I621" s="124">
        <v>36</v>
      </c>
    </row>
    <row r="622" spans="1:9" x14ac:dyDescent="0.3">
      <c r="A622" s="127">
        <v>620</v>
      </c>
      <c r="B622" s="125" t="s">
        <v>19204</v>
      </c>
      <c r="C622" s="10" t="str">
        <f>VLOOKUP(B622,'Data Angt'!$A$5:$B$5809,2,FALSE)</f>
        <v>A5764</v>
      </c>
      <c r="D622" s="125" t="s">
        <v>19321</v>
      </c>
      <c r="E622" s="125" t="s">
        <v>11</v>
      </c>
      <c r="F622" s="125" t="str">
        <f t="shared" si="9"/>
        <v>001</v>
      </c>
      <c r="G622" s="126">
        <v>45909</v>
      </c>
      <c r="H622" s="125" t="s">
        <v>19320</v>
      </c>
      <c r="I622" s="124">
        <v>69</v>
      </c>
    </row>
    <row r="623" spans="1:9" x14ac:dyDescent="0.3">
      <c r="A623" s="127">
        <v>621</v>
      </c>
      <c r="B623" s="125" t="s">
        <v>19207</v>
      </c>
      <c r="C623" s="10" t="str">
        <f>VLOOKUP(B623,'Data Angt'!$A$5:$B$5809,2,FALSE)</f>
        <v>A5765</v>
      </c>
      <c r="D623" s="125" t="s">
        <v>19319</v>
      </c>
      <c r="E623" s="125" t="s">
        <v>22</v>
      </c>
      <c r="F623" s="125" t="str">
        <f t="shared" si="9"/>
        <v>002</v>
      </c>
      <c r="G623" s="126">
        <v>45909</v>
      </c>
      <c r="H623" s="125" t="s">
        <v>19274</v>
      </c>
      <c r="I623" s="124">
        <v>47</v>
      </c>
    </row>
    <row r="624" spans="1:9" x14ac:dyDescent="0.3">
      <c r="A624" s="127">
        <v>622</v>
      </c>
      <c r="B624" s="125" t="s">
        <v>19209</v>
      </c>
      <c r="C624" s="10" t="str">
        <f>VLOOKUP(B624,'Data Angt'!$A$5:$B$5809,2,FALSE)</f>
        <v>A5766</v>
      </c>
      <c r="D624" s="125" t="s">
        <v>19318</v>
      </c>
      <c r="E624" s="125" t="s">
        <v>22</v>
      </c>
      <c r="F624" s="125" t="str">
        <f t="shared" si="9"/>
        <v>002</v>
      </c>
      <c r="G624" s="126">
        <v>45909</v>
      </c>
      <c r="H624" s="125" t="s">
        <v>19274</v>
      </c>
      <c r="I624" s="124">
        <v>41</v>
      </c>
    </row>
    <row r="625" spans="1:9" x14ac:dyDescent="0.3">
      <c r="A625" s="127">
        <v>623</v>
      </c>
      <c r="B625" s="125" t="s">
        <v>19210</v>
      </c>
      <c r="C625" s="10" t="str">
        <f>VLOOKUP(B625,'Data Angt'!$A$5:$B$5809,2,FALSE)</f>
        <v>A5767</v>
      </c>
      <c r="D625" s="125" t="s">
        <v>19317</v>
      </c>
      <c r="E625" s="125" t="s">
        <v>22</v>
      </c>
      <c r="F625" s="125" t="str">
        <f t="shared" si="9"/>
        <v>002</v>
      </c>
      <c r="G625" s="126">
        <v>45909</v>
      </c>
      <c r="H625" s="125" t="s">
        <v>19274</v>
      </c>
      <c r="I625" s="124">
        <v>38</v>
      </c>
    </row>
    <row r="626" spans="1:9" x14ac:dyDescent="0.3">
      <c r="A626" s="127">
        <v>624</v>
      </c>
      <c r="B626" s="125" t="s">
        <v>19211</v>
      </c>
      <c r="C626" s="10" t="str">
        <f>VLOOKUP(B626,'Data Angt'!$A$5:$B$5809,2,FALSE)</f>
        <v>A5768</v>
      </c>
      <c r="D626" s="125" t="s">
        <v>19316</v>
      </c>
      <c r="E626" s="125" t="s">
        <v>22</v>
      </c>
      <c r="F626" s="125" t="str">
        <f t="shared" si="9"/>
        <v>002</v>
      </c>
      <c r="G626" s="126">
        <v>45909</v>
      </c>
      <c r="H626" s="125" t="s">
        <v>19315</v>
      </c>
      <c r="I626" s="124">
        <v>60</v>
      </c>
    </row>
    <row r="627" spans="1:9" x14ac:dyDescent="0.3">
      <c r="A627" s="127">
        <v>625</v>
      </c>
      <c r="B627" s="125" t="s">
        <v>19212</v>
      </c>
      <c r="C627" s="10" t="str">
        <f>VLOOKUP(B627,'Data Angt'!$A$5:$B$5809,2,FALSE)</f>
        <v>A5769</v>
      </c>
      <c r="D627" s="125" t="s">
        <v>19314</v>
      </c>
      <c r="E627" s="125" t="s">
        <v>22</v>
      </c>
      <c r="F627" s="125" t="str">
        <f t="shared" si="9"/>
        <v>003</v>
      </c>
      <c r="G627" s="126">
        <v>45909</v>
      </c>
      <c r="H627" s="125" t="s">
        <v>19313</v>
      </c>
      <c r="I627" s="124">
        <v>39</v>
      </c>
    </row>
    <row r="628" spans="1:9" x14ac:dyDescent="0.3">
      <c r="A628" s="127">
        <v>626</v>
      </c>
      <c r="B628" s="125" t="s">
        <v>19213</v>
      </c>
      <c r="C628" s="10" t="str">
        <f>VLOOKUP(B628,'Data Angt'!$A$5:$B$5809,2,FALSE)</f>
        <v>A5770</v>
      </c>
      <c r="D628" s="125" t="s">
        <v>19312</v>
      </c>
      <c r="E628" s="125" t="s">
        <v>11</v>
      </c>
      <c r="F628" s="125" t="str">
        <f t="shared" si="9"/>
        <v>001</v>
      </c>
      <c r="G628" s="126">
        <v>45910</v>
      </c>
      <c r="H628" s="125" t="s">
        <v>19311</v>
      </c>
      <c r="I628" s="124">
        <v>31</v>
      </c>
    </row>
    <row r="629" spans="1:9" x14ac:dyDescent="0.3">
      <c r="A629" s="127">
        <v>627</v>
      </c>
      <c r="B629" s="125" t="s">
        <v>19216</v>
      </c>
      <c r="C629" s="10" t="str">
        <f>VLOOKUP(B629,'Data Angt'!$A$5:$B$5809,2,FALSE)</f>
        <v>A5771</v>
      </c>
      <c r="D629" s="125" t="s">
        <v>19310</v>
      </c>
      <c r="E629" s="125" t="s">
        <v>22</v>
      </c>
      <c r="F629" s="125" t="str">
        <f t="shared" si="9"/>
        <v>002</v>
      </c>
      <c r="G629" s="126">
        <v>45910</v>
      </c>
      <c r="H629" s="125" t="s">
        <v>19309</v>
      </c>
      <c r="I629" s="124">
        <v>52</v>
      </c>
    </row>
    <row r="630" spans="1:9" x14ac:dyDescent="0.3">
      <c r="A630" s="127">
        <v>628</v>
      </c>
      <c r="B630" s="125" t="s">
        <v>19219</v>
      </c>
      <c r="C630" s="10" t="str">
        <f>VLOOKUP(B630,'Data Angt'!$A$5:$B$5809,2,FALSE)</f>
        <v>A5772</v>
      </c>
      <c r="D630" s="125" t="s">
        <v>19308</v>
      </c>
      <c r="E630" s="125" t="s">
        <v>11</v>
      </c>
      <c r="F630" s="125" t="str">
        <f t="shared" si="9"/>
        <v>002</v>
      </c>
      <c r="G630" s="126">
        <v>45910</v>
      </c>
      <c r="H630" s="125" t="s">
        <v>19274</v>
      </c>
      <c r="I630" s="124">
        <v>56</v>
      </c>
    </row>
    <row r="631" spans="1:9" x14ac:dyDescent="0.3">
      <c r="A631" s="127">
        <v>629</v>
      </c>
      <c r="B631" s="125" t="s">
        <v>19221</v>
      </c>
      <c r="C631" s="10" t="str">
        <f>VLOOKUP(B631,'Data Angt'!$A$5:$B$5809,2,FALSE)</f>
        <v>A5774</v>
      </c>
      <c r="D631" s="125" t="s">
        <v>19307</v>
      </c>
      <c r="E631" s="125" t="s">
        <v>11</v>
      </c>
      <c r="F631" s="125" t="str">
        <f t="shared" si="9"/>
        <v>005</v>
      </c>
      <c r="G631" s="126">
        <v>45911</v>
      </c>
      <c r="H631" s="125" t="s">
        <v>19306</v>
      </c>
      <c r="I631" s="124">
        <v>61</v>
      </c>
    </row>
    <row r="632" spans="1:9" x14ac:dyDescent="0.3">
      <c r="A632" s="127">
        <v>630</v>
      </c>
      <c r="B632" s="125" t="s">
        <v>19220</v>
      </c>
      <c r="C632" s="10" t="str">
        <f>VLOOKUP(B632,'Data Angt'!$A$5:$B$5809,2,FALSE)</f>
        <v>A5773</v>
      </c>
      <c r="D632" s="125" t="s">
        <v>19305</v>
      </c>
      <c r="E632" s="125" t="s">
        <v>11</v>
      </c>
      <c r="F632" s="125" t="str">
        <f t="shared" si="9"/>
        <v>001</v>
      </c>
      <c r="G632" s="126">
        <v>45910</v>
      </c>
      <c r="H632" s="125" t="s">
        <v>19304</v>
      </c>
      <c r="I632" s="124">
        <v>29</v>
      </c>
    </row>
    <row r="633" spans="1:9" x14ac:dyDescent="0.3">
      <c r="A633" s="127">
        <v>631</v>
      </c>
      <c r="B633" s="125" t="s">
        <v>19223</v>
      </c>
      <c r="C633" s="10" t="str">
        <f>VLOOKUP(B633,'Data Angt'!$A$5:$B$5809,2,FALSE)</f>
        <v>A5775</v>
      </c>
      <c r="D633" s="125" t="s">
        <v>19303</v>
      </c>
      <c r="E633" s="125" t="s">
        <v>22</v>
      </c>
      <c r="F633" s="125" t="str">
        <f t="shared" si="9"/>
        <v>003</v>
      </c>
      <c r="G633" s="126">
        <v>45911</v>
      </c>
      <c r="H633" s="125" t="s">
        <v>19302</v>
      </c>
      <c r="I633" s="124">
        <v>36</v>
      </c>
    </row>
    <row r="634" spans="1:9" x14ac:dyDescent="0.3">
      <c r="A634" s="127">
        <v>632</v>
      </c>
      <c r="B634" s="125" t="s">
        <v>19224</v>
      </c>
      <c r="C634" s="10" t="str">
        <f>VLOOKUP(B634,'Data Angt'!$A$5:$B$5809,2,FALSE)</f>
        <v>A5776</v>
      </c>
      <c r="D634" s="125" t="s">
        <v>19301</v>
      </c>
      <c r="E634" s="125" t="s">
        <v>11</v>
      </c>
      <c r="F634" s="125" t="str">
        <f t="shared" si="9"/>
        <v>005</v>
      </c>
      <c r="G634" s="126">
        <v>45912</v>
      </c>
      <c r="H634" s="125" t="s">
        <v>19300</v>
      </c>
      <c r="I634" s="124">
        <v>43</v>
      </c>
    </row>
    <row r="635" spans="1:9" x14ac:dyDescent="0.3">
      <c r="A635" s="127">
        <v>633</v>
      </c>
      <c r="B635" s="125" t="s">
        <v>19227</v>
      </c>
      <c r="C635" s="10" t="str">
        <f>VLOOKUP(B635,'Data Angt'!$A$5:$B$5809,2,FALSE)</f>
        <v>A5777</v>
      </c>
      <c r="D635" s="125" t="s">
        <v>19299</v>
      </c>
      <c r="E635" s="125" t="s">
        <v>22</v>
      </c>
      <c r="F635" s="125" t="str">
        <f t="shared" si="9"/>
        <v>005</v>
      </c>
      <c r="G635" s="126">
        <v>45912</v>
      </c>
      <c r="H635" s="125" t="s">
        <v>19298</v>
      </c>
      <c r="I635" s="124">
        <v>42</v>
      </c>
    </row>
    <row r="636" spans="1:9" x14ac:dyDescent="0.3">
      <c r="A636" s="127">
        <v>634</v>
      </c>
      <c r="B636" s="125" t="s">
        <v>19230</v>
      </c>
      <c r="C636" s="10" t="str">
        <f>VLOOKUP(B636,'Data Angt'!$A$5:$B$5809,2,FALSE)</f>
        <v>A5778</v>
      </c>
      <c r="D636" s="125" t="s">
        <v>19297</v>
      </c>
      <c r="E636" s="125" t="s">
        <v>11</v>
      </c>
      <c r="F636" s="125" t="str">
        <f t="shared" si="9"/>
        <v>004</v>
      </c>
      <c r="G636" s="126">
        <v>45913</v>
      </c>
      <c r="H636" s="125" t="s">
        <v>19296</v>
      </c>
      <c r="I636" s="124">
        <v>23</v>
      </c>
    </row>
    <row r="637" spans="1:9" x14ac:dyDescent="0.3">
      <c r="A637" s="127">
        <v>635</v>
      </c>
      <c r="B637" s="125" t="s">
        <v>19233</v>
      </c>
      <c r="C637" s="10" t="str">
        <f>VLOOKUP(B637,'Data Angt'!$A$5:$B$5809,2,FALSE)</f>
        <v>A5779</v>
      </c>
      <c r="D637" s="125" t="s">
        <v>19295</v>
      </c>
      <c r="E637" s="125" t="s">
        <v>11</v>
      </c>
      <c r="F637" s="125" t="str">
        <f t="shared" si="9"/>
        <v>002</v>
      </c>
      <c r="G637" s="126">
        <v>45913</v>
      </c>
      <c r="H637" s="125" t="s">
        <v>19294</v>
      </c>
      <c r="I637" s="124">
        <v>59</v>
      </c>
    </row>
    <row r="638" spans="1:9" x14ac:dyDescent="0.3">
      <c r="A638" s="127">
        <v>636</v>
      </c>
      <c r="B638" s="125" t="s">
        <v>19234</v>
      </c>
      <c r="C638" s="10" t="str">
        <f>VLOOKUP(B638,'Data Angt'!$A$5:$B$5809,2,FALSE)</f>
        <v>A5780</v>
      </c>
      <c r="D638" s="125" t="s">
        <v>19293</v>
      </c>
      <c r="E638" s="125" t="s">
        <v>22</v>
      </c>
      <c r="F638" s="125" t="str">
        <f t="shared" si="9"/>
        <v>006</v>
      </c>
      <c r="G638" s="126">
        <v>45913</v>
      </c>
      <c r="H638" s="125" t="s">
        <v>19292</v>
      </c>
      <c r="I638" s="124">
        <v>26</v>
      </c>
    </row>
    <row r="639" spans="1:9" x14ac:dyDescent="0.3">
      <c r="A639" s="127">
        <v>637</v>
      </c>
      <c r="B639" s="125" t="s">
        <v>19237</v>
      </c>
      <c r="C639" s="10" t="str">
        <f>VLOOKUP(B639,'Data Angt'!$A$5:$B$5809,2,FALSE)</f>
        <v>A5781</v>
      </c>
      <c r="D639" s="125" t="s">
        <v>19291</v>
      </c>
      <c r="E639" s="125" t="s">
        <v>11</v>
      </c>
      <c r="F639" s="125" t="str">
        <f t="shared" si="9"/>
        <v>003</v>
      </c>
      <c r="G639" s="126">
        <v>45913</v>
      </c>
      <c r="H639" s="125" t="s">
        <v>19290</v>
      </c>
      <c r="I639" s="124">
        <v>42</v>
      </c>
    </row>
    <row r="640" spans="1:9" x14ac:dyDescent="0.3">
      <c r="A640" s="127">
        <v>638</v>
      </c>
      <c r="B640" s="125" t="s">
        <v>19240</v>
      </c>
      <c r="C640" s="10" t="str">
        <f>VLOOKUP(B640,'Data Angt'!$A$5:$B$5809,2,FALSE)</f>
        <v>A5782</v>
      </c>
      <c r="D640" s="125" t="s">
        <v>19289</v>
      </c>
      <c r="E640" s="125" t="s">
        <v>11</v>
      </c>
      <c r="F640" s="125" t="str">
        <f t="shared" si="9"/>
        <v>006</v>
      </c>
      <c r="G640" s="126">
        <v>45917</v>
      </c>
      <c r="H640" s="125" t="s">
        <v>19288</v>
      </c>
      <c r="I640" s="124">
        <v>34</v>
      </c>
    </row>
    <row r="641" spans="1:10" x14ac:dyDescent="0.3">
      <c r="A641" s="127">
        <v>639</v>
      </c>
      <c r="B641" s="125" t="s">
        <v>19243</v>
      </c>
      <c r="C641" s="10" t="str">
        <f>VLOOKUP(B641,'Data Angt'!$A$5:$B$5809,2,FALSE)</f>
        <v>A5783</v>
      </c>
      <c r="D641" s="125" t="s">
        <v>19287</v>
      </c>
      <c r="E641" s="125" t="s">
        <v>22</v>
      </c>
      <c r="F641" s="125" t="str">
        <f t="shared" si="9"/>
        <v>001</v>
      </c>
      <c r="G641" s="126">
        <v>45918</v>
      </c>
      <c r="H641" s="125" t="s">
        <v>19286</v>
      </c>
      <c r="I641" s="124">
        <v>28</v>
      </c>
    </row>
    <row r="642" spans="1:10" x14ac:dyDescent="0.3">
      <c r="A642" s="127">
        <v>640</v>
      </c>
      <c r="B642" s="125" t="s">
        <v>19246</v>
      </c>
      <c r="C642" s="10" t="str">
        <f>VLOOKUP(B642,'Data Angt'!$A$5:$B$5809,2,FALSE)</f>
        <v>A5784</v>
      </c>
      <c r="D642" s="125" t="s">
        <v>19285</v>
      </c>
      <c r="E642" s="125" t="s">
        <v>11</v>
      </c>
      <c r="F642" s="125" t="str">
        <f t="shared" si="9"/>
        <v>001</v>
      </c>
      <c r="G642" s="126">
        <v>45918</v>
      </c>
      <c r="H642" s="125" t="s">
        <v>19284</v>
      </c>
      <c r="I642" s="124">
        <v>37</v>
      </c>
    </row>
    <row r="643" spans="1:10" x14ac:dyDescent="0.3">
      <c r="A643" s="127">
        <v>641</v>
      </c>
      <c r="B643" s="125" t="s">
        <v>19249</v>
      </c>
      <c r="C643" s="10" t="str">
        <f>VLOOKUP(B643,'Data Angt'!$A$5:$B$5809,2,FALSE)</f>
        <v>A5785</v>
      </c>
      <c r="D643" s="125" t="s">
        <v>19283</v>
      </c>
      <c r="E643" s="125" t="s">
        <v>22</v>
      </c>
      <c r="F643" s="125" t="str">
        <f t="shared" si="9"/>
        <v>003</v>
      </c>
      <c r="G643" s="126">
        <v>45918</v>
      </c>
      <c r="H643" s="125" t="s">
        <v>19282</v>
      </c>
      <c r="I643" s="124">
        <v>49</v>
      </c>
    </row>
    <row r="644" spans="1:10" x14ac:dyDescent="0.3">
      <c r="A644" s="127">
        <v>642</v>
      </c>
      <c r="B644" s="125" t="s">
        <v>19252</v>
      </c>
      <c r="C644" s="10" t="str">
        <f>VLOOKUP(B644,'Data Angt'!$A$5:$B$5809,2,FALSE)</f>
        <v>A5786</v>
      </c>
      <c r="D644" s="125" t="s">
        <v>19281</v>
      </c>
      <c r="E644" s="125" t="s">
        <v>11</v>
      </c>
      <c r="F644" s="125" t="str">
        <f t="shared" ref="F644:F649" si="10">MID(B644,7,3)</f>
        <v>001</v>
      </c>
      <c r="G644" s="126">
        <v>45919</v>
      </c>
      <c r="H644" s="125" t="s">
        <v>19280</v>
      </c>
      <c r="I644" s="124">
        <v>21</v>
      </c>
    </row>
    <row r="645" spans="1:10" x14ac:dyDescent="0.3">
      <c r="A645" s="127">
        <v>643</v>
      </c>
      <c r="B645" s="125" t="s">
        <v>19254</v>
      </c>
      <c r="C645" s="10" t="str">
        <f>VLOOKUP(B645,'Data Angt'!$A$5:$B$5809,2,FALSE)</f>
        <v>A5787</v>
      </c>
      <c r="D645" s="125" t="s">
        <v>19279</v>
      </c>
      <c r="E645" s="125" t="s">
        <v>22</v>
      </c>
      <c r="F645" s="125" t="str">
        <f t="shared" si="10"/>
        <v>003</v>
      </c>
      <c r="G645" s="126">
        <v>45919</v>
      </c>
      <c r="H645" s="125" t="s">
        <v>19278</v>
      </c>
      <c r="I645" s="124">
        <v>60</v>
      </c>
    </row>
    <row r="646" spans="1:10" x14ac:dyDescent="0.3">
      <c r="A646" s="127">
        <v>644</v>
      </c>
      <c r="B646" s="125" t="s">
        <v>19256</v>
      </c>
      <c r="C646" s="10" t="str">
        <f>VLOOKUP(B646,'Data Angt'!$A$5:$B$5809,2,FALSE)</f>
        <v>A5788</v>
      </c>
      <c r="D646" s="125" t="s">
        <v>19277</v>
      </c>
      <c r="E646" s="125" t="s">
        <v>11</v>
      </c>
      <c r="F646" s="125" t="str">
        <f t="shared" si="10"/>
        <v>001</v>
      </c>
      <c r="G646" s="126">
        <v>45920</v>
      </c>
      <c r="H646" s="125" t="s">
        <v>19276</v>
      </c>
      <c r="I646" s="124">
        <v>58</v>
      </c>
    </row>
    <row r="647" spans="1:10" x14ac:dyDescent="0.3">
      <c r="A647" s="127">
        <v>645</v>
      </c>
      <c r="B647" s="125" t="s">
        <v>19258</v>
      </c>
      <c r="C647" s="10" t="str">
        <f>VLOOKUP(B647,'Data Angt'!$A$5:$B$5809,2,FALSE)</f>
        <v>A5789</v>
      </c>
      <c r="D647" s="125" t="s">
        <v>19275</v>
      </c>
      <c r="E647" s="125" t="s">
        <v>22</v>
      </c>
      <c r="F647" s="125" t="str">
        <f t="shared" si="10"/>
        <v>001</v>
      </c>
      <c r="G647" s="126">
        <v>45920</v>
      </c>
      <c r="H647" s="125" t="s">
        <v>19274</v>
      </c>
      <c r="I647" s="124">
        <v>28</v>
      </c>
    </row>
    <row r="648" spans="1:10" x14ac:dyDescent="0.3">
      <c r="A648" s="127">
        <v>646</v>
      </c>
      <c r="B648" s="125" t="s">
        <v>19261</v>
      </c>
      <c r="C648" s="10" t="str">
        <f>VLOOKUP(B648,'Data Angt'!$A$5:$B$5809,2,FALSE)</f>
        <v>A5790</v>
      </c>
      <c r="D648" s="125" t="s">
        <v>19273</v>
      </c>
      <c r="E648" s="125" t="s">
        <v>22</v>
      </c>
      <c r="F648" s="125" t="str">
        <f t="shared" si="10"/>
        <v>001</v>
      </c>
      <c r="G648" s="126">
        <v>45920</v>
      </c>
      <c r="H648" s="125" t="s">
        <v>19272</v>
      </c>
      <c r="I648" s="124">
        <v>53</v>
      </c>
    </row>
    <row r="649" spans="1:10" x14ac:dyDescent="0.3">
      <c r="A649" s="127">
        <v>647</v>
      </c>
      <c r="B649" s="125" t="s">
        <v>19263</v>
      </c>
      <c r="C649" s="10" t="str">
        <f>VLOOKUP(B649,'Data Angt'!$A$5:$B$5809,2,FALSE)</f>
        <v>A5791</v>
      </c>
      <c r="D649" s="125" t="s">
        <v>19271</v>
      </c>
      <c r="E649" s="125" t="s">
        <v>22</v>
      </c>
      <c r="F649" s="125" t="str">
        <f t="shared" si="10"/>
        <v>001</v>
      </c>
      <c r="G649" s="126">
        <v>45920</v>
      </c>
      <c r="H649" s="125" t="s">
        <v>19270</v>
      </c>
      <c r="I649" s="124">
        <v>35</v>
      </c>
    </row>
    <row r="655" spans="1:10" x14ac:dyDescent="0.3">
      <c r="J655" s="124">
        <v>1976</v>
      </c>
    </row>
    <row r="656" spans="1:10" x14ac:dyDescent="0.3">
      <c r="J656" s="124">
        <f>2024-J655</f>
        <v>48</v>
      </c>
    </row>
  </sheetData>
  <mergeCells count="8">
    <mergeCell ref="G1:G2"/>
    <mergeCell ref="H1:H2"/>
    <mergeCell ref="A1:A2"/>
    <mergeCell ref="B1:B2"/>
    <mergeCell ref="C1:C2"/>
    <mergeCell ref="D1:D2"/>
    <mergeCell ref="E1:E2"/>
    <mergeCell ref="F1: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B4561-D08D-42CA-B0D1-10455BE3ADFA}">
  <dimension ref="A2:L908"/>
  <sheetViews>
    <sheetView workbookViewId="0">
      <selection activeCell="C16" sqref="C16"/>
    </sheetView>
  </sheetViews>
  <sheetFormatPr defaultColWidth="9.109375" defaultRowHeight="14.4" x14ac:dyDescent="0.3"/>
  <cols>
    <col min="1" max="1" width="4.109375" style="133" bestFit="1" customWidth="1"/>
    <col min="2" max="2" width="18" style="133" bestFit="1" customWidth="1"/>
    <col min="3" max="3" width="35" style="133" customWidth="1"/>
    <col min="4" max="4" width="19.33203125" style="133" bestFit="1" customWidth="1"/>
    <col min="5" max="5" width="2.88671875" style="133" bestFit="1" customWidth="1"/>
    <col min="6" max="6" width="12" style="133" bestFit="1" customWidth="1"/>
    <col min="7" max="7" width="23.6640625" style="133" bestFit="1" customWidth="1"/>
    <col min="8" max="8" width="14.109375" style="133" bestFit="1" customWidth="1"/>
    <col min="9" max="9" width="14" style="133" bestFit="1" customWidth="1"/>
    <col min="10" max="10" width="47.44140625" style="133" customWidth="1"/>
    <col min="11" max="11" width="5.33203125" style="133" bestFit="1" customWidth="1"/>
    <col min="12" max="12" width="7.44140625" style="133" bestFit="1" customWidth="1"/>
    <col min="13" max="13" width="9.109375" style="133"/>
    <col min="14" max="14" width="10.6640625" style="133" bestFit="1" customWidth="1"/>
    <col min="15" max="15" width="4" style="133" bestFit="1" customWidth="1"/>
    <col min="16" max="16" width="4.5546875" style="133" bestFit="1" customWidth="1"/>
    <col min="17" max="17" width="4" style="133" bestFit="1" customWidth="1"/>
    <col min="18" max="18" width="4.5546875" style="133" bestFit="1" customWidth="1"/>
    <col min="19" max="19" width="3" style="133" bestFit="1" customWidth="1"/>
    <col min="20" max="20" width="4.5546875" style="133" bestFit="1" customWidth="1"/>
    <col min="21" max="21" width="4" style="133" bestFit="1" customWidth="1"/>
    <col min="22" max="22" width="4.5546875" style="133" bestFit="1" customWidth="1"/>
    <col min="23" max="23" width="4" style="133" bestFit="1" customWidth="1"/>
    <col min="24" max="24" width="4.5546875" style="133" bestFit="1" customWidth="1"/>
    <col min="25" max="25" width="3" style="133" bestFit="1" customWidth="1"/>
    <col min="26" max="26" width="4.5546875" style="133" bestFit="1" customWidth="1"/>
    <col min="27" max="27" width="3" style="133" bestFit="1" customWidth="1"/>
    <col min="28" max="28" width="4.5546875" style="133" bestFit="1" customWidth="1"/>
    <col min="29" max="29" width="4" style="133" bestFit="1" customWidth="1"/>
    <col min="30" max="30" width="4.5546875" style="133" bestFit="1" customWidth="1"/>
    <col min="31" max="16384" width="9.109375" style="133"/>
  </cols>
  <sheetData>
    <row r="2" spans="1:12" ht="15" thickBot="1" x14ac:dyDescent="0.35"/>
    <row r="3" spans="1:12" x14ac:dyDescent="0.3">
      <c r="A3" s="369" t="s">
        <v>20485</v>
      </c>
      <c r="B3" s="367" t="s">
        <v>20484</v>
      </c>
      <c r="C3" s="367" t="s">
        <v>2</v>
      </c>
      <c r="D3" s="367" t="s">
        <v>20483</v>
      </c>
      <c r="E3" s="367" t="s">
        <v>4</v>
      </c>
      <c r="F3" s="367" t="s">
        <v>20492</v>
      </c>
      <c r="G3" s="367" t="s">
        <v>6</v>
      </c>
      <c r="H3" s="367" t="s">
        <v>20482</v>
      </c>
      <c r="I3" s="367" t="s">
        <v>20493</v>
      </c>
      <c r="J3" s="367" t="s">
        <v>20481</v>
      </c>
      <c r="K3" s="134"/>
    </row>
    <row r="4" spans="1:12" x14ac:dyDescent="0.3">
      <c r="A4" s="370"/>
      <c r="B4" s="368"/>
      <c r="C4" s="368"/>
      <c r="D4" s="368"/>
      <c r="E4" s="368"/>
      <c r="F4" s="368"/>
      <c r="G4" s="368"/>
      <c r="H4" s="368"/>
      <c r="I4" s="368"/>
      <c r="J4" s="368"/>
      <c r="K4" s="135" t="s">
        <v>9786</v>
      </c>
      <c r="L4" s="133" t="s">
        <v>19267</v>
      </c>
    </row>
    <row r="5" spans="1:12" x14ac:dyDescent="0.3">
      <c r="A5" s="136">
        <v>1</v>
      </c>
      <c r="B5" s="137" t="s">
        <v>20494</v>
      </c>
      <c r="C5" s="10" t="e">
        <f>VLOOKUP(B5,'Data Angt'!$A$5:$B$5809,2,FALSE)</f>
        <v>#N/A</v>
      </c>
      <c r="D5" s="137" t="s">
        <v>20495</v>
      </c>
      <c r="E5" s="137" t="s">
        <v>11</v>
      </c>
      <c r="F5" s="137">
        <v>89542250991</v>
      </c>
      <c r="G5" s="137" t="s">
        <v>46</v>
      </c>
      <c r="H5" s="138">
        <v>45300</v>
      </c>
      <c r="I5" s="138">
        <v>45446</v>
      </c>
      <c r="J5" s="137" t="s">
        <v>20496</v>
      </c>
      <c r="K5" s="137">
        <v>62</v>
      </c>
      <c r="L5" s="133" t="str">
        <f>MID(B5,7,3)</f>
        <v>001</v>
      </c>
    </row>
    <row r="6" spans="1:12" x14ac:dyDescent="0.3">
      <c r="A6" s="136">
        <v>2</v>
      </c>
      <c r="B6" s="137" t="s">
        <v>20497</v>
      </c>
      <c r="C6" s="10" t="e">
        <f>VLOOKUP(B6,'Data Angt'!$A$5:$B$5809,2,FALSE)</f>
        <v>#N/A</v>
      </c>
      <c r="D6" s="137" t="s">
        <v>20498</v>
      </c>
      <c r="E6" s="137" t="s">
        <v>11</v>
      </c>
      <c r="F6" s="137">
        <v>85231417845</v>
      </c>
      <c r="G6" s="137" t="s">
        <v>109</v>
      </c>
      <c r="H6" s="138">
        <v>45303</v>
      </c>
      <c r="I6" s="138">
        <v>45467</v>
      </c>
      <c r="J6" s="137" t="s">
        <v>20499</v>
      </c>
      <c r="K6" s="137">
        <v>37</v>
      </c>
      <c r="L6" s="133" t="str">
        <f t="shared" ref="L6:L69" si="0">MID(B6,7,3)</f>
        <v>001</v>
      </c>
    </row>
    <row r="7" spans="1:12" x14ac:dyDescent="0.3">
      <c r="A7" s="136">
        <v>3</v>
      </c>
      <c r="B7" s="137" t="s">
        <v>20500</v>
      </c>
      <c r="C7" s="10" t="e">
        <f>VLOOKUP(B7,'Data Angt'!$A$5:$B$5809,2,FALSE)</f>
        <v>#N/A</v>
      </c>
      <c r="D7" s="137" t="s">
        <v>20501</v>
      </c>
      <c r="E7" s="137" t="s">
        <v>11</v>
      </c>
      <c r="F7" s="137">
        <v>82335553387</v>
      </c>
      <c r="G7" s="137" t="s">
        <v>109</v>
      </c>
      <c r="H7" s="138">
        <v>45314</v>
      </c>
      <c r="I7" s="138">
        <v>45544</v>
      </c>
      <c r="J7" s="137" t="s">
        <v>19274</v>
      </c>
      <c r="K7" s="137">
        <v>50</v>
      </c>
      <c r="L7" s="133" t="str">
        <f t="shared" si="0"/>
        <v>002</v>
      </c>
    </row>
    <row r="8" spans="1:12" x14ac:dyDescent="0.3">
      <c r="A8" s="136">
        <v>4</v>
      </c>
      <c r="B8" s="137" t="s">
        <v>20502</v>
      </c>
      <c r="C8" s="10" t="e">
        <f>VLOOKUP(B8,'Data Angt'!$A$5:$B$5809,2,FALSE)</f>
        <v>#N/A</v>
      </c>
      <c r="D8" s="137" t="s">
        <v>20503</v>
      </c>
      <c r="E8" s="137" t="s">
        <v>22</v>
      </c>
      <c r="F8" s="137">
        <v>81337240043</v>
      </c>
      <c r="G8" s="137" t="s">
        <v>31</v>
      </c>
      <c r="H8" s="138">
        <v>45316</v>
      </c>
      <c r="I8" s="138">
        <v>45364</v>
      </c>
      <c r="J8" s="137" t="s">
        <v>20504</v>
      </c>
      <c r="K8" s="137">
        <v>24</v>
      </c>
      <c r="L8" s="133" t="str">
        <f t="shared" si="0"/>
        <v>002</v>
      </c>
    </row>
    <row r="9" spans="1:12" x14ac:dyDescent="0.3">
      <c r="A9" s="136">
        <v>5</v>
      </c>
      <c r="B9" s="137" t="s">
        <v>20505</v>
      </c>
      <c r="C9" s="10" t="e">
        <f>VLOOKUP(B9,'Data Angt'!$A$5:$B$5809,2,FALSE)</f>
        <v>#N/A</v>
      </c>
      <c r="D9" s="137" t="s">
        <v>20506</v>
      </c>
      <c r="E9" s="137" t="s">
        <v>11</v>
      </c>
      <c r="F9" s="137">
        <v>81235018532</v>
      </c>
      <c r="G9" s="137" t="s">
        <v>109</v>
      </c>
      <c r="H9" s="138">
        <v>45320</v>
      </c>
      <c r="I9" s="138">
        <v>45429</v>
      </c>
      <c r="J9" s="137" t="s">
        <v>20507</v>
      </c>
      <c r="K9" s="137">
        <v>25</v>
      </c>
      <c r="L9" s="133" t="str">
        <f t="shared" si="0"/>
        <v>003</v>
      </c>
    </row>
    <row r="10" spans="1:12" x14ac:dyDescent="0.3">
      <c r="A10" s="136">
        <v>6</v>
      </c>
      <c r="B10" s="137" t="s">
        <v>20508</v>
      </c>
      <c r="C10" s="10" t="e">
        <f>VLOOKUP(B10,'Data Angt'!$A$5:$B$5809,2,FALSE)</f>
        <v>#N/A</v>
      </c>
      <c r="D10" s="137" t="s">
        <v>20509</v>
      </c>
      <c r="E10" s="137" t="s">
        <v>11</v>
      </c>
      <c r="F10" s="137">
        <v>83875744768</v>
      </c>
      <c r="G10" s="137" t="s">
        <v>109</v>
      </c>
      <c r="H10" s="138">
        <v>45335</v>
      </c>
      <c r="I10" s="138">
        <v>45505</v>
      </c>
      <c r="J10" s="137" t="s">
        <v>20389</v>
      </c>
      <c r="K10" s="137">
        <v>20</v>
      </c>
      <c r="L10" s="133" t="str">
        <f t="shared" si="0"/>
        <v>004</v>
      </c>
    </row>
    <row r="11" spans="1:12" x14ac:dyDescent="0.3">
      <c r="A11" s="136">
        <v>7</v>
      </c>
      <c r="B11" s="137" t="s">
        <v>20510</v>
      </c>
      <c r="C11" s="10" t="e">
        <f>VLOOKUP(B11,'Data Angt'!$A$5:$B$5809,2,FALSE)</f>
        <v>#N/A</v>
      </c>
      <c r="D11" s="137" t="s">
        <v>20511</v>
      </c>
      <c r="E11" s="137" t="s">
        <v>11</v>
      </c>
      <c r="F11" s="137">
        <v>83845243782</v>
      </c>
      <c r="G11" s="137" t="s">
        <v>46</v>
      </c>
      <c r="H11" s="138">
        <v>45337</v>
      </c>
      <c r="I11" s="138">
        <v>45629</v>
      </c>
      <c r="J11" s="137" t="s">
        <v>20264</v>
      </c>
      <c r="K11" s="137">
        <v>23</v>
      </c>
      <c r="L11" s="133" t="str">
        <f t="shared" si="0"/>
        <v>001</v>
      </c>
    </row>
    <row r="12" spans="1:12" x14ac:dyDescent="0.3">
      <c r="A12" s="136">
        <v>8</v>
      </c>
      <c r="B12" s="137" t="s">
        <v>20512</v>
      </c>
      <c r="C12" s="10" t="e">
        <f>VLOOKUP(B12,'Data Angt'!$A$5:$B$5809,2,FALSE)</f>
        <v>#N/A</v>
      </c>
      <c r="D12" s="137" t="s">
        <v>20513</v>
      </c>
      <c r="E12" s="137" t="s">
        <v>22</v>
      </c>
      <c r="F12" s="137">
        <v>85685565</v>
      </c>
      <c r="G12" s="137" t="s">
        <v>133</v>
      </c>
      <c r="H12" s="138">
        <v>45338</v>
      </c>
      <c r="I12" s="138">
        <v>45506</v>
      </c>
      <c r="J12" s="137" t="s">
        <v>20514</v>
      </c>
      <c r="K12" s="137">
        <v>38</v>
      </c>
      <c r="L12" s="133" t="str">
        <f t="shared" si="0"/>
        <v>004</v>
      </c>
    </row>
    <row r="13" spans="1:12" x14ac:dyDescent="0.3">
      <c r="A13" s="136">
        <v>9</v>
      </c>
      <c r="B13" s="137" t="s">
        <v>20515</v>
      </c>
      <c r="C13" s="10" t="e">
        <f>VLOOKUP(B13,'Data Angt'!$A$5:$B$5809,2,FALSE)</f>
        <v>#N/A</v>
      </c>
      <c r="D13" s="137" t="s">
        <v>20516</v>
      </c>
      <c r="E13" s="137" t="s">
        <v>22</v>
      </c>
      <c r="F13" s="137">
        <v>85562222</v>
      </c>
      <c r="G13" s="137" t="s">
        <v>1439</v>
      </c>
      <c r="H13" s="138">
        <v>45349</v>
      </c>
      <c r="I13" s="138">
        <v>45586</v>
      </c>
      <c r="J13" s="137" t="s">
        <v>20517</v>
      </c>
      <c r="K13" s="137">
        <v>74</v>
      </c>
      <c r="L13" s="133" t="str">
        <f t="shared" si="0"/>
        <v>004</v>
      </c>
    </row>
    <row r="14" spans="1:12" x14ac:dyDescent="0.3">
      <c r="A14" s="136">
        <v>10</v>
      </c>
      <c r="B14" s="137" t="s">
        <v>20518</v>
      </c>
      <c r="C14" s="10" t="e">
        <f>VLOOKUP(B14,'Data Angt'!$A$5:$B$5809,2,FALSE)</f>
        <v>#N/A</v>
      </c>
      <c r="D14" s="137" t="s">
        <v>20519</v>
      </c>
      <c r="E14" s="137" t="s">
        <v>22</v>
      </c>
      <c r="F14" s="137">
        <v>82132243174</v>
      </c>
      <c r="G14" s="137" t="s">
        <v>31</v>
      </c>
      <c r="H14" s="138">
        <v>45351</v>
      </c>
      <c r="I14" s="138">
        <v>45565</v>
      </c>
      <c r="J14" s="137" t="s">
        <v>20520</v>
      </c>
      <c r="K14" s="137">
        <v>31</v>
      </c>
      <c r="L14" s="133" t="str">
        <f t="shared" si="0"/>
        <v>001</v>
      </c>
    </row>
    <row r="15" spans="1:12" x14ac:dyDescent="0.3">
      <c r="A15" s="136">
        <v>11</v>
      </c>
      <c r="B15" s="137" t="s">
        <v>20521</v>
      </c>
      <c r="C15" s="10" t="e">
        <f>VLOOKUP(B15,'Data Angt'!$A$5:$B$5809,2,FALSE)</f>
        <v>#N/A</v>
      </c>
      <c r="D15" s="137" t="s">
        <v>20522</v>
      </c>
      <c r="E15" s="137" t="s">
        <v>22</v>
      </c>
      <c r="F15" s="137">
        <v>81237181272</v>
      </c>
      <c r="G15" s="137" t="s">
        <v>46</v>
      </c>
      <c r="H15" s="138">
        <v>45359</v>
      </c>
      <c r="I15" s="138">
        <v>45630</v>
      </c>
      <c r="J15" s="137" t="s">
        <v>20523</v>
      </c>
      <c r="K15" s="137">
        <v>52</v>
      </c>
      <c r="L15" s="133" t="str">
        <f t="shared" si="0"/>
        <v>004</v>
      </c>
    </row>
    <row r="16" spans="1:12" x14ac:dyDescent="0.3">
      <c r="A16" s="136">
        <v>12</v>
      </c>
      <c r="B16" s="137" t="s">
        <v>20524</v>
      </c>
      <c r="C16" s="10" t="e">
        <f>VLOOKUP(B16,'Data Angt'!$A$5:$B$5809,2,FALSE)</f>
        <v>#N/A</v>
      </c>
      <c r="D16" s="137" t="s">
        <v>20503</v>
      </c>
      <c r="E16" s="137" t="s">
        <v>22</v>
      </c>
      <c r="F16" s="137">
        <v>81337240043</v>
      </c>
      <c r="G16" s="137" t="s">
        <v>31</v>
      </c>
      <c r="H16" s="138">
        <v>45316</v>
      </c>
      <c r="I16" s="138">
        <v>45523</v>
      </c>
      <c r="J16" s="137" t="s">
        <v>20504</v>
      </c>
      <c r="K16" s="137">
        <v>24</v>
      </c>
      <c r="L16" s="133" t="str">
        <f t="shared" si="0"/>
        <v>001</v>
      </c>
    </row>
    <row r="17" spans="1:12" x14ac:dyDescent="0.3">
      <c r="A17" s="136">
        <v>13</v>
      </c>
      <c r="B17" s="137" t="s">
        <v>20525</v>
      </c>
      <c r="C17" s="10" t="e">
        <f>VLOOKUP(B17,'Data Angt'!$A$5:$B$5809,2,FALSE)</f>
        <v>#N/A</v>
      </c>
      <c r="D17" s="137" t="s">
        <v>20526</v>
      </c>
      <c r="E17" s="137" t="s">
        <v>22</v>
      </c>
      <c r="F17" s="137">
        <v>85947302888</v>
      </c>
      <c r="G17" s="137" t="s">
        <v>109</v>
      </c>
      <c r="H17" s="138">
        <v>45377</v>
      </c>
      <c r="I17" s="138">
        <v>45489</v>
      </c>
      <c r="J17" s="137" t="s">
        <v>20527</v>
      </c>
      <c r="K17" s="137">
        <v>48</v>
      </c>
      <c r="L17" s="133" t="str">
        <f t="shared" si="0"/>
        <v>004</v>
      </c>
    </row>
    <row r="18" spans="1:12" x14ac:dyDescent="0.3">
      <c r="A18" s="136">
        <v>14</v>
      </c>
      <c r="B18" s="137" t="s">
        <v>20528</v>
      </c>
      <c r="C18" s="10" t="e">
        <f>VLOOKUP(B18,'Data Angt'!$A$5:$B$5809,2,FALSE)</f>
        <v>#N/A</v>
      </c>
      <c r="D18" s="137" t="s">
        <v>20529</v>
      </c>
      <c r="E18" s="137" t="s">
        <v>11</v>
      </c>
      <c r="F18" s="137">
        <v>83846941109</v>
      </c>
      <c r="G18" s="137" t="s">
        <v>133</v>
      </c>
      <c r="H18" s="138">
        <v>45434</v>
      </c>
      <c r="I18" s="138">
        <v>45625</v>
      </c>
      <c r="J18" s="137" t="s">
        <v>19274</v>
      </c>
      <c r="K18" s="137">
        <v>53</v>
      </c>
      <c r="L18" s="133" t="str">
        <f t="shared" si="0"/>
        <v>002</v>
      </c>
    </row>
    <row r="19" spans="1:12" x14ac:dyDescent="0.3">
      <c r="A19" s="136">
        <v>15</v>
      </c>
      <c r="B19" s="137" t="s">
        <v>20530</v>
      </c>
      <c r="C19" s="10" t="e">
        <f>VLOOKUP(B19,'Data Angt'!$A$5:$B$5809,2,FALSE)</f>
        <v>#N/A</v>
      </c>
      <c r="D19" s="137" t="s">
        <v>20531</v>
      </c>
      <c r="E19" s="137" t="s">
        <v>22</v>
      </c>
      <c r="F19" s="137">
        <v>83194290523</v>
      </c>
      <c r="G19" s="137" t="s">
        <v>109</v>
      </c>
      <c r="H19" s="138">
        <v>45446</v>
      </c>
      <c r="I19" s="138">
        <v>45560</v>
      </c>
      <c r="J19" s="137" t="s">
        <v>20532</v>
      </c>
      <c r="K19" s="137">
        <v>21</v>
      </c>
      <c r="L19" s="133" t="str">
        <f t="shared" si="0"/>
        <v>001</v>
      </c>
    </row>
    <row r="20" spans="1:12" x14ac:dyDescent="0.3">
      <c r="A20" s="136">
        <v>16</v>
      </c>
      <c r="B20" s="137" t="s">
        <v>20533</v>
      </c>
      <c r="C20" s="10" t="e">
        <f>VLOOKUP(B20,'Data Angt'!$A$5:$B$5809,2,FALSE)</f>
        <v>#N/A</v>
      </c>
      <c r="D20" s="137" t="s">
        <v>20534</v>
      </c>
      <c r="E20" s="137" t="s">
        <v>22</v>
      </c>
      <c r="F20" s="137">
        <v>82245025950</v>
      </c>
      <c r="G20" s="137" t="s">
        <v>46</v>
      </c>
      <c r="H20" s="138">
        <v>45469</v>
      </c>
      <c r="I20" s="138">
        <v>45572</v>
      </c>
      <c r="J20" s="137" t="s">
        <v>19704</v>
      </c>
      <c r="K20" s="137">
        <v>42</v>
      </c>
      <c r="L20" s="133" t="str">
        <f t="shared" si="0"/>
        <v>004</v>
      </c>
    </row>
    <row r="21" spans="1:12" x14ac:dyDescent="0.3">
      <c r="A21" s="136">
        <v>17</v>
      </c>
      <c r="B21" s="137" t="s">
        <v>20535</v>
      </c>
      <c r="C21" s="10" t="e">
        <f>VLOOKUP(B21,'Data Angt'!$A$5:$B$5809,2,FALSE)</f>
        <v>#N/A</v>
      </c>
      <c r="D21" s="137" t="s">
        <v>20536</v>
      </c>
      <c r="E21" s="137" t="s">
        <v>11</v>
      </c>
      <c r="F21" s="137">
        <v>81390395225</v>
      </c>
      <c r="G21" s="137" t="s">
        <v>109</v>
      </c>
      <c r="H21" s="138">
        <v>45455</v>
      </c>
      <c r="I21" s="138">
        <v>45475</v>
      </c>
      <c r="J21" s="137" t="s">
        <v>20537</v>
      </c>
      <c r="K21" s="137">
        <v>28</v>
      </c>
      <c r="L21" s="133" t="str">
        <f t="shared" si="0"/>
        <v>001</v>
      </c>
    </row>
    <row r="22" spans="1:12" x14ac:dyDescent="0.3">
      <c r="A22" s="136">
        <v>18</v>
      </c>
      <c r="B22" s="137" t="s">
        <v>20538</v>
      </c>
      <c r="C22" s="10" t="e">
        <f>VLOOKUP(B22,'Data Angt'!$A$5:$B$5809,2,FALSE)</f>
        <v>#N/A</v>
      </c>
      <c r="D22" s="137" t="s">
        <v>20539</v>
      </c>
      <c r="E22" s="137" t="s">
        <v>22</v>
      </c>
      <c r="F22" s="137">
        <v>89632541958</v>
      </c>
      <c r="G22" s="137" t="s">
        <v>155</v>
      </c>
      <c r="H22" s="138">
        <v>45462</v>
      </c>
      <c r="I22" s="138">
        <v>45657</v>
      </c>
      <c r="J22" s="137" t="s">
        <v>20338</v>
      </c>
      <c r="K22" s="137">
        <v>57</v>
      </c>
      <c r="L22" s="133" t="str">
        <f t="shared" si="0"/>
        <v>001</v>
      </c>
    </row>
    <row r="23" spans="1:12" x14ac:dyDescent="0.3">
      <c r="A23" s="136">
        <v>19</v>
      </c>
      <c r="B23" s="137" t="s">
        <v>20540</v>
      </c>
      <c r="C23" s="10" t="e">
        <f>VLOOKUP(B23,'Data Angt'!$A$5:$B$5809,2,FALSE)</f>
        <v>#N/A</v>
      </c>
      <c r="D23" s="137" t="s">
        <v>20541</v>
      </c>
      <c r="E23" s="137" t="s">
        <v>22</v>
      </c>
      <c r="F23" s="137">
        <v>81283188146</v>
      </c>
      <c r="G23" s="137" t="s">
        <v>155</v>
      </c>
      <c r="H23" s="138">
        <v>45467</v>
      </c>
      <c r="I23" s="138">
        <v>45653</v>
      </c>
      <c r="J23" s="137" t="s">
        <v>20542</v>
      </c>
      <c r="K23" s="137">
        <v>53</v>
      </c>
      <c r="L23" s="133" t="str">
        <f t="shared" si="0"/>
        <v>001</v>
      </c>
    </row>
    <row r="24" spans="1:12" x14ac:dyDescent="0.3">
      <c r="A24" s="136">
        <v>20</v>
      </c>
      <c r="B24" s="137" t="s">
        <v>20543</v>
      </c>
      <c r="C24" s="10" t="e">
        <f>VLOOKUP(B24,'Data Angt'!$A$5:$B$5809,2,FALSE)</f>
        <v>#N/A</v>
      </c>
      <c r="D24" s="137" t="s">
        <v>20544</v>
      </c>
      <c r="E24" s="137" t="s">
        <v>11</v>
      </c>
      <c r="F24" s="137">
        <v>895327365610</v>
      </c>
      <c r="G24" s="137" t="s">
        <v>109</v>
      </c>
      <c r="H24" s="138">
        <v>45488</v>
      </c>
      <c r="I24" s="138">
        <v>45642</v>
      </c>
      <c r="J24" s="137" t="s">
        <v>20545</v>
      </c>
      <c r="K24" s="137">
        <v>21</v>
      </c>
      <c r="L24" s="133" t="str">
        <f t="shared" si="0"/>
        <v>001</v>
      </c>
    </row>
    <row r="25" spans="1:12" x14ac:dyDescent="0.3">
      <c r="A25" s="136">
        <v>21</v>
      </c>
      <c r="B25" s="137" t="s">
        <v>20546</v>
      </c>
      <c r="C25" s="10" t="e">
        <f>VLOOKUP(B25,'Data Angt'!$A$5:$B$5809,2,FALSE)</f>
        <v>#N/A</v>
      </c>
      <c r="D25" s="137" t="s">
        <v>20547</v>
      </c>
      <c r="E25" s="137" t="s">
        <v>22</v>
      </c>
      <c r="F25" s="137">
        <v>85850805561</v>
      </c>
      <c r="G25" s="137" t="s">
        <v>370</v>
      </c>
      <c r="H25" s="138">
        <v>45492</v>
      </c>
      <c r="I25" s="138">
        <v>45575</v>
      </c>
      <c r="J25" s="137" t="s">
        <v>20548</v>
      </c>
      <c r="K25" s="137">
        <v>53</v>
      </c>
      <c r="L25" s="133" t="str">
        <f t="shared" si="0"/>
        <v>005</v>
      </c>
    </row>
    <row r="26" spans="1:12" x14ac:dyDescent="0.3">
      <c r="A26" s="136">
        <v>22</v>
      </c>
      <c r="B26" s="137" t="s">
        <v>20549</v>
      </c>
      <c r="C26" s="10" t="e">
        <f>VLOOKUP(B26,'Data Angt'!$A$5:$B$5809,2,FALSE)</f>
        <v>#N/A</v>
      </c>
      <c r="D26" s="137" t="s">
        <v>20550</v>
      </c>
      <c r="E26" s="137" t="s">
        <v>22</v>
      </c>
      <c r="F26" s="137">
        <v>89697971406</v>
      </c>
      <c r="G26" s="137" t="s">
        <v>109</v>
      </c>
      <c r="H26" s="138">
        <v>45493</v>
      </c>
      <c r="I26" s="138">
        <v>45579</v>
      </c>
      <c r="J26" s="137" t="s">
        <v>20551</v>
      </c>
      <c r="K26" s="137">
        <v>26</v>
      </c>
      <c r="L26" s="133" t="str">
        <f t="shared" si="0"/>
        <v>001</v>
      </c>
    </row>
    <row r="27" spans="1:12" x14ac:dyDescent="0.3">
      <c r="A27" s="136">
        <v>23</v>
      </c>
      <c r="B27" s="137" t="s">
        <v>20552</v>
      </c>
      <c r="C27" s="10" t="e">
        <f>VLOOKUP(B27,'Data Angt'!$A$5:$B$5809,2,FALSE)</f>
        <v>#N/A</v>
      </c>
      <c r="D27" s="137" t="s">
        <v>20553</v>
      </c>
      <c r="E27" s="137" t="s">
        <v>11</v>
      </c>
      <c r="F27" s="137">
        <v>81270664606</v>
      </c>
      <c r="G27" s="137" t="s">
        <v>370</v>
      </c>
      <c r="H27" s="138">
        <v>45497</v>
      </c>
      <c r="I27" s="138">
        <v>45614</v>
      </c>
      <c r="J27" s="137" t="s">
        <v>20554</v>
      </c>
      <c r="K27" s="137">
        <v>52</v>
      </c>
      <c r="L27" s="133" t="str">
        <f t="shared" si="0"/>
        <v>001</v>
      </c>
    </row>
    <row r="28" spans="1:12" x14ac:dyDescent="0.3">
      <c r="A28" s="136">
        <v>24</v>
      </c>
      <c r="B28" s="137" t="s">
        <v>20555</v>
      </c>
      <c r="C28" s="10" t="e">
        <f>VLOOKUP(B28,'Data Angt'!$A$5:$B$5809,2,FALSE)</f>
        <v>#N/A</v>
      </c>
      <c r="D28" s="137" t="s">
        <v>20556</v>
      </c>
      <c r="E28" s="137" t="s">
        <v>22</v>
      </c>
      <c r="F28" s="137">
        <v>85655052391</v>
      </c>
      <c r="G28" s="137" t="s">
        <v>370</v>
      </c>
      <c r="H28" s="138">
        <v>45525</v>
      </c>
      <c r="I28" s="138">
        <v>45595</v>
      </c>
      <c r="J28" s="137" t="s">
        <v>20557</v>
      </c>
      <c r="K28" s="137">
        <v>52</v>
      </c>
      <c r="L28" s="133" t="str">
        <f t="shared" si="0"/>
        <v>005</v>
      </c>
    </row>
    <row r="29" spans="1:12" x14ac:dyDescent="0.3">
      <c r="A29" s="136">
        <v>25</v>
      </c>
      <c r="B29" s="137" t="s">
        <v>20558</v>
      </c>
      <c r="C29" s="10" t="e">
        <f>VLOOKUP(B29,'Data Angt'!$A$5:$B$5809,2,FALSE)</f>
        <v>#N/A</v>
      </c>
      <c r="D29" s="137" t="s">
        <v>20559</v>
      </c>
      <c r="E29" s="137" t="s">
        <v>22</v>
      </c>
      <c r="F29" s="137">
        <v>85707358626</v>
      </c>
      <c r="G29" s="137" t="s">
        <v>370</v>
      </c>
      <c r="H29" s="138">
        <v>45531</v>
      </c>
      <c r="I29" s="138">
        <v>45603</v>
      </c>
      <c r="J29" s="137" t="s">
        <v>20560</v>
      </c>
      <c r="K29" s="137">
        <v>57</v>
      </c>
      <c r="L29" s="133" t="str">
        <f t="shared" si="0"/>
        <v>005</v>
      </c>
    </row>
    <row r="30" spans="1:12" x14ac:dyDescent="0.3">
      <c r="A30" s="136">
        <v>26</v>
      </c>
      <c r="B30" s="137" t="s">
        <v>20561</v>
      </c>
      <c r="C30" s="10" t="e">
        <f>VLOOKUP(B30,'Data Angt'!$A$5:$B$5809,2,FALSE)</f>
        <v>#N/A</v>
      </c>
      <c r="D30" s="137" t="s">
        <v>20562</v>
      </c>
      <c r="E30" s="137" t="s">
        <v>11</v>
      </c>
      <c r="F30" s="137">
        <v>81466739976</v>
      </c>
      <c r="G30" s="137" t="s">
        <v>133</v>
      </c>
      <c r="H30" s="138">
        <v>45534</v>
      </c>
      <c r="I30" s="138">
        <v>45600</v>
      </c>
      <c r="J30" s="137" t="s">
        <v>20563</v>
      </c>
      <c r="K30" s="137">
        <v>46</v>
      </c>
      <c r="L30" s="133" t="str">
        <f t="shared" si="0"/>
        <v>006</v>
      </c>
    </row>
    <row r="31" spans="1:12" x14ac:dyDescent="0.3">
      <c r="A31" s="136">
        <v>27</v>
      </c>
      <c r="B31" s="137" t="s">
        <v>20564</v>
      </c>
      <c r="C31" s="10" t="e">
        <f>VLOOKUP(B31,'Data Angt'!$A$5:$B$5809,2,FALSE)</f>
        <v>#N/A</v>
      </c>
      <c r="D31" s="137" t="s">
        <v>20565</v>
      </c>
      <c r="E31" s="137" t="s">
        <v>22</v>
      </c>
      <c r="F31" s="137">
        <v>81336534666</v>
      </c>
      <c r="G31" s="137" t="s">
        <v>16</v>
      </c>
      <c r="H31" s="138">
        <v>45544</v>
      </c>
      <c r="I31" s="138">
        <v>45609</v>
      </c>
      <c r="J31" s="137" t="s">
        <v>20566</v>
      </c>
      <c r="K31" s="137">
        <v>45</v>
      </c>
      <c r="L31" s="133" t="str">
        <f t="shared" si="0"/>
        <v>004</v>
      </c>
    </row>
    <row r="32" spans="1:12" x14ac:dyDescent="0.3">
      <c r="A32" s="136">
        <v>28</v>
      </c>
      <c r="B32" s="137" t="s">
        <v>20567</v>
      </c>
      <c r="C32" s="10" t="e">
        <f>VLOOKUP(B32,'Data Angt'!$A$5:$B$5809,2,FALSE)</f>
        <v>#N/A</v>
      </c>
      <c r="D32" s="137" t="s">
        <v>20568</v>
      </c>
      <c r="E32" s="137" t="s">
        <v>22</v>
      </c>
      <c r="F32" s="137">
        <v>89665908051</v>
      </c>
      <c r="G32" s="137" t="s">
        <v>370</v>
      </c>
      <c r="H32" s="138">
        <v>45588</v>
      </c>
      <c r="I32" s="138">
        <v>45621</v>
      </c>
      <c r="J32" s="137" t="s">
        <v>19597</v>
      </c>
      <c r="K32" s="137">
        <v>46</v>
      </c>
      <c r="L32" s="133" t="str">
        <f t="shared" si="0"/>
        <v>004</v>
      </c>
    </row>
    <row r="33" spans="1:12" x14ac:dyDescent="0.3">
      <c r="A33" s="136">
        <v>29</v>
      </c>
      <c r="B33" s="137" t="s">
        <v>20569</v>
      </c>
      <c r="C33" s="10" t="e">
        <f>VLOOKUP(B33,'Data Angt'!$A$5:$B$5809,2,FALSE)</f>
        <v>#N/A</v>
      </c>
      <c r="D33" s="137" t="s">
        <v>20570</v>
      </c>
      <c r="E33" s="137" t="s">
        <v>22</v>
      </c>
      <c r="F33" s="137">
        <v>85141013365</v>
      </c>
      <c r="G33" s="137" t="s">
        <v>1439</v>
      </c>
      <c r="H33" s="138">
        <v>45621</v>
      </c>
      <c r="I33" s="138">
        <v>45636</v>
      </c>
      <c r="J33" s="137" t="s">
        <v>20571</v>
      </c>
      <c r="K33" s="137">
        <v>26</v>
      </c>
      <c r="L33" s="133" t="str">
        <f t="shared" si="0"/>
        <v>004</v>
      </c>
    </row>
    <row r="34" spans="1:12" x14ac:dyDescent="0.3">
      <c r="A34" s="136">
        <v>30</v>
      </c>
      <c r="B34" s="137" t="s">
        <v>20572</v>
      </c>
      <c r="C34" s="10" t="e">
        <f>VLOOKUP(B34,'Data Angt'!$A$5:$B$5809,2,FALSE)</f>
        <v>#N/A</v>
      </c>
      <c r="D34" s="137" t="s">
        <v>20573</v>
      </c>
      <c r="E34" s="137" t="s">
        <v>22</v>
      </c>
      <c r="F34" s="137">
        <v>83833965490</v>
      </c>
      <c r="G34" s="137" t="s">
        <v>109</v>
      </c>
      <c r="H34" s="138">
        <v>45377</v>
      </c>
      <c r="I34" s="138">
        <v>45696</v>
      </c>
      <c r="J34" s="137" t="s">
        <v>20551</v>
      </c>
      <c r="K34" s="137">
        <v>31</v>
      </c>
      <c r="L34" s="133" t="str">
        <f t="shared" si="0"/>
        <v>001</v>
      </c>
    </row>
    <row r="35" spans="1:12" x14ac:dyDescent="0.3">
      <c r="A35" s="136">
        <v>31</v>
      </c>
      <c r="B35" s="137" t="s">
        <v>12603</v>
      </c>
      <c r="C35" s="10" t="str">
        <f>VLOOKUP(B35,'Data Angt'!$A$5:$B$5809,2,FALSE)</f>
        <v>A4356</v>
      </c>
      <c r="D35" s="137" t="s">
        <v>20574</v>
      </c>
      <c r="E35" s="137" t="s">
        <v>22</v>
      </c>
      <c r="F35" s="137">
        <v>85222222</v>
      </c>
      <c r="G35" s="137" t="s">
        <v>133</v>
      </c>
      <c r="H35" s="138">
        <v>45296</v>
      </c>
      <c r="I35" s="139" t="s">
        <v>384</v>
      </c>
      <c r="J35" s="137" t="s">
        <v>20389</v>
      </c>
      <c r="K35" s="137">
        <v>66</v>
      </c>
      <c r="L35" s="133" t="str">
        <f t="shared" si="0"/>
        <v>004</v>
      </c>
    </row>
    <row r="36" spans="1:12" x14ac:dyDescent="0.3">
      <c r="A36" s="136">
        <v>32</v>
      </c>
      <c r="B36" s="137" t="s">
        <v>12604</v>
      </c>
      <c r="C36" s="10" t="str">
        <f>VLOOKUP(B36,'Data Angt'!$A$5:$B$5809,2,FALSE)</f>
        <v>A4357</v>
      </c>
      <c r="D36" s="137" t="s">
        <v>20575</v>
      </c>
      <c r="E36" s="137" t="s">
        <v>11</v>
      </c>
      <c r="F36" s="137">
        <v>881036415004</v>
      </c>
      <c r="G36" s="137" t="s">
        <v>46</v>
      </c>
      <c r="H36" s="138">
        <v>45296</v>
      </c>
      <c r="I36" s="139" t="s">
        <v>384</v>
      </c>
      <c r="J36" s="137" t="s">
        <v>19274</v>
      </c>
      <c r="K36" s="137">
        <v>57</v>
      </c>
      <c r="L36" s="133" t="str">
        <f t="shared" si="0"/>
        <v>001</v>
      </c>
    </row>
    <row r="37" spans="1:12" x14ac:dyDescent="0.3">
      <c r="A37" s="136">
        <v>33</v>
      </c>
      <c r="B37" s="137" t="s">
        <v>12606</v>
      </c>
      <c r="C37" s="10" t="str">
        <f>VLOOKUP(B37,'Data Angt'!$A$5:$B$5809,2,FALSE)</f>
        <v>A4358</v>
      </c>
      <c r="D37" s="137" t="s">
        <v>20576</v>
      </c>
      <c r="E37" s="137" t="s">
        <v>22</v>
      </c>
      <c r="F37" s="137">
        <v>81330905092</v>
      </c>
      <c r="G37" s="137" t="s">
        <v>31</v>
      </c>
      <c r="H37" s="138">
        <v>45296</v>
      </c>
      <c r="I37" s="139" t="s">
        <v>384</v>
      </c>
      <c r="J37" s="137" t="s">
        <v>20577</v>
      </c>
      <c r="K37" s="137">
        <v>56</v>
      </c>
      <c r="L37" s="133" t="str">
        <f t="shared" si="0"/>
        <v>003</v>
      </c>
    </row>
    <row r="38" spans="1:12" x14ac:dyDescent="0.3">
      <c r="A38" s="136">
        <v>34</v>
      </c>
      <c r="B38" s="137" t="s">
        <v>12608</v>
      </c>
      <c r="C38" s="10" t="str">
        <f>VLOOKUP(B38,'Data Angt'!$A$5:$B$5809,2,FALSE)</f>
        <v>A4359</v>
      </c>
      <c r="D38" s="137" t="s">
        <v>20578</v>
      </c>
      <c r="E38" s="137" t="s">
        <v>22</v>
      </c>
      <c r="F38" s="137">
        <v>8113500560</v>
      </c>
      <c r="G38" s="137" t="s">
        <v>109</v>
      </c>
      <c r="H38" s="138">
        <v>45296</v>
      </c>
      <c r="I38" s="139" t="s">
        <v>384</v>
      </c>
      <c r="J38" s="137" t="s">
        <v>20579</v>
      </c>
      <c r="K38" s="137">
        <v>22</v>
      </c>
      <c r="L38" s="133" t="str">
        <f t="shared" si="0"/>
        <v>001</v>
      </c>
    </row>
    <row r="39" spans="1:12" x14ac:dyDescent="0.3">
      <c r="A39" s="136">
        <v>35</v>
      </c>
      <c r="B39" s="137" t="s">
        <v>12617</v>
      </c>
      <c r="C39" s="10" t="str">
        <f>VLOOKUP(B39,'Data Angt'!$A$5:$B$5809,2,FALSE)</f>
        <v>A4361</v>
      </c>
      <c r="D39" s="137" t="s">
        <v>20580</v>
      </c>
      <c r="E39" s="137" t="s">
        <v>22</v>
      </c>
      <c r="F39" s="137">
        <v>82335104242</v>
      </c>
      <c r="G39" s="137" t="s">
        <v>46</v>
      </c>
      <c r="H39" s="138">
        <v>45297</v>
      </c>
      <c r="I39" s="139" t="s">
        <v>384</v>
      </c>
      <c r="J39" s="137" t="s">
        <v>20581</v>
      </c>
      <c r="K39" s="137">
        <v>41</v>
      </c>
      <c r="L39" s="133" t="str">
        <f t="shared" si="0"/>
        <v>001</v>
      </c>
    </row>
    <row r="40" spans="1:12" x14ac:dyDescent="0.3">
      <c r="A40" s="136">
        <v>36</v>
      </c>
      <c r="B40" s="137" t="s">
        <v>12612</v>
      </c>
      <c r="C40" s="10" t="str">
        <f>VLOOKUP(B40,'Data Angt'!$A$5:$B$5809,2,FALSE)</f>
        <v>A4360</v>
      </c>
      <c r="D40" s="137" t="s">
        <v>20582</v>
      </c>
      <c r="E40" s="137" t="s">
        <v>22</v>
      </c>
      <c r="F40" s="137">
        <v>85934442488</v>
      </c>
      <c r="G40" s="137" t="s">
        <v>109</v>
      </c>
      <c r="H40" s="138">
        <v>45296</v>
      </c>
      <c r="I40" s="139" t="s">
        <v>384</v>
      </c>
      <c r="J40" s="137" t="s">
        <v>20583</v>
      </c>
      <c r="K40" s="137">
        <v>27</v>
      </c>
      <c r="L40" s="133" t="str">
        <f t="shared" si="0"/>
        <v>005</v>
      </c>
    </row>
    <row r="41" spans="1:12" x14ac:dyDescent="0.3">
      <c r="A41" s="136">
        <v>37</v>
      </c>
      <c r="B41" s="137" t="s">
        <v>20584</v>
      </c>
      <c r="C41" s="10" t="e">
        <f>VLOOKUP(B41,'Data Angt'!$A$5:$B$5809,2,FALSE)</f>
        <v>#N/A</v>
      </c>
      <c r="D41" s="137" t="s">
        <v>20585</v>
      </c>
      <c r="E41" s="137" t="s">
        <v>22</v>
      </c>
      <c r="F41" s="137">
        <v>85649280327</v>
      </c>
      <c r="G41" s="137" t="s">
        <v>109</v>
      </c>
      <c r="H41" s="138">
        <v>45296</v>
      </c>
      <c r="I41" s="138">
        <v>45813</v>
      </c>
      <c r="J41" s="137" t="s">
        <v>20586</v>
      </c>
      <c r="K41" s="137">
        <v>61</v>
      </c>
      <c r="L41" s="133" t="str">
        <f t="shared" si="0"/>
        <v>001</v>
      </c>
    </row>
    <row r="42" spans="1:12" x14ac:dyDescent="0.3">
      <c r="A42" s="136">
        <v>38</v>
      </c>
      <c r="B42" s="137" t="s">
        <v>12619</v>
      </c>
      <c r="C42" s="10" t="str">
        <f>VLOOKUP(B42,'Data Angt'!$A$5:$B$5809,2,FALSE)</f>
        <v>A4362</v>
      </c>
      <c r="D42" s="137" t="s">
        <v>20587</v>
      </c>
      <c r="E42" s="137" t="s">
        <v>11</v>
      </c>
      <c r="F42" s="137">
        <v>89526046040</v>
      </c>
      <c r="G42" s="137" t="s">
        <v>337</v>
      </c>
      <c r="H42" s="138">
        <v>45297</v>
      </c>
      <c r="I42" s="139" t="s">
        <v>384</v>
      </c>
      <c r="J42" s="137" t="s">
        <v>20588</v>
      </c>
      <c r="K42" s="137">
        <v>18</v>
      </c>
      <c r="L42" s="133" t="str">
        <f t="shared" si="0"/>
        <v>006</v>
      </c>
    </row>
    <row r="43" spans="1:12" x14ac:dyDescent="0.3">
      <c r="A43" s="136">
        <v>39</v>
      </c>
      <c r="B43" s="137" t="s">
        <v>12621</v>
      </c>
      <c r="C43" s="10" t="str">
        <f>VLOOKUP(B43,'Data Angt'!$A$5:$B$5809,2,FALSE)</f>
        <v>A4363</v>
      </c>
      <c r="D43" s="137" t="s">
        <v>20589</v>
      </c>
      <c r="E43" s="137" t="s">
        <v>11</v>
      </c>
      <c r="F43" s="137">
        <v>82338703398</v>
      </c>
      <c r="G43" s="137" t="s">
        <v>109</v>
      </c>
      <c r="H43" s="138">
        <v>45297</v>
      </c>
      <c r="I43" s="139" t="s">
        <v>384</v>
      </c>
      <c r="J43" s="137" t="s">
        <v>20590</v>
      </c>
      <c r="K43" s="137">
        <v>27</v>
      </c>
      <c r="L43" s="133" t="str">
        <f t="shared" si="0"/>
        <v>001</v>
      </c>
    </row>
    <row r="44" spans="1:12" x14ac:dyDescent="0.3">
      <c r="A44" s="136">
        <v>40</v>
      </c>
      <c r="B44" s="137" t="s">
        <v>12624</v>
      </c>
      <c r="C44" s="10" t="str">
        <f>VLOOKUP(B44,'Data Angt'!$A$5:$B$5809,2,FALSE)</f>
        <v>A4364</v>
      </c>
      <c r="D44" s="137" t="s">
        <v>20591</v>
      </c>
      <c r="E44" s="137" t="s">
        <v>22</v>
      </c>
      <c r="F44" s="137">
        <v>81252534847</v>
      </c>
      <c r="G44" s="137" t="s">
        <v>31</v>
      </c>
      <c r="H44" s="138">
        <v>45299</v>
      </c>
      <c r="I44" s="139" t="s">
        <v>384</v>
      </c>
      <c r="J44" s="137" t="s">
        <v>20592</v>
      </c>
      <c r="K44" s="137">
        <v>58</v>
      </c>
      <c r="L44" s="133" t="str">
        <f t="shared" si="0"/>
        <v>001</v>
      </c>
    </row>
    <row r="45" spans="1:12" x14ac:dyDescent="0.3">
      <c r="A45" s="136">
        <v>41</v>
      </c>
      <c r="B45" s="137" t="s">
        <v>12626</v>
      </c>
      <c r="C45" s="10" t="str">
        <f>VLOOKUP(B45,'Data Angt'!$A$5:$B$5809,2,FALSE)</f>
        <v>A4365</v>
      </c>
      <c r="D45" s="137" t="s">
        <v>20593</v>
      </c>
      <c r="E45" s="137" t="s">
        <v>11</v>
      </c>
      <c r="F45" s="137">
        <v>82131567766</v>
      </c>
      <c r="G45" s="137" t="s">
        <v>46</v>
      </c>
      <c r="H45" s="138">
        <v>45299</v>
      </c>
      <c r="I45" s="139" t="s">
        <v>384</v>
      </c>
      <c r="J45" s="137" t="s">
        <v>20594</v>
      </c>
      <c r="K45" s="137">
        <v>42</v>
      </c>
      <c r="L45" s="133" t="str">
        <f t="shared" si="0"/>
        <v>001</v>
      </c>
    </row>
    <row r="46" spans="1:12" x14ac:dyDescent="0.3">
      <c r="A46" s="136">
        <v>42</v>
      </c>
      <c r="B46" s="137" t="s">
        <v>12627</v>
      </c>
      <c r="C46" s="10" t="str">
        <f>VLOOKUP(B46,'Data Angt'!$A$5:$B$5809,2,FALSE)</f>
        <v>A4366</v>
      </c>
      <c r="D46" s="137" t="s">
        <v>20595</v>
      </c>
      <c r="E46" s="137" t="s">
        <v>22</v>
      </c>
      <c r="F46" s="137">
        <v>82140102824</v>
      </c>
      <c r="G46" s="137" t="s">
        <v>46</v>
      </c>
      <c r="H46" s="138">
        <v>45299</v>
      </c>
      <c r="I46" s="139" t="s">
        <v>384</v>
      </c>
      <c r="J46" s="137" t="s">
        <v>20596</v>
      </c>
      <c r="K46" s="137">
        <v>49</v>
      </c>
      <c r="L46" s="133" t="str">
        <f t="shared" si="0"/>
        <v>001</v>
      </c>
    </row>
    <row r="47" spans="1:12" x14ac:dyDescent="0.3">
      <c r="A47" s="136">
        <v>43</v>
      </c>
      <c r="B47" s="137" t="s">
        <v>12629</v>
      </c>
      <c r="C47" s="10" t="str">
        <f>VLOOKUP(B47,'Data Angt'!$A$5:$B$5809,2,FALSE)</f>
        <v>A4367</v>
      </c>
      <c r="D47" s="137" t="s">
        <v>20597</v>
      </c>
      <c r="E47" s="137" t="s">
        <v>22</v>
      </c>
      <c r="F47" s="137">
        <v>85232636469</v>
      </c>
      <c r="G47" s="137" t="s">
        <v>31</v>
      </c>
      <c r="H47" s="138">
        <v>45299</v>
      </c>
      <c r="I47" s="139" t="s">
        <v>384</v>
      </c>
      <c r="J47" s="137" t="s">
        <v>20598</v>
      </c>
      <c r="K47" s="137">
        <v>42</v>
      </c>
      <c r="L47" s="133" t="str">
        <f t="shared" si="0"/>
        <v>001</v>
      </c>
    </row>
    <row r="48" spans="1:12" x14ac:dyDescent="0.3">
      <c r="A48" s="136">
        <v>44</v>
      </c>
      <c r="B48" s="137" t="s">
        <v>12631</v>
      </c>
      <c r="C48" s="10" t="str">
        <f>VLOOKUP(B48,'Data Angt'!$A$5:$B$5809,2,FALSE)</f>
        <v>A4368</v>
      </c>
      <c r="D48" s="137" t="s">
        <v>20599</v>
      </c>
      <c r="E48" s="137" t="s">
        <v>22</v>
      </c>
      <c r="F48" s="137">
        <v>85335999001</v>
      </c>
      <c r="G48" s="137" t="s">
        <v>337</v>
      </c>
      <c r="H48" s="138">
        <v>45300</v>
      </c>
      <c r="I48" s="139" t="s">
        <v>384</v>
      </c>
      <c r="J48" s="137" t="s">
        <v>20600</v>
      </c>
      <c r="K48" s="137">
        <v>20</v>
      </c>
      <c r="L48" s="133" t="str">
        <f t="shared" si="0"/>
        <v>005</v>
      </c>
    </row>
    <row r="49" spans="1:12" x14ac:dyDescent="0.3">
      <c r="A49" s="136">
        <v>45</v>
      </c>
      <c r="B49" s="137" t="s">
        <v>12633</v>
      </c>
      <c r="C49" s="10" t="str">
        <f>VLOOKUP(B49,'Data Angt'!$A$5:$B$5809,2,FALSE)</f>
        <v>A4369</v>
      </c>
      <c r="D49" s="137" t="s">
        <v>20601</v>
      </c>
      <c r="E49" s="137" t="s">
        <v>22</v>
      </c>
      <c r="F49" s="137">
        <v>85729508126</v>
      </c>
      <c r="G49" s="137" t="s">
        <v>172</v>
      </c>
      <c r="H49" s="138">
        <v>45300</v>
      </c>
      <c r="I49" s="139" t="s">
        <v>384</v>
      </c>
      <c r="J49" s="137" t="s">
        <v>20602</v>
      </c>
      <c r="K49" s="137">
        <v>27</v>
      </c>
      <c r="L49" s="133" t="str">
        <f t="shared" si="0"/>
        <v>005</v>
      </c>
    </row>
    <row r="50" spans="1:12" x14ac:dyDescent="0.3">
      <c r="A50" s="136">
        <v>46</v>
      </c>
      <c r="B50" s="137" t="s">
        <v>12634</v>
      </c>
      <c r="C50" s="10" t="str">
        <f>VLOOKUP(B50,'Data Angt'!$A$5:$B$5809,2,FALSE)</f>
        <v>A4370</v>
      </c>
      <c r="D50" s="137" t="s">
        <v>20603</v>
      </c>
      <c r="E50" s="137" t="s">
        <v>22</v>
      </c>
      <c r="F50" s="137">
        <v>81359620066</v>
      </c>
      <c r="G50" s="137" t="s">
        <v>31</v>
      </c>
      <c r="H50" s="138">
        <v>45301</v>
      </c>
      <c r="I50" s="139" t="s">
        <v>384</v>
      </c>
      <c r="J50" s="137" t="s">
        <v>20604</v>
      </c>
      <c r="K50" s="137">
        <v>37</v>
      </c>
      <c r="L50" s="133" t="str">
        <f t="shared" si="0"/>
        <v>001</v>
      </c>
    </row>
    <row r="51" spans="1:12" x14ac:dyDescent="0.3">
      <c r="A51" s="136">
        <v>47</v>
      </c>
      <c r="B51" s="137" t="s">
        <v>12635</v>
      </c>
      <c r="C51" s="10" t="str">
        <f>VLOOKUP(B51,'Data Angt'!$A$5:$B$5809,2,FALSE)</f>
        <v>A4371</v>
      </c>
      <c r="D51" s="137" t="s">
        <v>20605</v>
      </c>
      <c r="E51" s="137" t="s">
        <v>11</v>
      </c>
      <c r="F51" s="137">
        <v>81231976291</v>
      </c>
      <c r="G51" s="137" t="s">
        <v>109</v>
      </c>
      <c r="H51" s="138">
        <v>45301</v>
      </c>
      <c r="I51" s="139" t="s">
        <v>384</v>
      </c>
      <c r="J51" s="137" t="s">
        <v>19304</v>
      </c>
      <c r="K51" s="137">
        <v>42</v>
      </c>
      <c r="L51" s="133" t="str">
        <f t="shared" si="0"/>
        <v>001</v>
      </c>
    </row>
    <row r="52" spans="1:12" x14ac:dyDescent="0.3">
      <c r="A52" s="136">
        <v>48</v>
      </c>
      <c r="B52" s="137" t="s">
        <v>12639</v>
      </c>
      <c r="C52" s="10" t="str">
        <f>VLOOKUP(B52,'Data Angt'!$A$5:$B$5809,2,FALSE)</f>
        <v>A4372</v>
      </c>
      <c r="D52" s="137" t="s">
        <v>20606</v>
      </c>
      <c r="E52" s="137" t="s">
        <v>11</v>
      </c>
      <c r="F52" s="137">
        <v>89649659167</v>
      </c>
      <c r="G52" s="137" t="s">
        <v>109</v>
      </c>
      <c r="H52" s="138">
        <v>45301</v>
      </c>
      <c r="I52" s="139" t="s">
        <v>384</v>
      </c>
      <c r="J52" s="137" t="s">
        <v>20607</v>
      </c>
      <c r="K52" s="137">
        <v>21</v>
      </c>
      <c r="L52" s="133" t="str">
        <f t="shared" si="0"/>
        <v>006</v>
      </c>
    </row>
    <row r="53" spans="1:12" x14ac:dyDescent="0.3">
      <c r="A53" s="136">
        <v>49</v>
      </c>
      <c r="B53" s="137" t="s">
        <v>12641</v>
      </c>
      <c r="C53" s="10" t="str">
        <f>VLOOKUP(B53,'Data Angt'!$A$5:$B$5809,2,FALSE)</f>
        <v>A4373</v>
      </c>
      <c r="D53" s="137" t="s">
        <v>20608</v>
      </c>
      <c r="E53" s="137" t="s">
        <v>11</v>
      </c>
      <c r="F53" s="137">
        <v>85726001501</v>
      </c>
      <c r="G53" s="137" t="s">
        <v>109</v>
      </c>
      <c r="H53" s="138">
        <v>45301</v>
      </c>
      <c r="I53" s="139" t="s">
        <v>384</v>
      </c>
      <c r="J53" s="137" t="s">
        <v>20609</v>
      </c>
      <c r="K53" s="137">
        <v>23</v>
      </c>
      <c r="L53" s="133" t="str">
        <f t="shared" si="0"/>
        <v>006</v>
      </c>
    </row>
    <row r="54" spans="1:12" x14ac:dyDescent="0.3">
      <c r="A54" s="136">
        <v>50</v>
      </c>
      <c r="B54" s="137" t="s">
        <v>12642</v>
      </c>
      <c r="C54" s="10" t="str">
        <f>VLOOKUP(B54,'Data Angt'!$A$5:$B$5809,2,FALSE)</f>
        <v>A4374</v>
      </c>
      <c r="D54" s="137" t="s">
        <v>20610</v>
      </c>
      <c r="E54" s="137" t="s">
        <v>22</v>
      </c>
      <c r="F54" s="137">
        <v>82142509315</v>
      </c>
      <c r="G54" s="137" t="s">
        <v>109</v>
      </c>
      <c r="H54" s="138">
        <v>45302</v>
      </c>
      <c r="I54" s="139" t="s">
        <v>384</v>
      </c>
      <c r="J54" s="137" t="s">
        <v>19274</v>
      </c>
      <c r="K54" s="137">
        <v>24</v>
      </c>
      <c r="L54" s="133" t="str">
        <f t="shared" si="0"/>
        <v>004</v>
      </c>
    </row>
    <row r="55" spans="1:12" x14ac:dyDescent="0.3">
      <c r="A55" s="136">
        <v>51</v>
      </c>
      <c r="B55" s="137" t="s">
        <v>12644</v>
      </c>
      <c r="C55" s="10" t="str">
        <f>VLOOKUP(B55,'Data Angt'!$A$5:$B$5809,2,FALSE)</f>
        <v>A4375</v>
      </c>
      <c r="D55" s="137" t="s">
        <v>20611</v>
      </c>
      <c r="E55" s="137" t="s">
        <v>11</v>
      </c>
      <c r="F55" s="137">
        <v>85236415746</v>
      </c>
      <c r="G55" s="137" t="s">
        <v>109</v>
      </c>
      <c r="H55" s="138">
        <v>45302</v>
      </c>
      <c r="I55" s="139" t="s">
        <v>384</v>
      </c>
      <c r="J55" s="137" t="s">
        <v>20612</v>
      </c>
      <c r="K55" s="137">
        <v>41</v>
      </c>
      <c r="L55" s="133" t="str">
        <f t="shared" si="0"/>
        <v>002</v>
      </c>
    </row>
    <row r="56" spans="1:12" x14ac:dyDescent="0.3">
      <c r="A56" s="136">
        <v>52</v>
      </c>
      <c r="B56" s="137" t="s">
        <v>12646</v>
      </c>
      <c r="C56" s="10" t="str">
        <f>VLOOKUP(B56,'Data Angt'!$A$5:$B$5809,2,FALSE)</f>
        <v>A4376</v>
      </c>
      <c r="D56" s="137" t="s">
        <v>20613</v>
      </c>
      <c r="E56" s="137" t="s">
        <v>22</v>
      </c>
      <c r="F56" s="137">
        <v>82237916800</v>
      </c>
      <c r="G56" s="137" t="s">
        <v>31</v>
      </c>
      <c r="H56" s="138">
        <v>45302</v>
      </c>
      <c r="I56" s="139" t="s">
        <v>384</v>
      </c>
      <c r="J56" s="137" t="s">
        <v>20614</v>
      </c>
      <c r="K56" s="137">
        <v>35</v>
      </c>
      <c r="L56" s="133" t="str">
        <f t="shared" si="0"/>
        <v>005</v>
      </c>
    </row>
    <row r="57" spans="1:12" x14ac:dyDescent="0.3">
      <c r="A57" s="136">
        <v>53</v>
      </c>
      <c r="B57" s="137" t="s">
        <v>12648</v>
      </c>
      <c r="C57" s="10" t="str">
        <f>VLOOKUP(B57,'Data Angt'!$A$5:$B$5809,2,FALSE)</f>
        <v>A4377</v>
      </c>
      <c r="D57" s="137" t="s">
        <v>20615</v>
      </c>
      <c r="E57" s="137" t="s">
        <v>22</v>
      </c>
      <c r="F57" s="137">
        <v>82245025295</v>
      </c>
      <c r="G57" s="137" t="s">
        <v>155</v>
      </c>
      <c r="H57" s="138">
        <v>45302</v>
      </c>
      <c r="I57" s="139" t="s">
        <v>384</v>
      </c>
      <c r="J57" s="137" t="s">
        <v>20616</v>
      </c>
      <c r="K57" s="137">
        <v>40</v>
      </c>
      <c r="L57" s="133" t="str">
        <f t="shared" si="0"/>
        <v>003</v>
      </c>
    </row>
    <row r="58" spans="1:12" x14ac:dyDescent="0.3">
      <c r="A58" s="136">
        <v>54</v>
      </c>
      <c r="B58" s="137" t="s">
        <v>12650</v>
      </c>
      <c r="C58" s="10" t="str">
        <f>VLOOKUP(B58,'Data Angt'!$A$5:$B$5809,2,FALSE)</f>
        <v>A4378</v>
      </c>
      <c r="D58" s="137" t="s">
        <v>20617</v>
      </c>
      <c r="E58" s="137" t="s">
        <v>22</v>
      </c>
      <c r="F58" s="137">
        <v>81384207146</v>
      </c>
      <c r="G58" s="137" t="s">
        <v>31</v>
      </c>
      <c r="H58" s="138">
        <v>45302</v>
      </c>
      <c r="I58" s="139" t="s">
        <v>384</v>
      </c>
      <c r="J58" s="137" t="s">
        <v>20618</v>
      </c>
      <c r="K58" s="137">
        <v>43</v>
      </c>
      <c r="L58" s="133" t="str">
        <f t="shared" si="0"/>
        <v>005</v>
      </c>
    </row>
    <row r="59" spans="1:12" x14ac:dyDescent="0.3">
      <c r="A59" s="136">
        <v>55</v>
      </c>
      <c r="B59" s="137" t="s">
        <v>12651</v>
      </c>
      <c r="C59" s="10" t="str">
        <f>VLOOKUP(B59,'Data Angt'!$A$5:$B$5809,2,FALSE)</f>
        <v>A4379</v>
      </c>
      <c r="D59" s="137" t="s">
        <v>20619</v>
      </c>
      <c r="E59" s="137" t="s">
        <v>22</v>
      </c>
      <c r="F59" s="137">
        <v>8125629993</v>
      </c>
      <c r="G59" s="137" t="s">
        <v>31</v>
      </c>
      <c r="H59" s="138">
        <v>45302</v>
      </c>
      <c r="I59" s="139" t="s">
        <v>384</v>
      </c>
      <c r="J59" s="137" t="s">
        <v>20620</v>
      </c>
      <c r="K59" s="137">
        <v>31</v>
      </c>
      <c r="L59" s="133" t="str">
        <f t="shared" si="0"/>
        <v>005</v>
      </c>
    </row>
    <row r="60" spans="1:12" x14ac:dyDescent="0.3">
      <c r="A60" s="136">
        <v>56</v>
      </c>
      <c r="B60" s="137" t="s">
        <v>12653</v>
      </c>
      <c r="C60" s="10" t="str">
        <f>VLOOKUP(B60,'Data Angt'!$A$5:$B$5809,2,FALSE)</f>
        <v>A4380</v>
      </c>
      <c r="D60" s="137" t="s">
        <v>20621</v>
      </c>
      <c r="E60" s="137" t="s">
        <v>11</v>
      </c>
      <c r="F60" s="137">
        <v>82244987718</v>
      </c>
      <c r="G60" s="137" t="s">
        <v>370</v>
      </c>
      <c r="H60" s="138">
        <v>45302</v>
      </c>
      <c r="I60" s="139" t="s">
        <v>384</v>
      </c>
      <c r="J60" s="137" t="s">
        <v>20622</v>
      </c>
      <c r="K60" s="137">
        <v>38</v>
      </c>
      <c r="L60" s="133" t="str">
        <f t="shared" si="0"/>
        <v>004</v>
      </c>
    </row>
    <row r="61" spans="1:12" x14ac:dyDescent="0.3">
      <c r="A61" s="136">
        <v>57</v>
      </c>
      <c r="B61" s="137" t="s">
        <v>12655</v>
      </c>
      <c r="C61" s="10" t="str">
        <f>VLOOKUP(B61,'Data Angt'!$A$5:$B$5809,2,FALSE)</f>
        <v>A4381</v>
      </c>
      <c r="D61" s="137" t="s">
        <v>20623</v>
      </c>
      <c r="E61" s="137" t="s">
        <v>11</v>
      </c>
      <c r="F61" s="137">
        <v>85230017654</v>
      </c>
      <c r="G61" s="137" t="s">
        <v>172</v>
      </c>
      <c r="H61" s="138">
        <v>45303</v>
      </c>
      <c r="I61" s="139" t="s">
        <v>384</v>
      </c>
      <c r="J61" s="137" t="s">
        <v>20624</v>
      </c>
      <c r="K61" s="137">
        <v>55</v>
      </c>
      <c r="L61" s="133" t="str">
        <f t="shared" si="0"/>
        <v>002</v>
      </c>
    </row>
    <row r="62" spans="1:12" x14ac:dyDescent="0.3">
      <c r="A62" s="136">
        <v>58</v>
      </c>
      <c r="B62" s="137" t="s">
        <v>12657</v>
      </c>
      <c r="C62" s="10" t="str">
        <f>VLOOKUP(B62,'Data Angt'!$A$5:$B$5809,2,FALSE)</f>
        <v>A4382</v>
      </c>
      <c r="D62" s="137" t="s">
        <v>20625</v>
      </c>
      <c r="E62" s="137" t="s">
        <v>11</v>
      </c>
      <c r="F62" s="137">
        <v>8986043892</v>
      </c>
      <c r="G62" s="137" t="s">
        <v>46</v>
      </c>
      <c r="H62" s="138">
        <v>45303</v>
      </c>
      <c r="I62" s="139" t="s">
        <v>384</v>
      </c>
      <c r="J62" s="137" t="s">
        <v>20626</v>
      </c>
      <c r="K62" s="137">
        <v>30</v>
      </c>
      <c r="L62" s="133" t="str">
        <f t="shared" si="0"/>
        <v>003</v>
      </c>
    </row>
    <row r="63" spans="1:12" x14ac:dyDescent="0.3">
      <c r="A63" s="136">
        <v>59</v>
      </c>
      <c r="B63" s="137" t="s">
        <v>12659</v>
      </c>
      <c r="C63" s="10" t="str">
        <f>VLOOKUP(B63,'Data Angt'!$A$5:$B$5809,2,FALSE)</f>
        <v>A4383</v>
      </c>
      <c r="D63" s="137" t="s">
        <v>20627</v>
      </c>
      <c r="E63" s="137" t="s">
        <v>22</v>
      </c>
      <c r="F63" s="137">
        <v>89519654854</v>
      </c>
      <c r="G63" s="137" t="s">
        <v>109</v>
      </c>
      <c r="H63" s="138">
        <v>45303</v>
      </c>
      <c r="I63" s="139" t="s">
        <v>384</v>
      </c>
      <c r="J63" s="137" t="s">
        <v>20628</v>
      </c>
      <c r="K63" s="137">
        <v>26</v>
      </c>
      <c r="L63" s="133" t="str">
        <f t="shared" si="0"/>
        <v>001</v>
      </c>
    </row>
    <row r="64" spans="1:12" x14ac:dyDescent="0.3">
      <c r="A64" s="136">
        <v>60</v>
      </c>
      <c r="B64" s="137" t="s">
        <v>12663</v>
      </c>
      <c r="C64" s="10" t="str">
        <f>VLOOKUP(B64,'Data Angt'!$A$5:$B$5809,2,FALSE)</f>
        <v>A4384</v>
      </c>
      <c r="D64" s="137" t="s">
        <v>20629</v>
      </c>
      <c r="E64" s="137" t="s">
        <v>22</v>
      </c>
      <c r="F64" s="137">
        <v>88805623535</v>
      </c>
      <c r="G64" s="137" t="s">
        <v>337</v>
      </c>
      <c r="H64" s="138">
        <v>45304</v>
      </c>
      <c r="I64" s="139" t="s">
        <v>384</v>
      </c>
      <c r="J64" s="137" t="s">
        <v>20630</v>
      </c>
      <c r="K64" s="137">
        <v>17</v>
      </c>
      <c r="L64" s="133" t="str">
        <f t="shared" si="0"/>
        <v>005</v>
      </c>
    </row>
    <row r="65" spans="1:12" x14ac:dyDescent="0.3">
      <c r="A65" s="136">
        <v>61</v>
      </c>
      <c r="B65" s="137" t="s">
        <v>12665</v>
      </c>
      <c r="C65" s="10" t="str">
        <f>VLOOKUP(B65,'Data Angt'!$A$5:$B$5809,2,FALSE)</f>
        <v>A4385</v>
      </c>
      <c r="D65" s="137" t="s">
        <v>20631</v>
      </c>
      <c r="E65" s="137" t="s">
        <v>11</v>
      </c>
      <c r="F65" s="137">
        <v>87760463598</v>
      </c>
      <c r="G65" s="137" t="s">
        <v>243</v>
      </c>
      <c r="H65" s="138">
        <v>45304</v>
      </c>
      <c r="I65" s="139" t="s">
        <v>384</v>
      </c>
      <c r="J65" s="137" t="s">
        <v>20234</v>
      </c>
      <c r="K65" s="137">
        <v>24</v>
      </c>
      <c r="L65" s="133" t="str">
        <f t="shared" si="0"/>
        <v>002</v>
      </c>
    </row>
    <row r="66" spans="1:12" x14ac:dyDescent="0.3">
      <c r="A66" s="136">
        <v>62</v>
      </c>
      <c r="B66" s="137" t="s">
        <v>12667</v>
      </c>
      <c r="C66" s="10" t="str">
        <f>VLOOKUP(B66,'Data Angt'!$A$5:$B$5809,2,FALSE)</f>
        <v>A4386</v>
      </c>
      <c r="D66" s="137" t="s">
        <v>20632</v>
      </c>
      <c r="E66" s="137" t="s">
        <v>11</v>
      </c>
      <c r="F66" s="137">
        <v>85816514700</v>
      </c>
      <c r="G66" s="137" t="s">
        <v>109</v>
      </c>
      <c r="H66" s="138">
        <v>45306</v>
      </c>
      <c r="I66" s="139" t="s">
        <v>384</v>
      </c>
      <c r="J66" s="137" t="s">
        <v>20633</v>
      </c>
      <c r="K66" s="137">
        <v>28</v>
      </c>
      <c r="L66" s="133" t="str">
        <f t="shared" si="0"/>
        <v>005</v>
      </c>
    </row>
    <row r="67" spans="1:12" x14ac:dyDescent="0.3">
      <c r="A67" s="136">
        <v>63</v>
      </c>
      <c r="B67" s="137" t="s">
        <v>12670</v>
      </c>
      <c r="C67" s="10" t="str">
        <f>VLOOKUP(B67,'Data Angt'!$A$5:$B$5809,2,FALSE)</f>
        <v>A4387</v>
      </c>
      <c r="D67" s="137" t="s">
        <v>20634</v>
      </c>
      <c r="E67" s="137" t="s">
        <v>22</v>
      </c>
      <c r="F67" s="137">
        <v>215546514654165</v>
      </c>
      <c r="G67" s="137" t="s">
        <v>155</v>
      </c>
      <c r="H67" s="138">
        <v>45307</v>
      </c>
      <c r="I67" s="139" t="s">
        <v>384</v>
      </c>
      <c r="J67" s="137" t="s">
        <v>20635</v>
      </c>
      <c r="K67" s="137">
        <v>43</v>
      </c>
      <c r="L67" s="133" t="str">
        <f t="shared" si="0"/>
        <v>001</v>
      </c>
    </row>
    <row r="68" spans="1:12" x14ac:dyDescent="0.3">
      <c r="A68" s="136">
        <v>64</v>
      </c>
      <c r="B68" s="137" t="s">
        <v>12672</v>
      </c>
      <c r="C68" s="10" t="str">
        <f>VLOOKUP(B68,'Data Angt'!$A$5:$B$5809,2,FALSE)</f>
        <v>A4388</v>
      </c>
      <c r="D68" s="137" t="s">
        <v>20636</v>
      </c>
      <c r="E68" s="137" t="s">
        <v>11</v>
      </c>
      <c r="F68" s="137">
        <v>81252516399</v>
      </c>
      <c r="G68" s="137" t="s">
        <v>46</v>
      </c>
      <c r="H68" s="138">
        <v>45307</v>
      </c>
      <c r="I68" s="139" t="s">
        <v>384</v>
      </c>
      <c r="J68" s="137" t="s">
        <v>20637</v>
      </c>
      <c r="K68" s="137">
        <v>56</v>
      </c>
      <c r="L68" s="133" t="str">
        <f t="shared" si="0"/>
        <v>001</v>
      </c>
    </row>
    <row r="69" spans="1:12" x14ac:dyDescent="0.3">
      <c r="A69" s="136">
        <v>65</v>
      </c>
      <c r="B69" s="137" t="s">
        <v>12674</v>
      </c>
      <c r="C69" s="10" t="str">
        <f>VLOOKUP(B69,'Data Angt'!$A$5:$B$5809,2,FALSE)</f>
        <v>A4389</v>
      </c>
      <c r="D69" s="137" t="s">
        <v>20638</v>
      </c>
      <c r="E69" s="137" t="s">
        <v>22</v>
      </c>
      <c r="F69" s="137">
        <v>85232679155</v>
      </c>
      <c r="G69" s="137" t="s">
        <v>109</v>
      </c>
      <c r="H69" s="138">
        <v>45307</v>
      </c>
      <c r="I69" s="139" t="s">
        <v>384</v>
      </c>
      <c r="J69" s="137" t="s">
        <v>20639</v>
      </c>
      <c r="K69" s="137">
        <v>59</v>
      </c>
      <c r="L69" s="133" t="str">
        <f t="shared" si="0"/>
        <v>001</v>
      </c>
    </row>
    <row r="70" spans="1:12" x14ac:dyDescent="0.3">
      <c r="A70" s="136">
        <v>66</v>
      </c>
      <c r="B70" s="137" t="s">
        <v>12676</v>
      </c>
      <c r="C70" s="10" t="str">
        <f>VLOOKUP(B70,'Data Angt'!$A$5:$B$5809,2,FALSE)</f>
        <v>A4390</v>
      </c>
      <c r="D70" s="137" t="s">
        <v>20640</v>
      </c>
      <c r="E70" s="137" t="s">
        <v>11</v>
      </c>
      <c r="F70" s="137">
        <v>81529359569</v>
      </c>
      <c r="G70" s="137" t="s">
        <v>109</v>
      </c>
      <c r="H70" s="138">
        <v>45307</v>
      </c>
      <c r="I70" s="139" t="s">
        <v>384</v>
      </c>
      <c r="J70" s="137" t="s">
        <v>20641</v>
      </c>
      <c r="K70" s="137">
        <v>47</v>
      </c>
      <c r="L70" s="133" t="str">
        <f t="shared" ref="L70:L133" si="1">MID(B70,7,3)</f>
        <v>003</v>
      </c>
    </row>
    <row r="71" spans="1:12" x14ac:dyDescent="0.3">
      <c r="A71" s="136">
        <v>67</v>
      </c>
      <c r="B71" s="137" t="s">
        <v>12677</v>
      </c>
      <c r="C71" s="10" t="str">
        <f>VLOOKUP(B71,'Data Angt'!$A$5:$B$5809,2,FALSE)</f>
        <v>A4391</v>
      </c>
      <c r="D71" s="137" t="s">
        <v>20642</v>
      </c>
      <c r="E71" s="137" t="s">
        <v>22</v>
      </c>
      <c r="F71" s="137">
        <v>881026617645</v>
      </c>
      <c r="G71" s="137" t="s">
        <v>16</v>
      </c>
      <c r="H71" s="138">
        <v>45308</v>
      </c>
      <c r="I71" s="139" t="s">
        <v>384</v>
      </c>
      <c r="J71" s="137" t="s">
        <v>20643</v>
      </c>
      <c r="K71" s="137">
        <v>25</v>
      </c>
      <c r="L71" s="133" t="str">
        <f t="shared" si="1"/>
        <v>001</v>
      </c>
    </row>
    <row r="72" spans="1:12" x14ac:dyDescent="0.3">
      <c r="A72" s="136">
        <v>68</v>
      </c>
      <c r="B72" s="137" t="s">
        <v>12680</v>
      </c>
      <c r="C72" s="10" t="str">
        <f>VLOOKUP(B72,'Data Angt'!$A$5:$B$5809,2,FALSE)</f>
        <v>A4392</v>
      </c>
      <c r="D72" s="137" t="s">
        <v>20644</v>
      </c>
      <c r="E72" s="137" t="s">
        <v>22</v>
      </c>
      <c r="F72" s="137">
        <v>852336444222</v>
      </c>
      <c r="G72" s="137" t="s">
        <v>46</v>
      </c>
      <c r="H72" s="138">
        <v>45308</v>
      </c>
      <c r="I72" s="139" t="s">
        <v>384</v>
      </c>
      <c r="J72" s="137" t="s">
        <v>20645</v>
      </c>
      <c r="K72" s="137">
        <v>61</v>
      </c>
      <c r="L72" s="133" t="str">
        <f t="shared" si="1"/>
        <v>003</v>
      </c>
    </row>
    <row r="73" spans="1:12" x14ac:dyDescent="0.3">
      <c r="A73" s="136">
        <v>69</v>
      </c>
      <c r="B73" s="137" t="s">
        <v>12681</v>
      </c>
      <c r="C73" s="10" t="str">
        <f>VLOOKUP(B73,'Data Angt'!$A$5:$B$5809,2,FALSE)</f>
        <v>A4393</v>
      </c>
      <c r="D73" s="137" t="s">
        <v>20646</v>
      </c>
      <c r="E73" s="137" t="s">
        <v>22</v>
      </c>
      <c r="F73" s="137">
        <v>85233454838</v>
      </c>
      <c r="G73" s="137" t="s">
        <v>172</v>
      </c>
      <c r="H73" s="138">
        <v>45308</v>
      </c>
      <c r="I73" s="139" t="s">
        <v>384</v>
      </c>
      <c r="J73" s="137" t="s">
        <v>20551</v>
      </c>
      <c r="K73" s="137">
        <v>46</v>
      </c>
      <c r="L73" s="133" t="str">
        <f t="shared" si="1"/>
        <v>002</v>
      </c>
    </row>
    <row r="74" spans="1:12" x14ac:dyDescent="0.3">
      <c r="A74" s="136">
        <v>70</v>
      </c>
      <c r="B74" s="137" t="s">
        <v>12683</v>
      </c>
      <c r="C74" s="10" t="str">
        <f>VLOOKUP(B74,'Data Angt'!$A$5:$B$5809,2,FALSE)</f>
        <v>A4394</v>
      </c>
      <c r="D74" s="137" t="s">
        <v>20647</v>
      </c>
      <c r="E74" s="137" t="s">
        <v>22</v>
      </c>
      <c r="F74" s="137">
        <v>81234571684</v>
      </c>
      <c r="G74" s="137" t="s">
        <v>109</v>
      </c>
      <c r="H74" s="138">
        <v>45308</v>
      </c>
      <c r="I74" s="139" t="s">
        <v>384</v>
      </c>
      <c r="J74" s="137" t="s">
        <v>20648</v>
      </c>
      <c r="K74" s="137">
        <v>47</v>
      </c>
      <c r="L74" s="133" t="str">
        <f t="shared" si="1"/>
        <v>001</v>
      </c>
    </row>
    <row r="75" spans="1:12" x14ac:dyDescent="0.3">
      <c r="A75" s="136">
        <v>71</v>
      </c>
      <c r="B75" s="137" t="s">
        <v>12687</v>
      </c>
      <c r="C75" s="10" t="str">
        <f>VLOOKUP(B75,'Data Angt'!$A$5:$B$5809,2,FALSE)</f>
        <v>A4395</v>
      </c>
      <c r="D75" s="137" t="s">
        <v>20649</v>
      </c>
      <c r="E75" s="137" t="s">
        <v>22</v>
      </c>
      <c r="F75" s="137">
        <v>89602008336</v>
      </c>
      <c r="G75" s="137" t="s">
        <v>109</v>
      </c>
      <c r="H75" s="138">
        <v>45309</v>
      </c>
      <c r="I75" s="139" t="s">
        <v>384</v>
      </c>
      <c r="J75" s="137" t="s">
        <v>20650</v>
      </c>
      <c r="K75" s="137">
        <v>23</v>
      </c>
      <c r="L75" s="133" t="str">
        <f t="shared" si="1"/>
        <v>001</v>
      </c>
    </row>
    <row r="76" spans="1:12" x14ac:dyDescent="0.3">
      <c r="A76" s="136">
        <v>72</v>
      </c>
      <c r="B76" s="137" t="s">
        <v>12690</v>
      </c>
      <c r="C76" s="10" t="str">
        <f>VLOOKUP(B76,'Data Angt'!$A$5:$B$5809,2,FALSE)</f>
        <v>A4396</v>
      </c>
      <c r="D76" s="137" t="s">
        <v>20651</v>
      </c>
      <c r="E76" s="137" t="s">
        <v>11</v>
      </c>
      <c r="F76" s="137">
        <v>85313880752</v>
      </c>
      <c r="G76" s="137" t="s">
        <v>172</v>
      </c>
      <c r="H76" s="138">
        <v>45309</v>
      </c>
      <c r="I76" s="139" t="s">
        <v>384</v>
      </c>
      <c r="J76" s="137" t="s">
        <v>20652</v>
      </c>
      <c r="K76" s="137">
        <v>48</v>
      </c>
      <c r="L76" s="133" t="str">
        <f t="shared" si="1"/>
        <v>001</v>
      </c>
    </row>
    <row r="77" spans="1:12" x14ac:dyDescent="0.3">
      <c r="A77" s="136">
        <v>73</v>
      </c>
      <c r="B77" s="137" t="s">
        <v>12691</v>
      </c>
      <c r="C77" s="10" t="str">
        <f>VLOOKUP(B77,'Data Angt'!$A$5:$B$5809,2,FALSE)</f>
        <v>A4397</v>
      </c>
      <c r="D77" s="137" t="s">
        <v>20653</v>
      </c>
      <c r="E77" s="137" t="s">
        <v>22</v>
      </c>
      <c r="F77" s="137">
        <v>81358441345</v>
      </c>
      <c r="G77" s="137" t="s">
        <v>46</v>
      </c>
      <c r="H77" s="138">
        <v>45310</v>
      </c>
      <c r="I77" s="139" t="s">
        <v>384</v>
      </c>
      <c r="J77" s="137" t="s">
        <v>20654</v>
      </c>
      <c r="K77" s="137">
        <v>46</v>
      </c>
      <c r="L77" s="133" t="str">
        <f t="shared" si="1"/>
        <v>001</v>
      </c>
    </row>
    <row r="78" spans="1:12" x14ac:dyDescent="0.3">
      <c r="A78" s="136">
        <v>74</v>
      </c>
      <c r="B78" s="137" t="s">
        <v>12694</v>
      </c>
      <c r="C78" s="10" t="str">
        <f>VLOOKUP(B78,'Data Angt'!$A$5:$B$5809,2,FALSE)</f>
        <v>A4398</v>
      </c>
      <c r="D78" s="137" t="s">
        <v>20655</v>
      </c>
      <c r="E78" s="137" t="s">
        <v>22</v>
      </c>
      <c r="F78" s="137">
        <v>82232383882</v>
      </c>
      <c r="G78" s="137" t="s">
        <v>243</v>
      </c>
      <c r="H78" s="138">
        <v>45310</v>
      </c>
      <c r="I78" s="139" t="s">
        <v>384</v>
      </c>
      <c r="J78" s="137" t="s">
        <v>20656</v>
      </c>
      <c r="K78" s="137">
        <v>24</v>
      </c>
      <c r="L78" s="133" t="str">
        <f t="shared" si="1"/>
        <v>001</v>
      </c>
    </row>
    <row r="79" spans="1:12" x14ac:dyDescent="0.3">
      <c r="A79" s="136">
        <v>75</v>
      </c>
      <c r="B79" s="137" t="s">
        <v>12695</v>
      </c>
      <c r="C79" s="10" t="str">
        <f>VLOOKUP(B79,'Data Angt'!$A$5:$B$5809,2,FALSE)</f>
        <v>A4399</v>
      </c>
      <c r="D79" s="137" t="s">
        <v>20657</v>
      </c>
      <c r="E79" s="137" t="s">
        <v>22</v>
      </c>
      <c r="F79" s="137">
        <v>81322251931</v>
      </c>
      <c r="G79" s="137" t="s">
        <v>109</v>
      </c>
      <c r="H79" s="138">
        <v>45310</v>
      </c>
      <c r="I79" s="139" t="s">
        <v>384</v>
      </c>
      <c r="J79" s="137" t="s">
        <v>20658</v>
      </c>
      <c r="K79" s="137">
        <v>58</v>
      </c>
      <c r="L79" s="133" t="str">
        <f t="shared" si="1"/>
        <v>001</v>
      </c>
    </row>
    <row r="80" spans="1:12" x14ac:dyDescent="0.3">
      <c r="A80" s="136">
        <v>76</v>
      </c>
      <c r="B80" s="137" t="s">
        <v>12698</v>
      </c>
      <c r="C80" s="10" t="str">
        <f>VLOOKUP(B80,'Data Angt'!$A$5:$B$5809,2,FALSE)</f>
        <v>A4400</v>
      </c>
      <c r="D80" s="137" t="s">
        <v>20659</v>
      </c>
      <c r="E80" s="137" t="s">
        <v>22</v>
      </c>
      <c r="F80" s="137">
        <v>82261762222</v>
      </c>
      <c r="G80" s="137" t="s">
        <v>337</v>
      </c>
      <c r="H80" s="138">
        <v>45310</v>
      </c>
      <c r="I80" s="139" t="s">
        <v>384</v>
      </c>
      <c r="J80" s="137" t="s">
        <v>20660</v>
      </c>
      <c r="K80" s="137">
        <v>22</v>
      </c>
      <c r="L80" s="133" t="str">
        <f t="shared" si="1"/>
        <v>001</v>
      </c>
    </row>
    <row r="81" spans="1:12" x14ac:dyDescent="0.3">
      <c r="A81" s="136">
        <v>77</v>
      </c>
      <c r="B81" s="137" t="s">
        <v>12701</v>
      </c>
      <c r="C81" s="10" t="str">
        <f>VLOOKUP(B81,'Data Angt'!$A$5:$B$5809,2,FALSE)</f>
        <v>A4401</v>
      </c>
      <c r="D81" s="137" t="s">
        <v>20661</v>
      </c>
      <c r="E81" s="137" t="s">
        <v>22</v>
      </c>
      <c r="F81" s="137">
        <v>82332276558</v>
      </c>
      <c r="G81" s="137" t="s">
        <v>24</v>
      </c>
      <c r="H81" s="138">
        <v>45310</v>
      </c>
      <c r="I81" s="139" t="s">
        <v>384</v>
      </c>
      <c r="J81" s="137" t="s">
        <v>20662</v>
      </c>
      <c r="K81" s="137">
        <v>51</v>
      </c>
      <c r="L81" s="133" t="str">
        <f t="shared" si="1"/>
        <v>001</v>
      </c>
    </row>
    <row r="82" spans="1:12" x14ac:dyDescent="0.3">
      <c r="A82" s="136">
        <v>78</v>
      </c>
      <c r="B82" s="137" t="s">
        <v>12703</v>
      </c>
      <c r="C82" s="10" t="str">
        <f>VLOOKUP(B82,'Data Angt'!$A$5:$B$5809,2,FALSE)</f>
        <v>A4402</v>
      </c>
      <c r="D82" s="137" t="s">
        <v>20663</v>
      </c>
      <c r="E82" s="137" t="s">
        <v>22</v>
      </c>
      <c r="F82" s="137">
        <v>89673617018</v>
      </c>
      <c r="G82" s="137" t="s">
        <v>16</v>
      </c>
      <c r="H82" s="138">
        <v>45313</v>
      </c>
      <c r="I82" s="139" t="s">
        <v>384</v>
      </c>
      <c r="J82" s="137" t="s">
        <v>20664</v>
      </c>
      <c r="K82" s="137">
        <v>27</v>
      </c>
      <c r="L82" s="133" t="str">
        <f t="shared" si="1"/>
        <v>001</v>
      </c>
    </row>
    <row r="83" spans="1:12" x14ac:dyDescent="0.3">
      <c r="A83" s="136">
        <v>79</v>
      </c>
      <c r="B83" s="137" t="s">
        <v>12706</v>
      </c>
      <c r="C83" s="10" t="str">
        <f>VLOOKUP(B83,'Data Angt'!$A$5:$B$5809,2,FALSE)</f>
        <v>A4403</v>
      </c>
      <c r="D83" s="137" t="s">
        <v>20665</v>
      </c>
      <c r="E83" s="137" t="s">
        <v>11</v>
      </c>
      <c r="F83" s="137">
        <v>81336660477</v>
      </c>
      <c r="G83" s="137" t="s">
        <v>109</v>
      </c>
      <c r="H83" s="138">
        <v>45313</v>
      </c>
      <c r="I83" s="139" t="s">
        <v>384</v>
      </c>
      <c r="J83" s="137" t="s">
        <v>20666</v>
      </c>
      <c r="K83" s="137">
        <v>43</v>
      </c>
      <c r="L83" s="133" t="str">
        <f t="shared" si="1"/>
        <v>002</v>
      </c>
    </row>
    <row r="84" spans="1:12" x14ac:dyDescent="0.3">
      <c r="A84" s="136">
        <v>80</v>
      </c>
      <c r="B84" s="137" t="s">
        <v>12708</v>
      </c>
      <c r="C84" s="10" t="str">
        <f>VLOOKUP(B84,'Data Angt'!$A$5:$B$5809,2,FALSE)</f>
        <v>A4404</v>
      </c>
      <c r="D84" s="137" t="s">
        <v>20667</v>
      </c>
      <c r="E84" s="137" t="s">
        <v>11</v>
      </c>
      <c r="F84" s="137">
        <v>89665331750</v>
      </c>
      <c r="G84" s="137" t="s">
        <v>46</v>
      </c>
      <c r="H84" s="138">
        <v>45313</v>
      </c>
      <c r="I84" s="139" t="s">
        <v>384</v>
      </c>
      <c r="J84" s="137" t="s">
        <v>20514</v>
      </c>
      <c r="K84" s="137">
        <v>25</v>
      </c>
      <c r="L84" s="133" t="str">
        <f t="shared" si="1"/>
        <v>004</v>
      </c>
    </row>
    <row r="85" spans="1:12" x14ac:dyDescent="0.3">
      <c r="A85" s="136">
        <v>81</v>
      </c>
      <c r="B85" s="137" t="s">
        <v>12711</v>
      </c>
      <c r="C85" s="10" t="str">
        <f>VLOOKUP(B85,'Data Angt'!$A$5:$B$5809,2,FALSE)</f>
        <v>A4405</v>
      </c>
      <c r="D85" s="137" t="s">
        <v>20668</v>
      </c>
      <c r="E85" s="137" t="s">
        <v>22</v>
      </c>
      <c r="F85" s="137">
        <v>82244785430</v>
      </c>
      <c r="G85" s="137" t="s">
        <v>46</v>
      </c>
      <c r="H85" s="138">
        <v>45313</v>
      </c>
      <c r="I85" s="139" t="s">
        <v>384</v>
      </c>
      <c r="J85" s="137" t="s">
        <v>20669</v>
      </c>
      <c r="K85" s="137">
        <v>45</v>
      </c>
      <c r="L85" s="133" t="str">
        <f t="shared" si="1"/>
        <v>003</v>
      </c>
    </row>
    <row r="86" spans="1:12" x14ac:dyDescent="0.3">
      <c r="A86" s="136">
        <v>82</v>
      </c>
      <c r="B86" s="137" t="s">
        <v>20670</v>
      </c>
      <c r="C86" s="10" t="e">
        <f>VLOOKUP(B86,'Data Angt'!$A$5:$B$5809,2,FALSE)</f>
        <v>#N/A</v>
      </c>
      <c r="D86" s="137" t="s">
        <v>20671</v>
      </c>
      <c r="E86" s="137" t="s">
        <v>22</v>
      </c>
      <c r="F86" s="137">
        <v>82338884546</v>
      </c>
      <c r="G86" s="137" t="s">
        <v>46</v>
      </c>
      <c r="H86" s="138">
        <v>45313</v>
      </c>
      <c r="I86" s="138">
        <v>45838</v>
      </c>
      <c r="J86" s="137" t="s">
        <v>20672</v>
      </c>
      <c r="K86" s="137">
        <v>45</v>
      </c>
      <c r="L86" s="133" t="str">
        <f t="shared" si="1"/>
        <v>003</v>
      </c>
    </row>
    <row r="87" spans="1:12" x14ac:dyDescent="0.3">
      <c r="A87" s="136">
        <v>83</v>
      </c>
      <c r="B87" s="137" t="s">
        <v>12714</v>
      </c>
      <c r="C87" s="10" t="str">
        <f>VLOOKUP(B87,'Data Angt'!$A$5:$B$5809,2,FALSE)</f>
        <v>A4406</v>
      </c>
      <c r="D87" s="137" t="s">
        <v>20673</v>
      </c>
      <c r="E87" s="137" t="s">
        <v>22</v>
      </c>
      <c r="F87" s="137">
        <v>85707689272</v>
      </c>
      <c r="G87" s="137" t="s">
        <v>31</v>
      </c>
      <c r="H87" s="138">
        <v>45313</v>
      </c>
      <c r="I87" s="139" t="s">
        <v>384</v>
      </c>
      <c r="J87" s="137" t="s">
        <v>20674</v>
      </c>
      <c r="K87" s="137">
        <v>71</v>
      </c>
      <c r="L87" s="133" t="str">
        <f t="shared" si="1"/>
        <v>001</v>
      </c>
    </row>
    <row r="88" spans="1:12" x14ac:dyDescent="0.3">
      <c r="A88" s="136">
        <v>84</v>
      </c>
      <c r="B88" s="137" t="s">
        <v>12715</v>
      </c>
      <c r="C88" s="10" t="str">
        <f>VLOOKUP(B88,'Data Angt'!$A$5:$B$5809,2,FALSE)</f>
        <v>A4407</v>
      </c>
      <c r="D88" s="137" t="s">
        <v>20675</v>
      </c>
      <c r="E88" s="137" t="s">
        <v>11</v>
      </c>
      <c r="F88" s="137">
        <v>85204956317</v>
      </c>
      <c r="G88" s="137" t="s">
        <v>109</v>
      </c>
      <c r="H88" s="138">
        <v>45315</v>
      </c>
      <c r="I88" s="139" t="s">
        <v>384</v>
      </c>
      <c r="J88" s="137" t="s">
        <v>20676</v>
      </c>
      <c r="K88" s="137">
        <v>33</v>
      </c>
      <c r="L88" s="133" t="str">
        <f t="shared" si="1"/>
        <v>001</v>
      </c>
    </row>
    <row r="89" spans="1:12" x14ac:dyDescent="0.3">
      <c r="A89" s="136">
        <v>85</v>
      </c>
      <c r="B89" s="137" t="s">
        <v>12717</v>
      </c>
      <c r="C89" s="10" t="str">
        <f>VLOOKUP(B89,'Data Angt'!$A$5:$B$5809,2,FALSE)</f>
        <v>A4408</v>
      </c>
      <c r="D89" s="137" t="s">
        <v>20677</v>
      </c>
      <c r="E89" s="137" t="s">
        <v>22</v>
      </c>
      <c r="F89" s="137">
        <v>82332792346</v>
      </c>
      <c r="G89" s="137" t="s">
        <v>109</v>
      </c>
      <c r="H89" s="138">
        <v>45315</v>
      </c>
      <c r="I89" s="139" t="s">
        <v>384</v>
      </c>
      <c r="J89" s="137" t="s">
        <v>20678</v>
      </c>
      <c r="K89" s="137">
        <v>21</v>
      </c>
      <c r="L89" s="133" t="str">
        <f t="shared" si="1"/>
        <v>001</v>
      </c>
    </row>
    <row r="90" spans="1:12" x14ac:dyDescent="0.3">
      <c r="A90" s="136">
        <v>86</v>
      </c>
      <c r="B90" s="137" t="s">
        <v>12721</v>
      </c>
      <c r="C90" s="10" t="str">
        <f>VLOOKUP(B90,'Data Angt'!$A$5:$B$5809,2,FALSE)</f>
        <v>A4409</v>
      </c>
      <c r="D90" s="137" t="s">
        <v>20679</v>
      </c>
      <c r="E90" s="137" t="s">
        <v>22</v>
      </c>
      <c r="F90" s="137">
        <v>81359530880</v>
      </c>
      <c r="G90" s="137" t="s">
        <v>109</v>
      </c>
      <c r="H90" s="138">
        <v>45315</v>
      </c>
      <c r="I90" s="139" t="s">
        <v>384</v>
      </c>
      <c r="J90" s="137" t="s">
        <v>20680</v>
      </c>
      <c r="K90" s="137">
        <v>44</v>
      </c>
      <c r="L90" s="133" t="str">
        <f t="shared" si="1"/>
        <v>005</v>
      </c>
    </row>
    <row r="91" spans="1:12" x14ac:dyDescent="0.3">
      <c r="A91" s="136">
        <v>87</v>
      </c>
      <c r="B91" s="137" t="s">
        <v>12723</v>
      </c>
      <c r="C91" s="10" t="str">
        <f>VLOOKUP(B91,'Data Angt'!$A$5:$B$5809,2,FALSE)</f>
        <v>A4410</v>
      </c>
      <c r="D91" s="137" t="s">
        <v>20681</v>
      </c>
      <c r="E91" s="137" t="s">
        <v>22</v>
      </c>
      <c r="F91" s="137">
        <v>81216459740</v>
      </c>
      <c r="G91" s="137" t="s">
        <v>46</v>
      </c>
      <c r="H91" s="138">
        <v>45316</v>
      </c>
      <c r="I91" s="139" t="s">
        <v>384</v>
      </c>
      <c r="J91" s="137" t="s">
        <v>20682</v>
      </c>
      <c r="K91" s="137">
        <v>31</v>
      </c>
      <c r="L91" s="133" t="str">
        <f t="shared" si="1"/>
        <v>003</v>
      </c>
    </row>
    <row r="92" spans="1:12" x14ac:dyDescent="0.3">
      <c r="A92" s="136">
        <v>88</v>
      </c>
      <c r="B92" s="137" t="s">
        <v>12725</v>
      </c>
      <c r="C92" s="10" t="str">
        <f>VLOOKUP(B92,'Data Angt'!$A$5:$B$5809,2,FALSE)</f>
        <v>A4411</v>
      </c>
      <c r="D92" s="137" t="s">
        <v>20683</v>
      </c>
      <c r="E92" s="137" t="s">
        <v>11</v>
      </c>
      <c r="F92" s="137">
        <v>85749104206</v>
      </c>
      <c r="G92" s="137" t="s">
        <v>133</v>
      </c>
      <c r="H92" s="138">
        <v>45317</v>
      </c>
      <c r="I92" s="139" t="s">
        <v>384</v>
      </c>
      <c r="J92" s="137" t="s">
        <v>20684</v>
      </c>
      <c r="K92" s="137">
        <v>42</v>
      </c>
      <c r="L92" s="133" t="str">
        <f t="shared" si="1"/>
        <v>005</v>
      </c>
    </row>
    <row r="93" spans="1:12" x14ac:dyDescent="0.3">
      <c r="A93" s="136">
        <v>89</v>
      </c>
      <c r="B93" s="137" t="s">
        <v>20685</v>
      </c>
      <c r="C93" s="10" t="e">
        <f>VLOOKUP(B93,'Data Angt'!$A$5:$B$5809,2,FALSE)</f>
        <v>#N/A</v>
      </c>
      <c r="D93" s="137" t="s">
        <v>20686</v>
      </c>
      <c r="E93" s="137" t="s">
        <v>11</v>
      </c>
      <c r="F93" s="137">
        <v>81917034442</v>
      </c>
      <c r="G93" s="137" t="s">
        <v>1439</v>
      </c>
      <c r="H93" s="138">
        <v>45317</v>
      </c>
      <c r="I93" s="138">
        <v>45808</v>
      </c>
      <c r="J93" s="137" t="s">
        <v>20687</v>
      </c>
      <c r="K93" s="137">
        <v>44</v>
      </c>
      <c r="L93" s="133" t="str">
        <f t="shared" si="1"/>
        <v>004</v>
      </c>
    </row>
    <row r="94" spans="1:12" x14ac:dyDescent="0.3">
      <c r="A94" s="136">
        <v>90</v>
      </c>
      <c r="B94" s="137" t="s">
        <v>20688</v>
      </c>
      <c r="C94" s="10" t="e">
        <f>VLOOKUP(B94,'Data Angt'!$A$5:$B$5809,2,FALSE)</f>
        <v>#N/A</v>
      </c>
      <c r="D94" s="137" t="s">
        <v>20689</v>
      </c>
      <c r="E94" s="137" t="s">
        <v>22</v>
      </c>
      <c r="F94" s="137">
        <v>8980686717</v>
      </c>
      <c r="G94" s="137" t="s">
        <v>337</v>
      </c>
      <c r="H94" s="138">
        <v>45317</v>
      </c>
      <c r="I94" s="138">
        <v>45736</v>
      </c>
      <c r="J94" s="137" t="s">
        <v>20690</v>
      </c>
      <c r="K94" s="137">
        <v>18</v>
      </c>
      <c r="L94" s="133" t="str">
        <f t="shared" si="1"/>
        <v>003</v>
      </c>
    </row>
    <row r="95" spans="1:12" x14ac:dyDescent="0.3">
      <c r="A95" s="136">
        <v>91</v>
      </c>
      <c r="B95" s="137" t="s">
        <v>12726</v>
      </c>
      <c r="C95" s="10" t="str">
        <f>VLOOKUP(B95,'Data Angt'!$A$5:$B$5809,2,FALSE)</f>
        <v>A4412</v>
      </c>
      <c r="D95" s="137" t="s">
        <v>20691</v>
      </c>
      <c r="E95" s="137" t="s">
        <v>22</v>
      </c>
      <c r="F95" s="137">
        <v>85216018290</v>
      </c>
      <c r="G95" s="137" t="s">
        <v>109</v>
      </c>
      <c r="H95" s="138">
        <v>45318</v>
      </c>
      <c r="I95" s="139" t="s">
        <v>384</v>
      </c>
      <c r="J95" s="137" t="s">
        <v>20692</v>
      </c>
      <c r="K95" s="137">
        <v>23</v>
      </c>
      <c r="L95" s="133" t="str">
        <f t="shared" si="1"/>
        <v>003</v>
      </c>
    </row>
    <row r="96" spans="1:12" x14ac:dyDescent="0.3">
      <c r="A96" s="136">
        <v>92</v>
      </c>
      <c r="B96" s="137" t="s">
        <v>12730</v>
      </c>
      <c r="C96" s="10" t="str">
        <f>VLOOKUP(B96,'Data Angt'!$A$5:$B$5809,2,FALSE)</f>
        <v>A4413</v>
      </c>
      <c r="D96" s="137" t="s">
        <v>20693</v>
      </c>
      <c r="E96" s="137" t="s">
        <v>11</v>
      </c>
      <c r="F96" s="137">
        <v>8124972800</v>
      </c>
      <c r="G96" s="137" t="s">
        <v>109</v>
      </c>
      <c r="H96" s="138">
        <v>45318</v>
      </c>
      <c r="I96" s="139" t="s">
        <v>384</v>
      </c>
      <c r="J96" s="137" t="s">
        <v>20694</v>
      </c>
      <c r="K96" s="137">
        <v>57</v>
      </c>
      <c r="L96" s="133" t="str">
        <f t="shared" si="1"/>
        <v>003</v>
      </c>
    </row>
    <row r="97" spans="1:12" x14ac:dyDescent="0.3">
      <c r="A97" s="136">
        <v>93</v>
      </c>
      <c r="B97" s="137" t="s">
        <v>12733</v>
      </c>
      <c r="C97" s="10" t="str">
        <f>VLOOKUP(B97,'Data Angt'!$A$5:$B$5809,2,FALSE)</f>
        <v>A4414</v>
      </c>
      <c r="D97" s="137" t="s">
        <v>20695</v>
      </c>
      <c r="E97" s="137" t="s">
        <v>11</v>
      </c>
      <c r="F97" s="137">
        <v>82132812134</v>
      </c>
      <c r="G97" s="137" t="s">
        <v>109</v>
      </c>
      <c r="H97" s="138">
        <v>45320</v>
      </c>
      <c r="I97" s="139" t="s">
        <v>384</v>
      </c>
      <c r="J97" s="137" t="s">
        <v>20696</v>
      </c>
      <c r="K97" s="137">
        <v>35</v>
      </c>
      <c r="L97" s="133" t="str">
        <f t="shared" si="1"/>
        <v>003</v>
      </c>
    </row>
    <row r="98" spans="1:12" x14ac:dyDescent="0.3">
      <c r="A98" s="136">
        <v>94</v>
      </c>
      <c r="B98" s="137" t="s">
        <v>12735</v>
      </c>
      <c r="C98" s="10" t="str">
        <f>VLOOKUP(B98,'Data Angt'!$A$5:$B$5809,2,FALSE)</f>
        <v>A4415</v>
      </c>
      <c r="D98" s="137" t="s">
        <v>20697</v>
      </c>
      <c r="E98" s="137" t="s">
        <v>22</v>
      </c>
      <c r="F98" s="137">
        <v>82331351178</v>
      </c>
      <c r="G98" s="137" t="s">
        <v>46</v>
      </c>
      <c r="H98" s="138">
        <v>45320</v>
      </c>
      <c r="I98" s="139" t="s">
        <v>384</v>
      </c>
      <c r="J98" s="137" t="s">
        <v>20698</v>
      </c>
      <c r="K98" s="137">
        <v>60</v>
      </c>
      <c r="L98" s="133" t="str">
        <f t="shared" si="1"/>
        <v>001</v>
      </c>
    </row>
    <row r="99" spans="1:12" x14ac:dyDescent="0.3">
      <c r="A99" s="136">
        <v>95</v>
      </c>
      <c r="B99" s="137" t="s">
        <v>12738</v>
      </c>
      <c r="C99" s="10" t="str">
        <f>VLOOKUP(B99,'Data Angt'!$A$5:$B$5809,2,FALSE)</f>
        <v>A4416</v>
      </c>
      <c r="D99" s="137" t="s">
        <v>20430</v>
      </c>
      <c r="E99" s="137" t="s">
        <v>11</v>
      </c>
      <c r="F99" s="137">
        <v>817305112</v>
      </c>
      <c r="G99" s="137" t="s">
        <v>109</v>
      </c>
      <c r="H99" s="138">
        <v>45321</v>
      </c>
      <c r="I99" s="139" t="s">
        <v>384</v>
      </c>
      <c r="J99" s="137" t="s">
        <v>20699</v>
      </c>
      <c r="K99" s="137">
        <v>49</v>
      </c>
      <c r="L99" s="133" t="str">
        <f t="shared" si="1"/>
        <v>005</v>
      </c>
    </row>
    <row r="100" spans="1:12" x14ac:dyDescent="0.3">
      <c r="A100" s="136">
        <v>96</v>
      </c>
      <c r="B100" s="137" t="s">
        <v>12741</v>
      </c>
      <c r="C100" s="10" t="str">
        <f>VLOOKUP(B100,'Data Angt'!$A$5:$B$5809,2,FALSE)</f>
        <v>A4417</v>
      </c>
      <c r="D100" s="137" t="s">
        <v>20700</v>
      </c>
      <c r="E100" s="137" t="s">
        <v>22</v>
      </c>
      <c r="F100" s="137">
        <v>82334104295</v>
      </c>
      <c r="G100" s="137" t="s">
        <v>31</v>
      </c>
      <c r="H100" s="138">
        <v>45321</v>
      </c>
      <c r="I100" s="139" t="s">
        <v>384</v>
      </c>
      <c r="J100" s="137" t="s">
        <v>20701</v>
      </c>
      <c r="K100" s="137">
        <v>42</v>
      </c>
      <c r="L100" s="133" t="str">
        <f t="shared" si="1"/>
        <v>004</v>
      </c>
    </row>
    <row r="101" spans="1:12" x14ac:dyDescent="0.3">
      <c r="A101" s="136">
        <v>97</v>
      </c>
      <c r="B101" s="137" t="s">
        <v>12743</v>
      </c>
      <c r="C101" s="10" t="str">
        <f>VLOOKUP(B101,'Data Angt'!$A$5:$B$5809,2,FALSE)</f>
        <v>A4418</v>
      </c>
      <c r="D101" s="137" t="s">
        <v>20702</v>
      </c>
      <c r="E101" s="137" t="s">
        <v>22</v>
      </c>
      <c r="F101" s="137">
        <v>85330145691</v>
      </c>
      <c r="G101" s="137" t="s">
        <v>172</v>
      </c>
      <c r="H101" s="138">
        <v>45324</v>
      </c>
      <c r="I101" s="139" t="s">
        <v>384</v>
      </c>
      <c r="J101" s="137" t="s">
        <v>20703</v>
      </c>
      <c r="K101" s="137">
        <v>40</v>
      </c>
      <c r="L101" s="133" t="str">
        <f t="shared" si="1"/>
        <v>001</v>
      </c>
    </row>
    <row r="102" spans="1:12" x14ac:dyDescent="0.3">
      <c r="A102" s="136">
        <v>98</v>
      </c>
      <c r="B102" s="137" t="s">
        <v>12746</v>
      </c>
      <c r="C102" s="10" t="str">
        <f>VLOOKUP(B102,'Data Angt'!$A$5:$B$5809,2,FALSE)</f>
        <v>A4419</v>
      </c>
      <c r="D102" s="137" t="s">
        <v>20704</v>
      </c>
      <c r="E102" s="137" t="s">
        <v>22</v>
      </c>
      <c r="F102" s="137">
        <v>222</v>
      </c>
      <c r="G102" s="137" t="s">
        <v>109</v>
      </c>
      <c r="H102" s="138">
        <v>45327</v>
      </c>
      <c r="I102" s="139" t="s">
        <v>384</v>
      </c>
      <c r="J102" s="137" t="s">
        <v>20705</v>
      </c>
      <c r="K102" s="137">
        <v>43</v>
      </c>
      <c r="L102" s="133" t="str">
        <f t="shared" si="1"/>
        <v>001</v>
      </c>
    </row>
    <row r="103" spans="1:12" x14ac:dyDescent="0.3">
      <c r="A103" s="136">
        <v>99</v>
      </c>
      <c r="B103" s="137" t="s">
        <v>12749</v>
      </c>
      <c r="C103" s="10" t="str">
        <f>VLOOKUP(B103,'Data Angt'!$A$5:$B$5809,2,FALSE)</f>
        <v>A4420</v>
      </c>
      <c r="D103" s="137" t="s">
        <v>20706</v>
      </c>
      <c r="E103" s="137" t="s">
        <v>22</v>
      </c>
      <c r="F103" s="137">
        <v>87760417310</v>
      </c>
      <c r="G103" s="137" t="s">
        <v>46</v>
      </c>
      <c r="H103" s="138">
        <v>45327</v>
      </c>
      <c r="I103" s="139" t="s">
        <v>384</v>
      </c>
      <c r="J103" s="137" t="s">
        <v>20707</v>
      </c>
      <c r="K103" s="137">
        <v>31</v>
      </c>
      <c r="L103" s="133" t="str">
        <f t="shared" si="1"/>
        <v>001</v>
      </c>
    </row>
    <row r="104" spans="1:12" x14ac:dyDescent="0.3">
      <c r="A104" s="136">
        <v>100</v>
      </c>
      <c r="B104" s="137" t="s">
        <v>12750</v>
      </c>
      <c r="C104" s="10" t="str">
        <f>VLOOKUP(B104,'Data Angt'!$A$5:$B$5809,2,FALSE)</f>
        <v>A4421</v>
      </c>
      <c r="D104" s="137" t="s">
        <v>20708</v>
      </c>
      <c r="E104" s="137" t="s">
        <v>22</v>
      </c>
      <c r="F104" s="137">
        <v>81236141561</v>
      </c>
      <c r="G104" s="137" t="s">
        <v>31</v>
      </c>
      <c r="H104" s="138">
        <v>45327</v>
      </c>
      <c r="I104" s="139" t="s">
        <v>384</v>
      </c>
      <c r="J104" s="137" t="s">
        <v>20709</v>
      </c>
      <c r="K104" s="137">
        <v>40</v>
      </c>
      <c r="L104" s="133" t="str">
        <f t="shared" si="1"/>
        <v>005</v>
      </c>
    </row>
    <row r="105" spans="1:12" x14ac:dyDescent="0.3">
      <c r="A105" s="136">
        <v>101</v>
      </c>
      <c r="B105" s="137" t="s">
        <v>12752</v>
      </c>
      <c r="C105" s="10" t="str">
        <f>VLOOKUP(B105,'Data Angt'!$A$5:$B$5809,2,FALSE)</f>
        <v>A4422</v>
      </c>
      <c r="D105" s="137" t="s">
        <v>20710</v>
      </c>
      <c r="E105" s="137" t="s">
        <v>11</v>
      </c>
      <c r="F105" s="137">
        <v>82229789157</v>
      </c>
      <c r="G105" s="137" t="s">
        <v>1331</v>
      </c>
      <c r="H105" s="138">
        <v>45329</v>
      </c>
      <c r="I105" s="139" t="s">
        <v>384</v>
      </c>
      <c r="J105" s="137" t="s">
        <v>20711</v>
      </c>
      <c r="K105" s="137">
        <v>44</v>
      </c>
      <c r="L105" s="133" t="str">
        <f t="shared" si="1"/>
        <v>002</v>
      </c>
    </row>
    <row r="106" spans="1:12" x14ac:dyDescent="0.3">
      <c r="A106" s="136">
        <v>102</v>
      </c>
      <c r="B106" s="137" t="s">
        <v>20712</v>
      </c>
      <c r="C106" s="10" t="e">
        <f>VLOOKUP(B106,'Data Angt'!$A$5:$B$5809,2,FALSE)</f>
        <v>#N/A</v>
      </c>
      <c r="D106" s="137" t="s">
        <v>20713</v>
      </c>
      <c r="E106" s="137" t="s">
        <v>22</v>
      </c>
      <c r="F106" s="137">
        <v>85232437275</v>
      </c>
      <c r="G106" s="137" t="s">
        <v>46</v>
      </c>
      <c r="H106" s="138">
        <v>45329</v>
      </c>
      <c r="I106" s="138">
        <v>45842</v>
      </c>
      <c r="J106" s="137" t="s">
        <v>20714</v>
      </c>
      <c r="K106" s="137">
        <v>59</v>
      </c>
      <c r="L106" s="133" t="str">
        <f t="shared" si="1"/>
        <v>001</v>
      </c>
    </row>
    <row r="107" spans="1:12" x14ac:dyDescent="0.3">
      <c r="A107" s="136">
        <v>103</v>
      </c>
      <c r="B107" s="137" t="s">
        <v>12754</v>
      </c>
      <c r="C107" s="10" t="str">
        <f>VLOOKUP(B107,'Data Angt'!$A$5:$B$5809,2,FALSE)</f>
        <v>A4423</v>
      </c>
      <c r="D107" s="137" t="s">
        <v>20715</v>
      </c>
      <c r="E107" s="137" t="s">
        <v>22</v>
      </c>
      <c r="F107" s="137">
        <v>85607003720</v>
      </c>
      <c r="G107" s="137" t="s">
        <v>109</v>
      </c>
      <c r="H107" s="138">
        <v>45334</v>
      </c>
      <c r="I107" s="139" t="s">
        <v>384</v>
      </c>
      <c r="J107" s="137" t="s">
        <v>19274</v>
      </c>
      <c r="K107" s="137">
        <v>24</v>
      </c>
      <c r="L107" s="133" t="str">
        <f t="shared" si="1"/>
        <v>004</v>
      </c>
    </row>
    <row r="108" spans="1:12" x14ac:dyDescent="0.3">
      <c r="A108" s="136">
        <v>104</v>
      </c>
      <c r="B108" s="137" t="s">
        <v>12757</v>
      </c>
      <c r="C108" s="10" t="str">
        <f>VLOOKUP(B108,'Data Angt'!$A$5:$B$5809,2,FALSE)</f>
        <v>A4424</v>
      </c>
      <c r="D108" s="137" t="s">
        <v>20716</v>
      </c>
      <c r="E108" s="137" t="s">
        <v>11</v>
      </c>
      <c r="F108" s="137">
        <v>81278953753</v>
      </c>
      <c r="G108" s="137" t="s">
        <v>370</v>
      </c>
      <c r="H108" s="138">
        <v>45334</v>
      </c>
      <c r="I108" s="139" t="s">
        <v>384</v>
      </c>
      <c r="J108" s="137" t="s">
        <v>20389</v>
      </c>
      <c r="K108" s="137">
        <v>60</v>
      </c>
      <c r="L108" s="133" t="str">
        <f t="shared" si="1"/>
        <v>004</v>
      </c>
    </row>
    <row r="109" spans="1:12" x14ac:dyDescent="0.3">
      <c r="A109" s="136">
        <v>105</v>
      </c>
      <c r="B109" s="137" t="s">
        <v>12759</v>
      </c>
      <c r="C109" s="10" t="str">
        <f>VLOOKUP(B109,'Data Angt'!$A$5:$B$5809,2,FALSE)</f>
        <v>A4425</v>
      </c>
      <c r="D109" s="137" t="s">
        <v>20717</v>
      </c>
      <c r="E109" s="137" t="s">
        <v>22</v>
      </c>
      <c r="F109" s="137">
        <v>82115567276</v>
      </c>
      <c r="G109" s="137" t="s">
        <v>31</v>
      </c>
      <c r="H109" s="138">
        <v>45334</v>
      </c>
      <c r="I109" s="139" t="s">
        <v>384</v>
      </c>
      <c r="J109" s="137" t="s">
        <v>20718</v>
      </c>
      <c r="K109" s="137">
        <v>48</v>
      </c>
      <c r="L109" s="133" t="str">
        <f t="shared" si="1"/>
        <v>006</v>
      </c>
    </row>
    <row r="110" spans="1:12" x14ac:dyDescent="0.3">
      <c r="A110" s="136">
        <v>106</v>
      </c>
      <c r="B110" s="137" t="s">
        <v>12761</v>
      </c>
      <c r="C110" s="10" t="str">
        <f>VLOOKUP(B110,'Data Angt'!$A$5:$B$5809,2,FALSE)</f>
        <v>A4426</v>
      </c>
      <c r="D110" s="137" t="s">
        <v>20719</v>
      </c>
      <c r="E110" s="137" t="s">
        <v>22</v>
      </c>
      <c r="F110" s="137">
        <v>82230123460</v>
      </c>
      <c r="G110" s="137" t="s">
        <v>109</v>
      </c>
      <c r="H110" s="138">
        <v>45334</v>
      </c>
      <c r="I110" s="139" t="s">
        <v>384</v>
      </c>
      <c r="J110" s="137" t="s">
        <v>20720</v>
      </c>
      <c r="K110" s="137">
        <v>25</v>
      </c>
      <c r="L110" s="133" t="str">
        <f t="shared" si="1"/>
        <v>003</v>
      </c>
    </row>
    <row r="111" spans="1:12" x14ac:dyDescent="0.3">
      <c r="A111" s="136">
        <v>107</v>
      </c>
      <c r="B111" s="137" t="s">
        <v>12764</v>
      </c>
      <c r="C111" s="10" t="str">
        <f>VLOOKUP(B111,'Data Angt'!$A$5:$B$5809,2,FALSE)</f>
        <v>A4427</v>
      </c>
      <c r="D111" s="137" t="s">
        <v>20721</v>
      </c>
      <c r="E111" s="137" t="s">
        <v>22</v>
      </c>
      <c r="F111" s="137">
        <v>81232287478</v>
      </c>
      <c r="G111" s="137" t="s">
        <v>13</v>
      </c>
      <c r="H111" s="138">
        <v>45334</v>
      </c>
      <c r="I111" s="139" t="s">
        <v>384</v>
      </c>
      <c r="J111" s="137" t="s">
        <v>20722</v>
      </c>
      <c r="K111" s="137">
        <v>62</v>
      </c>
      <c r="L111" s="133" t="str">
        <f t="shared" si="1"/>
        <v>003</v>
      </c>
    </row>
    <row r="112" spans="1:12" x14ac:dyDescent="0.3">
      <c r="A112" s="136">
        <v>108</v>
      </c>
      <c r="B112" s="137" t="s">
        <v>12767</v>
      </c>
      <c r="C112" s="10" t="str">
        <f>VLOOKUP(B112,'Data Angt'!$A$5:$B$5809,2,FALSE)</f>
        <v>A4428</v>
      </c>
      <c r="D112" s="137" t="s">
        <v>20723</v>
      </c>
      <c r="E112" s="137" t="s">
        <v>22</v>
      </c>
      <c r="F112" s="137">
        <v>881027183283</v>
      </c>
      <c r="G112" s="137" t="s">
        <v>46</v>
      </c>
      <c r="H112" s="138">
        <v>45334</v>
      </c>
      <c r="I112" s="139" t="s">
        <v>384</v>
      </c>
      <c r="J112" s="137" t="s">
        <v>20724</v>
      </c>
      <c r="K112" s="137">
        <v>50</v>
      </c>
      <c r="L112" s="133" t="str">
        <f t="shared" si="1"/>
        <v>003</v>
      </c>
    </row>
    <row r="113" spans="1:12" x14ac:dyDescent="0.3">
      <c r="A113" s="136">
        <v>109</v>
      </c>
      <c r="B113" s="137" t="s">
        <v>12770</v>
      </c>
      <c r="C113" s="10" t="str">
        <f>VLOOKUP(B113,'Data Angt'!$A$5:$B$5809,2,FALSE)</f>
        <v>A4429</v>
      </c>
      <c r="D113" s="137" t="s">
        <v>20725</v>
      </c>
      <c r="E113" s="137" t="s">
        <v>11</v>
      </c>
      <c r="F113" s="137">
        <v>85746954254</v>
      </c>
      <c r="G113" s="137" t="s">
        <v>109</v>
      </c>
      <c r="H113" s="138">
        <v>45334</v>
      </c>
      <c r="I113" s="139" t="s">
        <v>384</v>
      </c>
      <c r="J113" s="137" t="s">
        <v>19274</v>
      </c>
      <c r="K113" s="137">
        <v>53</v>
      </c>
      <c r="L113" s="133" t="str">
        <f t="shared" si="1"/>
        <v>002</v>
      </c>
    </row>
    <row r="114" spans="1:12" x14ac:dyDescent="0.3">
      <c r="A114" s="136">
        <v>110</v>
      </c>
      <c r="B114" s="137" t="s">
        <v>12772</v>
      </c>
      <c r="C114" s="10" t="str">
        <f>VLOOKUP(B114,'Data Angt'!$A$5:$B$5809,2,FALSE)</f>
        <v>A4430</v>
      </c>
      <c r="D114" s="137" t="s">
        <v>20726</v>
      </c>
      <c r="E114" s="137" t="s">
        <v>22</v>
      </c>
      <c r="F114" s="137">
        <v>82141011710</v>
      </c>
      <c r="G114" s="137" t="s">
        <v>370</v>
      </c>
      <c r="H114" s="138">
        <v>45335</v>
      </c>
      <c r="I114" s="139" t="s">
        <v>384</v>
      </c>
      <c r="J114" s="137" t="s">
        <v>20727</v>
      </c>
      <c r="K114" s="137">
        <v>45</v>
      </c>
      <c r="L114" s="133" t="str">
        <f t="shared" si="1"/>
        <v>004</v>
      </c>
    </row>
    <row r="115" spans="1:12" x14ac:dyDescent="0.3">
      <c r="A115" s="136">
        <v>111</v>
      </c>
      <c r="B115" s="137" t="s">
        <v>12775</v>
      </c>
      <c r="C115" s="10" t="str">
        <f>VLOOKUP(B115,'Data Angt'!$A$5:$B$5809,2,FALSE)</f>
        <v>A4431</v>
      </c>
      <c r="D115" s="137" t="s">
        <v>20728</v>
      </c>
      <c r="E115" s="137" t="s">
        <v>22</v>
      </c>
      <c r="F115" s="137">
        <v>82139330399</v>
      </c>
      <c r="G115" s="137" t="s">
        <v>16</v>
      </c>
      <c r="H115" s="138">
        <v>45337</v>
      </c>
      <c r="I115" s="139" t="s">
        <v>384</v>
      </c>
      <c r="J115" s="137" t="s">
        <v>20232</v>
      </c>
      <c r="K115" s="137">
        <v>36</v>
      </c>
      <c r="L115" s="133" t="str">
        <f t="shared" si="1"/>
        <v>002</v>
      </c>
    </row>
    <row r="116" spans="1:12" x14ac:dyDescent="0.3">
      <c r="A116" s="136">
        <v>112</v>
      </c>
      <c r="B116" s="137" t="s">
        <v>12778</v>
      </c>
      <c r="C116" s="10" t="str">
        <f>VLOOKUP(B116,'Data Angt'!$A$5:$B$5809,2,FALSE)</f>
        <v>A4432</v>
      </c>
      <c r="D116" s="137" t="s">
        <v>20729</v>
      </c>
      <c r="E116" s="137" t="s">
        <v>22</v>
      </c>
      <c r="F116" s="137">
        <v>85741701451</v>
      </c>
      <c r="G116" s="137" t="s">
        <v>31</v>
      </c>
      <c r="H116" s="138">
        <v>45337</v>
      </c>
      <c r="I116" s="139" t="s">
        <v>384</v>
      </c>
      <c r="J116" s="137" t="s">
        <v>20730</v>
      </c>
      <c r="K116" s="137">
        <v>37</v>
      </c>
      <c r="L116" s="133" t="str">
        <f t="shared" si="1"/>
        <v>001</v>
      </c>
    </row>
    <row r="117" spans="1:12" x14ac:dyDescent="0.3">
      <c r="A117" s="136">
        <v>113</v>
      </c>
      <c r="B117" s="137" t="s">
        <v>12779</v>
      </c>
      <c r="C117" s="10" t="str">
        <f>VLOOKUP(B117,'Data Angt'!$A$5:$B$5809,2,FALSE)</f>
        <v>A4433</v>
      </c>
      <c r="D117" s="137" t="s">
        <v>20731</v>
      </c>
      <c r="E117" s="137" t="s">
        <v>22</v>
      </c>
      <c r="F117" s="137">
        <v>82333898751</v>
      </c>
      <c r="G117" s="137" t="s">
        <v>109</v>
      </c>
      <c r="H117" s="138">
        <v>45337</v>
      </c>
      <c r="I117" s="139" t="s">
        <v>384</v>
      </c>
      <c r="J117" s="137" t="s">
        <v>20732</v>
      </c>
      <c r="K117" s="137">
        <v>23</v>
      </c>
      <c r="L117" s="133" t="str">
        <f t="shared" si="1"/>
        <v>004</v>
      </c>
    </row>
    <row r="118" spans="1:12" x14ac:dyDescent="0.3">
      <c r="A118" s="136">
        <v>114</v>
      </c>
      <c r="B118" s="137" t="s">
        <v>12782</v>
      </c>
      <c r="C118" s="10" t="str">
        <f>VLOOKUP(B118,'Data Angt'!$A$5:$B$5809,2,FALSE)</f>
        <v>A4434</v>
      </c>
      <c r="D118" s="137" t="s">
        <v>20733</v>
      </c>
      <c r="E118" s="137" t="s">
        <v>22</v>
      </c>
      <c r="F118" s="137">
        <v>89528717552</v>
      </c>
      <c r="G118" s="137" t="s">
        <v>109</v>
      </c>
      <c r="H118" s="138">
        <v>45338</v>
      </c>
      <c r="I118" s="139" t="s">
        <v>384</v>
      </c>
      <c r="J118" s="137" t="s">
        <v>20734</v>
      </c>
      <c r="K118" s="137">
        <v>29</v>
      </c>
      <c r="L118" s="133" t="str">
        <f t="shared" si="1"/>
        <v>001</v>
      </c>
    </row>
    <row r="119" spans="1:12" x14ac:dyDescent="0.3">
      <c r="A119" s="136">
        <v>115</v>
      </c>
      <c r="B119" s="137" t="s">
        <v>12785</v>
      </c>
      <c r="C119" s="10" t="str">
        <f>VLOOKUP(B119,'Data Angt'!$A$5:$B$5809,2,FALSE)</f>
        <v>A4435</v>
      </c>
      <c r="D119" s="137" t="s">
        <v>20735</v>
      </c>
      <c r="E119" s="137" t="s">
        <v>22</v>
      </c>
      <c r="F119" s="137">
        <v>81228572181</v>
      </c>
      <c r="G119" s="137" t="s">
        <v>109</v>
      </c>
      <c r="H119" s="138">
        <v>45338</v>
      </c>
      <c r="I119" s="139" t="s">
        <v>384</v>
      </c>
      <c r="J119" s="137" t="s">
        <v>20736</v>
      </c>
      <c r="K119" s="137">
        <v>52</v>
      </c>
      <c r="L119" s="133" t="str">
        <f t="shared" si="1"/>
        <v>006</v>
      </c>
    </row>
    <row r="120" spans="1:12" x14ac:dyDescent="0.3">
      <c r="A120" s="136">
        <v>116</v>
      </c>
      <c r="B120" s="137" t="s">
        <v>12788</v>
      </c>
      <c r="C120" s="10" t="str">
        <f>VLOOKUP(B120,'Data Angt'!$A$5:$B$5809,2,FALSE)</f>
        <v>A4436</v>
      </c>
      <c r="D120" s="137" t="s">
        <v>20737</v>
      </c>
      <c r="E120" s="137" t="s">
        <v>22</v>
      </c>
      <c r="F120" s="137">
        <v>87787407844</v>
      </c>
      <c r="G120" s="137" t="s">
        <v>31</v>
      </c>
      <c r="H120" s="138">
        <v>45339</v>
      </c>
      <c r="I120" s="139" t="s">
        <v>384</v>
      </c>
      <c r="J120" s="137" t="s">
        <v>20738</v>
      </c>
      <c r="K120" s="137">
        <v>52</v>
      </c>
      <c r="L120" s="133" t="str">
        <f t="shared" si="1"/>
        <v>002</v>
      </c>
    </row>
    <row r="121" spans="1:12" x14ac:dyDescent="0.3">
      <c r="A121" s="136">
        <v>117</v>
      </c>
      <c r="B121" s="137" t="s">
        <v>12789</v>
      </c>
      <c r="C121" s="10" t="str">
        <f>VLOOKUP(B121,'Data Angt'!$A$5:$B$5809,2,FALSE)</f>
        <v>A4437</v>
      </c>
      <c r="D121" s="137" t="s">
        <v>20739</v>
      </c>
      <c r="E121" s="137" t="s">
        <v>11</v>
      </c>
      <c r="F121" s="137">
        <v>85257788956</v>
      </c>
      <c r="G121" s="137" t="s">
        <v>109</v>
      </c>
      <c r="H121" s="138">
        <v>45339</v>
      </c>
      <c r="I121" s="139" t="s">
        <v>384</v>
      </c>
      <c r="J121" s="137" t="s">
        <v>20740</v>
      </c>
      <c r="K121" s="137">
        <v>43</v>
      </c>
      <c r="L121" s="133" t="str">
        <f t="shared" si="1"/>
        <v>001</v>
      </c>
    </row>
    <row r="122" spans="1:12" x14ac:dyDescent="0.3">
      <c r="A122" s="136">
        <v>118</v>
      </c>
      <c r="B122" s="137" t="s">
        <v>12792</v>
      </c>
      <c r="C122" s="10" t="str">
        <f>VLOOKUP(B122,'Data Angt'!$A$5:$B$5809,2,FALSE)</f>
        <v>A4438</v>
      </c>
      <c r="D122" s="137" t="s">
        <v>20741</v>
      </c>
      <c r="E122" s="137" t="s">
        <v>11</v>
      </c>
      <c r="F122" s="137">
        <v>87786348353</v>
      </c>
      <c r="G122" s="137" t="s">
        <v>16</v>
      </c>
      <c r="H122" s="138">
        <v>45341</v>
      </c>
      <c r="I122" s="139" t="s">
        <v>384</v>
      </c>
      <c r="J122" s="137" t="s">
        <v>20742</v>
      </c>
      <c r="K122" s="137">
        <v>31</v>
      </c>
      <c r="L122" s="133" t="str">
        <f t="shared" si="1"/>
        <v>001</v>
      </c>
    </row>
    <row r="123" spans="1:12" x14ac:dyDescent="0.3">
      <c r="A123" s="136">
        <v>119</v>
      </c>
      <c r="B123" s="137" t="s">
        <v>12795</v>
      </c>
      <c r="C123" s="10" t="str">
        <f>VLOOKUP(B123,'Data Angt'!$A$5:$B$5809,2,FALSE)</f>
        <v>A4439</v>
      </c>
      <c r="D123" s="137" t="s">
        <v>20743</v>
      </c>
      <c r="E123" s="137" t="s">
        <v>22</v>
      </c>
      <c r="F123" s="137">
        <v>81230675446</v>
      </c>
      <c r="G123" s="137" t="s">
        <v>16</v>
      </c>
      <c r="H123" s="138">
        <v>45341</v>
      </c>
      <c r="I123" s="139" t="s">
        <v>384</v>
      </c>
      <c r="J123" s="137" t="s">
        <v>20742</v>
      </c>
      <c r="K123" s="137">
        <v>35</v>
      </c>
      <c r="L123" s="133" t="str">
        <f t="shared" si="1"/>
        <v>001</v>
      </c>
    </row>
    <row r="124" spans="1:12" x14ac:dyDescent="0.3">
      <c r="A124" s="136">
        <v>120</v>
      </c>
      <c r="B124" s="137" t="s">
        <v>20744</v>
      </c>
      <c r="C124" s="10" t="e">
        <f>VLOOKUP(B124,'Data Angt'!$A$5:$B$5809,2,FALSE)</f>
        <v>#N/A</v>
      </c>
      <c r="D124" s="137" t="s">
        <v>20745</v>
      </c>
      <c r="E124" s="137" t="s">
        <v>22</v>
      </c>
      <c r="F124" s="137">
        <v>81357189692</v>
      </c>
      <c r="G124" s="137" t="s">
        <v>337</v>
      </c>
      <c r="H124" s="138">
        <v>45341</v>
      </c>
      <c r="I124" s="138">
        <v>45720</v>
      </c>
      <c r="J124" s="137" t="s">
        <v>20746</v>
      </c>
      <c r="K124" s="137">
        <v>18</v>
      </c>
      <c r="L124" s="133" t="str">
        <f t="shared" si="1"/>
        <v>001</v>
      </c>
    </row>
    <row r="125" spans="1:12" x14ac:dyDescent="0.3">
      <c r="A125" s="136">
        <v>121</v>
      </c>
      <c r="B125" s="137" t="s">
        <v>12796</v>
      </c>
      <c r="C125" s="10" t="str">
        <f>VLOOKUP(B125,'Data Angt'!$A$5:$B$5809,2,FALSE)</f>
        <v>A4440</v>
      </c>
      <c r="D125" s="137" t="s">
        <v>20747</v>
      </c>
      <c r="E125" s="137" t="s">
        <v>22</v>
      </c>
      <c r="F125" s="137">
        <v>81358912780</v>
      </c>
      <c r="G125" s="137" t="s">
        <v>337</v>
      </c>
      <c r="H125" s="138">
        <v>45342</v>
      </c>
      <c r="I125" s="139" t="s">
        <v>384</v>
      </c>
      <c r="J125" s="137" t="s">
        <v>20748</v>
      </c>
      <c r="K125" s="137">
        <v>19</v>
      </c>
      <c r="L125" s="133" t="str">
        <f t="shared" si="1"/>
        <v>005</v>
      </c>
    </row>
    <row r="126" spans="1:12" x14ac:dyDescent="0.3">
      <c r="A126" s="136">
        <v>122</v>
      </c>
      <c r="B126" s="137" t="s">
        <v>20749</v>
      </c>
      <c r="C126" s="10" t="e">
        <f>VLOOKUP(B126,'Data Angt'!$A$5:$B$5809,2,FALSE)</f>
        <v>#N/A</v>
      </c>
      <c r="D126" s="137" t="s">
        <v>20750</v>
      </c>
      <c r="E126" s="137" t="s">
        <v>11</v>
      </c>
      <c r="F126" s="137">
        <v>89688345999</v>
      </c>
      <c r="G126" s="137" t="s">
        <v>109</v>
      </c>
      <c r="H126" s="138">
        <v>45342</v>
      </c>
      <c r="I126" s="138">
        <v>45812</v>
      </c>
      <c r="J126" s="137" t="s">
        <v>20751</v>
      </c>
      <c r="K126" s="137">
        <v>56</v>
      </c>
      <c r="L126" s="133" t="str">
        <f t="shared" si="1"/>
        <v>003</v>
      </c>
    </row>
    <row r="127" spans="1:12" x14ac:dyDescent="0.3">
      <c r="A127" s="136">
        <v>123</v>
      </c>
      <c r="B127" s="137" t="s">
        <v>12798</v>
      </c>
      <c r="C127" s="10" t="str">
        <f>VLOOKUP(B127,'Data Angt'!$A$5:$B$5809,2,FALSE)</f>
        <v>A4441</v>
      </c>
      <c r="D127" s="137" t="s">
        <v>20752</v>
      </c>
      <c r="E127" s="137" t="s">
        <v>11</v>
      </c>
      <c r="F127" s="137">
        <v>89674770305</v>
      </c>
      <c r="G127" s="137" t="s">
        <v>370</v>
      </c>
      <c r="H127" s="138">
        <v>45342</v>
      </c>
      <c r="I127" s="139" t="s">
        <v>384</v>
      </c>
      <c r="J127" s="137" t="s">
        <v>20753</v>
      </c>
      <c r="K127" s="137">
        <v>57</v>
      </c>
      <c r="L127" s="133" t="str">
        <f t="shared" si="1"/>
        <v>005</v>
      </c>
    </row>
    <row r="128" spans="1:12" x14ac:dyDescent="0.3">
      <c r="A128" s="136">
        <v>124</v>
      </c>
      <c r="B128" s="137" t="s">
        <v>12801</v>
      </c>
      <c r="C128" s="10" t="str">
        <f>VLOOKUP(B128,'Data Angt'!$A$5:$B$5809,2,FALSE)</f>
        <v>A4442</v>
      </c>
      <c r="D128" s="137" t="s">
        <v>20754</v>
      </c>
      <c r="E128" s="137" t="s">
        <v>22</v>
      </c>
      <c r="F128" s="137">
        <v>82331020401</v>
      </c>
      <c r="G128" s="137" t="s">
        <v>46</v>
      </c>
      <c r="H128" s="138">
        <v>45342</v>
      </c>
      <c r="I128" s="139" t="s">
        <v>384</v>
      </c>
      <c r="J128" s="137" t="s">
        <v>20755</v>
      </c>
      <c r="K128" s="137">
        <v>57</v>
      </c>
      <c r="L128" s="133" t="str">
        <f t="shared" si="1"/>
        <v>004</v>
      </c>
    </row>
    <row r="129" spans="1:12" x14ac:dyDescent="0.3">
      <c r="A129" s="136">
        <v>125</v>
      </c>
      <c r="B129" s="137" t="s">
        <v>12803</v>
      </c>
      <c r="C129" s="10" t="str">
        <f>VLOOKUP(B129,'Data Angt'!$A$5:$B$5809,2,FALSE)</f>
        <v>A4443</v>
      </c>
      <c r="D129" s="137" t="s">
        <v>20756</v>
      </c>
      <c r="E129" s="137" t="s">
        <v>22</v>
      </c>
      <c r="F129" s="137">
        <v>85733339262</v>
      </c>
      <c r="G129" s="137" t="s">
        <v>370</v>
      </c>
      <c r="H129" s="138">
        <v>45342</v>
      </c>
      <c r="I129" s="139" t="s">
        <v>384</v>
      </c>
      <c r="J129" s="137" t="s">
        <v>20757</v>
      </c>
      <c r="K129" s="137">
        <v>32</v>
      </c>
      <c r="L129" s="133" t="str">
        <f t="shared" si="1"/>
        <v>005</v>
      </c>
    </row>
    <row r="130" spans="1:12" x14ac:dyDescent="0.3">
      <c r="A130" s="136">
        <v>126</v>
      </c>
      <c r="B130" s="137" t="s">
        <v>12806</v>
      </c>
      <c r="C130" s="10" t="str">
        <f>VLOOKUP(B130,'Data Angt'!$A$5:$B$5809,2,FALSE)</f>
        <v>A4444</v>
      </c>
      <c r="D130" s="137" t="s">
        <v>20758</v>
      </c>
      <c r="E130" s="137" t="s">
        <v>22</v>
      </c>
      <c r="F130" s="137">
        <v>85349531042</v>
      </c>
      <c r="G130" s="137" t="s">
        <v>1439</v>
      </c>
      <c r="H130" s="138">
        <v>45343</v>
      </c>
      <c r="I130" s="139" t="s">
        <v>384</v>
      </c>
      <c r="J130" s="137" t="s">
        <v>20720</v>
      </c>
      <c r="K130" s="137">
        <v>33</v>
      </c>
      <c r="L130" s="133" t="str">
        <f t="shared" si="1"/>
        <v>003</v>
      </c>
    </row>
    <row r="131" spans="1:12" x14ac:dyDescent="0.3">
      <c r="A131" s="136">
        <v>127</v>
      </c>
      <c r="B131" s="137" t="s">
        <v>12809</v>
      </c>
      <c r="C131" s="10" t="str">
        <f>VLOOKUP(B131,'Data Angt'!$A$5:$B$5809,2,FALSE)</f>
        <v>A4445</v>
      </c>
      <c r="D131" s="137" t="s">
        <v>20759</v>
      </c>
      <c r="E131" s="137" t="s">
        <v>22</v>
      </c>
      <c r="F131" s="137">
        <v>82244124170</v>
      </c>
      <c r="G131" s="137" t="s">
        <v>31</v>
      </c>
      <c r="H131" s="138">
        <v>45343</v>
      </c>
      <c r="I131" s="139" t="s">
        <v>384</v>
      </c>
      <c r="J131" s="137" t="s">
        <v>20760</v>
      </c>
      <c r="K131" s="137">
        <v>43</v>
      </c>
      <c r="L131" s="133" t="str">
        <f t="shared" si="1"/>
        <v>001</v>
      </c>
    </row>
    <row r="132" spans="1:12" x14ac:dyDescent="0.3">
      <c r="A132" s="136">
        <v>128</v>
      </c>
      <c r="B132" s="137" t="s">
        <v>12811</v>
      </c>
      <c r="C132" s="10" t="str">
        <f>VLOOKUP(B132,'Data Angt'!$A$5:$B$5809,2,FALSE)</f>
        <v>A4446</v>
      </c>
      <c r="D132" s="137" t="s">
        <v>20761</v>
      </c>
      <c r="E132" s="137" t="s">
        <v>11</v>
      </c>
      <c r="F132" s="137">
        <v>81234398122</v>
      </c>
      <c r="G132" s="137" t="s">
        <v>109</v>
      </c>
      <c r="H132" s="138">
        <v>45344</v>
      </c>
      <c r="I132" s="139" t="s">
        <v>384</v>
      </c>
      <c r="J132" s="137" t="s">
        <v>20762</v>
      </c>
      <c r="K132" s="137">
        <v>36</v>
      </c>
      <c r="L132" s="133" t="str">
        <f t="shared" si="1"/>
        <v>001</v>
      </c>
    </row>
    <row r="133" spans="1:12" x14ac:dyDescent="0.3">
      <c r="A133" s="136">
        <v>129</v>
      </c>
      <c r="B133" s="137" t="s">
        <v>12812</v>
      </c>
      <c r="C133" s="10" t="str">
        <f>VLOOKUP(B133,'Data Angt'!$A$5:$B$5809,2,FALSE)</f>
        <v>A4447</v>
      </c>
      <c r="D133" s="137" t="s">
        <v>20763</v>
      </c>
      <c r="E133" s="137" t="s">
        <v>22</v>
      </c>
      <c r="F133" s="137">
        <v>85895331809</v>
      </c>
      <c r="G133" s="137" t="s">
        <v>109</v>
      </c>
      <c r="H133" s="138">
        <v>45344</v>
      </c>
      <c r="I133" s="139" t="s">
        <v>384</v>
      </c>
      <c r="J133" s="137" t="s">
        <v>20764</v>
      </c>
      <c r="K133" s="137">
        <v>36</v>
      </c>
      <c r="L133" s="133" t="str">
        <f t="shared" si="1"/>
        <v>003</v>
      </c>
    </row>
    <row r="134" spans="1:12" x14ac:dyDescent="0.3">
      <c r="A134" s="136">
        <v>130</v>
      </c>
      <c r="B134" s="137" t="s">
        <v>12813</v>
      </c>
      <c r="C134" s="10" t="str">
        <f>VLOOKUP(B134,'Data Angt'!$A$5:$B$5809,2,FALSE)</f>
        <v>A4448</v>
      </c>
      <c r="D134" s="137" t="s">
        <v>20765</v>
      </c>
      <c r="E134" s="137" t="s">
        <v>22</v>
      </c>
      <c r="F134" s="137">
        <v>85218127136</v>
      </c>
      <c r="G134" s="137" t="s">
        <v>109</v>
      </c>
      <c r="H134" s="138">
        <v>45345</v>
      </c>
      <c r="I134" s="139" t="s">
        <v>384</v>
      </c>
      <c r="J134" s="137" t="s">
        <v>20766</v>
      </c>
      <c r="K134" s="137">
        <v>25</v>
      </c>
      <c r="L134" s="133" t="str">
        <f t="shared" ref="L134:L197" si="2">MID(B134,7,3)</f>
        <v>004</v>
      </c>
    </row>
    <row r="135" spans="1:12" x14ac:dyDescent="0.3">
      <c r="A135" s="136">
        <v>131</v>
      </c>
      <c r="B135" s="137" t="s">
        <v>12816</v>
      </c>
      <c r="C135" s="10" t="str">
        <f>VLOOKUP(B135,'Data Angt'!$A$5:$B$5809,2,FALSE)</f>
        <v>A4449</v>
      </c>
      <c r="D135" s="137" t="s">
        <v>20767</v>
      </c>
      <c r="E135" s="137" t="s">
        <v>22</v>
      </c>
      <c r="F135" s="137">
        <v>81353218868</v>
      </c>
      <c r="G135" s="137" t="s">
        <v>1200</v>
      </c>
      <c r="H135" s="138">
        <v>45345</v>
      </c>
      <c r="I135" s="139" t="s">
        <v>384</v>
      </c>
      <c r="J135" s="137" t="s">
        <v>19452</v>
      </c>
      <c r="K135" s="137">
        <v>38</v>
      </c>
      <c r="L135" s="133" t="str">
        <f t="shared" si="2"/>
        <v>002</v>
      </c>
    </row>
    <row r="136" spans="1:12" x14ac:dyDescent="0.3">
      <c r="A136" s="136">
        <v>132</v>
      </c>
      <c r="B136" s="137" t="s">
        <v>12818</v>
      </c>
      <c r="C136" s="10" t="str">
        <f>VLOOKUP(B136,'Data Angt'!$A$5:$B$5809,2,FALSE)</f>
        <v>A4450</v>
      </c>
      <c r="D136" s="137" t="s">
        <v>20768</v>
      </c>
      <c r="E136" s="137" t="s">
        <v>22</v>
      </c>
      <c r="F136" s="137">
        <v>89601993047</v>
      </c>
      <c r="G136" s="137" t="s">
        <v>1200</v>
      </c>
      <c r="H136" s="138">
        <v>45345</v>
      </c>
      <c r="I136" s="139" t="s">
        <v>384</v>
      </c>
      <c r="J136" s="137" t="s">
        <v>20769</v>
      </c>
      <c r="K136" s="137">
        <v>44</v>
      </c>
      <c r="L136" s="133" t="str">
        <f t="shared" si="2"/>
        <v>002</v>
      </c>
    </row>
    <row r="137" spans="1:12" x14ac:dyDescent="0.3">
      <c r="A137" s="136">
        <v>133</v>
      </c>
      <c r="B137" s="137" t="s">
        <v>12819</v>
      </c>
      <c r="C137" s="10" t="str">
        <f>VLOOKUP(B137,'Data Angt'!$A$5:$B$5809,2,FALSE)</f>
        <v>A4451</v>
      </c>
      <c r="D137" s="137" t="s">
        <v>20770</v>
      </c>
      <c r="E137" s="137" t="s">
        <v>22</v>
      </c>
      <c r="F137" s="137">
        <v>82330718517</v>
      </c>
      <c r="G137" s="137" t="s">
        <v>4481</v>
      </c>
      <c r="H137" s="138">
        <v>45345</v>
      </c>
      <c r="I137" s="139" t="s">
        <v>384</v>
      </c>
      <c r="J137" s="137" t="s">
        <v>20771</v>
      </c>
      <c r="K137" s="137">
        <v>39</v>
      </c>
      <c r="L137" s="133" t="str">
        <f t="shared" si="2"/>
        <v>001</v>
      </c>
    </row>
    <row r="138" spans="1:12" x14ac:dyDescent="0.3">
      <c r="A138" s="136">
        <v>134</v>
      </c>
      <c r="B138" s="137" t="s">
        <v>12822</v>
      </c>
      <c r="C138" s="10" t="str">
        <f>VLOOKUP(B138,'Data Angt'!$A$5:$B$5809,2,FALSE)</f>
        <v>A4452</v>
      </c>
      <c r="D138" s="137" t="s">
        <v>20772</v>
      </c>
      <c r="E138" s="137" t="s">
        <v>22</v>
      </c>
      <c r="F138" s="137">
        <v>82229983092</v>
      </c>
      <c r="G138" s="137" t="s">
        <v>16</v>
      </c>
      <c r="H138" s="138">
        <v>45345</v>
      </c>
      <c r="I138" s="139" t="s">
        <v>384</v>
      </c>
      <c r="J138" s="137" t="s">
        <v>20773</v>
      </c>
      <c r="K138" s="137">
        <v>43</v>
      </c>
      <c r="L138" s="133" t="str">
        <f t="shared" si="2"/>
        <v>001</v>
      </c>
    </row>
    <row r="139" spans="1:12" x14ac:dyDescent="0.3">
      <c r="A139" s="136">
        <v>135</v>
      </c>
      <c r="B139" s="137" t="s">
        <v>12823</v>
      </c>
      <c r="C139" s="10" t="str">
        <f>VLOOKUP(B139,'Data Angt'!$A$5:$B$5809,2,FALSE)</f>
        <v>A4453</v>
      </c>
      <c r="D139" s="137" t="s">
        <v>20774</v>
      </c>
      <c r="E139" s="137" t="s">
        <v>22</v>
      </c>
      <c r="F139" s="137">
        <v>82334904171</v>
      </c>
      <c r="G139" s="137" t="s">
        <v>16</v>
      </c>
      <c r="H139" s="138">
        <v>45345</v>
      </c>
      <c r="I139" s="139" t="s">
        <v>384</v>
      </c>
      <c r="J139" s="137" t="s">
        <v>20775</v>
      </c>
      <c r="K139" s="137">
        <v>49</v>
      </c>
      <c r="L139" s="133" t="str">
        <f t="shared" si="2"/>
        <v>001</v>
      </c>
    </row>
    <row r="140" spans="1:12" x14ac:dyDescent="0.3">
      <c r="A140" s="136">
        <v>136</v>
      </c>
      <c r="B140" s="137" t="s">
        <v>12826</v>
      </c>
      <c r="C140" s="10" t="str">
        <f>VLOOKUP(B140,'Data Angt'!$A$5:$B$5809,2,FALSE)</f>
        <v>A4454</v>
      </c>
      <c r="D140" s="137" t="s">
        <v>20776</v>
      </c>
      <c r="E140" s="137" t="s">
        <v>11</v>
      </c>
      <c r="F140" s="137">
        <v>82264380567</v>
      </c>
      <c r="G140" s="137" t="s">
        <v>16</v>
      </c>
      <c r="H140" s="138">
        <v>45345</v>
      </c>
      <c r="I140" s="139" t="s">
        <v>384</v>
      </c>
      <c r="J140" s="137" t="s">
        <v>20777</v>
      </c>
      <c r="K140" s="137">
        <v>50</v>
      </c>
      <c r="L140" s="133" t="str">
        <f t="shared" si="2"/>
        <v>001</v>
      </c>
    </row>
    <row r="141" spans="1:12" x14ac:dyDescent="0.3">
      <c r="A141" s="136">
        <v>137</v>
      </c>
      <c r="B141" s="137" t="s">
        <v>12829</v>
      </c>
      <c r="C141" s="10" t="str">
        <f>VLOOKUP(B141,'Data Angt'!$A$5:$B$5809,2,FALSE)</f>
        <v>A4455</v>
      </c>
      <c r="D141" s="137" t="s">
        <v>20778</v>
      </c>
      <c r="E141" s="137" t="s">
        <v>22</v>
      </c>
      <c r="F141" s="137">
        <v>82141505272</v>
      </c>
      <c r="G141" s="137" t="s">
        <v>172</v>
      </c>
      <c r="H141" s="138">
        <v>45346</v>
      </c>
      <c r="I141" s="139" t="s">
        <v>384</v>
      </c>
      <c r="J141" s="137" t="s">
        <v>20779</v>
      </c>
      <c r="K141" s="137">
        <v>45</v>
      </c>
      <c r="L141" s="133" t="str">
        <f t="shared" si="2"/>
        <v>001</v>
      </c>
    </row>
    <row r="142" spans="1:12" x14ac:dyDescent="0.3">
      <c r="A142" s="136">
        <v>138</v>
      </c>
      <c r="B142" s="137" t="s">
        <v>20780</v>
      </c>
      <c r="C142" s="10" t="e">
        <f>VLOOKUP(B142,'Data Angt'!$A$5:$B$5809,2,FALSE)</f>
        <v>#N/A</v>
      </c>
      <c r="D142" s="137" t="s">
        <v>20781</v>
      </c>
      <c r="E142" s="137" t="s">
        <v>11</v>
      </c>
      <c r="F142" s="137">
        <v>81336101537</v>
      </c>
      <c r="G142" s="137" t="s">
        <v>46</v>
      </c>
      <c r="H142" s="138">
        <v>45346</v>
      </c>
      <c r="I142" s="138">
        <v>45821</v>
      </c>
      <c r="J142" s="137" t="s">
        <v>20782</v>
      </c>
      <c r="K142" s="137">
        <v>46</v>
      </c>
      <c r="L142" s="133" t="str">
        <f t="shared" si="2"/>
        <v>003</v>
      </c>
    </row>
    <row r="143" spans="1:12" x14ac:dyDescent="0.3">
      <c r="A143" s="136">
        <v>139</v>
      </c>
      <c r="B143" s="137" t="s">
        <v>12830</v>
      </c>
      <c r="C143" s="10" t="str">
        <f>VLOOKUP(B143,'Data Angt'!$A$5:$B$5809,2,FALSE)</f>
        <v>A4456</v>
      </c>
      <c r="D143" s="137" t="s">
        <v>20783</v>
      </c>
      <c r="E143" s="137" t="s">
        <v>11</v>
      </c>
      <c r="F143" s="137">
        <v>83853352015</v>
      </c>
      <c r="G143" s="137" t="s">
        <v>1439</v>
      </c>
      <c r="H143" s="138">
        <v>45348</v>
      </c>
      <c r="I143" s="139" t="s">
        <v>384</v>
      </c>
      <c r="J143" s="137" t="s">
        <v>20784</v>
      </c>
      <c r="K143" s="137">
        <v>28</v>
      </c>
      <c r="L143" s="133" t="str">
        <f t="shared" si="2"/>
        <v>004</v>
      </c>
    </row>
    <row r="144" spans="1:12" x14ac:dyDescent="0.3">
      <c r="A144" s="136">
        <v>140</v>
      </c>
      <c r="B144" s="137" t="s">
        <v>12832</v>
      </c>
      <c r="C144" s="10" t="str">
        <f>VLOOKUP(B144,'Data Angt'!$A$5:$B$5809,2,FALSE)</f>
        <v>A4457</v>
      </c>
      <c r="D144" s="137" t="s">
        <v>20785</v>
      </c>
      <c r="E144" s="137" t="s">
        <v>22</v>
      </c>
      <c r="F144" s="137">
        <v>85330217276</v>
      </c>
      <c r="G144" s="137" t="s">
        <v>46</v>
      </c>
      <c r="H144" s="138">
        <v>45348</v>
      </c>
      <c r="I144" s="139" t="s">
        <v>384</v>
      </c>
      <c r="J144" s="137" t="s">
        <v>20786</v>
      </c>
      <c r="K144" s="137">
        <v>48</v>
      </c>
      <c r="L144" s="133" t="str">
        <f t="shared" si="2"/>
        <v>001</v>
      </c>
    </row>
    <row r="145" spans="1:12" x14ac:dyDescent="0.3">
      <c r="A145" s="136">
        <v>141</v>
      </c>
      <c r="B145" s="137" t="s">
        <v>12838</v>
      </c>
      <c r="C145" s="10" t="str">
        <f>VLOOKUP(B145,'Data Angt'!$A$5:$B$5809,2,FALSE)</f>
        <v>A4460</v>
      </c>
      <c r="D145" s="137" t="s">
        <v>20787</v>
      </c>
      <c r="E145" s="137" t="s">
        <v>22</v>
      </c>
      <c r="F145" s="137">
        <v>81358284140</v>
      </c>
      <c r="G145" s="137" t="s">
        <v>46</v>
      </c>
      <c r="H145" s="138">
        <v>45349</v>
      </c>
      <c r="I145" s="139" t="s">
        <v>384</v>
      </c>
      <c r="J145" s="137" t="s">
        <v>20788</v>
      </c>
      <c r="K145" s="137">
        <v>26</v>
      </c>
      <c r="L145" s="133" t="str">
        <f t="shared" si="2"/>
        <v>003</v>
      </c>
    </row>
    <row r="146" spans="1:12" x14ac:dyDescent="0.3">
      <c r="A146" s="136">
        <v>142</v>
      </c>
      <c r="B146" s="137" t="s">
        <v>12834</v>
      </c>
      <c r="C146" s="10" t="str">
        <f>VLOOKUP(B146,'Data Angt'!$A$5:$B$5809,2,FALSE)</f>
        <v>A4458</v>
      </c>
      <c r="D146" s="137" t="s">
        <v>20789</v>
      </c>
      <c r="E146" s="137" t="s">
        <v>11</v>
      </c>
      <c r="F146" s="137">
        <v>82338855942</v>
      </c>
      <c r="G146" s="137" t="s">
        <v>1200</v>
      </c>
      <c r="H146" s="138">
        <v>45348</v>
      </c>
      <c r="I146" s="139" t="s">
        <v>384</v>
      </c>
      <c r="J146" s="137" t="s">
        <v>20790</v>
      </c>
      <c r="K146" s="137">
        <v>34</v>
      </c>
      <c r="L146" s="133" t="str">
        <f t="shared" si="2"/>
        <v>001</v>
      </c>
    </row>
    <row r="147" spans="1:12" x14ac:dyDescent="0.3">
      <c r="A147" s="136">
        <v>143</v>
      </c>
      <c r="B147" s="137" t="s">
        <v>12836</v>
      </c>
      <c r="C147" s="10" t="str">
        <f>VLOOKUP(B147,'Data Angt'!$A$5:$B$5809,2,FALSE)</f>
        <v>A4459</v>
      </c>
      <c r="D147" s="137" t="s">
        <v>20791</v>
      </c>
      <c r="E147" s="137" t="s">
        <v>11</v>
      </c>
      <c r="F147" s="137">
        <v>81235255757</v>
      </c>
      <c r="G147" s="137" t="s">
        <v>46</v>
      </c>
      <c r="H147" s="138">
        <v>45349</v>
      </c>
      <c r="I147" s="139" t="s">
        <v>384</v>
      </c>
      <c r="J147" s="137" t="s">
        <v>20792</v>
      </c>
      <c r="K147" s="137">
        <v>43</v>
      </c>
      <c r="L147" s="133" t="str">
        <f t="shared" si="2"/>
        <v>001</v>
      </c>
    </row>
    <row r="148" spans="1:12" x14ac:dyDescent="0.3">
      <c r="A148" s="136">
        <v>144</v>
      </c>
      <c r="B148" s="137" t="s">
        <v>12841</v>
      </c>
      <c r="C148" s="10" t="str">
        <f>VLOOKUP(B148,'Data Angt'!$A$5:$B$5809,2,FALSE)</f>
        <v>A4461</v>
      </c>
      <c r="D148" s="137" t="s">
        <v>20793</v>
      </c>
      <c r="E148" s="137" t="s">
        <v>22</v>
      </c>
      <c r="F148" s="137">
        <v>85875033544</v>
      </c>
      <c r="G148" s="137" t="s">
        <v>109</v>
      </c>
      <c r="H148" s="138">
        <v>45351</v>
      </c>
      <c r="I148" s="139" t="s">
        <v>384</v>
      </c>
      <c r="J148" s="137" t="s">
        <v>20794</v>
      </c>
      <c r="K148" s="137">
        <v>24</v>
      </c>
      <c r="L148" s="133" t="str">
        <f t="shared" si="2"/>
        <v>006</v>
      </c>
    </row>
    <row r="149" spans="1:12" x14ac:dyDescent="0.3">
      <c r="A149" s="136">
        <v>145</v>
      </c>
      <c r="B149" s="137" t="s">
        <v>12843</v>
      </c>
      <c r="C149" s="10" t="str">
        <f>VLOOKUP(B149,'Data Angt'!$A$5:$B$5809,2,FALSE)</f>
        <v>A4462</v>
      </c>
      <c r="D149" s="137" t="s">
        <v>20795</v>
      </c>
      <c r="E149" s="137" t="s">
        <v>11</v>
      </c>
      <c r="F149" s="137">
        <v>85330431144</v>
      </c>
      <c r="G149" s="137" t="s">
        <v>109</v>
      </c>
      <c r="H149" s="138">
        <v>45351</v>
      </c>
      <c r="I149" s="139" t="s">
        <v>384</v>
      </c>
      <c r="J149" s="137" t="s">
        <v>20796</v>
      </c>
      <c r="K149" s="137">
        <v>55</v>
      </c>
      <c r="L149" s="133" t="str">
        <f t="shared" si="2"/>
        <v>003</v>
      </c>
    </row>
    <row r="150" spans="1:12" x14ac:dyDescent="0.3">
      <c r="A150" s="136">
        <v>146</v>
      </c>
      <c r="B150" s="137" t="s">
        <v>12846</v>
      </c>
      <c r="C150" s="10" t="str">
        <f>VLOOKUP(B150,'Data Angt'!$A$5:$B$5809,2,FALSE)</f>
        <v>A4463</v>
      </c>
      <c r="D150" s="137" t="s">
        <v>20797</v>
      </c>
      <c r="E150" s="137" t="s">
        <v>22</v>
      </c>
      <c r="F150" s="137">
        <v>82332514736</v>
      </c>
      <c r="G150" s="137" t="s">
        <v>46</v>
      </c>
      <c r="H150" s="138">
        <v>45351</v>
      </c>
      <c r="I150" s="139" t="s">
        <v>384</v>
      </c>
      <c r="J150" s="137" t="s">
        <v>20798</v>
      </c>
      <c r="K150" s="137">
        <v>54</v>
      </c>
      <c r="L150" s="133" t="str">
        <f t="shared" si="2"/>
        <v>001</v>
      </c>
    </row>
    <row r="151" spans="1:12" x14ac:dyDescent="0.3">
      <c r="A151" s="136">
        <v>147</v>
      </c>
      <c r="B151" s="137" t="s">
        <v>12849</v>
      </c>
      <c r="C151" s="10" t="str">
        <f>VLOOKUP(B151,'Data Angt'!$A$5:$B$5809,2,FALSE)</f>
        <v>A4464</v>
      </c>
      <c r="D151" s="137" t="s">
        <v>20799</v>
      </c>
      <c r="E151" s="137" t="s">
        <v>22</v>
      </c>
      <c r="F151" s="137">
        <v>85259477541</v>
      </c>
      <c r="G151" s="137" t="s">
        <v>16</v>
      </c>
      <c r="H151" s="138">
        <v>45351</v>
      </c>
      <c r="I151" s="139" t="s">
        <v>384</v>
      </c>
      <c r="J151" s="137" t="s">
        <v>20800</v>
      </c>
      <c r="K151" s="137">
        <v>31</v>
      </c>
      <c r="L151" s="133" t="str">
        <f t="shared" si="2"/>
        <v>001</v>
      </c>
    </row>
    <row r="152" spans="1:12" x14ac:dyDescent="0.3">
      <c r="A152" s="136">
        <v>148</v>
      </c>
      <c r="B152" s="137" t="s">
        <v>12852</v>
      </c>
      <c r="C152" s="10" t="str">
        <f>VLOOKUP(B152,'Data Angt'!$A$5:$B$5809,2,FALSE)</f>
        <v>A4465</v>
      </c>
      <c r="D152" s="137" t="s">
        <v>20801</v>
      </c>
      <c r="E152" s="137" t="s">
        <v>22</v>
      </c>
      <c r="F152" s="137">
        <v>85791923600</v>
      </c>
      <c r="G152" s="137" t="s">
        <v>46</v>
      </c>
      <c r="H152" s="138">
        <v>45353</v>
      </c>
      <c r="I152" s="139" t="s">
        <v>384</v>
      </c>
      <c r="J152" s="137" t="s">
        <v>20802</v>
      </c>
      <c r="K152" s="137">
        <v>57</v>
      </c>
      <c r="L152" s="133" t="str">
        <f t="shared" si="2"/>
        <v>005</v>
      </c>
    </row>
    <row r="153" spans="1:12" x14ac:dyDescent="0.3">
      <c r="A153" s="136">
        <v>149</v>
      </c>
      <c r="B153" s="137" t="s">
        <v>12853</v>
      </c>
      <c r="C153" s="10" t="str">
        <f>VLOOKUP(B153,'Data Angt'!$A$5:$B$5809,2,FALSE)</f>
        <v>A4466</v>
      </c>
      <c r="D153" s="137" t="s">
        <v>20731</v>
      </c>
      <c r="E153" s="137" t="s">
        <v>22</v>
      </c>
      <c r="F153" s="137">
        <v>85329750259</v>
      </c>
      <c r="G153" s="137" t="s">
        <v>109</v>
      </c>
      <c r="H153" s="138">
        <v>45353</v>
      </c>
      <c r="I153" s="139" t="s">
        <v>384</v>
      </c>
      <c r="J153" s="137" t="s">
        <v>20803</v>
      </c>
      <c r="K153" s="137">
        <v>23</v>
      </c>
      <c r="L153" s="133" t="str">
        <f t="shared" si="2"/>
        <v>001</v>
      </c>
    </row>
    <row r="154" spans="1:12" x14ac:dyDescent="0.3">
      <c r="A154" s="136">
        <v>150</v>
      </c>
      <c r="B154" s="137" t="s">
        <v>12855</v>
      </c>
      <c r="C154" s="10" t="str">
        <f>VLOOKUP(B154,'Data Angt'!$A$5:$B$5809,2,FALSE)</f>
        <v>A4467</v>
      </c>
      <c r="D154" s="137" t="s">
        <v>20804</v>
      </c>
      <c r="E154" s="137" t="s">
        <v>22</v>
      </c>
      <c r="F154" s="137">
        <v>85259208851</v>
      </c>
      <c r="G154" s="137" t="s">
        <v>16</v>
      </c>
      <c r="H154" s="138">
        <v>45353</v>
      </c>
      <c r="I154" s="139" t="s">
        <v>384</v>
      </c>
      <c r="J154" s="137" t="s">
        <v>20805</v>
      </c>
      <c r="K154" s="137">
        <v>56</v>
      </c>
      <c r="L154" s="133" t="str">
        <f t="shared" si="2"/>
        <v>003</v>
      </c>
    </row>
    <row r="155" spans="1:12" x14ac:dyDescent="0.3">
      <c r="A155" s="136">
        <v>151</v>
      </c>
      <c r="B155" s="137" t="s">
        <v>12857</v>
      </c>
      <c r="C155" s="10" t="str">
        <f>VLOOKUP(B155,'Data Angt'!$A$5:$B$5809,2,FALSE)</f>
        <v>A4468</v>
      </c>
      <c r="D155" s="137" t="s">
        <v>20806</v>
      </c>
      <c r="E155" s="137" t="s">
        <v>11</v>
      </c>
      <c r="F155" s="137">
        <v>85259038715</v>
      </c>
      <c r="G155" s="137" t="s">
        <v>13</v>
      </c>
      <c r="H155" s="138">
        <v>45355</v>
      </c>
      <c r="I155" s="139" t="s">
        <v>384</v>
      </c>
      <c r="J155" s="137" t="s">
        <v>20807</v>
      </c>
      <c r="K155" s="137">
        <v>59</v>
      </c>
      <c r="L155" s="133" t="str">
        <f t="shared" si="2"/>
        <v>002</v>
      </c>
    </row>
    <row r="156" spans="1:12" x14ac:dyDescent="0.3">
      <c r="A156" s="136">
        <v>152</v>
      </c>
      <c r="B156" s="137" t="s">
        <v>12859</v>
      </c>
      <c r="C156" s="10" t="str">
        <f>VLOOKUP(B156,'Data Angt'!$A$5:$B$5809,2,FALSE)</f>
        <v>A4469</v>
      </c>
      <c r="D156" s="137" t="s">
        <v>20808</v>
      </c>
      <c r="E156" s="137" t="s">
        <v>11</v>
      </c>
      <c r="F156" s="137">
        <v>81232713814</v>
      </c>
      <c r="G156" s="137" t="s">
        <v>46</v>
      </c>
      <c r="H156" s="138">
        <v>45355</v>
      </c>
      <c r="I156" s="139" t="s">
        <v>384</v>
      </c>
      <c r="J156" s="137" t="s">
        <v>20809</v>
      </c>
      <c r="K156" s="137">
        <v>57</v>
      </c>
      <c r="L156" s="133" t="str">
        <f t="shared" si="2"/>
        <v>005</v>
      </c>
    </row>
    <row r="157" spans="1:12" x14ac:dyDescent="0.3">
      <c r="A157" s="136">
        <v>153</v>
      </c>
      <c r="B157" s="137" t="s">
        <v>12863</v>
      </c>
      <c r="C157" s="10" t="str">
        <f>VLOOKUP(B157,'Data Angt'!$A$5:$B$5809,2,FALSE)</f>
        <v>A4470</v>
      </c>
      <c r="D157" s="137" t="s">
        <v>20810</v>
      </c>
      <c r="E157" s="137" t="s">
        <v>22</v>
      </c>
      <c r="F157" s="137">
        <v>81216550329</v>
      </c>
      <c r="G157" s="137" t="s">
        <v>31</v>
      </c>
      <c r="H157" s="138">
        <v>45355</v>
      </c>
      <c r="I157" s="139" t="s">
        <v>384</v>
      </c>
      <c r="J157" s="137" t="s">
        <v>20811</v>
      </c>
      <c r="K157" s="137">
        <v>26</v>
      </c>
      <c r="L157" s="133" t="str">
        <f t="shared" si="2"/>
        <v>001</v>
      </c>
    </row>
    <row r="158" spans="1:12" x14ac:dyDescent="0.3">
      <c r="A158" s="136">
        <v>154</v>
      </c>
      <c r="B158" s="137" t="s">
        <v>12864</v>
      </c>
      <c r="C158" s="10" t="str">
        <f>VLOOKUP(B158,'Data Angt'!$A$5:$B$5809,2,FALSE)</f>
        <v>A4471</v>
      </c>
      <c r="D158" s="137" t="s">
        <v>20812</v>
      </c>
      <c r="E158" s="137" t="s">
        <v>22</v>
      </c>
      <c r="F158" s="137">
        <v>81515772471</v>
      </c>
      <c r="G158" s="137" t="s">
        <v>109</v>
      </c>
      <c r="H158" s="138">
        <v>45355</v>
      </c>
      <c r="I158" s="139" t="s">
        <v>384</v>
      </c>
      <c r="J158" s="137" t="s">
        <v>20813</v>
      </c>
      <c r="K158" s="137">
        <v>63</v>
      </c>
      <c r="L158" s="133" t="str">
        <f t="shared" si="2"/>
        <v>001</v>
      </c>
    </row>
    <row r="159" spans="1:12" x14ac:dyDescent="0.3">
      <c r="A159" s="136">
        <v>155</v>
      </c>
      <c r="B159" s="137" t="s">
        <v>12867</v>
      </c>
      <c r="C159" s="10" t="str">
        <f>VLOOKUP(B159,'Data Angt'!$A$5:$B$5809,2,FALSE)</f>
        <v>A4472</v>
      </c>
      <c r="D159" s="137" t="s">
        <v>20814</v>
      </c>
      <c r="E159" s="137" t="s">
        <v>11</v>
      </c>
      <c r="F159" s="137">
        <v>85853106375</v>
      </c>
      <c r="G159" s="137" t="s">
        <v>109</v>
      </c>
      <c r="H159" s="138">
        <v>45356</v>
      </c>
      <c r="I159" s="139" t="s">
        <v>384</v>
      </c>
      <c r="J159" s="137" t="s">
        <v>20815</v>
      </c>
      <c r="K159" s="137">
        <v>50</v>
      </c>
      <c r="L159" s="133" t="str">
        <f t="shared" si="2"/>
        <v>003</v>
      </c>
    </row>
    <row r="160" spans="1:12" x14ac:dyDescent="0.3">
      <c r="A160" s="136">
        <v>156</v>
      </c>
      <c r="B160" s="137" t="s">
        <v>12869</v>
      </c>
      <c r="C160" s="10" t="str">
        <f>VLOOKUP(B160,'Data Angt'!$A$5:$B$5809,2,FALSE)</f>
        <v>A4473</v>
      </c>
      <c r="D160" s="137" t="s">
        <v>20816</v>
      </c>
      <c r="E160" s="137" t="s">
        <v>22</v>
      </c>
      <c r="F160" s="137">
        <v>85103493981</v>
      </c>
      <c r="G160" s="137" t="s">
        <v>31</v>
      </c>
      <c r="H160" s="138">
        <v>45356</v>
      </c>
      <c r="I160" s="139" t="s">
        <v>384</v>
      </c>
      <c r="J160" s="137" t="s">
        <v>20817</v>
      </c>
      <c r="K160" s="137">
        <v>61</v>
      </c>
      <c r="L160" s="133" t="str">
        <f t="shared" si="2"/>
        <v>001</v>
      </c>
    </row>
    <row r="161" spans="1:12" x14ac:dyDescent="0.3">
      <c r="A161" s="136">
        <v>157</v>
      </c>
      <c r="B161" s="137" t="s">
        <v>12871</v>
      </c>
      <c r="C161" s="10" t="str">
        <f>VLOOKUP(B161,'Data Angt'!$A$5:$B$5809,2,FALSE)</f>
        <v>A4474</v>
      </c>
      <c r="D161" s="137" t="s">
        <v>20818</v>
      </c>
      <c r="E161" s="137" t="s">
        <v>11</v>
      </c>
      <c r="F161" s="137">
        <v>87855641303</v>
      </c>
      <c r="G161" s="137" t="s">
        <v>109</v>
      </c>
      <c r="H161" s="138">
        <v>45356</v>
      </c>
      <c r="I161" s="139" t="s">
        <v>384</v>
      </c>
      <c r="J161" s="137" t="s">
        <v>20819</v>
      </c>
      <c r="K161" s="137">
        <v>29</v>
      </c>
      <c r="L161" s="133" t="str">
        <f t="shared" si="2"/>
        <v>001</v>
      </c>
    </row>
    <row r="162" spans="1:12" x14ac:dyDescent="0.3">
      <c r="A162" s="136">
        <v>158</v>
      </c>
      <c r="B162" s="137" t="s">
        <v>12873</v>
      </c>
      <c r="C162" s="10" t="str">
        <f>VLOOKUP(B162,'Data Angt'!$A$5:$B$5809,2,FALSE)</f>
        <v>A4475</v>
      </c>
      <c r="D162" s="137" t="s">
        <v>20820</v>
      </c>
      <c r="E162" s="137" t="s">
        <v>22</v>
      </c>
      <c r="F162" s="137">
        <v>82229714606</v>
      </c>
      <c r="G162" s="137" t="s">
        <v>213</v>
      </c>
      <c r="H162" s="138">
        <v>45357</v>
      </c>
      <c r="I162" s="139" t="s">
        <v>384</v>
      </c>
      <c r="J162" s="137" t="s">
        <v>20821</v>
      </c>
      <c r="K162" s="137">
        <v>47</v>
      </c>
      <c r="L162" s="133" t="str">
        <f t="shared" si="2"/>
        <v>003</v>
      </c>
    </row>
    <row r="163" spans="1:12" x14ac:dyDescent="0.3">
      <c r="A163" s="136">
        <v>159</v>
      </c>
      <c r="B163" s="137" t="s">
        <v>12875</v>
      </c>
      <c r="C163" s="10" t="str">
        <f>VLOOKUP(B163,'Data Angt'!$A$5:$B$5809,2,FALSE)</f>
        <v>A4476</v>
      </c>
      <c r="D163" s="137" t="s">
        <v>20822</v>
      </c>
      <c r="E163" s="137" t="s">
        <v>22</v>
      </c>
      <c r="F163" s="137">
        <v>85649551840</v>
      </c>
      <c r="G163" s="137" t="s">
        <v>109</v>
      </c>
      <c r="H163" s="138">
        <v>45357</v>
      </c>
      <c r="I163" s="139" t="s">
        <v>384</v>
      </c>
      <c r="J163" s="137" t="s">
        <v>19274</v>
      </c>
      <c r="K163" s="137">
        <v>20</v>
      </c>
      <c r="L163" s="133" t="str">
        <f t="shared" si="2"/>
        <v>004</v>
      </c>
    </row>
    <row r="164" spans="1:12" x14ac:dyDescent="0.3">
      <c r="A164" s="136">
        <v>160</v>
      </c>
      <c r="B164" s="137" t="s">
        <v>12878</v>
      </c>
      <c r="C164" s="10" t="str">
        <f>VLOOKUP(B164,'Data Angt'!$A$5:$B$5809,2,FALSE)</f>
        <v>A4477</v>
      </c>
      <c r="D164" s="137" t="s">
        <v>20823</v>
      </c>
      <c r="E164" s="137" t="s">
        <v>11</v>
      </c>
      <c r="F164" s="137">
        <v>85204876783</v>
      </c>
      <c r="G164" s="137" t="s">
        <v>540</v>
      </c>
      <c r="H164" s="138">
        <v>45357</v>
      </c>
      <c r="I164" s="139" t="s">
        <v>384</v>
      </c>
      <c r="J164" s="137" t="s">
        <v>19328</v>
      </c>
      <c r="K164" s="137">
        <v>39</v>
      </c>
      <c r="L164" s="133" t="str">
        <f t="shared" si="2"/>
        <v>002</v>
      </c>
    </row>
    <row r="165" spans="1:12" x14ac:dyDescent="0.3">
      <c r="A165" s="136">
        <v>161</v>
      </c>
      <c r="B165" s="137" t="s">
        <v>12879</v>
      </c>
      <c r="C165" s="10" t="str">
        <f>VLOOKUP(B165,'Data Angt'!$A$5:$B$5809,2,FALSE)</f>
        <v>A4478</v>
      </c>
      <c r="D165" s="137" t="s">
        <v>20824</v>
      </c>
      <c r="E165" s="137" t="s">
        <v>22</v>
      </c>
      <c r="F165" s="137">
        <v>85141062556</v>
      </c>
      <c r="G165" s="137" t="s">
        <v>31</v>
      </c>
      <c r="H165" s="138">
        <v>45357</v>
      </c>
      <c r="I165" s="139" t="s">
        <v>384</v>
      </c>
      <c r="J165" s="137" t="s">
        <v>20825</v>
      </c>
      <c r="K165" s="137">
        <v>42</v>
      </c>
      <c r="L165" s="133" t="str">
        <f t="shared" si="2"/>
        <v>003</v>
      </c>
    </row>
    <row r="166" spans="1:12" x14ac:dyDescent="0.3">
      <c r="A166" s="136">
        <v>162</v>
      </c>
      <c r="B166" s="137" t="s">
        <v>12880</v>
      </c>
      <c r="C166" s="10" t="str">
        <f>VLOOKUP(B166,'Data Angt'!$A$5:$B$5809,2,FALSE)</f>
        <v>A4479</v>
      </c>
      <c r="D166" s="137" t="s">
        <v>20826</v>
      </c>
      <c r="E166" s="137" t="s">
        <v>11</v>
      </c>
      <c r="F166" s="137">
        <v>81234568453</v>
      </c>
      <c r="G166" s="137" t="s">
        <v>172</v>
      </c>
      <c r="H166" s="138">
        <v>45358</v>
      </c>
      <c r="I166" s="139" t="s">
        <v>384</v>
      </c>
      <c r="J166" s="137" t="s">
        <v>20827</v>
      </c>
      <c r="K166" s="137">
        <v>37</v>
      </c>
      <c r="L166" s="133" t="str">
        <f t="shared" si="2"/>
        <v>001</v>
      </c>
    </row>
    <row r="167" spans="1:12" x14ac:dyDescent="0.3">
      <c r="A167" s="136">
        <v>163</v>
      </c>
      <c r="B167" s="137" t="s">
        <v>12883</v>
      </c>
      <c r="C167" s="10" t="str">
        <f>VLOOKUP(B167,'Data Angt'!$A$5:$B$5809,2,FALSE)</f>
        <v>A4480</v>
      </c>
      <c r="D167" s="137" t="s">
        <v>20828</v>
      </c>
      <c r="E167" s="137" t="s">
        <v>11</v>
      </c>
      <c r="F167" s="137">
        <v>85280657103</v>
      </c>
      <c r="G167" s="137" t="s">
        <v>109</v>
      </c>
      <c r="H167" s="138">
        <v>45358</v>
      </c>
      <c r="I167" s="139" t="s">
        <v>384</v>
      </c>
      <c r="J167" s="137" t="s">
        <v>19806</v>
      </c>
      <c r="K167" s="137">
        <v>52</v>
      </c>
      <c r="L167" s="133" t="str">
        <f t="shared" si="2"/>
        <v>004</v>
      </c>
    </row>
    <row r="168" spans="1:12" x14ac:dyDescent="0.3">
      <c r="A168" s="136">
        <v>164</v>
      </c>
      <c r="B168" s="137" t="s">
        <v>12885</v>
      </c>
      <c r="C168" s="10" t="str">
        <f>VLOOKUP(B168,'Data Angt'!$A$5:$B$5809,2,FALSE)</f>
        <v>A4481</v>
      </c>
      <c r="D168" s="137" t="s">
        <v>20829</v>
      </c>
      <c r="E168" s="137" t="s">
        <v>11</v>
      </c>
      <c r="F168" s="137">
        <v>82140101947</v>
      </c>
      <c r="G168" s="137" t="s">
        <v>109</v>
      </c>
      <c r="H168" s="138">
        <v>45360</v>
      </c>
      <c r="I168" s="139" t="s">
        <v>384</v>
      </c>
      <c r="J168" s="137" t="s">
        <v>20830</v>
      </c>
      <c r="K168" s="137">
        <v>50</v>
      </c>
      <c r="L168" s="133" t="str">
        <f t="shared" si="2"/>
        <v>002</v>
      </c>
    </row>
    <row r="169" spans="1:12" x14ac:dyDescent="0.3">
      <c r="A169" s="136">
        <v>165</v>
      </c>
      <c r="B169" s="137" t="s">
        <v>12887</v>
      </c>
      <c r="C169" s="10" t="str">
        <f>VLOOKUP(B169,'Data Angt'!$A$5:$B$5809,2,FALSE)</f>
        <v>A4482</v>
      </c>
      <c r="D169" s="137" t="s">
        <v>20831</v>
      </c>
      <c r="E169" s="137" t="s">
        <v>11</v>
      </c>
      <c r="F169" s="137">
        <v>85232013863</v>
      </c>
      <c r="G169" s="137" t="s">
        <v>133</v>
      </c>
      <c r="H169" s="138">
        <v>45363</v>
      </c>
      <c r="I169" s="139" t="s">
        <v>384</v>
      </c>
      <c r="J169" s="137" t="s">
        <v>20832</v>
      </c>
      <c r="K169" s="137">
        <v>48</v>
      </c>
      <c r="L169" s="133" t="str">
        <f t="shared" si="2"/>
        <v>003</v>
      </c>
    </row>
    <row r="170" spans="1:12" x14ac:dyDescent="0.3">
      <c r="A170" s="136">
        <v>166</v>
      </c>
      <c r="B170" s="137" t="s">
        <v>12889</v>
      </c>
      <c r="C170" s="10" t="str">
        <f>VLOOKUP(B170,'Data Angt'!$A$5:$B$5809,2,FALSE)</f>
        <v>A4483</v>
      </c>
      <c r="D170" s="137" t="s">
        <v>20833</v>
      </c>
      <c r="E170" s="137" t="s">
        <v>22</v>
      </c>
      <c r="F170" s="137">
        <v>8123468510</v>
      </c>
      <c r="G170" s="137" t="s">
        <v>16</v>
      </c>
      <c r="H170" s="138">
        <v>45363</v>
      </c>
      <c r="I170" s="139" t="s">
        <v>384</v>
      </c>
      <c r="J170" s="137" t="s">
        <v>20834</v>
      </c>
      <c r="K170" s="137">
        <v>57</v>
      </c>
      <c r="L170" s="133" t="str">
        <f t="shared" si="2"/>
        <v>003</v>
      </c>
    </row>
    <row r="171" spans="1:12" x14ac:dyDescent="0.3">
      <c r="A171" s="136">
        <v>167</v>
      </c>
      <c r="B171" s="137" t="s">
        <v>20835</v>
      </c>
      <c r="C171" s="10" t="e">
        <f>VLOOKUP(B171,'Data Angt'!$A$5:$B$5809,2,FALSE)</f>
        <v>#N/A</v>
      </c>
      <c r="D171" s="137" t="s">
        <v>20836</v>
      </c>
      <c r="E171" s="137" t="s">
        <v>22</v>
      </c>
      <c r="F171" s="137">
        <v>87727576533</v>
      </c>
      <c r="G171" s="137" t="s">
        <v>46</v>
      </c>
      <c r="H171" s="138">
        <v>45363</v>
      </c>
      <c r="I171" s="138">
        <v>45693</v>
      </c>
      <c r="J171" s="137" t="s">
        <v>19557</v>
      </c>
      <c r="K171" s="137">
        <v>23</v>
      </c>
      <c r="L171" s="133" t="str">
        <f t="shared" si="2"/>
        <v>004</v>
      </c>
    </row>
    <row r="172" spans="1:12" x14ac:dyDescent="0.3">
      <c r="A172" s="136">
        <v>168</v>
      </c>
      <c r="B172" s="137" t="s">
        <v>12891</v>
      </c>
      <c r="C172" s="10" t="str">
        <f>VLOOKUP(B172,'Data Angt'!$A$5:$B$5809,2,FALSE)</f>
        <v>A4484</v>
      </c>
      <c r="D172" s="137" t="s">
        <v>20837</v>
      </c>
      <c r="E172" s="137" t="s">
        <v>11</v>
      </c>
      <c r="F172" s="137">
        <v>85204918341</v>
      </c>
      <c r="G172" s="137" t="s">
        <v>46</v>
      </c>
      <c r="H172" s="138">
        <v>45364</v>
      </c>
      <c r="I172" s="139" t="s">
        <v>384</v>
      </c>
      <c r="J172" s="137" t="s">
        <v>19274</v>
      </c>
      <c r="K172" s="137">
        <v>40</v>
      </c>
      <c r="L172" s="133" t="str">
        <f t="shared" si="2"/>
        <v>001</v>
      </c>
    </row>
    <row r="173" spans="1:12" x14ac:dyDescent="0.3">
      <c r="A173" s="136">
        <v>169</v>
      </c>
      <c r="B173" s="137" t="s">
        <v>12892</v>
      </c>
      <c r="C173" s="10" t="str">
        <f>VLOOKUP(B173,'Data Angt'!$A$5:$B$5809,2,FALSE)</f>
        <v>A4485</v>
      </c>
      <c r="D173" s="137" t="s">
        <v>20838</v>
      </c>
      <c r="E173" s="137" t="s">
        <v>11</v>
      </c>
      <c r="F173" s="137">
        <v>81334715100</v>
      </c>
      <c r="G173" s="137" t="s">
        <v>16</v>
      </c>
      <c r="H173" s="138">
        <v>45364</v>
      </c>
      <c r="I173" s="139" t="s">
        <v>384</v>
      </c>
      <c r="J173" s="137" t="s">
        <v>20839</v>
      </c>
      <c r="K173" s="137">
        <v>59</v>
      </c>
      <c r="L173" s="133" t="str">
        <f t="shared" si="2"/>
        <v>001</v>
      </c>
    </row>
    <row r="174" spans="1:12" x14ac:dyDescent="0.3">
      <c r="A174" s="136">
        <v>170</v>
      </c>
      <c r="B174" s="137" t="s">
        <v>12895</v>
      </c>
      <c r="C174" s="10" t="str">
        <f>VLOOKUP(B174,'Data Angt'!$A$5:$B$5809,2,FALSE)</f>
        <v>A4486</v>
      </c>
      <c r="D174" s="137" t="s">
        <v>20840</v>
      </c>
      <c r="E174" s="137" t="s">
        <v>22</v>
      </c>
      <c r="F174" s="137">
        <v>85233195757</v>
      </c>
      <c r="G174" s="137" t="s">
        <v>31</v>
      </c>
      <c r="H174" s="138">
        <v>45365</v>
      </c>
      <c r="I174" s="139" t="s">
        <v>384</v>
      </c>
      <c r="J174" s="137" t="s">
        <v>20841</v>
      </c>
      <c r="K174" s="137">
        <v>31</v>
      </c>
      <c r="L174" s="133" t="str">
        <f t="shared" si="2"/>
        <v>001</v>
      </c>
    </row>
    <row r="175" spans="1:12" x14ac:dyDescent="0.3">
      <c r="A175" s="136">
        <v>171</v>
      </c>
      <c r="B175" s="137" t="s">
        <v>12898</v>
      </c>
      <c r="C175" s="10" t="str">
        <f>VLOOKUP(B175,'Data Angt'!$A$5:$B$5809,2,FALSE)</f>
        <v>A4487</v>
      </c>
      <c r="D175" s="137" t="s">
        <v>20842</v>
      </c>
      <c r="E175" s="137" t="s">
        <v>22</v>
      </c>
      <c r="F175" s="137">
        <v>87760856040</v>
      </c>
      <c r="G175" s="137" t="s">
        <v>31</v>
      </c>
      <c r="H175" s="138">
        <v>45366</v>
      </c>
      <c r="I175" s="139" t="s">
        <v>384</v>
      </c>
      <c r="J175" s="137" t="s">
        <v>20843</v>
      </c>
      <c r="K175" s="137">
        <v>47</v>
      </c>
      <c r="L175" s="133" t="str">
        <f t="shared" si="2"/>
        <v>003</v>
      </c>
    </row>
    <row r="176" spans="1:12" x14ac:dyDescent="0.3">
      <c r="A176" s="136">
        <v>172</v>
      </c>
      <c r="B176" s="137" t="s">
        <v>12900</v>
      </c>
      <c r="C176" s="10" t="str">
        <f>VLOOKUP(B176,'Data Angt'!$A$5:$B$5809,2,FALSE)</f>
        <v>A4488</v>
      </c>
      <c r="D176" s="137" t="s">
        <v>20844</v>
      </c>
      <c r="E176" s="137" t="s">
        <v>11</v>
      </c>
      <c r="F176" s="137">
        <v>81336276613</v>
      </c>
      <c r="G176" s="137" t="s">
        <v>109</v>
      </c>
      <c r="H176" s="138">
        <v>45367</v>
      </c>
      <c r="I176" s="139" t="s">
        <v>384</v>
      </c>
      <c r="J176" s="137" t="s">
        <v>20845</v>
      </c>
      <c r="K176" s="137">
        <v>25</v>
      </c>
      <c r="L176" s="133" t="str">
        <f t="shared" si="2"/>
        <v>002</v>
      </c>
    </row>
    <row r="177" spans="1:12" x14ac:dyDescent="0.3">
      <c r="A177" s="136">
        <v>173</v>
      </c>
      <c r="B177" s="137" t="s">
        <v>12902</v>
      </c>
      <c r="C177" s="10" t="str">
        <f>VLOOKUP(B177,'Data Angt'!$A$5:$B$5809,2,FALSE)</f>
        <v>A4489</v>
      </c>
      <c r="D177" s="137" t="s">
        <v>20846</v>
      </c>
      <c r="E177" s="137" t="s">
        <v>11</v>
      </c>
      <c r="F177" s="137">
        <v>81252158411</v>
      </c>
      <c r="G177" s="137" t="s">
        <v>109</v>
      </c>
      <c r="H177" s="138">
        <v>45367</v>
      </c>
      <c r="I177" s="139" t="s">
        <v>384</v>
      </c>
      <c r="J177" s="137" t="s">
        <v>20845</v>
      </c>
      <c r="K177" s="137">
        <v>28</v>
      </c>
      <c r="L177" s="133" t="str">
        <f t="shared" si="2"/>
        <v>002</v>
      </c>
    </row>
    <row r="178" spans="1:12" x14ac:dyDescent="0.3">
      <c r="A178" s="136">
        <v>174</v>
      </c>
      <c r="B178" s="137" t="s">
        <v>12904</v>
      </c>
      <c r="C178" s="10" t="str">
        <f>VLOOKUP(B178,'Data Angt'!$A$5:$B$5809,2,FALSE)</f>
        <v>A4490</v>
      </c>
      <c r="D178" s="137" t="s">
        <v>20847</v>
      </c>
      <c r="E178" s="137" t="s">
        <v>22</v>
      </c>
      <c r="F178" s="137">
        <v>81376568787</v>
      </c>
      <c r="G178" s="137" t="s">
        <v>31</v>
      </c>
      <c r="H178" s="138">
        <v>45369</v>
      </c>
      <c r="I178" s="139" t="s">
        <v>384</v>
      </c>
      <c r="J178" s="137" t="s">
        <v>20848</v>
      </c>
      <c r="K178" s="137">
        <v>35</v>
      </c>
      <c r="L178" s="133" t="str">
        <f t="shared" si="2"/>
        <v>005</v>
      </c>
    </row>
    <row r="179" spans="1:12" x14ac:dyDescent="0.3">
      <c r="A179" s="136">
        <v>175</v>
      </c>
      <c r="B179" s="137" t="s">
        <v>12905</v>
      </c>
      <c r="C179" s="10" t="str">
        <f>VLOOKUP(B179,'Data Angt'!$A$5:$B$5809,2,FALSE)</f>
        <v>A4491</v>
      </c>
      <c r="D179" s="137" t="s">
        <v>20849</v>
      </c>
      <c r="E179" s="137" t="s">
        <v>22</v>
      </c>
      <c r="F179" s="137">
        <v>81225320122</v>
      </c>
      <c r="G179" s="137" t="s">
        <v>16</v>
      </c>
      <c r="H179" s="138">
        <v>45369</v>
      </c>
      <c r="I179" s="139" t="s">
        <v>384</v>
      </c>
      <c r="J179" s="137" t="s">
        <v>19274</v>
      </c>
      <c r="K179" s="137">
        <v>39</v>
      </c>
      <c r="L179" s="133" t="str">
        <f t="shared" si="2"/>
        <v>002</v>
      </c>
    </row>
    <row r="180" spans="1:12" x14ac:dyDescent="0.3">
      <c r="A180" s="136">
        <v>176</v>
      </c>
      <c r="B180" s="137" t="s">
        <v>12907</v>
      </c>
      <c r="C180" s="10" t="str">
        <f>VLOOKUP(B180,'Data Angt'!$A$5:$B$5809,2,FALSE)</f>
        <v>A4492</v>
      </c>
      <c r="D180" s="137" t="s">
        <v>20850</v>
      </c>
      <c r="E180" s="137" t="s">
        <v>22</v>
      </c>
      <c r="F180" s="137">
        <v>85338467664</v>
      </c>
      <c r="G180" s="137" t="s">
        <v>31</v>
      </c>
      <c r="H180" s="138">
        <v>45369</v>
      </c>
      <c r="I180" s="139" t="s">
        <v>384</v>
      </c>
      <c r="J180" s="137" t="s">
        <v>20851</v>
      </c>
      <c r="K180" s="137">
        <v>53</v>
      </c>
      <c r="L180" s="133" t="str">
        <f t="shared" si="2"/>
        <v>003</v>
      </c>
    </row>
    <row r="181" spans="1:12" x14ac:dyDescent="0.3">
      <c r="A181" s="136">
        <v>177</v>
      </c>
      <c r="B181" s="137" t="s">
        <v>12909</v>
      </c>
      <c r="C181" s="10" t="str">
        <f>VLOOKUP(B181,'Data Angt'!$A$5:$B$5809,2,FALSE)</f>
        <v>A4493</v>
      </c>
      <c r="D181" s="137" t="s">
        <v>20852</v>
      </c>
      <c r="E181" s="137" t="s">
        <v>11</v>
      </c>
      <c r="F181" s="137">
        <v>85646717047</v>
      </c>
      <c r="G181" s="137" t="s">
        <v>540</v>
      </c>
      <c r="H181" s="138">
        <v>45369</v>
      </c>
      <c r="I181" s="139" t="s">
        <v>384</v>
      </c>
      <c r="J181" s="137" t="s">
        <v>20851</v>
      </c>
      <c r="K181" s="137">
        <v>54</v>
      </c>
      <c r="L181" s="133" t="str">
        <f t="shared" si="2"/>
        <v>003</v>
      </c>
    </row>
    <row r="182" spans="1:12" x14ac:dyDescent="0.3">
      <c r="A182" s="136">
        <v>178</v>
      </c>
      <c r="B182" s="137" t="s">
        <v>13076</v>
      </c>
      <c r="C182" s="10" t="str">
        <f>VLOOKUP(B182,'Data Angt'!$A$5:$B$5809,2,FALSE)</f>
        <v>A4572</v>
      </c>
      <c r="D182" s="137" t="s">
        <v>20853</v>
      </c>
      <c r="E182" s="137" t="s">
        <v>11</v>
      </c>
      <c r="F182" s="137">
        <v>8124926488</v>
      </c>
      <c r="G182" s="137" t="s">
        <v>46</v>
      </c>
      <c r="H182" s="138">
        <v>45449</v>
      </c>
      <c r="I182" s="139" t="s">
        <v>384</v>
      </c>
      <c r="J182" s="137" t="s">
        <v>20854</v>
      </c>
      <c r="K182" s="137">
        <v>59</v>
      </c>
      <c r="L182" s="133" t="str">
        <f t="shared" si="2"/>
        <v>001</v>
      </c>
    </row>
    <row r="183" spans="1:12" x14ac:dyDescent="0.3">
      <c r="A183" s="136">
        <v>179</v>
      </c>
      <c r="B183" s="137" t="s">
        <v>12910</v>
      </c>
      <c r="C183" s="10" t="str">
        <f>VLOOKUP(B183,'Data Angt'!$A$5:$B$5809,2,FALSE)</f>
        <v>A4494</v>
      </c>
      <c r="D183" s="137" t="s">
        <v>20855</v>
      </c>
      <c r="E183" s="137" t="s">
        <v>22</v>
      </c>
      <c r="F183" s="137">
        <v>81252681674</v>
      </c>
      <c r="G183" s="137" t="s">
        <v>24</v>
      </c>
      <c r="H183" s="138">
        <v>45370</v>
      </c>
      <c r="I183" s="139" t="s">
        <v>384</v>
      </c>
      <c r="J183" s="137" t="s">
        <v>20856</v>
      </c>
      <c r="K183" s="137">
        <v>44</v>
      </c>
      <c r="L183" s="133" t="str">
        <f t="shared" si="2"/>
        <v>003</v>
      </c>
    </row>
    <row r="184" spans="1:12" x14ac:dyDescent="0.3">
      <c r="A184" s="136">
        <v>180</v>
      </c>
      <c r="B184" s="137" t="s">
        <v>12912</v>
      </c>
      <c r="C184" s="10" t="str">
        <f>VLOOKUP(B184,'Data Angt'!$A$5:$B$5809,2,FALSE)</f>
        <v>A4495</v>
      </c>
      <c r="D184" s="137" t="s">
        <v>20857</v>
      </c>
      <c r="E184" s="137" t="s">
        <v>22</v>
      </c>
      <c r="F184" s="137">
        <v>85730939918</v>
      </c>
      <c r="G184" s="137" t="s">
        <v>31</v>
      </c>
      <c r="H184" s="138">
        <v>45371</v>
      </c>
      <c r="I184" s="139" t="s">
        <v>384</v>
      </c>
      <c r="J184" s="137" t="s">
        <v>20858</v>
      </c>
      <c r="K184" s="137">
        <v>37</v>
      </c>
      <c r="L184" s="133" t="str">
        <f t="shared" si="2"/>
        <v>005</v>
      </c>
    </row>
    <row r="185" spans="1:12" x14ac:dyDescent="0.3">
      <c r="A185" s="136">
        <v>181</v>
      </c>
      <c r="B185" s="137" t="s">
        <v>12914</v>
      </c>
      <c r="C185" s="10" t="str">
        <f>VLOOKUP(B185,'Data Angt'!$A$5:$B$5809,2,FALSE)</f>
        <v>A4496</v>
      </c>
      <c r="D185" s="137" t="s">
        <v>20859</v>
      </c>
      <c r="E185" s="137" t="s">
        <v>11</v>
      </c>
      <c r="F185" s="137">
        <v>85336534171</v>
      </c>
      <c r="G185" s="137" t="s">
        <v>109</v>
      </c>
      <c r="H185" s="138">
        <v>45372</v>
      </c>
      <c r="I185" s="139" t="s">
        <v>384</v>
      </c>
      <c r="J185" s="137" t="s">
        <v>19274</v>
      </c>
      <c r="K185" s="137">
        <v>27</v>
      </c>
      <c r="L185" s="133" t="str">
        <f t="shared" si="2"/>
        <v>002</v>
      </c>
    </row>
    <row r="186" spans="1:12" x14ac:dyDescent="0.3">
      <c r="A186" s="136">
        <v>182</v>
      </c>
      <c r="B186" s="137" t="s">
        <v>12929</v>
      </c>
      <c r="C186" s="10" t="str">
        <f>VLOOKUP(B186,'Data Angt'!$A$5:$B$5809,2,FALSE)</f>
        <v>A4503</v>
      </c>
      <c r="D186" s="137" t="s">
        <v>20860</v>
      </c>
      <c r="E186" s="137" t="s">
        <v>11</v>
      </c>
      <c r="F186" s="137">
        <v>83833754426</v>
      </c>
      <c r="G186" s="137" t="s">
        <v>46</v>
      </c>
      <c r="H186" s="138">
        <v>45376</v>
      </c>
      <c r="I186" s="139" t="s">
        <v>384</v>
      </c>
      <c r="J186" s="137" t="s">
        <v>20861</v>
      </c>
      <c r="K186" s="137">
        <v>46</v>
      </c>
      <c r="L186" s="133" t="str">
        <f t="shared" si="2"/>
        <v>002</v>
      </c>
    </row>
    <row r="187" spans="1:12" x14ac:dyDescent="0.3">
      <c r="A187" s="136">
        <v>183</v>
      </c>
      <c r="B187" s="137" t="s">
        <v>12915</v>
      </c>
      <c r="C187" s="10" t="str">
        <f>VLOOKUP(B187,'Data Angt'!$A$5:$B$5809,2,FALSE)</f>
        <v>A4497</v>
      </c>
      <c r="D187" s="137" t="s">
        <v>20862</v>
      </c>
      <c r="E187" s="137" t="s">
        <v>11</v>
      </c>
      <c r="F187" s="137">
        <v>85648221116</v>
      </c>
      <c r="G187" s="137" t="s">
        <v>109</v>
      </c>
      <c r="H187" s="138">
        <v>45373</v>
      </c>
      <c r="I187" s="139" t="s">
        <v>384</v>
      </c>
      <c r="J187" s="137" t="s">
        <v>20863</v>
      </c>
      <c r="K187" s="137">
        <v>34</v>
      </c>
      <c r="L187" s="133" t="str">
        <f t="shared" si="2"/>
        <v>001</v>
      </c>
    </row>
    <row r="188" spans="1:12" x14ac:dyDescent="0.3">
      <c r="A188" s="136">
        <v>184</v>
      </c>
      <c r="B188" s="137" t="s">
        <v>12918</v>
      </c>
      <c r="C188" s="10" t="str">
        <f>VLOOKUP(B188,'Data Angt'!$A$5:$B$5809,2,FALSE)</f>
        <v>A4498</v>
      </c>
      <c r="D188" s="137" t="s">
        <v>20864</v>
      </c>
      <c r="E188" s="137" t="s">
        <v>11</v>
      </c>
      <c r="F188" s="137">
        <v>813580407070</v>
      </c>
      <c r="G188" s="137" t="s">
        <v>2418</v>
      </c>
      <c r="H188" s="138">
        <v>45373</v>
      </c>
      <c r="I188" s="139" t="s">
        <v>384</v>
      </c>
      <c r="J188" s="137" t="s">
        <v>20865</v>
      </c>
      <c r="K188" s="137">
        <v>47</v>
      </c>
      <c r="L188" s="133" t="str">
        <f t="shared" si="2"/>
        <v>004</v>
      </c>
    </row>
    <row r="189" spans="1:12" x14ac:dyDescent="0.3">
      <c r="A189" s="136">
        <v>185</v>
      </c>
      <c r="B189" s="137" t="s">
        <v>12921</v>
      </c>
      <c r="C189" s="10" t="str">
        <f>VLOOKUP(B189,'Data Angt'!$A$5:$B$5809,2,FALSE)</f>
        <v>A4499</v>
      </c>
      <c r="D189" s="137" t="s">
        <v>20866</v>
      </c>
      <c r="E189" s="137" t="s">
        <v>22</v>
      </c>
      <c r="F189" s="137">
        <v>82132452721</v>
      </c>
      <c r="G189" s="137" t="s">
        <v>109</v>
      </c>
      <c r="H189" s="138">
        <v>45373</v>
      </c>
      <c r="I189" s="139" t="s">
        <v>384</v>
      </c>
      <c r="J189" s="137" t="s">
        <v>20867</v>
      </c>
      <c r="K189" s="137">
        <v>31</v>
      </c>
      <c r="L189" s="133" t="str">
        <f t="shared" si="2"/>
        <v>001</v>
      </c>
    </row>
    <row r="190" spans="1:12" x14ac:dyDescent="0.3">
      <c r="A190" s="136">
        <v>186</v>
      </c>
      <c r="B190" s="137" t="s">
        <v>12923</v>
      </c>
      <c r="C190" s="10" t="str">
        <f>VLOOKUP(B190,'Data Angt'!$A$5:$B$5809,2,FALSE)</f>
        <v>A4500</v>
      </c>
      <c r="D190" s="137" t="s">
        <v>20868</v>
      </c>
      <c r="E190" s="137" t="s">
        <v>11</v>
      </c>
      <c r="F190" s="137">
        <v>81212650123</v>
      </c>
      <c r="G190" s="137" t="s">
        <v>109</v>
      </c>
      <c r="H190" s="138">
        <v>45374</v>
      </c>
      <c r="I190" s="139" t="s">
        <v>384</v>
      </c>
      <c r="J190" s="137" t="s">
        <v>20869</v>
      </c>
      <c r="K190" s="137">
        <v>25</v>
      </c>
      <c r="L190" s="133" t="str">
        <f t="shared" si="2"/>
        <v>001</v>
      </c>
    </row>
    <row r="191" spans="1:12" x14ac:dyDescent="0.3">
      <c r="A191" s="136">
        <v>187</v>
      </c>
      <c r="B191" s="137" t="s">
        <v>12925</v>
      </c>
      <c r="C191" s="10" t="str">
        <f>VLOOKUP(B191,'Data Angt'!$A$5:$B$5809,2,FALSE)</f>
        <v>A4501</v>
      </c>
      <c r="D191" s="137" t="s">
        <v>20870</v>
      </c>
      <c r="E191" s="137" t="s">
        <v>11</v>
      </c>
      <c r="F191" s="137">
        <v>895334897304</v>
      </c>
      <c r="G191" s="137" t="s">
        <v>109</v>
      </c>
      <c r="H191" s="138">
        <v>45374</v>
      </c>
      <c r="I191" s="139" t="s">
        <v>384</v>
      </c>
      <c r="J191" s="137" t="s">
        <v>20871</v>
      </c>
      <c r="K191" s="137">
        <v>23</v>
      </c>
      <c r="L191" s="133" t="str">
        <f t="shared" si="2"/>
        <v>001</v>
      </c>
    </row>
    <row r="192" spans="1:12" x14ac:dyDescent="0.3">
      <c r="A192" s="136">
        <v>188</v>
      </c>
      <c r="B192" s="137" t="s">
        <v>12927</v>
      </c>
      <c r="C192" s="10" t="str">
        <f>VLOOKUP(B192,'Data Angt'!$A$5:$B$5809,2,FALSE)</f>
        <v>A4502</v>
      </c>
      <c r="D192" s="137" t="s">
        <v>19608</v>
      </c>
      <c r="E192" s="137" t="s">
        <v>22</v>
      </c>
      <c r="F192" s="137">
        <v>85735723120</v>
      </c>
      <c r="G192" s="137" t="s">
        <v>46</v>
      </c>
      <c r="H192" s="138">
        <v>45374</v>
      </c>
      <c r="I192" s="139" t="s">
        <v>384</v>
      </c>
      <c r="J192" s="137" t="s">
        <v>20872</v>
      </c>
      <c r="K192" s="137">
        <v>28</v>
      </c>
      <c r="L192" s="133" t="str">
        <f t="shared" si="2"/>
        <v>003</v>
      </c>
    </row>
    <row r="193" spans="1:12" x14ac:dyDescent="0.3">
      <c r="A193" s="136">
        <v>189</v>
      </c>
      <c r="B193" s="137" t="s">
        <v>12932</v>
      </c>
      <c r="C193" s="10" t="str">
        <f>VLOOKUP(B193,'Data Angt'!$A$5:$B$5809,2,FALSE)</f>
        <v>A4504</v>
      </c>
      <c r="D193" s="137" t="s">
        <v>20873</v>
      </c>
      <c r="E193" s="137" t="s">
        <v>11</v>
      </c>
      <c r="F193" s="137">
        <v>85786654744</v>
      </c>
      <c r="G193" s="137" t="s">
        <v>109</v>
      </c>
      <c r="H193" s="138">
        <v>45376</v>
      </c>
      <c r="I193" s="139" t="s">
        <v>384</v>
      </c>
      <c r="J193" s="137" t="s">
        <v>20874</v>
      </c>
      <c r="K193" s="137">
        <v>28</v>
      </c>
      <c r="L193" s="133" t="str">
        <f t="shared" si="2"/>
        <v>006</v>
      </c>
    </row>
    <row r="194" spans="1:12" x14ac:dyDescent="0.3">
      <c r="A194" s="136">
        <v>190</v>
      </c>
      <c r="B194" s="137" t="s">
        <v>12935</v>
      </c>
      <c r="C194" s="10" t="str">
        <f>VLOOKUP(B194,'Data Angt'!$A$5:$B$5809,2,FALSE)</f>
        <v>A4505</v>
      </c>
      <c r="D194" s="137" t="s">
        <v>20875</v>
      </c>
      <c r="E194" s="137" t="s">
        <v>11</v>
      </c>
      <c r="F194" s="137">
        <v>89515362420</v>
      </c>
      <c r="G194" s="137" t="s">
        <v>109</v>
      </c>
      <c r="H194" s="138">
        <v>45377</v>
      </c>
      <c r="I194" s="139" t="s">
        <v>384</v>
      </c>
      <c r="J194" s="137" t="s">
        <v>20876</v>
      </c>
      <c r="K194" s="137">
        <v>25</v>
      </c>
      <c r="L194" s="133" t="str">
        <f t="shared" si="2"/>
        <v>001</v>
      </c>
    </row>
    <row r="195" spans="1:12" x14ac:dyDescent="0.3">
      <c r="A195" s="136">
        <v>191</v>
      </c>
      <c r="B195" s="137" t="s">
        <v>12938</v>
      </c>
      <c r="C195" s="10" t="str">
        <f>VLOOKUP(B195,'Data Angt'!$A$5:$B$5809,2,FALSE)</f>
        <v>A4506</v>
      </c>
      <c r="D195" s="137" t="s">
        <v>20877</v>
      </c>
      <c r="E195" s="137" t="s">
        <v>22</v>
      </c>
      <c r="F195" s="137">
        <v>89522686881</v>
      </c>
      <c r="G195" s="137" t="s">
        <v>109</v>
      </c>
      <c r="H195" s="138">
        <v>45377</v>
      </c>
      <c r="I195" s="139" t="s">
        <v>384</v>
      </c>
      <c r="J195" s="137" t="s">
        <v>20878</v>
      </c>
      <c r="K195" s="137">
        <v>34</v>
      </c>
      <c r="L195" s="133" t="str">
        <f t="shared" si="2"/>
        <v>001</v>
      </c>
    </row>
    <row r="196" spans="1:12" x14ac:dyDescent="0.3">
      <c r="A196" s="136">
        <v>192</v>
      </c>
      <c r="B196" s="137" t="s">
        <v>12940</v>
      </c>
      <c r="C196" s="10" t="str">
        <f>VLOOKUP(B196,'Data Angt'!$A$5:$B$5809,2,FALSE)</f>
        <v>A4507</v>
      </c>
      <c r="D196" s="137" t="s">
        <v>20879</v>
      </c>
      <c r="E196" s="137" t="s">
        <v>11</v>
      </c>
      <c r="F196" s="137">
        <v>816200840</v>
      </c>
      <c r="G196" s="137" t="s">
        <v>109</v>
      </c>
      <c r="H196" s="138">
        <v>45378</v>
      </c>
      <c r="I196" s="139" t="s">
        <v>384</v>
      </c>
      <c r="J196" s="137" t="s">
        <v>20880</v>
      </c>
      <c r="K196" s="137">
        <v>25</v>
      </c>
      <c r="L196" s="133" t="str">
        <f t="shared" si="2"/>
        <v>004</v>
      </c>
    </row>
    <row r="197" spans="1:12" x14ac:dyDescent="0.3">
      <c r="A197" s="136">
        <v>193</v>
      </c>
      <c r="B197" s="137" t="s">
        <v>12943</v>
      </c>
      <c r="C197" s="10" t="str">
        <f>VLOOKUP(B197,'Data Angt'!$A$5:$B$5809,2,FALSE)</f>
        <v>A4508</v>
      </c>
      <c r="D197" s="137" t="s">
        <v>20881</v>
      </c>
      <c r="E197" s="137" t="s">
        <v>11</v>
      </c>
      <c r="F197" s="137">
        <v>85228577680</v>
      </c>
      <c r="G197" s="137" t="s">
        <v>109</v>
      </c>
      <c r="H197" s="138">
        <v>45379</v>
      </c>
      <c r="I197" s="139" t="s">
        <v>384</v>
      </c>
      <c r="J197" s="137" t="s">
        <v>19342</v>
      </c>
      <c r="K197" s="137">
        <v>47</v>
      </c>
      <c r="L197" s="133" t="str">
        <f t="shared" si="2"/>
        <v>006</v>
      </c>
    </row>
    <row r="198" spans="1:12" x14ac:dyDescent="0.3">
      <c r="A198" s="136">
        <v>194</v>
      </c>
      <c r="B198" s="137" t="s">
        <v>12946</v>
      </c>
      <c r="C198" s="10" t="str">
        <f>VLOOKUP(B198,'Data Angt'!$A$5:$B$5809,2,FALSE)</f>
        <v>A4509</v>
      </c>
      <c r="D198" s="137" t="s">
        <v>20882</v>
      </c>
      <c r="E198" s="137" t="s">
        <v>22</v>
      </c>
      <c r="F198" s="137">
        <v>82141523336</v>
      </c>
      <c r="G198" s="137" t="s">
        <v>46</v>
      </c>
      <c r="H198" s="138">
        <v>45379</v>
      </c>
      <c r="I198" s="139" t="s">
        <v>384</v>
      </c>
      <c r="J198" s="137" t="s">
        <v>20883</v>
      </c>
      <c r="K198" s="137">
        <v>34</v>
      </c>
      <c r="L198" s="133" t="str">
        <f t="shared" ref="L198:L261" si="3">MID(B198,7,3)</f>
        <v>005</v>
      </c>
    </row>
    <row r="199" spans="1:12" x14ac:dyDescent="0.3">
      <c r="A199" s="136">
        <v>195</v>
      </c>
      <c r="B199" s="137" t="s">
        <v>12948</v>
      </c>
      <c r="C199" s="10" t="str">
        <f>VLOOKUP(B199,'Data Angt'!$A$5:$B$5809,2,FALSE)</f>
        <v>A4510</v>
      </c>
      <c r="D199" s="137" t="s">
        <v>20884</v>
      </c>
      <c r="E199" s="137" t="s">
        <v>22</v>
      </c>
      <c r="F199" s="137">
        <v>89507221600</v>
      </c>
      <c r="G199" s="137" t="s">
        <v>370</v>
      </c>
      <c r="H199" s="138">
        <v>45383</v>
      </c>
      <c r="I199" s="139" t="s">
        <v>384</v>
      </c>
      <c r="J199" s="137" t="s">
        <v>20885</v>
      </c>
      <c r="K199" s="137">
        <v>39</v>
      </c>
      <c r="L199" s="133" t="str">
        <f t="shared" si="3"/>
        <v>006</v>
      </c>
    </row>
    <row r="200" spans="1:12" x14ac:dyDescent="0.3">
      <c r="A200" s="136">
        <v>196</v>
      </c>
      <c r="B200" s="137" t="s">
        <v>12950</v>
      </c>
      <c r="C200" s="10" t="str">
        <f>VLOOKUP(B200,'Data Angt'!$A$5:$B$5809,2,FALSE)</f>
        <v>A4511</v>
      </c>
      <c r="D200" s="137" t="s">
        <v>20886</v>
      </c>
      <c r="E200" s="137" t="s">
        <v>22</v>
      </c>
      <c r="F200" s="137">
        <v>87787425243</v>
      </c>
      <c r="G200" s="137" t="s">
        <v>109</v>
      </c>
      <c r="H200" s="138">
        <v>45383</v>
      </c>
      <c r="I200" s="139" t="s">
        <v>384</v>
      </c>
      <c r="J200" s="137" t="s">
        <v>20887</v>
      </c>
      <c r="K200" s="137">
        <v>35</v>
      </c>
      <c r="L200" s="133" t="str">
        <f t="shared" si="3"/>
        <v>001</v>
      </c>
    </row>
    <row r="201" spans="1:12" x14ac:dyDescent="0.3">
      <c r="A201" s="136">
        <v>197</v>
      </c>
      <c r="B201" s="137" t="s">
        <v>12953</v>
      </c>
      <c r="C201" s="10" t="str">
        <f>VLOOKUP(B201,'Data Angt'!$A$5:$B$5809,2,FALSE)</f>
        <v>A4512</v>
      </c>
      <c r="D201" s="137" t="s">
        <v>20888</v>
      </c>
      <c r="E201" s="137" t="s">
        <v>11</v>
      </c>
      <c r="F201" s="137">
        <v>81234886811</v>
      </c>
      <c r="G201" s="137" t="s">
        <v>243</v>
      </c>
      <c r="H201" s="138">
        <v>45384</v>
      </c>
      <c r="I201" s="139" t="s">
        <v>384</v>
      </c>
      <c r="J201" s="137" t="s">
        <v>20889</v>
      </c>
      <c r="K201" s="137">
        <v>17</v>
      </c>
      <c r="L201" s="133" t="str">
        <f t="shared" si="3"/>
        <v>004</v>
      </c>
    </row>
    <row r="202" spans="1:12" x14ac:dyDescent="0.3">
      <c r="A202" s="136">
        <v>198</v>
      </c>
      <c r="B202" s="137" t="s">
        <v>12954</v>
      </c>
      <c r="C202" s="10" t="str">
        <f>VLOOKUP(B202,'Data Angt'!$A$5:$B$5809,2,FALSE)</f>
        <v>A4513</v>
      </c>
      <c r="D202" s="137" t="s">
        <v>20890</v>
      </c>
      <c r="E202" s="137" t="s">
        <v>11</v>
      </c>
      <c r="F202" s="137">
        <v>82232249632</v>
      </c>
      <c r="G202" s="137" t="s">
        <v>172</v>
      </c>
      <c r="H202" s="138">
        <v>45387</v>
      </c>
      <c r="I202" s="139" t="s">
        <v>384</v>
      </c>
      <c r="J202" s="137" t="s">
        <v>19681</v>
      </c>
      <c r="K202" s="137">
        <v>60</v>
      </c>
      <c r="L202" s="133" t="str">
        <f t="shared" si="3"/>
        <v>002</v>
      </c>
    </row>
    <row r="203" spans="1:12" x14ac:dyDescent="0.3">
      <c r="A203" s="136">
        <v>199</v>
      </c>
      <c r="B203" s="137" t="s">
        <v>12957</v>
      </c>
      <c r="C203" s="10" t="str">
        <f>VLOOKUP(B203,'Data Angt'!$A$5:$B$5809,2,FALSE)</f>
        <v>A4514</v>
      </c>
      <c r="D203" s="137" t="s">
        <v>20891</v>
      </c>
      <c r="E203" s="137" t="s">
        <v>11</v>
      </c>
      <c r="F203" s="137">
        <v>81287060614</v>
      </c>
      <c r="G203" s="137" t="s">
        <v>46</v>
      </c>
      <c r="H203" s="138">
        <v>45399</v>
      </c>
      <c r="I203" s="139" t="s">
        <v>384</v>
      </c>
      <c r="J203" s="137" t="s">
        <v>20892</v>
      </c>
      <c r="K203" s="137">
        <v>32</v>
      </c>
      <c r="L203" s="133" t="str">
        <f t="shared" si="3"/>
        <v>006</v>
      </c>
    </row>
    <row r="204" spans="1:12" x14ac:dyDescent="0.3">
      <c r="A204" s="136">
        <v>200</v>
      </c>
      <c r="B204" s="137" t="s">
        <v>12959</v>
      </c>
      <c r="C204" s="10" t="str">
        <f>VLOOKUP(B204,'Data Angt'!$A$5:$B$5809,2,FALSE)</f>
        <v>A4515</v>
      </c>
      <c r="D204" s="137" t="s">
        <v>20893</v>
      </c>
      <c r="E204" s="137" t="s">
        <v>22</v>
      </c>
      <c r="F204" s="137">
        <v>87705491626</v>
      </c>
      <c r="G204" s="137" t="s">
        <v>46</v>
      </c>
      <c r="H204" s="138">
        <v>45399</v>
      </c>
      <c r="I204" s="139" t="s">
        <v>384</v>
      </c>
      <c r="J204" s="137" t="s">
        <v>20894</v>
      </c>
      <c r="K204" s="137">
        <v>38</v>
      </c>
      <c r="L204" s="133" t="str">
        <f t="shared" si="3"/>
        <v>006</v>
      </c>
    </row>
    <row r="205" spans="1:12" x14ac:dyDescent="0.3">
      <c r="A205" s="136">
        <v>201</v>
      </c>
      <c r="B205" s="137" t="s">
        <v>12960</v>
      </c>
      <c r="C205" s="10" t="str">
        <f>VLOOKUP(B205,'Data Angt'!$A$5:$B$5809,2,FALSE)</f>
        <v>A4516</v>
      </c>
      <c r="D205" s="137" t="s">
        <v>20895</v>
      </c>
      <c r="E205" s="137" t="s">
        <v>22</v>
      </c>
      <c r="F205" s="137">
        <v>81222333457</v>
      </c>
      <c r="G205" s="137" t="s">
        <v>109</v>
      </c>
      <c r="H205" s="138">
        <v>45401</v>
      </c>
      <c r="I205" s="139" t="s">
        <v>384</v>
      </c>
      <c r="J205" s="137" t="s">
        <v>20896</v>
      </c>
      <c r="K205" s="137">
        <v>34</v>
      </c>
      <c r="L205" s="133" t="str">
        <f t="shared" si="3"/>
        <v>003</v>
      </c>
    </row>
    <row r="206" spans="1:12" x14ac:dyDescent="0.3">
      <c r="A206" s="136">
        <v>202</v>
      </c>
      <c r="B206" s="137" t="s">
        <v>12961</v>
      </c>
      <c r="C206" s="10" t="str">
        <f>VLOOKUP(B206,'Data Angt'!$A$5:$B$5809,2,FALSE)</f>
        <v>A4517</v>
      </c>
      <c r="D206" s="137" t="s">
        <v>20897</v>
      </c>
      <c r="E206" s="137" t="s">
        <v>22</v>
      </c>
      <c r="F206" s="137">
        <v>8990713669</v>
      </c>
      <c r="G206" s="137" t="s">
        <v>370</v>
      </c>
      <c r="H206" s="138">
        <v>45401</v>
      </c>
      <c r="I206" s="139" t="s">
        <v>384</v>
      </c>
      <c r="J206" s="137" t="s">
        <v>20898</v>
      </c>
      <c r="K206" s="137">
        <v>38</v>
      </c>
      <c r="L206" s="133" t="str">
        <f t="shared" si="3"/>
        <v>005</v>
      </c>
    </row>
    <row r="207" spans="1:12" x14ac:dyDescent="0.3">
      <c r="A207" s="136">
        <v>203</v>
      </c>
      <c r="B207" s="137" t="s">
        <v>12963</v>
      </c>
      <c r="C207" s="10" t="str">
        <f>VLOOKUP(B207,'Data Angt'!$A$5:$B$5809,2,FALSE)</f>
        <v>A4518</v>
      </c>
      <c r="D207" s="137" t="s">
        <v>20899</v>
      </c>
      <c r="E207" s="137" t="s">
        <v>11</v>
      </c>
      <c r="F207" s="137">
        <v>8122233346</v>
      </c>
      <c r="G207" s="137" t="s">
        <v>46</v>
      </c>
      <c r="H207" s="138">
        <v>45402</v>
      </c>
      <c r="I207" s="139" t="s">
        <v>384</v>
      </c>
      <c r="J207" s="137" t="s">
        <v>20900</v>
      </c>
      <c r="K207" s="137">
        <v>49</v>
      </c>
      <c r="L207" s="133" t="str">
        <f t="shared" si="3"/>
        <v>003</v>
      </c>
    </row>
    <row r="208" spans="1:12" x14ac:dyDescent="0.3">
      <c r="A208" s="136">
        <v>204</v>
      </c>
      <c r="B208" s="137" t="s">
        <v>12966</v>
      </c>
      <c r="C208" s="10" t="str">
        <f>VLOOKUP(B208,'Data Angt'!$A$5:$B$5809,2,FALSE)</f>
        <v>A4519</v>
      </c>
      <c r="D208" s="137" t="s">
        <v>20901</v>
      </c>
      <c r="E208" s="137" t="s">
        <v>11</v>
      </c>
      <c r="F208" s="137">
        <v>85646021096</v>
      </c>
      <c r="G208" s="137" t="s">
        <v>109</v>
      </c>
      <c r="H208" s="138">
        <v>45404</v>
      </c>
      <c r="I208" s="139" t="s">
        <v>384</v>
      </c>
      <c r="J208" s="137" t="s">
        <v>20192</v>
      </c>
      <c r="K208" s="137">
        <v>27</v>
      </c>
      <c r="L208" s="133" t="str">
        <f t="shared" si="3"/>
        <v>002</v>
      </c>
    </row>
    <row r="209" spans="1:12" x14ac:dyDescent="0.3">
      <c r="A209" s="136">
        <v>205</v>
      </c>
      <c r="B209" s="137" t="s">
        <v>12968</v>
      </c>
      <c r="C209" s="10" t="str">
        <f>VLOOKUP(B209,'Data Angt'!$A$5:$B$5809,2,FALSE)</f>
        <v>A4520</v>
      </c>
      <c r="D209" s="137" t="s">
        <v>20902</v>
      </c>
      <c r="E209" s="137" t="s">
        <v>11</v>
      </c>
      <c r="F209" s="137">
        <v>252251100</v>
      </c>
      <c r="G209" s="137" t="s">
        <v>46</v>
      </c>
      <c r="H209" s="138">
        <v>45405</v>
      </c>
      <c r="I209" s="139" t="s">
        <v>384</v>
      </c>
      <c r="J209" s="137" t="s">
        <v>20903</v>
      </c>
      <c r="K209" s="137">
        <v>54</v>
      </c>
      <c r="L209" s="133" t="str">
        <f t="shared" si="3"/>
        <v>001</v>
      </c>
    </row>
    <row r="210" spans="1:12" x14ac:dyDescent="0.3">
      <c r="A210" s="136">
        <v>206</v>
      </c>
      <c r="B210" s="137" t="s">
        <v>12970</v>
      </c>
      <c r="C210" s="10" t="str">
        <f>VLOOKUP(B210,'Data Angt'!$A$5:$B$5809,2,FALSE)</f>
        <v>A4521</v>
      </c>
      <c r="D210" s="137" t="s">
        <v>20904</v>
      </c>
      <c r="E210" s="137" t="s">
        <v>22</v>
      </c>
      <c r="F210" s="137">
        <v>8123056150</v>
      </c>
      <c r="G210" s="137" t="s">
        <v>16</v>
      </c>
      <c r="H210" s="138">
        <v>45408</v>
      </c>
      <c r="I210" s="139" t="s">
        <v>384</v>
      </c>
      <c r="J210" s="137" t="s">
        <v>20905</v>
      </c>
      <c r="K210" s="137">
        <v>53</v>
      </c>
      <c r="L210" s="133" t="str">
        <f t="shared" si="3"/>
        <v>001</v>
      </c>
    </row>
    <row r="211" spans="1:12" x14ac:dyDescent="0.3">
      <c r="A211" s="136">
        <v>207</v>
      </c>
      <c r="B211" s="137" t="s">
        <v>12971</v>
      </c>
      <c r="C211" s="10" t="str">
        <f>VLOOKUP(B211,'Data Angt'!$A$5:$B$5809,2,FALSE)</f>
        <v>A4522</v>
      </c>
      <c r="D211" s="137" t="s">
        <v>20906</v>
      </c>
      <c r="E211" s="137" t="s">
        <v>22</v>
      </c>
      <c r="F211" s="137">
        <v>85904457346</v>
      </c>
      <c r="G211" s="137" t="s">
        <v>46</v>
      </c>
      <c r="H211" s="138">
        <v>45409</v>
      </c>
      <c r="I211" s="139" t="s">
        <v>384</v>
      </c>
      <c r="J211" s="137" t="s">
        <v>20907</v>
      </c>
      <c r="K211" s="137">
        <v>36</v>
      </c>
      <c r="L211" s="133" t="str">
        <f t="shared" si="3"/>
        <v>001</v>
      </c>
    </row>
    <row r="212" spans="1:12" x14ac:dyDescent="0.3">
      <c r="A212" s="136">
        <v>208</v>
      </c>
      <c r="B212" s="137" t="s">
        <v>20908</v>
      </c>
      <c r="C212" s="10" t="e">
        <f>VLOOKUP(B212,'Data Angt'!$A$5:$B$5809,2,FALSE)</f>
        <v>#N/A</v>
      </c>
      <c r="D212" s="137" t="s">
        <v>20909</v>
      </c>
      <c r="E212" s="137" t="s">
        <v>22</v>
      </c>
      <c r="F212" s="137">
        <v>895620040066</v>
      </c>
      <c r="G212" s="137" t="s">
        <v>370</v>
      </c>
      <c r="H212" s="138">
        <v>45412</v>
      </c>
      <c r="I212" s="138">
        <v>45845</v>
      </c>
      <c r="J212" s="137" t="s">
        <v>20517</v>
      </c>
      <c r="K212" s="137">
        <v>41</v>
      </c>
      <c r="L212" s="133" t="str">
        <f t="shared" si="3"/>
        <v>004</v>
      </c>
    </row>
    <row r="213" spans="1:12" x14ac:dyDescent="0.3">
      <c r="A213" s="136">
        <v>209</v>
      </c>
      <c r="B213" s="137" t="s">
        <v>20910</v>
      </c>
      <c r="C213" s="10" t="e">
        <f>VLOOKUP(B213,'Data Angt'!$A$5:$B$5809,2,FALSE)</f>
        <v>#N/A</v>
      </c>
      <c r="D213" s="137" t="s">
        <v>20911</v>
      </c>
      <c r="E213" s="137" t="s">
        <v>22</v>
      </c>
      <c r="F213" s="137">
        <v>85648864947</v>
      </c>
      <c r="G213" s="137" t="s">
        <v>31</v>
      </c>
      <c r="H213" s="138">
        <v>45412</v>
      </c>
      <c r="I213" s="138">
        <v>45857</v>
      </c>
      <c r="J213" s="137" t="s">
        <v>20912</v>
      </c>
      <c r="K213" s="137">
        <v>52</v>
      </c>
      <c r="L213" s="133" t="str">
        <f t="shared" si="3"/>
        <v>003</v>
      </c>
    </row>
    <row r="214" spans="1:12" x14ac:dyDescent="0.3">
      <c r="A214" s="136">
        <v>210</v>
      </c>
      <c r="B214" s="137" t="s">
        <v>12974</v>
      </c>
      <c r="C214" s="10" t="str">
        <f>VLOOKUP(B214,'Data Angt'!$A$5:$B$5809,2,FALSE)</f>
        <v>A4523</v>
      </c>
      <c r="D214" s="137" t="s">
        <v>20853</v>
      </c>
      <c r="E214" s="137" t="s">
        <v>22</v>
      </c>
      <c r="F214" s="137">
        <v>85234522821</v>
      </c>
      <c r="G214" s="137" t="s">
        <v>46</v>
      </c>
      <c r="H214" s="138">
        <v>45414</v>
      </c>
      <c r="I214" s="139" t="s">
        <v>384</v>
      </c>
      <c r="J214" s="137" t="s">
        <v>20913</v>
      </c>
      <c r="K214" s="137">
        <v>59</v>
      </c>
      <c r="L214" s="133" t="str">
        <f t="shared" si="3"/>
        <v>001</v>
      </c>
    </row>
    <row r="215" spans="1:12" x14ac:dyDescent="0.3">
      <c r="A215" s="136">
        <v>211</v>
      </c>
      <c r="B215" s="137" t="s">
        <v>12975</v>
      </c>
      <c r="C215" s="10" t="str">
        <f>VLOOKUP(B215,'Data Angt'!$A$5:$B$5809,2,FALSE)</f>
        <v>A4524</v>
      </c>
      <c r="D215" s="137" t="s">
        <v>20914</v>
      </c>
      <c r="E215" s="137" t="s">
        <v>22</v>
      </c>
      <c r="F215" s="137">
        <v>85258115630</v>
      </c>
      <c r="G215" s="137" t="s">
        <v>243</v>
      </c>
      <c r="H215" s="138">
        <v>45414</v>
      </c>
      <c r="I215" s="139" t="s">
        <v>384</v>
      </c>
      <c r="J215" s="137" t="s">
        <v>20915</v>
      </c>
      <c r="K215" s="137">
        <v>26</v>
      </c>
      <c r="L215" s="133" t="str">
        <f t="shared" si="3"/>
        <v>001</v>
      </c>
    </row>
    <row r="216" spans="1:12" x14ac:dyDescent="0.3">
      <c r="A216" s="136">
        <v>212</v>
      </c>
      <c r="B216" s="137" t="s">
        <v>12977</v>
      </c>
      <c r="C216" s="10" t="str">
        <f>VLOOKUP(B216,'Data Angt'!$A$5:$B$5809,2,FALSE)</f>
        <v>A4525</v>
      </c>
      <c r="D216" s="137" t="s">
        <v>20916</v>
      </c>
      <c r="E216" s="137" t="s">
        <v>22</v>
      </c>
      <c r="F216" s="137">
        <v>81331813938</v>
      </c>
      <c r="G216" s="137" t="s">
        <v>88</v>
      </c>
      <c r="H216" s="138">
        <v>45414</v>
      </c>
      <c r="I216" s="139" t="s">
        <v>384</v>
      </c>
      <c r="J216" s="137" t="s">
        <v>20917</v>
      </c>
      <c r="K216" s="137">
        <v>55</v>
      </c>
      <c r="L216" s="133" t="str">
        <f t="shared" si="3"/>
        <v>005</v>
      </c>
    </row>
    <row r="217" spans="1:12" x14ac:dyDescent="0.3">
      <c r="A217" s="136">
        <v>213</v>
      </c>
      <c r="B217" s="137" t="s">
        <v>12979</v>
      </c>
      <c r="C217" s="10" t="str">
        <f>VLOOKUP(B217,'Data Angt'!$A$5:$B$5809,2,FALSE)</f>
        <v>A4526</v>
      </c>
      <c r="D217" s="137" t="s">
        <v>20918</v>
      </c>
      <c r="E217" s="137" t="s">
        <v>22</v>
      </c>
      <c r="F217" s="137">
        <v>89688489489</v>
      </c>
      <c r="G217" s="137" t="s">
        <v>46</v>
      </c>
      <c r="H217" s="138">
        <v>45414</v>
      </c>
      <c r="I217" s="139" t="s">
        <v>384</v>
      </c>
      <c r="J217" s="137" t="s">
        <v>20919</v>
      </c>
      <c r="K217" s="137">
        <v>23</v>
      </c>
      <c r="L217" s="133" t="str">
        <f t="shared" si="3"/>
        <v>001</v>
      </c>
    </row>
    <row r="218" spans="1:12" x14ac:dyDescent="0.3">
      <c r="A218" s="136">
        <v>214</v>
      </c>
      <c r="B218" s="137" t="s">
        <v>12982</v>
      </c>
      <c r="C218" s="10" t="str">
        <f>VLOOKUP(B218,'Data Angt'!$A$5:$B$5809,2,FALSE)</f>
        <v>A4527</v>
      </c>
      <c r="D218" s="137" t="s">
        <v>20920</v>
      </c>
      <c r="E218" s="137" t="s">
        <v>22</v>
      </c>
      <c r="F218" s="137">
        <v>81249081862</v>
      </c>
      <c r="G218" s="137" t="s">
        <v>370</v>
      </c>
      <c r="H218" s="138">
        <v>45414</v>
      </c>
      <c r="I218" s="139" t="s">
        <v>384</v>
      </c>
      <c r="J218" s="137" t="s">
        <v>20921</v>
      </c>
      <c r="K218" s="137">
        <v>53</v>
      </c>
      <c r="L218" s="133" t="str">
        <f t="shared" si="3"/>
        <v>005</v>
      </c>
    </row>
    <row r="219" spans="1:12" x14ac:dyDescent="0.3">
      <c r="A219" s="136">
        <v>215</v>
      </c>
      <c r="B219" s="137" t="s">
        <v>12985</v>
      </c>
      <c r="C219" s="10" t="str">
        <f>VLOOKUP(B219,'Data Angt'!$A$5:$B$5809,2,FALSE)</f>
        <v>A4528</v>
      </c>
      <c r="D219" s="137" t="s">
        <v>20922</v>
      </c>
      <c r="E219" s="137" t="s">
        <v>22</v>
      </c>
      <c r="F219" s="137">
        <v>222200052</v>
      </c>
      <c r="G219" s="137" t="s">
        <v>109</v>
      </c>
      <c r="H219" s="138">
        <v>45415</v>
      </c>
      <c r="I219" s="139" t="s">
        <v>384</v>
      </c>
      <c r="J219" s="137" t="s">
        <v>20923</v>
      </c>
      <c r="K219" s="137">
        <v>49</v>
      </c>
      <c r="L219" s="133" t="str">
        <f t="shared" si="3"/>
        <v>001</v>
      </c>
    </row>
    <row r="220" spans="1:12" x14ac:dyDescent="0.3">
      <c r="A220" s="136">
        <v>216</v>
      </c>
      <c r="B220" s="137" t="s">
        <v>12987</v>
      </c>
      <c r="C220" s="10" t="str">
        <f>VLOOKUP(B220,'Data Angt'!$A$5:$B$5809,2,FALSE)</f>
        <v>A4529</v>
      </c>
      <c r="D220" s="137" t="s">
        <v>20924</v>
      </c>
      <c r="E220" s="137" t="s">
        <v>22</v>
      </c>
      <c r="F220" s="137">
        <v>82132889180</v>
      </c>
      <c r="G220" s="137" t="s">
        <v>46</v>
      </c>
      <c r="H220" s="138">
        <v>45418</v>
      </c>
      <c r="I220" s="139" t="s">
        <v>384</v>
      </c>
      <c r="J220" s="137" t="s">
        <v>20925</v>
      </c>
      <c r="K220" s="137">
        <v>62</v>
      </c>
      <c r="L220" s="133" t="str">
        <f t="shared" si="3"/>
        <v>001</v>
      </c>
    </row>
    <row r="221" spans="1:12" x14ac:dyDescent="0.3">
      <c r="A221" s="136">
        <v>217</v>
      </c>
      <c r="B221" s="137" t="s">
        <v>12990</v>
      </c>
      <c r="C221" s="10" t="str">
        <f>VLOOKUP(B221,'Data Angt'!$A$5:$B$5809,2,FALSE)</f>
        <v>A4530</v>
      </c>
      <c r="D221" s="137" t="s">
        <v>20926</v>
      </c>
      <c r="E221" s="137" t="s">
        <v>22</v>
      </c>
      <c r="F221" s="137">
        <v>83111244360</v>
      </c>
      <c r="G221" s="137" t="s">
        <v>1439</v>
      </c>
      <c r="H221" s="138">
        <v>45418</v>
      </c>
      <c r="I221" s="139" t="s">
        <v>384</v>
      </c>
      <c r="J221" s="137" t="s">
        <v>20517</v>
      </c>
      <c r="K221" s="137">
        <v>55</v>
      </c>
      <c r="L221" s="133" t="str">
        <f t="shared" si="3"/>
        <v>004</v>
      </c>
    </row>
    <row r="222" spans="1:12" x14ac:dyDescent="0.3">
      <c r="A222" s="136">
        <v>218</v>
      </c>
      <c r="B222" s="137" t="s">
        <v>12993</v>
      </c>
      <c r="C222" s="10" t="str">
        <f>VLOOKUP(B222,'Data Angt'!$A$5:$B$5809,2,FALSE)</f>
        <v>A4531</v>
      </c>
      <c r="D222" s="137" t="s">
        <v>20927</v>
      </c>
      <c r="E222" s="137" t="s">
        <v>22</v>
      </c>
      <c r="F222" s="137">
        <v>85646247616</v>
      </c>
      <c r="G222" s="137" t="s">
        <v>109</v>
      </c>
      <c r="H222" s="138">
        <v>45418</v>
      </c>
      <c r="I222" s="139" t="s">
        <v>384</v>
      </c>
      <c r="J222" s="137" t="s">
        <v>20928</v>
      </c>
      <c r="K222" s="137">
        <v>20</v>
      </c>
      <c r="L222" s="133" t="str">
        <f t="shared" si="3"/>
        <v>001</v>
      </c>
    </row>
    <row r="223" spans="1:12" x14ac:dyDescent="0.3">
      <c r="A223" s="136">
        <v>219</v>
      </c>
      <c r="B223" s="137" t="s">
        <v>12996</v>
      </c>
      <c r="C223" s="10" t="str">
        <f>VLOOKUP(B223,'Data Angt'!$A$5:$B$5809,2,FALSE)</f>
        <v>A4532</v>
      </c>
      <c r="D223" s="137" t="s">
        <v>20929</v>
      </c>
      <c r="E223" s="137" t="s">
        <v>22</v>
      </c>
      <c r="F223" s="137">
        <v>82229748959</v>
      </c>
      <c r="G223" s="137" t="s">
        <v>109</v>
      </c>
      <c r="H223" s="138">
        <v>45418</v>
      </c>
      <c r="I223" s="139" t="s">
        <v>384</v>
      </c>
      <c r="J223" s="137" t="s">
        <v>20214</v>
      </c>
      <c r="K223" s="137">
        <v>27</v>
      </c>
      <c r="L223" s="133" t="str">
        <f t="shared" si="3"/>
        <v>004</v>
      </c>
    </row>
    <row r="224" spans="1:12" x14ac:dyDescent="0.3">
      <c r="A224" s="136">
        <v>220</v>
      </c>
      <c r="B224" s="137" t="s">
        <v>12999</v>
      </c>
      <c r="C224" s="10" t="str">
        <f>VLOOKUP(B224,'Data Angt'!$A$5:$B$5809,2,FALSE)</f>
        <v>A4533</v>
      </c>
      <c r="D224" s="137" t="s">
        <v>20930</v>
      </c>
      <c r="E224" s="137" t="s">
        <v>22</v>
      </c>
      <c r="F224" s="137">
        <v>81217628333</v>
      </c>
      <c r="G224" s="137" t="s">
        <v>46</v>
      </c>
      <c r="H224" s="138">
        <v>45418</v>
      </c>
      <c r="I224" s="139" t="s">
        <v>384</v>
      </c>
      <c r="J224" s="137" t="s">
        <v>20931</v>
      </c>
      <c r="K224" s="137">
        <v>57</v>
      </c>
      <c r="L224" s="133" t="str">
        <f t="shared" si="3"/>
        <v>002</v>
      </c>
    </row>
    <row r="225" spans="1:12" x14ac:dyDescent="0.3">
      <c r="A225" s="136">
        <v>221</v>
      </c>
      <c r="B225" s="137" t="s">
        <v>13001</v>
      </c>
      <c r="C225" s="10" t="str">
        <f>VLOOKUP(B225,'Data Angt'!$A$5:$B$5809,2,FALSE)</f>
        <v>A4534</v>
      </c>
      <c r="D225" s="137" t="s">
        <v>20932</v>
      </c>
      <c r="E225" s="137" t="s">
        <v>22</v>
      </c>
      <c r="F225" s="137">
        <v>85211736006</v>
      </c>
      <c r="G225" s="137" t="s">
        <v>172</v>
      </c>
      <c r="H225" s="138">
        <v>45418</v>
      </c>
      <c r="I225" s="139" t="s">
        <v>384</v>
      </c>
      <c r="J225" s="137" t="s">
        <v>20933</v>
      </c>
      <c r="K225" s="137">
        <v>47</v>
      </c>
      <c r="L225" s="133" t="str">
        <f t="shared" si="3"/>
        <v>004</v>
      </c>
    </row>
    <row r="226" spans="1:12" x14ac:dyDescent="0.3">
      <c r="A226" s="136">
        <v>222</v>
      </c>
      <c r="B226" s="137" t="s">
        <v>13003</v>
      </c>
      <c r="C226" s="10" t="str">
        <f>VLOOKUP(B226,'Data Angt'!$A$5:$B$5809,2,FALSE)</f>
        <v>A4535</v>
      </c>
      <c r="D226" s="137" t="s">
        <v>20934</v>
      </c>
      <c r="E226" s="137" t="s">
        <v>22</v>
      </c>
      <c r="F226" s="137">
        <v>85808807669</v>
      </c>
      <c r="G226" s="137" t="s">
        <v>46</v>
      </c>
      <c r="H226" s="138">
        <v>45419</v>
      </c>
      <c r="I226" s="139" t="s">
        <v>384</v>
      </c>
      <c r="J226" s="137" t="s">
        <v>20935</v>
      </c>
      <c r="K226" s="137">
        <v>38</v>
      </c>
      <c r="L226" s="133" t="str">
        <f t="shared" si="3"/>
        <v>001</v>
      </c>
    </row>
    <row r="227" spans="1:12" x14ac:dyDescent="0.3">
      <c r="A227" s="136">
        <v>223</v>
      </c>
      <c r="B227" s="137" t="s">
        <v>13005</v>
      </c>
      <c r="C227" s="10" t="str">
        <f>VLOOKUP(B227,'Data Angt'!$A$5:$B$5809,2,FALSE)</f>
        <v>A4536</v>
      </c>
      <c r="D227" s="137" t="s">
        <v>20936</v>
      </c>
      <c r="E227" s="137" t="s">
        <v>22</v>
      </c>
      <c r="F227" s="137">
        <v>85230337114</v>
      </c>
      <c r="G227" s="137" t="s">
        <v>46</v>
      </c>
      <c r="H227" s="138">
        <v>45422</v>
      </c>
      <c r="I227" s="139" t="s">
        <v>384</v>
      </c>
      <c r="J227" s="137" t="s">
        <v>19667</v>
      </c>
      <c r="K227" s="137">
        <v>36</v>
      </c>
      <c r="L227" s="133" t="str">
        <f t="shared" si="3"/>
        <v>002</v>
      </c>
    </row>
    <row r="228" spans="1:12" x14ac:dyDescent="0.3">
      <c r="A228" s="136">
        <v>224</v>
      </c>
      <c r="B228" s="137" t="s">
        <v>13007</v>
      </c>
      <c r="C228" s="10" t="str">
        <f>VLOOKUP(B228,'Data Angt'!$A$5:$B$5809,2,FALSE)</f>
        <v>A4537</v>
      </c>
      <c r="D228" s="137" t="s">
        <v>20937</v>
      </c>
      <c r="E228" s="137" t="s">
        <v>22</v>
      </c>
      <c r="F228" s="137">
        <v>89505071995</v>
      </c>
      <c r="G228" s="137" t="s">
        <v>13</v>
      </c>
      <c r="H228" s="138">
        <v>45423</v>
      </c>
      <c r="I228" s="139" t="s">
        <v>384</v>
      </c>
      <c r="J228" s="137" t="s">
        <v>20938</v>
      </c>
      <c r="K228" s="137">
        <v>70</v>
      </c>
      <c r="L228" s="133" t="str">
        <f t="shared" si="3"/>
        <v>003</v>
      </c>
    </row>
    <row r="229" spans="1:12" x14ac:dyDescent="0.3">
      <c r="A229" s="136">
        <v>225</v>
      </c>
      <c r="B229" s="137" t="s">
        <v>13008</v>
      </c>
      <c r="C229" s="10" t="str">
        <f>VLOOKUP(B229,'Data Angt'!$A$5:$B$5809,2,FALSE)</f>
        <v>A4538</v>
      </c>
      <c r="D229" s="137" t="s">
        <v>20939</v>
      </c>
      <c r="E229" s="137" t="s">
        <v>22</v>
      </c>
      <c r="F229" s="137">
        <v>83839978403</v>
      </c>
      <c r="G229" s="137" t="s">
        <v>31</v>
      </c>
      <c r="H229" s="138">
        <v>45423</v>
      </c>
      <c r="I229" s="139" t="s">
        <v>384</v>
      </c>
      <c r="J229" s="137" t="s">
        <v>20940</v>
      </c>
      <c r="K229" s="137">
        <v>25</v>
      </c>
      <c r="L229" s="133" t="str">
        <f t="shared" si="3"/>
        <v>001</v>
      </c>
    </row>
    <row r="230" spans="1:12" x14ac:dyDescent="0.3">
      <c r="A230" s="136">
        <v>226</v>
      </c>
      <c r="B230" s="137" t="s">
        <v>13010</v>
      </c>
      <c r="C230" s="10" t="str">
        <f>VLOOKUP(B230,'Data Angt'!$A$5:$B$5809,2,FALSE)</f>
        <v>A4539</v>
      </c>
      <c r="D230" s="137" t="s">
        <v>20941</v>
      </c>
      <c r="E230" s="137" t="s">
        <v>22</v>
      </c>
      <c r="F230" s="137">
        <v>82335768792</v>
      </c>
      <c r="G230" s="137" t="s">
        <v>109</v>
      </c>
      <c r="H230" s="138">
        <v>45423</v>
      </c>
      <c r="I230" s="139" t="s">
        <v>384</v>
      </c>
      <c r="J230" s="137" t="s">
        <v>20942</v>
      </c>
      <c r="K230" s="137">
        <v>28</v>
      </c>
      <c r="L230" s="133" t="str">
        <f t="shared" si="3"/>
        <v>001</v>
      </c>
    </row>
    <row r="231" spans="1:12" x14ac:dyDescent="0.3">
      <c r="A231" s="136">
        <v>227</v>
      </c>
      <c r="B231" s="137" t="s">
        <v>13012</v>
      </c>
      <c r="C231" s="10" t="str">
        <f>VLOOKUP(B231,'Data Angt'!$A$5:$B$5809,2,FALSE)</f>
        <v>A4540</v>
      </c>
      <c r="D231" s="137" t="s">
        <v>20943</v>
      </c>
      <c r="E231" s="137" t="s">
        <v>22</v>
      </c>
      <c r="F231" s="137">
        <v>89514883500</v>
      </c>
      <c r="G231" s="137" t="s">
        <v>16</v>
      </c>
      <c r="H231" s="138">
        <v>45426</v>
      </c>
      <c r="I231" s="139" t="s">
        <v>384</v>
      </c>
      <c r="J231" s="137" t="s">
        <v>20944</v>
      </c>
      <c r="K231" s="137">
        <v>48</v>
      </c>
      <c r="L231" s="133" t="str">
        <f t="shared" si="3"/>
        <v>001</v>
      </c>
    </row>
    <row r="232" spans="1:12" x14ac:dyDescent="0.3">
      <c r="A232" s="136">
        <v>228</v>
      </c>
      <c r="B232" s="137" t="s">
        <v>13014</v>
      </c>
      <c r="C232" s="10" t="str">
        <f>VLOOKUP(B232,'Data Angt'!$A$5:$B$5809,2,FALSE)</f>
        <v>A4541</v>
      </c>
      <c r="D232" s="137" t="s">
        <v>20945</v>
      </c>
      <c r="E232" s="137" t="s">
        <v>22</v>
      </c>
      <c r="F232" s="137">
        <v>82230546922</v>
      </c>
      <c r="G232" s="137" t="s">
        <v>46</v>
      </c>
      <c r="H232" s="138">
        <v>45426</v>
      </c>
      <c r="I232" s="139" t="s">
        <v>384</v>
      </c>
      <c r="J232" s="137" t="s">
        <v>20946</v>
      </c>
      <c r="K232" s="137">
        <v>39</v>
      </c>
      <c r="L232" s="133" t="str">
        <f t="shared" si="3"/>
        <v>002</v>
      </c>
    </row>
    <row r="233" spans="1:12" x14ac:dyDescent="0.3">
      <c r="A233" s="136">
        <v>229</v>
      </c>
      <c r="B233" s="137" t="s">
        <v>13016</v>
      </c>
      <c r="C233" s="10" t="str">
        <f>VLOOKUP(B233,'Data Angt'!$A$5:$B$5809,2,FALSE)</f>
        <v>A4542</v>
      </c>
      <c r="D233" s="137" t="s">
        <v>20947</v>
      </c>
      <c r="E233" s="137" t="s">
        <v>22</v>
      </c>
      <c r="F233" s="137">
        <v>89681765724</v>
      </c>
      <c r="G233" s="137" t="s">
        <v>46</v>
      </c>
      <c r="H233" s="138">
        <v>45426</v>
      </c>
      <c r="I233" s="139" t="s">
        <v>384</v>
      </c>
      <c r="J233" s="137" t="s">
        <v>20948</v>
      </c>
      <c r="K233" s="137">
        <v>74</v>
      </c>
      <c r="L233" s="133" t="str">
        <f t="shared" si="3"/>
        <v>001</v>
      </c>
    </row>
    <row r="234" spans="1:12" x14ac:dyDescent="0.3">
      <c r="A234" s="136">
        <v>230</v>
      </c>
      <c r="B234" s="137" t="s">
        <v>13018</v>
      </c>
      <c r="C234" s="10" t="str">
        <f>VLOOKUP(B234,'Data Angt'!$A$5:$B$5809,2,FALSE)</f>
        <v>A4543</v>
      </c>
      <c r="D234" s="137" t="s">
        <v>20949</v>
      </c>
      <c r="E234" s="137" t="s">
        <v>11</v>
      </c>
      <c r="F234" s="137">
        <v>81336240345</v>
      </c>
      <c r="G234" s="137" t="s">
        <v>46</v>
      </c>
      <c r="H234" s="138">
        <v>45428</v>
      </c>
      <c r="I234" s="139" t="s">
        <v>384</v>
      </c>
      <c r="J234" s="137" t="s">
        <v>20950</v>
      </c>
      <c r="K234" s="137">
        <v>38</v>
      </c>
      <c r="L234" s="133" t="str">
        <f t="shared" si="3"/>
        <v>001</v>
      </c>
    </row>
    <row r="235" spans="1:12" x14ac:dyDescent="0.3">
      <c r="A235" s="136">
        <v>231</v>
      </c>
      <c r="B235" s="137" t="s">
        <v>13021</v>
      </c>
      <c r="C235" s="10" t="str">
        <f>VLOOKUP(B235,'Data Angt'!$A$5:$B$5809,2,FALSE)</f>
        <v>A4544</v>
      </c>
      <c r="D235" s="137" t="s">
        <v>20951</v>
      </c>
      <c r="E235" s="137" t="s">
        <v>11</v>
      </c>
      <c r="F235" s="137">
        <v>81326538930</v>
      </c>
      <c r="G235" s="137" t="s">
        <v>109</v>
      </c>
      <c r="H235" s="138">
        <v>45428</v>
      </c>
      <c r="I235" s="139" t="s">
        <v>384</v>
      </c>
      <c r="J235" s="137" t="s">
        <v>20952</v>
      </c>
      <c r="K235" s="137">
        <v>51</v>
      </c>
      <c r="L235" s="133" t="str">
        <f t="shared" si="3"/>
        <v>006</v>
      </c>
    </row>
    <row r="236" spans="1:12" x14ac:dyDescent="0.3">
      <c r="A236" s="136">
        <v>232</v>
      </c>
      <c r="B236" s="137" t="s">
        <v>13024</v>
      </c>
      <c r="C236" s="10" t="str">
        <f>VLOOKUP(B236,'Data Angt'!$A$5:$B$5809,2,FALSE)</f>
        <v>A4545</v>
      </c>
      <c r="D236" s="137" t="s">
        <v>20953</v>
      </c>
      <c r="E236" s="137" t="s">
        <v>22</v>
      </c>
      <c r="F236" s="137">
        <v>895366403250</v>
      </c>
      <c r="G236" s="137" t="s">
        <v>31</v>
      </c>
      <c r="H236" s="138">
        <v>45428</v>
      </c>
      <c r="I236" s="139" t="s">
        <v>384</v>
      </c>
      <c r="J236" s="137" t="s">
        <v>20954</v>
      </c>
      <c r="K236" s="137">
        <v>31</v>
      </c>
      <c r="L236" s="133" t="str">
        <f t="shared" si="3"/>
        <v>001</v>
      </c>
    </row>
    <row r="237" spans="1:12" x14ac:dyDescent="0.3">
      <c r="A237" s="136">
        <v>233</v>
      </c>
      <c r="B237" s="137" t="s">
        <v>13026</v>
      </c>
      <c r="C237" s="10" t="str">
        <f>VLOOKUP(B237,'Data Angt'!$A$5:$B$5809,2,FALSE)</f>
        <v>A4546</v>
      </c>
      <c r="D237" s="137" t="s">
        <v>20955</v>
      </c>
      <c r="E237" s="137" t="s">
        <v>11</v>
      </c>
      <c r="F237" s="137">
        <v>82143094611</v>
      </c>
      <c r="G237" s="137" t="s">
        <v>1992</v>
      </c>
      <c r="H237" s="138">
        <v>45428</v>
      </c>
      <c r="I237" s="139" t="s">
        <v>384</v>
      </c>
      <c r="J237" s="137" t="s">
        <v>20956</v>
      </c>
      <c r="K237" s="137">
        <v>30</v>
      </c>
      <c r="L237" s="133" t="str">
        <f t="shared" si="3"/>
        <v>005</v>
      </c>
    </row>
    <row r="238" spans="1:12" x14ac:dyDescent="0.3">
      <c r="A238" s="136">
        <v>234</v>
      </c>
      <c r="B238" s="137" t="s">
        <v>13028</v>
      </c>
      <c r="C238" s="10" t="str">
        <f>VLOOKUP(B238,'Data Angt'!$A$5:$B$5809,2,FALSE)</f>
        <v>A4547</v>
      </c>
      <c r="D238" s="137" t="s">
        <v>20957</v>
      </c>
      <c r="E238" s="137" t="s">
        <v>11</v>
      </c>
      <c r="F238" s="137">
        <v>82336279974</v>
      </c>
      <c r="G238" s="137" t="s">
        <v>109</v>
      </c>
      <c r="H238" s="138">
        <v>45428</v>
      </c>
      <c r="I238" s="139" t="s">
        <v>384</v>
      </c>
      <c r="J238" s="137" t="s">
        <v>20958</v>
      </c>
      <c r="K238" s="137">
        <v>27</v>
      </c>
      <c r="L238" s="133" t="str">
        <f t="shared" si="3"/>
        <v>001</v>
      </c>
    </row>
    <row r="239" spans="1:12" x14ac:dyDescent="0.3">
      <c r="A239" s="136">
        <v>235</v>
      </c>
      <c r="B239" s="137" t="s">
        <v>13031</v>
      </c>
      <c r="C239" s="10" t="str">
        <f>VLOOKUP(B239,'Data Angt'!$A$5:$B$5809,2,FALSE)</f>
        <v>A4548</v>
      </c>
      <c r="D239" s="137" t="s">
        <v>20959</v>
      </c>
      <c r="E239" s="137" t="s">
        <v>22</v>
      </c>
      <c r="F239" s="137">
        <v>85234984615</v>
      </c>
      <c r="G239" s="137" t="s">
        <v>16</v>
      </c>
      <c r="H239" s="138">
        <v>45429</v>
      </c>
      <c r="I239" s="139" t="s">
        <v>384</v>
      </c>
      <c r="J239" s="137" t="s">
        <v>20960</v>
      </c>
      <c r="K239" s="137">
        <v>47</v>
      </c>
      <c r="L239" s="133" t="str">
        <f t="shared" si="3"/>
        <v>001</v>
      </c>
    </row>
    <row r="240" spans="1:12" x14ac:dyDescent="0.3">
      <c r="A240" s="136">
        <v>236</v>
      </c>
      <c r="B240" s="137" t="s">
        <v>13034</v>
      </c>
      <c r="C240" s="10" t="str">
        <f>VLOOKUP(B240,'Data Angt'!$A$5:$B$5809,2,FALSE)</f>
        <v>A4549</v>
      </c>
      <c r="D240" s="137" t="s">
        <v>20961</v>
      </c>
      <c r="E240" s="137" t="s">
        <v>11</v>
      </c>
      <c r="F240" s="137">
        <v>82334376297</v>
      </c>
      <c r="G240" s="137" t="s">
        <v>46</v>
      </c>
      <c r="H240" s="138">
        <v>45429</v>
      </c>
      <c r="I240" s="139" t="s">
        <v>384</v>
      </c>
      <c r="J240" s="137" t="s">
        <v>20962</v>
      </c>
      <c r="K240" s="137">
        <v>62</v>
      </c>
      <c r="L240" s="133" t="str">
        <f t="shared" si="3"/>
        <v>001</v>
      </c>
    </row>
    <row r="241" spans="1:12" x14ac:dyDescent="0.3">
      <c r="A241" s="136">
        <v>237</v>
      </c>
      <c r="B241" s="137" t="s">
        <v>13036</v>
      </c>
      <c r="C241" s="10" t="str">
        <f>VLOOKUP(B241,'Data Angt'!$A$5:$B$5809,2,FALSE)</f>
        <v>A4550</v>
      </c>
      <c r="D241" s="137" t="s">
        <v>20963</v>
      </c>
      <c r="E241" s="137" t="s">
        <v>22</v>
      </c>
      <c r="F241" s="137">
        <v>81237658072</v>
      </c>
      <c r="G241" s="137" t="s">
        <v>31</v>
      </c>
      <c r="H241" s="138">
        <v>45430</v>
      </c>
      <c r="I241" s="139" t="s">
        <v>384</v>
      </c>
      <c r="J241" s="137" t="s">
        <v>20964</v>
      </c>
      <c r="K241" s="137">
        <v>43</v>
      </c>
      <c r="L241" s="133" t="str">
        <f t="shared" si="3"/>
        <v>002</v>
      </c>
    </row>
    <row r="242" spans="1:12" x14ac:dyDescent="0.3">
      <c r="A242" s="136">
        <v>238</v>
      </c>
      <c r="B242" s="137" t="s">
        <v>20965</v>
      </c>
      <c r="C242" s="10" t="e">
        <f>VLOOKUP(B242,'Data Angt'!$A$5:$B$5809,2,FALSE)</f>
        <v>#N/A</v>
      </c>
      <c r="D242" s="137" t="s">
        <v>20966</v>
      </c>
      <c r="E242" s="137" t="s">
        <v>22</v>
      </c>
      <c r="F242" s="137">
        <v>85729367676</v>
      </c>
      <c r="G242" s="137" t="s">
        <v>213</v>
      </c>
      <c r="H242" s="138">
        <v>45432</v>
      </c>
      <c r="I242" s="138">
        <v>45786</v>
      </c>
      <c r="J242" s="137" t="s">
        <v>20967</v>
      </c>
      <c r="K242" s="137">
        <v>55</v>
      </c>
      <c r="L242" s="133" t="str">
        <f t="shared" si="3"/>
        <v>006</v>
      </c>
    </row>
    <row r="243" spans="1:12" x14ac:dyDescent="0.3">
      <c r="A243" s="136">
        <v>239</v>
      </c>
      <c r="B243" s="137" t="s">
        <v>13037</v>
      </c>
      <c r="C243" s="10" t="str">
        <f>VLOOKUP(B243,'Data Angt'!$A$5:$B$5809,2,FALSE)</f>
        <v>A4551</v>
      </c>
      <c r="D243" s="137" t="s">
        <v>20968</v>
      </c>
      <c r="E243" s="137" t="s">
        <v>11</v>
      </c>
      <c r="F243" s="137">
        <v>89629792277</v>
      </c>
      <c r="G243" s="137" t="s">
        <v>133</v>
      </c>
      <c r="H243" s="138">
        <v>45432</v>
      </c>
      <c r="I243" s="139" t="s">
        <v>384</v>
      </c>
      <c r="J243" s="137" t="s">
        <v>20969</v>
      </c>
      <c r="K243" s="137">
        <v>28</v>
      </c>
      <c r="L243" s="133" t="str">
        <f t="shared" si="3"/>
        <v>006</v>
      </c>
    </row>
    <row r="244" spans="1:12" x14ac:dyDescent="0.3">
      <c r="A244" s="136">
        <v>240</v>
      </c>
      <c r="B244" s="137" t="s">
        <v>13039</v>
      </c>
      <c r="C244" s="10" t="str">
        <f>VLOOKUP(B244,'Data Angt'!$A$5:$B$5809,2,FALSE)</f>
        <v>A4552</v>
      </c>
      <c r="D244" s="137" t="s">
        <v>20970</v>
      </c>
      <c r="E244" s="137" t="s">
        <v>22</v>
      </c>
      <c r="F244" s="137">
        <v>823382693631</v>
      </c>
      <c r="G244" s="137" t="s">
        <v>31</v>
      </c>
      <c r="H244" s="138">
        <v>45432</v>
      </c>
      <c r="I244" s="139" t="s">
        <v>384</v>
      </c>
      <c r="J244" s="137" t="s">
        <v>19506</v>
      </c>
      <c r="K244" s="137">
        <v>60</v>
      </c>
      <c r="L244" s="133" t="str">
        <f t="shared" si="3"/>
        <v>001</v>
      </c>
    </row>
    <row r="245" spans="1:12" x14ac:dyDescent="0.3">
      <c r="A245" s="136">
        <v>241</v>
      </c>
      <c r="B245" s="137" t="s">
        <v>13040</v>
      </c>
      <c r="C245" s="10" t="str">
        <f>VLOOKUP(B245,'Data Angt'!$A$5:$B$5809,2,FALSE)</f>
        <v>A4553</v>
      </c>
      <c r="D245" s="137" t="s">
        <v>20971</v>
      </c>
      <c r="E245" s="137" t="s">
        <v>22</v>
      </c>
      <c r="F245" s="137">
        <v>85289548778</v>
      </c>
      <c r="G245" s="137" t="s">
        <v>46</v>
      </c>
      <c r="H245" s="138">
        <v>45432</v>
      </c>
      <c r="I245" s="139" t="s">
        <v>384</v>
      </c>
      <c r="J245" s="137" t="s">
        <v>19274</v>
      </c>
      <c r="K245" s="137">
        <v>64</v>
      </c>
      <c r="L245" s="133" t="str">
        <f t="shared" si="3"/>
        <v>001</v>
      </c>
    </row>
    <row r="246" spans="1:12" x14ac:dyDescent="0.3">
      <c r="A246" s="136">
        <v>242</v>
      </c>
      <c r="B246" s="137" t="s">
        <v>13042</v>
      </c>
      <c r="C246" s="10" t="str">
        <f>VLOOKUP(B246,'Data Angt'!$A$5:$B$5809,2,FALSE)</f>
        <v>A4554</v>
      </c>
      <c r="D246" s="137" t="s">
        <v>20972</v>
      </c>
      <c r="E246" s="137" t="s">
        <v>11</v>
      </c>
      <c r="F246" s="137">
        <v>87755873129</v>
      </c>
      <c r="G246" s="137" t="s">
        <v>109</v>
      </c>
      <c r="H246" s="138">
        <v>45432</v>
      </c>
      <c r="I246" s="139" t="s">
        <v>384</v>
      </c>
      <c r="J246" s="137" t="s">
        <v>20087</v>
      </c>
      <c r="K246" s="137">
        <v>24</v>
      </c>
      <c r="L246" s="133" t="str">
        <f t="shared" si="3"/>
        <v>001</v>
      </c>
    </row>
    <row r="247" spans="1:12" x14ac:dyDescent="0.3">
      <c r="A247" s="136">
        <v>243</v>
      </c>
      <c r="B247" s="137" t="s">
        <v>13044</v>
      </c>
      <c r="C247" s="10" t="str">
        <f>VLOOKUP(B247,'Data Angt'!$A$5:$B$5809,2,FALSE)</f>
        <v>A4555</v>
      </c>
      <c r="D247" s="137" t="s">
        <v>20973</v>
      </c>
      <c r="E247" s="137" t="s">
        <v>22</v>
      </c>
      <c r="F247" s="137">
        <v>85335067550</v>
      </c>
      <c r="G247" s="137" t="s">
        <v>31</v>
      </c>
      <c r="H247" s="138">
        <v>45433</v>
      </c>
      <c r="I247" s="139" t="s">
        <v>384</v>
      </c>
      <c r="J247" s="137" t="s">
        <v>19274</v>
      </c>
      <c r="K247" s="137">
        <v>28</v>
      </c>
      <c r="L247" s="133" t="str">
        <f t="shared" si="3"/>
        <v>002</v>
      </c>
    </row>
    <row r="248" spans="1:12" x14ac:dyDescent="0.3">
      <c r="A248" s="136">
        <v>244</v>
      </c>
      <c r="B248" s="137" t="s">
        <v>13046</v>
      </c>
      <c r="C248" s="10" t="str">
        <f>VLOOKUP(B248,'Data Angt'!$A$5:$B$5809,2,FALSE)</f>
        <v>A4556</v>
      </c>
      <c r="D248" s="137" t="s">
        <v>20974</v>
      </c>
      <c r="E248" s="137" t="s">
        <v>22</v>
      </c>
      <c r="F248" s="137">
        <v>82334375889</v>
      </c>
      <c r="G248" s="137" t="s">
        <v>46</v>
      </c>
      <c r="H248" s="138">
        <v>45439</v>
      </c>
      <c r="I248" s="139" t="s">
        <v>384</v>
      </c>
      <c r="J248" s="137" t="s">
        <v>20975</v>
      </c>
      <c r="K248" s="137">
        <v>51</v>
      </c>
      <c r="L248" s="133" t="str">
        <f t="shared" si="3"/>
        <v>001</v>
      </c>
    </row>
    <row r="249" spans="1:12" x14ac:dyDescent="0.3">
      <c r="A249" s="136">
        <v>245</v>
      </c>
      <c r="B249" s="137" t="s">
        <v>13048</v>
      </c>
      <c r="C249" s="10" t="str">
        <f>VLOOKUP(B249,'Data Angt'!$A$5:$B$5809,2,FALSE)</f>
        <v>A4557</v>
      </c>
      <c r="D249" s="137" t="s">
        <v>20976</v>
      </c>
      <c r="E249" s="137" t="s">
        <v>11</v>
      </c>
      <c r="F249" s="137">
        <v>82334071720</v>
      </c>
      <c r="G249" s="137" t="s">
        <v>109</v>
      </c>
      <c r="H249" s="138">
        <v>45439</v>
      </c>
      <c r="I249" s="139" t="s">
        <v>384</v>
      </c>
      <c r="J249" s="137" t="s">
        <v>19274</v>
      </c>
      <c r="K249" s="137">
        <v>19</v>
      </c>
      <c r="L249" s="133" t="str">
        <f t="shared" si="3"/>
        <v>001</v>
      </c>
    </row>
    <row r="250" spans="1:12" x14ac:dyDescent="0.3">
      <c r="A250" s="136">
        <v>246</v>
      </c>
      <c r="B250" s="137" t="s">
        <v>13049</v>
      </c>
      <c r="C250" s="10" t="str">
        <f>VLOOKUP(B250,'Data Angt'!$A$5:$B$5809,2,FALSE)</f>
        <v>A4558</v>
      </c>
      <c r="D250" s="137" t="s">
        <v>20977</v>
      </c>
      <c r="E250" s="137" t="s">
        <v>11</v>
      </c>
      <c r="F250" s="137">
        <v>85234314444</v>
      </c>
      <c r="G250" s="137" t="s">
        <v>46</v>
      </c>
      <c r="H250" s="138">
        <v>45440</v>
      </c>
      <c r="I250" s="139" t="s">
        <v>384</v>
      </c>
      <c r="J250" s="137" t="s">
        <v>20978</v>
      </c>
      <c r="K250" s="137">
        <v>37</v>
      </c>
      <c r="L250" s="133" t="str">
        <f t="shared" si="3"/>
        <v>003</v>
      </c>
    </row>
    <row r="251" spans="1:12" x14ac:dyDescent="0.3">
      <c r="A251" s="136">
        <v>247</v>
      </c>
      <c r="B251" s="137" t="s">
        <v>13052</v>
      </c>
      <c r="C251" s="10" t="str">
        <f>VLOOKUP(B251,'Data Angt'!$A$5:$B$5809,2,FALSE)</f>
        <v>A4559</v>
      </c>
      <c r="D251" s="137" t="s">
        <v>20979</v>
      </c>
      <c r="E251" s="137" t="s">
        <v>22</v>
      </c>
      <c r="F251" s="137">
        <v>85641090200</v>
      </c>
      <c r="G251" s="137" t="s">
        <v>370</v>
      </c>
      <c r="H251" s="138">
        <v>45441</v>
      </c>
      <c r="I251" s="139" t="s">
        <v>384</v>
      </c>
      <c r="J251" s="137" t="s">
        <v>20980</v>
      </c>
      <c r="K251" s="137">
        <v>43</v>
      </c>
      <c r="L251" s="133" t="str">
        <f t="shared" si="3"/>
        <v>006</v>
      </c>
    </row>
    <row r="252" spans="1:12" x14ac:dyDescent="0.3">
      <c r="A252" s="136">
        <v>248</v>
      </c>
      <c r="B252" s="137" t="s">
        <v>13054</v>
      </c>
      <c r="C252" s="10" t="str">
        <f>VLOOKUP(B252,'Data Angt'!$A$5:$B$5809,2,FALSE)</f>
        <v>A4560</v>
      </c>
      <c r="D252" s="137" t="s">
        <v>20981</v>
      </c>
      <c r="E252" s="137" t="s">
        <v>22</v>
      </c>
      <c r="F252" s="137">
        <v>81252550153</v>
      </c>
      <c r="G252" s="137" t="s">
        <v>109</v>
      </c>
      <c r="H252" s="138">
        <v>45441</v>
      </c>
      <c r="I252" s="139" t="s">
        <v>384</v>
      </c>
      <c r="J252" s="137" t="s">
        <v>20982</v>
      </c>
      <c r="K252" s="137">
        <v>28</v>
      </c>
      <c r="L252" s="133" t="str">
        <f t="shared" si="3"/>
        <v>001</v>
      </c>
    </row>
    <row r="253" spans="1:12" x14ac:dyDescent="0.3">
      <c r="A253" s="136">
        <v>249</v>
      </c>
      <c r="B253" s="137" t="s">
        <v>13057</v>
      </c>
      <c r="C253" s="10" t="str">
        <f>VLOOKUP(B253,'Data Angt'!$A$5:$B$5809,2,FALSE)</f>
        <v>A4561</v>
      </c>
      <c r="D253" s="137" t="s">
        <v>20983</v>
      </c>
      <c r="E253" s="137" t="s">
        <v>22</v>
      </c>
      <c r="F253" s="137">
        <v>82140289783</v>
      </c>
      <c r="G253" s="137" t="s">
        <v>46</v>
      </c>
      <c r="H253" s="138">
        <v>45441</v>
      </c>
      <c r="I253" s="139" t="s">
        <v>384</v>
      </c>
      <c r="J253" s="137" t="s">
        <v>20984</v>
      </c>
      <c r="K253" s="137">
        <v>41</v>
      </c>
      <c r="L253" s="133" t="str">
        <f t="shared" si="3"/>
        <v>001</v>
      </c>
    </row>
    <row r="254" spans="1:12" x14ac:dyDescent="0.3">
      <c r="A254" s="136">
        <v>250</v>
      </c>
      <c r="B254" s="137" t="s">
        <v>13060</v>
      </c>
      <c r="C254" s="10" t="str">
        <f>VLOOKUP(B254,'Data Angt'!$A$5:$B$5809,2,FALSE)</f>
        <v>A4562</v>
      </c>
      <c r="D254" s="137" t="s">
        <v>20985</v>
      </c>
      <c r="E254" s="137" t="s">
        <v>11</v>
      </c>
      <c r="F254" s="137">
        <v>82318258074</v>
      </c>
      <c r="G254" s="137" t="s">
        <v>109</v>
      </c>
      <c r="H254" s="138">
        <v>45441</v>
      </c>
      <c r="I254" s="139" t="s">
        <v>384</v>
      </c>
      <c r="J254" s="137" t="s">
        <v>20986</v>
      </c>
      <c r="K254" s="137">
        <v>50</v>
      </c>
      <c r="L254" s="133" t="str">
        <f t="shared" si="3"/>
        <v>002</v>
      </c>
    </row>
    <row r="255" spans="1:12" x14ac:dyDescent="0.3">
      <c r="A255" s="136">
        <v>251</v>
      </c>
      <c r="B255" s="137" t="s">
        <v>13062</v>
      </c>
      <c r="C255" s="10" t="str">
        <f>VLOOKUP(B255,'Data Angt'!$A$5:$B$5809,2,FALSE)</f>
        <v>A4563</v>
      </c>
      <c r="D255" s="137" t="s">
        <v>20610</v>
      </c>
      <c r="E255" s="137" t="s">
        <v>22</v>
      </c>
      <c r="F255" s="137">
        <v>82144207966</v>
      </c>
      <c r="G255" s="137" t="s">
        <v>155</v>
      </c>
      <c r="H255" s="138">
        <v>45442</v>
      </c>
      <c r="I255" s="139" t="s">
        <v>384</v>
      </c>
      <c r="J255" s="137" t="s">
        <v>20987</v>
      </c>
      <c r="K255" s="137">
        <v>24</v>
      </c>
      <c r="L255" s="133" t="str">
        <f t="shared" si="3"/>
        <v>006</v>
      </c>
    </row>
    <row r="256" spans="1:12" x14ac:dyDescent="0.3">
      <c r="A256" s="136">
        <v>252</v>
      </c>
      <c r="B256" s="137" t="s">
        <v>13063</v>
      </c>
      <c r="C256" s="10" t="str">
        <f>VLOOKUP(B256,'Data Angt'!$A$5:$B$5809,2,FALSE)</f>
        <v>A4564</v>
      </c>
      <c r="D256" s="137" t="s">
        <v>20988</v>
      </c>
      <c r="E256" s="137" t="s">
        <v>22</v>
      </c>
      <c r="F256" s="137">
        <v>895334324655</v>
      </c>
      <c r="G256" s="137" t="s">
        <v>109</v>
      </c>
      <c r="H256" s="138">
        <v>45442</v>
      </c>
      <c r="I256" s="139" t="s">
        <v>384</v>
      </c>
      <c r="J256" s="137" t="s">
        <v>20087</v>
      </c>
      <c r="K256" s="137">
        <v>31</v>
      </c>
      <c r="L256" s="133" t="str">
        <f t="shared" si="3"/>
        <v>001</v>
      </c>
    </row>
    <row r="257" spans="1:12" x14ac:dyDescent="0.3">
      <c r="A257" s="136">
        <v>253</v>
      </c>
      <c r="B257" s="137" t="s">
        <v>13064</v>
      </c>
      <c r="C257" s="10" t="str">
        <f>VLOOKUP(B257,'Data Angt'!$A$5:$B$5809,2,FALSE)</f>
        <v>A4565</v>
      </c>
      <c r="D257" s="137" t="s">
        <v>20989</v>
      </c>
      <c r="E257" s="137" t="s">
        <v>22</v>
      </c>
      <c r="F257" s="137">
        <v>8562590216</v>
      </c>
      <c r="G257" s="137" t="s">
        <v>109</v>
      </c>
      <c r="H257" s="138">
        <v>45442</v>
      </c>
      <c r="I257" s="139" t="s">
        <v>384</v>
      </c>
      <c r="J257" s="137" t="s">
        <v>20990</v>
      </c>
      <c r="K257" s="137">
        <v>30</v>
      </c>
      <c r="L257" s="133" t="str">
        <f t="shared" si="3"/>
        <v>001</v>
      </c>
    </row>
    <row r="258" spans="1:12" x14ac:dyDescent="0.3">
      <c r="A258" s="136">
        <v>254</v>
      </c>
      <c r="B258" s="137" t="s">
        <v>13066</v>
      </c>
      <c r="C258" s="10" t="str">
        <f>VLOOKUP(B258,'Data Angt'!$A$5:$B$5809,2,FALSE)</f>
        <v>A4566</v>
      </c>
      <c r="D258" s="137" t="s">
        <v>20991</v>
      </c>
      <c r="E258" s="137" t="s">
        <v>11</v>
      </c>
      <c r="F258" s="137">
        <v>81217677710</v>
      </c>
      <c r="G258" s="137" t="s">
        <v>13</v>
      </c>
      <c r="H258" s="138">
        <v>45443</v>
      </c>
      <c r="I258" s="139" t="s">
        <v>384</v>
      </c>
      <c r="J258" s="137" t="s">
        <v>20992</v>
      </c>
      <c r="K258" s="137">
        <v>63</v>
      </c>
      <c r="L258" s="133" t="str">
        <f t="shared" si="3"/>
        <v>003</v>
      </c>
    </row>
    <row r="259" spans="1:12" x14ac:dyDescent="0.3">
      <c r="A259" s="136">
        <v>255</v>
      </c>
      <c r="B259" s="137" t="s">
        <v>13067</v>
      </c>
      <c r="C259" s="10" t="str">
        <f>VLOOKUP(B259,'Data Angt'!$A$5:$B$5809,2,FALSE)</f>
        <v>A4567</v>
      </c>
      <c r="D259" s="137" t="s">
        <v>20993</v>
      </c>
      <c r="E259" s="137" t="s">
        <v>22</v>
      </c>
      <c r="F259" s="137">
        <v>8123489024</v>
      </c>
      <c r="G259" s="137" t="s">
        <v>46</v>
      </c>
      <c r="H259" s="138">
        <v>45443</v>
      </c>
      <c r="I259" s="139" t="s">
        <v>384</v>
      </c>
      <c r="J259" s="137" t="s">
        <v>20994</v>
      </c>
      <c r="K259" s="137">
        <v>48</v>
      </c>
      <c r="L259" s="133" t="str">
        <f t="shared" si="3"/>
        <v>001</v>
      </c>
    </row>
    <row r="260" spans="1:12" x14ac:dyDescent="0.3">
      <c r="A260" s="136">
        <v>256</v>
      </c>
      <c r="B260" s="137" t="s">
        <v>13068</v>
      </c>
      <c r="C260" s="10" t="str">
        <f>VLOOKUP(B260,'Data Angt'!$A$5:$B$5809,2,FALSE)</f>
        <v>A4568</v>
      </c>
      <c r="D260" s="137" t="s">
        <v>20995</v>
      </c>
      <c r="E260" s="137" t="s">
        <v>11</v>
      </c>
      <c r="F260" s="137">
        <v>81808875999</v>
      </c>
      <c r="G260" s="137" t="s">
        <v>46</v>
      </c>
      <c r="H260" s="138">
        <v>45443</v>
      </c>
      <c r="I260" s="139" t="s">
        <v>384</v>
      </c>
      <c r="J260" s="137" t="s">
        <v>20996</v>
      </c>
      <c r="K260" s="137">
        <v>41</v>
      </c>
      <c r="L260" s="133" t="str">
        <f t="shared" si="3"/>
        <v>003</v>
      </c>
    </row>
    <row r="261" spans="1:12" x14ac:dyDescent="0.3">
      <c r="A261" s="136">
        <v>257</v>
      </c>
      <c r="B261" s="137" t="s">
        <v>13070</v>
      </c>
      <c r="C261" s="10" t="str">
        <f>VLOOKUP(B261,'Data Angt'!$A$5:$B$5809,2,FALSE)</f>
        <v>A4569</v>
      </c>
      <c r="D261" s="137" t="s">
        <v>20997</v>
      </c>
      <c r="E261" s="137" t="s">
        <v>22</v>
      </c>
      <c r="F261" s="137">
        <v>85608984808</v>
      </c>
      <c r="G261" s="137" t="s">
        <v>16</v>
      </c>
      <c r="H261" s="138">
        <v>45446</v>
      </c>
      <c r="I261" s="139" t="s">
        <v>384</v>
      </c>
      <c r="J261" s="137" t="s">
        <v>20998</v>
      </c>
      <c r="K261" s="137">
        <v>25</v>
      </c>
      <c r="L261" s="133" t="str">
        <f t="shared" si="3"/>
        <v>001</v>
      </c>
    </row>
    <row r="262" spans="1:12" x14ac:dyDescent="0.3">
      <c r="A262" s="136">
        <v>258</v>
      </c>
      <c r="B262" s="137" t="s">
        <v>20999</v>
      </c>
      <c r="C262" s="10" t="e">
        <f>VLOOKUP(B262,'Data Angt'!$A$5:$B$5809,2,FALSE)</f>
        <v>#N/A</v>
      </c>
      <c r="D262" s="137" t="s">
        <v>21000</v>
      </c>
      <c r="E262" s="137" t="s">
        <v>22</v>
      </c>
      <c r="F262" s="137">
        <v>81216465929</v>
      </c>
      <c r="G262" s="137" t="s">
        <v>46</v>
      </c>
      <c r="H262" s="138">
        <v>45446</v>
      </c>
      <c r="I262" s="138">
        <v>45895</v>
      </c>
      <c r="J262" s="137" t="s">
        <v>21001</v>
      </c>
      <c r="K262" s="137">
        <v>52</v>
      </c>
      <c r="L262" s="133" t="str">
        <f t="shared" ref="L262:L325" si="4">MID(B262,7,3)</f>
        <v>001</v>
      </c>
    </row>
    <row r="263" spans="1:12" x14ac:dyDescent="0.3">
      <c r="A263" s="136">
        <v>259</v>
      </c>
      <c r="B263" s="137" t="s">
        <v>13072</v>
      </c>
      <c r="C263" s="10" t="str">
        <f>VLOOKUP(B263,'Data Angt'!$A$5:$B$5809,2,FALSE)</f>
        <v>A4570</v>
      </c>
      <c r="D263" s="137" t="s">
        <v>21002</v>
      </c>
      <c r="E263" s="137" t="s">
        <v>22</v>
      </c>
      <c r="F263" s="137">
        <v>85236229922</v>
      </c>
      <c r="G263" s="137" t="s">
        <v>1439</v>
      </c>
      <c r="H263" s="138">
        <v>45447</v>
      </c>
      <c r="I263" s="139" t="s">
        <v>384</v>
      </c>
      <c r="J263" s="137" t="s">
        <v>19704</v>
      </c>
      <c r="K263" s="137">
        <v>46</v>
      </c>
      <c r="L263" s="133" t="str">
        <f t="shared" si="4"/>
        <v>004</v>
      </c>
    </row>
    <row r="264" spans="1:12" x14ac:dyDescent="0.3">
      <c r="A264" s="136">
        <v>260</v>
      </c>
      <c r="B264" s="137" t="s">
        <v>13074</v>
      </c>
      <c r="C264" s="10" t="str">
        <f>VLOOKUP(B264,'Data Angt'!$A$5:$B$5809,2,FALSE)</f>
        <v>A4571</v>
      </c>
      <c r="D264" s="137" t="s">
        <v>21003</v>
      </c>
      <c r="E264" s="137" t="s">
        <v>22</v>
      </c>
      <c r="F264" s="137">
        <v>82257579366</v>
      </c>
      <c r="G264" s="137" t="s">
        <v>109</v>
      </c>
      <c r="H264" s="138">
        <v>45447</v>
      </c>
      <c r="I264" s="139" t="s">
        <v>384</v>
      </c>
      <c r="J264" s="137" t="s">
        <v>21004</v>
      </c>
      <c r="K264" s="137">
        <v>29</v>
      </c>
      <c r="L264" s="133" t="str">
        <f t="shared" si="4"/>
        <v>004</v>
      </c>
    </row>
    <row r="265" spans="1:12" x14ac:dyDescent="0.3">
      <c r="A265" s="136">
        <v>261</v>
      </c>
      <c r="B265" s="137" t="s">
        <v>13077</v>
      </c>
      <c r="C265" s="10" t="str">
        <f>VLOOKUP(B265,'Data Angt'!$A$5:$B$5809,2,FALSE)</f>
        <v>A4573</v>
      </c>
      <c r="D265" s="137" t="s">
        <v>21005</v>
      </c>
      <c r="E265" s="137" t="s">
        <v>22</v>
      </c>
      <c r="F265" s="137">
        <v>85851310320</v>
      </c>
      <c r="G265" s="137" t="s">
        <v>109</v>
      </c>
      <c r="H265" s="138">
        <v>45454</v>
      </c>
      <c r="I265" s="139" t="s">
        <v>384</v>
      </c>
      <c r="J265" s="137" t="s">
        <v>21006</v>
      </c>
      <c r="K265" s="137">
        <v>58</v>
      </c>
      <c r="L265" s="133" t="str">
        <f t="shared" si="4"/>
        <v>001</v>
      </c>
    </row>
    <row r="266" spans="1:12" x14ac:dyDescent="0.3">
      <c r="A266" s="136">
        <v>262</v>
      </c>
      <c r="B266" s="137" t="s">
        <v>13078</v>
      </c>
      <c r="C266" s="10" t="str">
        <f>VLOOKUP(B266,'Data Angt'!$A$5:$B$5809,2,FALSE)</f>
        <v>A4574</v>
      </c>
      <c r="D266" s="137" t="s">
        <v>21007</v>
      </c>
      <c r="E266" s="137" t="s">
        <v>11</v>
      </c>
      <c r="F266" s="137">
        <v>8567048818</v>
      </c>
      <c r="G266" s="137" t="s">
        <v>109</v>
      </c>
      <c r="H266" s="138">
        <v>45454</v>
      </c>
      <c r="I266" s="139" t="s">
        <v>384</v>
      </c>
      <c r="J266" s="137" t="s">
        <v>21008</v>
      </c>
      <c r="K266" s="137">
        <v>35</v>
      </c>
      <c r="L266" s="133" t="str">
        <f t="shared" si="4"/>
        <v>001</v>
      </c>
    </row>
    <row r="267" spans="1:12" x14ac:dyDescent="0.3">
      <c r="A267" s="136">
        <v>263</v>
      </c>
      <c r="B267" s="137" t="s">
        <v>13080</v>
      </c>
      <c r="C267" s="10" t="str">
        <f>VLOOKUP(B267,'Data Angt'!$A$5:$B$5809,2,FALSE)</f>
        <v>A4575</v>
      </c>
      <c r="D267" s="137" t="s">
        <v>21009</v>
      </c>
      <c r="E267" s="137" t="s">
        <v>11</v>
      </c>
      <c r="F267" s="137">
        <v>85704902877</v>
      </c>
      <c r="G267" s="137" t="s">
        <v>109</v>
      </c>
      <c r="H267" s="138">
        <v>45455</v>
      </c>
      <c r="I267" s="139" t="s">
        <v>384</v>
      </c>
      <c r="J267" s="137" t="s">
        <v>21010</v>
      </c>
      <c r="K267" s="137">
        <v>27</v>
      </c>
      <c r="L267" s="133" t="str">
        <f t="shared" si="4"/>
        <v>005</v>
      </c>
    </row>
    <row r="268" spans="1:12" x14ac:dyDescent="0.3">
      <c r="A268" s="136">
        <v>264</v>
      </c>
      <c r="B268" s="137" t="s">
        <v>13081</v>
      </c>
      <c r="C268" s="10" t="str">
        <f>VLOOKUP(B268,'Data Angt'!$A$5:$B$5809,2,FALSE)</f>
        <v>A4576</v>
      </c>
      <c r="D268" s="137" t="s">
        <v>21011</v>
      </c>
      <c r="E268" s="137" t="s">
        <v>22</v>
      </c>
      <c r="F268" s="137">
        <v>85735067052</v>
      </c>
      <c r="G268" s="137" t="s">
        <v>109</v>
      </c>
      <c r="H268" s="138">
        <v>45455</v>
      </c>
      <c r="I268" s="139" t="s">
        <v>384</v>
      </c>
      <c r="J268" s="137" t="s">
        <v>21012</v>
      </c>
      <c r="K268" s="137">
        <v>19</v>
      </c>
      <c r="L268" s="133" t="str">
        <f t="shared" si="4"/>
        <v>001</v>
      </c>
    </row>
    <row r="269" spans="1:12" x14ac:dyDescent="0.3">
      <c r="A269" s="136">
        <v>265</v>
      </c>
      <c r="B269" s="137" t="s">
        <v>13084</v>
      </c>
      <c r="C269" s="10" t="str">
        <f>VLOOKUP(B269,'Data Angt'!$A$5:$B$5809,2,FALSE)</f>
        <v>A4577</v>
      </c>
      <c r="D269" s="137" t="s">
        <v>21013</v>
      </c>
      <c r="E269" s="137" t="s">
        <v>11</v>
      </c>
      <c r="F269" s="137">
        <v>87763325428</v>
      </c>
      <c r="G269" s="137" t="s">
        <v>109</v>
      </c>
      <c r="H269" s="138">
        <v>45456</v>
      </c>
      <c r="I269" s="139" t="s">
        <v>384</v>
      </c>
      <c r="J269" s="137" t="s">
        <v>21014</v>
      </c>
      <c r="K269" s="137">
        <v>19</v>
      </c>
      <c r="L269" s="133" t="str">
        <f t="shared" si="4"/>
        <v>001</v>
      </c>
    </row>
    <row r="270" spans="1:12" x14ac:dyDescent="0.3">
      <c r="A270" s="136">
        <v>266</v>
      </c>
      <c r="B270" s="137" t="s">
        <v>21015</v>
      </c>
      <c r="C270" s="10" t="e">
        <f>VLOOKUP(B270,'Data Angt'!$A$5:$B$5809,2,FALSE)</f>
        <v>#N/A</v>
      </c>
      <c r="D270" s="137" t="s">
        <v>21016</v>
      </c>
      <c r="E270" s="137" t="s">
        <v>22</v>
      </c>
      <c r="F270" s="137">
        <v>87834043190</v>
      </c>
      <c r="G270" s="137" t="s">
        <v>109</v>
      </c>
      <c r="H270" s="138">
        <v>45456</v>
      </c>
      <c r="I270" s="138">
        <v>45758</v>
      </c>
      <c r="J270" s="137" t="s">
        <v>21017</v>
      </c>
      <c r="K270" s="137">
        <v>19</v>
      </c>
      <c r="L270" s="133" t="str">
        <f t="shared" si="4"/>
        <v>001</v>
      </c>
    </row>
    <row r="271" spans="1:12" x14ac:dyDescent="0.3">
      <c r="A271" s="136">
        <v>267</v>
      </c>
      <c r="B271" s="137" t="s">
        <v>13087</v>
      </c>
      <c r="C271" s="10" t="str">
        <f>VLOOKUP(B271,'Data Angt'!$A$5:$B$5809,2,FALSE)</f>
        <v>A4578</v>
      </c>
      <c r="D271" s="137" t="s">
        <v>21018</v>
      </c>
      <c r="E271" s="137" t="s">
        <v>22</v>
      </c>
      <c r="F271" s="137">
        <v>82228339642</v>
      </c>
      <c r="G271" s="137" t="s">
        <v>1200</v>
      </c>
      <c r="H271" s="138">
        <v>45456</v>
      </c>
      <c r="I271" s="139" t="s">
        <v>384</v>
      </c>
      <c r="J271" s="137" t="s">
        <v>21019</v>
      </c>
      <c r="K271" s="137">
        <v>29</v>
      </c>
      <c r="L271" s="133" t="str">
        <f t="shared" si="4"/>
        <v>002</v>
      </c>
    </row>
    <row r="272" spans="1:12" x14ac:dyDescent="0.3">
      <c r="A272" s="136">
        <v>268</v>
      </c>
      <c r="B272" s="137" t="s">
        <v>13089</v>
      </c>
      <c r="C272" s="10" t="str">
        <f>VLOOKUP(B272,'Data Angt'!$A$5:$B$5809,2,FALSE)</f>
        <v>A4579</v>
      </c>
      <c r="D272" s="137" t="s">
        <v>21020</v>
      </c>
      <c r="E272" s="137" t="s">
        <v>22</v>
      </c>
      <c r="F272" s="137">
        <v>82333192746</v>
      </c>
      <c r="G272" s="137" t="s">
        <v>1200</v>
      </c>
      <c r="H272" s="138">
        <v>45456</v>
      </c>
      <c r="I272" s="139" t="s">
        <v>384</v>
      </c>
      <c r="J272" s="137" t="s">
        <v>19274</v>
      </c>
      <c r="K272" s="137">
        <v>37</v>
      </c>
      <c r="L272" s="133" t="str">
        <f t="shared" si="4"/>
        <v>002</v>
      </c>
    </row>
    <row r="273" spans="1:12" x14ac:dyDescent="0.3">
      <c r="A273" s="136">
        <v>269</v>
      </c>
      <c r="B273" s="137" t="s">
        <v>13091</v>
      </c>
      <c r="C273" s="10" t="str">
        <f>VLOOKUP(B273,'Data Angt'!$A$5:$B$5809,2,FALSE)</f>
        <v>A4580</v>
      </c>
      <c r="D273" s="137" t="s">
        <v>21021</v>
      </c>
      <c r="E273" s="137" t="s">
        <v>22</v>
      </c>
      <c r="F273" s="137">
        <v>895324991518</v>
      </c>
      <c r="G273" s="137" t="s">
        <v>31</v>
      </c>
      <c r="H273" s="138">
        <v>45456</v>
      </c>
      <c r="I273" s="139" t="s">
        <v>384</v>
      </c>
      <c r="J273" s="137" t="s">
        <v>21022</v>
      </c>
      <c r="K273" s="137">
        <v>52</v>
      </c>
      <c r="L273" s="133" t="str">
        <f t="shared" si="4"/>
        <v>003</v>
      </c>
    </row>
    <row r="274" spans="1:12" x14ac:dyDescent="0.3">
      <c r="A274" s="136">
        <v>270</v>
      </c>
      <c r="B274" s="137" t="s">
        <v>13093</v>
      </c>
      <c r="C274" s="10" t="str">
        <f>VLOOKUP(B274,'Data Angt'!$A$5:$B$5809,2,FALSE)</f>
        <v>A4581</v>
      </c>
      <c r="D274" s="137" t="s">
        <v>21023</v>
      </c>
      <c r="E274" s="137" t="s">
        <v>11</v>
      </c>
      <c r="F274" s="137">
        <v>81393475008</v>
      </c>
      <c r="G274" s="137" t="s">
        <v>133</v>
      </c>
      <c r="H274" s="138">
        <v>45457</v>
      </c>
      <c r="I274" s="139" t="s">
        <v>384</v>
      </c>
      <c r="J274" s="137" t="s">
        <v>21024</v>
      </c>
      <c r="K274" s="137">
        <v>37</v>
      </c>
      <c r="L274" s="133" t="str">
        <f t="shared" si="4"/>
        <v>006</v>
      </c>
    </row>
    <row r="275" spans="1:12" x14ac:dyDescent="0.3">
      <c r="A275" s="136">
        <v>271</v>
      </c>
      <c r="B275" s="137" t="s">
        <v>21025</v>
      </c>
      <c r="C275" s="10" t="e">
        <f>VLOOKUP(B275,'Data Angt'!$A$5:$B$5809,2,FALSE)</f>
        <v>#N/A</v>
      </c>
      <c r="D275" s="137" t="s">
        <v>21026</v>
      </c>
      <c r="E275" s="137" t="s">
        <v>22</v>
      </c>
      <c r="F275" s="137">
        <v>81237152272</v>
      </c>
      <c r="G275" s="137" t="s">
        <v>46</v>
      </c>
      <c r="H275" s="138">
        <v>45458</v>
      </c>
      <c r="I275" s="138">
        <v>45808</v>
      </c>
      <c r="J275" s="137" t="s">
        <v>19704</v>
      </c>
      <c r="K275" s="137">
        <v>39</v>
      </c>
      <c r="L275" s="133" t="str">
        <f t="shared" si="4"/>
        <v>004</v>
      </c>
    </row>
    <row r="276" spans="1:12" x14ac:dyDescent="0.3">
      <c r="A276" s="136">
        <v>272</v>
      </c>
      <c r="B276" s="137" t="s">
        <v>13095</v>
      </c>
      <c r="C276" s="10" t="str">
        <f>VLOOKUP(B276,'Data Angt'!$A$5:$B$5809,2,FALSE)</f>
        <v>A4582</v>
      </c>
      <c r="D276" s="137" t="s">
        <v>21027</v>
      </c>
      <c r="E276" s="137" t="s">
        <v>22</v>
      </c>
      <c r="F276" s="137">
        <v>81388488420</v>
      </c>
      <c r="G276" s="137" t="s">
        <v>370</v>
      </c>
      <c r="H276" s="138">
        <v>45458</v>
      </c>
      <c r="I276" s="139" t="s">
        <v>384</v>
      </c>
      <c r="J276" s="137" t="s">
        <v>21028</v>
      </c>
      <c r="K276" s="137">
        <v>29</v>
      </c>
      <c r="L276" s="133" t="str">
        <f t="shared" si="4"/>
        <v>004</v>
      </c>
    </row>
    <row r="277" spans="1:12" x14ac:dyDescent="0.3">
      <c r="A277" s="136">
        <v>273</v>
      </c>
      <c r="B277" s="137" t="s">
        <v>13097</v>
      </c>
      <c r="C277" s="10" t="str">
        <f>VLOOKUP(B277,'Data Angt'!$A$5:$B$5809,2,FALSE)</f>
        <v>A4583</v>
      </c>
      <c r="D277" s="137" t="s">
        <v>21029</v>
      </c>
      <c r="E277" s="137" t="s">
        <v>11</v>
      </c>
      <c r="F277" s="137">
        <v>81252129244</v>
      </c>
      <c r="G277" s="137" t="s">
        <v>46</v>
      </c>
      <c r="H277" s="138">
        <v>45465</v>
      </c>
      <c r="I277" s="139" t="s">
        <v>384</v>
      </c>
      <c r="J277" s="137" t="s">
        <v>21030</v>
      </c>
      <c r="K277" s="137">
        <v>45</v>
      </c>
      <c r="L277" s="133" t="str">
        <f t="shared" si="4"/>
        <v>001</v>
      </c>
    </row>
    <row r="278" spans="1:12" x14ac:dyDescent="0.3">
      <c r="A278" s="136">
        <v>274</v>
      </c>
      <c r="B278" s="137" t="s">
        <v>13098</v>
      </c>
      <c r="C278" s="10" t="str">
        <f>VLOOKUP(B278,'Data Angt'!$A$5:$B$5809,2,FALSE)</f>
        <v>A4584</v>
      </c>
      <c r="D278" s="137" t="s">
        <v>21031</v>
      </c>
      <c r="E278" s="137" t="s">
        <v>22</v>
      </c>
      <c r="F278" s="137">
        <v>87875425569</v>
      </c>
      <c r="G278" s="137" t="s">
        <v>109</v>
      </c>
      <c r="H278" s="138">
        <v>45468</v>
      </c>
      <c r="I278" s="139" t="s">
        <v>384</v>
      </c>
      <c r="J278" s="137" t="s">
        <v>21032</v>
      </c>
      <c r="K278" s="137">
        <v>39</v>
      </c>
      <c r="L278" s="133" t="str">
        <f t="shared" si="4"/>
        <v>001</v>
      </c>
    </row>
    <row r="279" spans="1:12" x14ac:dyDescent="0.3">
      <c r="A279" s="136">
        <v>275</v>
      </c>
      <c r="B279" s="137" t="s">
        <v>13101</v>
      </c>
      <c r="C279" s="10" t="str">
        <f>VLOOKUP(B279,'Data Angt'!$A$5:$B$5809,2,FALSE)</f>
        <v>A4585</v>
      </c>
      <c r="D279" s="137" t="s">
        <v>21033</v>
      </c>
      <c r="E279" s="137" t="s">
        <v>11</v>
      </c>
      <c r="F279" s="137">
        <v>82333815778</v>
      </c>
      <c r="G279" s="137" t="s">
        <v>531</v>
      </c>
      <c r="H279" s="138">
        <v>45469</v>
      </c>
      <c r="I279" s="139" t="s">
        <v>384</v>
      </c>
      <c r="J279" s="137" t="s">
        <v>21034</v>
      </c>
      <c r="K279" s="137">
        <v>47</v>
      </c>
      <c r="L279" s="133" t="str">
        <f t="shared" si="4"/>
        <v>001</v>
      </c>
    </row>
    <row r="280" spans="1:12" x14ac:dyDescent="0.3">
      <c r="A280" s="136">
        <v>276</v>
      </c>
      <c r="B280" s="137" t="s">
        <v>13104</v>
      </c>
      <c r="C280" s="10" t="str">
        <f>VLOOKUP(B280,'Data Angt'!$A$5:$B$5809,2,FALSE)</f>
        <v>A4586</v>
      </c>
      <c r="D280" s="137" t="s">
        <v>21035</v>
      </c>
      <c r="E280" s="137" t="s">
        <v>11</v>
      </c>
      <c r="F280" s="137">
        <v>82245542492</v>
      </c>
      <c r="G280" s="137" t="s">
        <v>337</v>
      </c>
      <c r="H280" s="138">
        <v>45470</v>
      </c>
      <c r="I280" s="139" t="s">
        <v>384</v>
      </c>
      <c r="J280" s="137" t="s">
        <v>21036</v>
      </c>
      <c r="K280" s="137">
        <v>18</v>
      </c>
      <c r="L280" s="133" t="str">
        <f t="shared" si="4"/>
        <v>001</v>
      </c>
    </row>
    <row r="281" spans="1:12" x14ac:dyDescent="0.3">
      <c r="A281" s="136">
        <v>277</v>
      </c>
      <c r="B281" s="137" t="s">
        <v>13106</v>
      </c>
      <c r="C281" s="10" t="str">
        <f>VLOOKUP(B281,'Data Angt'!$A$5:$B$5809,2,FALSE)</f>
        <v>A4587</v>
      </c>
      <c r="D281" s="137" t="s">
        <v>21037</v>
      </c>
      <c r="E281" s="137" t="s">
        <v>11</v>
      </c>
      <c r="F281" s="137">
        <v>87731523755</v>
      </c>
      <c r="G281" s="137" t="s">
        <v>46</v>
      </c>
      <c r="H281" s="138">
        <v>45470</v>
      </c>
      <c r="I281" s="139" t="s">
        <v>384</v>
      </c>
      <c r="J281" s="137" t="s">
        <v>21038</v>
      </c>
      <c r="K281" s="137">
        <v>44</v>
      </c>
      <c r="L281" s="133" t="str">
        <f t="shared" si="4"/>
        <v>006</v>
      </c>
    </row>
    <row r="282" spans="1:12" x14ac:dyDescent="0.3">
      <c r="A282" s="136">
        <v>278</v>
      </c>
      <c r="B282" s="137" t="s">
        <v>13109</v>
      </c>
      <c r="C282" s="10" t="str">
        <f>VLOOKUP(B282,'Data Angt'!$A$5:$B$5809,2,FALSE)</f>
        <v>A4588</v>
      </c>
      <c r="D282" s="137" t="s">
        <v>21039</v>
      </c>
      <c r="E282" s="137" t="s">
        <v>11</v>
      </c>
      <c r="F282" s="137">
        <v>85335028500</v>
      </c>
      <c r="G282" s="137" t="s">
        <v>46</v>
      </c>
      <c r="H282" s="138">
        <v>45471</v>
      </c>
      <c r="I282" s="139" t="s">
        <v>384</v>
      </c>
      <c r="J282" s="137" t="s">
        <v>21040</v>
      </c>
      <c r="K282" s="137">
        <v>62</v>
      </c>
      <c r="L282" s="133" t="str">
        <f t="shared" si="4"/>
        <v>003</v>
      </c>
    </row>
    <row r="283" spans="1:12" x14ac:dyDescent="0.3">
      <c r="A283" s="136">
        <v>279</v>
      </c>
      <c r="B283" s="137" t="s">
        <v>13144</v>
      </c>
      <c r="C283" s="10" t="str">
        <f>VLOOKUP(B283,'Data Angt'!$A$5:$B$5809,2,FALSE)</f>
        <v>A4603</v>
      </c>
      <c r="D283" s="137" t="s">
        <v>21041</v>
      </c>
      <c r="E283" s="137" t="s">
        <v>22</v>
      </c>
      <c r="F283" s="137">
        <v>87712621022</v>
      </c>
      <c r="G283" s="137" t="s">
        <v>46</v>
      </c>
      <c r="H283" s="138">
        <v>45479</v>
      </c>
      <c r="I283" s="139" t="s">
        <v>384</v>
      </c>
      <c r="J283" s="137" t="s">
        <v>19704</v>
      </c>
      <c r="K283" s="137">
        <v>44</v>
      </c>
      <c r="L283" s="133" t="str">
        <f t="shared" si="4"/>
        <v>004</v>
      </c>
    </row>
    <row r="284" spans="1:12" x14ac:dyDescent="0.3">
      <c r="A284" s="136">
        <v>280</v>
      </c>
      <c r="B284" s="137" t="s">
        <v>13111</v>
      </c>
      <c r="C284" s="10" t="str">
        <f>VLOOKUP(B284,'Data Angt'!$A$5:$B$5809,2,FALSE)</f>
        <v>A4589</v>
      </c>
      <c r="D284" s="137" t="s">
        <v>21042</v>
      </c>
      <c r="E284" s="137" t="s">
        <v>22</v>
      </c>
      <c r="F284" s="137">
        <v>85334044730</v>
      </c>
      <c r="G284" s="137" t="s">
        <v>31</v>
      </c>
      <c r="H284" s="138">
        <v>45471</v>
      </c>
      <c r="I284" s="139" t="s">
        <v>384</v>
      </c>
      <c r="J284" s="137" t="s">
        <v>21043</v>
      </c>
      <c r="K284" s="137">
        <v>31</v>
      </c>
      <c r="L284" s="133" t="str">
        <f t="shared" si="4"/>
        <v>001</v>
      </c>
    </row>
    <row r="285" spans="1:12" x14ac:dyDescent="0.3">
      <c r="A285" s="136">
        <v>281</v>
      </c>
      <c r="B285" s="137" t="s">
        <v>13113</v>
      </c>
      <c r="C285" s="10" t="str">
        <f>VLOOKUP(B285,'Data Angt'!$A$5:$B$5809,2,FALSE)</f>
        <v>A4590</v>
      </c>
      <c r="D285" s="137" t="s">
        <v>21044</v>
      </c>
      <c r="E285" s="137" t="s">
        <v>22</v>
      </c>
      <c r="F285" s="137">
        <v>82210081168</v>
      </c>
      <c r="G285" s="137" t="s">
        <v>177</v>
      </c>
      <c r="H285" s="138">
        <v>45471</v>
      </c>
      <c r="I285" s="139" t="s">
        <v>384</v>
      </c>
      <c r="J285" s="137" t="s">
        <v>19274</v>
      </c>
      <c r="K285" s="137">
        <v>32</v>
      </c>
      <c r="L285" s="133" t="str">
        <f t="shared" si="4"/>
        <v>004</v>
      </c>
    </row>
    <row r="286" spans="1:12" x14ac:dyDescent="0.3">
      <c r="A286" s="136">
        <v>282</v>
      </c>
      <c r="B286" s="137" t="s">
        <v>13116</v>
      </c>
      <c r="C286" s="10" t="str">
        <f>VLOOKUP(B286,'Data Angt'!$A$5:$B$5809,2,FALSE)</f>
        <v>A4591</v>
      </c>
      <c r="D286" s="137" t="s">
        <v>21045</v>
      </c>
      <c r="E286" s="137" t="s">
        <v>22</v>
      </c>
      <c r="F286" s="137">
        <v>82334143108</v>
      </c>
      <c r="G286" s="137" t="s">
        <v>31</v>
      </c>
      <c r="H286" s="138">
        <v>45471</v>
      </c>
      <c r="I286" s="139" t="s">
        <v>384</v>
      </c>
      <c r="J286" s="137" t="s">
        <v>20641</v>
      </c>
      <c r="K286" s="137">
        <v>40</v>
      </c>
      <c r="L286" s="133" t="str">
        <f t="shared" si="4"/>
        <v>003</v>
      </c>
    </row>
    <row r="287" spans="1:12" x14ac:dyDescent="0.3">
      <c r="A287" s="136">
        <v>283</v>
      </c>
      <c r="B287" s="137" t="s">
        <v>21046</v>
      </c>
      <c r="C287" s="10" t="e">
        <f>VLOOKUP(B287,'Data Angt'!$A$5:$B$5809,2,FALSE)</f>
        <v>#N/A</v>
      </c>
      <c r="D287" s="137" t="s">
        <v>21047</v>
      </c>
      <c r="E287" s="137" t="s">
        <v>22</v>
      </c>
      <c r="F287" s="137">
        <v>81231900367</v>
      </c>
      <c r="G287" s="137" t="s">
        <v>46</v>
      </c>
      <c r="H287" s="138">
        <v>45471</v>
      </c>
      <c r="I287" s="138">
        <v>45679</v>
      </c>
      <c r="J287" s="137" t="s">
        <v>21048</v>
      </c>
      <c r="K287" s="137">
        <v>55</v>
      </c>
      <c r="L287" s="133" t="str">
        <f t="shared" si="4"/>
        <v>004</v>
      </c>
    </row>
    <row r="288" spans="1:12" x14ac:dyDescent="0.3">
      <c r="A288" s="136">
        <v>284</v>
      </c>
      <c r="B288" s="137" t="s">
        <v>13118</v>
      </c>
      <c r="C288" s="10" t="str">
        <f>VLOOKUP(B288,'Data Angt'!$A$5:$B$5809,2,FALSE)</f>
        <v>A4592</v>
      </c>
      <c r="D288" s="137" t="s">
        <v>21049</v>
      </c>
      <c r="E288" s="137" t="s">
        <v>11</v>
      </c>
      <c r="F288" s="137">
        <v>82232541774</v>
      </c>
      <c r="G288" s="137" t="s">
        <v>109</v>
      </c>
      <c r="H288" s="138">
        <v>45474</v>
      </c>
      <c r="I288" s="139" t="s">
        <v>384</v>
      </c>
      <c r="J288" s="137" t="s">
        <v>21050</v>
      </c>
      <c r="K288" s="137">
        <v>50</v>
      </c>
      <c r="L288" s="133" t="str">
        <f t="shared" si="4"/>
        <v>006</v>
      </c>
    </row>
    <row r="289" spans="1:12" x14ac:dyDescent="0.3">
      <c r="A289" s="136">
        <v>285</v>
      </c>
      <c r="B289" s="137" t="s">
        <v>13120</v>
      </c>
      <c r="C289" s="10" t="str">
        <f>VLOOKUP(B289,'Data Angt'!$A$5:$B$5809,2,FALSE)</f>
        <v>A4593</v>
      </c>
      <c r="D289" s="137" t="s">
        <v>21051</v>
      </c>
      <c r="E289" s="137" t="s">
        <v>22</v>
      </c>
      <c r="F289" s="137">
        <v>82137175466</v>
      </c>
      <c r="G289" s="137" t="s">
        <v>109</v>
      </c>
      <c r="H289" s="138">
        <v>45474</v>
      </c>
      <c r="I289" s="139" t="s">
        <v>384</v>
      </c>
      <c r="J289" s="137" t="s">
        <v>21052</v>
      </c>
      <c r="K289" s="137">
        <v>49</v>
      </c>
      <c r="L289" s="133" t="str">
        <f t="shared" si="4"/>
        <v>003</v>
      </c>
    </row>
    <row r="290" spans="1:12" x14ac:dyDescent="0.3">
      <c r="A290" s="136">
        <v>286</v>
      </c>
      <c r="B290" s="137" t="s">
        <v>13123</v>
      </c>
      <c r="C290" s="10" t="str">
        <f>VLOOKUP(B290,'Data Angt'!$A$5:$B$5809,2,FALSE)</f>
        <v>A4594</v>
      </c>
      <c r="D290" s="137" t="s">
        <v>21053</v>
      </c>
      <c r="E290" s="137" t="s">
        <v>22</v>
      </c>
      <c r="F290" s="137">
        <v>82338595357</v>
      </c>
      <c r="G290" s="137" t="s">
        <v>370</v>
      </c>
      <c r="H290" s="138">
        <v>45476</v>
      </c>
      <c r="I290" s="139" t="s">
        <v>384</v>
      </c>
      <c r="J290" s="137" t="s">
        <v>21054</v>
      </c>
      <c r="K290" s="137">
        <v>31</v>
      </c>
      <c r="L290" s="133" t="str">
        <f t="shared" si="4"/>
        <v>006</v>
      </c>
    </row>
    <row r="291" spans="1:12" x14ac:dyDescent="0.3">
      <c r="A291" s="136">
        <v>287</v>
      </c>
      <c r="B291" s="137" t="s">
        <v>13126</v>
      </c>
      <c r="C291" s="10" t="str">
        <f>VLOOKUP(B291,'Data Angt'!$A$5:$B$5809,2,FALSE)</f>
        <v>A4595</v>
      </c>
      <c r="D291" s="137" t="s">
        <v>21055</v>
      </c>
      <c r="E291" s="137" t="s">
        <v>11</v>
      </c>
      <c r="F291" s="137">
        <v>85236059980</v>
      </c>
      <c r="G291" s="137" t="s">
        <v>109</v>
      </c>
      <c r="H291" s="138">
        <v>45476</v>
      </c>
      <c r="I291" s="139" t="s">
        <v>384</v>
      </c>
      <c r="J291" s="137" t="s">
        <v>21056</v>
      </c>
      <c r="K291" s="137">
        <v>48</v>
      </c>
      <c r="L291" s="133" t="str">
        <f t="shared" si="4"/>
        <v>003</v>
      </c>
    </row>
    <row r="292" spans="1:12" x14ac:dyDescent="0.3">
      <c r="A292" s="136">
        <v>288</v>
      </c>
      <c r="B292" s="137" t="s">
        <v>13128</v>
      </c>
      <c r="C292" s="10" t="str">
        <f>VLOOKUP(B292,'Data Angt'!$A$5:$B$5809,2,FALSE)</f>
        <v>A4596</v>
      </c>
      <c r="D292" s="137" t="s">
        <v>21057</v>
      </c>
      <c r="E292" s="137" t="s">
        <v>11</v>
      </c>
      <c r="F292" s="137">
        <v>8224225950</v>
      </c>
      <c r="G292" s="137" t="s">
        <v>1200</v>
      </c>
      <c r="H292" s="138">
        <v>45476</v>
      </c>
      <c r="I292" s="139" t="s">
        <v>384</v>
      </c>
      <c r="J292" s="137" t="s">
        <v>21048</v>
      </c>
      <c r="K292" s="137">
        <v>46</v>
      </c>
      <c r="L292" s="133" t="str">
        <f t="shared" si="4"/>
        <v>004</v>
      </c>
    </row>
    <row r="293" spans="1:12" x14ac:dyDescent="0.3">
      <c r="A293" s="136">
        <v>289</v>
      </c>
      <c r="B293" s="137" t="s">
        <v>13132</v>
      </c>
      <c r="C293" s="10" t="str">
        <f>VLOOKUP(B293,'Data Angt'!$A$5:$B$5809,2,FALSE)</f>
        <v>A4597</v>
      </c>
      <c r="D293" s="137" t="s">
        <v>21058</v>
      </c>
      <c r="E293" s="137" t="s">
        <v>22</v>
      </c>
      <c r="F293" s="137">
        <v>82331021874</v>
      </c>
      <c r="G293" s="137" t="s">
        <v>46</v>
      </c>
      <c r="H293" s="138">
        <v>45476</v>
      </c>
      <c r="I293" s="139" t="s">
        <v>384</v>
      </c>
      <c r="J293" s="137" t="s">
        <v>21059</v>
      </c>
      <c r="K293" s="137">
        <v>41</v>
      </c>
      <c r="L293" s="133" t="str">
        <f t="shared" si="4"/>
        <v>001</v>
      </c>
    </row>
    <row r="294" spans="1:12" x14ac:dyDescent="0.3">
      <c r="A294" s="136">
        <v>290</v>
      </c>
      <c r="B294" s="137" t="s">
        <v>13134</v>
      </c>
      <c r="C294" s="10" t="str">
        <f>VLOOKUP(B294,'Data Angt'!$A$5:$B$5809,2,FALSE)</f>
        <v>A4598</v>
      </c>
      <c r="D294" s="137" t="s">
        <v>21060</v>
      </c>
      <c r="E294" s="137" t="s">
        <v>22</v>
      </c>
      <c r="F294" s="137">
        <v>82332920195</v>
      </c>
      <c r="G294" s="137" t="s">
        <v>31</v>
      </c>
      <c r="H294" s="138">
        <v>45477</v>
      </c>
      <c r="I294" s="139" t="s">
        <v>384</v>
      </c>
      <c r="J294" s="137" t="s">
        <v>21061</v>
      </c>
      <c r="K294" s="137">
        <v>44</v>
      </c>
      <c r="L294" s="133" t="str">
        <f t="shared" si="4"/>
        <v>001</v>
      </c>
    </row>
    <row r="295" spans="1:12" x14ac:dyDescent="0.3">
      <c r="A295" s="136">
        <v>291</v>
      </c>
      <c r="B295" s="137" t="s">
        <v>13136</v>
      </c>
      <c r="C295" s="10" t="str">
        <f>VLOOKUP(B295,'Data Angt'!$A$5:$B$5809,2,FALSE)</f>
        <v>A4599</v>
      </c>
      <c r="D295" s="137" t="s">
        <v>21062</v>
      </c>
      <c r="E295" s="137" t="s">
        <v>22</v>
      </c>
      <c r="F295" s="137">
        <v>12451121000</v>
      </c>
      <c r="G295" s="137" t="s">
        <v>243</v>
      </c>
      <c r="H295" s="138">
        <v>45477</v>
      </c>
      <c r="I295" s="139" t="s">
        <v>384</v>
      </c>
      <c r="J295" s="137" t="s">
        <v>21063</v>
      </c>
      <c r="K295" s="137">
        <v>71</v>
      </c>
      <c r="L295" s="133" t="str">
        <f t="shared" si="4"/>
        <v>004</v>
      </c>
    </row>
    <row r="296" spans="1:12" x14ac:dyDescent="0.3">
      <c r="A296" s="136">
        <v>292</v>
      </c>
      <c r="B296" s="137" t="s">
        <v>13137</v>
      </c>
      <c r="C296" s="10" t="str">
        <f>VLOOKUP(B296,'Data Angt'!$A$5:$B$5809,2,FALSE)</f>
        <v>A4600</v>
      </c>
      <c r="D296" s="137" t="s">
        <v>21064</v>
      </c>
      <c r="E296" s="137" t="s">
        <v>22</v>
      </c>
      <c r="F296" s="137">
        <v>83106508400</v>
      </c>
      <c r="G296" s="137" t="s">
        <v>155</v>
      </c>
      <c r="H296" s="138">
        <v>45477</v>
      </c>
      <c r="I296" s="139" t="s">
        <v>384</v>
      </c>
      <c r="J296" s="137" t="s">
        <v>19611</v>
      </c>
      <c r="K296" s="137">
        <v>48</v>
      </c>
      <c r="L296" s="133" t="str">
        <f t="shared" si="4"/>
        <v>001</v>
      </c>
    </row>
    <row r="297" spans="1:12" x14ac:dyDescent="0.3">
      <c r="A297" s="136">
        <v>293</v>
      </c>
      <c r="B297" s="137" t="s">
        <v>13138</v>
      </c>
      <c r="C297" s="10" t="str">
        <f>VLOOKUP(B297,'Data Angt'!$A$5:$B$5809,2,FALSE)</f>
        <v>A4601</v>
      </c>
      <c r="D297" s="137" t="s">
        <v>21065</v>
      </c>
      <c r="E297" s="137" t="s">
        <v>11</v>
      </c>
      <c r="F297" s="137">
        <v>85311585958</v>
      </c>
      <c r="G297" s="137" t="s">
        <v>109</v>
      </c>
      <c r="H297" s="138">
        <v>45477</v>
      </c>
      <c r="I297" s="139" t="s">
        <v>384</v>
      </c>
      <c r="J297" s="137" t="s">
        <v>19274</v>
      </c>
      <c r="K297" s="137">
        <v>29</v>
      </c>
      <c r="L297" s="133" t="str">
        <f t="shared" si="4"/>
        <v>002</v>
      </c>
    </row>
    <row r="298" spans="1:12" x14ac:dyDescent="0.3">
      <c r="A298" s="136">
        <v>294</v>
      </c>
      <c r="B298" s="137" t="s">
        <v>13141</v>
      </c>
      <c r="C298" s="10" t="str">
        <f>VLOOKUP(B298,'Data Angt'!$A$5:$B$5809,2,FALSE)</f>
        <v>A4602</v>
      </c>
      <c r="D298" s="137" t="s">
        <v>21066</v>
      </c>
      <c r="E298" s="137" t="s">
        <v>11</v>
      </c>
      <c r="F298" s="137">
        <v>89677489489</v>
      </c>
      <c r="G298" s="137" t="s">
        <v>46</v>
      </c>
      <c r="H298" s="138">
        <v>45477</v>
      </c>
      <c r="I298" s="139" t="s">
        <v>384</v>
      </c>
      <c r="J298" s="137" t="s">
        <v>21067</v>
      </c>
      <c r="K298" s="137">
        <v>25</v>
      </c>
      <c r="L298" s="133" t="str">
        <f t="shared" si="4"/>
        <v>001</v>
      </c>
    </row>
    <row r="299" spans="1:12" x14ac:dyDescent="0.3">
      <c r="A299" s="136">
        <v>295</v>
      </c>
      <c r="B299" s="137" t="s">
        <v>13147</v>
      </c>
      <c r="C299" s="10" t="str">
        <f>VLOOKUP(B299,'Data Angt'!$A$5:$B$5809,2,FALSE)</f>
        <v>A4604</v>
      </c>
      <c r="D299" s="137" t="s">
        <v>21068</v>
      </c>
      <c r="E299" s="137" t="s">
        <v>22</v>
      </c>
      <c r="F299" s="137">
        <v>81252126356</v>
      </c>
      <c r="G299" s="137" t="s">
        <v>109</v>
      </c>
      <c r="H299" s="138">
        <v>45479</v>
      </c>
      <c r="I299" s="139" t="s">
        <v>384</v>
      </c>
      <c r="J299" s="137" t="s">
        <v>21069</v>
      </c>
      <c r="K299" s="137">
        <v>26</v>
      </c>
      <c r="L299" s="133" t="str">
        <f t="shared" si="4"/>
        <v>001</v>
      </c>
    </row>
    <row r="300" spans="1:12" x14ac:dyDescent="0.3">
      <c r="A300" s="136">
        <v>296</v>
      </c>
      <c r="B300" s="137" t="s">
        <v>21070</v>
      </c>
      <c r="C300" s="10" t="e">
        <f>VLOOKUP(B300,'Data Angt'!$A$5:$B$5809,2,FALSE)</f>
        <v>#N/A</v>
      </c>
      <c r="D300" s="137" t="s">
        <v>21071</v>
      </c>
      <c r="E300" s="137" t="s">
        <v>11</v>
      </c>
      <c r="F300" s="137">
        <v>857708000098</v>
      </c>
      <c r="G300" s="137" t="s">
        <v>133</v>
      </c>
      <c r="H300" s="138">
        <v>45479</v>
      </c>
      <c r="I300" s="138">
        <v>45792</v>
      </c>
      <c r="J300" s="137" t="s">
        <v>19772</v>
      </c>
      <c r="K300" s="137">
        <v>33</v>
      </c>
      <c r="L300" s="133" t="str">
        <f t="shared" si="4"/>
        <v>004</v>
      </c>
    </row>
    <row r="301" spans="1:12" x14ac:dyDescent="0.3">
      <c r="A301" s="136">
        <v>297</v>
      </c>
      <c r="B301" s="137" t="s">
        <v>13150</v>
      </c>
      <c r="C301" s="10" t="str">
        <f>VLOOKUP(B301,'Data Angt'!$A$5:$B$5809,2,FALSE)</f>
        <v>A4605</v>
      </c>
      <c r="D301" s="137" t="s">
        <v>21072</v>
      </c>
      <c r="E301" s="137" t="s">
        <v>22</v>
      </c>
      <c r="F301" s="137">
        <v>85608353233</v>
      </c>
      <c r="G301" s="137" t="s">
        <v>31</v>
      </c>
      <c r="H301" s="138">
        <v>45479</v>
      </c>
      <c r="I301" s="139" t="s">
        <v>384</v>
      </c>
      <c r="J301" s="137" t="s">
        <v>21073</v>
      </c>
      <c r="K301" s="137">
        <v>63</v>
      </c>
      <c r="L301" s="133" t="str">
        <f t="shared" si="4"/>
        <v>001</v>
      </c>
    </row>
    <row r="302" spans="1:12" x14ac:dyDescent="0.3">
      <c r="A302" s="136">
        <v>298</v>
      </c>
      <c r="B302" s="137" t="s">
        <v>13152</v>
      </c>
      <c r="C302" s="10" t="str">
        <f>VLOOKUP(B302,'Data Angt'!$A$5:$B$5809,2,FALSE)</f>
        <v>A4606</v>
      </c>
      <c r="D302" s="137" t="s">
        <v>21074</v>
      </c>
      <c r="E302" s="137" t="s">
        <v>22</v>
      </c>
      <c r="F302" s="137">
        <v>85647475790</v>
      </c>
      <c r="G302" s="137" t="s">
        <v>133</v>
      </c>
      <c r="H302" s="138">
        <v>45481</v>
      </c>
      <c r="I302" s="139" t="s">
        <v>384</v>
      </c>
      <c r="J302" s="137" t="s">
        <v>21075</v>
      </c>
      <c r="K302" s="137">
        <v>49</v>
      </c>
      <c r="L302" s="133" t="str">
        <f t="shared" si="4"/>
        <v>006</v>
      </c>
    </row>
    <row r="303" spans="1:12" x14ac:dyDescent="0.3">
      <c r="A303" s="136">
        <v>299</v>
      </c>
      <c r="B303" s="137" t="s">
        <v>13154</v>
      </c>
      <c r="C303" s="10" t="str">
        <f>VLOOKUP(B303,'Data Angt'!$A$5:$B$5809,2,FALSE)</f>
        <v>A4607</v>
      </c>
      <c r="D303" s="137" t="s">
        <v>21076</v>
      </c>
      <c r="E303" s="137" t="s">
        <v>22</v>
      </c>
      <c r="F303" s="137">
        <v>81222333454</v>
      </c>
      <c r="G303" s="137" t="s">
        <v>46</v>
      </c>
      <c r="H303" s="138">
        <v>45482</v>
      </c>
      <c r="I303" s="139" t="s">
        <v>384</v>
      </c>
      <c r="J303" s="137" t="s">
        <v>21077</v>
      </c>
      <c r="K303" s="137">
        <v>52</v>
      </c>
      <c r="L303" s="133" t="str">
        <f t="shared" si="4"/>
        <v>003</v>
      </c>
    </row>
    <row r="304" spans="1:12" x14ac:dyDescent="0.3">
      <c r="A304" s="136">
        <v>300</v>
      </c>
      <c r="B304" s="137" t="s">
        <v>13156</v>
      </c>
      <c r="C304" s="10" t="str">
        <f>VLOOKUP(B304,'Data Angt'!$A$5:$B$5809,2,FALSE)</f>
        <v>A4608</v>
      </c>
      <c r="D304" s="137" t="s">
        <v>21078</v>
      </c>
      <c r="E304" s="137" t="s">
        <v>22</v>
      </c>
      <c r="F304" s="137">
        <v>881036027166</v>
      </c>
      <c r="G304" s="137" t="s">
        <v>46</v>
      </c>
      <c r="H304" s="138">
        <v>45482</v>
      </c>
      <c r="I304" s="139" t="s">
        <v>384</v>
      </c>
      <c r="J304" s="137" t="s">
        <v>21079</v>
      </c>
      <c r="K304" s="137">
        <v>47</v>
      </c>
      <c r="L304" s="133" t="str">
        <f t="shared" si="4"/>
        <v>001</v>
      </c>
    </row>
    <row r="305" spans="1:12" x14ac:dyDescent="0.3">
      <c r="A305" s="136">
        <v>301</v>
      </c>
      <c r="B305" s="137" t="s">
        <v>13159</v>
      </c>
      <c r="C305" s="10" t="str">
        <f>VLOOKUP(B305,'Data Angt'!$A$5:$B$5809,2,FALSE)</f>
        <v>A4609</v>
      </c>
      <c r="D305" s="137" t="s">
        <v>21080</v>
      </c>
      <c r="E305" s="137" t="s">
        <v>22</v>
      </c>
      <c r="F305" s="137">
        <v>85749807131</v>
      </c>
      <c r="G305" s="137" t="s">
        <v>16</v>
      </c>
      <c r="H305" s="138">
        <v>45483</v>
      </c>
      <c r="I305" s="139" t="s">
        <v>384</v>
      </c>
      <c r="J305" s="137" t="s">
        <v>21081</v>
      </c>
      <c r="K305" s="137">
        <v>44</v>
      </c>
      <c r="L305" s="133" t="str">
        <f t="shared" si="4"/>
        <v>001</v>
      </c>
    </row>
    <row r="306" spans="1:12" x14ac:dyDescent="0.3">
      <c r="A306" s="136">
        <v>302</v>
      </c>
      <c r="B306" s="137" t="s">
        <v>21082</v>
      </c>
      <c r="C306" s="10" t="e">
        <f>VLOOKUP(B306,'Data Angt'!$A$5:$B$5809,2,FALSE)</f>
        <v>#N/A</v>
      </c>
      <c r="D306" s="137" t="s">
        <v>21083</v>
      </c>
      <c r="E306" s="137" t="s">
        <v>22</v>
      </c>
      <c r="F306" s="137">
        <v>85642506082</v>
      </c>
      <c r="G306" s="137" t="s">
        <v>155</v>
      </c>
      <c r="H306" s="138">
        <v>45483</v>
      </c>
      <c r="I306" s="138">
        <v>45841</v>
      </c>
      <c r="J306" s="137" t="s">
        <v>21084</v>
      </c>
      <c r="K306" s="137">
        <v>23</v>
      </c>
      <c r="L306" s="133" t="str">
        <f t="shared" si="4"/>
        <v>001</v>
      </c>
    </row>
    <row r="307" spans="1:12" x14ac:dyDescent="0.3">
      <c r="A307" s="136">
        <v>303</v>
      </c>
      <c r="B307" s="137" t="s">
        <v>13162</v>
      </c>
      <c r="C307" s="10" t="str">
        <f>VLOOKUP(B307,'Data Angt'!$A$5:$B$5809,2,FALSE)</f>
        <v>A4610</v>
      </c>
      <c r="D307" s="137" t="s">
        <v>21085</v>
      </c>
      <c r="E307" s="137" t="s">
        <v>22</v>
      </c>
      <c r="F307" s="137">
        <v>81230642809</v>
      </c>
      <c r="G307" s="137" t="s">
        <v>109</v>
      </c>
      <c r="H307" s="138">
        <v>45485</v>
      </c>
      <c r="I307" s="139" t="s">
        <v>384</v>
      </c>
      <c r="J307" s="137" t="s">
        <v>21086</v>
      </c>
      <c r="K307" s="137">
        <v>47</v>
      </c>
      <c r="L307" s="133" t="str">
        <f t="shared" si="4"/>
        <v>004</v>
      </c>
    </row>
    <row r="308" spans="1:12" x14ac:dyDescent="0.3">
      <c r="A308" s="136">
        <v>304</v>
      </c>
      <c r="B308" s="137" t="s">
        <v>13165</v>
      </c>
      <c r="C308" s="10" t="str">
        <f>VLOOKUP(B308,'Data Angt'!$A$5:$B$5809,2,FALSE)</f>
        <v>A4611</v>
      </c>
      <c r="D308" s="137" t="s">
        <v>21087</v>
      </c>
      <c r="E308" s="137" t="s">
        <v>22</v>
      </c>
      <c r="F308" s="137">
        <v>82124551461</v>
      </c>
      <c r="G308" s="137" t="s">
        <v>109</v>
      </c>
      <c r="H308" s="138">
        <v>45485</v>
      </c>
      <c r="I308" s="139" t="s">
        <v>384</v>
      </c>
      <c r="J308" s="137" t="s">
        <v>21088</v>
      </c>
      <c r="K308" s="137">
        <v>55</v>
      </c>
      <c r="L308" s="133" t="str">
        <f t="shared" si="4"/>
        <v>004</v>
      </c>
    </row>
    <row r="309" spans="1:12" x14ac:dyDescent="0.3">
      <c r="A309" s="136">
        <v>305</v>
      </c>
      <c r="B309" s="137" t="s">
        <v>13168</v>
      </c>
      <c r="C309" s="10" t="e">
        <f>VLOOKUP(B309,'Data Angt'!$A$5:$B$5809,2,FALSE)</f>
        <v>#N/A</v>
      </c>
      <c r="D309" s="137" t="s">
        <v>21089</v>
      </c>
      <c r="E309" s="137" t="s">
        <v>11</v>
      </c>
      <c r="F309" s="137">
        <v>85335235907</v>
      </c>
      <c r="G309" s="137" t="s">
        <v>109</v>
      </c>
      <c r="H309" s="138">
        <v>45485</v>
      </c>
      <c r="I309" s="138">
        <v>45847</v>
      </c>
      <c r="J309" s="137" t="s">
        <v>21090</v>
      </c>
      <c r="K309" s="137">
        <v>29</v>
      </c>
      <c r="L309" s="133" t="str">
        <f t="shared" si="4"/>
        <v>004</v>
      </c>
    </row>
    <row r="310" spans="1:12" x14ac:dyDescent="0.3">
      <c r="A310" s="136">
        <v>306</v>
      </c>
      <c r="B310" s="137" t="s">
        <v>13166</v>
      </c>
      <c r="C310" s="10" t="str">
        <f>VLOOKUP(B310,'Data Angt'!$A$5:$B$5809,2,FALSE)</f>
        <v>A4612</v>
      </c>
      <c r="D310" s="137" t="s">
        <v>21091</v>
      </c>
      <c r="E310" s="137" t="s">
        <v>11</v>
      </c>
      <c r="F310" s="137">
        <v>85100183049</v>
      </c>
      <c r="G310" s="137" t="s">
        <v>540</v>
      </c>
      <c r="H310" s="138">
        <v>45485</v>
      </c>
      <c r="I310" s="139" t="s">
        <v>384</v>
      </c>
      <c r="J310" s="137" t="s">
        <v>21092</v>
      </c>
      <c r="K310" s="137">
        <v>64</v>
      </c>
      <c r="L310" s="133" t="str">
        <f t="shared" si="4"/>
        <v>003</v>
      </c>
    </row>
    <row r="311" spans="1:12" x14ac:dyDescent="0.3">
      <c r="A311" s="136">
        <v>307</v>
      </c>
      <c r="B311" s="137" t="s">
        <v>13169</v>
      </c>
      <c r="C311" s="10" t="str">
        <f>VLOOKUP(B311,'Data Angt'!$A$5:$B$5809,2,FALSE)</f>
        <v>A4613</v>
      </c>
      <c r="D311" s="137" t="s">
        <v>21093</v>
      </c>
      <c r="E311" s="137" t="s">
        <v>22</v>
      </c>
      <c r="F311" s="137">
        <v>83856243052</v>
      </c>
      <c r="G311" s="137" t="s">
        <v>46</v>
      </c>
      <c r="H311" s="138">
        <v>45485</v>
      </c>
      <c r="I311" s="139" t="s">
        <v>384</v>
      </c>
      <c r="J311" s="137" t="s">
        <v>21094</v>
      </c>
      <c r="K311" s="137">
        <v>41</v>
      </c>
      <c r="L311" s="133" t="str">
        <f t="shared" si="4"/>
        <v>004</v>
      </c>
    </row>
    <row r="312" spans="1:12" x14ac:dyDescent="0.3">
      <c r="A312" s="136">
        <v>308</v>
      </c>
      <c r="B312" s="137" t="s">
        <v>13172</v>
      </c>
      <c r="C312" s="10" t="str">
        <f>VLOOKUP(B312,'Data Angt'!$A$5:$B$5809,2,FALSE)</f>
        <v>A4614</v>
      </c>
      <c r="D312" s="137" t="s">
        <v>21095</v>
      </c>
      <c r="E312" s="137" t="s">
        <v>22</v>
      </c>
      <c r="F312" s="137">
        <v>82245436003</v>
      </c>
      <c r="G312" s="137" t="s">
        <v>31</v>
      </c>
      <c r="H312" s="138">
        <v>45486</v>
      </c>
      <c r="I312" s="139" t="s">
        <v>384</v>
      </c>
      <c r="J312" s="137" t="s">
        <v>21096</v>
      </c>
      <c r="K312" s="137">
        <v>31</v>
      </c>
      <c r="L312" s="133" t="str">
        <f t="shared" si="4"/>
        <v>001</v>
      </c>
    </row>
    <row r="313" spans="1:12" x14ac:dyDescent="0.3">
      <c r="A313" s="136">
        <v>309</v>
      </c>
      <c r="B313" s="137" t="s">
        <v>13174</v>
      </c>
      <c r="C313" s="10" t="str">
        <f>VLOOKUP(B313,'Data Angt'!$A$5:$B$5809,2,FALSE)</f>
        <v>A4615</v>
      </c>
      <c r="D313" s="137" t="s">
        <v>21097</v>
      </c>
      <c r="E313" s="137" t="s">
        <v>11</v>
      </c>
      <c r="F313" s="137">
        <v>85229184211</v>
      </c>
      <c r="G313" s="137" t="s">
        <v>46</v>
      </c>
      <c r="H313" s="138">
        <v>45486</v>
      </c>
      <c r="I313" s="139" t="s">
        <v>384</v>
      </c>
      <c r="J313" s="137" t="s">
        <v>20624</v>
      </c>
      <c r="K313" s="137">
        <v>31</v>
      </c>
      <c r="L313" s="133" t="str">
        <f t="shared" si="4"/>
        <v>002</v>
      </c>
    </row>
    <row r="314" spans="1:12" x14ac:dyDescent="0.3">
      <c r="A314" s="136">
        <v>310</v>
      </c>
      <c r="B314" s="137" t="s">
        <v>13177</v>
      </c>
      <c r="C314" s="10" t="str">
        <f>VLOOKUP(B314,'Data Angt'!$A$5:$B$5809,2,FALSE)</f>
        <v>A4616</v>
      </c>
      <c r="D314" s="137" t="s">
        <v>21098</v>
      </c>
      <c r="E314" s="137" t="s">
        <v>22</v>
      </c>
      <c r="F314" s="137">
        <v>8816087930</v>
      </c>
      <c r="G314" s="137" t="s">
        <v>46</v>
      </c>
      <c r="H314" s="138">
        <v>45486</v>
      </c>
      <c r="I314" s="139" t="s">
        <v>384</v>
      </c>
      <c r="J314" s="137" t="s">
        <v>21099</v>
      </c>
      <c r="K314" s="137">
        <v>46</v>
      </c>
      <c r="L314" s="133" t="str">
        <f t="shared" si="4"/>
        <v>003</v>
      </c>
    </row>
    <row r="315" spans="1:12" x14ac:dyDescent="0.3">
      <c r="A315" s="136">
        <v>311</v>
      </c>
      <c r="B315" s="137" t="s">
        <v>13180</v>
      </c>
      <c r="C315" s="10" t="str">
        <f>VLOOKUP(B315,'Data Angt'!$A$5:$B$5809,2,FALSE)</f>
        <v>A4617</v>
      </c>
      <c r="D315" s="137" t="s">
        <v>21100</v>
      </c>
      <c r="E315" s="137" t="s">
        <v>22</v>
      </c>
      <c r="F315" s="137">
        <v>8970870100</v>
      </c>
      <c r="G315" s="137" t="s">
        <v>46</v>
      </c>
      <c r="H315" s="138">
        <v>45488</v>
      </c>
      <c r="I315" s="139" t="s">
        <v>384</v>
      </c>
      <c r="J315" s="137" t="s">
        <v>21101</v>
      </c>
      <c r="K315" s="137">
        <v>60</v>
      </c>
      <c r="L315" s="133" t="str">
        <f t="shared" si="4"/>
        <v>003</v>
      </c>
    </row>
    <row r="316" spans="1:12" x14ac:dyDescent="0.3">
      <c r="A316" s="136">
        <v>312</v>
      </c>
      <c r="B316" s="137" t="s">
        <v>13183</v>
      </c>
      <c r="C316" s="10" t="str">
        <f>VLOOKUP(B316,'Data Angt'!$A$5:$B$5809,2,FALSE)</f>
        <v>A4618</v>
      </c>
      <c r="D316" s="137" t="s">
        <v>21102</v>
      </c>
      <c r="E316" s="137" t="s">
        <v>22</v>
      </c>
      <c r="F316" s="137">
        <v>85231312872</v>
      </c>
      <c r="G316" s="137" t="s">
        <v>109</v>
      </c>
      <c r="H316" s="138">
        <v>45488</v>
      </c>
      <c r="I316" s="139" t="s">
        <v>384</v>
      </c>
      <c r="J316" s="137" t="s">
        <v>21103</v>
      </c>
      <c r="K316" s="137">
        <v>20</v>
      </c>
      <c r="L316" s="133" t="str">
        <f t="shared" si="4"/>
        <v>001</v>
      </c>
    </row>
    <row r="317" spans="1:12" x14ac:dyDescent="0.3">
      <c r="A317" s="136">
        <v>313</v>
      </c>
      <c r="B317" s="137" t="s">
        <v>13186</v>
      </c>
      <c r="C317" s="10" t="str">
        <f>VLOOKUP(B317,'Data Angt'!$A$5:$B$5809,2,FALSE)</f>
        <v>A4619</v>
      </c>
      <c r="D317" s="137" t="s">
        <v>21104</v>
      </c>
      <c r="E317" s="137" t="s">
        <v>11</v>
      </c>
      <c r="F317" s="137">
        <v>8155152843</v>
      </c>
      <c r="G317" s="137" t="s">
        <v>109</v>
      </c>
      <c r="H317" s="138">
        <v>45488</v>
      </c>
      <c r="I317" s="139" t="s">
        <v>384</v>
      </c>
      <c r="J317" s="137" t="s">
        <v>21105</v>
      </c>
      <c r="K317" s="137">
        <v>21</v>
      </c>
      <c r="L317" s="133" t="str">
        <f t="shared" si="4"/>
        <v>001</v>
      </c>
    </row>
    <row r="318" spans="1:12" x14ac:dyDescent="0.3">
      <c r="A318" s="136">
        <v>314</v>
      </c>
      <c r="B318" s="137" t="s">
        <v>13188</v>
      </c>
      <c r="C318" s="10" t="str">
        <f>VLOOKUP(B318,'Data Angt'!$A$5:$B$5809,2,FALSE)</f>
        <v>A4620</v>
      </c>
      <c r="D318" s="137" t="s">
        <v>21106</v>
      </c>
      <c r="E318" s="137" t="s">
        <v>11</v>
      </c>
      <c r="F318" s="137">
        <v>85755472761</v>
      </c>
      <c r="G318" s="137" t="s">
        <v>109</v>
      </c>
      <c r="H318" s="138">
        <v>45488</v>
      </c>
      <c r="I318" s="139" t="s">
        <v>384</v>
      </c>
      <c r="J318" s="137" t="s">
        <v>21107</v>
      </c>
      <c r="K318" s="137">
        <v>24</v>
      </c>
      <c r="L318" s="133" t="str">
        <f t="shared" si="4"/>
        <v>001</v>
      </c>
    </row>
    <row r="319" spans="1:12" x14ac:dyDescent="0.3">
      <c r="A319" s="136">
        <v>315</v>
      </c>
      <c r="B319" s="137" t="s">
        <v>13190</v>
      </c>
      <c r="C319" s="10" t="str">
        <f>VLOOKUP(B319,'Data Angt'!$A$5:$B$5809,2,FALSE)</f>
        <v>A4621</v>
      </c>
      <c r="D319" s="137" t="s">
        <v>21108</v>
      </c>
      <c r="E319" s="137" t="s">
        <v>11</v>
      </c>
      <c r="F319" s="137">
        <v>85704803943</v>
      </c>
      <c r="G319" s="137" t="s">
        <v>109</v>
      </c>
      <c r="H319" s="138">
        <v>45488</v>
      </c>
      <c r="I319" s="139" t="s">
        <v>384</v>
      </c>
      <c r="J319" s="137" t="s">
        <v>21109</v>
      </c>
      <c r="K319" s="137">
        <v>24</v>
      </c>
      <c r="L319" s="133" t="str">
        <f t="shared" si="4"/>
        <v>001</v>
      </c>
    </row>
    <row r="320" spans="1:12" x14ac:dyDescent="0.3">
      <c r="A320" s="136">
        <v>316</v>
      </c>
      <c r="B320" s="137" t="s">
        <v>13192</v>
      </c>
      <c r="C320" s="10" t="str">
        <f>VLOOKUP(B320,'Data Angt'!$A$5:$B$5809,2,FALSE)</f>
        <v>A4622</v>
      </c>
      <c r="D320" s="137" t="s">
        <v>21110</v>
      </c>
      <c r="E320" s="137" t="s">
        <v>11</v>
      </c>
      <c r="F320" s="137">
        <v>85221105768</v>
      </c>
      <c r="G320" s="137" t="s">
        <v>109</v>
      </c>
      <c r="H320" s="138">
        <v>45488</v>
      </c>
      <c r="I320" s="139" t="s">
        <v>384</v>
      </c>
      <c r="J320" s="137" t="s">
        <v>21111</v>
      </c>
      <c r="K320" s="137">
        <v>35</v>
      </c>
      <c r="L320" s="133" t="str">
        <f t="shared" si="4"/>
        <v>001</v>
      </c>
    </row>
    <row r="321" spans="1:12" x14ac:dyDescent="0.3">
      <c r="A321" s="136">
        <v>317</v>
      </c>
      <c r="B321" s="137" t="s">
        <v>13193</v>
      </c>
      <c r="C321" s="10" t="str">
        <f>VLOOKUP(B321,'Data Angt'!$A$5:$B$5809,2,FALSE)</f>
        <v>A4623</v>
      </c>
      <c r="D321" s="137" t="s">
        <v>21112</v>
      </c>
      <c r="E321" s="137" t="s">
        <v>11</v>
      </c>
      <c r="F321" s="137">
        <v>85853412412</v>
      </c>
      <c r="G321" s="137" t="s">
        <v>109</v>
      </c>
      <c r="H321" s="138">
        <v>45488</v>
      </c>
      <c r="I321" s="139" t="s">
        <v>384</v>
      </c>
      <c r="J321" s="137" t="s">
        <v>21113</v>
      </c>
      <c r="K321" s="137">
        <v>30</v>
      </c>
      <c r="L321" s="133" t="str">
        <f t="shared" si="4"/>
        <v>001</v>
      </c>
    </row>
    <row r="322" spans="1:12" x14ac:dyDescent="0.3">
      <c r="A322" s="136">
        <v>318</v>
      </c>
      <c r="B322" s="137" t="s">
        <v>13195</v>
      </c>
      <c r="C322" s="10" t="str">
        <f>VLOOKUP(B322,'Data Angt'!$A$5:$B$5809,2,FALSE)</f>
        <v>A4624</v>
      </c>
      <c r="D322" s="137" t="s">
        <v>21114</v>
      </c>
      <c r="E322" s="137" t="s">
        <v>11</v>
      </c>
      <c r="F322" s="137">
        <v>85862651941</v>
      </c>
      <c r="G322" s="137" t="s">
        <v>109</v>
      </c>
      <c r="H322" s="138">
        <v>45488</v>
      </c>
      <c r="I322" s="139" t="s">
        <v>384</v>
      </c>
      <c r="J322" s="137" t="s">
        <v>21111</v>
      </c>
      <c r="K322" s="137">
        <v>33</v>
      </c>
      <c r="L322" s="133" t="str">
        <f t="shared" si="4"/>
        <v>001</v>
      </c>
    </row>
    <row r="323" spans="1:12" x14ac:dyDescent="0.3">
      <c r="A323" s="136">
        <v>319</v>
      </c>
      <c r="B323" s="137" t="s">
        <v>13197</v>
      </c>
      <c r="C323" s="10" t="str">
        <f>VLOOKUP(B323,'Data Angt'!$A$5:$B$5809,2,FALSE)</f>
        <v>A4625</v>
      </c>
      <c r="D323" s="137" t="s">
        <v>21115</v>
      </c>
      <c r="E323" s="137" t="s">
        <v>11</v>
      </c>
      <c r="F323" s="137">
        <v>85745322829</v>
      </c>
      <c r="G323" s="137" t="s">
        <v>109</v>
      </c>
      <c r="H323" s="138">
        <v>45488</v>
      </c>
      <c r="I323" s="139" t="s">
        <v>384</v>
      </c>
      <c r="J323" s="137" t="s">
        <v>19274</v>
      </c>
      <c r="K323" s="137">
        <v>18</v>
      </c>
      <c r="L323" s="133" t="str">
        <f t="shared" si="4"/>
        <v>001</v>
      </c>
    </row>
    <row r="324" spans="1:12" x14ac:dyDescent="0.3">
      <c r="A324" s="136">
        <v>320</v>
      </c>
      <c r="B324" s="137" t="s">
        <v>13199</v>
      </c>
      <c r="C324" s="10" t="str">
        <f>VLOOKUP(B324,'Data Angt'!$A$5:$B$5809,2,FALSE)</f>
        <v>A4626</v>
      </c>
      <c r="D324" s="137" t="s">
        <v>21116</v>
      </c>
      <c r="E324" s="137" t="s">
        <v>11</v>
      </c>
      <c r="F324" s="137">
        <v>85784938278</v>
      </c>
      <c r="G324" s="137" t="s">
        <v>109</v>
      </c>
      <c r="H324" s="138">
        <v>45488</v>
      </c>
      <c r="I324" s="139" t="s">
        <v>384</v>
      </c>
      <c r="J324" s="137" t="s">
        <v>19814</v>
      </c>
      <c r="K324" s="137">
        <v>42</v>
      </c>
      <c r="L324" s="133" t="str">
        <f t="shared" si="4"/>
        <v>001</v>
      </c>
    </row>
    <row r="325" spans="1:12" x14ac:dyDescent="0.3">
      <c r="A325" s="136">
        <v>321</v>
      </c>
      <c r="B325" s="137" t="s">
        <v>13201</v>
      </c>
      <c r="C325" s="10" t="str">
        <f>VLOOKUP(B325,'Data Angt'!$A$5:$B$5809,2,FALSE)</f>
        <v>A4627</v>
      </c>
      <c r="D325" s="137" t="s">
        <v>21117</v>
      </c>
      <c r="E325" s="137" t="s">
        <v>11</v>
      </c>
      <c r="F325" s="137">
        <v>85733439414</v>
      </c>
      <c r="G325" s="137" t="s">
        <v>109</v>
      </c>
      <c r="H325" s="138">
        <v>45488</v>
      </c>
      <c r="I325" s="139" t="s">
        <v>384</v>
      </c>
      <c r="J325" s="137" t="s">
        <v>21118</v>
      </c>
      <c r="K325" s="137">
        <v>20</v>
      </c>
      <c r="L325" s="133" t="str">
        <f t="shared" si="4"/>
        <v>001</v>
      </c>
    </row>
    <row r="326" spans="1:12" x14ac:dyDescent="0.3">
      <c r="A326" s="136">
        <v>322</v>
      </c>
      <c r="B326" s="137" t="s">
        <v>13203</v>
      </c>
      <c r="C326" s="10" t="str">
        <f>VLOOKUP(B326,'Data Angt'!$A$5:$B$5809,2,FALSE)</f>
        <v>A4628</v>
      </c>
      <c r="D326" s="137" t="s">
        <v>21119</v>
      </c>
      <c r="E326" s="137" t="s">
        <v>11</v>
      </c>
      <c r="F326" s="137">
        <v>8998041354</v>
      </c>
      <c r="G326" s="137" t="s">
        <v>337</v>
      </c>
      <c r="H326" s="138">
        <v>45489</v>
      </c>
      <c r="I326" s="139" t="s">
        <v>384</v>
      </c>
      <c r="J326" s="137" t="s">
        <v>21120</v>
      </c>
      <c r="K326" s="137">
        <v>17</v>
      </c>
      <c r="L326" s="133" t="str">
        <f t="shared" ref="L326:L389" si="5">MID(B326,7,3)</f>
        <v>003</v>
      </c>
    </row>
    <row r="327" spans="1:12" x14ac:dyDescent="0.3">
      <c r="A327" s="136">
        <v>323</v>
      </c>
      <c r="B327" s="137" t="s">
        <v>13206</v>
      </c>
      <c r="C327" s="10" t="str">
        <f>VLOOKUP(B327,'Data Angt'!$A$5:$B$5809,2,FALSE)</f>
        <v>A4629</v>
      </c>
      <c r="D327" s="137" t="s">
        <v>21121</v>
      </c>
      <c r="E327" s="137" t="s">
        <v>22</v>
      </c>
      <c r="F327" s="137">
        <v>89696039157</v>
      </c>
      <c r="G327" s="137" t="s">
        <v>16</v>
      </c>
      <c r="H327" s="138">
        <v>45489</v>
      </c>
      <c r="I327" s="139" t="s">
        <v>384</v>
      </c>
      <c r="J327" s="137" t="s">
        <v>21122</v>
      </c>
      <c r="K327" s="137">
        <v>28</v>
      </c>
      <c r="L327" s="133" t="str">
        <f t="shared" si="5"/>
        <v>001</v>
      </c>
    </row>
    <row r="328" spans="1:12" x14ac:dyDescent="0.3">
      <c r="A328" s="136">
        <v>324</v>
      </c>
      <c r="B328" s="137" t="s">
        <v>13208</v>
      </c>
      <c r="C328" s="10" t="str">
        <f>VLOOKUP(B328,'Data Angt'!$A$5:$B$5809,2,FALSE)</f>
        <v>A4630</v>
      </c>
      <c r="D328" s="137" t="s">
        <v>21123</v>
      </c>
      <c r="E328" s="137" t="s">
        <v>22</v>
      </c>
      <c r="F328" s="137">
        <v>85852295305</v>
      </c>
      <c r="G328" s="137" t="s">
        <v>46</v>
      </c>
      <c r="H328" s="138">
        <v>45490</v>
      </c>
      <c r="I328" s="139" t="s">
        <v>384</v>
      </c>
      <c r="J328" s="137" t="s">
        <v>21124</v>
      </c>
      <c r="K328" s="137">
        <v>39</v>
      </c>
      <c r="L328" s="133" t="str">
        <f t="shared" si="5"/>
        <v>001</v>
      </c>
    </row>
    <row r="329" spans="1:12" x14ac:dyDescent="0.3">
      <c r="A329" s="136">
        <v>325</v>
      </c>
      <c r="B329" s="137" t="s">
        <v>13210</v>
      </c>
      <c r="C329" s="10" t="str">
        <f>VLOOKUP(B329,'Data Angt'!$A$5:$B$5809,2,FALSE)</f>
        <v>A4631</v>
      </c>
      <c r="D329" s="137" t="s">
        <v>21125</v>
      </c>
      <c r="E329" s="137" t="s">
        <v>22</v>
      </c>
      <c r="F329" s="137">
        <v>85236044116</v>
      </c>
      <c r="G329" s="137" t="s">
        <v>109</v>
      </c>
      <c r="H329" s="138">
        <v>45490</v>
      </c>
      <c r="I329" s="139" t="s">
        <v>384</v>
      </c>
      <c r="J329" s="137" t="s">
        <v>21126</v>
      </c>
      <c r="K329" s="137">
        <v>22</v>
      </c>
      <c r="L329" s="133" t="str">
        <f t="shared" si="5"/>
        <v>001</v>
      </c>
    </row>
    <row r="330" spans="1:12" x14ac:dyDescent="0.3">
      <c r="A330" s="136">
        <v>326</v>
      </c>
      <c r="B330" s="137" t="s">
        <v>13214</v>
      </c>
      <c r="C330" s="10" t="str">
        <f>VLOOKUP(B330,'Data Angt'!$A$5:$B$5809,2,FALSE)</f>
        <v>A4632</v>
      </c>
      <c r="D330" s="137" t="s">
        <v>21127</v>
      </c>
      <c r="E330" s="137" t="s">
        <v>22</v>
      </c>
      <c r="F330" s="137">
        <v>82334519990</v>
      </c>
      <c r="G330" s="137" t="s">
        <v>16</v>
      </c>
      <c r="H330" s="138">
        <v>45491</v>
      </c>
      <c r="I330" s="139" t="s">
        <v>384</v>
      </c>
      <c r="J330" s="137" t="s">
        <v>19274</v>
      </c>
      <c r="K330" s="137">
        <v>40</v>
      </c>
      <c r="L330" s="133" t="str">
        <f t="shared" si="5"/>
        <v>002</v>
      </c>
    </row>
    <row r="331" spans="1:12" x14ac:dyDescent="0.3">
      <c r="A331" s="136">
        <v>327</v>
      </c>
      <c r="B331" s="137" t="s">
        <v>13217</v>
      </c>
      <c r="C331" s="10" t="str">
        <f>VLOOKUP(B331,'Data Angt'!$A$5:$B$5809,2,FALSE)</f>
        <v>A4633</v>
      </c>
      <c r="D331" s="137" t="s">
        <v>21128</v>
      </c>
      <c r="E331" s="137" t="s">
        <v>22</v>
      </c>
      <c r="F331" s="137">
        <v>82140840000</v>
      </c>
      <c r="G331" s="137" t="s">
        <v>109</v>
      </c>
      <c r="H331" s="138">
        <v>45491</v>
      </c>
      <c r="I331" s="139" t="s">
        <v>384</v>
      </c>
      <c r="J331" s="137" t="s">
        <v>21129</v>
      </c>
      <c r="K331" s="137">
        <v>44</v>
      </c>
      <c r="L331" s="133" t="str">
        <f t="shared" si="5"/>
        <v>001</v>
      </c>
    </row>
    <row r="332" spans="1:12" x14ac:dyDescent="0.3">
      <c r="A332" s="136">
        <v>328</v>
      </c>
      <c r="B332" s="137" t="s">
        <v>13219</v>
      </c>
      <c r="C332" s="10" t="str">
        <f>VLOOKUP(B332,'Data Angt'!$A$5:$B$5809,2,FALSE)</f>
        <v>A4634</v>
      </c>
      <c r="D332" s="137" t="s">
        <v>21130</v>
      </c>
      <c r="E332" s="137" t="s">
        <v>22</v>
      </c>
      <c r="F332" s="137">
        <v>82392002327</v>
      </c>
      <c r="G332" s="137" t="s">
        <v>337</v>
      </c>
      <c r="H332" s="138">
        <v>45491</v>
      </c>
      <c r="I332" s="139" t="s">
        <v>384</v>
      </c>
      <c r="J332" s="137" t="s">
        <v>21131</v>
      </c>
      <c r="K332" s="137">
        <v>30</v>
      </c>
      <c r="L332" s="133" t="str">
        <f t="shared" si="5"/>
        <v>001</v>
      </c>
    </row>
    <row r="333" spans="1:12" x14ac:dyDescent="0.3">
      <c r="A333" s="136">
        <v>329</v>
      </c>
      <c r="B333" s="137" t="s">
        <v>13222</v>
      </c>
      <c r="C333" s="10" t="str">
        <f>VLOOKUP(B333,'Data Angt'!$A$5:$B$5809,2,FALSE)</f>
        <v>A4635</v>
      </c>
      <c r="D333" s="137" t="s">
        <v>21132</v>
      </c>
      <c r="E333" s="137" t="s">
        <v>22</v>
      </c>
      <c r="F333" s="137">
        <v>85655803760</v>
      </c>
      <c r="G333" s="137" t="s">
        <v>370</v>
      </c>
      <c r="H333" s="138">
        <v>45492</v>
      </c>
      <c r="I333" s="139" t="s">
        <v>384</v>
      </c>
      <c r="J333" s="137" t="s">
        <v>21133</v>
      </c>
      <c r="K333" s="137">
        <v>50</v>
      </c>
      <c r="L333" s="133" t="str">
        <f t="shared" si="5"/>
        <v>005</v>
      </c>
    </row>
    <row r="334" spans="1:12" x14ac:dyDescent="0.3">
      <c r="A334" s="136">
        <v>330</v>
      </c>
      <c r="B334" s="137" t="s">
        <v>13224</v>
      </c>
      <c r="C334" s="10" t="str">
        <f>VLOOKUP(B334,'Data Angt'!$A$5:$B$5809,2,FALSE)</f>
        <v>A4636</v>
      </c>
      <c r="D334" s="137" t="s">
        <v>21134</v>
      </c>
      <c r="E334" s="137" t="s">
        <v>22</v>
      </c>
      <c r="F334" s="137">
        <v>83862396583</v>
      </c>
      <c r="G334" s="137" t="s">
        <v>370</v>
      </c>
      <c r="H334" s="138">
        <v>45492</v>
      </c>
      <c r="I334" s="139" t="s">
        <v>384</v>
      </c>
      <c r="J334" s="137" t="s">
        <v>21135</v>
      </c>
      <c r="K334" s="137">
        <v>53</v>
      </c>
      <c r="L334" s="133" t="str">
        <f t="shared" si="5"/>
        <v>005</v>
      </c>
    </row>
    <row r="335" spans="1:12" x14ac:dyDescent="0.3">
      <c r="A335" s="136">
        <v>331</v>
      </c>
      <c r="B335" s="137" t="s">
        <v>13227</v>
      </c>
      <c r="C335" s="10" t="str">
        <f>VLOOKUP(B335,'Data Angt'!$A$5:$B$5809,2,FALSE)</f>
        <v>A4637</v>
      </c>
      <c r="D335" s="137" t="s">
        <v>21136</v>
      </c>
      <c r="E335" s="137" t="s">
        <v>22</v>
      </c>
      <c r="F335" s="137">
        <v>82124983760</v>
      </c>
      <c r="G335" s="137" t="s">
        <v>46</v>
      </c>
      <c r="H335" s="138">
        <v>45492</v>
      </c>
      <c r="I335" s="139" t="s">
        <v>384</v>
      </c>
      <c r="J335" s="137" t="s">
        <v>19274</v>
      </c>
      <c r="K335" s="137">
        <v>33</v>
      </c>
      <c r="L335" s="133" t="str">
        <f t="shared" si="5"/>
        <v>004</v>
      </c>
    </row>
    <row r="336" spans="1:12" x14ac:dyDescent="0.3">
      <c r="A336" s="136">
        <v>332</v>
      </c>
      <c r="B336" s="137" t="s">
        <v>13230</v>
      </c>
      <c r="C336" s="10" t="str">
        <f>VLOOKUP(B336,'Data Angt'!$A$5:$B$5809,2,FALSE)</f>
        <v>A4638</v>
      </c>
      <c r="D336" s="137" t="s">
        <v>21137</v>
      </c>
      <c r="E336" s="137" t="s">
        <v>11</v>
      </c>
      <c r="F336" s="137">
        <v>8155503368</v>
      </c>
      <c r="G336" s="137" t="s">
        <v>109</v>
      </c>
      <c r="H336" s="138">
        <v>45492</v>
      </c>
      <c r="I336" s="139" t="s">
        <v>384</v>
      </c>
      <c r="J336" s="137" t="s">
        <v>21138</v>
      </c>
      <c r="K336" s="137">
        <v>40</v>
      </c>
      <c r="L336" s="133" t="str">
        <f t="shared" si="5"/>
        <v>001</v>
      </c>
    </row>
    <row r="337" spans="1:12" x14ac:dyDescent="0.3">
      <c r="A337" s="136">
        <v>333</v>
      </c>
      <c r="B337" s="137" t="s">
        <v>13231</v>
      </c>
      <c r="C337" s="10" t="str">
        <f>VLOOKUP(B337,'Data Angt'!$A$5:$B$5809,2,FALSE)</f>
        <v>A4639</v>
      </c>
      <c r="D337" s="137" t="s">
        <v>21139</v>
      </c>
      <c r="E337" s="137" t="s">
        <v>22</v>
      </c>
      <c r="F337" s="137">
        <v>82353354897</v>
      </c>
      <c r="G337" s="137" t="s">
        <v>46</v>
      </c>
      <c r="H337" s="138">
        <v>45492</v>
      </c>
      <c r="I337" s="139" t="s">
        <v>384</v>
      </c>
      <c r="J337" s="137" t="s">
        <v>21140</v>
      </c>
      <c r="K337" s="137">
        <v>56</v>
      </c>
      <c r="L337" s="133" t="str">
        <f t="shared" si="5"/>
        <v>004</v>
      </c>
    </row>
    <row r="338" spans="1:12" x14ac:dyDescent="0.3">
      <c r="A338" s="136">
        <v>334</v>
      </c>
      <c r="B338" s="137" t="s">
        <v>13233</v>
      </c>
      <c r="C338" s="10" t="str">
        <f>VLOOKUP(B338,'Data Angt'!$A$5:$B$5809,2,FALSE)</f>
        <v>A4640</v>
      </c>
      <c r="D338" s="137" t="s">
        <v>21141</v>
      </c>
      <c r="E338" s="137" t="s">
        <v>11</v>
      </c>
      <c r="F338" s="137">
        <v>8123225088</v>
      </c>
      <c r="G338" s="137" t="s">
        <v>109</v>
      </c>
      <c r="H338" s="138">
        <v>45492</v>
      </c>
      <c r="I338" s="139" t="s">
        <v>384</v>
      </c>
      <c r="J338" s="137" t="s">
        <v>21142</v>
      </c>
      <c r="K338" s="137">
        <v>52</v>
      </c>
      <c r="L338" s="133" t="str">
        <f t="shared" si="5"/>
        <v>001</v>
      </c>
    </row>
    <row r="339" spans="1:12" x14ac:dyDescent="0.3">
      <c r="A339" s="136">
        <v>335</v>
      </c>
      <c r="B339" s="137" t="s">
        <v>13236</v>
      </c>
      <c r="C339" s="10" t="str">
        <f>VLOOKUP(B339,'Data Angt'!$A$5:$B$5809,2,FALSE)</f>
        <v>A4641</v>
      </c>
      <c r="D339" s="137" t="s">
        <v>21143</v>
      </c>
      <c r="E339" s="137" t="s">
        <v>22</v>
      </c>
      <c r="F339" s="137">
        <v>82228323004</v>
      </c>
      <c r="G339" s="137" t="s">
        <v>370</v>
      </c>
      <c r="H339" s="138">
        <v>45492</v>
      </c>
      <c r="I339" s="139" t="s">
        <v>384</v>
      </c>
      <c r="J339" s="137" t="s">
        <v>21144</v>
      </c>
      <c r="K339" s="137">
        <v>49</v>
      </c>
      <c r="L339" s="133" t="str">
        <f t="shared" si="5"/>
        <v>005</v>
      </c>
    </row>
    <row r="340" spans="1:12" x14ac:dyDescent="0.3">
      <c r="A340" s="136">
        <v>336</v>
      </c>
      <c r="B340" s="137" t="s">
        <v>13239</v>
      </c>
      <c r="C340" s="10" t="str">
        <f>VLOOKUP(B340,'Data Angt'!$A$5:$B$5809,2,FALSE)</f>
        <v>A4642</v>
      </c>
      <c r="D340" s="137" t="s">
        <v>21145</v>
      </c>
      <c r="E340" s="137" t="s">
        <v>22</v>
      </c>
      <c r="F340" s="137">
        <v>82324126258</v>
      </c>
      <c r="G340" s="137" t="s">
        <v>109</v>
      </c>
      <c r="H340" s="138">
        <v>45493</v>
      </c>
      <c r="I340" s="139" t="s">
        <v>384</v>
      </c>
      <c r="J340" s="137" t="s">
        <v>21146</v>
      </c>
      <c r="K340" s="137">
        <v>18</v>
      </c>
      <c r="L340" s="133" t="str">
        <f t="shared" si="5"/>
        <v>001</v>
      </c>
    </row>
    <row r="341" spans="1:12" x14ac:dyDescent="0.3">
      <c r="A341" s="136">
        <v>337</v>
      </c>
      <c r="B341" s="137" t="s">
        <v>13241</v>
      </c>
      <c r="C341" s="10" t="str">
        <f>VLOOKUP(B341,'Data Angt'!$A$5:$B$5809,2,FALSE)</f>
        <v>A4643</v>
      </c>
      <c r="D341" s="137" t="s">
        <v>21147</v>
      </c>
      <c r="E341" s="137" t="s">
        <v>22</v>
      </c>
      <c r="F341" s="137">
        <v>81218268797</v>
      </c>
      <c r="G341" s="137" t="s">
        <v>109</v>
      </c>
      <c r="H341" s="138">
        <v>45493</v>
      </c>
      <c r="I341" s="139" t="s">
        <v>384</v>
      </c>
      <c r="J341" s="137" t="s">
        <v>21148</v>
      </c>
      <c r="K341" s="137">
        <v>42</v>
      </c>
      <c r="L341" s="133" t="str">
        <f t="shared" si="5"/>
        <v>007</v>
      </c>
    </row>
    <row r="342" spans="1:12" x14ac:dyDescent="0.3">
      <c r="A342" s="136">
        <v>338</v>
      </c>
      <c r="B342" s="137" t="s">
        <v>13242</v>
      </c>
      <c r="C342" s="10" t="str">
        <f>VLOOKUP(B342,'Data Angt'!$A$5:$B$5809,2,FALSE)</f>
        <v>A4644</v>
      </c>
      <c r="D342" s="137" t="s">
        <v>21149</v>
      </c>
      <c r="E342" s="137" t="s">
        <v>22</v>
      </c>
      <c r="F342" s="137">
        <v>87885554581</v>
      </c>
      <c r="G342" s="137" t="s">
        <v>109</v>
      </c>
      <c r="H342" s="138">
        <v>45493</v>
      </c>
      <c r="I342" s="139" t="s">
        <v>384</v>
      </c>
      <c r="J342" s="137" t="s">
        <v>21150</v>
      </c>
      <c r="K342" s="137">
        <v>43</v>
      </c>
      <c r="L342" s="133" t="str">
        <f t="shared" si="5"/>
        <v>007</v>
      </c>
    </row>
    <row r="343" spans="1:12" x14ac:dyDescent="0.3">
      <c r="A343" s="136">
        <v>339</v>
      </c>
      <c r="B343" s="137" t="s">
        <v>13244</v>
      </c>
      <c r="C343" s="10" t="str">
        <f>VLOOKUP(B343,'Data Angt'!$A$5:$B$5809,2,FALSE)</f>
        <v>A4645</v>
      </c>
      <c r="D343" s="137" t="s">
        <v>21151</v>
      </c>
      <c r="E343" s="137" t="s">
        <v>22</v>
      </c>
      <c r="F343" s="137">
        <v>81310564562</v>
      </c>
      <c r="G343" s="137" t="s">
        <v>109</v>
      </c>
      <c r="H343" s="138">
        <v>45493</v>
      </c>
      <c r="I343" s="139" t="s">
        <v>384</v>
      </c>
      <c r="J343" s="137" t="s">
        <v>21152</v>
      </c>
      <c r="K343" s="137">
        <v>43</v>
      </c>
      <c r="L343" s="133" t="str">
        <f t="shared" si="5"/>
        <v>007</v>
      </c>
    </row>
    <row r="344" spans="1:12" x14ac:dyDescent="0.3">
      <c r="A344" s="136">
        <v>340</v>
      </c>
      <c r="B344" s="137" t="s">
        <v>13245</v>
      </c>
      <c r="C344" s="10" t="str">
        <f>VLOOKUP(B344,'Data Angt'!$A$5:$B$5809,2,FALSE)</f>
        <v>A4646</v>
      </c>
      <c r="D344" s="137" t="s">
        <v>21153</v>
      </c>
      <c r="E344" s="137" t="s">
        <v>22</v>
      </c>
      <c r="F344" s="137">
        <v>81802638681</v>
      </c>
      <c r="G344" s="137" t="s">
        <v>109</v>
      </c>
      <c r="H344" s="138">
        <v>45493</v>
      </c>
      <c r="I344" s="139" t="s">
        <v>384</v>
      </c>
      <c r="J344" s="137" t="s">
        <v>21154</v>
      </c>
      <c r="K344" s="137">
        <v>40</v>
      </c>
      <c r="L344" s="133" t="str">
        <f t="shared" si="5"/>
        <v>007</v>
      </c>
    </row>
    <row r="345" spans="1:12" x14ac:dyDescent="0.3">
      <c r="A345" s="136">
        <v>341</v>
      </c>
      <c r="B345" s="137" t="s">
        <v>13246</v>
      </c>
      <c r="C345" s="10" t="str">
        <f>VLOOKUP(B345,'Data Angt'!$A$5:$B$5809,2,FALSE)</f>
        <v>A4647</v>
      </c>
      <c r="D345" s="137" t="s">
        <v>19621</v>
      </c>
      <c r="E345" s="137" t="s">
        <v>22</v>
      </c>
      <c r="F345" s="137">
        <v>81311002998</v>
      </c>
      <c r="G345" s="137"/>
      <c r="H345" s="138">
        <v>45493</v>
      </c>
      <c r="I345" s="139" t="s">
        <v>384</v>
      </c>
      <c r="J345" s="137" t="s">
        <v>21155</v>
      </c>
      <c r="K345" s="137" t="s">
        <v>19619</v>
      </c>
      <c r="L345" s="133" t="str">
        <f t="shared" si="5"/>
        <v>007</v>
      </c>
    </row>
    <row r="346" spans="1:12" x14ac:dyDescent="0.3">
      <c r="A346" s="136">
        <v>342</v>
      </c>
      <c r="B346" s="137" t="s">
        <v>13248</v>
      </c>
      <c r="C346" s="10" t="str">
        <f>VLOOKUP(B346,'Data Angt'!$A$5:$B$5809,2,FALSE)</f>
        <v>A4648</v>
      </c>
      <c r="D346" s="137" t="s">
        <v>19621</v>
      </c>
      <c r="E346" s="137" t="s">
        <v>22</v>
      </c>
      <c r="F346" s="137">
        <v>82111004552</v>
      </c>
      <c r="G346" s="137"/>
      <c r="H346" s="138">
        <v>45493</v>
      </c>
      <c r="I346" s="139" t="s">
        <v>384</v>
      </c>
      <c r="J346" s="137" t="s">
        <v>21156</v>
      </c>
      <c r="K346" s="137" t="s">
        <v>19619</v>
      </c>
      <c r="L346" s="133" t="str">
        <f t="shared" si="5"/>
        <v>007</v>
      </c>
    </row>
    <row r="347" spans="1:12" x14ac:dyDescent="0.3">
      <c r="A347" s="136">
        <v>343</v>
      </c>
      <c r="B347" s="137" t="s">
        <v>13249</v>
      </c>
      <c r="C347" s="10" t="str">
        <f>VLOOKUP(B347,'Data Angt'!$A$5:$B$5809,2,FALSE)</f>
        <v>A4649</v>
      </c>
      <c r="D347" s="137" t="s">
        <v>21157</v>
      </c>
      <c r="E347" s="137" t="s">
        <v>22</v>
      </c>
      <c r="F347" s="137">
        <v>818944556</v>
      </c>
      <c r="G347" s="137" t="s">
        <v>109</v>
      </c>
      <c r="H347" s="138">
        <v>45493</v>
      </c>
      <c r="I347" s="139" t="s">
        <v>384</v>
      </c>
      <c r="J347" s="137" t="s">
        <v>21158</v>
      </c>
      <c r="K347" s="137">
        <v>43</v>
      </c>
      <c r="L347" s="133" t="str">
        <f t="shared" si="5"/>
        <v>007</v>
      </c>
    </row>
    <row r="348" spans="1:12" x14ac:dyDescent="0.3">
      <c r="A348" s="136">
        <v>344</v>
      </c>
      <c r="B348" s="137" t="s">
        <v>13251</v>
      </c>
      <c r="C348" s="10" t="str">
        <f>VLOOKUP(B348,'Data Angt'!$A$5:$B$5809,2,FALSE)</f>
        <v>A4650</v>
      </c>
      <c r="D348" s="137" t="s">
        <v>21159</v>
      </c>
      <c r="E348" s="137" t="s">
        <v>22</v>
      </c>
      <c r="F348" s="137">
        <v>8118049799</v>
      </c>
      <c r="G348" s="137" t="s">
        <v>109</v>
      </c>
      <c r="H348" s="138">
        <v>45493</v>
      </c>
      <c r="I348" s="139" t="s">
        <v>384</v>
      </c>
      <c r="J348" s="137" t="s">
        <v>21160</v>
      </c>
      <c r="K348" s="137">
        <v>42</v>
      </c>
      <c r="L348" s="133" t="str">
        <f t="shared" si="5"/>
        <v>007</v>
      </c>
    </row>
    <row r="349" spans="1:12" x14ac:dyDescent="0.3">
      <c r="A349" s="136">
        <v>345</v>
      </c>
      <c r="B349" s="137" t="s">
        <v>13253</v>
      </c>
      <c r="C349" s="10" t="str">
        <f>VLOOKUP(B349,'Data Angt'!$A$5:$B$5809,2,FALSE)</f>
        <v>A4651</v>
      </c>
      <c r="D349" s="137" t="s">
        <v>20739</v>
      </c>
      <c r="E349" s="137" t="s">
        <v>22</v>
      </c>
      <c r="F349" s="137">
        <v>81384886662</v>
      </c>
      <c r="G349" s="137" t="s">
        <v>172</v>
      </c>
      <c r="H349" s="138">
        <v>45493</v>
      </c>
      <c r="I349" s="139" t="s">
        <v>384</v>
      </c>
      <c r="J349" s="137" t="s">
        <v>21161</v>
      </c>
      <c r="K349" s="137">
        <v>43</v>
      </c>
      <c r="L349" s="133" t="str">
        <f t="shared" si="5"/>
        <v>007</v>
      </c>
    </row>
    <row r="350" spans="1:12" x14ac:dyDescent="0.3">
      <c r="A350" s="136">
        <v>346</v>
      </c>
      <c r="B350" s="137" t="s">
        <v>13254</v>
      </c>
      <c r="C350" s="10" t="str">
        <f>VLOOKUP(B350,'Data Angt'!$A$5:$B$5809,2,FALSE)</f>
        <v>A4652</v>
      </c>
      <c r="D350" s="137" t="s">
        <v>21162</v>
      </c>
      <c r="E350" s="137" t="s">
        <v>22</v>
      </c>
      <c r="F350" s="137">
        <v>818654376</v>
      </c>
      <c r="G350" s="137" t="s">
        <v>109</v>
      </c>
      <c r="H350" s="138">
        <v>45493</v>
      </c>
      <c r="I350" s="139" t="s">
        <v>384</v>
      </c>
      <c r="J350" s="137" t="s">
        <v>21163</v>
      </c>
      <c r="K350" s="137">
        <v>42</v>
      </c>
      <c r="L350" s="133" t="str">
        <f t="shared" si="5"/>
        <v>007</v>
      </c>
    </row>
    <row r="351" spans="1:12" x14ac:dyDescent="0.3">
      <c r="A351" s="136">
        <v>347</v>
      </c>
      <c r="B351" s="137" t="s">
        <v>13255</v>
      </c>
      <c r="C351" s="10" t="str">
        <f>VLOOKUP(B351,'Data Angt'!$A$5:$B$5809,2,FALSE)</f>
        <v>A4653</v>
      </c>
      <c r="D351" s="137" t="s">
        <v>19621</v>
      </c>
      <c r="E351" s="137" t="s">
        <v>22</v>
      </c>
      <c r="F351" s="137">
        <v>81315222159</v>
      </c>
      <c r="G351" s="137" t="s">
        <v>2870</v>
      </c>
      <c r="H351" s="138">
        <v>45493</v>
      </c>
      <c r="I351" s="139" t="s">
        <v>384</v>
      </c>
      <c r="J351" s="137" t="s">
        <v>21164</v>
      </c>
      <c r="K351" s="137" t="s">
        <v>19619</v>
      </c>
      <c r="L351" s="133" t="str">
        <f t="shared" si="5"/>
        <v>007</v>
      </c>
    </row>
    <row r="352" spans="1:12" x14ac:dyDescent="0.3">
      <c r="A352" s="136">
        <v>348</v>
      </c>
      <c r="B352" s="137" t="s">
        <v>13256</v>
      </c>
      <c r="C352" s="10" t="str">
        <f>VLOOKUP(B352,'Data Angt'!$A$5:$B$5809,2,FALSE)</f>
        <v>A4654</v>
      </c>
      <c r="D352" s="137" t="s">
        <v>19621</v>
      </c>
      <c r="E352" s="137" t="s">
        <v>22</v>
      </c>
      <c r="F352" s="137">
        <v>89521448077</v>
      </c>
      <c r="G352" s="137"/>
      <c r="H352" s="138">
        <v>45493</v>
      </c>
      <c r="I352" s="139" t="s">
        <v>384</v>
      </c>
      <c r="J352" s="137" t="s">
        <v>21165</v>
      </c>
      <c r="K352" s="137" t="s">
        <v>19619</v>
      </c>
      <c r="L352" s="133" t="str">
        <f t="shared" si="5"/>
        <v>007</v>
      </c>
    </row>
    <row r="353" spans="1:12" x14ac:dyDescent="0.3">
      <c r="A353" s="136">
        <v>349</v>
      </c>
      <c r="B353" s="137" t="s">
        <v>13257</v>
      </c>
      <c r="C353" s="10" t="str">
        <f>VLOOKUP(B353,'Data Angt'!$A$5:$B$5809,2,FALSE)</f>
        <v>A4655</v>
      </c>
      <c r="D353" s="137" t="s">
        <v>21166</v>
      </c>
      <c r="E353" s="137" t="s">
        <v>22</v>
      </c>
      <c r="F353" s="137">
        <v>85886847286</v>
      </c>
      <c r="G353" s="137" t="s">
        <v>31</v>
      </c>
      <c r="H353" s="138">
        <v>45493</v>
      </c>
      <c r="I353" s="139" t="s">
        <v>384</v>
      </c>
      <c r="J353" s="137" t="s">
        <v>21167</v>
      </c>
      <c r="K353" s="137">
        <v>38</v>
      </c>
      <c r="L353" s="133" t="str">
        <f t="shared" si="5"/>
        <v>007</v>
      </c>
    </row>
    <row r="354" spans="1:12" x14ac:dyDescent="0.3">
      <c r="A354" s="136">
        <v>350</v>
      </c>
      <c r="B354" s="137" t="s">
        <v>13259</v>
      </c>
      <c r="C354" s="10" t="str">
        <f>VLOOKUP(B354,'Data Angt'!$A$5:$B$5809,2,FALSE)</f>
        <v>A4656</v>
      </c>
      <c r="D354" s="137" t="s">
        <v>21168</v>
      </c>
      <c r="E354" s="137" t="s">
        <v>22</v>
      </c>
      <c r="F354" s="137">
        <v>81399015444</v>
      </c>
      <c r="G354" s="137" t="s">
        <v>31</v>
      </c>
      <c r="H354" s="138">
        <v>45493</v>
      </c>
      <c r="I354" s="139" t="s">
        <v>384</v>
      </c>
      <c r="J354" s="137" t="s">
        <v>21169</v>
      </c>
      <c r="K354" s="137">
        <v>39</v>
      </c>
      <c r="L354" s="133" t="str">
        <f t="shared" si="5"/>
        <v>007</v>
      </c>
    </row>
    <row r="355" spans="1:12" x14ac:dyDescent="0.3">
      <c r="A355" s="136">
        <v>351</v>
      </c>
      <c r="B355" s="137" t="s">
        <v>13260</v>
      </c>
      <c r="C355" s="10" t="str">
        <f>VLOOKUP(B355,'Data Angt'!$A$5:$B$5809,2,FALSE)</f>
        <v>A4657</v>
      </c>
      <c r="D355" s="137" t="s">
        <v>19621</v>
      </c>
      <c r="E355" s="137" t="s">
        <v>22</v>
      </c>
      <c r="F355" s="137">
        <v>87880001090</v>
      </c>
      <c r="G355" s="137"/>
      <c r="H355" s="138">
        <v>45493</v>
      </c>
      <c r="I355" s="139" t="s">
        <v>384</v>
      </c>
      <c r="J355" s="137" t="s">
        <v>21170</v>
      </c>
      <c r="K355" s="137" t="s">
        <v>19619</v>
      </c>
      <c r="L355" s="133" t="str">
        <f t="shared" si="5"/>
        <v>007</v>
      </c>
    </row>
    <row r="356" spans="1:12" x14ac:dyDescent="0.3">
      <c r="A356" s="136">
        <v>352</v>
      </c>
      <c r="B356" s="137" t="s">
        <v>13261</v>
      </c>
      <c r="C356" s="10" t="str">
        <f>VLOOKUP(B356,'Data Angt'!$A$5:$B$5809,2,FALSE)</f>
        <v>A4658</v>
      </c>
      <c r="D356" s="137" t="s">
        <v>21171</v>
      </c>
      <c r="E356" s="137" t="s">
        <v>22</v>
      </c>
      <c r="F356" s="137">
        <v>81319088154</v>
      </c>
      <c r="G356" s="137" t="s">
        <v>31</v>
      </c>
      <c r="H356" s="138">
        <v>45493</v>
      </c>
      <c r="I356" s="139" t="s">
        <v>384</v>
      </c>
      <c r="J356" s="137" t="s">
        <v>21172</v>
      </c>
      <c r="K356" s="137">
        <v>57</v>
      </c>
      <c r="L356" s="133" t="str">
        <f t="shared" si="5"/>
        <v>007</v>
      </c>
    </row>
    <row r="357" spans="1:12" x14ac:dyDescent="0.3">
      <c r="A357" s="136">
        <v>353</v>
      </c>
      <c r="B357" s="137" t="s">
        <v>13263</v>
      </c>
      <c r="C357" s="10" t="str">
        <f>VLOOKUP(B357,'Data Angt'!$A$5:$B$5809,2,FALSE)</f>
        <v>A4659</v>
      </c>
      <c r="D357" s="137" t="s">
        <v>21173</v>
      </c>
      <c r="E357" s="137" t="s">
        <v>22</v>
      </c>
      <c r="F357" s="137">
        <v>85888426068</v>
      </c>
      <c r="G357" s="137" t="s">
        <v>109</v>
      </c>
      <c r="H357" s="138">
        <v>45493</v>
      </c>
      <c r="I357" s="139" t="s">
        <v>384</v>
      </c>
      <c r="J357" s="137" t="s">
        <v>21174</v>
      </c>
      <c r="K357" s="137">
        <v>41</v>
      </c>
      <c r="L357" s="133" t="str">
        <f t="shared" si="5"/>
        <v>007</v>
      </c>
    </row>
    <row r="358" spans="1:12" x14ac:dyDescent="0.3">
      <c r="A358" s="136">
        <v>354</v>
      </c>
      <c r="B358" s="137" t="s">
        <v>13264</v>
      </c>
      <c r="C358" s="10" t="str">
        <f>VLOOKUP(B358,'Data Angt'!$A$5:$B$5809,2,FALSE)</f>
        <v>A4660</v>
      </c>
      <c r="D358" s="137" t="s">
        <v>21175</v>
      </c>
      <c r="E358" s="137" t="s">
        <v>11</v>
      </c>
      <c r="F358" s="137">
        <v>85294702876</v>
      </c>
      <c r="G358" s="137" t="s">
        <v>172</v>
      </c>
      <c r="H358" s="138">
        <v>45493</v>
      </c>
      <c r="I358" s="139" t="s">
        <v>384</v>
      </c>
      <c r="J358" s="137" t="s">
        <v>21176</v>
      </c>
      <c r="K358" s="137">
        <v>38</v>
      </c>
      <c r="L358" s="133" t="str">
        <f t="shared" si="5"/>
        <v>007</v>
      </c>
    </row>
    <row r="359" spans="1:12" x14ac:dyDescent="0.3">
      <c r="A359" s="136">
        <v>355</v>
      </c>
      <c r="B359" s="137" t="s">
        <v>13265</v>
      </c>
      <c r="C359" s="10" t="str">
        <f>VLOOKUP(B359,'Data Angt'!$A$5:$B$5809,2,FALSE)</f>
        <v>A4661</v>
      </c>
      <c r="D359" s="137" t="s">
        <v>21177</v>
      </c>
      <c r="E359" s="137" t="s">
        <v>22</v>
      </c>
      <c r="F359" s="137">
        <v>8118401178</v>
      </c>
      <c r="G359" s="137" t="s">
        <v>109</v>
      </c>
      <c r="H359" s="138">
        <v>45493</v>
      </c>
      <c r="I359" s="139" t="s">
        <v>384</v>
      </c>
      <c r="J359" s="137" t="s">
        <v>21178</v>
      </c>
      <c r="K359" s="137">
        <v>47</v>
      </c>
      <c r="L359" s="133" t="str">
        <f t="shared" si="5"/>
        <v>007</v>
      </c>
    </row>
    <row r="360" spans="1:12" x14ac:dyDescent="0.3">
      <c r="A360" s="136">
        <v>356</v>
      </c>
      <c r="B360" s="137" t="s">
        <v>13266</v>
      </c>
      <c r="C360" s="10" t="str">
        <f>VLOOKUP(B360,'Data Angt'!$A$5:$B$5809,2,FALSE)</f>
        <v>A4662</v>
      </c>
      <c r="D360" s="137" t="s">
        <v>21179</v>
      </c>
      <c r="E360" s="137" t="s">
        <v>22</v>
      </c>
      <c r="F360" s="137">
        <v>81293983963</v>
      </c>
      <c r="G360" s="137" t="s">
        <v>109</v>
      </c>
      <c r="H360" s="138">
        <v>45493</v>
      </c>
      <c r="I360" s="139" t="s">
        <v>384</v>
      </c>
      <c r="J360" s="137" t="s">
        <v>21180</v>
      </c>
      <c r="K360" s="137">
        <v>40</v>
      </c>
      <c r="L360" s="133" t="str">
        <f t="shared" si="5"/>
        <v>007</v>
      </c>
    </row>
    <row r="361" spans="1:12" x14ac:dyDescent="0.3">
      <c r="A361" s="136">
        <v>357</v>
      </c>
      <c r="B361" s="137" t="s">
        <v>13267</v>
      </c>
      <c r="C361" s="10" t="str">
        <f>VLOOKUP(B361,'Data Angt'!$A$5:$B$5809,2,FALSE)</f>
        <v>A4663</v>
      </c>
      <c r="D361" s="137" t="s">
        <v>20739</v>
      </c>
      <c r="E361" s="137" t="s">
        <v>22</v>
      </c>
      <c r="F361" s="137">
        <v>81519773037</v>
      </c>
      <c r="G361" s="137" t="s">
        <v>31</v>
      </c>
      <c r="H361" s="138">
        <v>45493</v>
      </c>
      <c r="I361" s="139" t="s">
        <v>384</v>
      </c>
      <c r="J361" s="137" t="s">
        <v>21181</v>
      </c>
      <c r="K361" s="137">
        <v>43</v>
      </c>
      <c r="L361" s="133" t="str">
        <f t="shared" si="5"/>
        <v>007</v>
      </c>
    </row>
    <row r="362" spans="1:12" x14ac:dyDescent="0.3">
      <c r="A362" s="136">
        <v>358</v>
      </c>
      <c r="B362" s="137" t="s">
        <v>13268</v>
      </c>
      <c r="C362" s="10" t="str">
        <f>VLOOKUP(B362,'Data Angt'!$A$5:$B$5809,2,FALSE)</f>
        <v>A4664</v>
      </c>
      <c r="D362" s="137" t="s">
        <v>21182</v>
      </c>
      <c r="E362" s="137" t="s">
        <v>22</v>
      </c>
      <c r="F362" s="137">
        <v>81807734040</v>
      </c>
      <c r="G362" s="137" t="s">
        <v>31</v>
      </c>
      <c r="H362" s="138">
        <v>45493</v>
      </c>
      <c r="I362" s="139" t="s">
        <v>384</v>
      </c>
      <c r="J362" s="137" t="s">
        <v>21183</v>
      </c>
      <c r="K362" s="137">
        <v>41</v>
      </c>
      <c r="L362" s="133" t="str">
        <f t="shared" si="5"/>
        <v>007</v>
      </c>
    </row>
    <row r="363" spans="1:12" x14ac:dyDescent="0.3">
      <c r="A363" s="136">
        <v>359</v>
      </c>
      <c r="B363" s="137" t="s">
        <v>13269</v>
      </c>
      <c r="C363" s="10" t="str">
        <f>VLOOKUP(B363,'Data Angt'!$A$5:$B$5809,2,FALSE)</f>
        <v>A4665</v>
      </c>
      <c r="D363" s="137" t="s">
        <v>21184</v>
      </c>
      <c r="E363" s="137" t="s">
        <v>22</v>
      </c>
      <c r="F363" s="137">
        <v>81212404090</v>
      </c>
      <c r="G363" s="137" t="s">
        <v>46</v>
      </c>
      <c r="H363" s="138">
        <v>45493</v>
      </c>
      <c r="I363" s="139" t="s">
        <v>384</v>
      </c>
      <c r="J363" s="137" t="s">
        <v>21185</v>
      </c>
      <c r="K363" s="137">
        <v>43</v>
      </c>
      <c r="L363" s="133" t="str">
        <f t="shared" si="5"/>
        <v>007</v>
      </c>
    </row>
    <row r="364" spans="1:12" x14ac:dyDescent="0.3">
      <c r="A364" s="136">
        <v>360</v>
      </c>
      <c r="B364" s="137" t="s">
        <v>13271</v>
      </c>
      <c r="C364" s="10" t="str">
        <f>VLOOKUP(B364,'Data Angt'!$A$5:$B$5809,2,FALSE)</f>
        <v>A4666</v>
      </c>
      <c r="D364" s="137" t="s">
        <v>21186</v>
      </c>
      <c r="E364" s="137" t="s">
        <v>22</v>
      </c>
      <c r="F364" s="137">
        <v>87771174358</v>
      </c>
      <c r="G364" s="137" t="s">
        <v>109</v>
      </c>
      <c r="H364" s="138">
        <v>45493</v>
      </c>
      <c r="I364" s="139" t="s">
        <v>384</v>
      </c>
      <c r="J364" s="137" t="s">
        <v>21187</v>
      </c>
      <c r="K364" s="137">
        <v>52</v>
      </c>
      <c r="L364" s="133" t="str">
        <f t="shared" si="5"/>
        <v>007</v>
      </c>
    </row>
    <row r="365" spans="1:12" x14ac:dyDescent="0.3">
      <c r="A365" s="136">
        <v>361</v>
      </c>
      <c r="B365" s="137" t="s">
        <v>13273</v>
      </c>
      <c r="C365" s="10" t="str">
        <f>VLOOKUP(B365,'Data Angt'!$A$5:$B$5809,2,FALSE)</f>
        <v>A4667</v>
      </c>
      <c r="D365" s="137" t="s">
        <v>21188</v>
      </c>
      <c r="E365" s="137" t="s">
        <v>22</v>
      </c>
      <c r="F365" s="137">
        <v>81310119206</v>
      </c>
      <c r="G365" s="137" t="s">
        <v>109</v>
      </c>
      <c r="H365" s="138">
        <v>45493</v>
      </c>
      <c r="I365" s="139" t="s">
        <v>384</v>
      </c>
      <c r="J365" s="137" t="s">
        <v>21189</v>
      </c>
      <c r="K365" s="137">
        <v>41</v>
      </c>
      <c r="L365" s="133" t="str">
        <f t="shared" si="5"/>
        <v>007</v>
      </c>
    </row>
    <row r="366" spans="1:12" x14ac:dyDescent="0.3">
      <c r="A366" s="136">
        <v>362</v>
      </c>
      <c r="B366" s="137" t="s">
        <v>13274</v>
      </c>
      <c r="C366" s="10" t="str">
        <f>VLOOKUP(B366,'Data Angt'!$A$5:$B$5809,2,FALSE)</f>
        <v>A4668</v>
      </c>
      <c r="D366" s="137" t="s">
        <v>21190</v>
      </c>
      <c r="E366" s="137" t="s">
        <v>22</v>
      </c>
      <c r="F366" s="137">
        <v>81288883098</v>
      </c>
      <c r="G366" s="137" t="s">
        <v>109</v>
      </c>
      <c r="H366" s="138">
        <v>45493</v>
      </c>
      <c r="I366" s="139" t="s">
        <v>384</v>
      </c>
      <c r="J366" s="137" t="s">
        <v>21191</v>
      </c>
      <c r="K366" s="137">
        <v>44</v>
      </c>
      <c r="L366" s="133" t="str">
        <f t="shared" si="5"/>
        <v>007</v>
      </c>
    </row>
    <row r="367" spans="1:12" x14ac:dyDescent="0.3">
      <c r="A367" s="136">
        <v>363</v>
      </c>
      <c r="B367" s="137" t="s">
        <v>13276</v>
      </c>
      <c r="C367" s="10" t="str">
        <f>VLOOKUP(B367,'Data Angt'!$A$5:$B$5809,2,FALSE)</f>
        <v>A4669</v>
      </c>
      <c r="D367" s="137" t="s">
        <v>19621</v>
      </c>
      <c r="E367" s="137" t="s">
        <v>22</v>
      </c>
      <c r="F367" s="137">
        <v>81511335302</v>
      </c>
      <c r="G367" s="137"/>
      <c r="H367" s="138">
        <v>45493</v>
      </c>
      <c r="I367" s="139" t="s">
        <v>384</v>
      </c>
      <c r="J367" s="137" t="s">
        <v>21192</v>
      </c>
      <c r="K367" s="137" t="s">
        <v>19619</v>
      </c>
      <c r="L367" s="133" t="str">
        <f t="shared" si="5"/>
        <v>007</v>
      </c>
    </row>
    <row r="368" spans="1:12" x14ac:dyDescent="0.3">
      <c r="A368" s="136">
        <v>364</v>
      </c>
      <c r="B368" s="137" t="s">
        <v>13277</v>
      </c>
      <c r="C368" s="10" t="str">
        <f>VLOOKUP(B368,'Data Angt'!$A$5:$B$5809,2,FALSE)</f>
        <v>A4670</v>
      </c>
      <c r="D368" s="137" t="s">
        <v>19621</v>
      </c>
      <c r="E368" s="137" t="s">
        <v>11</v>
      </c>
      <c r="F368" s="137">
        <v>818202241</v>
      </c>
      <c r="G368" s="137" t="s">
        <v>109</v>
      </c>
      <c r="H368" s="138">
        <v>45493</v>
      </c>
      <c r="I368" s="139" t="s">
        <v>384</v>
      </c>
      <c r="J368" s="137" t="s">
        <v>21193</v>
      </c>
      <c r="K368" s="137" t="s">
        <v>19619</v>
      </c>
      <c r="L368" s="133" t="str">
        <f t="shared" si="5"/>
        <v>007</v>
      </c>
    </row>
    <row r="369" spans="1:12" x14ac:dyDescent="0.3">
      <c r="A369" s="136">
        <v>365</v>
      </c>
      <c r="B369" s="137" t="s">
        <v>13279</v>
      </c>
      <c r="C369" s="10" t="str">
        <f>VLOOKUP(B369,'Data Angt'!$A$5:$B$5809,2,FALSE)</f>
        <v>A4671</v>
      </c>
      <c r="D369" s="137" t="s">
        <v>21194</v>
      </c>
      <c r="E369" s="137" t="s">
        <v>22</v>
      </c>
      <c r="F369" s="137">
        <v>8122369087</v>
      </c>
      <c r="G369" s="137" t="s">
        <v>31</v>
      </c>
      <c r="H369" s="138">
        <v>45493</v>
      </c>
      <c r="I369" s="139" t="s">
        <v>384</v>
      </c>
      <c r="J369" s="137" t="s">
        <v>21195</v>
      </c>
      <c r="K369" s="137">
        <v>53</v>
      </c>
      <c r="L369" s="133" t="str">
        <f t="shared" si="5"/>
        <v>007</v>
      </c>
    </row>
    <row r="370" spans="1:12" x14ac:dyDescent="0.3">
      <c r="A370" s="136">
        <v>366</v>
      </c>
      <c r="B370" s="137" t="s">
        <v>13280</v>
      </c>
      <c r="C370" s="10" t="str">
        <f>VLOOKUP(B370,'Data Angt'!$A$5:$B$5809,2,FALSE)</f>
        <v>A4672</v>
      </c>
      <c r="D370" s="137" t="s">
        <v>21196</v>
      </c>
      <c r="E370" s="137" t="s">
        <v>22</v>
      </c>
      <c r="F370" s="137">
        <v>8988733030</v>
      </c>
      <c r="G370" s="137" t="s">
        <v>31</v>
      </c>
      <c r="H370" s="138">
        <v>45493</v>
      </c>
      <c r="I370" s="139" t="s">
        <v>384</v>
      </c>
      <c r="J370" s="137" t="s">
        <v>21197</v>
      </c>
      <c r="K370" s="137">
        <v>40</v>
      </c>
      <c r="L370" s="133" t="str">
        <f t="shared" si="5"/>
        <v>007</v>
      </c>
    </row>
    <row r="371" spans="1:12" x14ac:dyDescent="0.3">
      <c r="A371" s="136">
        <v>367</v>
      </c>
      <c r="B371" s="137" t="s">
        <v>13282</v>
      </c>
      <c r="C371" s="10" t="str">
        <f>VLOOKUP(B371,'Data Angt'!$A$5:$B$5809,2,FALSE)</f>
        <v>A4673</v>
      </c>
      <c r="D371" s="137" t="s">
        <v>21198</v>
      </c>
      <c r="E371" s="137" t="s">
        <v>22</v>
      </c>
      <c r="F371" s="137">
        <v>81286019138</v>
      </c>
      <c r="G371" s="137" t="s">
        <v>109</v>
      </c>
      <c r="H371" s="138">
        <v>45493</v>
      </c>
      <c r="I371" s="139" t="s">
        <v>384</v>
      </c>
      <c r="J371" s="137" t="s">
        <v>21199</v>
      </c>
      <c r="K371" s="137">
        <v>48</v>
      </c>
      <c r="L371" s="133" t="str">
        <f t="shared" si="5"/>
        <v>007</v>
      </c>
    </row>
    <row r="372" spans="1:12" x14ac:dyDescent="0.3">
      <c r="A372" s="136">
        <v>368</v>
      </c>
      <c r="B372" s="137" t="s">
        <v>13284</v>
      </c>
      <c r="C372" s="10" t="str">
        <f>VLOOKUP(B372,'Data Angt'!$A$5:$B$5809,2,FALSE)</f>
        <v>A4674</v>
      </c>
      <c r="D372" s="137" t="s">
        <v>21200</v>
      </c>
      <c r="E372" s="137" t="s">
        <v>22</v>
      </c>
      <c r="F372" s="137">
        <v>81381815499</v>
      </c>
      <c r="G372" s="137" t="s">
        <v>31</v>
      </c>
      <c r="H372" s="138">
        <v>45493</v>
      </c>
      <c r="I372" s="139" t="s">
        <v>384</v>
      </c>
      <c r="J372" s="137" t="s">
        <v>21201</v>
      </c>
      <c r="K372" s="137">
        <v>38</v>
      </c>
      <c r="L372" s="133" t="str">
        <f t="shared" si="5"/>
        <v>007</v>
      </c>
    </row>
    <row r="373" spans="1:12" x14ac:dyDescent="0.3">
      <c r="A373" s="136">
        <v>369</v>
      </c>
      <c r="B373" s="137" t="s">
        <v>13286</v>
      </c>
      <c r="C373" s="10" t="str">
        <f>VLOOKUP(B373,'Data Angt'!$A$5:$B$5809,2,FALSE)</f>
        <v>A4675</v>
      </c>
      <c r="D373" s="137" t="s">
        <v>21202</v>
      </c>
      <c r="E373" s="137" t="s">
        <v>22</v>
      </c>
      <c r="F373" s="137">
        <v>81383990638</v>
      </c>
      <c r="G373" s="137" t="s">
        <v>31</v>
      </c>
      <c r="H373" s="138">
        <v>45493</v>
      </c>
      <c r="I373" s="139" t="s">
        <v>384</v>
      </c>
      <c r="J373" s="137" t="s">
        <v>21203</v>
      </c>
      <c r="K373" s="137">
        <v>41</v>
      </c>
      <c r="L373" s="133" t="str">
        <f t="shared" si="5"/>
        <v>007</v>
      </c>
    </row>
    <row r="374" spans="1:12" x14ac:dyDescent="0.3">
      <c r="A374" s="136">
        <v>370</v>
      </c>
      <c r="B374" s="137" t="s">
        <v>13287</v>
      </c>
      <c r="C374" s="10" t="str">
        <f>VLOOKUP(B374,'Data Angt'!$A$5:$B$5809,2,FALSE)</f>
        <v>A4676</v>
      </c>
      <c r="D374" s="137" t="s">
        <v>19621</v>
      </c>
      <c r="E374" s="137" t="s">
        <v>22</v>
      </c>
      <c r="F374" s="137">
        <v>83892111860</v>
      </c>
      <c r="G374" s="137"/>
      <c r="H374" s="138">
        <v>45493</v>
      </c>
      <c r="I374" s="139" t="s">
        <v>384</v>
      </c>
      <c r="J374" s="137" t="s">
        <v>21204</v>
      </c>
      <c r="K374" s="137" t="s">
        <v>19619</v>
      </c>
      <c r="L374" s="133" t="str">
        <f t="shared" si="5"/>
        <v>007</v>
      </c>
    </row>
    <row r="375" spans="1:12" x14ac:dyDescent="0.3">
      <c r="A375" s="136">
        <v>371</v>
      </c>
      <c r="B375" s="137" t="s">
        <v>13288</v>
      </c>
      <c r="C375" s="10" t="str">
        <f>VLOOKUP(B375,'Data Angt'!$A$5:$B$5809,2,FALSE)</f>
        <v>A4677</v>
      </c>
      <c r="D375" s="137" t="s">
        <v>21205</v>
      </c>
      <c r="E375" s="137" t="s">
        <v>22</v>
      </c>
      <c r="F375" s="137">
        <v>87771584042</v>
      </c>
      <c r="G375" s="137" t="s">
        <v>31</v>
      </c>
      <c r="H375" s="138">
        <v>45493</v>
      </c>
      <c r="I375" s="139" t="s">
        <v>384</v>
      </c>
      <c r="J375" s="137" t="s">
        <v>21206</v>
      </c>
      <c r="K375" s="137">
        <v>40</v>
      </c>
      <c r="L375" s="133" t="str">
        <f t="shared" si="5"/>
        <v>007</v>
      </c>
    </row>
    <row r="376" spans="1:12" x14ac:dyDescent="0.3">
      <c r="A376" s="136">
        <v>372</v>
      </c>
      <c r="B376" s="137" t="s">
        <v>13290</v>
      </c>
      <c r="C376" s="10" t="str">
        <f>VLOOKUP(B376,'Data Angt'!$A$5:$B$5809,2,FALSE)</f>
        <v>A4678</v>
      </c>
      <c r="D376" s="137" t="s">
        <v>21207</v>
      </c>
      <c r="E376" s="137" t="s">
        <v>22</v>
      </c>
      <c r="F376" s="137">
        <v>817243344</v>
      </c>
      <c r="G376" s="137" t="s">
        <v>109</v>
      </c>
      <c r="H376" s="138">
        <v>45493</v>
      </c>
      <c r="I376" s="139" t="s">
        <v>384</v>
      </c>
      <c r="J376" s="137" t="s">
        <v>21208</v>
      </c>
      <c r="K376" s="137">
        <v>43</v>
      </c>
      <c r="L376" s="133" t="str">
        <f t="shared" si="5"/>
        <v>007</v>
      </c>
    </row>
    <row r="377" spans="1:12" x14ac:dyDescent="0.3">
      <c r="A377" s="136">
        <v>373</v>
      </c>
      <c r="B377" s="137" t="s">
        <v>13292</v>
      </c>
      <c r="C377" s="10" t="str">
        <f>VLOOKUP(B377,'Data Angt'!$A$5:$B$5809,2,FALSE)</f>
        <v>A4679</v>
      </c>
      <c r="D377" s="137" t="s">
        <v>21209</v>
      </c>
      <c r="E377" s="137" t="s">
        <v>22</v>
      </c>
      <c r="F377" s="137">
        <v>81291099708</v>
      </c>
      <c r="G377" s="137" t="s">
        <v>109</v>
      </c>
      <c r="H377" s="138">
        <v>45493</v>
      </c>
      <c r="I377" s="139" t="s">
        <v>384</v>
      </c>
      <c r="J377" s="137" t="s">
        <v>21210</v>
      </c>
      <c r="K377" s="137">
        <v>39</v>
      </c>
      <c r="L377" s="133" t="str">
        <f t="shared" si="5"/>
        <v>007</v>
      </c>
    </row>
    <row r="378" spans="1:12" x14ac:dyDescent="0.3">
      <c r="A378" s="136">
        <v>374</v>
      </c>
      <c r="B378" s="137" t="s">
        <v>13294</v>
      </c>
      <c r="C378" s="10" t="str">
        <f>VLOOKUP(B378,'Data Angt'!$A$5:$B$5809,2,FALSE)</f>
        <v>A4680</v>
      </c>
      <c r="D378" s="137" t="s">
        <v>21211</v>
      </c>
      <c r="E378" s="137" t="s">
        <v>22</v>
      </c>
      <c r="F378" s="137">
        <v>81282019391</v>
      </c>
      <c r="G378" s="137" t="s">
        <v>46</v>
      </c>
      <c r="H378" s="138">
        <v>45493</v>
      </c>
      <c r="I378" s="139" t="s">
        <v>384</v>
      </c>
      <c r="J378" s="137" t="s">
        <v>21212</v>
      </c>
      <c r="K378" s="137">
        <v>43</v>
      </c>
      <c r="L378" s="133" t="str">
        <f t="shared" si="5"/>
        <v>007</v>
      </c>
    </row>
    <row r="379" spans="1:12" x14ac:dyDescent="0.3">
      <c r="A379" s="136">
        <v>375</v>
      </c>
      <c r="B379" s="137" t="s">
        <v>13296</v>
      </c>
      <c r="C379" s="10" t="str">
        <f>VLOOKUP(B379,'Data Angt'!$A$5:$B$5809,2,FALSE)</f>
        <v>A4681</v>
      </c>
      <c r="D379" s="137" t="s">
        <v>19621</v>
      </c>
      <c r="E379" s="137" t="s">
        <v>22</v>
      </c>
      <c r="F379" s="137">
        <v>81219277721</v>
      </c>
      <c r="G379" s="137"/>
      <c r="H379" s="138">
        <v>45493</v>
      </c>
      <c r="I379" s="139" t="s">
        <v>384</v>
      </c>
      <c r="J379" s="137" t="s">
        <v>21213</v>
      </c>
      <c r="K379" s="137" t="s">
        <v>19619</v>
      </c>
      <c r="L379" s="133" t="str">
        <f t="shared" si="5"/>
        <v>007</v>
      </c>
    </row>
    <row r="380" spans="1:12" x14ac:dyDescent="0.3">
      <c r="A380" s="136">
        <v>376</v>
      </c>
      <c r="B380" s="137" t="s">
        <v>13297</v>
      </c>
      <c r="C380" s="10" t="str">
        <f>VLOOKUP(B380,'Data Angt'!$A$5:$B$5809,2,FALSE)</f>
        <v>A4682</v>
      </c>
      <c r="D380" s="137" t="s">
        <v>21214</v>
      </c>
      <c r="E380" s="137" t="s">
        <v>22</v>
      </c>
      <c r="F380" s="137">
        <v>85697404147</v>
      </c>
      <c r="G380" s="137" t="s">
        <v>31</v>
      </c>
      <c r="H380" s="138">
        <v>45493</v>
      </c>
      <c r="I380" s="139" t="s">
        <v>384</v>
      </c>
      <c r="J380" s="137" t="s">
        <v>21215</v>
      </c>
      <c r="K380" s="137">
        <v>35</v>
      </c>
      <c r="L380" s="133" t="str">
        <f t="shared" si="5"/>
        <v>007</v>
      </c>
    </row>
    <row r="381" spans="1:12" x14ac:dyDescent="0.3">
      <c r="A381" s="136">
        <v>377</v>
      </c>
      <c r="B381" s="137" t="s">
        <v>13298</v>
      </c>
      <c r="C381" s="10" t="str">
        <f>VLOOKUP(B381,'Data Angt'!$A$5:$B$5809,2,FALSE)</f>
        <v>A4683</v>
      </c>
      <c r="D381" s="137" t="s">
        <v>21216</v>
      </c>
      <c r="E381" s="137" t="s">
        <v>22</v>
      </c>
      <c r="F381" s="137">
        <v>81316666362</v>
      </c>
      <c r="G381" s="137" t="s">
        <v>31</v>
      </c>
      <c r="H381" s="138">
        <v>45493</v>
      </c>
      <c r="I381" s="139" t="s">
        <v>384</v>
      </c>
      <c r="J381" s="137" t="s">
        <v>21217</v>
      </c>
      <c r="K381" s="137">
        <v>43</v>
      </c>
      <c r="L381" s="133" t="str">
        <f t="shared" si="5"/>
        <v>007</v>
      </c>
    </row>
    <row r="382" spans="1:12" x14ac:dyDescent="0.3">
      <c r="A382" s="136">
        <v>378</v>
      </c>
      <c r="B382" s="137" t="s">
        <v>13300</v>
      </c>
      <c r="C382" s="10" t="str">
        <f>VLOOKUP(B382,'Data Angt'!$A$5:$B$5809,2,FALSE)</f>
        <v>A4684</v>
      </c>
      <c r="D382" s="137" t="s">
        <v>19621</v>
      </c>
      <c r="E382" s="137" t="s">
        <v>22</v>
      </c>
      <c r="F382" s="137">
        <v>818147451</v>
      </c>
      <c r="G382" s="137"/>
      <c r="H382" s="138">
        <v>45493</v>
      </c>
      <c r="I382" s="139" t="s">
        <v>384</v>
      </c>
      <c r="J382" s="137" t="s">
        <v>21218</v>
      </c>
      <c r="K382" s="137" t="s">
        <v>19619</v>
      </c>
      <c r="L382" s="133" t="str">
        <f t="shared" si="5"/>
        <v>007</v>
      </c>
    </row>
    <row r="383" spans="1:12" x14ac:dyDescent="0.3">
      <c r="A383" s="136">
        <v>379</v>
      </c>
      <c r="B383" s="137" t="s">
        <v>13301</v>
      </c>
      <c r="C383" s="10" t="str">
        <f>VLOOKUP(B383,'Data Angt'!$A$5:$B$5809,2,FALSE)</f>
        <v>A4685</v>
      </c>
      <c r="D383" s="137" t="s">
        <v>21219</v>
      </c>
      <c r="E383" s="137" t="s">
        <v>22</v>
      </c>
      <c r="F383" s="137">
        <v>81289898829</v>
      </c>
      <c r="G383" s="137" t="s">
        <v>31</v>
      </c>
      <c r="H383" s="138">
        <v>45493</v>
      </c>
      <c r="I383" s="139" t="s">
        <v>384</v>
      </c>
      <c r="J383" s="137" t="s">
        <v>21220</v>
      </c>
      <c r="K383" s="137">
        <v>34</v>
      </c>
      <c r="L383" s="133" t="str">
        <f t="shared" si="5"/>
        <v>007</v>
      </c>
    </row>
    <row r="384" spans="1:12" x14ac:dyDescent="0.3">
      <c r="A384" s="136">
        <v>380</v>
      </c>
      <c r="B384" s="137" t="s">
        <v>21221</v>
      </c>
      <c r="C384" s="10" t="e">
        <f>VLOOKUP(B384,'Data Angt'!$A$5:$B$5809,2,FALSE)</f>
        <v>#N/A</v>
      </c>
      <c r="D384" s="137" t="s">
        <v>21222</v>
      </c>
      <c r="E384" s="137" t="s">
        <v>22</v>
      </c>
      <c r="F384" s="137">
        <v>85710125200</v>
      </c>
      <c r="G384" s="137" t="s">
        <v>31</v>
      </c>
      <c r="H384" s="138">
        <v>45493</v>
      </c>
      <c r="I384" s="138">
        <v>45882</v>
      </c>
      <c r="J384" s="137" t="s">
        <v>21223</v>
      </c>
      <c r="K384" s="137">
        <v>37</v>
      </c>
      <c r="L384" s="133" t="str">
        <f t="shared" si="5"/>
        <v>007</v>
      </c>
    </row>
    <row r="385" spans="1:12" x14ac:dyDescent="0.3">
      <c r="A385" s="136">
        <v>381</v>
      </c>
      <c r="B385" s="137" t="s">
        <v>13303</v>
      </c>
      <c r="C385" s="10" t="str">
        <f>VLOOKUP(B385,'Data Angt'!$A$5:$B$5809,2,FALSE)</f>
        <v>A4686</v>
      </c>
      <c r="D385" s="137" t="s">
        <v>21224</v>
      </c>
      <c r="E385" s="137" t="s">
        <v>22</v>
      </c>
      <c r="F385" s="137">
        <v>818885278</v>
      </c>
      <c r="G385" s="137" t="s">
        <v>31</v>
      </c>
      <c r="H385" s="138">
        <v>45493</v>
      </c>
      <c r="I385" s="139" t="s">
        <v>384</v>
      </c>
      <c r="J385" s="137" t="s">
        <v>21225</v>
      </c>
      <c r="K385" s="137">
        <v>39</v>
      </c>
      <c r="L385" s="133" t="str">
        <f t="shared" si="5"/>
        <v>007</v>
      </c>
    </row>
    <row r="386" spans="1:12" x14ac:dyDescent="0.3">
      <c r="A386" s="136">
        <v>382</v>
      </c>
      <c r="B386" s="137" t="s">
        <v>13305</v>
      </c>
      <c r="C386" s="10" t="str">
        <f>VLOOKUP(B386,'Data Angt'!$A$5:$B$5809,2,FALSE)</f>
        <v>A4687</v>
      </c>
      <c r="D386" s="137" t="s">
        <v>21226</v>
      </c>
      <c r="E386" s="137" t="s">
        <v>22</v>
      </c>
      <c r="F386" s="137">
        <v>8119885837</v>
      </c>
      <c r="G386" s="137" t="s">
        <v>109</v>
      </c>
      <c r="H386" s="138">
        <v>45493</v>
      </c>
      <c r="I386" s="139" t="s">
        <v>384</v>
      </c>
      <c r="J386" s="137" t="s">
        <v>21227</v>
      </c>
      <c r="K386" s="137">
        <v>45</v>
      </c>
      <c r="L386" s="133" t="str">
        <f t="shared" si="5"/>
        <v>007</v>
      </c>
    </row>
    <row r="387" spans="1:12" x14ac:dyDescent="0.3">
      <c r="A387" s="136">
        <v>383</v>
      </c>
      <c r="B387" s="137" t="s">
        <v>13307</v>
      </c>
      <c r="C387" s="10" t="str">
        <f>VLOOKUP(B387,'Data Angt'!$A$5:$B$5809,2,FALSE)</f>
        <v>A4688</v>
      </c>
      <c r="D387" s="137" t="s">
        <v>19621</v>
      </c>
      <c r="E387" s="137" t="s">
        <v>22</v>
      </c>
      <c r="F387" s="137">
        <v>85717683502</v>
      </c>
      <c r="G387" s="137"/>
      <c r="H387" s="138">
        <v>45493</v>
      </c>
      <c r="I387" s="139" t="s">
        <v>384</v>
      </c>
      <c r="J387" s="137" t="s">
        <v>21228</v>
      </c>
      <c r="K387" s="137" t="s">
        <v>19619</v>
      </c>
      <c r="L387" s="133" t="str">
        <f t="shared" si="5"/>
        <v>007</v>
      </c>
    </row>
    <row r="388" spans="1:12" x14ac:dyDescent="0.3">
      <c r="A388" s="136">
        <v>384</v>
      </c>
      <c r="B388" s="137" t="s">
        <v>13308</v>
      </c>
      <c r="C388" s="10" t="str">
        <f>VLOOKUP(B388,'Data Angt'!$A$5:$B$5809,2,FALSE)</f>
        <v>A4689</v>
      </c>
      <c r="D388" s="137" t="s">
        <v>21229</v>
      </c>
      <c r="E388" s="137" t="s">
        <v>11</v>
      </c>
      <c r="F388" s="137">
        <v>81807363063</v>
      </c>
      <c r="G388" s="137" t="s">
        <v>172</v>
      </c>
      <c r="H388" s="138">
        <v>45493</v>
      </c>
      <c r="I388" s="139" t="s">
        <v>384</v>
      </c>
      <c r="J388" s="137" t="s">
        <v>21230</v>
      </c>
      <c r="K388" s="137">
        <v>48</v>
      </c>
      <c r="L388" s="133" t="str">
        <f t="shared" si="5"/>
        <v>007</v>
      </c>
    </row>
    <row r="389" spans="1:12" x14ac:dyDescent="0.3">
      <c r="A389" s="136">
        <v>385</v>
      </c>
      <c r="B389" s="137" t="s">
        <v>13310</v>
      </c>
      <c r="C389" s="10" t="str">
        <f>VLOOKUP(B389,'Data Angt'!$A$5:$B$5809,2,FALSE)</f>
        <v>A4690</v>
      </c>
      <c r="D389" s="137" t="s">
        <v>21231</v>
      </c>
      <c r="E389" s="137" t="s">
        <v>22</v>
      </c>
      <c r="F389" s="137">
        <v>81809023007</v>
      </c>
      <c r="G389" s="137" t="s">
        <v>109</v>
      </c>
      <c r="H389" s="138">
        <v>45493</v>
      </c>
      <c r="I389" s="139" t="s">
        <v>384</v>
      </c>
      <c r="J389" s="137" t="s">
        <v>21232</v>
      </c>
      <c r="K389" s="137">
        <v>46</v>
      </c>
      <c r="L389" s="133" t="str">
        <f t="shared" si="5"/>
        <v>007</v>
      </c>
    </row>
    <row r="390" spans="1:12" x14ac:dyDescent="0.3">
      <c r="A390" s="136">
        <v>386</v>
      </c>
      <c r="B390" s="137" t="s">
        <v>13312</v>
      </c>
      <c r="C390" s="10" t="str">
        <f>VLOOKUP(B390,'Data Angt'!$A$5:$B$5809,2,FALSE)</f>
        <v>A4691</v>
      </c>
      <c r="D390" s="137" t="s">
        <v>21233</v>
      </c>
      <c r="E390" s="137" t="s">
        <v>22</v>
      </c>
      <c r="F390" s="137">
        <v>81281152286</v>
      </c>
      <c r="G390" s="137" t="s">
        <v>31</v>
      </c>
      <c r="H390" s="138">
        <v>45493</v>
      </c>
      <c r="I390" s="139" t="s">
        <v>384</v>
      </c>
      <c r="J390" s="137" t="s">
        <v>21234</v>
      </c>
      <c r="K390" s="137">
        <v>38</v>
      </c>
      <c r="L390" s="133" t="str">
        <f t="shared" ref="L390:L453" si="6">MID(B390,7,3)</f>
        <v>007</v>
      </c>
    </row>
    <row r="391" spans="1:12" x14ac:dyDescent="0.3">
      <c r="A391" s="136">
        <v>387</v>
      </c>
      <c r="B391" s="137" t="s">
        <v>13314</v>
      </c>
      <c r="C391" s="10" t="str">
        <f>VLOOKUP(B391,'Data Angt'!$A$5:$B$5809,2,FALSE)</f>
        <v>A4692</v>
      </c>
      <c r="D391" s="137" t="s">
        <v>21235</v>
      </c>
      <c r="E391" s="137" t="s">
        <v>22</v>
      </c>
      <c r="F391" s="137">
        <v>82231465533</v>
      </c>
      <c r="G391" s="137" t="s">
        <v>31</v>
      </c>
      <c r="H391" s="138">
        <v>45493</v>
      </c>
      <c r="I391" s="139" t="s">
        <v>384</v>
      </c>
      <c r="J391" s="137" t="s">
        <v>21236</v>
      </c>
      <c r="K391" s="137">
        <v>42</v>
      </c>
      <c r="L391" s="133" t="str">
        <f t="shared" si="6"/>
        <v>007</v>
      </c>
    </row>
    <row r="392" spans="1:12" x14ac:dyDescent="0.3">
      <c r="A392" s="136">
        <v>388</v>
      </c>
      <c r="B392" s="137" t="s">
        <v>13316</v>
      </c>
      <c r="C392" s="10" t="str">
        <f>VLOOKUP(B392,'Data Angt'!$A$5:$B$5809,2,FALSE)</f>
        <v>A4693</v>
      </c>
      <c r="D392" s="137" t="s">
        <v>21237</v>
      </c>
      <c r="E392" s="137" t="s">
        <v>22</v>
      </c>
      <c r="F392" s="137">
        <v>87771842130</v>
      </c>
      <c r="G392" s="137" t="s">
        <v>16</v>
      </c>
      <c r="H392" s="138">
        <v>45493</v>
      </c>
      <c r="I392" s="139" t="s">
        <v>384</v>
      </c>
      <c r="J392" s="137" t="s">
        <v>21238</v>
      </c>
      <c r="K392" s="137">
        <v>43</v>
      </c>
      <c r="L392" s="133" t="str">
        <f t="shared" si="6"/>
        <v>007</v>
      </c>
    </row>
    <row r="393" spans="1:12" x14ac:dyDescent="0.3">
      <c r="A393" s="136">
        <v>389</v>
      </c>
      <c r="B393" s="137" t="s">
        <v>13318</v>
      </c>
      <c r="C393" s="10" t="str">
        <f>VLOOKUP(B393,'Data Angt'!$A$5:$B$5809,2,FALSE)</f>
        <v>A4694</v>
      </c>
      <c r="D393" s="137" t="s">
        <v>19621</v>
      </c>
      <c r="E393" s="137" t="s">
        <v>22</v>
      </c>
      <c r="F393" s="137">
        <v>85880888888</v>
      </c>
      <c r="G393" s="137"/>
      <c r="H393" s="138">
        <v>45493</v>
      </c>
      <c r="I393" s="139" t="s">
        <v>384</v>
      </c>
      <c r="J393" s="137" t="s">
        <v>21239</v>
      </c>
      <c r="K393" s="137" t="s">
        <v>19619</v>
      </c>
      <c r="L393" s="133" t="str">
        <f t="shared" si="6"/>
        <v>007</v>
      </c>
    </row>
    <row r="394" spans="1:12" x14ac:dyDescent="0.3">
      <c r="A394" s="136">
        <v>390</v>
      </c>
      <c r="B394" s="137" t="s">
        <v>13319</v>
      </c>
      <c r="C394" s="10" t="str">
        <f>VLOOKUP(B394,'Data Angt'!$A$5:$B$5809,2,FALSE)</f>
        <v>A4695</v>
      </c>
      <c r="D394" s="137" t="s">
        <v>21240</v>
      </c>
      <c r="E394" s="137" t="s">
        <v>11</v>
      </c>
      <c r="F394" s="137">
        <v>81807882027</v>
      </c>
      <c r="G394" s="137" t="s">
        <v>109</v>
      </c>
      <c r="H394" s="138">
        <v>45493</v>
      </c>
      <c r="I394" s="139" t="s">
        <v>384</v>
      </c>
      <c r="J394" s="137" t="s">
        <v>21241</v>
      </c>
      <c r="K394" s="137">
        <v>52</v>
      </c>
      <c r="L394" s="133" t="str">
        <f t="shared" si="6"/>
        <v>007</v>
      </c>
    </row>
    <row r="395" spans="1:12" x14ac:dyDescent="0.3">
      <c r="A395" s="136">
        <v>391</v>
      </c>
      <c r="B395" s="137" t="s">
        <v>13321</v>
      </c>
      <c r="C395" s="10" t="str">
        <f>VLOOKUP(B395,'Data Angt'!$A$5:$B$5809,2,FALSE)</f>
        <v>A4696</v>
      </c>
      <c r="D395" s="137" t="s">
        <v>21242</v>
      </c>
      <c r="E395" s="137" t="s">
        <v>22</v>
      </c>
      <c r="F395" s="137">
        <v>8128908086</v>
      </c>
      <c r="G395" s="137" t="s">
        <v>31</v>
      </c>
      <c r="H395" s="138">
        <v>45493</v>
      </c>
      <c r="I395" s="139" t="s">
        <v>384</v>
      </c>
      <c r="J395" s="137" t="s">
        <v>21243</v>
      </c>
      <c r="K395" s="137">
        <v>38</v>
      </c>
      <c r="L395" s="133" t="str">
        <f t="shared" si="6"/>
        <v>007</v>
      </c>
    </row>
    <row r="396" spans="1:12" x14ac:dyDescent="0.3">
      <c r="A396" s="136">
        <v>392</v>
      </c>
      <c r="B396" s="137" t="s">
        <v>13322</v>
      </c>
      <c r="C396" s="10" t="str">
        <f>VLOOKUP(B396,'Data Angt'!$A$5:$B$5809,2,FALSE)</f>
        <v>A4697</v>
      </c>
      <c r="D396" s="137" t="s">
        <v>19621</v>
      </c>
      <c r="E396" s="137" t="s">
        <v>22</v>
      </c>
      <c r="F396" s="137">
        <v>81296990865</v>
      </c>
      <c r="G396" s="137"/>
      <c r="H396" s="138">
        <v>45493</v>
      </c>
      <c r="I396" s="139" t="s">
        <v>384</v>
      </c>
      <c r="J396" s="137" t="s">
        <v>21244</v>
      </c>
      <c r="K396" s="137" t="s">
        <v>19619</v>
      </c>
      <c r="L396" s="133" t="str">
        <f t="shared" si="6"/>
        <v>007</v>
      </c>
    </row>
    <row r="397" spans="1:12" x14ac:dyDescent="0.3">
      <c r="A397" s="136">
        <v>393</v>
      </c>
      <c r="B397" s="137" t="s">
        <v>13323</v>
      </c>
      <c r="C397" s="10" t="str">
        <f>VLOOKUP(B397,'Data Angt'!$A$5:$B$5809,2,FALSE)</f>
        <v>A4698</v>
      </c>
      <c r="D397" s="137" t="s">
        <v>21245</v>
      </c>
      <c r="E397" s="137" t="s">
        <v>22</v>
      </c>
      <c r="F397" s="137">
        <v>8111660486</v>
      </c>
      <c r="G397" s="137" t="s">
        <v>109</v>
      </c>
      <c r="H397" s="138">
        <v>45493</v>
      </c>
      <c r="I397" s="139" t="s">
        <v>384</v>
      </c>
      <c r="J397" s="137" t="s">
        <v>21246</v>
      </c>
      <c r="K397" s="137">
        <v>45</v>
      </c>
      <c r="L397" s="133" t="str">
        <f t="shared" si="6"/>
        <v>007</v>
      </c>
    </row>
    <row r="398" spans="1:12" x14ac:dyDescent="0.3">
      <c r="A398" s="136">
        <v>394</v>
      </c>
      <c r="B398" s="137" t="s">
        <v>13325</v>
      </c>
      <c r="C398" s="10" t="str">
        <f>VLOOKUP(B398,'Data Angt'!$A$5:$B$5809,2,FALSE)</f>
        <v>A4699</v>
      </c>
      <c r="D398" s="137" t="s">
        <v>21247</v>
      </c>
      <c r="E398" s="137" t="s">
        <v>22</v>
      </c>
      <c r="F398" s="137">
        <v>81220500505</v>
      </c>
      <c r="G398" s="137" t="s">
        <v>109</v>
      </c>
      <c r="H398" s="138">
        <v>45493</v>
      </c>
      <c r="I398" s="139" t="s">
        <v>384</v>
      </c>
      <c r="J398" s="137" t="s">
        <v>21248</v>
      </c>
      <c r="K398" s="137">
        <v>45</v>
      </c>
      <c r="L398" s="133" t="str">
        <f t="shared" si="6"/>
        <v>007</v>
      </c>
    </row>
    <row r="399" spans="1:12" x14ac:dyDescent="0.3">
      <c r="A399" s="136">
        <v>395</v>
      </c>
      <c r="B399" s="137" t="s">
        <v>13327</v>
      </c>
      <c r="C399" s="10" t="str">
        <f>VLOOKUP(B399,'Data Angt'!$A$5:$B$5809,2,FALSE)</f>
        <v>A4700</v>
      </c>
      <c r="D399" s="137" t="s">
        <v>21249</v>
      </c>
      <c r="E399" s="137" t="s">
        <v>22</v>
      </c>
      <c r="F399" s="137">
        <v>82111841777</v>
      </c>
      <c r="G399" s="137" t="s">
        <v>31</v>
      </c>
      <c r="H399" s="138">
        <v>45493</v>
      </c>
      <c r="I399" s="139" t="s">
        <v>384</v>
      </c>
      <c r="J399" s="137" t="s">
        <v>21250</v>
      </c>
      <c r="K399" s="137">
        <v>37</v>
      </c>
      <c r="L399" s="133" t="str">
        <f t="shared" si="6"/>
        <v>007</v>
      </c>
    </row>
    <row r="400" spans="1:12" x14ac:dyDescent="0.3">
      <c r="A400" s="136">
        <v>396</v>
      </c>
      <c r="B400" s="137" t="s">
        <v>13329</v>
      </c>
      <c r="C400" s="10" t="str">
        <f>VLOOKUP(B400,'Data Angt'!$A$5:$B$5809,2,FALSE)</f>
        <v>A4701</v>
      </c>
      <c r="D400" s="137" t="s">
        <v>21251</v>
      </c>
      <c r="E400" s="137" t="s">
        <v>22</v>
      </c>
      <c r="F400" s="137">
        <v>85814662026</v>
      </c>
      <c r="G400" s="137" t="s">
        <v>31</v>
      </c>
      <c r="H400" s="138">
        <v>45493</v>
      </c>
      <c r="I400" s="139" t="s">
        <v>384</v>
      </c>
      <c r="J400" s="137" t="s">
        <v>21252</v>
      </c>
      <c r="K400" s="137">
        <v>37</v>
      </c>
      <c r="L400" s="133" t="str">
        <f t="shared" si="6"/>
        <v>007</v>
      </c>
    </row>
    <row r="401" spans="1:12" x14ac:dyDescent="0.3">
      <c r="A401" s="136">
        <v>397</v>
      </c>
      <c r="B401" s="137" t="s">
        <v>13331</v>
      </c>
      <c r="C401" s="10" t="str">
        <f>VLOOKUP(B401,'Data Angt'!$A$5:$B$5809,2,FALSE)</f>
        <v>A4702</v>
      </c>
      <c r="D401" s="137" t="s">
        <v>21253</v>
      </c>
      <c r="E401" s="137" t="s">
        <v>22</v>
      </c>
      <c r="F401" s="137">
        <v>85890066141</v>
      </c>
      <c r="G401" s="137" t="s">
        <v>109</v>
      </c>
      <c r="H401" s="138">
        <v>45493</v>
      </c>
      <c r="I401" s="139" t="s">
        <v>384</v>
      </c>
      <c r="J401" s="137" t="s">
        <v>21254</v>
      </c>
      <c r="K401" s="137">
        <v>49</v>
      </c>
      <c r="L401" s="133" t="str">
        <f t="shared" si="6"/>
        <v>007</v>
      </c>
    </row>
    <row r="402" spans="1:12" x14ac:dyDescent="0.3">
      <c r="A402" s="136">
        <v>398</v>
      </c>
      <c r="B402" s="137" t="s">
        <v>13333</v>
      </c>
      <c r="C402" s="10" t="str">
        <f>VLOOKUP(B402,'Data Angt'!$A$5:$B$5809,2,FALSE)</f>
        <v>A4703</v>
      </c>
      <c r="D402" s="137" t="s">
        <v>21255</v>
      </c>
      <c r="E402" s="137" t="s">
        <v>22</v>
      </c>
      <c r="F402" s="137">
        <v>81221809927</v>
      </c>
      <c r="G402" s="137" t="s">
        <v>109</v>
      </c>
      <c r="H402" s="138">
        <v>45493</v>
      </c>
      <c r="I402" s="139" t="s">
        <v>384</v>
      </c>
      <c r="J402" s="137" t="s">
        <v>21256</v>
      </c>
      <c r="K402" s="137">
        <v>42</v>
      </c>
      <c r="L402" s="133" t="str">
        <f t="shared" si="6"/>
        <v>007</v>
      </c>
    </row>
    <row r="403" spans="1:12" x14ac:dyDescent="0.3">
      <c r="A403" s="136">
        <v>399</v>
      </c>
      <c r="B403" s="137" t="s">
        <v>13335</v>
      </c>
      <c r="C403" s="10" t="str">
        <f>VLOOKUP(B403,'Data Angt'!$A$5:$B$5809,2,FALSE)</f>
        <v>A4704</v>
      </c>
      <c r="D403" s="137" t="s">
        <v>21257</v>
      </c>
      <c r="E403" s="137" t="s">
        <v>22</v>
      </c>
      <c r="F403" s="137">
        <v>81997673737</v>
      </c>
      <c r="G403" s="137" t="s">
        <v>31</v>
      </c>
      <c r="H403" s="138">
        <v>45493</v>
      </c>
      <c r="I403" s="139" t="s">
        <v>384</v>
      </c>
      <c r="J403" s="137" t="s">
        <v>21258</v>
      </c>
      <c r="K403" s="137">
        <v>41</v>
      </c>
      <c r="L403" s="133" t="str">
        <f t="shared" si="6"/>
        <v>007</v>
      </c>
    </row>
    <row r="404" spans="1:12" x14ac:dyDescent="0.3">
      <c r="A404" s="136">
        <v>400</v>
      </c>
      <c r="B404" s="137" t="s">
        <v>13337</v>
      </c>
      <c r="C404" s="10" t="str">
        <f>VLOOKUP(B404,'Data Angt'!$A$5:$B$5809,2,FALSE)</f>
        <v>A4705</v>
      </c>
      <c r="D404" s="137" t="s">
        <v>19701</v>
      </c>
      <c r="E404" s="137" t="s">
        <v>22</v>
      </c>
      <c r="F404" s="137">
        <v>8128266802</v>
      </c>
      <c r="G404" s="137" t="s">
        <v>109</v>
      </c>
      <c r="H404" s="138">
        <v>45493</v>
      </c>
      <c r="I404" s="139" t="s">
        <v>384</v>
      </c>
      <c r="J404" s="137" t="s">
        <v>21259</v>
      </c>
      <c r="K404" s="137">
        <v>49</v>
      </c>
      <c r="L404" s="133" t="str">
        <f t="shared" si="6"/>
        <v>007</v>
      </c>
    </row>
    <row r="405" spans="1:12" x14ac:dyDescent="0.3">
      <c r="A405" s="136">
        <v>401</v>
      </c>
      <c r="B405" s="137" t="s">
        <v>13339</v>
      </c>
      <c r="C405" s="10" t="str">
        <f>VLOOKUP(B405,'Data Angt'!$A$5:$B$5809,2,FALSE)</f>
        <v>A4706</v>
      </c>
      <c r="D405" s="137" t="s">
        <v>21260</v>
      </c>
      <c r="E405" s="137" t="s">
        <v>22</v>
      </c>
      <c r="F405" s="137">
        <v>818934672</v>
      </c>
      <c r="G405" s="137" t="s">
        <v>109</v>
      </c>
      <c r="H405" s="138">
        <v>45493</v>
      </c>
      <c r="I405" s="139" t="s">
        <v>384</v>
      </c>
      <c r="J405" s="137" t="s">
        <v>21261</v>
      </c>
      <c r="K405" s="137">
        <v>40</v>
      </c>
      <c r="L405" s="133" t="str">
        <f t="shared" si="6"/>
        <v>007</v>
      </c>
    </row>
    <row r="406" spans="1:12" x14ac:dyDescent="0.3">
      <c r="A406" s="136">
        <v>402</v>
      </c>
      <c r="B406" s="137" t="s">
        <v>13341</v>
      </c>
      <c r="C406" s="10" t="str">
        <f>VLOOKUP(B406,'Data Angt'!$A$5:$B$5809,2,FALSE)</f>
        <v>A4707</v>
      </c>
      <c r="D406" s="137" t="s">
        <v>21262</v>
      </c>
      <c r="E406" s="137" t="s">
        <v>11</v>
      </c>
      <c r="F406" s="137">
        <v>81399000412</v>
      </c>
      <c r="G406" s="137" t="s">
        <v>109</v>
      </c>
      <c r="H406" s="138">
        <v>45493</v>
      </c>
      <c r="I406" s="139" t="s">
        <v>384</v>
      </c>
      <c r="J406" s="137" t="s">
        <v>21263</v>
      </c>
      <c r="K406" s="137">
        <v>47</v>
      </c>
      <c r="L406" s="133" t="str">
        <f t="shared" si="6"/>
        <v>007</v>
      </c>
    </row>
    <row r="407" spans="1:12" x14ac:dyDescent="0.3">
      <c r="A407" s="136">
        <v>403</v>
      </c>
      <c r="B407" s="137" t="s">
        <v>13342</v>
      </c>
      <c r="C407" s="10" t="str">
        <f>VLOOKUP(B407,'Data Angt'!$A$5:$B$5809,2,FALSE)</f>
        <v>A4708</v>
      </c>
      <c r="D407" s="137" t="s">
        <v>21264</v>
      </c>
      <c r="E407" s="137" t="s">
        <v>22</v>
      </c>
      <c r="F407" s="137">
        <v>81299046138</v>
      </c>
      <c r="G407" s="137" t="s">
        <v>31</v>
      </c>
      <c r="H407" s="138">
        <v>45493</v>
      </c>
      <c r="I407" s="139" t="s">
        <v>384</v>
      </c>
      <c r="J407" s="137" t="s">
        <v>21265</v>
      </c>
      <c r="K407" s="137">
        <v>38</v>
      </c>
      <c r="L407" s="133" t="str">
        <f t="shared" si="6"/>
        <v>007</v>
      </c>
    </row>
    <row r="408" spans="1:12" x14ac:dyDescent="0.3">
      <c r="A408" s="136">
        <v>404</v>
      </c>
      <c r="B408" s="137" t="s">
        <v>13344</v>
      </c>
      <c r="C408" s="10" t="str">
        <f>VLOOKUP(B408,'Data Angt'!$A$5:$B$5809,2,FALSE)</f>
        <v>A4709</v>
      </c>
      <c r="D408" s="137" t="s">
        <v>21266</v>
      </c>
      <c r="E408" s="137" t="s">
        <v>22</v>
      </c>
      <c r="F408" s="137">
        <v>81319905007</v>
      </c>
      <c r="G408" s="137" t="s">
        <v>31</v>
      </c>
      <c r="H408" s="138">
        <v>45493</v>
      </c>
      <c r="I408" s="139" t="s">
        <v>384</v>
      </c>
      <c r="J408" s="137" t="s">
        <v>21267</v>
      </c>
      <c r="K408" s="137">
        <v>44</v>
      </c>
      <c r="L408" s="133" t="str">
        <f t="shared" si="6"/>
        <v>007</v>
      </c>
    </row>
    <row r="409" spans="1:12" x14ac:dyDescent="0.3">
      <c r="A409" s="136">
        <v>405</v>
      </c>
      <c r="B409" s="137" t="s">
        <v>13345</v>
      </c>
      <c r="C409" s="10" t="str">
        <f>VLOOKUP(B409,'Data Angt'!$A$5:$B$5809,2,FALSE)</f>
        <v>A4710</v>
      </c>
      <c r="D409" s="137" t="s">
        <v>21268</v>
      </c>
      <c r="E409" s="137" t="s">
        <v>22</v>
      </c>
      <c r="F409" s="137">
        <v>81584249770</v>
      </c>
      <c r="G409" s="137" t="s">
        <v>109</v>
      </c>
      <c r="H409" s="138">
        <v>45493</v>
      </c>
      <c r="I409" s="139" t="s">
        <v>384</v>
      </c>
      <c r="J409" s="137" t="s">
        <v>21269</v>
      </c>
      <c r="K409" s="137">
        <v>41</v>
      </c>
      <c r="L409" s="133" t="str">
        <f t="shared" si="6"/>
        <v>007</v>
      </c>
    </row>
    <row r="410" spans="1:12" x14ac:dyDescent="0.3">
      <c r="A410" s="136">
        <v>406</v>
      </c>
      <c r="B410" s="137" t="s">
        <v>13347</v>
      </c>
      <c r="C410" s="10" t="str">
        <f>VLOOKUP(B410,'Data Angt'!$A$5:$B$5809,2,FALSE)</f>
        <v>A4711</v>
      </c>
      <c r="D410" s="137" t="s">
        <v>21270</v>
      </c>
      <c r="E410" s="137" t="s">
        <v>22</v>
      </c>
      <c r="F410" s="137">
        <v>81717712688</v>
      </c>
      <c r="G410" s="137" t="s">
        <v>46</v>
      </c>
      <c r="H410" s="138">
        <v>45493</v>
      </c>
      <c r="I410" s="139" t="s">
        <v>384</v>
      </c>
      <c r="J410" s="137" t="s">
        <v>21271</v>
      </c>
      <c r="K410" s="137">
        <v>37</v>
      </c>
      <c r="L410" s="133" t="str">
        <f t="shared" si="6"/>
        <v>007</v>
      </c>
    </row>
    <row r="411" spans="1:12" x14ac:dyDescent="0.3">
      <c r="A411" s="136">
        <v>407</v>
      </c>
      <c r="B411" s="137" t="s">
        <v>13348</v>
      </c>
      <c r="C411" s="10" t="str">
        <f>VLOOKUP(B411,'Data Angt'!$A$5:$B$5809,2,FALSE)</f>
        <v>A4712</v>
      </c>
      <c r="D411" s="137" t="s">
        <v>21272</v>
      </c>
      <c r="E411" s="137" t="s">
        <v>22</v>
      </c>
      <c r="F411" s="137">
        <v>81918035818</v>
      </c>
      <c r="G411" s="137" t="s">
        <v>109</v>
      </c>
      <c r="H411" s="138">
        <v>45493</v>
      </c>
      <c r="I411" s="139" t="s">
        <v>384</v>
      </c>
      <c r="J411" s="137" t="s">
        <v>21273</v>
      </c>
      <c r="K411" s="137">
        <v>39</v>
      </c>
      <c r="L411" s="133" t="str">
        <f t="shared" si="6"/>
        <v>007</v>
      </c>
    </row>
    <row r="412" spans="1:12" x14ac:dyDescent="0.3">
      <c r="A412" s="136">
        <v>408</v>
      </c>
      <c r="B412" s="137" t="s">
        <v>13350</v>
      </c>
      <c r="C412" s="10" t="str">
        <f>VLOOKUP(B412,'Data Angt'!$A$5:$B$5809,2,FALSE)</f>
        <v>A4713</v>
      </c>
      <c r="D412" s="137" t="s">
        <v>19621</v>
      </c>
      <c r="E412" s="137" t="s">
        <v>22</v>
      </c>
      <c r="F412" s="137">
        <v>8158728559</v>
      </c>
      <c r="G412" s="137"/>
      <c r="H412" s="138">
        <v>45493</v>
      </c>
      <c r="I412" s="139" t="s">
        <v>384</v>
      </c>
      <c r="J412" s="137" t="s">
        <v>21274</v>
      </c>
      <c r="K412" s="137" t="s">
        <v>19619</v>
      </c>
      <c r="L412" s="133" t="str">
        <f t="shared" si="6"/>
        <v>007</v>
      </c>
    </row>
    <row r="413" spans="1:12" x14ac:dyDescent="0.3">
      <c r="A413" s="136">
        <v>409</v>
      </c>
      <c r="B413" s="137" t="s">
        <v>13351</v>
      </c>
      <c r="C413" s="10" t="str">
        <f>VLOOKUP(B413,'Data Angt'!$A$5:$B$5809,2,FALSE)</f>
        <v>A4714</v>
      </c>
      <c r="D413" s="137" t="s">
        <v>21275</v>
      </c>
      <c r="E413" s="137" t="s">
        <v>22</v>
      </c>
      <c r="F413" s="137">
        <v>895346451212</v>
      </c>
      <c r="G413" s="137" t="s">
        <v>31</v>
      </c>
      <c r="H413" s="138">
        <v>45493</v>
      </c>
      <c r="I413" s="139" t="s">
        <v>384</v>
      </c>
      <c r="J413" s="137" t="s">
        <v>21276</v>
      </c>
      <c r="K413" s="137">
        <v>46</v>
      </c>
      <c r="L413" s="133" t="str">
        <f t="shared" si="6"/>
        <v>007</v>
      </c>
    </row>
    <row r="414" spans="1:12" x14ac:dyDescent="0.3">
      <c r="A414" s="136">
        <v>410</v>
      </c>
      <c r="B414" s="137" t="s">
        <v>13353</v>
      </c>
      <c r="C414" s="10" t="str">
        <f>VLOOKUP(B414,'Data Angt'!$A$5:$B$5809,2,FALSE)</f>
        <v>A4715</v>
      </c>
      <c r="D414" s="137" t="s">
        <v>19621</v>
      </c>
      <c r="E414" s="137" t="s">
        <v>22</v>
      </c>
      <c r="F414" s="137">
        <v>81284468859</v>
      </c>
      <c r="G414" s="137"/>
      <c r="H414" s="138">
        <v>45493</v>
      </c>
      <c r="I414" s="139" t="s">
        <v>384</v>
      </c>
      <c r="J414" s="137" t="s">
        <v>21277</v>
      </c>
      <c r="K414" s="137" t="s">
        <v>19619</v>
      </c>
      <c r="L414" s="133" t="str">
        <f t="shared" si="6"/>
        <v>007</v>
      </c>
    </row>
    <row r="415" spans="1:12" x14ac:dyDescent="0.3">
      <c r="A415" s="136">
        <v>411</v>
      </c>
      <c r="B415" s="137" t="s">
        <v>13354</v>
      </c>
      <c r="C415" s="10" t="str">
        <f>VLOOKUP(B415,'Data Angt'!$A$5:$B$5809,2,FALSE)</f>
        <v>A4716</v>
      </c>
      <c r="D415" s="137" t="s">
        <v>19621</v>
      </c>
      <c r="E415" s="137" t="s">
        <v>22</v>
      </c>
      <c r="F415" s="137">
        <v>85218009878</v>
      </c>
      <c r="G415" s="137"/>
      <c r="H415" s="138">
        <v>45493</v>
      </c>
      <c r="I415" s="139" t="s">
        <v>384</v>
      </c>
      <c r="J415" s="137" t="s">
        <v>21278</v>
      </c>
      <c r="K415" s="137" t="s">
        <v>19619</v>
      </c>
      <c r="L415" s="133" t="str">
        <f t="shared" si="6"/>
        <v>007</v>
      </c>
    </row>
    <row r="416" spans="1:12" x14ac:dyDescent="0.3">
      <c r="A416" s="136">
        <v>412</v>
      </c>
      <c r="B416" s="137" t="s">
        <v>13355</v>
      </c>
      <c r="C416" s="10" t="str">
        <f>VLOOKUP(B416,'Data Angt'!$A$5:$B$5809,2,FALSE)</f>
        <v>A4717</v>
      </c>
      <c r="D416" s="137" t="s">
        <v>21279</v>
      </c>
      <c r="E416" s="137" t="s">
        <v>22</v>
      </c>
      <c r="F416" s="137">
        <v>81295661077</v>
      </c>
      <c r="G416" s="137" t="s">
        <v>31</v>
      </c>
      <c r="H416" s="138">
        <v>45493</v>
      </c>
      <c r="I416" s="139" t="s">
        <v>384</v>
      </c>
      <c r="J416" s="137" t="s">
        <v>21280</v>
      </c>
      <c r="K416" s="137">
        <v>34</v>
      </c>
      <c r="L416" s="133" t="str">
        <f t="shared" si="6"/>
        <v>007</v>
      </c>
    </row>
    <row r="417" spans="1:12" x14ac:dyDescent="0.3">
      <c r="A417" s="136">
        <v>413</v>
      </c>
      <c r="B417" s="137" t="s">
        <v>13357</v>
      </c>
      <c r="C417" s="10" t="str">
        <f>VLOOKUP(B417,'Data Angt'!$A$5:$B$5809,2,FALSE)</f>
        <v>A4718</v>
      </c>
      <c r="D417" s="137" t="s">
        <v>21281</v>
      </c>
      <c r="E417" s="137" t="s">
        <v>22</v>
      </c>
      <c r="F417" s="137">
        <v>81317585261</v>
      </c>
      <c r="G417" s="137" t="s">
        <v>31</v>
      </c>
      <c r="H417" s="138">
        <v>45493</v>
      </c>
      <c r="I417" s="139" t="s">
        <v>384</v>
      </c>
      <c r="J417" s="137" t="s">
        <v>21282</v>
      </c>
      <c r="K417" s="137">
        <v>50</v>
      </c>
      <c r="L417" s="133" t="str">
        <f t="shared" si="6"/>
        <v>007</v>
      </c>
    </row>
    <row r="418" spans="1:12" x14ac:dyDescent="0.3">
      <c r="A418" s="136">
        <v>414</v>
      </c>
      <c r="B418" s="137" t="s">
        <v>13359</v>
      </c>
      <c r="C418" s="10" t="str">
        <f>VLOOKUP(B418,'Data Angt'!$A$5:$B$5809,2,FALSE)</f>
        <v>A4719</v>
      </c>
      <c r="D418" s="137" t="s">
        <v>21283</v>
      </c>
      <c r="E418" s="137" t="s">
        <v>22</v>
      </c>
      <c r="F418" s="137">
        <v>85710894926</v>
      </c>
      <c r="G418" s="137" t="s">
        <v>46</v>
      </c>
      <c r="H418" s="138">
        <v>45493</v>
      </c>
      <c r="I418" s="139" t="s">
        <v>384</v>
      </c>
      <c r="J418" s="137" t="s">
        <v>21284</v>
      </c>
      <c r="K418" s="137">
        <v>37</v>
      </c>
      <c r="L418" s="133" t="str">
        <f t="shared" si="6"/>
        <v>007</v>
      </c>
    </row>
    <row r="419" spans="1:12" x14ac:dyDescent="0.3">
      <c r="A419" s="136">
        <v>415</v>
      </c>
      <c r="B419" s="137" t="s">
        <v>13361</v>
      </c>
      <c r="C419" s="10" t="str">
        <f>VLOOKUP(B419,'Data Angt'!$A$5:$B$5809,2,FALSE)</f>
        <v>A4720</v>
      </c>
      <c r="D419" s="137" t="s">
        <v>21285</v>
      </c>
      <c r="E419" s="137" t="s">
        <v>22</v>
      </c>
      <c r="F419" s="137">
        <v>82199852166</v>
      </c>
      <c r="G419" s="137" t="s">
        <v>46</v>
      </c>
      <c r="H419" s="138">
        <v>45493</v>
      </c>
      <c r="I419" s="139" t="s">
        <v>384</v>
      </c>
      <c r="J419" s="137" t="s">
        <v>21286</v>
      </c>
      <c r="K419" s="137">
        <v>47</v>
      </c>
      <c r="L419" s="133" t="str">
        <f t="shared" si="6"/>
        <v>007</v>
      </c>
    </row>
    <row r="420" spans="1:12" x14ac:dyDescent="0.3">
      <c r="A420" s="136">
        <v>416</v>
      </c>
      <c r="B420" s="137" t="s">
        <v>13362</v>
      </c>
      <c r="C420" s="10" t="str">
        <f>VLOOKUP(B420,'Data Angt'!$A$5:$B$5809,2,FALSE)</f>
        <v>A4721</v>
      </c>
      <c r="D420" s="137" t="s">
        <v>21287</v>
      </c>
      <c r="E420" s="137" t="s">
        <v>22</v>
      </c>
      <c r="F420" s="137">
        <v>81224307194</v>
      </c>
      <c r="G420" s="137" t="s">
        <v>31</v>
      </c>
      <c r="H420" s="138">
        <v>45493</v>
      </c>
      <c r="I420" s="139" t="s">
        <v>384</v>
      </c>
      <c r="J420" s="137" t="s">
        <v>21288</v>
      </c>
      <c r="K420" s="137">
        <v>43</v>
      </c>
      <c r="L420" s="133" t="str">
        <f t="shared" si="6"/>
        <v>007</v>
      </c>
    </row>
    <row r="421" spans="1:12" x14ac:dyDescent="0.3">
      <c r="A421" s="136">
        <v>417</v>
      </c>
      <c r="B421" s="137" t="s">
        <v>13364</v>
      </c>
      <c r="C421" s="10" t="str">
        <f>VLOOKUP(B421,'Data Angt'!$A$5:$B$5809,2,FALSE)</f>
        <v>A4722</v>
      </c>
      <c r="D421" s="137" t="s">
        <v>21289</v>
      </c>
      <c r="E421" s="137" t="s">
        <v>22</v>
      </c>
      <c r="F421" s="137">
        <v>81210320325</v>
      </c>
      <c r="G421" s="137" t="s">
        <v>31</v>
      </c>
      <c r="H421" s="138">
        <v>45493</v>
      </c>
      <c r="I421" s="139" t="s">
        <v>384</v>
      </c>
      <c r="J421" s="137" t="s">
        <v>21290</v>
      </c>
      <c r="K421" s="137">
        <v>64</v>
      </c>
      <c r="L421" s="133" t="str">
        <f t="shared" si="6"/>
        <v>007</v>
      </c>
    </row>
    <row r="422" spans="1:12" x14ac:dyDescent="0.3">
      <c r="A422" s="136">
        <v>418</v>
      </c>
      <c r="B422" s="137" t="s">
        <v>13365</v>
      </c>
      <c r="C422" s="10" t="str">
        <f>VLOOKUP(B422,'Data Angt'!$A$5:$B$5809,2,FALSE)</f>
        <v>A4723</v>
      </c>
      <c r="D422" s="137" t="s">
        <v>19621</v>
      </c>
      <c r="E422" s="137" t="s">
        <v>22</v>
      </c>
      <c r="F422" s="137">
        <v>8128105084</v>
      </c>
      <c r="G422" s="137" t="s">
        <v>109</v>
      </c>
      <c r="H422" s="138">
        <v>45493</v>
      </c>
      <c r="I422" s="139" t="s">
        <v>384</v>
      </c>
      <c r="J422" s="137" t="s">
        <v>21291</v>
      </c>
      <c r="K422" s="137" t="s">
        <v>19619</v>
      </c>
      <c r="L422" s="133" t="str">
        <f t="shared" si="6"/>
        <v>007</v>
      </c>
    </row>
    <row r="423" spans="1:12" x14ac:dyDescent="0.3">
      <c r="A423" s="136">
        <v>419</v>
      </c>
      <c r="B423" s="137" t="s">
        <v>13366</v>
      </c>
      <c r="C423" s="10" t="str">
        <f>VLOOKUP(B423,'Data Angt'!$A$5:$B$5809,2,FALSE)</f>
        <v>A4724</v>
      </c>
      <c r="D423" s="137" t="s">
        <v>21292</v>
      </c>
      <c r="E423" s="137" t="s">
        <v>22</v>
      </c>
      <c r="F423" s="137">
        <v>81289397292</v>
      </c>
      <c r="G423" s="137" t="s">
        <v>109</v>
      </c>
      <c r="H423" s="138">
        <v>45493</v>
      </c>
      <c r="I423" s="139" t="s">
        <v>384</v>
      </c>
      <c r="J423" s="137" t="s">
        <v>21293</v>
      </c>
      <c r="K423" s="137">
        <v>51</v>
      </c>
      <c r="L423" s="133" t="str">
        <f t="shared" si="6"/>
        <v>007</v>
      </c>
    </row>
    <row r="424" spans="1:12" x14ac:dyDescent="0.3">
      <c r="A424" s="136">
        <v>420</v>
      </c>
      <c r="B424" s="137" t="s">
        <v>13368</v>
      </c>
      <c r="C424" s="10" t="str">
        <f>VLOOKUP(B424,'Data Angt'!$A$5:$B$5809,2,FALSE)</f>
        <v>A4725</v>
      </c>
      <c r="D424" s="137" t="s">
        <v>19621</v>
      </c>
      <c r="E424" s="137" t="s">
        <v>11</v>
      </c>
      <c r="F424" s="137">
        <v>8156016191</v>
      </c>
      <c r="G424" s="137" t="s">
        <v>109</v>
      </c>
      <c r="H424" s="138">
        <v>45493</v>
      </c>
      <c r="I424" s="139" t="s">
        <v>384</v>
      </c>
      <c r="J424" s="137" t="s">
        <v>21294</v>
      </c>
      <c r="K424" s="137" t="s">
        <v>19619</v>
      </c>
      <c r="L424" s="133" t="str">
        <f t="shared" si="6"/>
        <v>007</v>
      </c>
    </row>
    <row r="425" spans="1:12" x14ac:dyDescent="0.3">
      <c r="A425" s="136">
        <v>421</v>
      </c>
      <c r="B425" s="137" t="s">
        <v>13369</v>
      </c>
      <c r="C425" s="10" t="str">
        <f>VLOOKUP(B425,'Data Angt'!$A$5:$B$5809,2,FALSE)</f>
        <v>A4726</v>
      </c>
      <c r="D425" s="137" t="s">
        <v>21295</v>
      </c>
      <c r="E425" s="137" t="s">
        <v>22</v>
      </c>
      <c r="F425" s="137">
        <v>81298578889</v>
      </c>
      <c r="G425" s="137" t="s">
        <v>31</v>
      </c>
      <c r="H425" s="138">
        <v>45493</v>
      </c>
      <c r="I425" s="139" t="s">
        <v>384</v>
      </c>
      <c r="J425" s="137" t="s">
        <v>21296</v>
      </c>
      <c r="K425" s="137">
        <v>45</v>
      </c>
      <c r="L425" s="133" t="str">
        <f t="shared" si="6"/>
        <v>007</v>
      </c>
    </row>
    <row r="426" spans="1:12" x14ac:dyDescent="0.3">
      <c r="A426" s="136">
        <v>422</v>
      </c>
      <c r="B426" s="137" t="s">
        <v>13371</v>
      </c>
      <c r="C426" s="10" t="str">
        <f>VLOOKUP(B426,'Data Angt'!$A$5:$B$5809,2,FALSE)</f>
        <v>A4727</v>
      </c>
      <c r="D426" s="137" t="s">
        <v>21297</v>
      </c>
      <c r="E426" s="137" t="s">
        <v>22</v>
      </c>
      <c r="F426" s="137">
        <v>81298999517</v>
      </c>
      <c r="G426" s="137" t="s">
        <v>109</v>
      </c>
      <c r="H426" s="138">
        <v>45493</v>
      </c>
      <c r="I426" s="139" t="s">
        <v>384</v>
      </c>
      <c r="J426" s="137" t="s">
        <v>21298</v>
      </c>
      <c r="K426" s="137">
        <v>44</v>
      </c>
      <c r="L426" s="133" t="str">
        <f t="shared" si="6"/>
        <v>007</v>
      </c>
    </row>
    <row r="427" spans="1:12" x14ac:dyDescent="0.3">
      <c r="A427" s="136">
        <v>423</v>
      </c>
      <c r="B427" s="137" t="s">
        <v>13372</v>
      </c>
      <c r="C427" s="10" t="str">
        <f>VLOOKUP(B427,'Data Angt'!$A$5:$B$5809,2,FALSE)</f>
        <v>A4728</v>
      </c>
      <c r="D427" s="137" t="s">
        <v>21299</v>
      </c>
      <c r="E427" s="137" t="s">
        <v>22</v>
      </c>
      <c r="F427" s="137">
        <v>81510171122</v>
      </c>
      <c r="G427" s="137" t="s">
        <v>31</v>
      </c>
      <c r="H427" s="138">
        <v>45493</v>
      </c>
      <c r="I427" s="139" t="s">
        <v>384</v>
      </c>
      <c r="J427" s="137" t="s">
        <v>21300</v>
      </c>
      <c r="K427" s="137">
        <v>62</v>
      </c>
      <c r="L427" s="133" t="str">
        <f t="shared" si="6"/>
        <v>007</v>
      </c>
    </row>
    <row r="428" spans="1:12" x14ac:dyDescent="0.3">
      <c r="A428" s="136">
        <v>424</v>
      </c>
      <c r="B428" s="137" t="s">
        <v>13374</v>
      </c>
      <c r="C428" s="10" t="str">
        <f>VLOOKUP(B428,'Data Angt'!$A$5:$B$5809,2,FALSE)</f>
        <v>A4729</v>
      </c>
      <c r="D428" s="137" t="s">
        <v>19471</v>
      </c>
      <c r="E428" s="137" t="s">
        <v>22</v>
      </c>
      <c r="F428" s="137">
        <v>8174847485</v>
      </c>
      <c r="G428" s="137" t="s">
        <v>31</v>
      </c>
      <c r="H428" s="138">
        <v>45493</v>
      </c>
      <c r="I428" s="139" t="s">
        <v>384</v>
      </c>
      <c r="J428" s="137" t="s">
        <v>21301</v>
      </c>
      <c r="K428" s="137">
        <v>54</v>
      </c>
      <c r="L428" s="133" t="str">
        <f t="shared" si="6"/>
        <v>007</v>
      </c>
    </row>
    <row r="429" spans="1:12" x14ac:dyDescent="0.3">
      <c r="A429" s="136">
        <v>425</v>
      </c>
      <c r="B429" s="137" t="s">
        <v>13376</v>
      </c>
      <c r="C429" s="10" t="str">
        <f>VLOOKUP(B429,'Data Angt'!$A$5:$B$5809,2,FALSE)</f>
        <v>A4730</v>
      </c>
      <c r="D429" s="137" t="s">
        <v>21302</v>
      </c>
      <c r="E429" s="137" t="s">
        <v>22</v>
      </c>
      <c r="F429" s="137">
        <v>82312214824</v>
      </c>
      <c r="G429" s="137" t="s">
        <v>109</v>
      </c>
      <c r="H429" s="138">
        <v>45493</v>
      </c>
      <c r="I429" s="139" t="s">
        <v>384</v>
      </c>
      <c r="J429" s="137" t="s">
        <v>21303</v>
      </c>
      <c r="K429" s="137">
        <v>45</v>
      </c>
      <c r="L429" s="133" t="str">
        <f t="shared" si="6"/>
        <v>007</v>
      </c>
    </row>
    <row r="430" spans="1:12" x14ac:dyDescent="0.3">
      <c r="A430" s="136">
        <v>426</v>
      </c>
      <c r="B430" s="137" t="s">
        <v>13378</v>
      </c>
      <c r="C430" s="10" t="str">
        <f>VLOOKUP(B430,'Data Angt'!$A$5:$B$5809,2,FALSE)</f>
        <v>A4731</v>
      </c>
      <c r="D430" s="137" t="s">
        <v>21304</v>
      </c>
      <c r="E430" s="137" t="s">
        <v>22</v>
      </c>
      <c r="F430" s="137">
        <v>8158745560</v>
      </c>
      <c r="G430" s="137" t="s">
        <v>109</v>
      </c>
      <c r="H430" s="138">
        <v>45493</v>
      </c>
      <c r="I430" s="139" t="s">
        <v>384</v>
      </c>
      <c r="J430" s="137" t="s">
        <v>21305</v>
      </c>
      <c r="K430" s="137">
        <v>42</v>
      </c>
      <c r="L430" s="133" t="str">
        <f t="shared" si="6"/>
        <v>007</v>
      </c>
    </row>
    <row r="431" spans="1:12" x14ac:dyDescent="0.3">
      <c r="A431" s="136">
        <v>427</v>
      </c>
      <c r="B431" s="137" t="s">
        <v>13380</v>
      </c>
      <c r="C431" s="10" t="str">
        <f>VLOOKUP(B431,'Data Angt'!$A$5:$B$5809,2,FALSE)</f>
        <v>A4732</v>
      </c>
      <c r="D431" s="137" t="s">
        <v>21306</v>
      </c>
      <c r="E431" s="137" t="s">
        <v>22</v>
      </c>
      <c r="F431" s="137">
        <v>818816937</v>
      </c>
      <c r="G431" s="137" t="s">
        <v>31</v>
      </c>
      <c r="H431" s="138">
        <v>45493</v>
      </c>
      <c r="I431" s="139" t="s">
        <v>384</v>
      </c>
      <c r="J431" s="137" t="s">
        <v>21307</v>
      </c>
      <c r="K431" s="137">
        <v>46</v>
      </c>
      <c r="L431" s="133" t="str">
        <f t="shared" si="6"/>
        <v>007</v>
      </c>
    </row>
    <row r="432" spans="1:12" x14ac:dyDescent="0.3">
      <c r="A432" s="136">
        <v>428</v>
      </c>
      <c r="B432" s="137" t="s">
        <v>13382</v>
      </c>
      <c r="C432" s="10" t="str">
        <f>VLOOKUP(B432,'Data Angt'!$A$5:$B$5809,2,FALSE)</f>
        <v>A4733</v>
      </c>
      <c r="D432" s="137" t="s">
        <v>21308</v>
      </c>
      <c r="E432" s="137" t="s">
        <v>22</v>
      </c>
      <c r="F432" s="137">
        <v>8118079168</v>
      </c>
      <c r="G432" s="137" t="s">
        <v>109</v>
      </c>
      <c r="H432" s="138">
        <v>45493</v>
      </c>
      <c r="I432" s="139" t="s">
        <v>384</v>
      </c>
      <c r="J432" s="137" t="s">
        <v>21309</v>
      </c>
      <c r="K432" s="137">
        <v>44</v>
      </c>
      <c r="L432" s="133" t="str">
        <f t="shared" si="6"/>
        <v>007</v>
      </c>
    </row>
    <row r="433" spans="1:12" x14ac:dyDescent="0.3">
      <c r="A433" s="136">
        <v>429</v>
      </c>
      <c r="B433" s="137" t="s">
        <v>13383</v>
      </c>
      <c r="C433" s="10" t="str">
        <f>VLOOKUP(B433,'Data Angt'!$A$5:$B$5809,2,FALSE)</f>
        <v>A4734</v>
      </c>
      <c r="D433" s="137" t="s">
        <v>21310</v>
      </c>
      <c r="E433" s="137" t="s">
        <v>22</v>
      </c>
      <c r="F433" s="137">
        <v>81319626026</v>
      </c>
      <c r="G433" s="137" t="s">
        <v>31</v>
      </c>
      <c r="H433" s="138">
        <v>45493</v>
      </c>
      <c r="I433" s="139" t="s">
        <v>384</v>
      </c>
      <c r="J433" s="137" t="s">
        <v>21311</v>
      </c>
      <c r="K433" s="137">
        <v>49</v>
      </c>
      <c r="L433" s="133" t="str">
        <f t="shared" si="6"/>
        <v>007</v>
      </c>
    </row>
    <row r="434" spans="1:12" x14ac:dyDescent="0.3">
      <c r="A434" s="136">
        <v>430</v>
      </c>
      <c r="B434" s="137" t="s">
        <v>13384</v>
      </c>
      <c r="C434" s="10" t="str">
        <f>VLOOKUP(B434,'Data Angt'!$A$5:$B$5809,2,FALSE)</f>
        <v>A4735</v>
      </c>
      <c r="D434" s="137" t="s">
        <v>19621</v>
      </c>
      <c r="E434" s="137" t="s">
        <v>11</v>
      </c>
      <c r="F434" s="137">
        <v>8118899009</v>
      </c>
      <c r="G434" s="137"/>
      <c r="H434" s="138">
        <v>45493</v>
      </c>
      <c r="I434" s="139" t="s">
        <v>384</v>
      </c>
      <c r="J434" s="137" t="s">
        <v>21312</v>
      </c>
      <c r="K434" s="137" t="s">
        <v>19619</v>
      </c>
      <c r="L434" s="133" t="str">
        <f t="shared" si="6"/>
        <v>007</v>
      </c>
    </row>
    <row r="435" spans="1:12" x14ac:dyDescent="0.3">
      <c r="A435" s="136">
        <v>431</v>
      </c>
      <c r="B435" s="137" t="s">
        <v>13385</v>
      </c>
      <c r="C435" s="10" t="str">
        <f>VLOOKUP(B435,'Data Angt'!$A$5:$B$5809,2,FALSE)</f>
        <v>A4736</v>
      </c>
      <c r="D435" s="137" t="s">
        <v>21313</v>
      </c>
      <c r="E435" s="137" t="s">
        <v>22</v>
      </c>
      <c r="F435" s="137">
        <v>8567112858</v>
      </c>
      <c r="G435" s="137" t="s">
        <v>16</v>
      </c>
      <c r="H435" s="138">
        <v>45493</v>
      </c>
      <c r="I435" s="139" t="s">
        <v>384</v>
      </c>
      <c r="J435" s="137" t="s">
        <v>21314</v>
      </c>
      <c r="K435" s="137">
        <v>39</v>
      </c>
      <c r="L435" s="133" t="str">
        <f t="shared" si="6"/>
        <v>007</v>
      </c>
    </row>
    <row r="436" spans="1:12" x14ac:dyDescent="0.3">
      <c r="A436" s="136">
        <v>432</v>
      </c>
      <c r="B436" s="137" t="s">
        <v>13387</v>
      </c>
      <c r="C436" s="10" t="str">
        <f>VLOOKUP(B436,'Data Angt'!$A$5:$B$5809,2,FALSE)</f>
        <v>A4737</v>
      </c>
      <c r="D436" s="137" t="s">
        <v>21315</v>
      </c>
      <c r="E436" s="137" t="s">
        <v>22</v>
      </c>
      <c r="F436" s="137">
        <v>8128167249</v>
      </c>
      <c r="G436" s="137" t="s">
        <v>109</v>
      </c>
      <c r="H436" s="138">
        <v>45493</v>
      </c>
      <c r="I436" s="139" t="s">
        <v>384</v>
      </c>
      <c r="J436" s="137" t="s">
        <v>21316</v>
      </c>
      <c r="K436" s="137">
        <v>43</v>
      </c>
      <c r="L436" s="133" t="str">
        <f t="shared" si="6"/>
        <v>007</v>
      </c>
    </row>
    <row r="437" spans="1:12" x14ac:dyDescent="0.3">
      <c r="A437" s="136">
        <v>433</v>
      </c>
      <c r="B437" s="137" t="s">
        <v>13388</v>
      </c>
      <c r="C437" s="10" t="str">
        <f>VLOOKUP(B437,'Data Angt'!$A$5:$B$5809,2,FALSE)</f>
        <v>A4738</v>
      </c>
      <c r="D437" s="137" t="s">
        <v>21317</v>
      </c>
      <c r="E437" s="137" t="s">
        <v>22</v>
      </c>
      <c r="F437" s="137">
        <v>81210109628</v>
      </c>
      <c r="G437" s="137" t="s">
        <v>31</v>
      </c>
      <c r="H437" s="138">
        <v>45493</v>
      </c>
      <c r="I437" s="139" t="s">
        <v>384</v>
      </c>
      <c r="J437" s="137" t="s">
        <v>21318</v>
      </c>
      <c r="K437" s="137">
        <v>40</v>
      </c>
      <c r="L437" s="133" t="str">
        <f t="shared" si="6"/>
        <v>007</v>
      </c>
    </row>
    <row r="438" spans="1:12" x14ac:dyDescent="0.3">
      <c r="A438" s="136">
        <v>434</v>
      </c>
      <c r="B438" s="137" t="s">
        <v>13390</v>
      </c>
      <c r="C438" s="10" t="str">
        <f>VLOOKUP(B438,'Data Angt'!$A$5:$B$5809,2,FALSE)</f>
        <v>A4739</v>
      </c>
      <c r="D438" s="137" t="s">
        <v>21319</v>
      </c>
      <c r="E438" s="137" t="s">
        <v>22</v>
      </c>
      <c r="F438" s="137">
        <v>81382724339</v>
      </c>
      <c r="G438" s="137" t="s">
        <v>109</v>
      </c>
      <c r="H438" s="138">
        <v>45493</v>
      </c>
      <c r="I438" s="139" t="s">
        <v>384</v>
      </c>
      <c r="J438" s="137" t="s">
        <v>21320</v>
      </c>
      <c r="K438" s="137">
        <v>40</v>
      </c>
      <c r="L438" s="133" t="str">
        <f t="shared" si="6"/>
        <v>007</v>
      </c>
    </row>
    <row r="439" spans="1:12" x14ac:dyDescent="0.3">
      <c r="A439" s="136">
        <v>435</v>
      </c>
      <c r="B439" s="137" t="s">
        <v>13392</v>
      </c>
      <c r="C439" s="10" t="str">
        <f>VLOOKUP(B439,'Data Angt'!$A$5:$B$5809,2,FALSE)</f>
        <v>A4740</v>
      </c>
      <c r="D439" s="137" t="s">
        <v>21321</v>
      </c>
      <c r="E439" s="137" t="s">
        <v>22</v>
      </c>
      <c r="F439" s="137">
        <v>89605142322</v>
      </c>
      <c r="G439" s="137" t="s">
        <v>109</v>
      </c>
      <c r="H439" s="138">
        <v>45493</v>
      </c>
      <c r="I439" s="139" t="s">
        <v>384</v>
      </c>
      <c r="J439" s="137" t="s">
        <v>21322</v>
      </c>
      <c r="K439" s="137">
        <v>46</v>
      </c>
      <c r="L439" s="133" t="str">
        <f t="shared" si="6"/>
        <v>007</v>
      </c>
    </row>
    <row r="440" spans="1:12" x14ac:dyDescent="0.3">
      <c r="A440" s="136">
        <v>436</v>
      </c>
      <c r="B440" s="137" t="s">
        <v>13394</v>
      </c>
      <c r="C440" s="10" t="str">
        <f>VLOOKUP(B440,'Data Angt'!$A$5:$B$5809,2,FALSE)</f>
        <v>A4741</v>
      </c>
      <c r="D440" s="137" t="s">
        <v>21323</v>
      </c>
      <c r="E440" s="137" t="s">
        <v>11</v>
      </c>
      <c r="F440" s="137">
        <v>88213457584</v>
      </c>
      <c r="G440" s="137" t="s">
        <v>109</v>
      </c>
      <c r="H440" s="138">
        <v>45493</v>
      </c>
      <c r="I440" s="139" t="s">
        <v>384</v>
      </c>
      <c r="J440" s="137" t="s">
        <v>21324</v>
      </c>
      <c r="K440" s="137">
        <v>46</v>
      </c>
      <c r="L440" s="133" t="str">
        <f t="shared" si="6"/>
        <v>007</v>
      </c>
    </row>
    <row r="441" spans="1:12" x14ac:dyDescent="0.3">
      <c r="A441" s="136">
        <v>437</v>
      </c>
      <c r="B441" s="137" t="s">
        <v>13396</v>
      </c>
      <c r="C441" s="10" t="str">
        <f>VLOOKUP(B441,'Data Angt'!$A$5:$B$5809,2,FALSE)</f>
        <v>A4742</v>
      </c>
      <c r="D441" s="137" t="s">
        <v>21325</v>
      </c>
      <c r="E441" s="137" t="s">
        <v>22</v>
      </c>
      <c r="F441" s="137">
        <v>81517026162</v>
      </c>
      <c r="G441" s="137"/>
      <c r="H441" s="138">
        <v>45493</v>
      </c>
      <c r="I441" s="139" t="s">
        <v>384</v>
      </c>
      <c r="J441" s="137" t="s">
        <v>21326</v>
      </c>
      <c r="K441" s="137">
        <v>38</v>
      </c>
      <c r="L441" s="133" t="str">
        <f t="shared" si="6"/>
        <v>007</v>
      </c>
    </row>
    <row r="442" spans="1:12" x14ac:dyDescent="0.3">
      <c r="A442" s="136">
        <v>438</v>
      </c>
      <c r="B442" s="137" t="s">
        <v>13398</v>
      </c>
      <c r="C442" s="10" t="str">
        <f>VLOOKUP(B442,'Data Angt'!$A$5:$B$5809,2,FALSE)</f>
        <v>A4743</v>
      </c>
      <c r="D442" s="137" t="s">
        <v>21327</v>
      </c>
      <c r="E442" s="137" t="s">
        <v>22</v>
      </c>
      <c r="F442" s="137">
        <v>8111107591</v>
      </c>
      <c r="G442" s="137" t="s">
        <v>109</v>
      </c>
      <c r="H442" s="138">
        <v>45493</v>
      </c>
      <c r="I442" s="139" t="s">
        <v>384</v>
      </c>
      <c r="J442" s="137" t="s">
        <v>21328</v>
      </c>
      <c r="K442" s="137">
        <v>49</v>
      </c>
      <c r="L442" s="133" t="str">
        <f t="shared" si="6"/>
        <v>007</v>
      </c>
    </row>
    <row r="443" spans="1:12" x14ac:dyDescent="0.3">
      <c r="A443" s="136">
        <v>439</v>
      </c>
      <c r="B443" s="137" t="s">
        <v>13400</v>
      </c>
      <c r="C443" s="10" t="str">
        <f>VLOOKUP(B443,'Data Angt'!$A$5:$B$5809,2,FALSE)</f>
        <v>A4744</v>
      </c>
      <c r="D443" s="137" t="s">
        <v>19621</v>
      </c>
      <c r="E443" s="137" t="s">
        <v>22</v>
      </c>
      <c r="F443" s="137">
        <v>81911148803</v>
      </c>
      <c r="G443" s="137" t="s">
        <v>31</v>
      </c>
      <c r="H443" s="138">
        <v>45493</v>
      </c>
      <c r="I443" s="139" t="s">
        <v>384</v>
      </c>
      <c r="J443" s="137" t="s">
        <v>21329</v>
      </c>
      <c r="K443" s="137" t="s">
        <v>19619</v>
      </c>
      <c r="L443" s="133" t="str">
        <f t="shared" si="6"/>
        <v>007</v>
      </c>
    </row>
    <row r="444" spans="1:12" x14ac:dyDescent="0.3">
      <c r="A444" s="136">
        <v>440</v>
      </c>
      <c r="B444" s="137" t="s">
        <v>13401</v>
      </c>
      <c r="C444" s="10" t="str">
        <f>VLOOKUP(B444,'Data Angt'!$A$5:$B$5809,2,FALSE)</f>
        <v>A4745</v>
      </c>
      <c r="D444" s="137" t="s">
        <v>19621</v>
      </c>
      <c r="E444" s="137" t="s">
        <v>22</v>
      </c>
      <c r="F444" s="137">
        <v>81380898775</v>
      </c>
      <c r="G444" s="137"/>
      <c r="H444" s="138">
        <v>45493</v>
      </c>
      <c r="I444" s="139" t="s">
        <v>384</v>
      </c>
      <c r="J444" s="137" t="s">
        <v>21330</v>
      </c>
      <c r="K444" s="137" t="s">
        <v>19619</v>
      </c>
      <c r="L444" s="133" t="str">
        <f t="shared" si="6"/>
        <v>007</v>
      </c>
    </row>
    <row r="445" spans="1:12" x14ac:dyDescent="0.3">
      <c r="A445" s="136">
        <v>441</v>
      </c>
      <c r="B445" s="137" t="s">
        <v>13402</v>
      </c>
      <c r="C445" s="10" t="str">
        <f>VLOOKUP(B445,'Data Angt'!$A$5:$B$5809,2,FALSE)</f>
        <v>A4746</v>
      </c>
      <c r="D445" s="137" t="s">
        <v>21331</v>
      </c>
      <c r="E445" s="137" t="s">
        <v>22</v>
      </c>
      <c r="F445" s="137">
        <v>81310100971</v>
      </c>
      <c r="G445" s="137" t="s">
        <v>31</v>
      </c>
      <c r="H445" s="138">
        <v>45493</v>
      </c>
      <c r="I445" s="139" t="s">
        <v>384</v>
      </c>
      <c r="J445" s="137" t="s">
        <v>21332</v>
      </c>
      <c r="K445" s="137">
        <v>50</v>
      </c>
      <c r="L445" s="133" t="str">
        <f t="shared" si="6"/>
        <v>007</v>
      </c>
    </row>
    <row r="446" spans="1:12" x14ac:dyDescent="0.3">
      <c r="A446" s="136">
        <v>442</v>
      </c>
      <c r="B446" s="137" t="s">
        <v>13403</v>
      </c>
      <c r="C446" s="10" t="str">
        <f>VLOOKUP(B446,'Data Angt'!$A$5:$B$5809,2,FALSE)</f>
        <v>A4747</v>
      </c>
      <c r="D446" s="137" t="s">
        <v>21333</v>
      </c>
      <c r="E446" s="137" t="s">
        <v>22</v>
      </c>
      <c r="F446" s="137">
        <v>85695610260</v>
      </c>
      <c r="G446" s="137" t="s">
        <v>31</v>
      </c>
      <c r="H446" s="138">
        <v>45493</v>
      </c>
      <c r="I446" s="139" t="s">
        <v>384</v>
      </c>
      <c r="J446" s="137" t="s">
        <v>21334</v>
      </c>
      <c r="K446" s="137">
        <v>40</v>
      </c>
      <c r="L446" s="133" t="str">
        <f t="shared" si="6"/>
        <v>007</v>
      </c>
    </row>
    <row r="447" spans="1:12" x14ac:dyDescent="0.3">
      <c r="A447" s="136">
        <v>443</v>
      </c>
      <c r="B447" s="137" t="s">
        <v>13405</v>
      </c>
      <c r="C447" s="10" t="str">
        <f>VLOOKUP(B447,'Data Angt'!$A$5:$B$5809,2,FALSE)</f>
        <v>A4748</v>
      </c>
      <c r="D447" s="137" t="s">
        <v>21335</v>
      </c>
      <c r="E447" s="137" t="s">
        <v>22</v>
      </c>
      <c r="F447" s="137">
        <v>81290825736</v>
      </c>
      <c r="G447" s="137" t="s">
        <v>31</v>
      </c>
      <c r="H447" s="138">
        <v>45493</v>
      </c>
      <c r="I447" s="139" t="s">
        <v>384</v>
      </c>
      <c r="J447" s="137" t="s">
        <v>21336</v>
      </c>
      <c r="K447" s="137">
        <v>41</v>
      </c>
      <c r="L447" s="133" t="str">
        <f t="shared" si="6"/>
        <v>007</v>
      </c>
    </row>
    <row r="448" spans="1:12" x14ac:dyDescent="0.3">
      <c r="A448" s="136">
        <v>444</v>
      </c>
      <c r="B448" s="137" t="s">
        <v>13406</v>
      </c>
      <c r="C448" s="10" t="str">
        <f>VLOOKUP(B448,'Data Angt'!$A$5:$B$5809,2,FALSE)</f>
        <v>A4749</v>
      </c>
      <c r="D448" s="137" t="s">
        <v>19621</v>
      </c>
      <c r="E448" s="137" t="s">
        <v>22</v>
      </c>
      <c r="F448" s="137">
        <v>81285352203</v>
      </c>
      <c r="G448" s="137"/>
      <c r="H448" s="138">
        <v>45493</v>
      </c>
      <c r="I448" s="139" t="s">
        <v>384</v>
      </c>
      <c r="J448" s="137" t="s">
        <v>21337</v>
      </c>
      <c r="K448" s="137" t="s">
        <v>19619</v>
      </c>
      <c r="L448" s="133" t="str">
        <f t="shared" si="6"/>
        <v>007</v>
      </c>
    </row>
    <row r="449" spans="1:12" x14ac:dyDescent="0.3">
      <c r="A449" s="136">
        <v>445</v>
      </c>
      <c r="B449" s="137" t="s">
        <v>13407</v>
      </c>
      <c r="C449" s="10" t="str">
        <f>VLOOKUP(B449,'Data Angt'!$A$5:$B$5809,2,FALSE)</f>
        <v>A4750</v>
      </c>
      <c r="D449" s="137" t="s">
        <v>21338</v>
      </c>
      <c r="E449" s="137" t="s">
        <v>22</v>
      </c>
      <c r="F449" s="137">
        <v>81210507134</v>
      </c>
      <c r="G449" s="137" t="s">
        <v>109</v>
      </c>
      <c r="H449" s="138">
        <v>45493</v>
      </c>
      <c r="I449" s="139" t="s">
        <v>384</v>
      </c>
      <c r="J449" s="137" t="s">
        <v>21339</v>
      </c>
      <c r="K449" s="137">
        <v>42</v>
      </c>
      <c r="L449" s="133" t="str">
        <f t="shared" si="6"/>
        <v>007</v>
      </c>
    </row>
    <row r="450" spans="1:12" x14ac:dyDescent="0.3">
      <c r="A450" s="136">
        <v>446</v>
      </c>
      <c r="B450" s="137" t="s">
        <v>13409</v>
      </c>
      <c r="C450" s="10" t="str">
        <f>VLOOKUP(B450,'Data Angt'!$A$5:$B$5809,2,FALSE)</f>
        <v>A4751</v>
      </c>
      <c r="D450" s="137" t="s">
        <v>21340</v>
      </c>
      <c r="E450" s="137" t="s">
        <v>22</v>
      </c>
      <c r="F450" s="137">
        <v>81281679928</v>
      </c>
      <c r="G450" s="137" t="s">
        <v>109</v>
      </c>
      <c r="H450" s="138">
        <v>45493</v>
      </c>
      <c r="I450" s="139" t="s">
        <v>384</v>
      </c>
      <c r="J450" s="137" t="s">
        <v>21341</v>
      </c>
      <c r="K450" s="137">
        <v>50</v>
      </c>
      <c r="L450" s="133" t="str">
        <f t="shared" si="6"/>
        <v>007</v>
      </c>
    </row>
    <row r="451" spans="1:12" x14ac:dyDescent="0.3">
      <c r="A451" s="136">
        <v>447</v>
      </c>
      <c r="B451" s="137" t="s">
        <v>13410</v>
      </c>
      <c r="C451" s="10" t="str">
        <f>VLOOKUP(B451,'Data Angt'!$A$5:$B$5809,2,FALSE)</f>
        <v>A4752</v>
      </c>
      <c r="D451" s="137" t="s">
        <v>21342</v>
      </c>
      <c r="E451" s="137" t="s">
        <v>22</v>
      </c>
      <c r="F451" s="137">
        <v>81288350497</v>
      </c>
      <c r="G451" s="137" t="s">
        <v>31</v>
      </c>
      <c r="H451" s="138">
        <v>45493</v>
      </c>
      <c r="I451" s="139" t="s">
        <v>384</v>
      </c>
      <c r="J451" s="137" t="s">
        <v>21343</v>
      </c>
      <c r="K451" s="137">
        <v>45</v>
      </c>
      <c r="L451" s="133" t="str">
        <f t="shared" si="6"/>
        <v>007</v>
      </c>
    </row>
    <row r="452" spans="1:12" x14ac:dyDescent="0.3">
      <c r="A452" s="136">
        <v>448</v>
      </c>
      <c r="B452" s="137" t="s">
        <v>13412</v>
      </c>
      <c r="C452" s="10" t="str">
        <f>VLOOKUP(B452,'Data Angt'!$A$5:$B$5809,2,FALSE)</f>
        <v>A4753</v>
      </c>
      <c r="D452" s="137" t="s">
        <v>21344</v>
      </c>
      <c r="E452" s="137" t="s">
        <v>22</v>
      </c>
      <c r="F452" s="137">
        <v>81384890091</v>
      </c>
      <c r="G452" s="137" t="s">
        <v>109</v>
      </c>
      <c r="H452" s="138">
        <v>45493</v>
      </c>
      <c r="I452" s="139" t="s">
        <v>384</v>
      </c>
      <c r="J452" s="137" t="s">
        <v>21345</v>
      </c>
      <c r="K452" s="137">
        <v>42</v>
      </c>
      <c r="L452" s="133" t="str">
        <f t="shared" si="6"/>
        <v>007</v>
      </c>
    </row>
    <row r="453" spans="1:12" x14ac:dyDescent="0.3">
      <c r="A453" s="136">
        <v>449</v>
      </c>
      <c r="B453" s="137" t="s">
        <v>13414</v>
      </c>
      <c r="C453" s="10" t="str">
        <f>VLOOKUP(B453,'Data Angt'!$A$5:$B$5809,2,FALSE)</f>
        <v>A4754</v>
      </c>
      <c r="D453" s="137" t="s">
        <v>21346</v>
      </c>
      <c r="E453" s="137" t="s">
        <v>22</v>
      </c>
      <c r="F453" s="137">
        <v>82111565676</v>
      </c>
      <c r="G453" s="137" t="s">
        <v>31</v>
      </c>
      <c r="H453" s="138">
        <v>45493</v>
      </c>
      <c r="I453" s="139" t="s">
        <v>384</v>
      </c>
      <c r="J453" s="137" t="s">
        <v>21347</v>
      </c>
      <c r="K453" s="137">
        <v>41</v>
      </c>
      <c r="L453" s="133" t="str">
        <f t="shared" si="6"/>
        <v>007</v>
      </c>
    </row>
    <row r="454" spans="1:12" x14ac:dyDescent="0.3">
      <c r="A454" s="136">
        <v>450</v>
      </c>
      <c r="B454" s="137" t="s">
        <v>13416</v>
      </c>
      <c r="C454" s="10" t="str">
        <f>VLOOKUP(B454,'Data Angt'!$A$5:$B$5809,2,FALSE)</f>
        <v>A4755</v>
      </c>
      <c r="D454" s="137" t="s">
        <v>21348</v>
      </c>
      <c r="E454" s="137" t="s">
        <v>22</v>
      </c>
      <c r="F454" s="137">
        <v>81287609336</v>
      </c>
      <c r="G454" s="137" t="s">
        <v>31</v>
      </c>
      <c r="H454" s="138">
        <v>45493</v>
      </c>
      <c r="I454" s="139" t="s">
        <v>384</v>
      </c>
      <c r="J454" s="137" t="s">
        <v>21349</v>
      </c>
      <c r="K454" s="137">
        <v>48</v>
      </c>
      <c r="L454" s="133" t="str">
        <f t="shared" ref="L454:L517" si="7">MID(B454,7,3)</f>
        <v>007</v>
      </c>
    </row>
    <row r="455" spans="1:12" x14ac:dyDescent="0.3">
      <c r="A455" s="136">
        <v>451</v>
      </c>
      <c r="B455" s="137" t="s">
        <v>13418</v>
      </c>
      <c r="C455" s="10" t="str">
        <f>VLOOKUP(B455,'Data Angt'!$A$5:$B$5809,2,FALSE)</f>
        <v>A4756</v>
      </c>
      <c r="D455" s="137" t="s">
        <v>19621</v>
      </c>
      <c r="E455" s="137" t="s">
        <v>22</v>
      </c>
      <c r="F455" s="137">
        <v>87876969665</v>
      </c>
      <c r="G455" s="137"/>
      <c r="H455" s="138">
        <v>45493</v>
      </c>
      <c r="I455" s="139" t="s">
        <v>384</v>
      </c>
      <c r="J455" s="137" t="s">
        <v>21350</v>
      </c>
      <c r="K455" s="137" t="s">
        <v>19619</v>
      </c>
      <c r="L455" s="133" t="str">
        <f t="shared" si="7"/>
        <v>007</v>
      </c>
    </row>
    <row r="456" spans="1:12" x14ac:dyDescent="0.3">
      <c r="A456" s="136">
        <v>452</v>
      </c>
      <c r="B456" s="137" t="s">
        <v>13419</v>
      </c>
      <c r="C456" s="10" t="str">
        <f>VLOOKUP(B456,'Data Angt'!$A$5:$B$5809,2,FALSE)</f>
        <v>A4757</v>
      </c>
      <c r="D456" s="137" t="s">
        <v>21351</v>
      </c>
      <c r="E456" s="137" t="s">
        <v>22</v>
      </c>
      <c r="F456" s="137">
        <v>87874444011</v>
      </c>
      <c r="G456" s="137" t="s">
        <v>31</v>
      </c>
      <c r="H456" s="138">
        <v>45493</v>
      </c>
      <c r="I456" s="139" t="s">
        <v>384</v>
      </c>
      <c r="J456" s="137" t="s">
        <v>21352</v>
      </c>
      <c r="K456" s="137">
        <v>46</v>
      </c>
      <c r="L456" s="133" t="str">
        <f t="shared" si="7"/>
        <v>007</v>
      </c>
    </row>
    <row r="457" spans="1:12" x14ac:dyDescent="0.3">
      <c r="A457" s="136">
        <v>453</v>
      </c>
      <c r="B457" s="137" t="s">
        <v>13421</v>
      </c>
      <c r="C457" s="10" t="str">
        <f>VLOOKUP(B457,'Data Angt'!$A$5:$B$5809,2,FALSE)</f>
        <v>A4758</v>
      </c>
      <c r="D457" s="137" t="s">
        <v>21353</v>
      </c>
      <c r="E457" s="137" t="s">
        <v>22</v>
      </c>
      <c r="F457" s="137">
        <v>81905054656</v>
      </c>
      <c r="G457" s="137" t="s">
        <v>109</v>
      </c>
      <c r="H457" s="138">
        <v>45493</v>
      </c>
      <c r="I457" s="139" t="s">
        <v>384</v>
      </c>
      <c r="J457" s="137" t="s">
        <v>21354</v>
      </c>
      <c r="K457" s="137">
        <v>45</v>
      </c>
      <c r="L457" s="133" t="str">
        <f t="shared" si="7"/>
        <v>007</v>
      </c>
    </row>
    <row r="458" spans="1:12" x14ac:dyDescent="0.3">
      <c r="A458" s="136">
        <v>454</v>
      </c>
      <c r="B458" s="137" t="s">
        <v>13423</v>
      </c>
      <c r="C458" s="10" t="str">
        <f>VLOOKUP(B458,'Data Angt'!$A$5:$B$5809,2,FALSE)</f>
        <v>A4759</v>
      </c>
      <c r="D458" s="137" t="s">
        <v>21355</v>
      </c>
      <c r="E458" s="137" t="s">
        <v>11</v>
      </c>
      <c r="F458" s="137">
        <v>87786753158</v>
      </c>
      <c r="G458" s="137" t="s">
        <v>109</v>
      </c>
      <c r="H458" s="138">
        <v>45493</v>
      </c>
      <c r="I458" s="139" t="s">
        <v>384</v>
      </c>
      <c r="J458" s="137" t="s">
        <v>21356</v>
      </c>
      <c r="K458" s="137">
        <v>41</v>
      </c>
      <c r="L458" s="133" t="str">
        <f t="shared" si="7"/>
        <v>007</v>
      </c>
    </row>
    <row r="459" spans="1:12" x14ac:dyDescent="0.3">
      <c r="A459" s="136">
        <v>455</v>
      </c>
      <c r="B459" s="137" t="s">
        <v>13425</v>
      </c>
      <c r="C459" s="10" t="str">
        <f>VLOOKUP(B459,'Data Angt'!$A$5:$B$5809,2,FALSE)</f>
        <v>A4760</v>
      </c>
      <c r="D459" s="137" t="s">
        <v>21357</v>
      </c>
      <c r="E459" s="137" t="s">
        <v>22</v>
      </c>
      <c r="F459" s="137">
        <v>85921809912</v>
      </c>
      <c r="G459" s="137" t="s">
        <v>31</v>
      </c>
      <c r="H459" s="138">
        <v>45493</v>
      </c>
      <c r="I459" s="139" t="s">
        <v>384</v>
      </c>
      <c r="J459" s="137" t="s">
        <v>21358</v>
      </c>
      <c r="K459" s="137">
        <v>48</v>
      </c>
      <c r="L459" s="133" t="str">
        <f t="shared" si="7"/>
        <v>007</v>
      </c>
    </row>
    <row r="460" spans="1:12" x14ac:dyDescent="0.3">
      <c r="A460" s="136">
        <v>456</v>
      </c>
      <c r="B460" s="137" t="s">
        <v>13426</v>
      </c>
      <c r="C460" s="10" t="str">
        <f>VLOOKUP(B460,'Data Angt'!$A$5:$B$5809,2,FALSE)</f>
        <v>A4761</v>
      </c>
      <c r="D460" s="137" t="s">
        <v>21359</v>
      </c>
      <c r="E460" s="137" t="s">
        <v>22</v>
      </c>
      <c r="F460" s="137">
        <v>82122288846</v>
      </c>
      <c r="G460" s="137" t="s">
        <v>31</v>
      </c>
      <c r="H460" s="138">
        <v>45493</v>
      </c>
      <c r="I460" s="139" t="s">
        <v>384</v>
      </c>
      <c r="J460" s="137" t="s">
        <v>21360</v>
      </c>
      <c r="K460" s="137">
        <v>42</v>
      </c>
      <c r="L460" s="133" t="str">
        <f t="shared" si="7"/>
        <v>007</v>
      </c>
    </row>
    <row r="461" spans="1:12" x14ac:dyDescent="0.3">
      <c r="A461" s="136">
        <v>457</v>
      </c>
      <c r="B461" s="137" t="s">
        <v>13428</v>
      </c>
      <c r="C461" s="10" t="str">
        <f>VLOOKUP(B461,'Data Angt'!$A$5:$B$5809,2,FALSE)</f>
        <v>A4762</v>
      </c>
      <c r="D461" s="137" t="s">
        <v>19621</v>
      </c>
      <c r="E461" s="137" t="s">
        <v>22</v>
      </c>
      <c r="F461" s="137">
        <v>81314299249</v>
      </c>
      <c r="G461" s="137" t="s">
        <v>109</v>
      </c>
      <c r="H461" s="138">
        <v>45493</v>
      </c>
      <c r="I461" s="139" t="s">
        <v>384</v>
      </c>
      <c r="J461" s="137" t="s">
        <v>21361</v>
      </c>
      <c r="K461" s="137" t="s">
        <v>19619</v>
      </c>
      <c r="L461" s="133" t="str">
        <f t="shared" si="7"/>
        <v>007</v>
      </c>
    </row>
    <row r="462" spans="1:12" x14ac:dyDescent="0.3">
      <c r="A462" s="136">
        <v>458</v>
      </c>
      <c r="B462" s="137" t="s">
        <v>13429</v>
      </c>
      <c r="C462" s="10" t="str">
        <f>VLOOKUP(B462,'Data Angt'!$A$5:$B$5809,2,FALSE)</f>
        <v>A4763</v>
      </c>
      <c r="D462" s="137" t="s">
        <v>21362</v>
      </c>
      <c r="E462" s="137" t="s">
        <v>22</v>
      </c>
      <c r="F462" s="137">
        <v>8170985207</v>
      </c>
      <c r="G462" s="137" t="s">
        <v>172</v>
      </c>
      <c r="H462" s="138">
        <v>45493</v>
      </c>
      <c r="I462" s="139" t="s">
        <v>384</v>
      </c>
      <c r="J462" s="137" t="s">
        <v>21363</v>
      </c>
      <c r="K462" s="137">
        <v>52</v>
      </c>
      <c r="L462" s="133" t="str">
        <f t="shared" si="7"/>
        <v>007</v>
      </c>
    </row>
    <row r="463" spans="1:12" x14ac:dyDescent="0.3">
      <c r="A463" s="136">
        <v>459</v>
      </c>
      <c r="B463" s="137" t="s">
        <v>13431</v>
      </c>
      <c r="C463" s="10" t="str">
        <f>VLOOKUP(B463,'Data Angt'!$A$5:$B$5809,2,FALSE)</f>
        <v>A4764</v>
      </c>
      <c r="D463" s="137" t="s">
        <v>19621</v>
      </c>
      <c r="E463" s="137" t="s">
        <v>22</v>
      </c>
      <c r="F463" s="137">
        <v>82208256662</v>
      </c>
      <c r="G463" s="137"/>
      <c r="H463" s="138">
        <v>45493</v>
      </c>
      <c r="I463" s="139" t="s">
        <v>384</v>
      </c>
      <c r="J463" s="137" t="s">
        <v>21364</v>
      </c>
      <c r="K463" s="137" t="s">
        <v>19619</v>
      </c>
      <c r="L463" s="133" t="str">
        <f t="shared" si="7"/>
        <v>007</v>
      </c>
    </row>
    <row r="464" spans="1:12" x14ac:dyDescent="0.3">
      <c r="A464" s="136">
        <v>460</v>
      </c>
      <c r="B464" s="137" t="s">
        <v>13432</v>
      </c>
      <c r="C464" s="10" t="str">
        <f>VLOOKUP(B464,'Data Angt'!$A$5:$B$5809,2,FALSE)</f>
        <v>A4765</v>
      </c>
      <c r="D464" s="137" t="s">
        <v>21365</v>
      </c>
      <c r="E464" s="137" t="s">
        <v>22</v>
      </c>
      <c r="F464" s="137">
        <v>81295419383</v>
      </c>
      <c r="G464" s="137" t="s">
        <v>109</v>
      </c>
      <c r="H464" s="138">
        <v>45493</v>
      </c>
      <c r="I464" s="139" t="s">
        <v>384</v>
      </c>
      <c r="J464" s="137" t="s">
        <v>21366</v>
      </c>
      <c r="K464" s="137">
        <v>44</v>
      </c>
      <c r="L464" s="133" t="str">
        <f t="shared" si="7"/>
        <v>007</v>
      </c>
    </row>
    <row r="465" spans="1:12" x14ac:dyDescent="0.3">
      <c r="A465" s="136">
        <v>461</v>
      </c>
      <c r="B465" s="137" t="s">
        <v>13434</v>
      </c>
      <c r="C465" s="10" t="str">
        <f>VLOOKUP(B465,'Data Angt'!$A$5:$B$5809,2,FALSE)</f>
        <v>A4766</v>
      </c>
      <c r="D465" s="137" t="s">
        <v>19621</v>
      </c>
      <c r="E465" s="137" t="s">
        <v>22</v>
      </c>
      <c r="F465" s="137">
        <v>81905861209</v>
      </c>
      <c r="G465" s="137"/>
      <c r="H465" s="138">
        <v>45493</v>
      </c>
      <c r="I465" s="139" t="s">
        <v>384</v>
      </c>
      <c r="J465" s="137" t="s">
        <v>21367</v>
      </c>
      <c r="K465" s="137" t="s">
        <v>19619</v>
      </c>
      <c r="L465" s="133" t="str">
        <f t="shared" si="7"/>
        <v>007</v>
      </c>
    </row>
    <row r="466" spans="1:12" x14ac:dyDescent="0.3">
      <c r="A466" s="136">
        <v>462</v>
      </c>
      <c r="B466" s="137" t="s">
        <v>13435</v>
      </c>
      <c r="C466" s="10" t="str">
        <f>VLOOKUP(B466,'Data Angt'!$A$5:$B$5809,2,FALSE)</f>
        <v>A4767</v>
      </c>
      <c r="D466" s="137" t="s">
        <v>21368</v>
      </c>
      <c r="E466" s="137" t="s">
        <v>22</v>
      </c>
      <c r="F466" s="137">
        <v>81617260551</v>
      </c>
      <c r="G466" s="137" t="s">
        <v>109</v>
      </c>
      <c r="H466" s="138">
        <v>45493</v>
      </c>
      <c r="I466" s="139" t="s">
        <v>384</v>
      </c>
      <c r="J466" s="137" t="s">
        <v>21369</v>
      </c>
      <c r="K466" s="137">
        <v>41</v>
      </c>
      <c r="L466" s="133" t="str">
        <f t="shared" si="7"/>
        <v>007</v>
      </c>
    </row>
    <row r="467" spans="1:12" x14ac:dyDescent="0.3">
      <c r="A467" s="136">
        <v>463</v>
      </c>
      <c r="B467" s="137" t="s">
        <v>13437</v>
      </c>
      <c r="C467" s="10" t="str">
        <f>VLOOKUP(B467,'Data Angt'!$A$5:$B$5809,2,FALSE)</f>
        <v>A4768</v>
      </c>
      <c r="D467" s="137" t="s">
        <v>21370</v>
      </c>
      <c r="E467" s="137" t="s">
        <v>22</v>
      </c>
      <c r="F467" s="137">
        <v>87809586000</v>
      </c>
      <c r="G467" s="137" t="s">
        <v>109</v>
      </c>
      <c r="H467" s="138">
        <v>45493</v>
      </c>
      <c r="I467" s="139" t="s">
        <v>384</v>
      </c>
      <c r="J467" s="137" t="s">
        <v>21371</v>
      </c>
      <c r="K467" s="137">
        <v>40</v>
      </c>
      <c r="L467" s="133" t="str">
        <f t="shared" si="7"/>
        <v>007</v>
      </c>
    </row>
    <row r="468" spans="1:12" x14ac:dyDescent="0.3">
      <c r="A468" s="136">
        <v>464</v>
      </c>
      <c r="B468" s="137" t="s">
        <v>13439</v>
      </c>
      <c r="C468" s="10" t="str">
        <f>VLOOKUP(B468,'Data Angt'!$A$5:$B$5809,2,FALSE)</f>
        <v>A4769</v>
      </c>
      <c r="D468" s="137" t="s">
        <v>21372</v>
      </c>
      <c r="E468" s="137" t="s">
        <v>22</v>
      </c>
      <c r="F468" s="137">
        <v>81294353496</v>
      </c>
      <c r="G468" s="137" t="s">
        <v>31</v>
      </c>
      <c r="H468" s="138">
        <v>45493</v>
      </c>
      <c r="I468" s="139" t="s">
        <v>384</v>
      </c>
      <c r="J468" s="137" t="s">
        <v>21373</v>
      </c>
      <c r="K468" s="137">
        <v>41</v>
      </c>
      <c r="L468" s="133" t="str">
        <f t="shared" si="7"/>
        <v>007</v>
      </c>
    </row>
    <row r="469" spans="1:12" x14ac:dyDescent="0.3">
      <c r="A469" s="136">
        <v>465</v>
      </c>
      <c r="B469" s="137" t="s">
        <v>13441</v>
      </c>
      <c r="C469" s="10" t="str">
        <f>VLOOKUP(B469,'Data Angt'!$A$5:$B$5809,2,FALSE)</f>
        <v>A4770</v>
      </c>
      <c r="D469" s="137" t="s">
        <v>21374</v>
      </c>
      <c r="E469" s="137" t="s">
        <v>22</v>
      </c>
      <c r="F469" s="137">
        <v>82298142498</v>
      </c>
      <c r="G469" s="137" t="s">
        <v>31</v>
      </c>
      <c r="H469" s="138">
        <v>45493</v>
      </c>
      <c r="I469" s="139" t="s">
        <v>384</v>
      </c>
      <c r="J469" s="137" t="s">
        <v>21375</v>
      </c>
      <c r="K469" s="137">
        <v>43</v>
      </c>
      <c r="L469" s="133" t="str">
        <f t="shared" si="7"/>
        <v>007</v>
      </c>
    </row>
    <row r="470" spans="1:12" x14ac:dyDescent="0.3">
      <c r="A470" s="136">
        <v>466</v>
      </c>
      <c r="B470" s="137" t="s">
        <v>13443</v>
      </c>
      <c r="C470" s="10" t="str">
        <f>VLOOKUP(B470,'Data Angt'!$A$5:$B$5809,2,FALSE)</f>
        <v>A4771</v>
      </c>
      <c r="D470" s="137" t="s">
        <v>21376</v>
      </c>
      <c r="E470" s="137" t="s">
        <v>22</v>
      </c>
      <c r="F470" s="137">
        <v>81281016699</v>
      </c>
      <c r="G470" s="137" t="s">
        <v>109</v>
      </c>
      <c r="H470" s="138">
        <v>45493</v>
      </c>
      <c r="I470" s="139" t="s">
        <v>384</v>
      </c>
      <c r="J470" s="137" t="s">
        <v>21377</v>
      </c>
      <c r="K470" s="137">
        <v>42</v>
      </c>
      <c r="L470" s="133" t="str">
        <f t="shared" si="7"/>
        <v>007</v>
      </c>
    </row>
    <row r="471" spans="1:12" x14ac:dyDescent="0.3">
      <c r="A471" s="136">
        <v>467</v>
      </c>
      <c r="B471" s="137" t="s">
        <v>13444</v>
      </c>
      <c r="C471" s="10" t="str">
        <f>VLOOKUP(B471,'Data Angt'!$A$5:$B$5809,2,FALSE)</f>
        <v>A4772</v>
      </c>
      <c r="D471" s="137" t="s">
        <v>21378</v>
      </c>
      <c r="E471" s="137" t="s">
        <v>22</v>
      </c>
      <c r="F471" s="137">
        <v>8568229835</v>
      </c>
      <c r="G471" s="137" t="s">
        <v>88</v>
      </c>
      <c r="H471" s="138">
        <v>45493</v>
      </c>
      <c r="I471" s="139" t="s">
        <v>384</v>
      </c>
      <c r="J471" s="137" t="s">
        <v>21379</v>
      </c>
      <c r="K471" s="137">
        <v>53</v>
      </c>
      <c r="L471" s="133" t="str">
        <f t="shared" si="7"/>
        <v>007</v>
      </c>
    </row>
    <row r="472" spans="1:12" x14ac:dyDescent="0.3">
      <c r="A472" s="136">
        <v>468</v>
      </c>
      <c r="B472" s="137" t="s">
        <v>13445</v>
      </c>
      <c r="C472" s="10" t="str">
        <f>VLOOKUP(B472,'Data Angt'!$A$5:$B$5809,2,FALSE)</f>
        <v>A4773</v>
      </c>
      <c r="D472" s="137" t="s">
        <v>21380</v>
      </c>
      <c r="E472" s="137" t="s">
        <v>11</v>
      </c>
      <c r="F472" s="137">
        <v>82110997998</v>
      </c>
      <c r="G472" s="137" t="s">
        <v>46</v>
      </c>
      <c r="H472" s="138">
        <v>45493</v>
      </c>
      <c r="I472" s="139" t="s">
        <v>384</v>
      </c>
      <c r="J472" s="137" t="s">
        <v>21381</v>
      </c>
      <c r="K472" s="137">
        <v>39</v>
      </c>
      <c r="L472" s="133" t="str">
        <f t="shared" si="7"/>
        <v>007</v>
      </c>
    </row>
    <row r="473" spans="1:12" x14ac:dyDescent="0.3">
      <c r="A473" s="136">
        <v>469</v>
      </c>
      <c r="B473" s="137" t="s">
        <v>13447</v>
      </c>
      <c r="C473" s="10" t="str">
        <f>VLOOKUP(B473,'Data Angt'!$A$5:$B$5809,2,FALSE)</f>
        <v>A4774</v>
      </c>
      <c r="D473" s="137" t="s">
        <v>21382</v>
      </c>
      <c r="E473" s="137" t="s">
        <v>22</v>
      </c>
      <c r="F473" s="137">
        <v>818260868</v>
      </c>
      <c r="G473" s="137" t="s">
        <v>109</v>
      </c>
      <c r="H473" s="138">
        <v>45493</v>
      </c>
      <c r="I473" s="139" t="s">
        <v>384</v>
      </c>
      <c r="J473" s="137" t="s">
        <v>21383</v>
      </c>
      <c r="K473" s="137">
        <v>39</v>
      </c>
      <c r="L473" s="133" t="str">
        <f t="shared" si="7"/>
        <v>007</v>
      </c>
    </row>
    <row r="474" spans="1:12" x14ac:dyDescent="0.3">
      <c r="A474" s="136">
        <v>470</v>
      </c>
      <c r="B474" s="137" t="s">
        <v>21384</v>
      </c>
      <c r="C474" s="10" t="e">
        <f>VLOOKUP(B474,'Data Angt'!$A$5:$B$5809,2,FALSE)</f>
        <v>#N/A</v>
      </c>
      <c r="D474" s="137" t="s">
        <v>21385</v>
      </c>
      <c r="E474" s="137" t="s">
        <v>22</v>
      </c>
      <c r="F474" s="137">
        <v>8881484987</v>
      </c>
      <c r="G474" s="137" t="s">
        <v>172</v>
      </c>
      <c r="H474" s="138">
        <v>45493</v>
      </c>
      <c r="I474" s="138">
        <v>45785</v>
      </c>
      <c r="J474" s="137" t="s">
        <v>21386</v>
      </c>
      <c r="K474" s="137">
        <v>41</v>
      </c>
      <c r="L474" s="133" t="str">
        <f t="shared" si="7"/>
        <v>007</v>
      </c>
    </row>
    <row r="475" spans="1:12" x14ac:dyDescent="0.3">
      <c r="A475" s="136">
        <v>471</v>
      </c>
      <c r="B475" s="137" t="s">
        <v>13449</v>
      </c>
      <c r="C475" s="10" t="str">
        <f>VLOOKUP(B475,'Data Angt'!$A$5:$B$5809,2,FALSE)</f>
        <v>A4775</v>
      </c>
      <c r="D475" s="137" t="s">
        <v>21387</v>
      </c>
      <c r="E475" s="137" t="s">
        <v>11</v>
      </c>
      <c r="F475" s="137">
        <v>81316733475</v>
      </c>
      <c r="G475" s="137" t="s">
        <v>172</v>
      </c>
      <c r="H475" s="138">
        <v>45493</v>
      </c>
      <c r="I475" s="139" t="s">
        <v>384</v>
      </c>
      <c r="J475" s="137" t="s">
        <v>21388</v>
      </c>
      <c r="K475" s="137">
        <v>42</v>
      </c>
      <c r="L475" s="133" t="str">
        <f t="shared" si="7"/>
        <v>007</v>
      </c>
    </row>
    <row r="476" spans="1:12" x14ac:dyDescent="0.3">
      <c r="A476" s="136">
        <v>472</v>
      </c>
      <c r="B476" s="137" t="s">
        <v>13451</v>
      </c>
      <c r="C476" s="10" t="str">
        <f>VLOOKUP(B476,'Data Angt'!$A$5:$B$5809,2,FALSE)</f>
        <v>A4776</v>
      </c>
      <c r="D476" s="137" t="s">
        <v>19621</v>
      </c>
      <c r="E476" s="137" t="s">
        <v>22</v>
      </c>
      <c r="F476" s="137">
        <v>81210534473</v>
      </c>
      <c r="G476" s="137"/>
      <c r="H476" s="138">
        <v>45493</v>
      </c>
      <c r="I476" s="139" t="s">
        <v>384</v>
      </c>
      <c r="J476" s="137" t="s">
        <v>21389</v>
      </c>
      <c r="K476" s="137" t="s">
        <v>19619</v>
      </c>
      <c r="L476" s="133" t="str">
        <f t="shared" si="7"/>
        <v>007</v>
      </c>
    </row>
    <row r="477" spans="1:12" x14ac:dyDescent="0.3">
      <c r="A477" s="136">
        <v>473</v>
      </c>
      <c r="B477" s="137" t="s">
        <v>13452</v>
      </c>
      <c r="C477" s="10" t="str">
        <f>VLOOKUP(B477,'Data Angt'!$A$5:$B$5809,2,FALSE)</f>
        <v>A4777</v>
      </c>
      <c r="D477" s="137" t="s">
        <v>21116</v>
      </c>
      <c r="E477" s="137" t="s">
        <v>22</v>
      </c>
      <c r="F477" s="137">
        <v>81318087448</v>
      </c>
      <c r="G477" s="137" t="s">
        <v>31</v>
      </c>
      <c r="H477" s="138">
        <v>45493</v>
      </c>
      <c r="I477" s="139" t="s">
        <v>384</v>
      </c>
      <c r="J477" s="137" t="s">
        <v>21390</v>
      </c>
      <c r="K477" s="137">
        <v>42</v>
      </c>
      <c r="L477" s="133" t="str">
        <f t="shared" si="7"/>
        <v>007</v>
      </c>
    </row>
    <row r="478" spans="1:12" x14ac:dyDescent="0.3">
      <c r="A478" s="136">
        <v>474</v>
      </c>
      <c r="B478" s="137" t="s">
        <v>13453</v>
      </c>
      <c r="C478" s="10" t="str">
        <f>VLOOKUP(B478,'Data Angt'!$A$5:$B$5809,2,FALSE)</f>
        <v>A4778</v>
      </c>
      <c r="D478" s="137" t="s">
        <v>21391</v>
      </c>
      <c r="E478" s="137" t="s">
        <v>22</v>
      </c>
      <c r="F478" s="137">
        <v>81282191715</v>
      </c>
      <c r="G478" s="137" t="s">
        <v>109</v>
      </c>
      <c r="H478" s="138">
        <v>45493</v>
      </c>
      <c r="I478" s="139" t="s">
        <v>384</v>
      </c>
      <c r="J478" s="137" t="s">
        <v>21392</v>
      </c>
      <c r="K478" s="137">
        <v>36</v>
      </c>
      <c r="L478" s="133" t="str">
        <f t="shared" si="7"/>
        <v>007</v>
      </c>
    </row>
    <row r="479" spans="1:12" x14ac:dyDescent="0.3">
      <c r="A479" s="136">
        <v>475</v>
      </c>
      <c r="B479" s="137" t="s">
        <v>13455</v>
      </c>
      <c r="C479" s="10" t="str">
        <f>VLOOKUP(B479,'Data Angt'!$A$5:$B$5809,2,FALSE)</f>
        <v>A4779</v>
      </c>
      <c r="D479" s="137" t="s">
        <v>19621</v>
      </c>
      <c r="E479" s="137" t="s">
        <v>22</v>
      </c>
      <c r="F479" s="137">
        <v>81264476447</v>
      </c>
      <c r="G479" s="137"/>
      <c r="H479" s="138">
        <v>45493</v>
      </c>
      <c r="I479" s="139" t="s">
        <v>384</v>
      </c>
      <c r="J479" s="137" t="s">
        <v>21393</v>
      </c>
      <c r="K479" s="137" t="s">
        <v>19619</v>
      </c>
      <c r="L479" s="133" t="str">
        <f t="shared" si="7"/>
        <v>007</v>
      </c>
    </row>
    <row r="480" spans="1:12" x14ac:dyDescent="0.3">
      <c r="A480" s="136">
        <v>476</v>
      </c>
      <c r="B480" s="137" t="s">
        <v>13456</v>
      </c>
      <c r="C480" s="10" t="str">
        <f>VLOOKUP(B480,'Data Angt'!$A$5:$B$5809,2,FALSE)</f>
        <v>A4780</v>
      </c>
      <c r="D480" s="137" t="s">
        <v>21394</v>
      </c>
      <c r="E480" s="137" t="s">
        <v>22</v>
      </c>
      <c r="F480" s="137">
        <v>81280633448</v>
      </c>
      <c r="G480" s="137" t="s">
        <v>31</v>
      </c>
      <c r="H480" s="138">
        <v>45493</v>
      </c>
      <c r="I480" s="139" t="s">
        <v>384</v>
      </c>
      <c r="J480" s="137" t="s">
        <v>21395</v>
      </c>
      <c r="K480" s="137">
        <v>37</v>
      </c>
      <c r="L480" s="133" t="str">
        <f t="shared" si="7"/>
        <v>007</v>
      </c>
    </row>
    <row r="481" spans="1:12" x14ac:dyDescent="0.3">
      <c r="A481" s="136">
        <v>477</v>
      </c>
      <c r="B481" s="137" t="s">
        <v>13458</v>
      </c>
      <c r="C481" s="10" t="str">
        <f>VLOOKUP(B481,'Data Angt'!$A$5:$B$5809,2,FALSE)</f>
        <v>A4781</v>
      </c>
      <c r="D481" s="137" t="s">
        <v>21396</v>
      </c>
      <c r="E481" s="137" t="s">
        <v>22</v>
      </c>
      <c r="F481" s="137">
        <v>81380628947</v>
      </c>
      <c r="G481" s="137" t="s">
        <v>31</v>
      </c>
      <c r="H481" s="138">
        <v>45493</v>
      </c>
      <c r="I481" s="139" t="s">
        <v>384</v>
      </c>
      <c r="J481" s="137" t="s">
        <v>21397</v>
      </c>
      <c r="K481" s="137">
        <v>49</v>
      </c>
      <c r="L481" s="133" t="str">
        <f t="shared" si="7"/>
        <v>007</v>
      </c>
    </row>
    <row r="482" spans="1:12" x14ac:dyDescent="0.3">
      <c r="A482" s="136">
        <v>478</v>
      </c>
      <c r="B482" s="137" t="s">
        <v>13460</v>
      </c>
      <c r="C482" s="10" t="str">
        <f>VLOOKUP(B482,'Data Angt'!$A$5:$B$5809,2,FALSE)</f>
        <v>A4782</v>
      </c>
      <c r="D482" s="137" t="s">
        <v>19621</v>
      </c>
      <c r="E482" s="137" t="s">
        <v>22</v>
      </c>
      <c r="F482" s="137">
        <v>81318915147</v>
      </c>
      <c r="G482" s="137"/>
      <c r="H482" s="138">
        <v>45493</v>
      </c>
      <c r="I482" s="139" t="s">
        <v>384</v>
      </c>
      <c r="J482" s="137" t="s">
        <v>21398</v>
      </c>
      <c r="K482" s="137" t="s">
        <v>19619</v>
      </c>
      <c r="L482" s="133" t="str">
        <f t="shared" si="7"/>
        <v>007</v>
      </c>
    </row>
    <row r="483" spans="1:12" x14ac:dyDescent="0.3">
      <c r="A483" s="136">
        <v>479</v>
      </c>
      <c r="B483" s="137" t="s">
        <v>13461</v>
      </c>
      <c r="C483" s="10" t="str">
        <f>VLOOKUP(B483,'Data Angt'!$A$5:$B$5809,2,FALSE)</f>
        <v>A4783</v>
      </c>
      <c r="D483" s="137" t="s">
        <v>21399</v>
      </c>
      <c r="E483" s="137" t="s">
        <v>22</v>
      </c>
      <c r="F483" s="137">
        <v>81289787004</v>
      </c>
      <c r="G483" s="137" t="s">
        <v>31</v>
      </c>
      <c r="H483" s="138">
        <v>45493</v>
      </c>
      <c r="I483" s="139" t="s">
        <v>384</v>
      </c>
      <c r="J483" s="137" t="s">
        <v>21400</v>
      </c>
      <c r="K483" s="137">
        <v>41</v>
      </c>
      <c r="L483" s="133" t="str">
        <f t="shared" si="7"/>
        <v>007</v>
      </c>
    </row>
    <row r="484" spans="1:12" x14ac:dyDescent="0.3">
      <c r="A484" s="136">
        <v>480</v>
      </c>
      <c r="B484" s="137" t="s">
        <v>13462</v>
      </c>
      <c r="C484" s="10" t="str">
        <f>VLOOKUP(B484,'Data Angt'!$A$5:$B$5809,2,FALSE)</f>
        <v>A4784</v>
      </c>
      <c r="D484" s="137" t="s">
        <v>19621</v>
      </c>
      <c r="E484" s="137" t="s">
        <v>22</v>
      </c>
      <c r="F484" s="137">
        <v>85281181173</v>
      </c>
      <c r="G484" s="137"/>
      <c r="H484" s="138">
        <v>45493</v>
      </c>
      <c r="I484" s="139" t="s">
        <v>384</v>
      </c>
      <c r="J484" s="137" t="s">
        <v>21401</v>
      </c>
      <c r="K484" s="137" t="s">
        <v>19619</v>
      </c>
      <c r="L484" s="133" t="str">
        <f t="shared" si="7"/>
        <v>007</v>
      </c>
    </row>
    <row r="485" spans="1:12" x14ac:dyDescent="0.3">
      <c r="A485" s="136">
        <v>481</v>
      </c>
      <c r="B485" s="137" t="s">
        <v>13463</v>
      </c>
      <c r="C485" s="10" t="str">
        <f>VLOOKUP(B485,'Data Angt'!$A$5:$B$5809,2,FALSE)</f>
        <v>A4785</v>
      </c>
      <c r="D485" s="137" t="s">
        <v>21402</v>
      </c>
      <c r="E485" s="137" t="s">
        <v>22</v>
      </c>
      <c r="F485" s="137">
        <v>8111017801</v>
      </c>
      <c r="G485" s="137" t="s">
        <v>172</v>
      </c>
      <c r="H485" s="138">
        <v>45493</v>
      </c>
      <c r="I485" s="139" t="s">
        <v>384</v>
      </c>
      <c r="J485" s="137" t="s">
        <v>21403</v>
      </c>
      <c r="K485" s="137">
        <v>46</v>
      </c>
      <c r="L485" s="133" t="str">
        <f t="shared" si="7"/>
        <v>007</v>
      </c>
    </row>
    <row r="486" spans="1:12" x14ac:dyDescent="0.3">
      <c r="A486" s="136">
        <v>482</v>
      </c>
      <c r="B486" s="137" t="s">
        <v>13464</v>
      </c>
      <c r="C486" s="10" t="str">
        <f>VLOOKUP(B486,'Data Angt'!$A$5:$B$5809,2,FALSE)</f>
        <v>A4786</v>
      </c>
      <c r="D486" s="137" t="s">
        <v>21404</v>
      </c>
      <c r="E486" s="137" t="s">
        <v>11</v>
      </c>
      <c r="F486" s="137">
        <v>85959065226</v>
      </c>
      <c r="G486" s="137" t="s">
        <v>109</v>
      </c>
      <c r="H486" s="138">
        <v>45493</v>
      </c>
      <c r="I486" s="139" t="s">
        <v>384</v>
      </c>
      <c r="J486" s="137" t="s">
        <v>21405</v>
      </c>
      <c r="K486" s="137">
        <v>46</v>
      </c>
      <c r="L486" s="133" t="str">
        <f t="shared" si="7"/>
        <v>007</v>
      </c>
    </row>
    <row r="487" spans="1:12" x14ac:dyDescent="0.3">
      <c r="A487" s="136">
        <v>483</v>
      </c>
      <c r="B487" s="137" t="s">
        <v>13466</v>
      </c>
      <c r="C487" s="10" t="str">
        <f>VLOOKUP(B487,'Data Angt'!$A$5:$B$5809,2,FALSE)</f>
        <v>A4787</v>
      </c>
      <c r="D487" s="137" t="s">
        <v>21406</v>
      </c>
      <c r="E487" s="137" t="s">
        <v>22</v>
      </c>
      <c r="F487" s="137">
        <v>81311308387</v>
      </c>
      <c r="G487" s="137" t="s">
        <v>109</v>
      </c>
      <c r="H487" s="138">
        <v>45493</v>
      </c>
      <c r="I487" s="139" t="s">
        <v>384</v>
      </c>
      <c r="J487" s="137" t="s">
        <v>21407</v>
      </c>
      <c r="K487" s="137">
        <v>43</v>
      </c>
      <c r="L487" s="133" t="str">
        <f t="shared" si="7"/>
        <v>007</v>
      </c>
    </row>
    <row r="488" spans="1:12" x14ac:dyDescent="0.3">
      <c r="A488" s="136">
        <v>484</v>
      </c>
      <c r="B488" s="137" t="s">
        <v>13468</v>
      </c>
      <c r="C488" s="10" t="str">
        <f>VLOOKUP(B488,'Data Angt'!$A$5:$B$5809,2,FALSE)</f>
        <v>A4788</v>
      </c>
      <c r="D488" s="137" t="s">
        <v>21408</v>
      </c>
      <c r="E488" s="137" t="s">
        <v>22</v>
      </c>
      <c r="F488" s="137">
        <v>87840059817</v>
      </c>
      <c r="G488" s="137" t="s">
        <v>109</v>
      </c>
      <c r="H488" s="138">
        <v>45493</v>
      </c>
      <c r="I488" s="139" t="s">
        <v>384</v>
      </c>
      <c r="J488" s="137" t="s">
        <v>21409</v>
      </c>
      <c r="K488" s="137">
        <v>52</v>
      </c>
      <c r="L488" s="133" t="str">
        <f t="shared" si="7"/>
        <v>007</v>
      </c>
    </row>
    <row r="489" spans="1:12" x14ac:dyDescent="0.3">
      <c r="A489" s="136">
        <v>485</v>
      </c>
      <c r="B489" s="137" t="s">
        <v>13469</v>
      </c>
      <c r="C489" s="10" t="str">
        <f>VLOOKUP(B489,'Data Angt'!$A$5:$B$5809,2,FALSE)</f>
        <v>A4789</v>
      </c>
      <c r="D489" s="137" t="s">
        <v>21410</v>
      </c>
      <c r="E489" s="137" t="s">
        <v>22</v>
      </c>
      <c r="F489" s="137">
        <v>81218489000</v>
      </c>
      <c r="G489" s="137" t="s">
        <v>109</v>
      </c>
      <c r="H489" s="138">
        <v>45493</v>
      </c>
      <c r="I489" s="139" t="s">
        <v>384</v>
      </c>
      <c r="J489" s="137" t="s">
        <v>21411</v>
      </c>
      <c r="K489" s="137">
        <v>43</v>
      </c>
      <c r="L489" s="133" t="str">
        <f t="shared" si="7"/>
        <v>007</v>
      </c>
    </row>
    <row r="490" spans="1:12" x14ac:dyDescent="0.3">
      <c r="A490" s="136">
        <v>486</v>
      </c>
      <c r="B490" s="137" t="s">
        <v>13470</v>
      </c>
      <c r="C490" s="10" t="str">
        <f>VLOOKUP(B490,'Data Angt'!$A$5:$B$5809,2,FALSE)</f>
        <v>A4790</v>
      </c>
      <c r="D490" s="137" t="s">
        <v>21412</v>
      </c>
      <c r="E490" s="137" t="s">
        <v>22</v>
      </c>
      <c r="F490" s="137">
        <v>81373748338</v>
      </c>
      <c r="G490" s="137" t="s">
        <v>109</v>
      </c>
      <c r="H490" s="138">
        <v>45493</v>
      </c>
      <c r="I490" s="139" t="s">
        <v>384</v>
      </c>
      <c r="J490" s="137" t="s">
        <v>21413</v>
      </c>
      <c r="K490" s="137">
        <v>41</v>
      </c>
      <c r="L490" s="133" t="str">
        <f t="shared" si="7"/>
        <v>007</v>
      </c>
    </row>
    <row r="491" spans="1:12" x14ac:dyDescent="0.3">
      <c r="A491" s="136">
        <v>487</v>
      </c>
      <c r="B491" s="137" t="s">
        <v>13471</v>
      </c>
      <c r="C491" s="10" t="str">
        <f>VLOOKUP(B491,'Data Angt'!$A$5:$B$5809,2,FALSE)</f>
        <v>A4791</v>
      </c>
      <c r="D491" s="137" t="s">
        <v>21414</v>
      </c>
      <c r="E491" s="137" t="s">
        <v>22</v>
      </c>
      <c r="F491" s="137">
        <v>81285694062</v>
      </c>
      <c r="G491" s="137" t="s">
        <v>109</v>
      </c>
      <c r="H491" s="138">
        <v>45493</v>
      </c>
      <c r="I491" s="139" t="s">
        <v>384</v>
      </c>
      <c r="J491" s="137" t="s">
        <v>21415</v>
      </c>
      <c r="K491" s="137">
        <v>37</v>
      </c>
      <c r="L491" s="133" t="str">
        <f t="shared" si="7"/>
        <v>007</v>
      </c>
    </row>
    <row r="492" spans="1:12" x14ac:dyDescent="0.3">
      <c r="A492" s="136">
        <v>488</v>
      </c>
      <c r="B492" s="137" t="s">
        <v>13473</v>
      </c>
      <c r="C492" s="10" t="str">
        <f>VLOOKUP(B492,'Data Angt'!$A$5:$B$5809,2,FALSE)</f>
        <v>A4792</v>
      </c>
      <c r="D492" s="137" t="s">
        <v>21416</v>
      </c>
      <c r="E492" s="137" t="s">
        <v>22</v>
      </c>
      <c r="F492" s="137">
        <v>87880079123</v>
      </c>
      <c r="G492" s="137" t="s">
        <v>109</v>
      </c>
      <c r="H492" s="138">
        <v>45493</v>
      </c>
      <c r="I492" s="139" t="s">
        <v>384</v>
      </c>
      <c r="J492" s="137" t="s">
        <v>21417</v>
      </c>
      <c r="K492" s="137">
        <v>44</v>
      </c>
      <c r="L492" s="133" t="str">
        <f t="shared" si="7"/>
        <v>007</v>
      </c>
    </row>
    <row r="493" spans="1:12" x14ac:dyDescent="0.3">
      <c r="A493" s="136">
        <v>489</v>
      </c>
      <c r="B493" s="137" t="s">
        <v>13475</v>
      </c>
      <c r="C493" s="10" t="str">
        <f>VLOOKUP(B493,'Data Angt'!$A$5:$B$5809,2,FALSE)</f>
        <v>A4793</v>
      </c>
      <c r="D493" s="137" t="s">
        <v>19621</v>
      </c>
      <c r="E493" s="137" t="s">
        <v>22</v>
      </c>
      <c r="F493" s="137">
        <v>87877877645</v>
      </c>
      <c r="G493" s="137"/>
      <c r="H493" s="138">
        <v>45493</v>
      </c>
      <c r="I493" s="139" t="s">
        <v>384</v>
      </c>
      <c r="J493" s="137" t="s">
        <v>21418</v>
      </c>
      <c r="K493" s="137" t="s">
        <v>19619</v>
      </c>
      <c r="L493" s="133" t="str">
        <f t="shared" si="7"/>
        <v>007</v>
      </c>
    </row>
    <row r="494" spans="1:12" x14ac:dyDescent="0.3">
      <c r="A494" s="136">
        <v>490</v>
      </c>
      <c r="B494" s="137" t="s">
        <v>13476</v>
      </c>
      <c r="C494" s="10" t="str">
        <f>VLOOKUP(B494,'Data Angt'!$A$5:$B$5809,2,FALSE)</f>
        <v>A4794</v>
      </c>
      <c r="D494" s="137" t="s">
        <v>19621</v>
      </c>
      <c r="E494" s="137" t="s">
        <v>22</v>
      </c>
      <c r="F494" s="137">
        <v>8119900788</v>
      </c>
      <c r="G494" s="137"/>
      <c r="H494" s="138">
        <v>45493</v>
      </c>
      <c r="I494" s="139" t="s">
        <v>384</v>
      </c>
      <c r="J494" s="137" t="s">
        <v>21419</v>
      </c>
      <c r="K494" s="137" t="s">
        <v>19619</v>
      </c>
      <c r="L494" s="133" t="str">
        <f t="shared" si="7"/>
        <v>007</v>
      </c>
    </row>
    <row r="495" spans="1:12" x14ac:dyDescent="0.3">
      <c r="A495" s="136">
        <v>491</v>
      </c>
      <c r="B495" s="137" t="s">
        <v>13477</v>
      </c>
      <c r="C495" s="10" t="str">
        <f>VLOOKUP(B495,'Data Angt'!$A$5:$B$5809,2,FALSE)</f>
        <v>A4795</v>
      </c>
      <c r="D495" s="137" t="s">
        <v>21420</v>
      </c>
      <c r="E495" s="137" t="s">
        <v>11</v>
      </c>
      <c r="F495" s="137">
        <v>811846127</v>
      </c>
      <c r="G495" s="137" t="s">
        <v>109</v>
      </c>
      <c r="H495" s="138">
        <v>45493</v>
      </c>
      <c r="I495" s="139" t="s">
        <v>384</v>
      </c>
      <c r="J495" s="137" t="s">
        <v>21421</v>
      </c>
      <c r="K495" s="137">
        <v>47</v>
      </c>
      <c r="L495" s="133" t="str">
        <f t="shared" si="7"/>
        <v>007</v>
      </c>
    </row>
    <row r="496" spans="1:12" x14ac:dyDescent="0.3">
      <c r="A496" s="136">
        <v>492</v>
      </c>
      <c r="B496" s="137" t="s">
        <v>13478</v>
      </c>
      <c r="C496" s="10" t="str">
        <f>VLOOKUP(B496,'Data Angt'!$A$5:$B$5809,2,FALSE)</f>
        <v>A4796</v>
      </c>
      <c r="D496" s="137" t="s">
        <v>19621</v>
      </c>
      <c r="E496" s="137" t="s">
        <v>22</v>
      </c>
      <c r="F496" s="137">
        <v>85211556625</v>
      </c>
      <c r="G496" s="137"/>
      <c r="H496" s="138">
        <v>45493</v>
      </c>
      <c r="I496" s="139" t="s">
        <v>384</v>
      </c>
      <c r="J496" s="137" t="s">
        <v>21422</v>
      </c>
      <c r="K496" s="137" t="s">
        <v>19619</v>
      </c>
      <c r="L496" s="133" t="str">
        <f t="shared" si="7"/>
        <v>007</v>
      </c>
    </row>
    <row r="497" spans="1:12" x14ac:dyDescent="0.3">
      <c r="A497" s="136">
        <v>493</v>
      </c>
      <c r="B497" s="137" t="s">
        <v>13479</v>
      </c>
      <c r="C497" s="10" t="str">
        <f>VLOOKUP(B497,'Data Angt'!$A$5:$B$5809,2,FALSE)</f>
        <v>A4797</v>
      </c>
      <c r="D497" s="137" t="s">
        <v>21423</v>
      </c>
      <c r="E497" s="137" t="s">
        <v>22</v>
      </c>
      <c r="F497" s="137">
        <v>81219113241</v>
      </c>
      <c r="G497" s="137" t="s">
        <v>16</v>
      </c>
      <c r="H497" s="138">
        <v>45493</v>
      </c>
      <c r="I497" s="139" t="s">
        <v>384</v>
      </c>
      <c r="J497" s="137" t="s">
        <v>21424</v>
      </c>
      <c r="K497" s="137">
        <v>53</v>
      </c>
      <c r="L497" s="133" t="str">
        <f t="shared" si="7"/>
        <v>007</v>
      </c>
    </row>
    <row r="498" spans="1:12" x14ac:dyDescent="0.3">
      <c r="A498" s="136">
        <v>494</v>
      </c>
      <c r="B498" s="137" t="s">
        <v>13481</v>
      </c>
      <c r="C498" s="10" t="str">
        <f>VLOOKUP(B498,'Data Angt'!$A$5:$B$5809,2,FALSE)</f>
        <v>A4798</v>
      </c>
      <c r="D498" s="137" t="s">
        <v>21425</v>
      </c>
      <c r="E498" s="137" t="s">
        <v>22</v>
      </c>
      <c r="F498" s="137">
        <v>8179850149</v>
      </c>
      <c r="G498" s="137" t="s">
        <v>109</v>
      </c>
      <c r="H498" s="138">
        <v>45493</v>
      </c>
      <c r="I498" s="139" t="s">
        <v>384</v>
      </c>
      <c r="J498" s="137" t="s">
        <v>21426</v>
      </c>
      <c r="K498" s="137">
        <v>39</v>
      </c>
      <c r="L498" s="133" t="str">
        <f t="shared" si="7"/>
        <v>007</v>
      </c>
    </row>
    <row r="499" spans="1:12" x14ac:dyDescent="0.3">
      <c r="A499" s="136">
        <v>495</v>
      </c>
      <c r="B499" s="137" t="s">
        <v>13483</v>
      </c>
      <c r="C499" s="10" t="str">
        <f>VLOOKUP(B499,'Data Angt'!$A$5:$B$5809,2,FALSE)</f>
        <v>A4799</v>
      </c>
      <c r="D499" s="137" t="s">
        <v>21427</v>
      </c>
      <c r="E499" s="137" t="s">
        <v>11</v>
      </c>
      <c r="F499" s="137">
        <v>8115043477</v>
      </c>
      <c r="G499" s="137" t="s">
        <v>109</v>
      </c>
      <c r="H499" s="138">
        <v>45493</v>
      </c>
      <c r="I499" s="139" t="s">
        <v>384</v>
      </c>
      <c r="J499" s="137" t="s">
        <v>21428</v>
      </c>
      <c r="K499" s="137">
        <v>41</v>
      </c>
      <c r="L499" s="133" t="str">
        <f t="shared" si="7"/>
        <v>007</v>
      </c>
    </row>
    <row r="500" spans="1:12" x14ac:dyDescent="0.3">
      <c r="A500" s="136">
        <v>496</v>
      </c>
      <c r="B500" s="137" t="s">
        <v>13485</v>
      </c>
      <c r="C500" s="10" t="str">
        <f>VLOOKUP(B500,'Data Angt'!$A$5:$B$5809,2,FALSE)</f>
        <v>A4800</v>
      </c>
      <c r="D500" s="137" t="s">
        <v>19621</v>
      </c>
      <c r="E500" s="137" t="s">
        <v>22</v>
      </c>
      <c r="F500" s="137">
        <v>87878028378</v>
      </c>
      <c r="G500" s="137"/>
      <c r="H500" s="138">
        <v>45493</v>
      </c>
      <c r="I500" s="139" t="s">
        <v>384</v>
      </c>
      <c r="J500" s="137" t="s">
        <v>21429</v>
      </c>
      <c r="K500" s="137" t="s">
        <v>19619</v>
      </c>
      <c r="L500" s="133" t="str">
        <f t="shared" si="7"/>
        <v>007</v>
      </c>
    </row>
    <row r="501" spans="1:12" x14ac:dyDescent="0.3">
      <c r="A501" s="136">
        <v>497</v>
      </c>
      <c r="B501" s="137" t="s">
        <v>13486</v>
      </c>
      <c r="C501" s="10" t="str">
        <f>VLOOKUP(B501,'Data Angt'!$A$5:$B$5809,2,FALSE)</f>
        <v>A4801</v>
      </c>
      <c r="D501" s="137" t="s">
        <v>21430</v>
      </c>
      <c r="E501" s="137" t="s">
        <v>22</v>
      </c>
      <c r="F501" s="137">
        <v>8111964909</v>
      </c>
      <c r="G501" s="137" t="s">
        <v>109</v>
      </c>
      <c r="H501" s="138">
        <v>45493</v>
      </c>
      <c r="I501" s="139" t="s">
        <v>384</v>
      </c>
      <c r="J501" s="137" t="s">
        <v>21431</v>
      </c>
      <c r="K501" s="137">
        <v>47</v>
      </c>
      <c r="L501" s="133" t="str">
        <f t="shared" si="7"/>
        <v>007</v>
      </c>
    </row>
    <row r="502" spans="1:12" x14ac:dyDescent="0.3">
      <c r="A502" s="136">
        <v>498</v>
      </c>
      <c r="B502" s="137" t="s">
        <v>13487</v>
      </c>
      <c r="C502" s="10" t="str">
        <f>VLOOKUP(B502,'Data Angt'!$A$5:$B$5809,2,FALSE)</f>
        <v>A4802</v>
      </c>
      <c r="D502" s="137" t="s">
        <v>20739</v>
      </c>
      <c r="E502" s="137" t="s">
        <v>22</v>
      </c>
      <c r="F502" s="137">
        <v>83806147071</v>
      </c>
      <c r="G502" s="137" t="s">
        <v>109</v>
      </c>
      <c r="H502" s="138">
        <v>45493</v>
      </c>
      <c r="I502" s="139" t="s">
        <v>384</v>
      </c>
      <c r="J502" s="137" t="s">
        <v>21432</v>
      </c>
      <c r="K502" s="137">
        <v>43</v>
      </c>
      <c r="L502" s="133" t="str">
        <f t="shared" si="7"/>
        <v>007</v>
      </c>
    </row>
    <row r="503" spans="1:12" x14ac:dyDescent="0.3">
      <c r="A503" s="136">
        <v>499</v>
      </c>
      <c r="B503" s="137" t="s">
        <v>13488</v>
      </c>
      <c r="C503" s="10" t="str">
        <f>VLOOKUP(B503,'Data Angt'!$A$5:$B$5809,2,FALSE)</f>
        <v>A4803</v>
      </c>
      <c r="D503" s="137" t="s">
        <v>21433</v>
      </c>
      <c r="E503" s="137" t="s">
        <v>22</v>
      </c>
      <c r="F503" s="137">
        <v>81362572062</v>
      </c>
      <c r="G503" s="137" t="s">
        <v>109</v>
      </c>
      <c r="H503" s="138">
        <v>45493</v>
      </c>
      <c r="I503" s="139" t="s">
        <v>384</v>
      </c>
      <c r="J503" s="137" t="s">
        <v>21434</v>
      </c>
      <c r="K503" s="137">
        <v>42</v>
      </c>
      <c r="L503" s="133" t="str">
        <f t="shared" si="7"/>
        <v>007</v>
      </c>
    </row>
    <row r="504" spans="1:12" x14ac:dyDescent="0.3">
      <c r="A504" s="136">
        <v>500</v>
      </c>
      <c r="B504" s="137" t="s">
        <v>13489</v>
      </c>
      <c r="C504" s="10" t="str">
        <f>VLOOKUP(B504,'Data Angt'!$A$5:$B$5809,2,FALSE)</f>
        <v>A4804</v>
      </c>
      <c r="D504" s="137" t="s">
        <v>19621</v>
      </c>
      <c r="E504" s="137" t="s">
        <v>22</v>
      </c>
      <c r="F504" s="137">
        <v>895361116050</v>
      </c>
      <c r="G504" s="137"/>
      <c r="H504" s="138">
        <v>45493</v>
      </c>
      <c r="I504" s="139" t="s">
        <v>384</v>
      </c>
      <c r="J504" s="137" t="s">
        <v>21435</v>
      </c>
      <c r="K504" s="137" t="s">
        <v>19619</v>
      </c>
      <c r="L504" s="133" t="str">
        <f t="shared" si="7"/>
        <v>007</v>
      </c>
    </row>
    <row r="505" spans="1:12" x14ac:dyDescent="0.3">
      <c r="A505" s="136">
        <v>501</v>
      </c>
      <c r="B505" s="137" t="s">
        <v>13490</v>
      </c>
      <c r="C505" s="10" t="str">
        <f>VLOOKUP(B505,'Data Angt'!$A$5:$B$5809,2,FALSE)</f>
        <v>A4805</v>
      </c>
      <c r="D505" s="137" t="s">
        <v>19621</v>
      </c>
      <c r="E505" s="137" t="s">
        <v>22</v>
      </c>
      <c r="F505" s="137">
        <v>82298946482</v>
      </c>
      <c r="G505" s="137"/>
      <c r="H505" s="138">
        <v>45493</v>
      </c>
      <c r="I505" s="139" t="s">
        <v>384</v>
      </c>
      <c r="J505" s="137" t="s">
        <v>21436</v>
      </c>
      <c r="K505" s="137" t="s">
        <v>19619</v>
      </c>
      <c r="L505" s="133" t="str">
        <f t="shared" si="7"/>
        <v>007</v>
      </c>
    </row>
    <row r="506" spans="1:12" x14ac:dyDescent="0.3">
      <c r="A506" s="136">
        <v>502</v>
      </c>
      <c r="B506" s="137" t="s">
        <v>13491</v>
      </c>
      <c r="C506" s="10" t="str">
        <f>VLOOKUP(B506,'Data Angt'!$A$5:$B$5809,2,FALSE)</f>
        <v>A4806</v>
      </c>
      <c r="D506" s="137" t="s">
        <v>21437</v>
      </c>
      <c r="E506" s="137" t="s">
        <v>11</v>
      </c>
      <c r="F506" s="137">
        <v>81398722987</v>
      </c>
      <c r="G506" s="137" t="s">
        <v>46</v>
      </c>
      <c r="H506" s="138">
        <v>45493</v>
      </c>
      <c r="I506" s="139" t="s">
        <v>384</v>
      </c>
      <c r="J506" s="137" t="s">
        <v>21438</v>
      </c>
      <c r="K506" s="137">
        <v>43</v>
      </c>
      <c r="L506" s="133" t="str">
        <f t="shared" si="7"/>
        <v>007</v>
      </c>
    </row>
    <row r="507" spans="1:12" x14ac:dyDescent="0.3">
      <c r="A507" s="136">
        <v>503</v>
      </c>
      <c r="B507" s="137" t="s">
        <v>13493</v>
      </c>
      <c r="C507" s="10" t="str">
        <f>VLOOKUP(B507,'Data Angt'!$A$5:$B$5809,2,FALSE)</f>
        <v>A4807</v>
      </c>
      <c r="D507" s="137" t="s">
        <v>21439</v>
      </c>
      <c r="E507" s="137" t="s">
        <v>22</v>
      </c>
      <c r="F507" s="137">
        <v>81286279847</v>
      </c>
      <c r="G507" s="137" t="s">
        <v>31</v>
      </c>
      <c r="H507" s="138">
        <v>45493</v>
      </c>
      <c r="I507" s="139" t="s">
        <v>384</v>
      </c>
      <c r="J507" s="137" t="s">
        <v>21440</v>
      </c>
      <c r="K507" s="137">
        <v>32</v>
      </c>
      <c r="L507" s="133" t="str">
        <f t="shared" si="7"/>
        <v>007</v>
      </c>
    </row>
    <row r="508" spans="1:12" x14ac:dyDescent="0.3">
      <c r="A508" s="136">
        <v>504</v>
      </c>
      <c r="B508" s="137" t="s">
        <v>13495</v>
      </c>
      <c r="C508" s="10" t="str">
        <f>VLOOKUP(B508,'Data Angt'!$A$5:$B$5809,2,FALSE)</f>
        <v>A4808</v>
      </c>
      <c r="D508" s="137" t="s">
        <v>21441</v>
      </c>
      <c r="E508" s="137" t="s">
        <v>22</v>
      </c>
      <c r="F508" s="137">
        <v>81311393442</v>
      </c>
      <c r="G508" s="137" t="s">
        <v>31</v>
      </c>
      <c r="H508" s="138">
        <v>45493</v>
      </c>
      <c r="I508" s="139" t="s">
        <v>384</v>
      </c>
      <c r="J508" s="137" t="s">
        <v>21442</v>
      </c>
      <c r="K508" s="137">
        <v>48</v>
      </c>
      <c r="L508" s="133" t="str">
        <f t="shared" si="7"/>
        <v>007</v>
      </c>
    </row>
    <row r="509" spans="1:12" x14ac:dyDescent="0.3">
      <c r="A509" s="136">
        <v>505</v>
      </c>
      <c r="B509" s="137" t="s">
        <v>13497</v>
      </c>
      <c r="C509" s="10" t="str">
        <f>VLOOKUP(B509,'Data Angt'!$A$5:$B$5809,2,FALSE)</f>
        <v>A4809</v>
      </c>
      <c r="D509" s="137" t="s">
        <v>21443</v>
      </c>
      <c r="E509" s="137" t="s">
        <v>22</v>
      </c>
      <c r="F509" s="137">
        <v>8118781641</v>
      </c>
      <c r="G509" s="137" t="s">
        <v>109</v>
      </c>
      <c r="H509" s="138">
        <v>45493</v>
      </c>
      <c r="I509" s="139" t="s">
        <v>384</v>
      </c>
      <c r="J509" s="137" t="s">
        <v>21444</v>
      </c>
      <c r="K509" s="137">
        <v>48</v>
      </c>
      <c r="L509" s="133" t="str">
        <f t="shared" si="7"/>
        <v>007</v>
      </c>
    </row>
    <row r="510" spans="1:12" x14ac:dyDescent="0.3">
      <c r="A510" s="136">
        <v>506</v>
      </c>
      <c r="B510" s="137" t="s">
        <v>13499</v>
      </c>
      <c r="C510" s="10" t="str">
        <f>VLOOKUP(B510,'Data Angt'!$A$5:$B$5809,2,FALSE)</f>
        <v>A4810</v>
      </c>
      <c r="D510" s="137" t="s">
        <v>21445</v>
      </c>
      <c r="E510" s="137" t="s">
        <v>22</v>
      </c>
      <c r="F510" s="137">
        <v>82308238252</v>
      </c>
      <c r="G510" s="137" t="s">
        <v>109</v>
      </c>
      <c r="H510" s="138">
        <v>45493</v>
      </c>
      <c r="I510" s="139" t="s">
        <v>384</v>
      </c>
      <c r="J510" s="137" t="s">
        <v>21446</v>
      </c>
      <c r="K510" s="137">
        <v>42</v>
      </c>
      <c r="L510" s="133" t="str">
        <f t="shared" si="7"/>
        <v>007</v>
      </c>
    </row>
    <row r="511" spans="1:12" x14ac:dyDescent="0.3">
      <c r="A511" s="136">
        <v>507</v>
      </c>
      <c r="B511" s="137" t="s">
        <v>13501</v>
      </c>
      <c r="C511" s="10" t="str">
        <f>VLOOKUP(B511,'Data Angt'!$A$5:$B$5809,2,FALSE)</f>
        <v>A4811</v>
      </c>
      <c r="D511" s="137" t="s">
        <v>19621</v>
      </c>
      <c r="E511" s="137" t="s">
        <v>22</v>
      </c>
      <c r="F511" s="137">
        <v>85361489951</v>
      </c>
      <c r="G511" s="137"/>
      <c r="H511" s="138">
        <v>45493</v>
      </c>
      <c r="I511" s="139" t="s">
        <v>384</v>
      </c>
      <c r="J511" s="137" t="s">
        <v>21447</v>
      </c>
      <c r="K511" s="137" t="s">
        <v>19619</v>
      </c>
      <c r="L511" s="133" t="str">
        <f t="shared" si="7"/>
        <v>007</v>
      </c>
    </row>
    <row r="512" spans="1:12" x14ac:dyDescent="0.3">
      <c r="A512" s="136">
        <v>508</v>
      </c>
      <c r="B512" s="137" t="s">
        <v>13502</v>
      </c>
      <c r="C512" s="10" t="str">
        <f>VLOOKUP(B512,'Data Angt'!$A$5:$B$5809,2,FALSE)</f>
        <v>A4812</v>
      </c>
      <c r="D512" s="137" t="s">
        <v>21448</v>
      </c>
      <c r="E512" s="137" t="s">
        <v>22</v>
      </c>
      <c r="F512" s="137">
        <v>81291247794</v>
      </c>
      <c r="G512" s="137" t="s">
        <v>31</v>
      </c>
      <c r="H512" s="138">
        <v>45493</v>
      </c>
      <c r="I512" s="139" t="s">
        <v>384</v>
      </c>
      <c r="J512" s="137" t="s">
        <v>21449</v>
      </c>
      <c r="K512" s="137">
        <v>30</v>
      </c>
      <c r="L512" s="133" t="str">
        <f t="shared" si="7"/>
        <v>007</v>
      </c>
    </row>
    <row r="513" spans="1:12" x14ac:dyDescent="0.3">
      <c r="A513" s="136">
        <v>509</v>
      </c>
      <c r="B513" s="137" t="s">
        <v>13504</v>
      </c>
      <c r="C513" s="10" t="str">
        <f>VLOOKUP(B513,'Data Angt'!$A$5:$B$5809,2,FALSE)</f>
        <v>A4813</v>
      </c>
      <c r="D513" s="137" t="s">
        <v>21450</v>
      </c>
      <c r="E513" s="137" t="s">
        <v>22</v>
      </c>
      <c r="F513" s="137">
        <v>81287735352</v>
      </c>
      <c r="G513" s="137" t="s">
        <v>109</v>
      </c>
      <c r="H513" s="138">
        <v>45493</v>
      </c>
      <c r="I513" s="139" t="s">
        <v>384</v>
      </c>
      <c r="J513" s="137" t="s">
        <v>21451</v>
      </c>
      <c r="K513" s="137">
        <v>43</v>
      </c>
      <c r="L513" s="133" t="str">
        <f t="shared" si="7"/>
        <v>007</v>
      </c>
    </row>
    <row r="514" spans="1:12" x14ac:dyDescent="0.3">
      <c r="A514" s="136">
        <v>510</v>
      </c>
      <c r="B514" s="137" t="s">
        <v>13506</v>
      </c>
      <c r="C514" s="10" t="str">
        <f>VLOOKUP(B514,'Data Angt'!$A$5:$B$5809,2,FALSE)</f>
        <v>A4814</v>
      </c>
      <c r="D514" s="137" t="s">
        <v>19621</v>
      </c>
      <c r="E514" s="137" t="s">
        <v>22</v>
      </c>
      <c r="F514" s="137">
        <v>81380086598</v>
      </c>
      <c r="G514" s="137"/>
      <c r="H514" s="138">
        <v>45493</v>
      </c>
      <c r="I514" s="139" t="s">
        <v>384</v>
      </c>
      <c r="J514" s="137" t="s">
        <v>21452</v>
      </c>
      <c r="K514" s="137" t="s">
        <v>19619</v>
      </c>
      <c r="L514" s="133" t="str">
        <f t="shared" si="7"/>
        <v>007</v>
      </c>
    </row>
    <row r="515" spans="1:12" x14ac:dyDescent="0.3">
      <c r="A515" s="136">
        <v>511</v>
      </c>
      <c r="B515" s="137" t="s">
        <v>13507</v>
      </c>
      <c r="C515" s="10" t="str">
        <f>VLOOKUP(B515,'Data Angt'!$A$5:$B$5809,2,FALSE)</f>
        <v>A4815</v>
      </c>
      <c r="D515" s="137" t="s">
        <v>21453</v>
      </c>
      <c r="E515" s="137" t="s">
        <v>22</v>
      </c>
      <c r="F515" s="137">
        <v>81211392981</v>
      </c>
      <c r="G515" s="137" t="s">
        <v>109</v>
      </c>
      <c r="H515" s="138">
        <v>45493</v>
      </c>
      <c r="I515" s="139" t="s">
        <v>384</v>
      </c>
      <c r="J515" s="137" t="s">
        <v>21454</v>
      </c>
      <c r="K515" s="137">
        <v>43</v>
      </c>
      <c r="L515" s="133" t="str">
        <f t="shared" si="7"/>
        <v>007</v>
      </c>
    </row>
    <row r="516" spans="1:12" x14ac:dyDescent="0.3">
      <c r="A516" s="136">
        <v>512</v>
      </c>
      <c r="B516" s="137" t="s">
        <v>13509</v>
      </c>
      <c r="C516" s="10" t="str">
        <f>VLOOKUP(B516,'Data Angt'!$A$5:$B$5809,2,FALSE)</f>
        <v>A4816</v>
      </c>
      <c r="D516" s="137" t="s">
        <v>21455</v>
      </c>
      <c r="E516" s="137" t="s">
        <v>22</v>
      </c>
      <c r="F516" s="137">
        <v>81398401814</v>
      </c>
      <c r="G516" s="137" t="s">
        <v>109</v>
      </c>
      <c r="H516" s="138">
        <v>45493</v>
      </c>
      <c r="I516" s="139" t="s">
        <v>384</v>
      </c>
      <c r="J516" s="137" t="s">
        <v>21456</v>
      </c>
      <c r="K516" s="137">
        <v>48</v>
      </c>
      <c r="L516" s="133" t="str">
        <f t="shared" si="7"/>
        <v>007</v>
      </c>
    </row>
    <row r="517" spans="1:12" x14ac:dyDescent="0.3">
      <c r="A517" s="136">
        <v>513</v>
      </c>
      <c r="B517" s="137" t="s">
        <v>13511</v>
      </c>
      <c r="C517" s="10" t="str">
        <f>VLOOKUP(B517,'Data Angt'!$A$5:$B$5809,2,FALSE)</f>
        <v>A4817</v>
      </c>
      <c r="D517" s="137" t="s">
        <v>21457</v>
      </c>
      <c r="E517" s="137" t="s">
        <v>22</v>
      </c>
      <c r="F517" s="137">
        <v>8111739152</v>
      </c>
      <c r="G517" s="137" t="s">
        <v>109</v>
      </c>
      <c r="H517" s="138">
        <v>45493</v>
      </c>
      <c r="I517" s="139" t="s">
        <v>384</v>
      </c>
      <c r="J517" s="137" t="s">
        <v>21458</v>
      </c>
      <c r="K517" s="137">
        <v>45</v>
      </c>
      <c r="L517" s="133" t="str">
        <f t="shared" si="7"/>
        <v>007</v>
      </c>
    </row>
    <row r="518" spans="1:12" x14ac:dyDescent="0.3">
      <c r="A518" s="136">
        <v>514</v>
      </c>
      <c r="B518" s="137" t="s">
        <v>13512</v>
      </c>
      <c r="C518" s="10" t="str">
        <f>VLOOKUP(B518,'Data Angt'!$A$5:$B$5809,2,FALSE)</f>
        <v>A4818</v>
      </c>
      <c r="D518" s="137" t="s">
        <v>19621</v>
      </c>
      <c r="E518" s="137" t="s">
        <v>22</v>
      </c>
      <c r="F518" s="137">
        <v>85213185899</v>
      </c>
      <c r="G518" s="137"/>
      <c r="H518" s="138">
        <v>45493</v>
      </c>
      <c r="I518" s="139" t="s">
        <v>384</v>
      </c>
      <c r="J518" s="137" t="s">
        <v>21459</v>
      </c>
      <c r="K518" s="137" t="s">
        <v>19619</v>
      </c>
      <c r="L518" s="133" t="str">
        <f t="shared" ref="L518:L581" si="8">MID(B518,7,3)</f>
        <v>007</v>
      </c>
    </row>
    <row r="519" spans="1:12" x14ac:dyDescent="0.3">
      <c r="A519" s="136">
        <v>515</v>
      </c>
      <c r="B519" s="137" t="s">
        <v>13513</v>
      </c>
      <c r="C519" s="10" t="str">
        <f>VLOOKUP(B519,'Data Angt'!$A$5:$B$5809,2,FALSE)</f>
        <v>A4819</v>
      </c>
      <c r="D519" s="137" t="s">
        <v>19621</v>
      </c>
      <c r="E519" s="137" t="s">
        <v>22</v>
      </c>
      <c r="F519" s="137">
        <v>81211043262</v>
      </c>
      <c r="G519" s="137"/>
      <c r="H519" s="138">
        <v>45493</v>
      </c>
      <c r="I519" s="139" t="s">
        <v>384</v>
      </c>
      <c r="J519" s="137" t="s">
        <v>21460</v>
      </c>
      <c r="K519" s="137" t="s">
        <v>19619</v>
      </c>
      <c r="L519" s="133" t="str">
        <f t="shared" si="8"/>
        <v>007</v>
      </c>
    </row>
    <row r="520" spans="1:12" x14ac:dyDescent="0.3">
      <c r="A520" s="136">
        <v>516</v>
      </c>
      <c r="B520" s="137" t="s">
        <v>13514</v>
      </c>
      <c r="C520" s="10" t="str">
        <f>VLOOKUP(B520,'Data Angt'!$A$5:$B$5809,2,FALSE)</f>
        <v>A4820</v>
      </c>
      <c r="D520" s="137" t="s">
        <v>19621</v>
      </c>
      <c r="E520" s="137" t="s">
        <v>22</v>
      </c>
      <c r="F520" s="137">
        <v>817111590</v>
      </c>
      <c r="G520" s="137"/>
      <c r="H520" s="138">
        <v>45493</v>
      </c>
      <c r="I520" s="139" t="s">
        <v>384</v>
      </c>
      <c r="J520" s="137" t="s">
        <v>21461</v>
      </c>
      <c r="K520" s="137" t="s">
        <v>19619</v>
      </c>
      <c r="L520" s="133" t="str">
        <f t="shared" si="8"/>
        <v>007</v>
      </c>
    </row>
    <row r="521" spans="1:12" x14ac:dyDescent="0.3">
      <c r="A521" s="136">
        <v>517</v>
      </c>
      <c r="B521" s="137" t="s">
        <v>13515</v>
      </c>
      <c r="C521" s="10" t="str">
        <f>VLOOKUP(B521,'Data Angt'!$A$5:$B$5809,2,FALSE)</f>
        <v>A4821</v>
      </c>
      <c r="D521" s="137" t="s">
        <v>21462</v>
      </c>
      <c r="E521" s="137" t="s">
        <v>22</v>
      </c>
      <c r="F521" s="137">
        <v>87823660897</v>
      </c>
      <c r="G521" s="137" t="s">
        <v>31</v>
      </c>
      <c r="H521" s="138">
        <v>45493</v>
      </c>
      <c r="I521" s="139" t="s">
        <v>384</v>
      </c>
      <c r="J521" s="137" t="s">
        <v>21463</v>
      </c>
      <c r="K521" s="137">
        <v>44</v>
      </c>
      <c r="L521" s="133" t="str">
        <f t="shared" si="8"/>
        <v>007</v>
      </c>
    </row>
    <row r="522" spans="1:12" x14ac:dyDescent="0.3">
      <c r="A522" s="136">
        <v>518</v>
      </c>
      <c r="B522" s="137" t="s">
        <v>13517</v>
      </c>
      <c r="C522" s="10" t="str">
        <f>VLOOKUP(B522,'Data Angt'!$A$5:$B$5809,2,FALSE)</f>
        <v>A4822</v>
      </c>
      <c r="D522" s="137" t="s">
        <v>21464</v>
      </c>
      <c r="E522" s="137" t="s">
        <v>22</v>
      </c>
      <c r="F522" s="137">
        <v>81572774475</v>
      </c>
      <c r="G522" s="137" t="s">
        <v>109</v>
      </c>
      <c r="H522" s="138">
        <v>45493</v>
      </c>
      <c r="I522" s="139" t="s">
        <v>384</v>
      </c>
      <c r="J522" s="137" t="s">
        <v>21465</v>
      </c>
      <c r="K522" s="137">
        <v>36</v>
      </c>
      <c r="L522" s="133" t="str">
        <f t="shared" si="8"/>
        <v>007</v>
      </c>
    </row>
    <row r="523" spans="1:12" x14ac:dyDescent="0.3">
      <c r="A523" s="136">
        <v>519</v>
      </c>
      <c r="B523" s="137" t="s">
        <v>13519</v>
      </c>
      <c r="C523" s="10" t="str">
        <f>VLOOKUP(B523,'Data Angt'!$A$5:$B$5809,2,FALSE)</f>
        <v>A4823</v>
      </c>
      <c r="D523" s="137" t="s">
        <v>19621</v>
      </c>
      <c r="E523" s="137" t="s">
        <v>22</v>
      </c>
      <c r="F523" s="137">
        <v>87885484878</v>
      </c>
      <c r="G523" s="137"/>
      <c r="H523" s="138">
        <v>45493</v>
      </c>
      <c r="I523" s="139" t="s">
        <v>384</v>
      </c>
      <c r="J523" s="137" t="s">
        <v>21466</v>
      </c>
      <c r="K523" s="137" t="s">
        <v>19619</v>
      </c>
      <c r="L523" s="133" t="str">
        <f t="shared" si="8"/>
        <v>007</v>
      </c>
    </row>
    <row r="524" spans="1:12" x14ac:dyDescent="0.3">
      <c r="A524" s="136">
        <v>520</v>
      </c>
      <c r="B524" s="137" t="s">
        <v>13520</v>
      </c>
      <c r="C524" s="10" t="str">
        <f>VLOOKUP(B524,'Data Angt'!$A$5:$B$5809,2,FALSE)</f>
        <v>A4824</v>
      </c>
      <c r="D524" s="137" t="s">
        <v>21357</v>
      </c>
      <c r="E524" s="137" t="s">
        <v>11</v>
      </c>
      <c r="F524" s="137">
        <v>85216249118</v>
      </c>
      <c r="G524" s="137" t="s">
        <v>109</v>
      </c>
      <c r="H524" s="138">
        <v>45493</v>
      </c>
      <c r="I524" s="139" t="s">
        <v>384</v>
      </c>
      <c r="J524" s="137" t="s">
        <v>21467</v>
      </c>
      <c r="K524" s="137">
        <v>48</v>
      </c>
      <c r="L524" s="133" t="str">
        <f t="shared" si="8"/>
        <v>007</v>
      </c>
    </row>
    <row r="525" spans="1:12" x14ac:dyDescent="0.3">
      <c r="A525" s="136">
        <v>521</v>
      </c>
      <c r="B525" s="137" t="s">
        <v>13521</v>
      </c>
      <c r="C525" s="10" t="str">
        <f>VLOOKUP(B525,'Data Angt'!$A$5:$B$5809,2,FALSE)</f>
        <v>A4825</v>
      </c>
      <c r="D525" s="137" t="s">
        <v>20415</v>
      </c>
      <c r="E525" s="137" t="s">
        <v>11</v>
      </c>
      <c r="F525" s="137">
        <v>82111780268</v>
      </c>
      <c r="G525" s="137" t="s">
        <v>109</v>
      </c>
      <c r="H525" s="138">
        <v>45493</v>
      </c>
      <c r="I525" s="139" t="s">
        <v>384</v>
      </c>
      <c r="J525" s="137" t="s">
        <v>21468</v>
      </c>
      <c r="K525" s="137">
        <v>50</v>
      </c>
      <c r="L525" s="133" t="str">
        <f t="shared" si="8"/>
        <v>007</v>
      </c>
    </row>
    <row r="526" spans="1:12" x14ac:dyDescent="0.3">
      <c r="A526" s="136">
        <v>522</v>
      </c>
      <c r="B526" s="137" t="s">
        <v>13522</v>
      </c>
      <c r="C526" s="10" t="str">
        <f>VLOOKUP(B526,'Data Angt'!$A$5:$B$5809,2,FALSE)</f>
        <v>A4826</v>
      </c>
      <c r="D526" s="137" t="s">
        <v>19621</v>
      </c>
      <c r="E526" s="137" t="s">
        <v>384</v>
      </c>
      <c r="F526" s="137">
        <v>8111137940</v>
      </c>
      <c r="G526" s="137"/>
      <c r="H526" s="138">
        <v>45493</v>
      </c>
      <c r="I526" s="139" t="s">
        <v>384</v>
      </c>
      <c r="J526" s="137" t="s">
        <v>21469</v>
      </c>
      <c r="K526" s="137" t="s">
        <v>19619</v>
      </c>
      <c r="L526" s="133" t="str">
        <f t="shared" si="8"/>
        <v>007</v>
      </c>
    </row>
    <row r="527" spans="1:12" x14ac:dyDescent="0.3">
      <c r="A527" s="136">
        <v>523</v>
      </c>
      <c r="B527" s="137" t="s">
        <v>13523</v>
      </c>
      <c r="C527" s="10" t="str">
        <f>VLOOKUP(B527,'Data Angt'!$A$5:$B$5809,2,FALSE)</f>
        <v>A4827</v>
      </c>
      <c r="D527" s="137" t="s">
        <v>21470</v>
      </c>
      <c r="E527" s="137" t="s">
        <v>22</v>
      </c>
      <c r="F527" s="137">
        <v>82286849937</v>
      </c>
      <c r="G527" s="137" t="s">
        <v>172</v>
      </c>
      <c r="H527" s="138">
        <v>45495</v>
      </c>
      <c r="I527" s="139" t="s">
        <v>384</v>
      </c>
      <c r="J527" s="137" t="s">
        <v>21471</v>
      </c>
      <c r="K527" s="137">
        <v>43</v>
      </c>
      <c r="L527" s="133" t="str">
        <f t="shared" si="8"/>
        <v>001</v>
      </c>
    </row>
    <row r="528" spans="1:12" x14ac:dyDescent="0.3">
      <c r="A528" s="136">
        <v>524</v>
      </c>
      <c r="B528" s="137" t="s">
        <v>13524</v>
      </c>
      <c r="C528" s="10" t="str">
        <f>VLOOKUP(B528,'Data Angt'!$A$5:$B$5809,2,FALSE)</f>
        <v>A4828</v>
      </c>
      <c r="D528" s="137" t="s">
        <v>21472</v>
      </c>
      <c r="E528" s="137" t="s">
        <v>22</v>
      </c>
      <c r="F528" s="137">
        <v>82228591009</v>
      </c>
      <c r="G528" s="137" t="s">
        <v>155</v>
      </c>
      <c r="H528" s="138">
        <v>45495</v>
      </c>
      <c r="I528" s="139" t="s">
        <v>384</v>
      </c>
      <c r="J528" s="137" t="s">
        <v>21473</v>
      </c>
      <c r="K528" s="137">
        <v>55</v>
      </c>
      <c r="L528" s="133" t="str">
        <f t="shared" si="8"/>
        <v>007</v>
      </c>
    </row>
    <row r="529" spans="1:12" x14ac:dyDescent="0.3">
      <c r="A529" s="136">
        <v>525</v>
      </c>
      <c r="B529" s="137" t="s">
        <v>13573</v>
      </c>
      <c r="C529" s="10" t="e">
        <f>VLOOKUP(B529,'Data Angt'!$A$5:$B$5809,2,FALSE)</f>
        <v>#N/A</v>
      </c>
      <c r="D529" s="137" t="s">
        <v>21474</v>
      </c>
      <c r="E529" s="137" t="s">
        <v>22</v>
      </c>
      <c r="F529" s="137">
        <v>82337936425</v>
      </c>
      <c r="G529" s="137" t="s">
        <v>46</v>
      </c>
      <c r="H529" s="138">
        <v>45505</v>
      </c>
      <c r="I529" s="138">
        <v>45847</v>
      </c>
      <c r="J529" s="137" t="s">
        <v>21475</v>
      </c>
      <c r="K529" s="137">
        <v>56</v>
      </c>
      <c r="L529" s="133" t="str">
        <f t="shared" si="8"/>
        <v>003</v>
      </c>
    </row>
    <row r="530" spans="1:12" x14ac:dyDescent="0.3">
      <c r="A530" s="136">
        <v>526</v>
      </c>
      <c r="B530" s="137" t="s">
        <v>13547</v>
      </c>
      <c r="C530" s="10" t="str">
        <f>VLOOKUP(B530,'Data Angt'!$A$5:$B$5809,2,FALSE)</f>
        <v>A4839</v>
      </c>
      <c r="D530" s="137" t="s">
        <v>21476</v>
      </c>
      <c r="E530" s="137" t="s">
        <v>11</v>
      </c>
      <c r="F530" s="137">
        <v>81233688829</v>
      </c>
      <c r="G530" s="137"/>
      <c r="H530" s="138">
        <v>45499</v>
      </c>
      <c r="I530" s="139" t="s">
        <v>384</v>
      </c>
      <c r="J530" s="137" t="s">
        <v>21477</v>
      </c>
      <c r="K530" s="137">
        <v>39</v>
      </c>
      <c r="L530" s="133" t="str">
        <f t="shared" si="8"/>
        <v>007</v>
      </c>
    </row>
    <row r="531" spans="1:12" x14ac:dyDescent="0.3">
      <c r="A531" s="136">
        <v>527</v>
      </c>
      <c r="B531" s="137" t="s">
        <v>13525</v>
      </c>
      <c r="C531" s="10" t="str">
        <f>VLOOKUP(B531,'Data Angt'!$A$5:$B$5809,2,FALSE)</f>
        <v>A4829</v>
      </c>
      <c r="D531" s="137" t="s">
        <v>21478</v>
      </c>
      <c r="E531" s="137" t="s">
        <v>11</v>
      </c>
      <c r="F531" s="137">
        <v>87700211883</v>
      </c>
      <c r="G531" s="137" t="s">
        <v>1200</v>
      </c>
      <c r="H531" s="138">
        <v>45496</v>
      </c>
      <c r="I531" s="139" t="s">
        <v>384</v>
      </c>
      <c r="J531" s="137" t="s">
        <v>21479</v>
      </c>
      <c r="K531" s="137">
        <v>26</v>
      </c>
      <c r="L531" s="133" t="str">
        <f t="shared" si="8"/>
        <v>006</v>
      </c>
    </row>
    <row r="532" spans="1:12" x14ac:dyDescent="0.3">
      <c r="A532" s="136">
        <v>528</v>
      </c>
      <c r="B532" s="137" t="s">
        <v>13526</v>
      </c>
      <c r="C532" s="10" t="str">
        <f>VLOOKUP(B532,'Data Angt'!$A$5:$B$5809,2,FALSE)</f>
        <v>A4830</v>
      </c>
      <c r="D532" s="137" t="s">
        <v>21480</v>
      </c>
      <c r="E532" s="137" t="s">
        <v>22</v>
      </c>
      <c r="F532" s="137">
        <v>881037961187</v>
      </c>
      <c r="G532" s="137" t="s">
        <v>46</v>
      </c>
      <c r="H532" s="138">
        <v>45496</v>
      </c>
      <c r="I532" s="139" t="s">
        <v>384</v>
      </c>
      <c r="J532" s="137" t="s">
        <v>21481</v>
      </c>
      <c r="K532" s="137">
        <v>55</v>
      </c>
      <c r="L532" s="133" t="str">
        <f t="shared" si="8"/>
        <v>003</v>
      </c>
    </row>
    <row r="533" spans="1:12" x14ac:dyDescent="0.3">
      <c r="A533" s="136">
        <v>529</v>
      </c>
      <c r="B533" s="137" t="s">
        <v>13528</v>
      </c>
      <c r="C533" s="10" t="str">
        <f>VLOOKUP(B533,'Data Angt'!$A$5:$B$5809,2,FALSE)</f>
        <v>A4831</v>
      </c>
      <c r="D533" s="137" t="s">
        <v>21482</v>
      </c>
      <c r="E533" s="137" t="s">
        <v>22</v>
      </c>
      <c r="F533" s="137">
        <v>82330217814</v>
      </c>
      <c r="G533" s="137" t="s">
        <v>31</v>
      </c>
      <c r="H533" s="138">
        <v>45496</v>
      </c>
      <c r="I533" s="139" t="s">
        <v>384</v>
      </c>
      <c r="J533" s="137" t="s">
        <v>19274</v>
      </c>
      <c r="K533" s="137">
        <v>32</v>
      </c>
      <c r="L533" s="133" t="str">
        <f t="shared" si="8"/>
        <v>001</v>
      </c>
    </row>
    <row r="534" spans="1:12" x14ac:dyDescent="0.3">
      <c r="A534" s="136">
        <v>530</v>
      </c>
      <c r="B534" s="137" t="s">
        <v>13531</v>
      </c>
      <c r="C534" s="10" t="str">
        <f>VLOOKUP(B534,'Data Angt'!$A$5:$B$5809,2,FALSE)</f>
        <v>A4832</v>
      </c>
      <c r="D534" s="137" t="s">
        <v>21483</v>
      </c>
      <c r="E534" s="137" t="s">
        <v>22</v>
      </c>
      <c r="F534" s="137">
        <v>85258778710</v>
      </c>
      <c r="G534" s="137" t="s">
        <v>46</v>
      </c>
      <c r="H534" s="138">
        <v>45497</v>
      </c>
      <c r="I534" s="139" t="s">
        <v>384</v>
      </c>
      <c r="J534" s="137" t="s">
        <v>21484</v>
      </c>
      <c r="K534" s="137">
        <v>57</v>
      </c>
      <c r="L534" s="133" t="str">
        <f t="shared" si="8"/>
        <v>002</v>
      </c>
    </row>
    <row r="535" spans="1:12" x14ac:dyDescent="0.3">
      <c r="A535" s="136">
        <v>531</v>
      </c>
      <c r="B535" s="137" t="s">
        <v>13569</v>
      </c>
      <c r="C535" s="10" t="str">
        <f>VLOOKUP(B535,'Data Angt'!$A$5:$B$5809,2,FALSE)</f>
        <v>A4850</v>
      </c>
      <c r="D535" s="137" t="s">
        <v>21485</v>
      </c>
      <c r="E535" s="137" t="s">
        <v>22</v>
      </c>
      <c r="F535" s="137">
        <v>85259754842</v>
      </c>
      <c r="G535" s="137" t="s">
        <v>46</v>
      </c>
      <c r="H535" s="138">
        <v>45504</v>
      </c>
      <c r="I535" s="139" t="s">
        <v>384</v>
      </c>
      <c r="J535" s="137" t="s">
        <v>19274</v>
      </c>
      <c r="K535" s="137">
        <v>33</v>
      </c>
      <c r="L535" s="133" t="str">
        <f t="shared" si="8"/>
        <v>002</v>
      </c>
    </row>
    <row r="536" spans="1:12" x14ac:dyDescent="0.3">
      <c r="A536" s="136">
        <v>532</v>
      </c>
      <c r="B536" s="137" t="s">
        <v>14039</v>
      </c>
      <c r="C536" s="10" t="str">
        <f>VLOOKUP(B536,'Data Angt'!$A$5:$B$5809,2,FALSE)</f>
        <v>A5061</v>
      </c>
      <c r="D536" s="137" t="s">
        <v>21486</v>
      </c>
      <c r="E536" s="137" t="s">
        <v>22</v>
      </c>
      <c r="F536" s="137">
        <v>12110000000</v>
      </c>
      <c r="G536" s="137" t="s">
        <v>1200</v>
      </c>
      <c r="H536" s="138">
        <v>45609</v>
      </c>
      <c r="I536" s="139" t="s">
        <v>384</v>
      </c>
      <c r="J536" s="137" t="s">
        <v>21487</v>
      </c>
      <c r="K536" s="137">
        <v>31</v>
      </c>
      <c r="L536" s="133" t="str">
        <f t="shared" si="8"/>
        <v>001</v>
      </c>
    </row>
    <row r="537" spans="1:12" x14ac:dyDescent="0.3">
      <c r="A537" s="136">
        <v>533</v>
      </c>
      <c r="B537" s="137" t="s">
        <v>13533</v>
      </c>
      <c r="C537" s="10" t="str">
        <f>VLOOKUP(B537,'Data Angt'!$A$5:$B$5809,2,FALSE)</f>
        <v>A4833</v>
      </c>
      <c r="D537" s="137" t="s">
        <v>21488</v>
      </c>
      <c r="E537" s="137" t="s">
        <v>22</v>
      </c>
      <c r="F537" s="137">
        <v>82337642771</v>
      </c>
      <c r="G537" s="137" t="s">
        <v>46</v>
      </c>
      <c r="H537" s="138">
        <v>45498</v>
      </c>
      <c r="I537" s="139" t="s">
        <v>384</v>
      </c>
      <c r="J537" s="137" t="s">
        <v>21094</v>
      </c>
      <c r="K537" s="137">
        <v>57</v>
      </c>
      <c r="L537" s="133" t="str">
        <f t="shared" si="8"/>
        <v>004</v>
      </c>
    </row>
    <row r="538" spans="1:12" x14ac:dyDescent="0.3">
      <c r="A538" s="136">
        <v>534</v>
      </c>
      <c r="B538" s="137" t="s">
        <v>13536</v>
      </c>
      <c r="C538" s="10" t="str">
        <f>VLOOKUP(B538,'Data Angt'!$A$5:$B$5809,2,FALSE)</f>
        <v>A4834</v>
      </c>
      <c r="D538" s="137" t="s">
        <v>21489</v>
      </c>
      <c r="E538" s="137" t="s">
        <v>22</v>
      </c>
      <c r="F538" s="137">
        <v>85105040404</v>
      </c>
      <c r="G538" s="137" t="s">
        <v>109</v>
      </c>
      <c r="H538" s="138">
        <v>45498</v>
      </c>
      <c r="I538" s="139" t="s">
        <v>384</v>
      </c>
      <c r="J538" s="137" t="s">
        <v>21490</v>
      </c>
      <c r="K538" s="137">
        <v>52</v>
      </c>
      <c r="L538" s="133" t="str">
        <f t="shared" si="8"/>
        <v>001</v>
      </c>
    </row>
    <row r="539" spans="1:12" x14ac:dyDescent="0.3">
      <c r="A539" s="136">
        <v>535</v>
      </c>
      <c r="B539" s="137" t="s">
        <v>13538</v>
      </c>
      <c r="C539" s="10" t="str">
        <f>VLOOKUP(B539,'Data Angt'!$A$5:$B$5809,2,FALSE)</f>
        <v>A4835</v>
      </c>
      <c r="D539" s="137" t="s">
        <v>21491</v>
      </c>
      <c r="E539" s="137" t="s">
        <v>11</v>
      </c>
      <c r="F539" s="137">
        <v>81296041111</v>
      </c>
      <c r="G539" s="137" t="s">
        <v>109</v>
      </c>
      <c r="H539" s="138">
        <v>45498</v>
      </c>
      <c r="I539" s="139" t="s">
        <v>384</v>
      </c>
      <c r="J539" s="137" t="s">
        <v>21492</v>
      </c>
      <c r="K539" s="137">
        <v>39</v>
      </c>
      <c r="L539" s="133" t="str">
        <f t="shared" si="8"/>
        <v>001</v>
      </c>
    </row>
    <row r="540" spans="1:12" x14ac:dyDescent="0.3">
      <c r="A540" s="136">
        <v>536</v>
      </c>
      <c r="B540" s="137" t="s">
        <v>13540</v>
      </c>
      <c r="C540" s="10" t="str">
        <f>VLOOKUP(B540,'Data Angt'!$A$5:$B$5809,2,FALSE)</f>
        <v>A4836</v>
      </c>
      <c r="D540" s="137" t="s">
        <v>21493</v>
      </c>
      <c r="E540" s="137" t="s">
        <v>22</v>
      </c>
      <c r="F540" s="137">
        <v>8123220275</v>
      </c>
      <c r="G540" s="137" t="s">
        <v>955</v>
      </c>
      <c r="H540" s="138">
        <v>45498</v>
      </c>
      <c r="I540" s="139" t="s">
        <v>384</v>
      </c>
      <c r="J540" s="137" t="s">
        <v>21494</v>
      </c>
      <c r="K540" s="137">
        <v>27</v>
      </c>
      <c r="L540" s="133" t="str">
        <f t="shared" si="8"/>
        <v>002</v>
      </c>
    </row>
    <row r="541" spans="1:12" x14ac:dyDescent="0.3">
      <c r="A541" s="136">
        <v>537</v>
      </c>
      <c r="B541" s="137" t="s">
        <v>13542</v>
      </c>
      <c r="C541" s="10" t="str">
        <f>VLOOKUP(B541,'Data Angt'!$A$5:$B$5809,2,FALSE)</f>
        <v>A4837</v>
      </c>
      <c r="D541" s="137" t="s">
        <v>21495</v>
      </c>
      <c r="E541" s="137" t="s">
        <v>22</v>
      </c>
      <c r="F541" s="137">
        <v>85607413607</v>
      </c>
      <c r="G541" s="137" t="s">
        <v>31</v>
      </c>
      <c r="H541" s="138">
        <v>45498</v>
      </c>
      <c r="I541" s="139" t="s">
        <v>384</v>
      </c>
      <c r="J541" s="137" t="s">
        <v>21496</v>
      </c>
      <c r="K541" s="137">
        <v>41</v>
      </c>
      <c r="L541" s="133" t="str">
        <f t="shared" si="8"/>
        <v>002</v>
      </c>
    </row>
    <row r="542" spans="1:12" x14ac:dyDescent="0.3">
      <c r="A542" s="136">
        <v>538</v>
      </c>
      <c r="B542" s="137" t="s">
        <v>13544</v>
      </c>
      <c r="C542" s="10" t="str">
        <f>VLOOKUP(B542,'Data Angt'!$A$5:$B$5809,2,FALSE)</f>
        <v>A4838</v>
      </c>
      <c r="D542" s="137" t="s">
        <v>21497</v>
      </c>
      <c r="E542" s="137" t="s">
        <v>22</v>
      </c>
      <c r="F542" s="137">
        <v>85231484158</v>
      </c>
      <c r="G542" s="137" t="s">
        <v>46</v>
      </c>
      <c r="H542" s="138">
        <v>45498</v>
      </c>
      <c r="I542" s="139" t="s">
        <v>384</v>
      </c>
      <c r="J542" s="137" t="s">
        <v>21498</v>
      </c>
      <c r="K542" s="137">
        <v>48</v>
      </c>
      <c r="L542" s="133" t="str">
        <f t="shared" si="8"/>
        <v>001</v>
      </c>
    </row>
    <row r="543" spans="1:12" x14ac:dyDescent="0.3">
      <c r="A543" s="136">
        <v>539</v>
      </c>
      <c r="B543" s="137" t="s">
        <v>13553</v>
      </c>
      <c r="C543" s="10" t="str">
        <f>VLOOKUP(B543,'Data Angt'!$A$5:$B$5809,2,FALSE)</f>
        <v>A4841</v>
      </c>
      <c r="D543" s="137" t="s">
        <v>21499</v>
      </c>
      <c r="E543" s="137" t="s">
        <v>22</v>
      </c>
      <c r="F543" s="137">
        <v>81298882289</v>
      </c>
      <c r="G543" s="137"/>
      <c r="H543" s="138">
        <v>45499</v>
      </c>
      <c r="I543" s="139" t="s">
        <v>384</v>
      </c>
      <c r="J543" s="137" t="s">
        <v>21500</v>
      </c>
      <c r="K543" s="137">
        <v>40</v>
      </c>
      <c r="L543" s="133" t="str">
        <f t="shared" si="8"/>
        <v>007</v>
      </c>
    </row>
    <row r="544" spans="1:12" x14ac:dyDescent="0.3">
      <c r="A544" s="136">
        <v>540</v>
      </c>
      <c r="B544" s="137" t="s">
        <v>13550</v>
      </c>
      <c r="C544" s="10" t="str">
        <f>VLOOKUP(B544,'Data Angt'!$A$5:$B$5809,2,FALSE)</f>
        <v>A4840</v>
      </c>
      <c r="D544" s="137" t="s">
        <v>21501</v>
      </c>
      <c r="E544" s="137" t="s">
        <v>22</v>
      </c>
      <c r="F544" s="137">
        <v>85233407221</v>
      </c>
      <c r="G544" s="137" t="s">
        <v>1439</v>
      </c>
      <c r="H544" s="138">
        <v>45499</v>
      </c>
      <c r="I544" s="139" t="s">
        <v>384</v>
      </c>
      <c r="J544" s="137" t="s">
        <v>21502</v>
      </c>
      <c r="K544" s="137">
        <v>55</v>
      </c>
      <c r="L544" s="133" t="str">
        <f t="shared" si="8"/>
        <v>002</v>
      </c>
    </row>
    <row r="545" spans="1:12" x14ac:dyDescent="0.3">
      <c r="A545" s="136">
        <v>541</v>
      </c>
      <c r="B545" s="137" t="s">
        <v>13554</v>
      </c>
      <c r="C545" s="10" t="str">
        <f>VLOOKUP(B545,'Data Angt'!$A$5:$B$5809,2,FALSE)</f>
        <v>A4842</v>
      </c>
      <c r="D545" s="137" t="s">
        <v>21503</v>
      </c>
      <c r="E545" s="137" t="s">
        <v>11</v>
      </c>
      <c r="F545" s="137">
        <v>81336752878</v>
      </c>
      <c r="G545" s="137" t="s">
        <v>1226</v>
      </c>
      <c r="H545" s="138">
        <v>45500</v>
      </c>
      <c r="I545" s="139" t="s">
        <v>384</v>
      </c>
      <c r="J545" s="137" t="s">
        <v>21504</v>
      </c>
      <c r="K545" s="137">
        <v>53</v>
      </c>
      <c r="L545" s="133" t="str">
        <f t="shared" si="8"/>
        <v>001</v>
      </c>
    </row>
    <row r="546" spans="1:12" x14ac:dyDescent="0.3">
      <c r="A546" s="136">
        <v>542</v>
      </c>
      <c r="B546" s="137" t="s">
        <v>13555</v>
      </c>
      <c r="C546" s="10" t="str">
        <f>VLOOKUP(B546,'Data Angt'!$A$5:$B$5809,2,FALSE)</f>
        <v>A4843</v>
      </c>
      <c r="D546" s="137" t="s">
        <v>21505</v>
      </c>
      <c r="E546" s="137" t="s">
        <v>22</v>
      </c>
      <c r="F546" s="137">
        <v>87712857066</v>
      </c>
      <c r="G546" s="137" t="s">
        <v>155</v>
      </c>
      <c r="H546" s="138">
        <v>45502</v>
      </c>
      <c r="I546" s="139" t="s">
        <v>384</v>
      </c>
      <c r="J546" s="137" t="s">
        <v>21506</v>
      </c>
      <c r="K546" s="137">
        <v>42</v>
      </c>
      <c r="L546" s="133" t="str">
        <f t="shared" si="8"/>
        <v>001</v>
      </c>
    </row>
    <row r="547" spans="1:12" x14ac:dyDescent="0.3">
      <c r="A547" s="136">
        <v>543</v>
      </c>
      <c r="B547" s="137" t="s">
        <v>13557</v>
      </c>
      <c r="C547" s="10" t="str">
        <f>VLOOKUP(B547,'Data Angt'!$A$5:$B$5809,2,FALSE)</f>
        <v>A4844</v>
      </c>
      <c r="D547" s="137" t="s">
        <v>21507</v>
      </c>
      <c r="E547" s="137" t="s">
        <v>22</v>
      </c>
      <c r="F547" s="137">
        <v>85231819562</v>
      </c>
      <c r="G547" s="137" t="s">
        <v>46</v>
      </c>
      <c r="H547" s="138">
        <v>45502</v>
      </c>
      <c r="I547" s="139" t="s">
        <v>384</v>
      </c>
      <c r="J547" s="137" t="s">
        <v>21508</v>
      </c>
      <c r="K547" s="137">
        <v>48</v>
      </c>
      <c r="L547" s="133" t="str">
        <f t="shared" si="8"/>
        <v>003</v>
      </c>
    </row>
    <row r="548" spans="1:12" x14ac:dyDescent="0.3">
      <c r="A548" s="136">
        <v>544</v>
      </c>
      <c r="B548" s="137" t="s">
        <v>13559</v>
      </c>
      <c r="C548" s="10" t="str">
        <f>VLOOKUP(B548,'Data Angt'!$A$5:$B$5809,2,FALSE)</f>
        <v>A4845</v>
      </c>
      <c r="D548" s="137" t="s">
        <v>21509</v>
      </c>
      <c r="E548" s="137" t="s">
        <v>11</v>
      </c>
      <c r="F548" s="137">
        <v>85210299745</v>
      </c>
      <c r="G548" s="137" t="s">
        <v>46</v>
      </c>
      <c r="H548" s="138">
        <v>45502</v>
      </c>
      <c r="I548" s="139" t="s">
        <v>384</v>
      </c>
      <c r="J548" s="137" t="s">
        <v>19274</v>
      </c>
      <c r="K548" s="137">
        <v>45</v>
      </c>
      <c r="L548" s="133" t="str">
        <f t="shared" si="8"/>
        <v>002</v>
      </c>
    </row>
    <row r="549" spans="1:12" x14ac:dyDescent="0.3">
      <c r="A549" s="136">
        <v>545</v>
      </c>
      <c r="B549" s="137" t="s">
        <v>13560</v>
      </c>
      <c r="C549" s="10" t="str">
        <f>VLOOKUP(B549,'Data Angt'!$A$5:$B$5809,2,FALSE)</f>
        <v>A4846</v>
      </c>
      <c r="D549" s="137" t="s">
        <v>21510</v>
      </c>
      <c r="E549" s="137" t="s">
        <v>22</v>
      </c>
      <c r="F549" s="137">
        <v>87876904660</v>
      </c>
      <c r="G549" s="137" t="s">
        <v>46</v>
      </c>
      <c r="H549" s="138">
        <v>45503</v>
      </c>
      <c r="I549" s="139" t="s">
        <v>384</v>
      </c>
      <c r="J549" s="137" t="s">
        <v>21511</v>
      </c>
      <c r="K549" s="137">
        <v>50</v>
      </c>
      <c r="L549" s="133" t="str">
        <f t="shared" si="8"/>
        <v>004</v>
      </c>
    </row>
    <row r="550" spans="1:12" x14ac:dyDescent="0.3">
      <c r="A550" s="136">
        <v>546</v>
      </c>
      <c r="B550" s="137" t="s">
        <v>13562</v>
      </c>
      <c r="C550" s="10" t="str">
        <f>VLOOKUP(B550,'Data Angt'!$A$5:$B$5809,2,FALSE)</f>
        <v>A4847</v>
      </c>
      <c r="D550" s="137" t="s">
        <v>21512</v>
      </c>
      <c r="E550" s="137" t="s">
        <v>22</v>
      </c>
      <c r="F550" s="137">
        <v>81252397344</v>
      </c>
      <c r="G550" s="137" t="s">
        <v>46</v>
      </c>
      <c r="H550" s="138">
        <v>45503</v>
      </c>
      <c r="I550" s="139" t="s">
        <v>384</v>
      </c>
      <c r="J550" s="137" t="s">
        <v>21513</v>
      </c>
      <c r="K550" s="137">
        <v>51</v>
      </c>
      <c r="L550" s="133" t="str">
        <f t="shared" si="8"/>
        <v>003</v>
      </c>
    </row>
    <row r="551" spans="1:12" x14ac:dyDescent="0.3">
      <c r="A551" s="136">
        <v>547</v>
      </c>
      <c r="B551" s="137" t="s">
        <v>13566</v>
      </c>
      <c r="C551" s="10" t="str">
        <f>VLOOKUP(B551,'Data Angt'!$A$5:$B$5809,2,FALSE)</f>
        <v>A4848</v>
      </c>
      <c r="D551" s="137" t="s">
        <v>21514</v>
      </c>
      <c r="E551" s="137" t="s">
        <v>22</v>
      </c>
      <c r="F551" s="137">
        <v>82301339798</v>
      </c>
      <c r="G551" s="137" t="s">
        <v>31</v>
      </c>
      <c r="H551" s="138">
        <v>45503</v>
      </c>
      <c r="I551" s="139" t="s">
        <v>384</v>
      </c>
      <c r="J551" s="137" t="s">
        <v>21515</v>
      </c>
      <c r="K551" s="137">
        <v>57</v>
      </c>
      <c r="L551" s="133" t="str">
        <f t="shared" si="8"/>
        <v>003</v>
      </c>
    </row>
    <row r="552" spans="1:12" x14ac:dyDescent="0.3">
      <c r="A552" s="136">
        <v>548</v>
      </c>
      <c r="B552" s="137" t="s">
        <v>13594</v>
      </c>
      <c r="C552" s="10" t="str">
        <f>VLOOKUP(B552,'Data Angt'!$A$5:$B$5809,2,FALSE)</f>
        <v>A4860</v>
      </c>
      <c r="D552" s="137" t="s">
        <v>21516</v>
      </c>
      <c r="E552" s="137" t="s">
        <v>11</v>
      </c>
      <c r="F552" s="137">
        <v>81227299910</v>
      </c>
      <c r="G552" s="137" t="s">
        <v>13</v>
      </c>
      <c r="H552" s="138">
        <v>45510</v>
      </c>
      <c r="I552" s="139" t="s">
        <v>384</v>
      </c>
      <c r="J552" s="137" t="s">
        <v>21517</v>
      </c>
      <c r="K552" s="137">
        <v>64</v>
      </c>
      <c r="L552" s="133" t="str">
        <f t="shared" si="8"/>
        <v>006</v>
      </c>
    </row>
    <row r="553" spans="1:12" x14ac:dyDescent="0.3">
      <c r="A553" s="136">
        <v>549</v>
      </c>
      <c r="B553" s="137" t="s">
        <v>13567</v>
      </c>
      <c r="C553" s="10" t="str">
        <f>VLOOKUP(B553,'Data Angt'!$A$5:$B$5809,2,FALSE)</f>
        <v>A4849</v>
      </c>
      <c r="D553" s="137" t="s">
        <v>21518</v>
      </c>
      <c r="E553" s="137" t="s">
        <v>11</v>
      </c>
      <c r="F553" s="137">
        <v>85341675281</v>
      </c>
      <c r="G553" s="137" t="s">
        <v>109</v>
      </c>
      <c r="H553" s="138">
        <v>45504</v>
      </c>
      <c r="I553" s="139" t="s">
        <v>384</v>
      </c>
      <c r="J553" s="137" t="s">
        <v>21519</v>
      </c>
      <c r="K553" s="137">
        <v>30</v>
      </c>
      <c r="L553" s="133" t="str">
        <f t="shared" si="8"/>
        <v>001</v>
      </c>
    </row>
    <row r="554" spans="1:12" x14ac:dyDescent="0.3">
      <c r="A554" s="136">
        <v>550</v>
      </c>
      <c r="B554" s="137" t="s">
        <v>13572</v>
      </c>
      <c r="C554" s="10" t="str">
        <f>VLOOKUP(B554,'Data Angt'!$A$5:$B$5809,2,FALSE)</f>
        <v>A4851</v>
      </c>
      <c r="D554" s="137" t="s">
        <v>21520</v>
      </c>
      <c r="E554" s="137" t="s">
        <v>11</v>
      </c>
      <c r="F554" s="137">
        <v>85234583997</v>
      </c>
      <c r="G554" s="137" t="s">
        <v>46</v>
      </c>
      <c r="H554" s="138">
        <v>45505</v>
      </c>
      <c r="I554" s="139" t="s">
        <v>384</v>
      </c>
      <c r="J554" s="137" t="s">
        <v>21521</v>
      </c>
      <c r="K554" s="137">
        <v>56</v>
      </c>
      <c r="L554" s="133" t="str">
        <f t="shared" si="8"/>
        <v>002</v>
      </c>
    </row>
    <row r="555" spans="1:12" x14ac:dyDescent="0.3">
      <c r="A555" s="136">
        <v>551</v>
      </c>
      <c r="B555" s="137" t="s">
        <v>21522</v>
      </c>
      <c r="C555" s="10" t="e">
        <f>VLOOKUP(B555,'Data Angt'!$A$5:$B$5809,2,FALSE)</f>
        <v>#N/A</v>
      </c>
      <c r="D555" s="137" t="s">
        <v>21523</v>
      </c>
      <c r="E555" s="137" t="s">
        <v>22</v>
      </c>
      <c r="F555" s="137">
        <v>83152182544</v>
      </c>
      <c r="G555" s="137" t="s">
        <v>46</v>
      </c>
      <c r="H555" s="138">
        <v>45505</v>
      </c>
      <c r="I555" s="138">
        <v>45743</v>
      </c>
      <c r="J555" s="137" t="s">
        <v>21524</v>
      </c>
      <c r="K555" s="137">
        <v>36</v>
      </c>
      <c r="L555" s="133" t="str">
        <f t="shared" si="8"/>
        <v>004</v>
      </c>
    </row>
    <row r="556" spans="1:12" x14ac:dyDescent="0.3">
      <c r="A556" s="136">
        <v>552</v>
      </c>
      <c r="B556" s="137" t="s">
        <v>13575</v>
      </c>
      <c r="C556" s="10" t="str">
        <f>VLOOKUP(B556,'Data Angt'!$A$5:$B$5809,2,FALSE)</f>
        <v>A4852</v>
      </c>
      <c r="D556" s="137" t="s">
        <v>21525</v>
      </c>
      <c r="E556" s="137" t="s">
        <v>22</v>
      </c>
      <c r="F556" s="137">
        <v>85218977401</v>
      </c>
      <c r="G556" s="137"/>
      <c r="H556" s="138">
        <v>45506</v>
      </c>
      <c r="I556" s="139" t="s">
        <v>384</v>
      </c>
      <c r="J556" s="137" t="s">
        <v>21526</v>
      </c>
      <c r="K556" s="137">
        <v>39</v>
      </c>
      <c r="L556" s="133" t="str">
        <f t="shared" si="8"/>
        <v>007</v>
      </c>
    </row>
    <row r="557" spans="1:12" x14ac:dyDescent="0.3">
      <c r="A557" s="136">
        <v>553</v>
      </c>
      <c r="B557" s="137" t="s">
        <v>13577</v>
      </c>
      <c r="C557" s="10" t="str">
        <f>VLOOKUP(B557,'Data Angt'!$A$5:$B$5809,2,FALSE)</f>
        <v>A4853</v>
      </c>
      <c r="D557" s="137" t="s">
        <v>21527</v>
      </c>
      <c r="E557" s="137" t="s">
        <v>22</v>
      </c>
      <c r="F557" s="137">
        <v>8125654663</v>
      </c>
      <c r="G557" s="137" t="s">
        <v>1820</v>
      </c>
      <c r="H557" s="138">
        <v>45506</v>
      </c>
      <c r="I557" s="139" t="s">
        <v>384</v>
      </c>
      <c r="J557" s="137" t="s">
        <v>21528</v>
      </c>
      <c r="K557" s="137">
        <v>50</v>
      </c>
      <c r="L557" s="133" t="str">
        <f t="shared" si="8"/>
        <v>002</v>
      </c>
    </row>
    <row r="558" spans="1:12" x14ac:dyDescent="0.3">
      <c r="A558" s="136">
        <v>554</v>
      </c>
      <c r="B558" s="137" t="s">
        <v>13579</v>
      </c>
      <c r="C558" s="10" t="str">
        <f>VLOOKUP(B558,'Data Angt'!$A$5:$B$5809,2,FALSE)</f>
        <v>A4854</v>
      </c>
      <c r="D558" s="137" t="s">
        <v>21529</v>
      </c>
      <c r="E558" s="137" t="s">
        <v>11</v>
      </c>
      <c r="F558" s="137">
        <v>85872643293</v>
      </c>
      <c r="G558" s="137" t="s">
        <v>46</v>
      </c>
      <c r="H558" s="138">
        <v>45506</v>
      </c>
      <c r="I558" s="139" t="s">
        <v>384</v>
      </c>
      <c r="J558" s="137" t="s">
        <v>21530</v>
      </c>
      <c r="K558" s="137">
        <v>27</v>
      </c>
      <c r="L558" s="133" t="str">
        <f t="shared" si="8"/>
        <v>001</v>
      </c>
    </row>
    <row r="559" spans="1:12" x14ac:dyDescent="0.3">
      <c r="A559" s="136">
        <v>555</v>
      </c>
      <c r="B559" s="137" t="s">
        <v>13582</v>
      </c>
      <c r="C559" s="10" t="str">
        <f>VLOOKUP(B559,'Data Angt'!$A$5:$B$5809,2,FALSE)</f>
        <v>A4855</v>
      </c>
      <c r="D559" s="137" t="s">
        <v>21531</v>
      </c>
      <c r="E559" s="137" t="s">
        <v>22</v>
      </c>
      <c r="F559" s="137">
        <v>81212661974</v>
      </c>
      <c r="G559" s="137"/>
      <c r="H559" s="138">
        <v>45509</v>
      </c>
      <c r="I559" s="139" t="s">
        <v>384</v>
      </c>
      <c r="J559" s="137" t="s">
        <v>21532</v>
      </c>
      <c r="K559" s="137">
        <v>48</v>
      </c>
      <c r="L559" s="133" t="str">
        <f t="shared" si="8"/>
        <v>007</v>
      </c>
    </row>
    <row r="560" spans="1:12" x14ac:dyDescent="0.3">
      <c r="A560" s="136">
        <v>556</v>
      </c>
      <c r="B560" s="137" t="s">
        <v>13584</v>
      </c>
      <c r="C560" s="10" t="str">
        <f>VLOOKUP(B560,'Data Angt'!$A$5:$B$5809,2,FALSE)</f>
        <v>A4856</v>
      </c>
      <c r="D560" s="137" t="s">
        <v>21533</v>
      </c>
      <c r="E560" s="137" t="s">
        <v>22</v>
      </c>
      <c r="F560" s="137">
        <v>81238896891</v>
      </c>
      <c r="G560" s="137" t="s">
        <v>16</v>
      </c>
      <c r="H560" s="138">
        <v>45509</v>
      </c>
      <c r="I560" s="139" t="s">
        <v>384</v>
      </c>
      <c r="J560" s="137" t="s">
        <v>19274</v>
      </c>
      <c r="K560" s="137">
        <v>44</v>
      </c>
      <c r="L560" s="133" t="str">
        <f t="shared" si="8"/>
        <v>001</v>
      </c>
    </row>
    <row r="561" spans="1:12" x14ac:dyDescent="0.3">
      <c r="A561" s="136">
        <v>557</v>
      </c>
      <c r="B561" s="137" t="s">
        <v>13587</v>
      </c>
      <c r="C561" s="10" t="str">
        <f>VLOOKUP(B561,'Data Angt'!$A$5:$B$5809,2,FALSE)</f>
        <v>A4857</v>
      </c>
      <c r="D561" s="137" t="s">
        <v>21534</v>
      </c>
      <c r="E561" s="137" t="s">
        <v>11</v>
      </c>
      <c r="F561" s="137">
        <v>85238942859</v>
      </c>
      <c r="G561" s="137" t="s">
        <v>133</v>
      </c>
      <c r="H561" s="138">
        <v>45509</v>
      </c>
      <c r="I561" s="139" t="s">
        <v>384</v>
      </c>
      <c r="J561" s="137" t="s">
        <v>21535</v>
      </c>
      <c r="K561" s="137">
        <v>29</v>
      </c>
      <c r="L561" s="133" t="str">
        <f t="shared" si="8"/>
        <v>002</v>
      </c>
    </row>
    <row r="562" spans="1:12" x14ac:dyDescent="0.3">
      <c r="A562" s="136">
        <v>558</v>
      </c>
      <c r="B562" s="137" t="s">
        <v>13589</v>
      </c>
      <c r="C562" s="10" t="str">
        <f>VLOOKUP(B562,'Data Angt'!$A$5:$B$5809,2,FALSE)</f>
        <v>A4858</v>
      </c>
      <c r="D562" s="137" t="s">
        <v>21536</v>
      </c>
      <c r="E562" s="137" t="s">
        <v>22</v>
      </c>
      <c r="F562" s="137">
        <v>8224400070</v>
      </c>
      <c r="G562" s="137" t="s">
        <v>172</v>
      </c>
      <c r="H562" s="138">
        <v>45509</v>
      </c>
      <c r="I562" s="139" t="s">
        <v>384</v>
      </c>
      <c r="J562" s="137" t="s">
        <v>21537</v>
      </c>
      <c r="K562" s="137">
        <v>55</v>
      </c>
      <c r="L562" s="133" t="str">
        <f t="shared" si="8"/>
        <v>002</v>
      </c>
    </row>
    <row r="563" spans="1:12" x14ac:dyDescent="0.3">
      <c r="A563" s="136">
        <v>559</v>
      </c>
      <c r="B563" s="137" t="s">
        <v>13591</v>
      </c>
      <c r="C563" s="10" t="str">
        <f>VLOOKUP(B563,'Data Angt'!$A$5:$B$5809,2,FALSE)</f>
        <v>A4859</v>
      </c>
      <c r="D563" s="137" t="s">
        <v>21538</v>
      </c>
      <c r="E563" s="137" t="s">
        <v>11</v>
      </c>
      <c r="F563" s="137">
        <v>85134531207</v>
      </c>
      <c r="G563" s="137" t="s">
        <v>109</v>
      </c>
      <c r="H563" s="138">
        <v>45510</v>
      </c>
      <c r="I563" s="139" t="s">
        <v>384</v>
      </c>
      <c r="J563" s="137" t="s">
        <v>21539</v>
      </c>
      <c r="K563" s="137">
        <v>20</v>
      </c>
      <c r="L563" s="133" t="str">
        <f t="shared" si="8"/>
        <v>001</v>
      </c>
    </row>
    <row r="564" spans="1:12" x14ac:dyDescent="0.3">
      <c r="A564" s="136">
        <v>560</v>
      </c>
      <c r="B564" s="137" t="s">
        <v>13596</v>
      </c>
      <c r="C564" s="10" t="str">
        <f>VLOOKUP(B564,'Data Angt'!$A$5:$B$5809,2,FALSE)</f>
        <v>A4861</v>
      </c>
      <c r="D564" s="137" t="s">
        <v>21540</v>
      </c>
      <c r="E564" s="137" t="s">
        <v>11</v>
      </c>
      <c r="F564" s="137">
        <v>85748168250</v>
      </c>
      <c r="G564" s="137" t="s">
        <v>109</v>
      </c>
      <c r="H564" s="138">
        <v>45510</v>
      </c>
      <c r="I564" s="139" t="s">
        <v>384</v>
      </c>
      <c r="J564" s="137" t="s">
        <v>19891</v>
      </c>
      <c r="K564" s="137">
        <v>22</v>
      </c>
      <c r="L564" s="133" t="str">
        <f t="shared" si="8"/>
        <v>001</v>
      </c>
    </row>
    <row r="565" spans="1:12" x14ac:dyDescent="0.3">
      <c r="A565" s="136">
        <v>561</v>
      </c>
      <c r="B565" s="137" t="s">
        <v>13598</v>
      </c>
      <c r="C565" s="10" t="str">
        <f>VLOOKUP(B565,'Data Angt'!$A$5:$B$5809,2,FALSE)</f>
        <v>A4862</v>
      </c>
      <c r="D565" s="137" t="s">
        <v>21541</v>
      </c>
      <c r="E565" s="137" t="s">
        <v>11</v>
      </c>
      <c r="F565" s="137">
        <v>81239910194</v>
      </c>
      <c r="G565" s="137" t="s">
        <v>109</v>
      </c>
      <c r="H565" s="138">
        <v>45510</v>
      </c>
      <c r="I565" s="139" t="s">
        <v>384</v>
      </c>
      <c r="J565" s="137" t="s">
        <v>21542</v>
      </c>
      <c r="K565" s="137">
        <v>21</v>
      </c>
      <c r="L565" s="133" t="str">
        <f t="shared" si="8"/>
        <v>001</v>
      </c>
    </row>
    <row r="566" spans="1:12" x14ac:dyDescent="0.3">
      <c r="A566" s="136">
        <v>562</v>
      </c>
      <c r="B566" s="137" t="s">
        <v>13600</v>
      </c>
      <c r="C566" s="10" t="str">
        <f>VLOOKUP(B566,'Data Angt'!$A$5:$B$5809,2,FALSE)</f>
        <v>A4863</v>
      </c>
      <c r="D566" s="137" t="s">
        <v>21543</v>
      </c>
      <c r="E566" s="137" t="s">
        <v>22</v>
      </c>
      <c r="F566" s="137">
        <v>264616484156</v>
      </c>
      <c r="G566" s="137" t="s">
        <v>46</v>
      </c>
      <c r="H566" s="138">
        <v>45511</v>
      </c>
      <c r="I566" s="139" t="s">
        <v>384</v>
      </c>
      <c r="J566" s="137" t="s">
        <v>21544</v>
      </c>
      <c r="K566" s="137">
        <v>61</v>
      </c>
      <c r="L566" s="133" t="str">
        <f t="shared" si="8"/>
        <v>001</v>
      </c>
    </row>
    <row r="567" spans="1:12" x14ac:dyDescent="0.3">
      <c r="A567" s="136">
        <v>563</v>
      </c>
      <c r="B567" s="137" t="s">
        <v>21545</v>
      </c>
      <c r="C567" s="10" t="e">
        <f>VLOOKUP(B567,'Data Angt'!$A$5:$B$5809,2,FALSE)</f>
        <v>#N/A</v>
      </c>
      <c r="D567" s="137" t="s">
        <v>21546</v>
      </c>
      <c r="E567" s="137" t="s">
        <v>22</v>
      </c>
      <c r="F567" s="137">
        <v>89527138911</v>
      </c>
      <c r="G567" s="137" t="s">
        <v>109</v>
      </c>
      <c r="H567" s="138">
        <v>45511</v>
      </c>
      <c r="I567" s="138">
        <v>45868</v>
      </c>
      <c r="J567" s="137" t="s">
        <v>21547</v>
      </c>
      <c r="K567" s="137">
        <v>38</v>
      </c>
      <c r="L567" s="133" t="str">
        <f t="shared" si="8"/>
        <v>006</v>
      </c>
    </row>
    <row r="568" spans="1:12" x14ac:dyDescent="0.3">
      <c r="A568" s="136">
        <v>564</v>
      </c>
      <c r="B568" s="137" t="s">
        <v>13602</v>
      </c>
      <c r="C568" s="10" t="str">
        <f>VLOOKUP(B568,'Data Angt'!$A$5:$B$5809,2,FALSE)</f>
        <v>A4864</v>
      </c>
      <c r="D568" s="137" t="s">
        <v>21548</v>
      </c>
      <c r="E568" s="137" t="s">
        <v>22</v>
      </c>
      <c r="F568" s="137">
        <v>81216072173</v>
      </c>
      <c r="G568" s="137" t="s">
        <v>243</v>
      </c>
      <c r="H568" s="138">
        <v>45512</v>
      </c>
      <c r="I568" s="139" t="s">
        <v>384</v>
      </c>
      <c r="J568" s="137" t="s">
        <v>21549</v>
      </c>
      <c r="K568" s="137">
        <v>53</v>
      </c>
      <c r="L568" s="133" t="str">
        <f t="shared" si="8"/>
        <v>001</v>
      </c>
    </row>
    <row r="569" spans="1:12" x14ac:dyDescent="0.3">
      <c r="A569" s="136">
        <v>565</v>
      </c>
      <c r="B569" s="137" t="s">
        <v>13604</v>
      </c>
      <c r="C569" s="10" t="str">
        <f>VLOOKUP(B569,'Data Angt'!$A$5:$B$5809,2,FALSE)</f>
        <v>A4865</v>
      </c>
      <c r="D569" s="137" t="s">
        <v>21074</v>
      </c>
      <c r="E569" s="137" t="s">
        <v>22</v>
      </c>
      <c r="F569" s="137">
        <v>85810569074</v>
      </c>
      <c r="G569" s="137" t="s">
        <v>243</v>
      </c>
      <c r="H569" s="138">
        <v>45512</v>
      </c>
      <c r="I569" s="139" t="s">
        <v>384</v>
      </c>
      <c r="J569" s="137" t="s">
        <v>21549</v>
      </c>
      <c r="K569" s="137">
        <v>49</v>
      </c>
      <c r="L569" s="133" t="str">
        <f t="shared" si="8"/>
        <v>001</v>
      </c>
    </row>
    <row r="570" spans="1:12" x14ac:dyDescent="0.3">
      <c r="A570" s="136">
        <v>566</v>
      </c>
      <c r="B570" s="137" t="s">
        <v>13605</v>
      </c>
      <c r="C570" s="10" t="str">
        <f>VLOOKUP(B570,'Data Angt'!$A$5:$B$5809,2,FALSE)</f>
        <v>A4866</v>
      </c>
      <c r="D570" s="137" t="s">
        <v>21550</v>
      </c>
      <c r="E570" s="137" t="s">
        <v>22</v>
      </c>
      <c r="F570" s="137">
        <v>81391211898</v>
      </c>
      <c r="G570" s="137" t="s">
        <v>1200</v>
      </c>
      <c r="H570" s="138">
        <v>45512</v>
      </c>
      <c r="I570" s="139" t="s">
        <v>384</v>
      </c>
      <c r="J570" s="137" t="s">
        <v>21551</v>
      </c>
      <c r="K570" s="137">
        <v>29</v>
      </c>
      <c r="L570" s="133" t="str">
        <f t="shared" si="8"/>
        <v>006</v>
      </c>
    </row>
    <row r="571" spans="1:12" x14ac:dyDescent="0.3">
      <c r="A571" s="136">
        <v>567</v>
      </c>
      <c r="B571" s="137" t="s">
        <v>13608</v>
      </c>
      <c r="C571" s="10" t="str">
        <f>VLOOKUP(B571,'Data Angt'!$A$5:$B$5809,2,FALSE)</f>
        <v>A4867</v>
      </c>
      <c r="D571" s="137" t="s">
        <v>21552</v>
      </c>
      <c r="E571" s="137" t="s">
        <v>11</v>
      </c>
      <c r="F571" s="137">
        <v>89520840098</v>
      </c>
      <c r="G571" s="137" t="s">
        <v>133</v>
      </c>
      <c r="H571" s="138">
        <v>45512</v>
      </c>
      <c r="I571" s="139" t="s">
        <v>384</v>
      </c>
      <c r="J571" s="137" t="s">
        <v>21048</v>
      </c>
      <c r="K571" s="137">
        <v>41</v>
      </c>
      <c r="L571" s="133" t="str">
        <f t="shared" si="8"/>
        <v>004</v>
      </c>
    </row>
    <row r="572" spans="1:12" x14ac:dyDescent="0.3">
      <c r="A572" s="136">
        <v>568</v>
      </c>
      <c r="B572" s="137" t="s">
        <v>13611</v>
      </c>
      <c r="C572" s="10" t="str">
        <f>VLOOKUP(B572,'Data Angt'!$A$5:$B$5809,2,FALSE)</f>
        <v>A4868</v>
      </c>
      <c r="D572" s="137" t="s">
        <v>21553</v>
      </c>
      <c r="E572" s="137" t="s">
        <v>11</v>
      </c>
      <c r="F572" s="137">
        <v>85259627444</v>
      </c>
      <c r="G572" s="137" t="s">
        <v>46</v>
      </c>
      <c r="H572" s="138">
        <v>45513</v>
      </c>
      <c r="I572" s="139" t="s">
        <v>384</v>
      </c>
      <c r="J572" s="137" t="s">
        <v>21554</v>
      </c>
      <c r="K572" s="137">
        <v>63</v>
      </c>
      <c r="L572" s="133" t="str">
        <f t="shared" si="8"/>
        <v>003</v>
      </c>
    </row>
    <row r="573" spans="1:12" x14ac:dyDescent="0.3">
      <c r="A573" s="136">
        <v>569</v>
      </c>
      <c r="B573" s="137" t="s">
        <v>13613</v>
      </c>
      <c r="C573" s="10" t="str">
        <f>VLOOKUP(B573,'Data Angt'!$A$5:$B$5809,2,FALSE)</f>
        <v>A4869</v>
      </c>
      <c r="D573" s="137" t="s">
        <v>21555</v>
      </c>
      <c r="E573" s="137" t="s">
        <v>22</v>
      </c>
      <c r="F573" s="137">
        <v>81252673202</v>
      </c>
      <c r="G573" s="137" t="s">
        <v>46</v>
      </c>
      <c r="H573" s="138">
        <v>45513</v>
      </c>
      <c r="I573" s="139" t="s">
        <v>384</v>
      </c>
      <c r="J573" s="137" t="s">
        <v>21556</v>
      </c>
      <c r="K573" s="137">
        <v>56</v>
      </c>
      <c r="L573" s="133" t="str">
        <f t="shared" si="8"/>
        <v>003</v>
      </c>
    </row>
    <row r="574" spans="1:12" x14ac:dyDescent="0.3">
      <c r="A574" s="136">
        <v>570</v>
      </c>
      <c r="B574" s="137" t="s">
        <v>13616</v>
      </c>
      <c r="C574" s="10" t="str">
        <f>VLOOKUP(B574,'Data Angt'!$A$5:$B$5809,2,FALSE)</f>
        <v>A4870</v>
      </c>
      <c r="D574" s="137" t="s">
        <v>21557</v>
      </c>
      <c r="E574" s="137" t="s">
        <v>11</v>
      </c>
      <c r="F574" s="137">
        <v>85812703889</v>
      </c>
      <c r="G574" s="137" t="s">
        <v>109</v>
      </c>
      <c r="H574" s="138">
        <v>45513</v>
      </c>
      <c r="I574" s="139" t="s">
        <v>384</v>
      </c>
      <c r="J574" s="137" t="s">
        <v>20022</v>
      </c>
      <c r="K574" s="137">
        <v>25</v>
      </c>
      <c r="L574" s="133" t="str">
        <f t="shared" si="8"/>
        <v>002</v>
      </c>
    </row>
    <row r="575" spans="1:12" x14ac:dyDescent="0.3">
      <c r="A575" s="136">
        <v>571</v>
      </c>
      <c r="B575" s="137" t="s">
        <v>13619</v>
      </c>
      <c r="C575" s="10" t="str">
        <f>VLOOKUP(B575,'Data Angt'!$A$5:$B$5809,2,FALSE)</f>
        <v>A4871</v>
      </c>
      <c r="D575" s="137" t="s">
        <v>21558</v>
      </c>
      <c r="E575" s="137" t="s">
        <v>22</v>
      </c>
      <c r="F575" s="137">
        <v>895385686179</v>
      </c>
      <c r="G575" s="137" t="s">
        <v>109</v>
      </c>
      <c r="H575" s="138">
        <v>45513</v>
      </c>
      <c r="I575" s="139" t="s">
        <v>384</v>
      </c>
      <c r="J575" s="137" t="s">
        <v>21504</v>
      </c>
      <c r="K575" s="137">
        <v>24</v>
      </c>
      <c r="L575" s="133" t="str">
        <f t="shared" si="8"/>
        <v>001</v>
      </c>
    </row>
    <row r="576" spans="1:12" x14ac:dyDescent="0.3">
      <c r="A576" s="136">
        <v>572</v>
      </c>
      <c r="B576" s="137" t="s">
        <v>21559</v>
      </c>
      <c r="C576" s="10" t="e">
        <f>VLOOKUP(B576,'Data Angt'!$A$5:$B$5809,2,FALSE)</f>
        <v>#N/A</v>
      </c>
      <c r="D576" s="137" t="s">
        <v>21560</v>
      </c>
      <c r="E576" s="137" t="s">
        <v>22</v>
      </c>
      <c r="F576" s="137">
        <v>82338850283</v>
      </c>
      <c r="G576" s="137" t="s">
        <v>109</v>
      </c>
      <c r="H576" s="138">
        <v>45514</v>
      </c>
      <c r="I576" s="138">
        <v>45710</v>
      </c>
      <c r="J576" s="137" t="s">
        <v>21034</v>
      </c>
      <c r="K576" s="137">
        <v>33</v>
      </c>
      <c r="L576" s="133" t="str">
        <f t="shared" si="8"/>
        <v>001</v>
      </c>
    </row>
    <row r="577" spans="1:12" x14ac:dyDescent="0.3">
      <c r="A577" s="136">
        <v>573</v>
      </c>
      <c r="B577" s="137" t="s">
        <v>13623</v>
      </c>
      <c r="C577" s="10" t="str">
        <f>VLOOKUP(B577,'Data Angt'!$A$5:$B$5809,2,FALSE)</f>
        <v>A4872</v>
      </c>
      <c r="D577" s="137" t="s">
        <v>21561</v>
      </c>
      <c r="E577" s="137" t="s">
        <v>22</v>
      </c>
      <c r="F577" s="137">
        <v>85258257085</v>
      </c>
      <c r="G577" s="137" t="s">
        <v>172</v>
      </c>
      <c r="H577" s="138">
        <v>45514</v>
      </c>
      <c r="I577" s="139" t="s">
        <v>384</v>
      </c>
      <c r="J577" s="137" t="s">
        <v>20087</v>
      </c>
      <c r="K577" s="137">
        <v>31</v>
      </c>
      <c r="L577" s="133" t="str">
        <f t="shared" si="8"/>
        <v>001</v>
      </c>
    </row>
    <row r="578" spans="1:12" x14ac:dyDescent="0.3">
      <c r="A578" s="136">
        <v>574</v>
      </c>
      <c r="B578" s="137" t="s">
        <v>13625</v>
      </c>
      <c r="C578" s="10" t="str">
        <f>VLOOKUP(B578,'Data Angt'!$A$5:$B$5809,2,FALSE)</f>
        <v>A4873</v>
      </c>
      <c r="D578" s="137" t="s">
        <v>21562</v>
      </c>
      <c r="E578" s="137" t="s">
        <v>11</v>
      </c>
      <c r="F578" s="137">
        <v>82245390621</v>
      </c>
      <c r="G578" s="137" t="s">
        <v>337</v>
      </c>
      <c r="H578" s="138">
        <v>45514</v>
      </c>
      <c r="I578" s="139" t="s">
        <v>384</v>
      </c>
      <c r="J578" s="137" t="s">
        <v>21563</v>
      </c>
      <c r="K578" s="137">
        <v>16</v>
      </c>
      <c r="L578" s="133" t="str">
        <f t="shared" si="8"/>
        <v>001</v>
      </c>
    </row>
    <row r="579" spans="1:12" x14ac:dyDescent="0.3">
      <c r="A579" s="136">
        <v>575</v>
      </c>
      <c r="B579" s="137" t="s">
        <v>13627</v>
      </c>
      <c r="C579" s="10" t="str">
        <f>VLOOKUP(B579,'Data Angt'!$A$5:$B$5809,2,FALSE)</f>
        <v>A4874</v>
      </c>
      <c r="D579" s="137" t="s">
        <v>21564</v>
      </c>
      <c r="E579" s="137" t="s">
        <v>22</v>
      </c>
      <c r="F579" s="137">
        <v>85850792090</v>
      </c>
      <c r="G579" s="137" t="s">
        <v>370</v>
      </c>
      <c r="H579" s="138">
        <v>45514</v>
      </c>
      <c r="I579" s="139" t="s">
        <v>384</v>
      </c>
      <c r="J579" s="137" t="s">
        <v>21565</v>
      </c>
      <c r="K579" s="137">
        <v>41</v>
      </c>
      <c r="L579" s="133" t="str">
        <f t="shared" si="8"/>
        <v>005</v>
      </c>
    </row>
    <row r="580" spans="1:12" x14ac:dyDescent="0.3">
      <c r="A580" s="136">
        <v>576</v>
      </c>
      <c r="B580" s="137" t="s">
        <v>13628</v>
      </c>
      <c r="C580" s="10" t="str">
        <f>VLOOKUP(B580,'Data Angt'!$A$5:$B$5809,2,FALSE)</f>
        <v>A4875</v>
      </c>
      <c r="D580" s="137" t="s">
        <v>21566</v>
      </c>
      <c r="E580" s="137" t="s">
        <v>22</v>
      </c>
      <c r="F580" s="137">
        <v>87763325427</v>
      </c>
      <c r="G580" s="137" t="s">
        <v>46</v>
      </c>
      <c r="H580" s="138">
        <v>45516</v>
      </c>
      <c r="I580" s="139" t="s">
        <v>384</v>
      </c>
      <c r="J580" s="137" t="s">
        <v>21567</v>
      </c>
      <c r="K580" s="137">
        <v>47</v>
      </c>
      <c r="L580" s="133" t="str">
        <f t="shared" si="8"/>
        <v>001</v>
      </c>
    </row>
    <row r="581" spans="1:12" x14ac:dyDescent="0.3">
      <c r="A581" s="136">
        <v>577</v>
      </c>
      <c r="B581" s="137" t="s">
        <v>13630</v>
      </c>
      <c r="C581" s="10" t="str">
        <f>VLOOKUP(B581,'Data Angt'!$A$5:$B$5809,2,FALSE)</f>
        <v>A4876</v>
      </c>
      <c r="D581" s="137" t="s">
        <v>21568</v>
      </c>
      <c r="E581" s="137" t="s">
        <v>22</v>
      </c>
      <c r="F581" s="137">
        <v>88230318716</v>
      </c>
      <c r="G581" s="137" t="s">
        <v>109</v>
      </c>
      <c r="H581" s="138">
        <v>45516</v>
      </c>
      <c r="I581" s="139" t="s">
        <v>384</v>
      </c>
      <c r="J581" s="137" t="s">
        <v>21569</v>
      </c>
      <c r="K581" s="137">
        <v>24</v>
      </c>
      <c r="L581" s="133" t="str">
        <f t="shared" si="8"/>
        <v>001</v>
      </c>
    </row>
    <row r="582" spans="1:12" x14ac:dyDescent="0.3">
      <c r="A582" s="136">
        <v>578</v>
      </c>
      <c r="B582" s="137" t="s">
        <v>13633</v>
      </c>
      <c r="C582" s="10" t="str">
        <f>VLOOKUP(B582,'Data Angt'!$A$5:$B$5809,2,FALSE)</f>
        <v>A4877</v>
      </c>
      <c r="D582" s="137" t="s">
        <v>21570</v>
      </c>
      <c r="E582" s="137" t="s">
        <v>22</v>
      </c>
      <c r="F582" s="137">
        <v>85230980572</v>
      </c>
      <c r="G582" s="137" t="s">
        <v>46</v>
      </c>
      <c r="H582" s="138">
        <v>45517</v>
      </c>
      <c r="I582" s="139" t="s">
        <v>384</v>
      </c>
      <c r="J582" s="137" t="s">
        <v>21571</v>
      </c>
      <c r="K582" s="137">
        <v>36</v>
      </c>
      <c r="L582" s="133" t="str">
        <f t="shared" ref="L582:L645" si="9">MID(B582,7,3)</f>
        <v>003</v>
      </c>
    </row>
    <row r="583" spans="1:12" x14ac:dyDescent="0.3">
      <c r="A583" s="136">
        <v>579</v>
      </c>
      <c r="B583" s="137" t="s">
        <v>13635</v>
      </c>
      <c r="C583" s="10" t="str">
        <f>VLOOKUP(B583,'Data Angt'!$A$5:$B$5809,2,FALSE)</f>
        <v>A4878</v>
      </c>
      <c r="D583" s="137" t="s">
        <v>21572</v>
      </c>
      <c r="E583" s="137" t="s">
        <v>22</v>
      </c>
      <c r="F583" s="137">
        <v>82146093055</v>
      </c>
      <c r="G583" s="137" t="s">
        <v>172</v>
      </c>
      <c r="H583" s="138">
        <v>45517</v>
      </c>
      <c r="I583" s="139" t="s">
        <v>384</v>
      </c>
      <c r="J583" s="137" t="s">
        <v>21573</v>
      </c>
      <c r="K583" s="137">
        <v>48</v>
      </c>
      <c r="L583" s="133" t="str">
        <f t="shared" si="9"/>
        <v>002</v>
      </c>
    </row>
    <row r="584" spans="1:12" x14ac:dyDescent="0.3">
      <c r="A584" s="136">
        <v>580</v>
      </c>
      <c r="B584" s="137" t="s">
        <v>13636</v>
      </c>
      <c r="C584" s="10" t="str">
        <f>VLOOKUP(B584,'Data Angt'!$A$5:$B$5809,2,FALSE)</f>
        <v>A4879</v>
      </c>
      <c r="D584" s="137" t="s">
        <v>21574</v>
      </c>
      <c r="E584" s="137" t="s">
        <v>22</v>
      </c>
      <c r="F584" s="137">
        <v>82231185886</v>
      </c>
      <c r="G584" s="137" t="s">
        <v>46</v>
      </c>
      <c r="H584" s="138">
        <v>45517</v>
      </c>
      <c r="I584" s="139" t="s">
        <v>384</v>
      </c>
      <c r="J584" s="137" t="s">
        <v>21575</v>
      </c>
      <c r="K584" s="137">
        <v>42</v>
      </c>
      <c r="L584" s="133" t="str">
        <f t="shared" si="9"/>
        <v>003</v>
      </c>
    </row>
    <row r="585" spans="1:12" x14ac:dyDescent="0.3">
      <c r="A585" s="136">
        <v>581</v>
      </c>
      <c r="B585" s="137" t="s">
        <v>13638</v>
      </c>
      <c r="C585" s="10" t="str">
        <f>VLOOKUP(B585,'Data Angt'!$A$5:$B$5809,2,FALSE)</f>
        <v>A4880</v>
      </c>
      <c r="D585" s="137" t="s">
        <v>21576</v>
      </c>
      <c r="E585" s="137" t="s">
        <v>22</v>
      </c>
      <c r="F585" s="137">
        <v>8563439990</v>
      </c>
      <c r="G585" s="137" t="s">
        <v>370</v>
      </c>
      <c r="H585" s="138">
        <v>45518</v>
      </c>
      <c r="I585" s="139" t="s">
        <v>384</v>
      </c>
      <c r="J585" s="137" t="s">
        <v>21577</v>
      </c>
      <c r="K585" s="137">
        <v>58</v>
      </c>
      <c r="L585" s="133" t="str">
        <f t="shared" si="9"/>
        <v>005</v>
      </c>
    </row>
    <row r="586" spans="1:12" x14ac:dyDescent="0.3">
      <c r="A586" s="136">
        <v>582</v>
      </c>
      <c r="B586" s="137" t="s">
        <v>21578</v>
      </c>
      <c r="C586" s="10" t="e">
        <f>VLOOKUP(B586,'Data Angt'!$A$5:$B$5809,2,FALSE)</f>
        <v>#N/A</v>
      </c>
      <c r="D586" s="137" t="s">
        <v>21579</v>
      </c>
      <c r="E586" s="137" t="s">
        <v>22</v>
      </c>
      <c r="F586" s="137">
        <v>81242294634</v>
      </c>
      <c r="G586" s="137" t="s">
        <v>370</v>
      </c>
      <c r="H586" s="138">
        <v>45518</v>
      </c>
      <c r="I586" s="138">
        <v>45708</v>
      </c>
      <c r="J586" s="137" t="s">
        <v>21580</v>
      </c>
      <c r="K586" s="137">
        <v>53</v>
      </c>
      <c r="L586" s="133" t="str">
        <f t="shared" si="9"/>
        <v>005</v>
      </c>
    </row>
    <row r="587" spans="1:12" x14ac:dyDescent="0.3">
      <c r="A587" s="136">
        <v>583</v>
      </c>
      <c r="B587" s="137" t="s">
        <v>13640</v>
      </c>
      <c r="C587" s="10" t="str">
        <f>VLOOKUP(B587,'Data Angt'!$A$5:$B$5809,2,FALSE)</f>
        <v>A4881</v>
      </c>
      <c r="D587" s="137" t="s">
        <v>21581</v>
      </c>
      <c r="E587" s="137" t="s">
        <v>11</v>
      </c>
      <c r="F587" s="137">
        <v>85234509408</v>
      </c>
      <c r="G587" s="137" t="s">
        <v>172</v>
      </c>
      <c r="H587" s="138">
        <v>45518</v>
      </c>
      <c r="I587" s="139" t="s">
        <v>384</v>
      </c>
      <c r="J587" s="137" t="s">
        <v>21582</v>
      </c>
      <c r="K587" s="137">
        <v>45</v>
      </c>
      <c r="L587" s="133" t="str">
        <f t="shared" si="9"/>
        <v>001</v>
      </c>
    </row>
    <row r="588" spans="1:12" x14ac:dyDescent="0.3">
      <c r="A588" s="136">
        <v>584</v>
      </c>
      <c r="B588" s="137" t="s">
        <v>13643</v>
      </c>
      <c r="C588" s="10" t="str">
        <f>VLOOKUP(B588,'Data Angt'!$A$5:$B$5809,2,FALSE)</f>
        <v>A4882</v>
      </c>
      <c r="D588" s="137" t="s">
        <v>21583</v>
      </c>
      <c r="E588" s="137" t="s">
        <v>22</v>
      </c>
      <c r="F588" s="137">
        <v>81216488339</v>
      </c>
      <c r="G588" s="137" t="s">
        <v>2418</v>
      </c>
      <c r="H588" s="138">
        <v>45519</v>
      </c>
      <c r="I588" s="139" t="s">
        <v>384</v>
      </c>
      <c r="J588" s="137" t="s">
        <v>21584</v>
      </c>
      <c r="K588" s="137">
        <v>54</v>
      </c>
      <c r="L588" s="133" t="str">
        <f t="shared" si="9"/>
        <v>001</v>
      </c>
    </row>
    <row r="589" spans="1:12" x14ac:dyDescent="0.3">
      <c r="A589" s="136">
        <v>585</v>
      </c>
      <c r="B589" s="137" t="s">
        <v>13646</v>
      </c>
      <c r="C589" s="10" t="str">
        <f>VLOOKUP(B589,'Data Angt'!$A$5:$B$5809,2,FALSE)</f>
        <v>A4883</v>
      </c>
      <c r="D589" s="137" t="s">
        <v>21585</v>
      </c>
      <c r="E589" s="137" t="s">
        <v>11</v>
      </c>
      <c r="F589" s="137">
        <v>82310301073</v>
      </c>
      <c r="G589" s="137" t="s">
        <v>46</v>
      </c>
      <c r="H589" s="138">
        <v>45519</v>
      </c>
      <c r="I589" s="139" t="s">
        <v>384</v>
      </c>
      <c r="J589" s="137" t="s">
        <v>21586</v>
      </c>
      <c r="K589" s="137">
        <v>45</v>
      </c>
      <c r="L589" s="133" t="str">
        <f t="shared" si="9"/>
        <v>001</v>
      </c>
    </row>
    <row r="590" spans="1:12" x14ac:dyDescent="0.3">
      <c r="A590" s="136">
        <v>586</v>
      </c>
      <c r="B590" s="137" t="s">
        <v>13649</v>
      </c>
      <c r="C590" s="10" t="str">
        <f>VLOOKUP(B590,'Data Angt'!$A$5:$B$5809,2,FALSE)</f>
        <v>A4884</v>
      </c>
      <c r="D590" s="137" t="s">
        <v>21587</v>
      </c>
      <c r="E590" s="137" t="s">
        <v>22</v>
      </c>
      <c r="F590" s="137">
        <v>85904334705</v>
      </c>
      <c r="G590" s="137" t="s">
        <v>46</v>
      </c>
      <c r="H590" s="138">
        <v>45519</v>
      </c>
      <c r="I590" s="139" t="s">
        <v>384</v>
      </c>
      <c r="J590" s="137" t="s">
        <v>21588</v>
      </c>
      <c r="K590" s="137">
        <v>41</v>
      </c>
      <c r="L590" s="133" t="str">
        <f t="shared" si="9"/>
        <v>002</v>
      </c>
    </row>
    <row r="591" spans="1:12" x14ac:dyDescent="0.3">
      <c r="A591" s="136">
        <v>587</v>
      </c>
      <c r="B591" s="137" t="s">
        <v>13652</v>
      </c>
      <c r="C591" s="10" t="str">
        <f>VLOOKUP(B591,'Data Angt'!$A$5:$B$5809,2,FALSE)</f>
        <v>A4885</v>
      </c>
      <c r="D591" s="137" t="s">
        <v>21589</v>
      </c>
      <c r="E591" s="137" t="s">
        <v>22</v>
      </c>
      <c r="F591" s="137">
        <v>82256971238</v>
      </c>
      <c r="G591" s="137" t="s">
        <v>370</v>
      </c>
      <c r="H591" s="138">
        <v>45519</v>
      </c>
      <c r="I591" s="139" t="s">
        <v>384</v>
      </c>
      <c r="J591" s="137" t="s">
        <v>21094</v>
      </c>
      <c r="K591" s="137">
        <v>36</v>
      </c>
      <c r="L591" s="133" t="str">
        <f t="shared" si="9"/>
        <v>004</v>
      </c>
    </row>
    <row r="592" spans="1:12" x14ac:dyDescent="0.3">
      <c r="A592" s="136">
        <v>588</v>
      </c>
      <c r="B592" s="137" t="s">
        <v>21590</v>
      </c>
      <c r="C592" s="10" t="e">
        <f>VLOOKUP(B592,'Data Angt'!$A$5:$B$5809,2,FALSE)</f>
        <v>#N/A</v>
      </c>
      <c r="D592" s="137" t="s">
        <v>21591</v>
      </c>
      <c r="E592" s="137" t="s">
        <v>22</v>
      </c>
      <c r="F592" s="137">
        <v>83834428573</v>
      </c>
      <c r="G592" s="137" t="s">
        <v>370</v>
      </c>
      <c r="H592" s="138">
        <v>45520</v>
      </c>
      <c r="I592" s="138">
        <v>45770</v>
      </c>
      <c r="J592" s="137" t="s">
        <v>21592</v>
      </c>
      <c r="K592" s="137">
        <v>51</v>
      </c>
      <c r="L592" s="133" t="str">
        <f t="shared" si="9"/>
        <v>004</v>
      </c>
    </row>
    <row r="593" spans="1:12" x14ac:dyDescent="0.3">
      <c r="A593" s="136">
        <v>589</v>
      </c>
      <c r="B593" s="137" t="s">
        <v>13655</v>
      </c>
      <c r="C593" s="10" t="str">
        <f>VLOOKUP(B593,'Data Angt'!$A$5:$B$5809,2,FALSE)</f>
        <v>A4886</v>
      </c>
      <c r="D593" s="137" t="s">
        <v>21593</v>
      </c>
      <c r="E593" s="137" t="s">
        <v>22</v>
      </c>
      <c r="F593" s="137">
        <v>85964415483</v>
      </c>
      <c r="G593" s="137" t="s">
        <v>370</v>
      </c>
      <c r="H593" s="138">
        <v>45520</v>
      </c>
      <c r="I593" s="139" t="s">
        <v>384</v>
      </c>
      <c r="J593" s="137" t="s">
        <v>20571</v>
      </c>
      <c r="K593" s="137">
        <v>28</v>
      </c>
      <c r="L593" s="133" t="str">
        <f t="shared" si="9"/>
        <v>004</v>
      </c>
    </row>
    <row r="594" spans="1:12" x14ac:dyDescent="0.3">
      <c r="A594" s="136">
        <v>590</v>
      </c>
      <c r="B594" s="137" t="s">
        <v>13658</v>
      </c>
      <c r="C594" s="10" t="str">
        <f>VLOOKUP(B594,'Data Angt'!$A$5:$B$5809,2,FALSE)</f>
        <v>A4887</v>
      </c>
      <c r="D594" s="137" t="s">
        <v>21594</v>
      </c>
      <c r="E594" s="137" t="s">
        <v>22</v>
      </c>
      <c r="F594" s="137">
        <v>83115231219</v>
      </c>
      <c r="G594" s="137" t="s">
        <v>109</v>
      </c>
      <c r="H594" s="138">
        <v>45520</v>
      </c>
      <c r="I594" s="139" t="s">
        <v>384</v>
      </c>
      <c r="J594" s="137" t="s">
        <v>21595</v>
      </c>
      <c r="K594" s="137">
        <v>36</v>
      </c>
      <c r="L594" s="133" t="str">
        <f t="shared" si="9"/>
        <v>004</v>
      </c>
    </row>
    <row r="595" spans="1:12" x14ac:dyDescent="0.3">
      <c r="A595" s="136">
        <v>591</v>
      </c>
      <c r="B595" s="137" t="s">
        <v>13661</v>
      </c>
      <c r="C595" s="10" t="str">
        <f>VLOOKUP(B595,'Data Angt'!$A$5:$B$5809,2,FALSE)</f>
        <v>A4888</v>
      </c>
      <c r="D595" s="137" t="s">
        <v>21596</v>
      </c>
      <c r="E595" s="137" t="s">
        <v>22</v>
      </c>
      <c r="F595" s="137">
        <v>81330037747</v>
      </c>
      <c r="G595" s="137" t="s">
        <v>46</v>
      </c>
      <c r="H595" s="138">
        <v>45520</v>
      </c>
      <c r="I595" s="139" t="s">
        <v>384</v>
      </c>
      <c r="J595" s="137" t="s">
        <v>21597</v>
      </c>
      <c r="K595" s="137">
        <v>56</v>
      </c>
      <c r="L595" s="133" t="str">
        <f t="shared" si="9"/>
        <v>001</v>
      </c>
    </row>
    <row r="596" spans="1:12" x14ac:dyDescent="0.3">
      <c r="A596" s="136">
        <v>592</v>
      </c>
      <c r="B596" s="137" t="s">
        <v>13662</v>
      </c>
      <c r="C596" s="10" t="str">
        <f>VLOOKUP(B596,'Data Angt'!$A$5:$B$5809,2,FALSE)</f>
        <v>A4889</v>
      </c>
      <c r="D596" s="137" t="s">
        <v>21598</v>
      </c>
      <c r="E596" s="137" t="s">
        <v>22</v>
      </c>
      <c r="F596" s="137">
        <v>82229593865</v>
      </c>
      <c r="G596" s="137" t="s">
        <v>109</v>
      </c>
      <c r="H596" s="138">
        <v>45523</v>
      </c>
      <c r="I596" s="139" t="s">
        <v>384</v>
      </c>
      <c r="J596" s="137" t="s">
        <v>21599</v>
      </c>
      <c r="K596" s="137">
        <v>27</v>
      </c>
      <c r="L596" s="133" t="str">
        <f t="shared" si="9"/>
        <v>001</v>
      </c>
    </row>
    <row r="597" spans="1:12" x14ac:dyDescent="0.3">
      <c r="A597" s="136">
        <v>593</v>
      </c>
      <c r="B597" s="137" t="s">
        <v>13665</v>
      </c>
      <c r="C597" s="10" t="str">
        <f>VLOOKUP(B597,'Data Angt'!$A$5:$B$5809,2,FALSE)</f>
        <v>A4890</v>
      </c>
      <c r="D597" s="137" t="s">
        <v>21600</v>
      </c>
      <c r="E597" s="137" t="s">
        <v>22</v>
      </c>
      <c r="F597" s="137">
        <v>82131930546</v>
      </c>
      <c r="G597" s="137" t="s">
        <v>46</v>
      </c>
      <c r="H597" s="138">
        <v>45523</v>
      </c>
      <c r="I597" s="139" t="s">
        <v>384</v>
      </c>
      <c r="J597" s="137" t="s">
        <v>21601</v>
      </c>
      <c r="K597" s="137">
        <v>27</v>
      </c>
      <c r="L597" s="133" t="str">
        <f t="shared" si="9"/>
        <v>003</v>
      </c>
    </row>
    <row r="598" spans="1:12" x14ac:dyDescent="0.3">
      <c r="A598" s="136">
        <v>594</v>
      </c>
      <c r="B598" s="137" t="s">
        <v>14009</v>
      </c>
      <c r="C598" s="10" t="str">
        <f>VLOOKUP(B598,'Data Angt'!$A$5:$B$5809,2,FALSE)</f>
        <v>A5046</v>
      </c>
      <c r="D598" s="137" t="s">
        <v>21602</v>
      </c>
      <c r="E598" s="137" t="s">
        <v>22</v>
      </c>
      <c r="F598" s="137">
        <v>85749872559</v>
      </c>
      <c r="G598" s="137" t="s">
        <v>109</v>
      </c>
      <c r="H598" s="138">
        <v>45603</v>
      </c>
      <c r="I598" s="139" t="s">
        <v>384</v>
      </c>
      <c r="J598" s="137" t="s">
        <v>21603</v>
      </c>
      <c r="K598" s="137">
        <v>34</v>
      </c>
      <c r="L598" s="133" t="str">
        <f t="shared" si="9"/>
        <v>001</v>
      </c>
    </row>
    <row r="599" spans="1:12" x14ac:dyDescent="0.3">
      <c r="A599" s="136">
        <v>595</v>
      </c>
      <c r="B599" s="137" t="s">
        <v>13668</v>
      </c>
      <c r="C599" s="10" t="str">
        <f>VLOOKUP(B599,'Data Angt'!$A$5:$B$5809,2,FALSE)</f>
        <v>A4891</v>
      </c>
      <c r="D599" s="137" t="s">
        <v>21604</v>
      </c>
      <c r="E599" s="137" t="s">
        <v>22</v>
      </c>
      <c r="F599" s="137">
        <v>82143514357</v>
      </c>
      <c r="G599" s="137" t="s">
        <v>46</v>
      </c>
      <c r="H599" s="138">
        <v>45523</v>
      </c>
      <c r="I599" s="139" t="s">
        <v>384</v>
      </c>
      <c r="J599" s="137" t="s">
        <v>21605</v>
      </c>
      <c r="K599" s="137">
        <v>49</v>
      </c>
      <c r="L599" s="133" t="str">
        <f t="shared" si="9"/>
        <v>002</v>
      </c>
    </row>
    <row r="600" spans="1:12" x14ac:dyDescent="0.3">
      <c r="A600" s="136">
        <v>596</v>
      </c>
      <c r="B600" s="137" t="s">
        <v>13671</v>
      </c>
      <c r="C600" s="10" t="str">
        <f>VLOOKUP(B600,'Data Angt'!$A$5:$B$5809,2,FALSE)</f>
        <v>A4892</v>
      </c>
      <c r="D600" s="137" t="s">
        <v>21606</v>
      </c>
      <c r="E600" s="137" t="s">
        <v>11</v>
      </c>
      <c r="F600" s="137">
        <v>81216354899</v>
      </c>
      <c r="G600" s="137" t="s">
        <v>46</v>
      </c>
      <c r="H600" s="138">
        <v>45525</v>
      </c>
      <c r="I600" s="139" t="s">
        <v>384</v>
      </c>
      <c r="J600" s="137" t="s">
        <v>21607</v>
      </c>
      <c r="K600" s="137">
        <v>40</v>
      </c>
      <c r="L600" s="133" t="str">
        <f t="shared" si="9"/>
        <v>003</v>
      </c>
    </row>
    <row r="601" spans="1:12" x14ac:dyDescent="0.3">
      <c r="A601" s="136">
        <v>597</v>
      </c>
      <c r="B601" s="137" t="s">
        <v>13673</v>
      </c>
      <c r="C601" s="10" t="str">
        <f>VLOOKUP(B601,'Data Angt'!$A$5:$B$5809,2,FALSE)</f>
        <v>A4893</v>
      </c>
      <c r="D601" s="137" t="s">
        <v>21608</v>
      </c>
      <c r="E601" s="137" t="s">
        <v>22</v>
      </c>
      <c r="F601" s="137">
        <v>82120878672</v>
      </c>
      <c r="G601" s="137" t="s">
        <v>46</v>
      </c>
      <c r="H601" s="138">
        <v>45525</v>
      </c>
      <c r="I601" s="139" t="s">
        <v>384</v>
      </c>
      <c r="J601" s="137" t="s">
        <v>21609</v>
      </c>
      <c r="K601" s="137">
        <v>28</v>
      </c>
      <c r="L601" s="133" t="str">
        <f t="shared" si="9"/>
        <v>002</v>
      </c>
    </row>
    <row r="602" spans="1:12" x14ac:dyDescent="0.3">
      <c r="A602" s="136">
        <v>598</v>
      </c>
      <c r="B602" s="137" t="s">
        <v>13676</v>
      </c>
      <c r="C602" s="10" t="str">
        <f>VLOOKUP(B602,'Data Angt'!$A$5:$B$5809,2,FALSE)</f>
        <v>A4894</v>
      </c>
      <c r="D602" s="137" t="s">
        <v>21610</v>
      </c>
      <c r="E602" s="137" t="s">
        <v>22</v>
      </c>
      <c r="F602" s="137">
        <v>85856440339</v>
      </c>
      <c r="G602" s="137" t="s">
        <v>172</v>
      </c>
      <c r="H602" s="138">
        <v>45525</v>
      </c>
      <c r="I602" s="139" t="s">
        <v>384</v>
      </c>
      <c r="J602" s="137" t="s">
        <v>21611</v>
      </c>
      <c r="K602" s="137">
        <v>46</v>
      </c>
      <c r="L602" s="133" t="str">
        <f t="shared" si="9"/>
        <v>001</v>
      </c>
    </row>
    <row r="603" spans="1:12" x14ac:dyDescent="0.3">
      <c r="A603" s="136">
        <v>599</v>
      </c>
      <c r="B603" s="137" t="s">
        <v>13678</v>
      </c>
      <c r="C603" s="10" t="str">
        <f>VLOOKUP(B603,'Data Angt'!$A$5:$B$5809,2,FALSE)</f>
        <v>A4895</v>
      </c>
      <c r="D603" s="137" t="s">
        <v>21612</v>
      </c>
      <c r="E603" s="137" t="s">
        <v>22</v>
      </c>
      <c r="F603" s="137">
        <v>85258151555</v>
      </c>
      <c r="G603" s="137" t="s">
        <v>31</v>
      </c>
      <c r="H603" s="138">
        <v>45525</v>
      </c>
      <c r="I603" s="139" t="s">
        <v>384</v>
      </c>
      <c r="J603" s="137" t="s">
        <v>21613</v>
      </c>
      <c r="K603" s="137">
        <v>52</v>
      </c>
      <c r="L603" s="133" t="str">
        <f t="shared" si="9"/>
        <v>001</v>
      </c>
    </row>
    <row r="604" spans="1:12" x14ac:dyDescent="0.3">
      <c r="A604" s="136">
        <v>600</v>
      </c>
      <c r="B604" s="137" t="s">
        <v>13679</v>
      </c>
      <c r="C604" s="10" t="str">
        <f>VLOOKUP(B604,'Data Angt'!$A$5:$B$5809,2,FALSE)</f>
        <v>A4896</v>
      </c>
      <c r="D604" s="137" t="s">
        <v>21614</v>
      </c>
      <c r="E604" s="137" t="s">
        <v>22</v>
      </c>
      <c r="F604" s="137">
        <v>85900237200</v>
      </c>
      <c r="G604" s="137" t="s">
        <v>46</v>
      </c>
      <c r="H604" s="138">
        <v>45526</v>
      </c>
      <c r="I604" s="139" t="s">
        <v>384</v>
      </c>
      <c r="J604" s="137" t="s">
        <v>21615</v>
      </c>
      <c r="K604" s="137">
        <v>55</v>
      </c>
      <c r="L604" s="133" t="str">
        <f t="shared" si="9"/>
        <v>006</v>
      </c>
    </row>
    <row r="605" spans="1:12" x14ac:dyDescent="0.3">
      <c r="A605" s="136">
        <v>601</v>
      </c>
      <c r="B605" s="137" t="s">
        <v>13682</v>
      </c>
      <c r="C605" s="10" t="str">
        <f>VLOOKUP(B605,'Data Angt'!$A$5:$B$5809,2,FALSE)</f>
        <v>A4897</v>
      </c>
      <c r="D605" s="137" t="s">
        <v>21616</v>
      </c>
      <c r="E605" s="137" t="s">
        <v>11</v>
      </c>
      <c r="F605" s="137">
        <v>85927217129</v>
      </c>
      <c r="G605" s="137" t="s">
        <v>46</v>
      </c>
      <c r="H605" s="138">
        <v>45526</v>
      </c>
      <c r="I605" s="139" t="s">
        <v>384</v>
      </c>
      <c r="J605" s="137" t="s">
        <v>21617</v>
      </c>
      <c r="K605" s="137">
        <v>42</v>
      </c>
      <c r="L605" s="133" t="str">
        <f t="shared" si="9"/>
        <v>001</v>
      </c>
    </row>
    <row r="606" spans="1:12" x14ac:dyDescent="0.3">
      <c r="A606" s="136">
        <v>602</v>
      </c>
      <c r="B606" s="137" t="s">
        <v>13684</v>
      </c>
      <c r="C606" s="10" t="str">
        <f>VLOOKUP(B606,'Data Angt'!$A$5:$B$5809,2,FALSE)</f>
        <v>A4898</v>
      </c>
      <c r="D606" s="137" t="s">
        <v>21618</v>
      </c>
      <c r="E606" s="137" t="s">
        <v>11</v>
      </c>
      <c r="F606" s="137">
        <v>85745520639</v>
      </c>
      <c r="G606" s="137" t="s">
        <v>46</v>
      </c>
      <c r="H606" s="138">
        <v>45526</v>
      </c>
      <c r="I606" s="139" t="s">
        <v>384</v>
      </c>
      <c r="J606" s="137" t="s">
        <v>21619</v>
      </c>
      <c r="K606" s="137">
        <v>61</v>
      </c>
      <c r="L606" s="133" t="str">
        <f t="shared" si="9"/>
        <v>001</v>
      </c>
    </row>
    <row r="607" spans="1:12" x14ac:dyDescent="0.3">
      <c r="A607" s="136">
        <v>603</v>
      </c>
      <c r="B607" s="137" t="s">
        <v>13687</v>
      </c>
      <c r="C607" s="10" t="str">
        <f>VLOOKUP(B607,'Data Angt'!$A$5:$B$5809,2,FALSE)</f>
        <v>A4899</v>
      </c>
      <c r="D607" s="137" t="s">
        <v>21620</v>
      </c>
      <c r="E607" s="137" t="s">
        <v>11</v>
      </c>
      <c r="F607" s="137">
        <v>82330731871</v>
      </c>
      <c r="G607" s="137" t="s">
        <v>46</v>
      </c>
      <c r="H607" s="138">
        <v>45527</v>
      </c>
      <c r="I607" s="139" t="s">
        <v>384</v>
      </c>
      <c r="J607" s="137" t="s">
        <v>19274</v>
      </c>
      <c r="K607" s="137">
        <v>62</v>
      </c>
      <c r="L607" s="133" t="str">
        <f t="shared" si="9"/>
        <v>002</v>
      </c>
    </row>
    <row r="608" spans="1:12" x14ac:dyDescent="0.3">
      <c r="A608" s="136">
        <v>604</v>
      </c>
      <c r="B608" s="137" t="s">
        <v>13689</v>
      </c>
      <c r="C608" s="10" t="str">
        <f>VLOOKUP(B608,'Data Angt'!$A$5:$B$5809,2,FALSE)</f>
        <v>A4900</v>
      </c>
      <c r="D608" s="137" t="s">
        <v>21621</v>
      </c>
      <c r="E608" s="137" t="s">
        <v>22</v>
      </c>
      <c r="F608" s="137">
        <v>85233112933</v>
      </c>
      <c r="G608" s="137" t="s">
        <v>46</v>
      </c>
      <c r="H608" s="138">
        <v>45527</v>
      </c>
      <c r="I608" s="139" t="s">
        <v>384</v>
      </c>
      <c r="J608" s="137" t="s">
        <v>19274</v>
      </c>
      <c r="K608" s="137">
        <v>55</v>
      </c>
      <c r="L608" s="133" t="str">
        <f t="shared" si="9"/>
        <v>002</v>
      </c>
    </row>
    <row r="609" spans="1:12" x14ac:dyDescent="0.3">
      <c r="A609" s="136">
        <v>605</v>
      </c>
      <c r="B609" s="137" t="s">
        <v>13690</v>
      </c>
      <c r="C609" s="10" t="str">
        <f>VLOOKUP(B609,'Data Angt'!$A$5:$B$5809,2,FALSE)</f>
        <v>A4901</v>
      </c>
      <c r="D609" s="137" t="s">
        <v>21622</v>
      </c>
      <c r="E609" s="137" t="s">
        <v>11</v>
      </c>
      <c r="F609" s="137">
        <v>8315823433</v>
      </c>
      <c r="G609" s="137" t="s">
        <v>16</v>
      </c>
      <c r="H609" s="138">
        <v>45527</v>
      </c>
      <c r="I609" s="139" t="s">
        <v>384</v>
      </c>
      <c r="J609" s="137" t="s">
        <v>21623</v>
      </c>
      <c r="K609" s="137">
        <v>45</v>
      </c>
      <c r="L609" s="133" t="str">
        <f t="shared" si="9"/>
        <v>004</v>
      </c>
    </row>
    <row r="610" spans="1:12" x14ac:dyDescent="0.3">
      <c r="A610" s="136">
        <v>606</v>
      </c>
      <c r="B610" s="137" t="s">
        <v>13692</v>
      </c>
      <c r="C610" s="10" t="e">
        <f>VLOOKUP(B610,'Data Angt'!$A$5:$B$5809,2,FALSE)</f>
        <v>#N/A</v>
      </c>
      <c r="D610" s="137" t="s">
        <v>21624</v>
      </c>
      <c r="E610" s="137" t="s">
        <v>11</v>
      </c>
      <c r="F610" s="137">
        <v>85283148725</v>
      </c>
      <c r="G610" s="137" t="s">
        <v>46</v>
      </c>
      <c r="H610" s="138">
        <v>45527</v>
      </c>
      <c r="I610" s="138">
        <v>45868</v>
      </c>
      <c r="J610" s="137" t="s">
        <v>21625</v>
      </c>
      <c r="K610" s="137">
        <v>70</v>
      </c>
      <c r="L610" s="133" t="str">
        <f t="shared" si="9"/>
        <v>003</v>
      </c>
    </row>
    <row r="611" spans="1:12" x14ac:dyDescent="0.3">
      <c r="A611" s="136">
        <v>607</v>
      </c>
      <c r="B611" s="137" t="s">
        <v>14008</v>
      </c>
      <c r="C611" s="10" t="str">
        <f>VLOOKUP(B611,'Data Angt'!$A$5:$B$5809,2,FALSE)</f>
        <v>A5045</v>
      </c>
      <c r="D611" s="137" t="s">
        <v>21123</v>
      </c>
      <c r="E611" s="137" t="s">
        <v>11</v>
      </c>
      <c r="F611" s="137">
        <v>83141464955</v>
      </c>
      <c r="G611" s="137" t="s">
        <v>133</v>
      </c>
      <c r="H611" s="138">
        <v>45603</v>
      </c>
      <c r="I611" s="139" t="s">
        <v>384</v>
      </c>
      <c r="J611" s="137" t="s">
        <v>21626</v>
      </c>
      <c r="K611" s="137">
        <v>39</v>
      </c>
      <c r="L611" s="133" t="str">
        <f t="shared" si="9"/>
        <v>006</v>
      </c>
    </row>
    <row r="612" spans="1:12" x14ac:dyDescent="0.3">
      <c r="A612" s="136">
        <v>608</v>
      </c>
      <c r="B612" s="137" t="s">
        <v>13693</v>
      </c>
      <c r="C612" s="10" t="str">
        <f>VLOOKUP(B612,'Data Angt'!$A$5:$B$5809,2,FALSE)</f>
        <v>A4902</v>
      </c>
      <c r="D612" s="137" t="s">
        <v>21627</v>
      </c>
      <c r="E612" s="137" t="s">
        <v>22</v>
      </c>
      <c r="F612" s="137">
        <v>5461316846510320</v>
      </c>
      <c r="G612" s="137" t="s">
        <v>46</v>
      </c>
      <c r="H612" s="138">
        <v>45527</v>
      </c>
      <c r="I612" s="139" t="s">
        <v>384</v>
      </c>
      <c r="J612" s="137" t="s">
        <v>21628</v>
      </c>
      <c r="K612" s="137">
        <v>59</v>
      </c>
      <c r="L612" s="133" t="str">
        <f t="shared" si="9"/>
        <v>001</v>
      </c>
    </row>
    <row r="613" spans="1:12" x14ac:dyDescent="0.3">
      <c r="A613" s="136">
        <v>609</v>
      </c>
      <c r="B613" s="137" t="s">
        <v>13696</v>
      </c>
      <c r="C613" s="10" t="str">
        <f>VLOOKUP(B613,'Data Angt'!$A$5:$B$5809,2,FALSE)</f>
        <v>A4903</v>
      </c>
      <c r="D613" s="137" t="s">
        <v>21629</v>
      </c>
      <c r="E613" s="137" t="s">
        <v>22</v>
      </c>
      <c r="F613" s="137">
        <v>81216450885</v>
      </c>
      <c r="G613" s="137" t="s">
        <v>46</v>
      </c>
      <c r="H613" s="138">
        <v>45528</v>
      </c>
      <c r="I613" s="139" t="s">
        <v>384</v>
      </c>
      <c r="J613" s="137" t="s">
        <v>21630</v>
      </c>
      <c r="K613" s="137">
        <v>59</v>
      </c>
      <c r="L613" s="133" t="str">
        <f t="shared" si="9"/>
        <v>003</v>
      </c>
    </row>
    <row r="614" spans="1:12" x14ac:dyDescent="0.3">
      <c r="A614" s="136">
        <v>610</v>
      </c>
      <c r="B614" s="137" t="s">
        <v>21631</v>
      </c>
      <c r="C614" s="10" t="e">
        <f>VLOOKUP(B614,'Data Angt'!$A$5:$B$5809,2,FALSE)</f>
        <v>#N/A</v>
      </c>
      <c r="D614" s="137" t="s">
        <v>21632</v>
      </c>
      <c r="E614" s="137" t="s">
        <v>11</v>
      </c>
      <c r="F614" s="137">
        <v>895343025614</v>
      </c>
      <c r="G614" s="137" t="s">
        <v>109</v>
      </c>
      <c r="H614" s="138">
        <v>45530</v>
      </c>
      <c r="I614" s="138">
        <v>45775</v>
      </c>
      <c r="J614" s="137" t="s">
        <v>21633</v>
      </c>
      <c r="K614" s="137">
        <v>53</v>
      </c>
      <c r="L614" s="133" t="str">
        <f t="shared" si="9"/>
        <v>005</v>
      </c>
    </row>
    <row r="615" spans="1:12" x14ac:dyDescent="0.3">
      <c r="A615" s="136">
        <v>611</v>
      </c>
      <c r="B615" s="137" t="s">
        <v>13697</v>
      </c>
      <c r="C615" s="10" t="str">
        <f>VLOOKUP(B615,'Data Angt'!$A$5:$B$5809,2,FALSE)</f>
        <v>A4904</v>
      </c>
      <c r="D615" s="137" t="s">
        <v>21634</v>
      </c>
      <c r="E615" s="137" t="s">
        <v>22</v>
      </c>
      <c r="F615" s="137">
        <v>82132864197</v>
      </c>
      <c r="G615" s="137" t="s">
        <v>109</v>
      </c>
      <c r="H615" s="138">
        <v>45530</v>
      </c>
      <c r="I615" s="139" t="s">
        <v>384</v>
      </c>
      <c r="J615" s="137" t="s">
        <v>21096</v>
      </c>
      <c r="K615" s="137">
        <v>54</v>
      </c>
      <c r="L615" s="133" t="str">
        <f t="shared" si="9"/>
        <v>001</v>
      </c>
    </row>
    <row r="616" spans="1:12" x14ac:dyDescent="0.3">
      <c r="A616" s="136">
        <v>612</v>
      </c>
      <c r="B616" s="137" t="s">
        <v>13699</v>
      </c>
      <c r="C616" s="10" t="str">
        <f>VLOOKUP(B616,'Data Angt'!$A$5:$B$5809,2,FALSE)</f>
        <v>A4905</v>
      </c>
      <c r="D616" s="137" t="s">
        <v>21635</v>
      </c>
      <c r="E616" s="137" t="s">
        <v>11</v>
      </c>
      <c r="F616" s="137">
        <v>89529565707</v>
      </c>
      <c r="G616" s="137" t="s">
        <v>109</v>
      </c>
      <c r="H616" s="138">
        <v>45531</v>
      </c>
      <c r="I616" s="139" t="s">
        <v>384</v>
      </c>
      <c r="J616" s="137" t="s">
        <v>21619</v>
      </c>
      <c r="K616" s="137">
        <v>18</v>
      </c>
      <c r="L616" s="133" t="str">
        <f t="shared" si="9"/>
        <v>001</v>
      </c>
    </row>
    <row r="617" spans="1:12" x14ac:dyDescent="0.3">
      <c r="A617" s="136">
        <v>613</v>
      </c>
      <c r="B617" s="137" t="s">
        <v>13701</v>
      </c>
      <c r="C617" s="10" t="str">
        <f>VLOOKUP(B617,'Data Angt'!$A$5:$B$5809,2,FALSE)</f>
        <v>A4906</v>
      </c>
      <c r="D617" s="137" t="s">
        <v>21151</v>
      </c>
      <c r="E617" s="137" t="s">
        <v>22</v>
      </c>
      <c r="F617" s="137">
        <v>81932648448</v>
      </c>
      <c r="G617" s="137"/>
      <c r="H617" s="138">
        <v>45532</v>
      </c>
      <c r="I617" s="139" t="s">
        <v>384</v>
      </c>
      <c r="J617" s="137" t="s">
        <v>21636</v>
      </c>
      <c r="K617" s="137">
        <v>43</v>
      </c>
      <c r="L617" s="133" t="str">
        <f t="shared" si="9"/>
        <v>007</v>
      </c>
    </row>
    <row r="618" spans="1:12" x14ac:dyDescent="0.3">
      <c r="A618" s="136">
        <v>614</v>
      </c>
      <c r="B618" s="137" t="s">
        <v>13702</v>
      </c>
      <c r="C618" s="10" t="str">
        <f>VLOOKUP(B618,'Data Angt'!$A$5:$B$5809,2,FALSE)</f>
        <v>A4907</v>
      </c>
      <c r="D618" s="137" t="s">
        <v>21637</v>
      </c>
      <c r="E618" s="137" t="s">
        <v>22</v>
      </c>
      <c r="F618" s="137">
        <v>82146309696</v>
      </c>
      <c r="G618" s="137" t="s">
        <v>172</v>
      </c>
      <c r="H618" s="138">
        <v>45532</v>
      </c>
      <c r="I618" s="139" t="s">
        <v>384</v>
      </c>
      <c r="J618" s="137" t="s">
        <v>21638</v>
      </c>
      <c r="K618" s="137">
        <v>31</v>
      </c>
      <c r="L618" s="133" t="str">
        <f t="shared" si="9"/>
        <v>001</v>
      </c>
    </row>
    <row r="619" spans="1:12" x14ac:dyDescent="0.3">
      <c r="A619" s="136">
        <v>615</v>
      </c>
      <c r="B619" s="137" t="s">
        <v>13705</v>
      </c>
      <c r="C619" s="10" t="str">
        <f>VLOOKUP(B619,'Data Angt'!$A$5:$B$5809,2,FALSE)</f>
        <v>A4908</v>
      </c>
      <c r="D619" s="137" t="s">
        <v>21639</v>
      </c>
      <c r="E619" s="137" t="s">
        <v>22</v>
      </c>
      <c r="F619" s="137">
        <v>82331928782</v>
      </c>
      <c r="G619" s="137" t="s">
        <v>16</v>
      </c>
      <c r="H619" s="138">
        <v>45534</v>
      </c>
      <c r="I619" s="139" t="s">
        <v>384</v>
      </c>
      <c r="J619" s="137" t="s">
        <v>19274</v>
      </c>
      <c r="K619" s="137">
        <v>35</v>
      </c>
      <c r="L619" s="133" t="str">
        <f t="shared" si="9"/>
        <v>002</v>
      </c>
    </row>
    <row r="620" spans="1:12" x14ac:dyDescent="0.3">
      <c r="A620" s="136">
        <v>616</v>
      </c>
      <c r="B620" s="137" t="s">
        <v>13709</v>
      </c>
      <c r="C620" s="10" t="str">
        <f>VLOOKUP(B620,'Data Angt'!$A$5:$B$5809,2,FALSE)</f>
        <v>A4909</v>
      </c>
      <c r="D620" s="137" t="s">
        <v>21640</v>
      </c>
      <c r="E620" s="137" t="s">
        <v>22</v>
      </c>
      <c r="F620" s="137">
        <v>82331845834</v>
      </c>
      <c r="G620" s="137" t="s">
        <v>172</v>
      </c>
      <c r="H620" s="138">
        <v>45534</v>
      </c>
      <c r="I620" s="139" t="s">
        <v>384</v>
      </c>
      <c r="J620" s="137" t="s">
        <v>21641</v>
      </c>
      <c r="K620" s="137">
        <v>58</v>
      </c>
      <c r="L620" s="133" t="str">
        <f t="shared" si="9"/>
        <v>002</v>
      </c>
    </row>
    <row r="621" spans="1:12" x14ac:dyDescent="0.3">
      <c r="A621" s="136">
        <v>617</v>
      </c>
      <c r="B621" s="137" t="s">
        <v>13711</v>
      </c>
      <c r="C621" s="10" t="str">
        <f>VLOOKUP(B621,'Data Angt'!$A$5:$B$5809,2,FALSE)</f>
        <v>A4910</v>
      </c>
      <c r="D621" s="137" t="s">
        <v>21642</v>
      </c>
      <c r="E621" s="137" t="s">
        <v>22</v>
      </c>
      <c r="F621" s="137">
        <v>82334072131</v>
      </c>
      <c r="G621" s="137" t="s">
        <v>370</v>
      </c>
      <c r="H621" s="138">
        <v>45534</v>
      </c>
      <c r="I621" s="139" t="s">
        <v>384</v>
      </c>
      <c r="J621" s="137" t="s">
        <v>21643</v>
      </c>
      <c r="K621" s="137">
        <v>57</v>
      </c>
      <c r="L621" s="133" t="str">
        <f t="shared" si="9"/>
        <v>005</v>
      </c>
    </row>
    <row r="622" spans="1:12" x14ac:dyDescent="0.3">
      <c r="A622" s="136">
        <v>618</v>
      </c>
      <c r="B622" s="137" t="s">
        <v>13713</v>
      </c>
      <c r="C622" s="10" t="str">
        <f>VLOOKUP(B622,'Data Angt'!$A$5:$B$5809,2,FALSE)</f>
        <v>A4911</v>
      </c>
      <c r="D622" s="137" t="s">
        <v>21644</v>
      </c>
      <c r="E622" s="137" t="s">
        <v>22</v>
      </c>
      <c r="F622" s="137">
        <v>82234576336</v>
      </c>
      <c r="G622" s="137" t="s">
        <v>109</v>
      </c>
      <c r="H622" s="138">
        <v>45534</v>
      </c>
      <c r="I622" s="139" t="s">
        <v>384</v>
      </c>
      <c r="J622" s="137" t="s">
        <v>21645</v>
      </c>
      <c r="K622" s="137">
        <v>30</v>
      </c>
      <c r="L622" s="133" t="str">
        <f t="shared" si="9"/>
        <v>001</v>
      </c>
    </row>
    <row r="623" spans="1:12" x14ac:dyDescent="0.3">
      <c r="A623" s="136">
        <v>619</v>
      </c>
      <c r="B623" s="137" t="s">
        <v>13716</v>
      </c>
      <c r="C623" s="10" t="str">
        <f>VLOOKUP(B623,'Data Angt'!$A$5:$B$5809,2,FALSE)</f>
        <v>A4912</v>
      </c>
      <c r="D623" s="137" t="s">
        <v>21646</v>
      </c>
      <c r="E623" s="137" t="s">
        <v>22</v>
      </c>
      <c r="F623" s="137">
        <v>85236375940</v>
      </c>
      <c r="G623" s="137" t="s">
        <v>16</v>
      </c>
      <c r="H623" s="138">
        <v>45534</v>
      </c>
      <c r="I623" s="139" t="s">
        <v>384</v>
      </c>
      <c r="J623" s="137" t="s">
        <v>21647</v>
      </c>
      <c r="K623" s="137">
        <v>51</v>
      </c>
      <c r="L623" s="133" t="str">
        <f t="shared" si="9"/>
        <v>001</v>
      </c>
    </row>
    <row r="624" spans="1:12" x14ac:dyDescent="0.3">
      <c r="A624" s="136">
        <v>620</v>
      </c>
      <c r="B624" s="137" t="s">
        <v>13718</v>
      </c>
      <c r="C624" s="10" t="str">
        <f>VLOOKUP(B624,'Data Angt'!$A$5:$B$5809,2,FALSE)</f>
        <v>A4913</v>
      </c>
      <c r="D624" s="137" t="s">
        <v>21648</v>
      </c>
      <c r="E624" s="137" t="s">
        <v>11</v>
      </c>
      <c r="F624" s="137">
        <v>81354547255</v>
      </c>
      <c r="G624" s="137" t="s">
        <v>46</v>
      </c>
      <c r="H624" s="138">
        <v>45535</v>
      </c>
      <c r="I624" s="139" t="s">
        <v>384</v>
      </c>
      <c r="J624" s="137" t="s">
        <v>21649</v>
      </c>
      <c r="K624" s="137">
        <v>58</v>
      </c>
      <c r="L624" s="133" t="str">
        <f t="shared" si="9"/>
        <v>001</v>
      </c>
    </row>
    <row r="625" spans="1:12" x14ac:dyDescent="0.3">
      <c r="A625" s="136">
        <v>621</v>
      </c>
      <c r="B625" s="137" t="s">
        <v>13719</v>
      </c>
      <c r="C625" s="10" t="str">
        <f>VLOOKUP(B625,'Data Angt'!$A$5:$B$5809,2,FALSE)</f>
        <v>A4914</v>
      </c>
      <c r="D625" s="137" t="s">
        <v>21650</v>
      </c>
      <c r="E625" s="137" t="s">
        <v>22</v>
      </c>
      <c r="F625" s="137">
        <v>85925360819</v>
      </c>
      <c r="G625" s="137" t="s">
        <v>46</v>
      </c>
      <c r="H625" s="138">
        <v>45535</v>
      </c>
      <c r="I625" s="139" t="s">
        <v>384</v>
      </c>
      <c r="J625" s="137" t="s">
        <v>21651</v>
      </c>
      <c r="K625" s="137">
        <v>64</v>
      </c>
      <c r="L625" s="133" t="str">
        <f t="shared" si="9"/>
        <v>001</v>
      </c>
    </row>
    <row r="626" spans="1:12" x14ac:dyDescent="0.3">
      <c r="A626" s="136">
        <v>622</v>
      </c>
      <c r="B626" s="137" t="s">
        <v>13720</v>
      </c>
      <c r="C626" s="10" t="str">
        <f>VLOOKUP(B626,'Data Angt'!$A$5:$B$5809,2,FALSE)</f>
        <v>A4915</v>
      </c>
      <c r="D626" s="137" t="s">
        <v>21652</v>
      </c>
      <c r="E626" s="137" t="s">
        <v>22</v>
      </c>
      <c r="F626" s="137">
        <v>89682130447</v>
      </c>
      <c r="G626" s="137" t="s">
        <v>31</v>
      </c>
      <c r="H626" s="138">
        <v>45535</v>
      </c>
      <c r="I626" s="139" t="s">
        <v>384</v>
      </c>
      <c r="J626" s="137" t="s">
        <v>21653</v>
      </c>
      <c r="K626" s="137">
        <v>28</v>
      </c>
      <c r="L626" s="133" t="str">
        <f t="shared" si="9"/>
        <v>003</v>
      </c>
    </row>
    <row r="627" spans="1:12" x14ac:dyDescent="0.3">
      <c r="A627" s="136">
        <v>623</v>
      </c>
      <c r="B627" s="137" t="s">
        <v>13722</v>
      </c>
      <c r="C627" s="10" t="str">
        <f>VLOOKUP(B627,'Data Angt'!$A$5:$B$5809,2,FALSE)</f>
        <v>A4916</v>
      </c>
      <c r="D627" s="137" t="s">
        <v>21654</v>
      </c>
      <c r="E627" s="137" t="s">
        <v>22</v>
      </c>
      <c r="F627" s="137">
        <v>85808229858</v>
      </c>
      <c r="G627" s="137" t="s">
        <v>46</v>
      </c>
      <c r="H627" s="138">
        <v>45538</v>
      </c>
      <c r="I627" s="139" t="s">
        <v>384</v>
      </c>
      <c r="J627" s="137" t="s">
        <v>19704</v>
      </c>
      <c r="K627" s="137">
        <v>39</v>
      </c>
      <c r="L627" s="133" t="str">
        <f t="shared" si="9"/>
        <v>004</v>
      </c>
    </row>
    <row r="628" spans="1:12" x14ac:dyDescent="0.3">
      <c r="A628" s="136">
        <v>624</v>
      </c>
      <c r="B628" s="137" t="s">
        <v>13725</v>
      </c>
      <c r="C628" s="10" t="str">
        <f>VLOOKUP(B628,'Data Angt'!$A$5:$B$5809,2,FALSE)</f>
        <v>A4917</v>
      </c>
      <c r="D628" s="137" t="s">
        <v>21655</v>
      </c>
      <c r="E628" s="137" t="s">
        <v>22</v>
      </c>
      <c r="F628" s="137">
        <v>82310186465</v>
      </c>
      <c r="G628" s="137" t="s">
        <v>46</v>
      </c>
      <c r="H628" s="138">
        <v>45538</v>
      </c>
      <c r="I628" s="139" t="s">
        <v>384</v>
      </c>
      <c r="J628" s="137" t="s">
        <v>21656</v>
      </c>
      <c r="K628" s="137">
        <v>45</v>
      </c>
      <c r="L628" s="133" t="str">
        <f t="shared" si="9"/>
        <v>004</v>
      </c>
    </row>
    <row r="629" spans="1:12" x14ac:dyDescent="0.3">
      <c r="A629" s="136">
        <v>625</v>
      </c>
      <c r="B629" s="137" t="s">
        <v>13728</v>
      </c>
      <c r="C629" s="10" t="str">
        <f>VLOOKUP(B629,'Data Angt'!$A$5:$B$5809,2,FALSE)</f>
        <v>A4918</v>
      </c>
      <c r="D629" s="137" t="s">
        <v>21657</v>
      </c>
      <c r="E629" s="137" t="s">
        <v>22</v>
      </c>
      <c r="F629" s="137">
        <v>81333704200</v>
      </c>
      <c r="G629" s="137" t="s">
        <v>109</v>
      </c>
      <c r="H629" s="138">
        <v>45538</v>
      </c>
      <c r="I629" s="139" t="s">
        <v>384</v>
      </c>
      <c r="J629" s="137" t="s">
        <v>21658</v>
      </c>
      <c r="K629" s="137">
        <v>48</v>
      </c>
      <c r="L629" s="133" t="str">
        <f t="shared" si="9"/>
        <v>001</v>
      </c>
    </row>
    <row r="630" spans="1:12" x14ac:dyDescent="0.3">
      <c r="A630" s="136">
        <v>626</v>
      </c>
      <c r="B630" s="137" t="s">
        <v>13729</v>
      </c>
      <c r="C630" s="10" t="str">
        <f>VLOOKUP(B630,'Data Angt'!$A$5:$B$5809,2,FALSE)</f>
        <v>A4919</v>
      </c>
      <c r="D630" s="137" t="s">
        <v>21659</v>
      </c>
      <c r="E630" s="137" t="s">
        <v>22</v>
      </c>
      <c r="F630" s="137">
        <v>87706092191</v>
      </c>
      <c r="G630" s="137" t="s">
        <v>109</v>
      </c>
      <c r="H630" s="138">
        <v>45538</v>
      </c>
      <c r="I630" s="139" t="s">
        <v>384</v>
      </c>
      <c r="J630" s="137" t="s">
        <v>21660</v>
      </c>
      <c r="K630" s="137">
        <v>28</v>
      </c>
      <c r="L630" s="133" t="str">
        <f t="shared" si="9"/>
        <v>001</v>
      </c>
    </row>
    <row r="631" spans="1:12" x14ac:dyDescent="0.3">
      <c r="A631" s="136">
        <v>627</v>
      </c>
      <c r="B631" s="137" t="s">
        <v>13731</v>
      </c>
      <c r="C631" s="10" t="str">
        <f>VLOOKUP(B631,'Data Angt'!$A$5:$B$5809,2,FALSE)</f>
        <v>A4920</v>
      </c>
      <c r="D631" s="137" t="s">
        <v>21661</v>
      </c>
      <c r="E631" s="137" t="s">
        <v>22</v>
      </c>
      <c r="F631" s="137">
        <v>82131555170</v>
      </c>
      <c r="G631" s="137"/>
      <c r="H631" s="138">
        <v>45538</v>
      </c>
      <c r="I631" s="139" t="s">
        <v>384</v>
      </c>
      <c r="J631" s="137" t="s">
        <v>21662</v>
      </c>
      <c r="K631" s="137">
        <v>65</v>
      </c>
      <c r="L631" s="133" t="str">
        <f t="shared" si="9"/>
        <v>001</v>
      </c>
    </row>
    <row r="632" spans="1:12" x14ac:dyDescent="0.3">
      <c r="A632" s="136">
        <v>628</v>
      </c>
      <c r="B632" s="137" t="s">
        <v>13732</v>
      </c>
      <c r="C632" s="10" t="str">
        <f>VLOOKUP(B632,'Data Angt'!$A$5:$B$5809,2,FALSE)</f>
        <v>A4921</v>
      </c>
      <c r="D632" s="137" t="s">
        <v>21663</v>
      </c>
      <c r="E632" s="137" t="s">
        <v>22</v>
      </c>
      <c r="F632" s="137">
        <v>85234262000</v>
      </c>
      <c r="G632" s="137" t="s">
        <v>16</v>
      </c>
      <c r="H632" s="138">
        <v>45538</v>
      </c>
      <c r="I632" s="139" t="s">
        <v>384</v>
      </c>
      <c r="J632" s="137" t="s">
        <v>21664</v>
      </c>
      <c r="K632" s="137">
        <v>46</v>
      </c>
      <c r="L632" s="133" t="str">
        <f t="shared" si="9"/>
        <v>001</v>
      </c>
    </row>
    <row r="633" spans="1:12" x14ac:dyDescent="0.3">
      <c r="A633" s="136">
        <v>629</v>
      </c>
      <c r="B633" s="137" t="s">
        <v>13733</v>
      </c>
      <c r="C633" s="10" t="str">
        <f>VLOOKUP(B633,'Data Angt'!$A$5:$B$5809,2,FALSE)</f>
        <v>A4922</v>
      </c>
      <c r="D633" s="137" t="s">
        <v>21665</v>
      </c>
      <c r="E633" s="137" t="s">
        <v>11</v>
      </c>
      <c r="F633" s="137">
        <v>85257153888</v>
      </c>
      <c r="G633" s="137" t="s">
        <v>46</v>
      </c>
      <c r="H633" s="138">
        <v>45539</v>
      </c>
      <c r="I633" s="139" t="s">
        <v>384</v>
      </c>
      <c r="J633" s="137" t="s">
        <v>21666</v>
      </c>
      <c r="K633" s="137">
        <v>60</v>
      </c>
      <c r="L633" s="133" t="str">
        <f t="shared" si="9"/>
        <v>001</v>
      </c>
    </row>
    <row r="634" spans="1:12" x14ac:dyDescent="0.3">
      <c r="A634" s="136">
        <v>630</v>
      </c>
      <c r="B634" s="137" t="s">
        <v>21667</v>
      </c>
      <c r="C634" s="10" t="e">
        <f>VLOOKUP(B634,'Data Angt'!$A$5:$B$5809,2,FALSE)</f>
        <v>#N/A</v>
      </c>
      <c r="D634" s="137" t="s">
        <v>21668</v>
      </c>
      <c r="E634" s="137" t="s">
        <v>22</v>
      </c>
      <c r="F634" s="137">
        <v>888888888</v>
      </c>
      <c r="G634" s="137" t="s">
        <v>46</v>
      </c>
      <c r="H634" s="138">
        <v>45540</v>
      </c>
      <c r="I634" s="138">
        <v>45743</v>
      </c>
      <c r="J634" s="137" t="s">
        <v>19597</v>
      </c>
      <c r="K634" s="137">
        <v>55</v>
      </c>
      <c r="L634" s="133" t="str">
        <f t="shared" si="9"/>
        <v>004</v>
      </c>
    </row>
    <row r="635" spans="1:12" x14ac:dyDescent="0.3">
      <c r="A635" s="136">
        <v>631</v>
      </c>
      <c r="B635" s="137" t="s">
        <v>13737</v>
      </c>
      <c r="C635" s="10" t="str">
        <f>VLOOKUP(B635,'Data Angt'!$A$5:$B$5809,2,FALSE)</f>
        <v>A4923</v>
      </c>
      <c r="D635" s="137" t="s">
        <v>21669</v>
      </c>
      <c r="E635" s="137" t="s">
        <v>22</v>
      </c>
      <c r="F635" s="137">
        <v>83192026344</v>
      </c>
      <c r="G635" s="137" t="s">
        <v>46</v>
      </c>
      <c r="H635" s="138">
        <v>45540</v>
      </c>
      <c r="I635" s="139" t="s">
        <v>384</v>
      </c>
      <c r="J635" s="137" t="s">
        <v>21670</v>
      </c>
      <c r="K635" s="137">
        <v>50</v>
      </c>
      <c r="L635" s="133" t="str">
        <f t="shared" si="9"/>
        <v>004</v>
      </c>
    </row>
    <row r="636" spans="1:12" x14ac:dyDescent="0.3">
      <c r="A636" s="136">
        <v>632</v>
      </c>
      <c r="B636" s="137" t="s">
        <v>13740</v>
      </c>
      <c r="C636" s="10" t="e">
        <f>VLOOKUP(B636,'Data Angt'!$A$5:$B$5809,2,FALSE)</f>
        <v>#N/A</v>
      </c>
      <c r="D636" s="137" t="s">
        <v>21671</v>
      </c>
      <c r="E636" s="137" t="s">
        <v>22</v>
      </c>
      <c r="F636" s="137">
        <v>85942919374</v>
      </c>
      <c r="G636" s="137" t="s">
        <v>370</v>
      </c>
      <c r="H636" s="138">
        <v>45540</v>
      </c>
      <c r="I636" s="138">
        <v>45843</v>
      </c>
      <c r="J636" s="137" t="s">
        <v>21672</v>
      </c>
      <c r="K636" s="137">
        <v>31</v>
      </c>
      <c r="L636" s="133" t="str">
        <f t="shared" si="9"/>
        <v>005</v>
      </c>
    </row>
    <row r="637" spans="1:12" x14ac:dyDescent="0.3">
      <c r="A637" s="136">
        <v>633</v>
      </c>
      <c r="B637" s="137" t="s">
        <v>13741</v>
      </c>
      <c r="C637" s="10" t="str">
        <f>VLOOKUP(B637,'Data Angt'!$A$5:$B$5809,2,FALSE)</f>
        <v>A4924</v>
      </c>
      <c r="D637" s="137" t="s">
        <v>21673</v>
      </c>
      <c r="E637" s="137" t="s">
        <v>11</v>
      </c>
      <c r="F637" s="137">
        <v>83192027228</v>
      </c>
      <c r="G637" s="137" t="s">
        <v>46</v>
      </c>
      <c r="H637" s="138">
        <v>45540</v>
      </c>
      <c r="I637" s="139" t="s">
        <v>384</v>
      </c>
      <c r="J637" s="137" t="s">
        <v>21670</v>
      </c>
      <c r="K637" s="137">
        <v>21</v>
      </c>
      <c r="L637" s="133" t="str">
        <f t="shared" si="9"/>
        <v>004</v>
      </c>
    </row>
    <row r="638" spans="1:12" x14ac:dyDescent="0.3">
      <c r="A638" s="136">
        <v>634</v>
      </c>
      <c r="B638" s="137" t="s">
        <v>13743</v>
      </c>
      <c r="C638" s="10" t="str">
        <f>VLOOKUP(B638,'Data Angt'!$A$5:$B$5809,2,FALSE)</f>
        <v>A4925</v>
      </c>
      <c r="D638" s="137" t="s">
        <v>21674</v>
      </c>
      <c r="E638" s="137" t="s">
        <v>11</v>
      </c>
      <c r="F638" s="137">
        <v>81578892522</v>
      </c>
      <c r="G638" s="137" t="s">
        <v>109</v>
      </c>
      <c r="H638" s="138">
        <v>45540</v>
      </c>
      <c r="I638" s="139" t="s">
        <v>384</v>
      </c>
      <c r="J638" s="137" t="s">
        <v>21675</v>
      </c>
      <c r="K638" s="137">
        <v>59</v>
      </c>
      <c r="L638" s="133" t="str">
        <f t="shared" si="9"/>
        <v>006</v>
      </c>
    </row>
    <row r="639" spans="1:12" x14ac:dyDescent="0.3">
      <c r="A639" s="136">
        <v>635</v>
      </c>
      <c r="B639" s="137" t="s">
        <v>13744</v>
      </c>
      <c r="C639" s="10" t="str">
        <f>VLOOKUP(B639,'Data Angt'!$A$5:$B$5809,2,FALSE)</f>
        <v>A4926</v>
      </c>
      <c r="D639" s="137" t="s">
        <v>21676</v>
      </c>
      <c r="E639" s="137" t="s">
        <v>22</v>
      </c>
      <c r="F639" s="137">
        <v>82119605559</v>
      </c>
      <c r="G639" s="137" t="s">
        <v>46</v>
      </c>
      <c r="H639" s="138">
        <v>45540</v>
      </c>
      <c r="I639" s="139" t="s">
        <v>384</v>
      </c>
      <c r="J639" s="137" t="s">
        <v>21677</v>
      </c>
      <c r="K639" s="137">
        <v>66</v>
      </c>
      <c r="L639" s="133" t="str">
        <f t="shared" si="9"/>
        <v>001</v>
      </c>
    </row>
    <row r="640" spans="1:12" x14ac:dyDescent="0.3">
      <c r="A640" s="136">
        <v>636</v>
      </c>
      <c r="B640" s="137" t="s">
        <v>13747</v>
      </c>
      <c r="C640" s="10" t="str">
        <f>VLOOKUP(B640,'Data Angt'!$A$5:$B$5809,2,FALSE)</f>
        <v>A4927</v>
      </c>
      <c r="D640" s="137" t="s">
        <v>21678</v>
      </c>
      <c r="E640" s="137" t="s">
        <v>22</v>
      </c>
      <c r="F640" s="137">
        <v>81217357733</v>
      </c>
      <c r="G640" s="137" t="s">
        <v>46</v>
      </c>
      <c r="H640" s="138">
        <v>45540</v>
      </c>
      <c r="I640" s="139" t="s">
        <v>384</v>
      </c>
      <c r="J640" s="137" t="s">
        <v>21679</v>
      </c>
      <c r="K640" s="137">
        <v>56</v>
      </c>
      <c r="L640" s="133" t="str">
        <f t="shared" si="9"/>
        <v>001</v>
      </c>
    </row>
    <row r="641" spans="1:12" x14ac:dyDescent="0.3">
      <c r="A641" s="136">
        <v>637</v>
      </c>
      <c r="B641" s="137" t="s">
        <v>13749</v>
      </c>
      <c r="C641" s="10" t="str">
        <f>VLOOKUP(B641,'Data Angt'!$A$5:$B$5809,2,FALSE)</f>
        <v>A4928</v>
      </c>
      <c r="D641" s="137" t="s">
        <v>21680</v>
      </c>
      <c r="E641" s="137" t="s">
        <v>11</v>
      </c>
      <c r="F641" s="137">
        <v>82229715203</v>
      </c>
      <c r="G641" s="137" t="s">
        <v>109</v>
      </c>
      <c r="H641" s="138">
        <v>45541</v>
      </c>
      <c r="I641" s="139" t="s">
        <v>384</v>
      </c>
      <c r="J641" s="137" t="s">
        <v>21681</v>
      </c>
      <c r="K641" s="137">
        <v>32</v>
      </c>
      <c r="L641" s="133" t="str">
        <f t="shared" si="9"/>
        <v>003</v>
      </c>
    </row>
    <row r="642" spans="1:12" x14ac:dyDescent="0.3">
      <c r="A642" s="136">
        <v>638</v>
      </c>
      <c r="B642" s="137" t="s">
        <v>13751</v>
      </c>
      <c r="C642" s="10" t="str">
        <f>VLOOKUP(B642,'Data Angt'!$A$5:$B$5809,2,FALSE)</f>
        <v>A4929</v>
      </c>
      <c r="D642" s="137" t="s">
        <v>21682</v>
      </c>
      <c r="E642" s="137" t="s">
        <v>11</v>
      </c>
      <c r="F642" s="137">
        <v>85130313760</v>
      </c>
      <c r="G642" s="137" t="s">
        <v>46</v>
      </c>
      <c r="H642" s="138">
        <v>45541</v>
      </c>
      <c r="I642" s="139" t="s">
        <v>384</v>
      </c>
      <c r="J642" s="137" t="s">
        <v>21528</v>
      </c>
      <c r="K642" s="137">
        <v>44</v>
      </c>
      <c r="L642" s="133" t="str">
        <f t="shared" si="9"/>
        <v>002</v>
      </c>
    </row>
    <row r="643" spans="1:12" x14ac:dyDescent="0.3">
      <c r="A643" s="136">
        <v>639</v>
      </c>
      <c r="B643" s="137" t="s">
        <v>13754</v>
      </c>
      <c r="C643" s="10" t="str">
        <f>VLOOKUP(B643,'Data Angt'!$A$5:$B$5809,2,FALSE)</f>
        <v>A4930</v>
      </c>
      <c r="D643" s="137" t="s">
        <v>21683</v>
      </c>
      <c r="E643" s="137" t="s">
        <v>22</v>
      </c>
      <c r="F643" s="137">
        <v>895370062222</v>
      </c>
      <c r="G643" s="137" t="s">
        <v>109</v>
      </c>
      <c r="H643" s="138">
        <v>45541</v>
      </c>
      <c r="I643" s="139" t="s">
        <v>384</v>
      </c>
      <c r="J643" s="137" t="s">
        <v>21684</v>
      </c>
      <c r="K643" s="137">
        <v>19</v>
      </c>
      <c r="L643" s="133" t="str">
        <f t="shared" si="9"/>
        <v>001</v>
      </c>
    </row>
    <row r="644" spans="1:12" x14ac:dyDescent="0.3">
      <c r="A644" s="136">
        <v>640</v>
      </c>
      <c r="B644" s="137" t="s">
        <v>13757</v>
      </c>
      <c r="C644" s="10" t="str">
        <f>VLOOKUP(B644,'Data Angt'!$A$5:$B$5809,2,FALSE)</f>
        <v>A4931</v>
      </c>
      <c r="D644" s="137" t="s">
        <v>21685</v>
      </c>
      <c r="E644" s="137" t="s">
        <v>22</v>
      </c>
      <c r="F644" s="137">
        <v>85259900435</v>
      </c>
      <c r="G644" s="137" t="s">
        <v>109</v>
      </c>
      <c r="H644" s="138">
        <v>45542</v>
      </c>
      <c r="I644" s="139" t="s">
        <v>384</v>
      </c>
      <c r="J644" s="137" t="s">
        <v>21686</v>
      </c>
      <c r="K644" s="137">
        <v>39</v>
      </c>
      <c r="L644" s="133" t="str">
        <f t="shared" si="9"/>
        <v>002</v>
      </c>
    </row>
    <row r="645" spans="1:12" x14ac:dyDescent="0.3">
      <c r="A645" s="136">
        <v>641</v>
      </c>
      <c r="B645" s="137" t="s">
        <v>13760</v>
      </c>
      <c r="C645" s="10" t="str">
        <f>VLOOKUP(B645,'Data Angt'!$A$5:$B$5809,2,FALSE)</f>
        <v>A4932</v>
      </c>
      <c r="D645" s="137" t="s">
        <v>21687</v>
      </c>
      <c r="E645" s="137" t="s">
        <v>22</v>
      </c>
      <c r="F645" s="137">
        <v>81331228289</v>
      </c>
      <c r="G645" s="137" t="s">
        <v>172</v>
      </c>
      <c r="H645" s="138">
        <v>45544</v>
      </c>
      <c r="I645" s="139" t="s">
        <v>384</v>
      </c>
      <c r="J645" s="137" t="s">
        <v>21688</v>
      </c>
      <c r="K645" s="137">
        <v>46</v>
      </c>
      <c r="L645" s="133" t="str">
        <f t="shared" si="9"/>
        <v>004</v>
      </c>
    </row>
    <row r="646" spans="1:12" x14ac:dyDescent="0.3">
      <c r="A646" s="136">
        <v>642</v>
      </c>
      <c r="B646" s="137" t="s">
        <v>13763</v>
      </c>
      <c r="C646" s="10" t="str">
        <f>VLOOKUP(B646,'Data Angt'!$A$5:$B$5809,2,FALSE)</f>
        <v>A4933</v>
      </c>
      <c r="D646" s="137" t="s">
        <v>21689</v>
      </c>
      <c r="E646" s="137" t="s">
        <v>22</v>
      </c>
      <c r="F646" s="137">
        <v>895386746344</v>
      </c>
      <c r="G646" s="137" t="s">
        <v>109</v>
      </c>
      <c r="H646" s="138">
        <v>45544</v>
      </c>
      <c r="I646" s="139" t="s">
        <v>384</v>
      </c>
      <c r="J646" s="137" t="s">
        <v>21690</v>
      </c>
      <c r="K646" s="137">
        <v>40</v>
      </c>
      <c r="L646" s="133" t="str">
        <f t="shared" ref="L646:L709" si="10">MID(B646,7,3)</f>
        <v>001</v>
      </c>
    </row>
    <row r="647" spans="1:12" x14ac:dyDescent="0.3">
      <c r="A647" s="136">
        <v>643</v>
      </c>
      <c r="B647" s="137" t="s">
        <v>13766</v>
      </c>
      <c r="C647" s="10" t="str">
        <f>VLOOKUP(B647,'Data Angt'!$A$5:$B$5809,2,FALSE)</f>
        <v>A4934</v>
      </c>
      <c r="D647" s="137" t="s">
        <v>20625</v>
      </c>
      <c r="E647" s="137" t="s">
        <v>22</v>
      </c>
      <c r="F647" s="137">
        <v>82145392811</v>
      </c>
      <c r="G647" s="137" t="s">
        <v>109</v>
      </c>
      <c r="H647" s="138">
        <v>45544</v>
      </c>
      <c r="I647" s="139" t="s">
        <v>384</v>
      </c>
      <c r="J647" s="137" t="s">
        <v>21670</v>
      </c>
      <c r="K647" s="137">
        <v>30</v>
      </c>
      <c r="L647" s="133" t="str">
        <f t="shared" si="10"/>
        <v>004</v>
      </c>
    </row>
    <row r="648" spans="1:12" x14ac:dyDescent="0.3">
      <c r="A648" s="136">
        <v>644</v>
      </c>
      <c r="B648" s="137" t="s">
        <v>13768</v>
      </c>
      <c r="C648" s="10" t="str">
        <f>VLOOKUP(B648,'Data Angt'!$A$5:$B$5809,2,FALSE)</f>
        <v>A4935</v>
      </c>
      <c r="D648" s="137" t="s">
        <v>21691</v>
      </c>
      <c r="E648" s="137" t="s">
        <v>22</v>
      </c>
      <c r="F648" s="137">
        <v>82141506916</v>
      </c>
      <c r="G648" s="137" t="s">
        <v>31</v>
      </c>
      <c r="H648" s="138">
        <v>45544</v>
      </c>
      <c r="I648" s="139" t="s">
        <v>384</v>
      </c>
      <c r="J648" s="137" t="s">
        <v>21692</v>
      </c>
      <c r="K648" s="137">
        <v>18</v>
      </c>
      <c r="L648" s="133" t="str">
        <f t="shared" si="10"/>
        <v>002</v>
      </c>
    </row>
    <row r="649" spans="1:12" x14ac:dyDescent="0.3">
      <c r="A649" s="136">
        <v>645</v>
      </c>
      <c r="B649" s="137" t="s">
        <v>13769</v>
      </c>
      <c r="C649" s="10" t="str">
        <f>VLOOKUP(B649,'Data Angt'!$A$5:$B$5809,2,FALSE)</f>
        <v>A4936</v>
      </c>
      <c r="D649" s="137" t="s">
        <v>21693</v>
      </c>
      <c r="E649" s="137" t="s">
        <v>22</v>
      </c>
      <c r="F649" s="137">
        <v>82139660667</v>
      </c>
      <c r="G649" s="137" t="s">
        <v>16</v>
      </c>
      <c r="H649" s="138">
        <v>45545</v>
      </c>
      <c r="I649" s="139" t="s">
        <v>384</v>
      </c>
      <c r="J649" s="137" t="s">
        <v>21694</v>
      </c>
      <c r="K649" s="137">
        <v>34</v>
      </c>
      <c r="L649" s="133" t="str">
        <f t="shared" si="10"/>
        <v>001</v>
      </c>
    </row>
    <row r="650" spans="1:12" x14ac:dyDescent="0.3">
      <c r="A650" s="136">
        <v>646</v>
      </c>
      <c r="B650" s="137" t="s">
        <v>13771</v>
      </c>
      <c r="C650" s="10" t="str">
        <f>VLOOKUP(B650,'Data Angt'!$A$5:$B$5809,2,FALSE)</f>
        <v>A4937</v>
      </c>
      <c r="D650" s="137" t="s">
        <v>21695</v>
      </c>
      <c r="E650" s="137" t="s">
        <v>22</v>
      </c>
      <c r="F650" s="137">
        <v>82373707777</v>
      </c>
      <c r="G650" s="137" t="s">
        <v>46</v>
      </c>
      <c r="H650" s="138">
        <v>45545</v>
      </c>
      <c r="I650" s="139" t="s">
        <v>384</v>
      </c>
      <c r="J650" s="137" t="s">
        <v>21696</v>
      </c>
      <c r="K650" s="137">
        <v>52</v>
      </c>
      <c r="L650" s="133" t="str">
        <f t="shared" si="10"/>
        <v>003</v>
      </c>
    </row>
    <row r="651" spans="1:12" x14ac:dyDescent="0.3">
      <c r="A651" s="136">
        <v>647</v>
      </c>
      <c r="B651" s="137" t="s">
        <v>13773</v>
      </c>
      <c r="C651" s="10" t="str">
        <f>VLOOKUP(B651,'Data Angt'!$A$5:$B$5809,2,FALSE)</f>
        <v>A4938</v>
      </c>
      <c r="D651" s="137" t="s">
        <v>21697</v>
      </c>
      <c r="E651" s="137" t="s">
        <v>22</v>
      </c>
      <c r="F651" s="137">
        <v>89672660666</v>
      </c>
      <c r="G651" s="137" t="s">
        <v>370</v>
      </c>
      <c r="H651" s="138">
        <v>45545</v>
      </c>
      <c r="I651" s="139" t="s">
        <v>384</v>
      </c>
      <c r="J651" s="137" t="s">
        <v>21698</v>
      </c>
      <c r="K651" s="137">
        <v>59</v>
      </c>
      <c r="L651" s="133" t="str">
        <f t="shared" si="10"/>
        <v>006</v>
      </c>
    </row>
    <row r="652" spans="1:12" x14ac:dyDescent="0.3">
      <c r="A652" s="136">
        <v>648</v>
      </c>
      <c r="B652" s="137" t="s">
        <v>13774</v>
      </c>
      <c r="C652" s="10" t="str">
        <f>VLOOKUP(B652,'Data Angt'!$A$5:$B$5809,2,FALSE)</f>
        <v>A4939</v>
      </c>
      <c r="D652" s="137" t="s">
        <v>21699</v>
      </c>
      <c r="E652" s="137" t="s">
        <v>22</v>
      </c>
      <c r="F652" s="137">
        <v>81218141541</v>
      </c>
      <c r="G652" s="137" t="s">
        <v>370</v>
      </c>
      <c r="H652" s="138">
        <v>45546</v>
      </c>
      <c r="I652" s="139" t="s">
        <v>384</v>
      </c>
      <c r="J652" s="137" t="s">
        <v>21700</v>
      </c>
      <c r="K652" s="137">
        <v>52</v>
      </c>
      <c r="L652" s="133" t="str">
        <f t="shared" si="10"/>
        <v>006</v>
      </c>
    </row>
    <row r="653" spans="1:12" x14ac:dyDescent="0.3">
      <c r="A653" s="136">
        <v>649</v>
      </c>
      <c r="B653" s="137" t="s">
        <v>13776</v>
      </c>
      <c r="C653" s="10" t="str">
        <f>VLOOKUP(B653,'Data Angt'!$A$5:$B$5809,2,FALSE)</f>
        <v>A4940</v>
      </c>
      <c r="D653" s="137" t="s">
        <v>21701</v>
      </c>
      <c r="E653" s="137" t="s">
        <v>22</v>
      </c>
      <c r="F653" s="137">
        <v>85655827961</v>
      </c>
      <c r="G653" s="137" t="s">
        <v>370</v>
      </c>
      <c r="H653" s="138">
        <v>45547</v>
      </c>
      <c r="I653" s="139" t="s">
        <v>384</v>
      </c>
      <c r="J653" s="137" t="s">
        <v>21702</v>
      </c>
      <c r="K653" s="137">
        <v>43</v>
      </c>
      <c r="L653" s="133" t="str">
        <f t="shared" si="10"/>
        <v>005</v>
      </c>
    </row>
    <row r="654" spans="1:12" x14ac:dyDescent="0.3">
      <c r="A654" s="136">
        <v>650</v>
      </c>
      <c r="B654" s="137" t="s">
        <v>13779</v>
      </c>
      <c r="C654" s="10" t="str">
        <f>VLOOKUP(B654,'Data Angt'!$A$5:$B$5809,2,FALSE)</f>
        <v>A4941</v>
      </c>
      <c r="D654" s="137" t="s">
        <v>21703</v>
      </c>
      <c r="E654" s="137" t="s">
        <v>11</v>
      </c>
      <c r="F654" s="137">
        <v>85333035088</v>
      </c>
      <c r="G654" s="137" t="s">
        <v>109</v>
      </c>
      <c r="H654" s="138">
        <v>45549</v>
      </c>
      <c r="I654" s="139" t="s">
        <v>384</v>
      </c>
      <c r="J654" s="137" t="s">
        <v>20087</v>
      </c>
      <c r="K654" s="137">
        <v>23</v>
      </c>
      <c r="L654" s="133" t="str">
        <f t="shared" si="10"/>
        <v>001</v>
      </c>
    </row>
    <row r="655" spans="1:12" x14ac:dyDescent="0.3">
      <c r="A655" s="136">
        <v>651</v>
      </c>
      <c r="B655" s="137" t="s">
        <v>13780</v>
      </c>
      <c r="C655" s="10" t="str">
        <f>VLOOKUP(B655,'Data Angt'!$A$5:$B$5809,2,FALSE)</f>
        <v>A4942</v>
      </c>
      <c r="D655" s="137" t="s">
        <v>21704</v>
      </c>
      <c r="E655" s="137" t="s">
        <v>22</v>
      </c>
      <c r="F655" s="137">
        <v>85385238986</v>
      </c>
      <c r="G655" s="137" t="s">
        <v>133</v>
      </c>
      <c r="H655" s="138">
        <v>45549</v>
      </c>
      <c r="I655" s="139" t="s">
        <v>384</v>
      </c>
      <c r="J655" s="137" t="s">
        <v>19429</v>
      </c>
      <c r="K655" s="137">
        <v>43</v>
      </c>
      <c r="L655" s="133" t="str">
        <f t="shared" si="10"/>
        <v>006</v>
      </c>
    </row>
    <row r="656" spans="1:12" x14ac:dyDescent="0.3">
      <c r="A656" s="136">
        <v>652</v>
      </c>
      <c r="B656" s="137" t="s">
        <v>13781</v>
      </c>
      <c r="C656" s="10" t="str">
        <f>VLOOKUP(B656,'Data Angt'!$A$5:$B$5809,2,FALSE)</f>
        <v>A4943</v>
      </c>
      <c r="D656" s="137" t="s">
        <v>21705</v>
      </c>
      <c r="E656" s="137" t="s">
        <v>11</v>
      </c>
      <c r="F656" s="137">
        <v>81298084581</v>
      </c>
      <c r="G656" s="137" t="s">
        <v>46</v>
      </c>
      <c r="H656" s="138">
        <v>45549</v>
      </c>
      <c r="I656" s="139" t="s">
        <v>384</v>
      </c>
      <c r="J656" s="137" t="s">
        <v>19274</v>
      </c>
      <c r="K656" s="137">
        <v>32</v>
      </c>
      <c r="L656" s="133" t="str">
        <f t="shared" si="10"/>
        <v>002</v>
      </c>
    </row>
    <row r="657" spans="1:12" x14ac:dyDescent="0.3">
      <c r="A657" s="136">
        <v>653</v>
      </c>
      <c r="B657" s="137" t="s">
        <v>13783</v>
      </c>
      <c r="C657" s="10" t="str">
        <f>VLOOKUP(B657,'Data Angt'!$A$5:$B$5809,2,FALSE)</f>
        <v>A4944</v>
      </c>
      <c r="D657" s="137" t="s">
        <v>21706</v>
      </c>
      <c r="E657" s="137" t="s">
        <v>22</v>
      </c>
      <c r="F657" s="137">
        <v>85747516520</v>
      </c>
      <c r="G657" s="137" t="s">
        <v>109</v>
      </c>
      <c r="H657" s="138">
        <v>45549</v>
      </c>
      <c r="I657" s="139" t="s">
        <v>384</v>
      </c>
      <c r="J657" s="137" t="s">
        <v>21707</v>
      </c>
      <c r="K657" s="137">
        <v>43</v>
      </c>
      <c r="L657" s="133" t="str">
        <f t="shared" si="10"/>
        <v>006</v>
      </c>
    </row>
    <row r="658" spans="1:12" x14ac:dyDescent="0.3">
      <c r="A658" s="136">
        <v>654</v>
      </c>
      <c r="B658" s="137" t="s">
        <v>13785</v>
      </c>
      <c r="C658" s="10" t="str">
        <f>VLOOKUP(B658,'Data Angt'!$A$5:$B$5809,2,FALSE)</f>
        <v>A4945</v>
      </c>
      <c r="D658" s="137" t="s">
        <v>21708</v>
      </c>
      <c r="E658" s="137" t="s">
        <v>22</v>
      </c>
      <c r="F658" s="137">
        <v>82261055301</v>
      </c>
      <c r="G658" s="137" t="s">
        <v>109</v>
      </c>
      <c r="H658" s="138">
        <v>45552</v>
      </c>
      <c r="I658" s="139" t="s">
        <v>384</v>
      </c>
      <c r="J658" s="137" t="s">
        <v>21709</v>
      </c>
      <c r="K658" s="137">
        <v>26</v>
      </c>
      <c r="L658" s="133" t="str">
        <f t="shared" si="10"/>
        <v>001</v>
      </c>
    </row>
    <row r="659" spans="1:12" x14ac:dyDescent="0.3">
      <c r="A659" s="136">
        <v>655</v>
      </c>
      <c r="B659" s="137" t="s">
        <v>13788</v>
      </c>
      <c r="C659" s="10" t="str">
        <f>VLOOKUP(B659,'Data Angt'!$A$5:$B$5809,2,FALSE)</f>
        <v>A4946</v>
      </c>
      <c r="D659" s="137" t="s">
        <v>21710</v>
      </c>
      <c r="E659" s="137" t="s">
        <v>11</v>
      </c>
      <c r="F659" s="137">
        <v>82335774109</v>
      </c>
      <c r="G659" s="137" t="s">
        <v>109</v>
      </c>
      <c r="H659" s="138">
        <v>45552</v>
      </c>
      <c r="I659" s="139" t="s">
        <v>384</v>
      </c>
      <c r="J659" s="137" t="s">
        <v>21711</v>
      </c>
      <c r="K659" s="137">
        <v>19</v>
      </c>
      <c r="L659" s="133" t="str">
        <f t="shared" si="10"/>
        <v>001</v>
      </c>
    </row>
    <row r="660" spans="1:12" x14ac:dyDescent="0.3">
      <c r="A660" s="136">
        <v>656</v>
      </c>
      <c r="B660" s="137" t="s">
        <v>13791</v>
      </c>
      <c r="C660" s="10" t="str">
        <f>VLOOKUP(B660,'Data Angt'!$A$5:$B$5809,2,FALSE)</f>
        <v>A4947</v>
      </c>
      <c r="D660" s="137" t="s">
        <v>21712</v>
      </c>
      <c r="E660" s="137" t="s">
        <v>11</v>
      </c>
      <c r="F660" s="137">
        <v>85710071595</v>
      </c>
      <c r="G660" s="137" t="s">
        <v>46</v>
      </c>
      <c r="H660" s="138">
        <v>45552</v>
      </c>
      <c r="I660" s="139" t="s">
        <v>384</v>
      </c>
      <c r="J660" s="137" t="s">
        <v>21713</v>
      </c>
      <c r="K660" s="137">
        <v>30</v>
      </c>
      <c r="L660" s="133" t="str">
        <f t="shared" si="10"/>
        <v>001</v>
      </c>
    </row>
    <row r="661" spans="1:12" x14ac:dyDescent="0.3">
      <c r="A661" s="136">
        <v>657</v>
      </c>
      <c r="B661" s="137" t="s">
        <v>13794</v>
      </c>
      <c r="C661" s="10" t="str">
        <f>VLOOKUP(B661,'Data Angt'!$A$5:$B$5809,2,FALSE)</f>
        <v>A4948</v>
      </c>
      <c r="D661" s="137" t="s">
        <v>21714</v>
      </c>
      <c r="E661" s="137" t="s">
        <v>11</v>
      </c>
      <c r="F661" s="137">
        <v>89686014143</v>
      </c>
      <c r="G661" s="137" t="s">
        <v>337</v>
      </c>
      <c r="H661" s="138">
        <v>45553</v>
      </c>
      <c r="I661" s="139" t="s">
        <v>384</v>
      </c>
      <c r="J661" s="137" t="s">
        <v>21715</v>
      </c>
      <c r="K661" s="137">
        <v>17</v>
      </c>
      <c r="L661" s="133" t="str">
        <f t="shared" si="10"/>
        <v>002</v>
      </c>
    </row>
    <row r="662" spans="1:12" x14ac:dyDescent="0.3">
      <c r="A662" s="136">
        <v>658</v>
      </c>
      <c r="B662" s="137" t="s">
        <v>13795</v>
      </c>
      <c r="C662" s="10" t="str">
        <f>VLOOKUP(B662,'Data Angt'!$A$5:$B$5809,2,FALSE)</f>
        <v>A4949</v>
      </c>
      <c r="D662" s="137" t="s">
        <v>21716</v>
      </c>
      <c r="E662" s="137" t="s">
        <v>11</v>
      </c>
      <c r="F662" s="137">
        <v>895414172722</v>
      </c>
      <c r="G662" s="137" t="s">
        <v>109</v>
      </c>
      <c r="H662" s="138">
        <v>45553</v>
      </c>
      <c r="I662" s="139" t="s">
        <v>384</v>
      </c>
      <c r="J662" s="137" t="s">
        <v>21717</v>
      </c>
      <c r="K662" s="137">
        <v>35</v>
      </c>
      <c r="L662" s="133" t="str">
        <f t="shared" si="10"/>
        <v>004</v>
      </c>
    </row>
    <row r="663" spans="1:12" x14ac:dyDescent="0.3">
      <c r="A663" s="136">
        <v>659</v>
      </c>
      <c r="B663" s="137" t="s">
        <v>13799</v>
      </c>
      <c r="C663" s="10" t="str">
        <f>VLOOKUP(B663,'Data Angt'!$A$5:$B$5809,2,FALSE)</f>
        <v>A4950</v>
      </c>
      <c r="D663" s="137" t="s">
        <v>21718</v>
      </c>
      <c r="E663" s="137" t="s">
        <v>22</v>
      </c>
      <c r="F663" s="137">
        <v>8123460124</v>
      </c>
      <c r="G663" s="137" t="s">
        <v>172</v>
      </c>
      <c r="H663" s="138">
        <v>45553</v>
      </c>
      <c r="I663" s="139" t="s">
        <v>384</v>
      </c>
      <c r="J663" s="137" t="s">
        <v>21719</v>
      </c>
      <c r="K663" s="137">
        <v>46</v>
      </c>
      <c r="L663" s="133" t="str">
        <f t="shared" si="10"/>
        <v>002</v>
      </c>
    </row>
    <row r="664" spans="1:12" x14ac:dyDescent="0.3">
      <c r="A664" s="136">
        <v>660</v>
      </c>
      <c r="B664" s="137" t="s">
        <v>13800</v>
      </c>
      <c r="C664" s="10" t="str">
        <f>VLOOKUP(B664,'Data Angt'!$A$5:$B$5809,2,FALSE)</f>
        <v>A4951</v>
      </c>
      <c r="D664" s="137" t="s">
        <v>21720</v>
      </c>
      <c r="E664" s="137" t="s">
        <v>22</v>
      </c>
      <c r="F664" s="137">
        <v>85334011121</v>
      </c>
      <c r="G664" s="137" t="s">
        <v>31</v>
      </c>
      <c r="H664" s="138">
        <v>45553</v>
      </c>
      <c r="I664" s="139" t="s">
        <v>384</v>
      </c>
      <c r="J664" s="137" t="s">
        <v>21721</v>
      </c>
      <c r="K664" s="137">
        <v>34</v>
      </c>
      <c r="L664" s="133" t="str">
        <f t="shared" si="10"/>
        <v>003</v>
      </c>
    </row>
    <row r="665" spans="1:12" x14ac:dyDescent="0.3">
      <c r="A665" s="136">
        <v>661</v>
      </c>
      <c r="B665" s="137" t="s">
        <v>13802</v>
      </c>
      <c r="C665" s="10" t="str">
        <f>VLOOKUP(B665,'Data Angt'!$A$5:$B$5809,2,FALSE)</f>
        <v>A4952</v>
      </c>
      <c r="D665" s="137" t="s">
        <v>21722</v>
      </c>
      <c r="E665" s="137" t="s">
        <v>22</v>
      </c>
      <c r="F665" s="137">
        <v>81357085231</v>
      </c>
      <c r="G665" s="137" t="s">
        <v>370</v>
      </c>
      <c r="H665" s="138">
        <v>45553</v>
      </c>
      <c r="I665" s="139" t="s">
        <v>384</v>
      </c>
      <c r="J665" s="137" t="s">
        <v>20149</v>
      </c>
      <c r="K665" s="137">
        <v>54</v>
      </c>
      <c r="L665" s="133" t="str">
        <f t="shared" si="10"/>
        <v>005</v>
      </c>
    </row>
    <row r="666" spans="1:12" x14ac:dyDescent="0.3">
      <c r="A666" s="136">
        <v>662</v>
      </c>
      <c r="B666" s="137" t="s">
        <v>13803</v>
      </c>
      <c r="C666" s="10" t="str">
        <f>VLOOKUP(B666,'Data Angt'!$A$5:$B$5809,2,FALSE)</f>
        <v>A4953</v>
      </c>
      <c r="D666" s="137" t="s">
        <v>21723</v>
      </c>
      <c r="E666" s="137" t="s">
        <v>22</v>
      </c>
      <c r="F666" s="137">
        <v>85730196902</v>
      </c>
      <c r="G666" s="137" t="s">
        <v>31</v>
      </c>
      <c r="H666" s="138">
        <v>45554</v>
      </c>
      <c r="I666" s="139" t="s">
        <v>384</v>
      </c>
      <c r="J666" s="137" t="s">
        <v>21724</v>
      </c>
      <c r="K666" s="137">
        <v>62</v>
      </c>
      <c r="L666" s="133" t="str">
        <f t="shared" si="10"/>
        <v>005</v>
      </c>
    </row>
    <row r="667" spans="1:12" x14ac:dyDescent="0.3">
      <c r="A667" s="136">
        <v>663</v>
      </c>
      <c r="B667" s="137" t="s">
        <v>13804</v>
      </c>
      <c r="C667" s="10" t="str">
        <f>VLOOKUP(B667,'Data Angt'!$A$5:$B$5809,2,FALSE)</f>
        <v>A4954</v>
      </c>
      <c r="D667" s="137" t="s">
        <v>21725</v>
      </c>
      <c r="E667" s="137" t="s">
        <v>22</v>
      </c>
      <c r="F667" s="137">
        <v>85233393113</v>
      </c>
      <c r="G667" s="137" t="s">
        <v>109</v>
      </c>
      <c r="H667" s="138">
        <v>45555</v>
      </c>
      <c r="I667" s="139" t="s">
        <v>384</v>
      </c>
      <c r="J667" s="137" t="s">
        <v>21726</v>
      </c>
      <c r="K667" s="137">
        <v>42</v>
      </c>
      <c r="L667" s="133" t="str">
        <f t="shared" si="10"/>
        <v>002</v>
      </c>
    </row>
    <row r="668" spans="1:12" x14ac:dyDescent="0.3">
      <c r="A668" s="136">
        <v>664</v>
      </c>
      <c r="B668" s="137" t="s">
        <v>13806</v>
      </c>
      <c r="C668" s="10" t="str">
        <f>VLOOKUP(B668,'Data Angt'!$A$5:$B$5809,2,FALSE)</f>
        <v>A4955</v>
      </c>
      <c r="D668" s="137" t="s">
        <v>21727</v>
      </c>
      <c r="E668" s="137" t="s">
        <v>11</v>
      </c>
      <c r="F668" s="137">
        <v>85230586134</v>
      </c>
      <c r="G668" s="137" t="s">
        <v>109</v>
      </c>
      <c r="H668" s="138">
        <v>45555</v>
      </c>
      <c r="I668" s="139" t="s">
        <v>384</v>
      </c>
      <c r="J668" s="137" t="s">
        <v>21535</v>
      </c>
      <c r="K668" s="137">
        <v>36</v>
      </c>
      <c r="L668" s="133" t="str">
        <f t="shared" si="10"/>
        <v>002</v>
      </c>
    </row>
    <row r="669" spans="1:12" x14ac:dyDescent="0.3">
      <c r="A669" s="136">
        <v>665</v>
      </c>
      <c r="B669" s="137" t="s">
        <v>13807</v>
      </c>
      <c r="C669" s="10" t="str">
        <f>VLOOKUP(B669,'Data Angt'!$A$5:$B$5809,2,FALSE)</f>
        <v>A4956</v>
      </c>
      <c r="D669" s="137" t="s">
        <v>21728</v>
      </c>
      <c r="E669" s="137" t="s">
        <v>11</v>
      </c>
      <c r="F669" s="137">
        <v>82257374090</v>
      </c>
      <c r="G669" s="137" t="s">
        <v>46</v>
      </c>
      <c r="H669" s="138">
        <v>45555</v>
      </c>
      <c r="I669" s="139" t="s">
        <v>384</v>
      </c>
      <c r="J669" s="137" t="s">
        <v>21729</v>
      </c>
      <c r="K669" s="137">
        <v>58</v>
      </c>
      <c r="L669" s="133" t="str">
        <f t="shared" si="10"/>
        <v>003</v>
      </c>
    </row>
    <row r="670" spans="1:12" x14ac:dyDescent="0.3">
      <c r="A670" s="136">
        <v>666</v>
      </c>
      <c r="B670" s="137" t="s">
        <v>13808</v>
      </c>
      <c r="C670" s="10" t="str">
        <f>VLOOKUP(B670,'Data Angt'!$A$5:$B$5809,2,FALSE)</f>
        <v>A4957</v>
      </c>
      <c r="D670" s="137" t="s">
        <v>21730</v>
      </c>
      <c r="E670" s="137" t="s">
        <v>22</v>
      </c>
      <c r="F670" s="137">
        <v>82143103189</v>
      </c>
      <c r="G670" s="137" t="s">
        <v>46</v>
      </c>
      <c r="H670" s="138">
        <v>45556</v>
      </c>
      <c r="I670" s="139" t="s">
        <v>384</v>
      </c>
      <c r="J670" s="137" t="s">
        <v>21731</v>
      </c>
      <c r="K670" s="137">
        <v>37</v>
      </c>
      <c r="L670" s="133" t="str">
        <f t="shared" si="10"/>
        <v>001</v>
      </c>
    </row>
    <row r="671" spans="1:12" x14ac:dyDescent="0.3">
      <c r="A671" s="136">
        <v>667</v>
      </c>
      <c r="B671" s="137" t="s">
        <v>13811</v>
      </c>
      <c r="C671" s="10" t="str">
        <f>VLOOKUP(B671,'Data Angt'!$A$5:$B$5809,2,FALSE)</f>
        <v>A4958</v>
      </c>
      <c r="D671" s="137" t="s">
        <v>21732</v>
      </c>
      <c r="E671" s="137" t="s">
        <v>22</v>
      </c>
      <c r="F671" s="137">
        <v>81358967236</v>
      </c>
      <c r="G671" s="137" t="s">
        <v>46</v>
      </c>
      <c r="H671" s="138">
        <v>45558</v>
      </c>
      <c r="I671" s="139" t="s">
        <v>384</v>
      </c>
      <c r="J671" s="137" t="s">
        <v>21733</v>
      </c>
      <c r="K671" s="137">
        <v>58</v>
      </c>
      <c r="L671" s="133" t="str">
        <f t="shared" si="10"/>
        <v>001</v>
      </c>
    </row>
    <row r="672" spans="1:12" x14ac:dyDescent="0.3">
      <c r="A672" s="136">
        <v>668</v>
      </c>
      <c r="B672" s="137" t="s">
        <v>13813</v>
      </c>
      <c r="C672" s="10" t="str">
        <f>VLOOKUP(B672,'Data Angt'!$A$5:$B$5809,2,FALSE)</f>
        <v>A4959</v>
      </c>
      <c r="D672" s="137" t="s">
        <v>21734</v>
      </c>
      <c r="E672" s="137" t="s">
        <v>22</v>
      </c>
      <c r="F672" s="137">
        <v>85649227689</v>
      </c>
      <c r="G672" s="137" t="s">
        <v>16</v>
      </c>
      <c r="H672" s="138">
        <v>45559</v>
      </c>
      <c r="I672" s="139" t="s">
        <v>384</v>
      </c>
      <c r="J672" s="137" t="s">
        <v>21735</v>
      </c>
      <c r="K672" s="137">
        <v>39</v>
      </c>
      <c r="L672" s="133" t="str">
        <f t="shared" si="10"/>
        <v>003</v>
      </c>
    </row>
    <row r="673" spans="1:12" x14ac:dyDescent="0.3">
      <c r="A673" s="136">
        <v>669</v>
      </c>
      <c r="B673" s="137" t="s">
        <v>13814</v>
      </c>
      <c r="C673" s="10" t="str">
        <f>VLOOKUP(B673,'Data Angt'!$A$5:$B$5809,2,FALSE)</f>
        <v>A4960</v>
      </c>
      <c r="D673" s="137" t="s">
        <v>21736</v>
      </c>
      <c r="E673" s="137" t="s">
        <v>22</v>
      </c>
      <c r="F673" s="137">
        <v>85602637847</v>
      </c>
      <c r="G673" s="137" t="s">
        <v>109</v>
      </c>
      <c r="H673" s="138">
        <v>45559</v>
      </c>
      <c r="I673" s="139" t="s">
        <v>384</v>
      </c>
      <c r="J673" s="137" t="s">
        <v>21737</v>
      </c>
      <c r="K673" s="137">
        <v>24</v>
      </c>
      <c r="L673" s="133" t="str">
        <f t="shared" si="10"/>
        <v>004</v>
      </c>
    </row>
    <row r="674" spans="1:12" x14ac:dyDescent="0.3">
      <c r="A674" s="136">
        <v>670</v>
      </c>
      <c r="B674" s="137" t="s">
        <v>13815</v>
      </c>
      <c r="C674" s="10" t="str">
        <f>VLOOKUP(B674,'Data Angt'!$A$5:$B$5809,2,FALSE)</f>
        <v>A4961</v>
      </c>
      <c r="D674" s="137" t="s">
        <v>21738</v>
      </c>
      <c r="E674" s="137" t="s">
        <v>11</v>
      </c>
      <c r="F674" s="137">
        <v>85739409741</v>
      </c>
      <c r="G674" s="137" t="s">
        <v>243</v>
      </c>
      <c r="H674" s="138">
        <v>45560</v>
      </c>
      <c r="I674" s="139" t="s">
        <v>384</v>
      </c>
      <c r="J674" s="137" t="s">
        <v>21739</v>
      </c>
      <c r="K674" s="137">
        <v>17</v>
      </c>
      <c r="L674" s="133" t="str">
        <f t="shared" si="10"/>
        <v>004</v>
      </c>
    </row>
    <row r="675" spans="1:12" x14ac:dyDescent="0.3">
      <c r="A675" s="136">
        <v>671</v>
      </c>
      <c r="B675" s="137" t="s">
        <v>13817</v>
      </c>
      <c r="C675" s="10" t="str">
        <f>VLOOKUP(B675,'Data Angt'!$A$5:$B$5809,2,FALSE)</f>
        <v>A4962</v>
      </c>
      <c r="D675" s="137" t="s">
        <v>21740</v>
      </c>
      <c r="E675" s="137" t="s">
        <v>22</v>
      </c>
      <c r="F675" s="137">
        <v>85236340135</v>
      </c>
      <c r="G675" s="137" t="s">
        <v>109</v>
      </c>
      <c r="H675" s="138">
        <v>45560</v>
      </c>
      <c r="I675" s="139" t="s">
        <v>384</v>
      </c>
      <c r="J675" s="137" t="s">
        <v>19274</v>
      </c>
      <c r="K675" s="137">
        <v>27</v>
      </c>
      <c r="L675" s="133" t="str">
        <f t="shared" si="10"/>
        <v>001</v>
      </c>
    </row>
    <row r="676" spans="1:12" x14ac:dyDescent="0.3">
      <c r="A676" s="136">
        <v>672</v>
      </c>
      <c r="B676" s="137" t="s">
        <v>13818</v>
      </c>
      <c r="C676" s="10" t="str">
        <f>VLOOKUP(B676,'Data Angt'!$A$5:$B$5809,2,FALSE)</f>
        <v>A4963</v>
      </c>
      <c r="D676" s="137" t="s">
        <v>21741</v>
      </c>
      <c r="E676" s="137" t="s">
        <v>11</v>
      </c>
      <c r="F676" s="137">
        <v>81548909568</v>
      </c>
      <c r="G676" s="137" t="s">
        <v>109</v>
      </c>
      <c r="H676" s="138">
        <v>45561</v>
      </c>
      <c r="I676" s="139" t="s">
        <v>384</v>
      </c>
      <c r="J676" s="137" t="s">
        <v>21742</v>
      </c>
      <c r="K676" s="137">
        <v>29</v>
      </c>
      <c r="L676" s="133" t="str">
        <f t="shared" si="10"/>
        <v>006</v>
      </c>
    </row>
    <row r="677" spans="1:12" x14ac:dyDescent="0.3">
      <c r="A677" s="136">
        <v>673</v>
      </c>
      <c r="B677" s="137" t="s">
        <v>13820</v>
      </c>
      <c r="C677" s="10" t="str">
        <f>VLOOKUP(B677,'Data Angt'!$A$5:$B$5809,2,FALSE)</f>
        <v>A4964</v>
      </c>
      <c r="D677" s="137" t="s">
        <v>21743</v>
      </c>
      <c r="E677" s="137" t="s">
        <v>11</v>
      </c>
      <c r="F677" s="137">
        <v>81232495320</v>
      </c>
      <c r="G677" s="137" t="s">
        <v>109</v>
      </c>
      <c r="H677" s="138">
        <v>45561</v>
      </c>
      <c r="I677" s="139" t="s">
        <v>384</v>
      </c>
      <c r="J677" s="137" t="s">
        <v>21744</v>
      </c>
      <c r="K677" s="137">
        <v>62</v>
      </c>
      <c r="L677" s="133" t="str">
        <f t="shared" si="10"/>
        <v>001</v>
      </c>
    </row>
    <row r="678" spans="1:12" x14ac:dyDescent="0.3">
      <c r="A678" s="136">
        <v>674</v>
      </c>
      <c r="B678" s="137" t="s">
        <v>13823</v>
      </c>
      <c r="C678" s="10" t="str">
        <f>VLOOKUP(B678,'Data Angt'!$A$5:$B$5809,2,FALSE)</f>
        <v>A4965</v>
      </c>
      <c r="D678" s="137" t="s">
        <v>21745</v>
      </c>
      <c r="E678" s="137" t="s">
        <v>22</v>
      </c>
      <c r="F678" s="137">
        <v>82331083125</v>
      </c>
      <c r="G678" s="137" t="s">
        <v>109</v>
      </c>
      <c r="H678" s="138">
        <v>45561</v>
      </c>
      <c r="I678" s="139" t="s">
        <v>384</v>
      </c>
      <c r="J678" s="137" t="s">
        <v>21746</v>
      </c>
      <c r="K678" s="137">
        <v>31</v>
      </c>
      <c r="L678" s="133" t="str">
        <f t="shared" si="10"/>
        <v>001</v>
      </c>
    </row>
    <row r="679" spans="1:12" x14ac:dyDescent="0.3">
      <c r="A679" s="136">
        <v>675</v>
      </c>
      <c r="B679" s="137" t="s">
        <v>13826</v>
      </c>
      <c r="C679" s="10" t="str">
        <f>VLOOKUP(B679,'Data Angt'!$A$5:$B$5809,2,FALSE)</f>
        <v>A4966</v>
      </c>
      <c r="D679" s="137" t="s">
        <v>21747</v>
      </c>
      <c r="E679" s="137" t="s">
        <v>22</v>
      </c>
      <c r="F679" s="137">
        <v>82233248874</v>
      </c>
      <c r="G679" s="137" t="s">
        <v>16</v>
      </c>
      <c r="H679" s="138">
        <v>45562</v>
      </c>
      <c r="I679" s="139" t="s">
        <v>384</v>
      </c>
      <c r="J679" s="137" t="s">
        <v>21748</v>
      </c>
      <c r="K679" s="137">
        <v>33</v>
      </c>
      <c r="L679" s="133" t="str">
        <f t="shared" si="10"/>
        <v>003</v>
      </c>
    </row>
    <row r="680" spans="1:12" x14ac:dyDescent="0.3">
      <c r="A680" s="136">
        <v>676</v>
      </c>
      <c r="B680" s="137" t="s">
        <v>21749</v>
      </c>
      <c r="C680" s="10" t="e">
        <f>VLOOKUP(B680,'Data Angt'!$A$5:$B$5809,2,FALSE)</f>
        <v>#N/A</v>
      </c>
      <c r="D680" s="137" t="s">
        <v>21750</v>
      </c>
      <c r="E680" s="137" t="s">
        <v>22</v>
      </c>
      <c r="F680" s="137">
        <v>85729440236</v>
      </c>
      <c r="G680" s="137" t="s">
        <v>243</v>
      </c>
      <c r="H680" s="138">
        <v>45565</v>
      </c>
      <c r="I680" s="138">
        <v>45868</v>
      </c>
      <c r="J680" s="137" t="s">
        <v>21751</v>
      </c>
      <c r="K680" s="137">
        <v>72</v>
      </c>
      <c r="L680" s="133" t="str">
        <f t="shared" si="10"/>
        <v>006</v>
      </c>
    </row>
    <row r="681" spans="1:12" x14ac:dyDescent="0.3">
      <c r="A681" s="136">
        <v>677</v>
      </c>
      <c r="B681" s="137" t="s">
        <v>13827</v>
      </c>
      <c r="C681" s="10" t="str">
        <f>VLOOKUP(B681,'Data Angt'!$A$5:$B$5809,2,FALSE)</f>
        <v>A4967</v>
      </c>
      <c r="D681" s="137" t="s">
        <v>21752</v>
      </c>
      <c r="E681" s="137" t="s">
        <v>22</v>
      </c>
      <c r="F681" s="137">
        <v>85794167058</v>
      </c>
      <c r="G681" s="137" t="s">
        <v>16</v>
      </c>
      <c r="H681" s="138">
        <v>45565</v>
      </c>
      <c r="I681" s="139" t="s">
        <v>384</v>
      </c>
      <c r="J681" s="137" t="s">
        <v>21753</v>
      </c>
      <c r="K681" s="137">
        <v>26</v>
      </c>
      <c r="L681" s="133" t="str">
        <f t="shared" si="10"/>
        <v>003</v>
      </c>
    </row>
    <row r="682" spans="1:12" x14ac:dyDescent="0.3">
      <c r="A682" s="136">
        <v>678</v>
      </c>
      <c r="B682" s="137" t="s">
        <v>13829</v>
      </c>
      <c r="C682" s="10" t="str">
        <f>VLOOKUP(B682,'Data Angt'!$A$5:$B$5809,2,FALSE)</f>
        <v>A4968</v>
      </c>
      <c r="D682" s="137" t="s">
        <v>21754</v>
      </c>
      <c r="E682" s="137" t="s">
        <v>22</v>
      </c>
      <c r="F682" s="137">
        <v>85235534348</v>
      </c>
      <c r="G682" s="137" t="s">
        <v>16</v>
      </c>
      <c r="H682" s="138">
        <v>45565</v>
      </c>
      <c r="I682" s="139" t="s">
        <v>384</v>
      </c>
      <c r="J682" s="137" t="s">
        <v>21755</v>
      </c>
      <c r="K682" s="137">
        <v>25</v>
      </c>
      <c r="L682" s="133" t="str">
        <f t="shared" si="10"/>
        <v>003</v>
      </c>
    </row>
    <row r="683" spans="1:12" x14ac:dyDescent="0.3">
      <c r="A683" s="136">
        <v>679</v>
      </c>
      <c r="B683" s="137" t="s">
        <v>13831</v>
      </c>
      <c r="C683" s="10" t="str">
        <f>VLOOKUP(B683,'Data Angt'!$A$5:$B$5809,2,FALSE)</f>
        <v>A4969</v>
      </c>
      <c r="D683" s="137" t="s">
        <v>21756</v>
      </c>
      <c r="E683" s="137" t="s">
        <v>22</v>
      </c>
      <c r="F683" s="137">
        <v>81382632944</v>
      </c>
      <c r="G683" s="137" t="s">
        <v>540</v>
      </c>
      <c r="H683" s="138">
        <v>45565</v>
      </c>
      <c r="I683" s="139" t="s">
        <v>384</v>
      </c>
      <c r="J683" s="137" t="s">
        <v>21757</v>
      </c>
      <c r="K683" s="137">
        <v>23</v>
      </c>
      <c r="L683" s="133" t="str">
        <f t="shared" si="10"/>
        <v>001</v>
      </c>
    </row>
    <row r="684" spans="1:12" x14ac:dyDescent="0.3">
      <c r="A684" s="136">
        <v>680</v>
      </c>
      <c r="B684" s="137" t="s">
        <v>13835</v>
      </c>
      <c r="C684" s="10" t="str">
        <f>VLOOKUP(B684,'Data Angt'!$A$5:$B$5809,2,FALSE)</f>
        <v>A4970</v>
      </c>
      <c r="D684" s="137" t="s">
        <v>21758</v>
      </c>
      <c r="E684" s="137" t="s">
        <v>11</v>
      </c>
      <c r="F684" s="137">
        <v>83863400224</v>
      </c>
      <c r="G684" s="137" t="s">
        <v>16</v>
      </c>
      <c r="H684" s="138">
        <v>45566</v>
      </c>
      <c r="I684" s="139" t="s">
        <v>384</v>
      </c>
      <c r="J684" s="137" t="s">
        <v>21759</v>
      </c>
      <c r="K684" s="137">
        <v>24</v>
      </c>
      <c r="L684" s="133" t="str">
        <f t="shared" si="10"/>
        <v>004</v>
      </c>
    </row>
    <row r="685" spans="1:12" x14ac:dyDescent="0.3">
      <c r="A685" s="136">
        <v>681</v>
      </c>
      <c r="B685" s="137" t="s">
        <v>21760</v>
      </c>
      <c r="C685" s="10" t="e">
        <f>VLOOKUP(B685,'Data Angt'!$A$5:$B$5809,2,FALSE)</f>
        <v>#N/A</v>
      </c>
      <c r="D685" s="137" t="s">
        <v>21761</v>
      </c>
      <c r="E685" s="137" t="s">
        <v>22</v>
      </c>
      <c r="F685" s="137">
        <v>81515417633</v>
      </c>
      <c r="G685" s="137" t="s">
        <v>370</v>
      </c>
      <c r="H685" s="138">
        <v>45605</v>
      </c>
      <c r="I685" s="138">
        <v>45838</v>
      </c>
      <c r="J685" s="137" t="s">
        <v>21762</v>
      </c>
      <c r="K685" s="137">
        <v>42</v>
      </c>
      <c r="L685" s="133" t="str">
        <f t="shared" si="10"/>
        <v>005</v>
      </c>
    </row>
    <row r="686" spans="1:12" x14ac:dyDescent="0.3">
      <c r="A686" s="136">
        <v>682</v>
      </c>
      <c r="B686" s="137" t="s">
        <v>13838</v>
      </c>
      <c r="C686" s="10" t="str">
        <f>VLOOKUP(B686,'Data Angt'!$A$5:$B$5809,2,FALSE)</f>
        <v>A4971</v>
      </c>
      <c r="D686" s="137" t="s">
        <v>21763</v>
      </c>
      <c r="E686" s="137" t="s">
        <v>22</v>
      </c>
      <c r="F686" s="137">
        <v>81259742202</v>
      </c>
      <c r="G686" s="137" t="s">
        <v>337</v>
      </c>
      <c r="H686" s="138">
        <v>45566</v>
      </c>
      <c r="I686" s="139" t="s">
        <v>384</v>
      </c>
      <c r="J686" s="137" t="s">
        <v>19704</v>
      </c>
      <c r="K686" s="137">
        <v>18</v>
      </c>
      <c r="L686" s="133" t="str">
        <f t="shared" si="10"/>
        <v>004</v>
      </c>
    </row>
    <row r="687" spans="1:12" x14ac:dyDescent="0.3">
      <c r="A687" s="136">
        <v>683</v>
      </c>
      <c r="B687" s="137" t="s">
        <v>13840</v>
      </c>
      <c r="C687" s="10" t="str">
        <f>VLOOKUP(B687,'Data Angt'!$A$5:$B$5809,2,FALSE)</f>
        <v>A4972</v>
      </c>
      <c r="D687" s="137" t="s">
        <v>21764</v>
      </c>
      <c r="E687" s="137" t="s">
        <v>11</v>
      </c>
      <c r="F687" s="137">
        <v>82338823221</v>
      </c>
      <c r="G687" s="137" t="s">
        <v>109</v>
      </c>
      <c r="H687" s="138">
        <v>45567</v>
      </c>
      <c r="I687" s="139" t="s">
        <v>384</v>
      </c>
      <c r="J687" s="137" t="s">
        <v>20813</v>
      </c>
      <c r="K687" s="137">
        <v>29</v>
      </c>
      <c r="L687" s="133" t="str">
        <f t="shared" si="10"/>
        <v>001</v>
      </c>
    </row>
    <row r="688" spans="1:12" x14ac:dyDescent="0.3">
      <c r="A688" s="136">
        <v>684</v>
      </c>
      <c r="B688" s="137" t="s">
        <v>21765</v>
      </c>
      <c r="C688" s="10" t="e">
        <f>VLOOKUP(B688,'Data Angt'!$A$5:$B$5809,2,FALSE)</f>
        <v>#N/A</v>
      </c>
      <c r="D688" s="137" t="s">
        <v>21766</v>
      </c>
      <c r="E688" s="137" t="s">
        <v>22</v>
      </c>
      <c r="F688" s="137">
        <v>82335298754</v>
      </c>
      <c r="G688" s="137" t="s">
        <v>46</v>
      </c>
      <c r="H688" s="138">
        <v>45567</v>
      </c>
      <c r="I688" s="138">
        <v>45838</v>
      </c>
      <c r="J688" s="137" t="s">
        <v>21767</v>
      </c>
      <c r="K688" s="137">
        <v>46</v>
      </c>
      <c r="L688" s="133" t="str">
        <f t="shared" si="10"/>
        <v>003</v>
      </c>
    </row>
    <row r="689" spans="1:12" x14ac:dyDescent="0.3">
      <c r="A689" s="136">
        <v>685</v>
      </c>
      <c r="B689" s="137" t="s">
        <v>13844</v>
      </c>
      <c r="C689" s="10" t="str">
        <f>VLOOKUP(B689,'Data Angt'!$A$5:$B$5809,2,FALSE)</f>
        <v>A4973</v>
      </c>
      <c r="D689" s="137" t="s">
        <v>21768</v>
      </c>
      <c r="E689" s="137" t="s">
        <v>22</v>
      </c>
      <c r="F689" s="137">
        <v>82245108452</v>
      </c>
      <c r="G689" s="137" t="s">
        <v>46</v>
      </c>
      <c r="H689" s="138">
        <v>45567</v>
      </c>
      <c r="I689" s="139" t="s">
        <v>384</v>
      </c>
      <c r="J689" s="137" t="s">
        <v>20214</v>
      </c>
      <c r="K689" s="137">
        <v>52</v>
      </c>
      <c r="L689" s="133" t="str">
        <f t="shared" si="10"/>
        <v>001</v>
      </c>
    </row>
    <row r="690" spans="1:12" x14ac:dyDescent="0.3">
      <c r="A690" s="136">
        <v>686</v>
      </c>
      <c r="B690" s="137" t="s">
        <v>14042</v>
      </c>
      <c r="C690" s="10" t="str">
        <f>VLOOKUP(B690,'Data Angt'!$A$5:$B$5809,2,FALSE)</f>
        <v>A5062</v>
      </c>
      <c r="D690" s="137" t="s">
        <v>21769</v>
      </c>
      <c r="E690" s="137" t="s">
        <v>22</v>
      </c>
      <c r="F690" s="137">
        <v>85230345867</v>
      </c>
      <c r="G690" s="137" t="s">
        <v>370</v>
      </c>
      <c r="H690" s="138">
        <v>45609</v>
      </c>
      <c r="I690" s="139" t="s">
        <v>384</v>
      </c>
      <c r="J690" s="137" t="s">
        <v>21770</v>
      </c>
      <c r="K690" s="137">
        <v>32</v>
      </c>
      <c r="L690" s="133" t="str">
        <f t="shared" si="10"/>
        <v>005</v>
      </c>
    </row>
    <row r="691" spans="1:12" x14ac:dyDescent="0.3">
      <c r="A691" s="136">
        <v>687</v>
      </c>
      <c r="B691" s="137" t="s">
        <v>13847</v>
      </c>
      <c r="C691" s="10" t="str">
        <f>VLOOKUP(B691,'Data Angt'!$A$5:$B$5809,2,FALSE)</f>
        <v>A4974</v>
      </c>
      <c r="D691" s="137" t="s">
        <v>21771</v>
      </c>
      <c r="E691" s="137" t="s">
        <v>11</v>
      </c>
      <c r="F691" s="137">
        <v>85236632046</v>
      </c>
      <c r="G691" s="137" t="s">
        <v>133</v>
      </c>
      <c r="H691" s="138">
        <v>45568</v>
      </c>
      <c r="I691" s="139" t="s">
        <v>384</v>
      </c>
      <c r="J691" s="137" t="s">
        <v>21772</v>
      </c>
      <c r="K691" s="137">
        <v>22</v>
      </c>
      <c r="L691" s="133" t="str">
        <f t="shared" si="10"/>
        <v>002</v>
      </c>
    </row>
    <row r="692" spans="1:12" x14ac:dyDescent="0.3">
      <c r="A692" s="136">
        <v>688</v>
      </c>
      <c r="B692" s="137" t="s">
        <v>21773</v>
      </c>
      <c r="C692" s="10" t="e">
        <f>VLOOKUP(B692,'Data Angt'!$A$5:$B$5809,2,FALSE)</f>
        <v>#N/A</v>
      </c>
      <c r="D692" s="137" t="s">
        <v>21774</v>
      </c>
      <c r="E692" s="137" t="s">
        <v>22</v>
      </c>
      <c r="F692" s="137">
        <v>83825364219</v>
      </c>
      <c r="G692" s="137" t="s">
        <v>109</v>
      </c>
      <c r="H692" s="138">
        <v>45568</v>
      </c>
      <c r="I692" s="138">
        <v>45838</v>
      </c>
      <c r="J692" s="137" t="s">
        <v>21775</v>
      </c>
      <c r="K692" s="137">
        <v>56</v>
      </c>
      <c r="L692" s="133" t="str">
        <f t="shared" si="10"/>
        <v>003</v>
      </c>
    </row>
    <row r="693" spans="1:12" x14ac:dyDescent="0.3">
      <c r="A693" s="136">
        <v>689</v>
      </c>
      <c r="B693" s="137" t="s">
        <v>13850</v>
      </c>
      <c r="C693" s="10" t="str">
        <f>VLOOKUP(B693,'Data Angt'!$A$5:$B$5809,2,FALSE)</f>
        <v>A4975</v>
      </c>
      <c r="D693" s="137" t="s">
        <v>21776</v>
      </c>
      <c r="E693" s="137" t="s">
        <v>22</v>
      </c>
      <c r="F693" s="137">
        <v>82334281257</v>
      </c>
      <c r="G693" s="137" t="s">
        <v>46</v>
      </c>
      <c r="H693" s="138">
        <v>45568</v>
      </c>
      <c r="I693" s="139" t="s">
        <v>384</v>
      </c>
      <c r="J693" s="137" t="s">
        <v>21777</v>
      </c>
      <c r="K693" s="137">
        <v>56</v>
      </c>
      <c r="L693" s="133" t="str">
        <f t="shared" si="10"/>
        <v>003</v>
      </c>
    </row>
    <row r="694" spans="1:12" x14ac:dyDescent="0.3">
      <c r="A694" s="136">
        <v>690</v>
      </c>
      <c r="B694" s="137" t="s">
        <v>13851</v>
      </c>
      <c r="C694" s="10" t="str">
        <f>VLOOKUP(B694,'Data Angt'!$A$5:$B$5809,2,FALSE)</f>
        <v>A4976</v>
      </c>
      <c r="D694" s="137" t="s">
        <v>21778</v>
      </c>
      <c r="E694" s="137" t="s">
        <v>22</v>
      </c>
      <c r="F694" s="137">
        <v>82237990101</v>
      </c>
      <c r="G694" s="137" t="s">
        <v>31</v>
      </c>
      <c r="H694" s="138">
        <v>45569</v>
      </c>
      <c r="I694" s="139" t="s">
        <v>384</v>
      </c>
      <c r="J694" s="137" t="s">
        <v>21779</v>
      </c>
      <c r="K694" s="137">
        <v>37</v>
      </c>
      <c r="L694" s="133" t="str">
        <f t="shared" si="10"/>
        <v>002</v>
      </c>
    </row>
    <row r="695" spans="1:12" x14ac:dyDescent="0.3">
      <c r="A695" s="136">
        <v>691</v>
      </c>
      <c r="B695" s="137" t="s">
        <v>13852</v>
      </c>
      <c r="C695" s="10" t="str">
        <f>VLOOKUP(B695,'Data Angt'!$A$5:$B$5809,2,FALSE)</f>
        <v>A4977</v>
      </c>
      <c r="D695" s="137" t="s">
        <v>21780</v>
      </c>
      <c r="E695" s="137" t="s">
        <v>11</v>
      </c>
      <c r="F695" s="137">
        <v>85138031619</v>
      </c>
      <c r="G695" s="137" t="s">
        <v>46</v>
      </c>
      <c r="H695" s="138">
        <v>45572</v>
      </c>
      <c r="I695" s="139" t="s">
        <v>384</v>
      </c>
      <c r="J695" s="137" t="s">
        <v>19386</v>
      </c>
      <c r="K695" s="137">
        <v>34</v>
      </c>
      <c r="L695" s="133" t="str">
        <f t="shared" si="10"/>
        <v>003</v>
      </c>
    </row>
    <row r="696" spans="1:12" x14ac:dyDescent="0.3">
      <c r="A696" s="136">
        <v>692</v>
      </c>
      <c r="B696" s="137" t="s">
        <v>13853</v>
      </c>
      <c r="C696" s="10" t="str">
        <f>VLOOKUP(B696,'Data Angt'!$A$5:$B$5809,2,FALSE)</f>
        <v>A4978</v>
      </c>
      <c r="D696" s="137" t="s">
        <v>21781</v>
      </c>
      <c r="E696" s="137" t="s">
        <v>11</v>
      </c>
      <c r="F696" s="137">
        <v>88217935742</v>
      </c>
      <c r="G696" s="137" t="s">
        <v>337</v>
      </c>
      <c r="H696" s="138">
        <v>45573</v>
      </c>
      <c r="I696" s="139" t="s">
        <v>384</v>
      </c>
      <c r="J696" s="137" t="s">
        <v>20643</v>
      </c>
      <c r="K696" s="137">
        <v>21</v>
      </c>
      <c r="L696" s="133" t="str">
        <f t="shared" si="10"/>
        <v>001</v>
      </c>
    </row>
    <row r="697" spans="1:12" x14ac:dyDescent="0.3">
      <c r="A697" s="136">
        <v>693</v>
      </c>
      <c r="B697" s="137" t="s">
        <v>13856</v>
      </c>
      <c r="C697" s="10" t="str">
        <f>VLOOKUP(B697,'Data Angt'!$A$5:$B$5809,2,FALSE)</f>
        <v>A4979</v>
      </c>
      <c r="D697" s="137" t="s">
        <v>21782</v>
      </c>
      <c r="E697" s="137" t="s">
        <v>22</v>
      </c>
      <c r="F697" s="137">
        <v>895399568910</v>
      </c>
      <c r="G697" s="137" t="s">
        <v>46</v>
      </c>
      <c r="H697" s="138">
        <v>45573</v>
      </c>
      <c r="I697" s="139" t="s">
        <v>384</v>
      </c>
      <c r="J697" s="137" t="s">
        <v>21783</v>
      </c>
      <c r="K697" s="137">
        <v>71</v>
      </c>
      <c r="L697" s="133" t="str">
        <f t="shared" si="10"/>
        <v>001</v>
      </c>
    </row>
    <row r="698" spans="1:12" x14ac:dyDescent="0.3">
      <c r="A698" s="136">
        <v>694</v>
      </c>
      <c r="B698" s="137" t="s">
        <v>13858</v>
      </c>
      <c r="C698" s="10" t="str">
        <f>VLOOKUP(B698,'Data Angt'!$A$5:$B$5809,2,FALSE)</f>
        <v>A4980</v>
      </c>
      <c r="D698" s="137" t="s">
        <v>21784</v>
      </c>
      <c r="E698" s="137" t="s">
        <v>11</v>
      </c>
      <c r="F698" s="137">
        <v>81314561948</v>
      </c>
      <c r="G698" s="137" t="s">
        <v>109</v>
      </c>
      <c r="H698" s="138">
        <v>45574</v>
      </c>
      <c r="I698" s="139" t="s">
        <v>384</v>
      </c>
      <c r="J698" s="137" t="s">
        <v>21785</v>
      </c>
      <c r="K698" s="137">
        <v>26</v>
      </c>
      <c r="L698" s="133" t="str">
        <f t="shared" si="10"/>
        <v>001</v>
      </c>
    </row>
    <row r="699" spans="1:12" x14ac:dyDescent="0.3">
      <c r="A699" s="136">
        <v>695</v>
      </c>
      <c r="B699" s="137" t="s">
        <v>13859</v>
      </c>
      <c r="C699" s="10" t="str">
        <f>VLOOKUP(B699,'Data Angt'!$A$5:$B$5809,2,FALSE)</f>
        <v>A4981</v>
      </c>
      <c r="D699" s="137" t="s">
        <v>20901</v>
      </c>
      <c r="E699" s="137" t="s">
        <v>11</v>
      </c>
      <c r="F699" s="137">
        <v>85721791384</v>
      </c>
      <c r="G699" s="137" t="s">
        <v>46</v>
      </c>
      <c r="H699" s="138">
        <v>45574</v>
      </c>
      <c r="I699" s="139" t="s">
        <v>384</v>
      </c>
      <c r="J699" s="137" t="s">
        <v>21786</v>
      </c>
      <c r="K699" s="137">
        <v>27</v>
      </c>
      <c r="L699" s="133" t="str">
        <f t="shared" si="10"/>
        <v>001</v>
      </c>
    </row>
    <row r="700" spans="1:12" x14ac:dyDescent="0.3">
      <c r="A700" s="136">
        <v>696</v>
      </c>
      <c r="B700" s="137" t="s">
        <v>13861</v>
      </c>
      <c r="C700" s="10" t="str">
        <f>VLOOKUP(B700,'Data Angt'!$A$5:$B$5809,2,FALSE)</f>
        <v>A4982</v>
      </c>
      <c r="D700" s="137" t="s">
        <v>21787</v>
      </c>
      <c r="E700" s="137" t="s">
        <v>11</v>
      </c>
      <c r="F700" s="137">
        <v>82331980624</v>
      </c>
      <c r="G700" s="137" t="s">
        <v>46</v>
      </c>
      <c r="H700" s="138">
        <v>45574</v>
      </c>
      <c r="I700" s="139" t="s">
        <v>384</v>
      </c>
      <c r="J700" s="137" t="s">
        <v>21788</v>
      </c>
      <c r="K700" s="137">
        <v>38</v>
      </c>
      <c r="L700" s="133" t="str">
        <f t="shared" si="10"/>
        <v>001</v>
      </c>
    </row>
    <row r="701" spans="1:12" x14ac:dyDescent="0.3">
      <c r="A701" s="136">
        <v>697</v>
      </c>
      <c r="B701" s="137" t="s">
        <v>13864</v>
      </c>
      <c r="C701" s="10" t="str">
        <f>VLOOKUP(B701,'Data Angt'!$A$5:$B$5809,2,FALSE)</f>
        <v>A4983</v>
      </c>
      <c r="D701" s="137" t="s">
        <v>21789</v>
      </c>
      <c r="E701" s="137" t="s">
        <v>22</v>
      </c>
      <c r="F701" s="137">
        <v>85258345856</v>
      </c>
      <c r="G701" s="137" t="s">
        <v>46</v>
      </c>
      <c r="H701" s="138">
        <v>45574</v>
      </c>
      <c r="I701" s="139" t="s">
        <v>384</v>
      </c>
      <c r="J701" s="137" t="s">
        <v>20845</v>
      </c>
      <c r="K701" s="137">
        <v>47</v>
      </c>
      <c r="L701" s="133" t="str">
        <f t="shared" si="10"/>
        <v>002</v>
      </c>
    </row>
    <row r="702" spans="1:12" x14ac:dyDescent="0.3">
      <c r="A702" s="136">
        <v>698</v>
      </c>
      <c r="B702" s="137" t="s">
        <v>13866</v>
      </c>
      <c r="C702" s="10" t="str">
        <f>VLOOKUP(B702,'Data Angt'!$A$5:$B$5809,2,FALSE)</f>
        <v>A4984</v>
      </c>
      <c r="D702" s="137" t="s">
        <v>21790</v>
      </c>
      <c r="E702" s="137" t="s">
        <v>22</v>
      </c>
      <c r="F702" s="137">
        <v>82233444521</v>
      </c>
      <c r="G702" s="137" t="s">
        <v>172</v>
      </c>
      <c r="H702" s="138">
        <v>45574</v>
      </c>
      <c r="I702" s="139" t="s">
        <v>384</v>
      </c>
      <c r="J702" s="137" t="s">
        <v>21791</v>
      </c>
      <c r="K702" s="137">
        <v>36</v>
      </c>
      <c r="L702" s="133" t="str">
        <f t="shared" si="10"/>
        <v>001</v>
      </c>
    </row>
    <row r="703" spans="1:12" x14ac:dyDescent="0.3">
      <c r="A703" s="136">
        <v>699</v>
      </c>
      <c r="B703" s="137" t="s">
        <v>13869</v>
      </c>
      <c r="C703" s="10" t="str">
        <f>VLOOKUP(B703,'Data Angt'!$A$5:$B$5809,2,FALSE)</f>
        <v>A4985</v>
      </c>
      <c r="D703" s="137" t="s">
        <v>21792</v>
      </c>
      <c r="E703" s="137" t="s">
        <v>22</v>
      </c>
      <c r="F703" s="137">
        <v>82125156529</v>
      </c>
      <c r="G703" s="137" t="s">
        <v>109</v>
      </c>
      <c r="H703" s="138">
        <v>45576</v>
      </c>
      <c r="I703" s="139" t="s">
        <v>384</v>
      </c>
      <c r="J703" s="137" t="s">
        <v>21724</v>
      </c>
      <c r="K703" s="137">
        <v>28</v>
      </c>
      <c r="L703" s="133" t="str">
        <f t="shared" si="10"/>
        <v>005</v>
      </c>
    </row>
    <row r="704" spans="1:12" x14ac:dyDescent="0.3">
      <c r="A704" s="136">
        <v>700</v>
      </c>
      <c r="B704" s="137" t="s">
        <v>13871</v>
      </c>
      <c r="C704" s="10" t="str">
        <f>VLOOKUP(B704,'Data Angt'!$A$5:$B$5809,2,FALSE)</f>
        <v>A4986</v>
      </c>
      <c r="D704" s="137" t="s">
        <v>21793</v>
      </c>
      <c r="E704" s="137" t="s">
        <v>22</v>
      </c>
      <c r="F704" s="137">
        <v>81252810894</v>
      </c>
      <c r="G704" s="137" t="s">
        <v>109</v>
      </c>
      <c r="H704" s="138">
        <v>45580</v>
      </c>
      <c r="I704" s="139" t="s">
        <v>384</v>
      </c>
      <c r="J704" s="137" t="s">
        <v>21794</v>
      </c>
      <c r="K704" s="137">
        <v>35</v>
      </c>
      <c r="L704" s="133" t="str">
        <f t="shared" si="10"/>
        <v>001</v>
      </c>
    </row>
    <row r="705" spans="1:12" x14ac:dyDescent="0.3">
      <c r="A705" s="136">
        <v>701</v>
      </c>
      <c r="B705" s="137" t="s">
        <v>13873</v>
      </c>
      <c r="C705" s="10" t="str">
        <f>VLOOKUP(B705,'Data Angt'!$A$5:$B$5809,2,FALSE)</f>
        <v>A4987</v>
      </c>
      <c r="D705" s="137" t="s">
        <v>21795</v>
      </c>
      <c r="E705" s="137" t="s">
        <v>22</v>
      </c>
      <c r="F705" s="137">
        <v>87859139172</v>
      </c>
      <c r="G705" s="137" t="s">
        <v>109</v>
      </c>
      <c r="H705" s="138">
        <v>45580</v>
      </c>
      <c r="I705" s="139" t="s">
        <v>384</v>
      </c>
      <c r="J705" s="137" t="s">
        <v>21796</v>
      </c>
      <c r="K705" s="137">
        <v>27</v>
      </c>
      <c r="L705" s="133" t="str">
        <f t="shared" si="10"/>
        <v>001</v>
      </c>
    </row>
    <row r="706" spans="1:12" x14ac:dyDescent="0.3">
      <c r="A706" s="136">
        <v>702</v>
      </c>
      <c r="B706" s="137" t="s">
        <v>13875</v>
      </c>
      <c r="C706" s="10" t="str">
        <f>VLOOKUP(B706,'Data Angt'!$A$5:$B$5809,2,FALSE)</f>
        <v>A4988</v>
      </c>
      <c r="D706" s="137" t="s">
        <v>21797</v>
      </c>
      <c r="E706" s="137" t="s">
        <v>11</v>
      </c>
      <c r="F706" s="137">
        <v>81259855633</v>
      </c>
      <c r="G706" s="137" t="s">
        <v>46</v>
      </c>
      <c r="H706" s="138">
        <v>45586</v>
      </c>
      <c r="I706" s="139" t="s">
        <v>384</v>
      </c>
      <c r="J706" s="137" t="s">
        <v>21798</v>
      </c>
      <c r="K706" s="137">
        <v>27</v>
      </c>
      <c r="L706" s="133" t="str">
        <f t="shared" si="10"/>
        <v>003</v>
      </c>
    </row>
    <row r="707" spans="1:12" x14ac:dyDescent="0.3">
      <c r="A707" s="136">
        <v>703</v>
      </c>
      <c r="B707" s="137" t="s">
        <v>13876</v>
      </c>
      <c r="C707" s="10" t="str">
        <f>VLOOKUP(B707,'Data Angt'!$A$5:$B$5809,2,FALSE)</f>
        <v>A4989</v>
      </c>
      <c r="D707" s="137" t="s">
        <v>21799</v>
      </c>
      <c r="E707" s="137" t="s">
        <v>22</v>
      </c>
      <c r="F707" s="137">
        <v>8563364455</v>
      </c>
      <c r="G707" s="137" t="s">
        <v>16</v>
      </c>
      <c r="H707" s="138">
        <v>45586</v>
      </c>
      <c r="I707" s="139" t="s">
        <v>384</v>
      </c>
      <c r="J707" s="137" t="s">
        <v>21800</v>
      </c>
      <c r="K707" s="137">
        <v>30</v>
      </c>
      <c r="L707" s="133" t="str">
        <f t="shared" si="10"/>
        <v>003</v>
      </c>
    </row>
    <row r="708" spans="1:12" x14ac:dyDescent="0.3">
      <c r="A708" s="136">
        <v>704</v>
      </c>
      <c r="B708" s="137" t="s">
        <v>13879</v>
      </c>
      <c r="C708" s="10" t="str">
        <f>VLOOKUP(B708,'Data Angt'!$A$5:$B$5809,2,FALSE)</f>
        <v>A4990</v>
      </c>
      <c r="D708" s="137" t="s">
        <v>19944</v>
      </c>
      <c r="E708" s="137" t="s">
        <v>22</v>
      </c>
      <c r="F708" s="137">
        <v>85233003568</v>
      </c>
      <c r="G708" s="137" t="s">
        <v>5098</v>
      </c>
      <c r="H708" s="138">
        <v>45586</v>
      </c>
      <c r="I708" s="139" t="s">
        <v>384</v>
      </c>
      <c r="J708" s="137" t="s">
        <v>19504</v>
      </c>
      <c r="K708" s="137">
        <v>41</v>
      </c>
      <c r="L708" s="133" t="str">
        <f t="shared" si="10"/>
        <v>002</v>
      </c>
    </row>
    <row r="709" spans="1:12" x14ac:dyDescent="0.3">
      <c r="A709" s="136">
        <v>705</v>
      </c>
      <c r="B709" s="137" t="s">
        <v>13882</v>
      </c>
      <c r="C709" s="10" t="str">
        <f>VLOOKUP(B709,'Data Angt'!$A$5:$B$5809,2,FALSE)</f>
        <v>A4991</v>
      </c>
      <c r="D709" s="137" t="s">
        <v>21801</v>
      </c>
      <c r="E709" s="137" t="s">
        <v>11</v>
      </c>
      <c r="F709" s="137">
        <v>85729631949</v>
      </c>
      <c r="G709" s="137" t="s">
        <v>46</v>
      </c>
      <c r="H709" s="138">
        <v>45587</v>
      </c>
      <c r="I709" s="139" t="s">
        <v>384</v>
      </c>
      <c r="J709" s="137" t="s">
        <v>21802</v>
      </c>
      <c r="K709" s="137">
        <v>50</v>
      </c>
      <c r="L709" s="133" t="str">
        <f t="shared" si="10"/>
        <v>006</v>
      </c>
    </row>
    <row r="710" spans="1:12" x14ac:dyDescent="0.3">
      <c r="A710" s="136">
        <v>706</v>
      </c>
      <c r="B710" s="137" t="s">
        <v>13883</v>
      </c>
      <c r="C710" s="10" t="str">
        <f>VLOOKUP(B710,'Data Angt'!$A$5:$B$5809,2,FALSE)</f>
        <v>A4992</v>
      </c>
      <c r="D710" s="137" t="s">
        <v>21803</v>
      </c>
      <c r="E710" s="137" t="s">
        <v>22</v>
      </c>
      <c r="F710" s="137">
        <v>881026073950</v>
      </c>
      <c r="G710" s="137" t="s">
        <v>46</v>
      </c>
      <c r="H710" s="138">
        <v>45587</v>
      </c>
      <c r="I710" s="139" t="s">
        <v>384</v>
      </c>
      <c r="J710" s="137" t="s">
        <v>21804</v>
      </c>
      <c r="K710" s="137">
        <v>17</v>
      </c>
      <c r="L710" s="133" t="str">
        <f t="shared" ref="L710:L773" si="11">MID(B710,7,3)</f>
        <v>004</v>
      </c>
    </row>
    <row r="711" spans="1:12" x14ac:dyDescent="0.3">
      <c r="A711" s="136">
        <v>707</v>
      </c>
      <c r="B711" s="137" t="s">
        <v>13885</v>
      </c>
      <c r="C711" s="10" t="str">
        <f>VLOOKUP(B711,'Data Angt'!$A$5:$B$5809,2,FALSE)</f>
        <v>A4993</v>
      </c>
      <c r="D711" s="137" t="s">
        <v>21805</v>
      </c>
      <c r="E711" s="137" t="s">
        <v>11</v>
      </c>
      <c r="F711" s="137">
        <v>85230519717</v>
      </c>
      <c r="G711" s="137" t="s">
        <v>46</v>
      </c>
      <c r="H711" s="138">
        <v>45588</v>
      </c>
      <c r="I711" s="139" t="s">
        <v>384</v>
      </c>
      <c r="J711" s="137" t="s">
        <v>21806</v>
      </c>
      <c r="K711" s="137">
        <v>64</v>
      </c>
      <c r="L711" s="133" t="str">
        <f t="shared" si="11"/>
        <v>001</v>
      </c>
    </row>
    <row r="712" spans="1:12" x14ac:dyDescent="0.3">
      <c r="A712" s="136">
        <v>708</v>
      </c>
      <c r="B712" s="137" t="s">
        <v>13886</v>
      </c>
      <c r="C712" s="10" t="str">
        <f>VLOOKUP(B712,'Data Angt'!$A$5:$B$5809,2,FALSE)</f>
        <v>A4994</v>
      </c>
      <c r="D712" s="137" t="s">
        <v>21807</v>
      </c>
      <c r="E712" s="137" t="s">
        <v>22</v>
      </c>
      <c r="F712" s="137">
        <v>81296943782</v>
      </c>
      <c r="G712" s="137" t="s">
        <v>213</v>
      </c>
      <c r="H712" s="138">
        <v>45588</v>
      </c>
      <c r="I712" s="139" t="s">
        <v>384</v>
      </c>
      <c r="J712" s="137" t="s">
        <v>21808</v>
      </c>
      <c r="K712" s="137">
        <v>27</v>
      </c>
      <c r="L712" s="133" t="str">
        <f t="shared" si="11"/>
        <v>006</v>
      </c>
    </row>
    <row r="713" spans="1:12" x14ac:dyDescent="0.3">
      <c r="A713" s="136">
        <v>709</v>
      </c>
      <c r="B713" s="137" t="s">
        <v>21809</v>
      </c>
      <c r="C713" s="10" t="e">
        <f>VLOOKUP(B713,'Data Angt'!$A$5:$B$5809,2,FALSE)</f>
        <v>#N/A</v>
      </c>
      <c r="D713" s="137" t="s">
        <v>21810</v>
      </c>
      <c r="E713" s="137" t="s">
        <v>11</v>
      </c>
      <c r="F713" s="137">
        <v>85236813040</v>
      </c>
      <c r="G713" s="137" t="s">
        <v>16</v>
      </c>
      <c r="H713" s="138">
        <v>45588</v>
      </c>
      <c r="I713" s="138">
        <v>45826</v>
      </c>
      <c r="J713" s="137" t="s">
        <v>21811</v>
      </c>
      <c r="K713" s="137">
        <v>59</v>
      </c>
      <c r="L713" s="133" t="str">
        <f t="shared" si="11"/>
        <v>003</v>
      </c>
    </row>
    <row r="714" spans="1:12" x14ac:dyDescent="0.3">
      <c r="A714" s="136">
        <v>710</v>
      </c>
      <c r="B714" s="137" t="s">
        <v>13888</v>
      </c>
      <c r="C714" s="10" t="str">
        <f>VLOOKUP(B714,'Data Angt'!$A$5:$B$5809,2,FALSE)</f>
        <v>A4995</v>
      </c>
      <c r="D714" s="137" t="s">
        <v>21812</v>
      </c>
      <c r="E714" s="137" t="s">
        <v>22</v>
      </c>
      <c r="F714" s="137">
        <v>85717476481</v>
      </c>
      <c r="G714" s="137" t="s">
        <v>109</v>
      </c>
      <c r="H714" s="138">
        <v>45591</v>
      </c>
      <c r="I714" s="139" t="s">
        <v>384</v>
      </c>
      <c r="J714" s="137" t="s">
        <v>20255</v>
      </c>
      <c r="K714" s="137">
        <v>42</v>
      </c>
      <c r="L714" s="133" t="str">
        <f t="shared" si="11"/>
        <v>001</v>
      </c>
    </row>
    <row r="715" spans="1:12" x14ac:dyDescent="0.3">
      <c r="A715" s="136">
        <v>711</v>
      </c>
      <c r="B715" s="137" t="s">
        <v>13889</v>
      </c>
      <c r="C715" s="10" t="e">
        <f>VLOOKUP(B715,'Data Angt'!$A$5:$B$5809,2,FALSE)</f>
        <v>#N/A</v>
      </c>
      <c r="D715" s="137" t="s">
        <v>21813</v>
      </c>
      <c r="E715" s="137" t="s">
        <v>11</v>
      </c>
      <c r="F715" s="137">
        <v>82140094600</v>
      </c>
      <c r="G715" s="137" t="s">
        <v>13</v>
      </c>
      <c r="H715" s="138">
        <v>45591</v>
      </c>
      <c r="I715" s="138">
        <v>45869</v>
      </c>
      <c r="J715" s="137" t="s">
        <v>21814</v>
      </c>
      <c r="K715" s="137">
        <v>61</v>
      </c>
      <c r="L715" s="133" t="str">
        <f t="shared" si="11"/>
        <v>003</v>
      </c>
    </row>
    <row r="716" spans="1:12" x14ac:dyDescent="0.3">
      <c r="A716" s="136">
        <v>712</v>
      </c>
      <c r="B716" s="137" t="s">
        <v>13890</v>
      </c>
      <c r="C716" s="10" t="str">
        <f>VLOOKUP(B716,'Data Angt'!$A$5:$B$5809,2,FALSE)</f>
        <v>A4996</v>
      </c>
      <c r="D716" s="137" t="s">
        <v>21815</v>
      </c>
      <c r="E716" s="137" t="s">
        <v>22</v>
      </c>
      <c r="F716" s="137">
        <v>81231122367</v>
      </c>
      <c r="G716" s="137" t="s">
        <v>46</v>
      </c>
      <c r="H716" s="138">
        <v>45591</v>
      </c>
      <c r="I716" s="139" t="s">
        <v>384</v>
      </c>
      <c r="J716" s="137" t="s">
        <v>21816</v>
      </c>
      <c r="K716" s="137">
        <v>53</v>
      </c>
      <c r="L716" s="133" t="str">
        <f t="shared" si="11"/>
        <v>003</v>
      </c>
    </row>
    <row r="717" spans="1:12" x14ac:dyDescent="0.3">
      <c r="A717" s="136">
        <v>713</v>
      </c>
      <c r="B717" s="137" t="s">
        <v>13893</v>
      </c>
      <c r="C717" s="10" t="str">
        <f>VLOOKUP(B717,'Data Angt'!$A$5:$B$5809,2,FALSE)</f>
        <v>A4997</v>
      </c>
      <c r="D717" s="137" t="s">
        <v>21817</v>
      </c>
      <c r="E717" s="137" t="s">
        <v>22</v>
      </c>
      <c r="F717" s="137">
        <v>81357529057</v>
      </c>
      <c r="G717" s="137" t="s">
        <v>5098</v>
      </c>
      <c r="H717" s="138">
        <v>45591</v>
      </c>
      <c r="I717" s="139" t="s">
        <v>384</v>
      </c>
      <c r="J717" s="137" t="s">
        <v>21818</v>
      </c>
      <c r="K717" s="137">
        <v>50</v>
      </c>
      <c r="L717" s="133" t="str">
        <f t="shared" si="11"/>
        <v>004</v>
      </c>
    </row>
    <row r="718" spans="1:12" x14ac:dyDescent="0.3">
      <c r="A718" s="136">
        <v>714</v>
      </c>
      <c r="B718" s="137" t="s">
        <v>13895</v>
      </c>
      <c r="C718" s="10" t="str">
        <f>VLOOKUP(B718,'Data Angt'!$A$5:$B$5809,2,FALSE)</f>
        <v>A4998</v>
      </c>
      <c r="D718" s="137" t="s">
        <v>21819</v>
      </c>
      <c r="E718" s="137" t="s">
        <v>22</v>
      </c>
      <c r="F718" s="137">
        <v>85236240989</v>
      </c>
      <c r="G718" s="137" t="s">
        <v>109</v>
      </c>
      <c r="H718" s="138">
        <v>45593</v>
      </c>
      <c r="I718" s="139" t="s">
        <v>384</v>
      </c>
      <c r="J718" s="137" t="s">
        <v>21820</v>
      </c>
      <c r="K718" s="137">
        <v>39</v>
      </c>
      <c r="L718" s="133" t="str">
        <f t="shared" si="11"/>
        <v>003</v>
      </c>
    </row>
    <row r="719" spans="1:12" x14ac:dyDescent="0.3">
      <c r="A719" s="136">
        <v>715</v>
      </c>
      <c r="B719" s="137" t="s">
        <v>21821</v>
      </c>
      <c r="C719" s="10" t="e">
        <f>VLOOKUP(B719,'Data Angt'!$A$5:$B$5809,2,FALSE)</f>
        <v>#N/A</v>
      </c>
      <c r="D719" s="137" t="s">
        <v>21822</v>
      </c>
      <c r="E719" s="137" t="s">
        <v>22</v>
      </c>
      <c r="F719" s="137">
        <v>82332088881</v>
      </c>
      <c r="G719" s="137" t="s">
        <v>31</v>
      </c>
      <c r="H719" s="138">
        <v>45594</v>
      </c>
      <c r="I719" s="138">
        <v>45918</v>
      </c>
      <c r="J719" s="137" t="s">
        <v>21823</v>
      </c>
      <c r="K719" s="137">
        <v>39</v>
      </c>
      <c r="L719" s="133" t="str">
        <f t="shared" si="11"/>
        <v>003</v>
      </c>
    </row>
    <row r="720" spans="1:12" x14ac:dyDescent="0.3">
      <c r="A720" s="136">
        <v>716</v>
      </c>
      <c r="B720" s="137" t="s">
        <v>13897</v>
      </c>
      <c r="C720" s="10" t="str">
        <f>VLOOKUP(B720,'Data Angt'!$A$5:$B$5809,2,FALSE)</f>
        <v>A4999</v>
      </c>
      <c r="D720" s="137" t="s">
        <v>21824</v>
      </c>
      <c r="E720" s="137" t="s">
        <v>22</v>
      </c>
      <c r="F720" s="137">
        <v>82331029622</v>
      </c>
      <c r="G720" s="137" t="s">
        <v>370</v>
      </c>
      <c r="H720" s="138">
        <v>45594</v>
      </c>
      <c r="I720" s="139" t="s">
        <v>384</v>
      </c>
      <c r="J720" s="137" t="s">
        <v>21825</v>
      </c>
      <c r="K720" s="137">
        <v>46</v>
      </c>
      <c r="L720" s="133" t="str">
        <f t="shared" si="11"/>
        <v>004</v>
      </c>
    </row>
    <row r="721" spans="1:12" x14ac:dyDescent="0.3">
      <c r="A721" s="136">
        <v>717</v>
      </c>
      <c r="B721" s="137" t="s">
        <v>13900</v>
      </c>
      <c r="C721" s="10" t="str">
        <f>VLOOKUP(B721,'Data Angt'!$A$5:$B$5809,2,FALSE)</f>
        <v>A5000</v>
      </c>
      <c r="D721" s="137" t="s">
        <v>21826</v>
      </c>
      <c r="E721" s="137" t="s">
        <v>22</v>
      </c>
      <c r="F721" s="137">
        <v>83114860288</v>
      </c>
      <c r="G721" s="137" t="s">
        <v>370</v>
      </c>
      <c r="H721" s="138">
        <v>45594</v>
      </c>
      <c r="I721" s="139" t="s">
        <v>384</v>
      </c>
      <c r="J721" s="137" t="s">
        <v>19597</v>
      </c>
      <c r="K721" s="137">
        <v>58</v>
      </c>
      <c r="L721" s="133" t="str">
        <f t="shared" si="11"/>
        <v>004</v>
      </c>
    </row>
    <row r="722" spans="1:12" x14ac:dyDescent="0.3">
      <c r="A722" s="136">
        <v>718</v>
      </c>
      <c r="B722" s="137" t="s">
        <v>21827</v>
      </c>
      <c r="C722" s="10" t="e">
        <f>VLOOKUP(B722,'Data Angt'!$A$5:$B$5809,2,FALSE)</f>
        <v>#N/A</v>
      </c>
      <c r="D722" s="137" t="s">
        <v>21828</v>
      </c>
      <c r="E722" s="137" t="s">
        <v>22</v>
      </c>
      <c r="F722" s="137">
        <v>85150608507</v>
      </c>
      <c r="G722" s="137" t="s">
        <v>46</v>
      </c>
      <c r="H722" s="138">
        <v>45595</v>
      </c>
      <c r="I722" s="138">
        <v>45808</v>
      </c>
      <c r="J722" s="137" t="s">
        <v>19597</v>
      </c>
      <c r="K722" s="137">
        <v>29</v>
      </c>
      <c r="L722" s="133" t="str">
        <f t="shared" si="11"/>
        <v>004</v>
      </c>
    </row>
    <row r="723" spans="1:12" x14ac:dyDescent="0.3">
      <c r="A723" s="136">
        <v>719</v>
      </c>
      <c r="B723" s="137" t="s">
        <v>13903</v>
      </c>
      <c r="C723" s="10" t="str">
        <f>VLOOKUP(B723,'Data Angt'!$A$5:$B$5809,2,FALSE)</f>
        <v>A5001</v>
      </c>
      <c r="D723" s="137" t="s">
        <v>21829</v>
      </c>
      <c r="E723" s="137" t="s">
        <v>11</v>
      </c>
      <c r="F723" s="137">
        <v>83877975387</v>
      </c>
      <c r="G723" s="137" t="s">
        <v>370</v>
      </c>
      <c r="H723" s="138">
        <v>45595</v>
      </c>
      <c r="I723" s="139" t="s">
        <v>384</v>
      </c>
      <c r="J723" s="137" t="s">
        <v>19704</v>
      </c>
      <c r="K723" s="137">
        <v>30</v>
      </c>
      <c r="L723" s="133" t="str">
        <f t="shared" si="11"/>
        <v>004</v>
      </c>
    </row>
    <row r="724" spans="1:12" x14ac:dyDescent="0.3">
      <c r="A724" s="136">
        <v>720</v>
      </c>
      <c r="B724" s="137" t="s">
        <v>13906</v>
      </c>
      <c r="C724" s="10" t="str">
        <f>VLOOKUP(B724,'Data Angt'!$A$5:$B$5809,2,FALSE)</f>
        <v>A5002</v>
      </c>
      <c r="D724" s="137" t="s">
        <v>21830</v>
      </c>
      <c r="E724" s="137" t="s">
        <v>22</v>
      </c>
      <c r="F724" s="137">
        <v>85738580930</v>
      </c>
      <c r="G724" s="137" t="s">
        <v>46</v>
      </c>
      <c r="H724" s="138">
        <v>45595</v>
      </c>
      <c r="I724" s="139" t="s">
        <v>384</v>
      </c>
      <c r="J724" s="137" t="s">
        <v>19704</v>
      </c>
      <c r="K724" s="137">
        <v>20</v>
      </c>
      <c r="L724" s="133" t="str">
        <f t="shared" si="11"/>
        <v>004</v>
      </c>
    </row>
    <row r="725" spans="1:12" x14ac:dyDescent="0.3">
      <c r="A725" s="136">
        <v>721</v>
      </c>
      <c r="B725" s="137" t="s">
        <v>13909</v>
      </c>
      <c r="C725" s="10" t="str">
        <f>VLOOKUP(B725,'Data Angt'!$A$5:$B$5809,2,FALSE)</f>
        <v>A5003</v>
      </c>
      <c r="D725" s="137" t="s">
        <v>21831</v>
      </c>
      <c r="E725" s="137" t="s">
        <v>22</v>
      </c>
      <c r="F725" s="137">
        <v>82229441068</v>
      </c>
      <c r="G725" s="137" t="s">
        <v>46</v>
      </c>
      <c r="H725" s="138">
        <v>45596</v>
      </c>
      <c r="I725" s="139" t="s">
        <v>384</v>
      </c>
      <c r="J725" s="137" t="s">
        <v>21832</v>
      </c>
      <c r="K725" s="137">
        <v>56</v>
      </c>
      <c r="L725" s="133" t="str">
        <f t="shared" si="11"/>
        <v>001</v>
      </c>
    </row>
    <row r="726" spans="1:12" x14ac:dyDescent="0.3">
      <c r="A726" s="136">
        <v>722</v>
      </c>
      <c r="B726" s="137" t="s">
        <v>13911</v>
      </c>
      <c r="C726" s="10" t="str">
        <f>VLOOKUP(B726,'Data Angt'!$A$5:$B$5809,2,FALSE)</f>
        <v>A5004</v>
      </c>
      <c r="D726" s="137" t="s">
        <v>21833</v>
      </c>
      <c r="E726" s="137" t="s">
        <v>22</v>
      </c>
      <c r="F726" s="137">
        <v>81359108116</v>
      </c>
      <c r="G726" s="137" t="s">
        <v>172</v>
      </c>
      <c r="H726" s="138">
        <v>45596</v>
      </c>
      <c r="I726" s="139" t="s">
        <v>384</v>
      </c>
      <c r="J726" s="137" t="s">
        <v>21834</v>
      </c>
      <c r="K726" s="137">
        <v>44</v>
      </c>
      <c r="L726" s="133" t="str">
        <f t="shared" si="11"/>
        <v>003</v>
      </c>
    </row>
    <row r="727" spans="1:12" x14ac:dyDescent="0.3">
      <c r="A727" s="136">
        <v>723</v>
      </c>
      <c r="B727" s="137" t="s">
        <v>13913</v>
      </c>
      <c r="C727" s="10" t="str">
        <f>VLOOKUP(B727,'Data Angt'!$A$5:$B$5809,2,FALSE)</f>
        <v>A5005</v>
      </c>
      <c r="D727" s="137" t="s">
        <v>21835</v>
      </c>
      <c r="E727" s="137" t="s">
        <v>22</v>
      </c>
      <c r="F727" s="137">
        <v>83834149121</v>
      </c>
      <c r="G727" s="137" t="s">
        <v>370</v>
      </c>
      <c r="H727" s="138">
        <v>45596</v>
      </c>
      <c r="I727" s="139" t="s">
        <v>384</v>
      </c>
      <c r="J727" s="137" t="s">
        <v>21836</v>
      </c>
      <c r="K727" s="137">
        <v>43</v>
      </c>
      <c r="L727" s="133" t="str">
        <f t="shared" si="11"/>
        <v>006</v>
      </c>
    </row>
    <row r="728" spans="1:12" x14ac:dyDescent="0.3">
      <c r="A728" s="136">
        <v>724</v>
      </c>
      <c r="B728" s="137" t="s">
        <v>13916</v>
      </c>
      <c r="C728" s="10" t="str">
        <f>VLOOKUP(B728,'Data Angt'!$A$5:$B$5809,2,FALSE)</f>
        <v>A5006</v>
      </c>
      <c r="D728" s="137" t="s">
        <v>21837</v>
      </c>
      <c r="E728" s="137" t="s">
        <v>22</v>
      </c>
      <c r="F728" s="137">
        <v>81215534501</v>
      </c>
      <c r="G728" s="137" t="s">
        <v>109</v>
      </c>
      <c r="H728" s="138">
        <v>45596</v>
      </c>
      <c r="I728" s="139" t="s">
        <v>384</v>
      </c>
      <c r="J728" s="137" t="s">
        <v>21838</v>
      </c>
      <c r="K728" s="137">
        <v>52</v>
      </c>
      <c r="L728" s="133" t="str">
        <f t="shared" si="11"/>
        <v>006</v>
      </c>
    </row>
    <row r="729" spans="1:12" x14ac:dyDescent="0.3">
      <c r="A729" s="136">
        <v>725</v>
      </c>
      <c r="B729" s="137" t="s">
        <v>13917</v>
      </c>
      <c r="C729" s="10" t="str">
        <f>VLOOKUP(B729,'Data Angt'!$A$5:$B$5809,2,FALSE)</f>
        <v>A5007</v>
      </c>
      <c r="D729" s="137" t="s">
        <v>21839</v>
      </c>
      <c r="E729" s="137" t="s">
        <v>22</v>
      </c>
      <c r="F729" s="137">
        <v>85232097910</v>
      </c>
      <c r="G729" s="137" t="s">
        <v>46</v>
      </c>
      <c r="H729" s="138">
        <v>45597</v>
      </c>
      <c r="I729" s="139" t="s">
        <v>384</v>
      </c>
      <c r="J729" s="137" t="s">
        <v>21840</v>
      </c>
      <c r="K729" s="137">
        <v>38</v>
      </c>
      <c r="L729" s="133" t="str">
        <f t="shared" si="11"/>
        <v>001</v>
      </c>
    </row>
    <row r="730" spans="1:12" x14ac:dyDescent="0.3">
      <c r="A730" s="136">
        <v>726</v>
      </c>
      <c r="B730" s="137" t="s">
        <v>13920</v>
      </c>
      <c r="C730" s="10" t="str">
        <f>VLOOKUP(B730,'Data Angt'!$A$5:$B$5809,2,FALSE)</f>
        <v>A5008</v>
      </c>
      <c r="D730" s="137" t="s">
        <v>21841</v>
      </c>
      <c r="E730" s="137" t="s">
        <v>22</v>
      </c>
      <c r="F730" s="137">
        <v>85649584282</v>
      </c>
      <c r="G730" s="137" t="s">
        <v>109</v>
      </c>
      <c r="H730" s="138">
        <v>45597</v>
      </c>
      <c r="I730" s="139" t="s">
        <v>384</v>
      </c>
      <c r="J730" s="137" t="s">
        <v>21842</v>
      </c>
      <c r="K730" s="137">
        <v>41</v>
      </c>
      <c r="L730" s="133" t="str">
        <f t="shared" si="11"/>
        <v>004</v>
      </c>
    </row>
    <row r="731" spans="1:12" x14ac:dyDescent="0.3">
      <c r="A731" s="136">
        <v>727</v>
      </c>
      <c r="B731" s="137" t="s">
        <v>13923</v>
      </c>
      <c r="C731" s="10" t="str">
        <f>VLOOKUP(B731,'Data Angt'!$A$5:$B$5809,2,FALSE)</f>
        <v>A5009</v>
      </c>
      <c r="D731" s="137" t="s">
        <v>21843</v>
      </c>
      <c r="E731" s="137" t="s">
        <v>11</v>
      </c>
      <c r="F731" s="137">
        <v>85179554959</v>
      </c>
      <c r="G731" s="137" t="s">
        <v>109</v>
      </c>
      <c r="H731" s="138">
        <v>45597</v>
      </c>
      <c r="I731" s="139" t="s">
        <v>384</v>
      </c>
      <c r="J731" s="137" t="s">
        <v>19704</v>
      </c>
      <c r="K731" s="137">
        <v>28</v>
      </c>
      <c r="L731" s="133" t="str">
        <f t="shared" si="11"/>
        <v>004</v>
      </c>
    </row>
    <row r="732" spans="1:12" x14ac:dyDescent="0.3">
      <c r="A732" s="136">
        <v>728</v>
      </c>
      <c r="B732" s="137" t="s">
        <v>13926</v>
      </c>
      <c r="C732" s="10" t="str">
        <f>VLOOKUP(B732,'Data Angt'!$A$5:$B$5809,2,FALSE)</f>
        <v>A5010</v>
      </c>
      <c r="D732" s="137" t="s">
        <v>21844</v>
      </c>
      <c r="E732" s="137" t="s">
        <v>11</v>
      </c>
      <c r="F732" s="137">
        <v>85855641610</v>
      </c>
      <c r="G732" s="137" t="s">
        <v>109</v>
      </c>
      <c r="H732" s="138">
        <v>45597</v>
      </c>
      <c r="I732" s="139" t="s">
        <v>384</v>
      </c>
      <c r="J732" s="137" t="s">
        <v>21845</v>
      </c>
      <c r="K732" s="137">
        <v>34</v>
      </c>
      <c r="L732" s="133" t="str">
        <f t="shared" si="11"/>
        <v>002</v>
      </c>
    </row>
    <row r="733" spans="1:12" x14ac:dyDescent="0.3">
      <c r="A733" s="136">
        <v>729</v>
      </c>
      <c r="B733" s="137" t="s">
        <v>13927</v>
      </c>
      <c r="C733" s="10" t="str">
        <f>VLOOKUP(B733,'Data Angt'!$A$5:$B$5809,2,FALSE)</f>
        <v>A5011</v>
      </c>
      <c r="D733" s="137" t="s">
        <v>21846</v>
      </c>
      <c r="E733" s="137" t="s">
        <v>11</v>
      </c>
      <c r="F733" s="137">
        <v>83875967686</v>
      </c>
      <c r="G733" s="137" t="s">
        <v>46</v>
      </c>
      <c r="H733" s="138">
        <v>45597</v>
      </c>
      <c r="I733" s="139" t="s">
        <v>384</v>
      </c>
      <c r="J733" s="137" t="s">
        <v>21847</v>
      </c>
      <c r="K733" s="137">
        <v>47</v>
      </c>
      <c r="L733" s="133" t="str">
        <f t="shared" si="11"/>
        <v>001</v>
      </c>
    </row>
    <row r="734" spans="1:12" x14ac:dyDescent="0.3">
      <c r="A734" s="136">
        <v>730</v>
      </c>
      <c r="B734" s="137" t="s">
        <v>13929</v>
      </c>
      <c r="C734" s="10" t="str">
        <f>VLOOKUP(B734,'Data Angt'!$A$5:$B$5809,2,FALSE)</f>
        <v>A5012</v>
      </c>
      <c r="D734" s="137" t="s">
        <v>21848</v>
      </c>
      <c r="E734" s="137" t="s">
        <v>22</v>
      </c>
      <c r="F734" s="137">
        <v>82140133397</v>
      </c>
      <c r="G734" s="137" t="s">
        <v>2418</v>
      </c>
      <c r="H734" s="138">
        <v>45598</v>
      </c>
      <c r="I734" s="139" t="s">
        <v>384</v>
      </c>
      <c r="J734" s="137" t="s">
        <v>21849</v>
      </c>
      <c r="K734" s="137">
        <v>44</v>
      </c>
      <c r="L734" s="133" t="str">
        <f t="shared" si="11"/>
        <v>001</v>
      </c>
    </row>
    <row r="735" spans="1:12" x14ac:dyDescent="0.3">
      <c r="A735" s="136">
        <v>731</v>
      </c>
      <c r="B735" s="137" t="s">
        <v>13932</v>
      </c>
      <c r="C735" s="10" t="str">
        <f>VLOOKUP(B735,'Data Angt'!$A$5:$B$5809,2,FALSE)</f>
        <v>A5013</v>
      </c>
      <c r="D735" s="137" t="s">
        <v>21850</v>
      </c>
      <c r="E735" s="137" t="s">
        <v>22</v>
      </c>
      <c r="F735" s="137">
        <v>81336348436</v>
      </c>
      <c r="G735" s="137" t="s">
        <v>31</v>
      </c>
      <c r="H735" s="138">
        <v>45598</v>
      </c>
      <c r="I735" s="139" t="s">
        <v>384</v>
      </c>
      <c r="J735" s="137" t="s">
        <v>21851</v>
      </c>
      <c r="K735" s="137">
        <v>37</v>
      </c>
      <c r="L735" s="133" t="str">
        <f t="shared" si="11"/>
        <v>003</v>
      </c>
    </row>
    <row r="736" spans="1:12" x14ac:dyDescent="0.3">
      <c r="A736" s="136">
        <v>732</v>
      </c>
      <c r="B736" s="137" t="s">
        <v>13934</v>
      </c>
      <c r="C736" s="10" t="str">
        <f>VLOOKUP(B736,'Data Angt'!$A$5:$B$5809,2,FALSE)</f>
        <v>A5014</v>
      </c>
      <c r="D736" s="137" t="s">
        <v>21852</v>
      </c>
      <c r="E736" s="137" t="s">
        <v>22</v>
      </c>
      <c r="F736" s="137">
        <v>895334137043</v>
      </c>
      <c r="G736" s="137" t="s">
        <v>109</v>
      </c>
      <c r="H736" s="138">
        <v>45598</v>
      </c>
      <c r="I736" s="139" t="s">
        <v>384</v>
      </c>
      <c r="J736" s="137" t="s">
        <v>21853</v>
      </c>
      <c r="K736" s="137">
        <v>36</v>
      </c>
      <c r="L736" s="133" t="str">
        <f t="shared" si="11"/>
        <v>001</v>
      </c>
    </row>
    <row r="737" spans="1:12" x14ac:dyDescent="0.3">
      <c r="A737" s="136">
        <v>733</v>
      </c>
      <c r="B737" s="137" t="s">
        <v>21854</v>
      </c>
      <c r="C737" s="10" t="e">
        <f>VLOOKUP(B737,'Data Angt'!$A$5:$B$5809,2,FALSE)</f>
        <v>#N/A</v>
      </c>
      <c r="D737" s="137" t="s">
        <v>21855</v>
      </c>
      <c r="E737" s="137" t="s">
        <v>11</v>
      </c>
      <c r="F737" s="137">
        <v>82245133997</v>
      </c>
      <c r="G737" s="137" t="s">
        <v>46</v>
      </c>
      <c r="H737" s="138">
        <v>45600</v>
      </c>
      <c r="I737" s="138">
        <v>45870</v>
      </c>
      <c r="J737" s="137" t="s">
        <v>21856</v>
      </c>
      <c r="K737" s="137">
        <v>40</v>
      </c>
      <c r="L737" s="133" t="str">
        <f t="shared" si="11"/>
        <v>001</v>
      </c>
    </row>
    <row r="738" spans="1:12" x14ac:dyDescent="0.3">
      <c r="A738" s="136">
        <v>734</v>
      </c>
      <c r="B738" s="137" t="s">
        <v>13936</v>
      </c>
      <c r="C738" s="10" t="str">
        <f>VLOOKUP(B738,'Data Angt'!$A$5:$B$5809,2,FALSE)</f>
        <v>A5015</v>
      </c>
      <c r="D738" s="137" t="s">
        <v>21857</v>
      </c>
      <c r="E738" s="137" t="s">
        <v>11</v>
      </c>
      <c r="F738" s="137">
        <v>83872532481</v>
      </c>
      <c r="G738" s="137" t="s">
        <v>337</v>
      </c>
      <c r="H738" s="138">
        <v>45600</v>
      </c>
      <c r="I738" s="139" t="s">
        <v>384</v>
      </c>
      <c r="J738" s="137" t="s">
        <v>21858</v>
      </c>
      <c r="K738" s="137">
        <v>19</v>
      </c>
      <c r="L738" s="133" t="str">
        <f t="shared" si="11"/>
        <v>002</v>
      </c>
    </row>
    <row r="739" spans="1:12" x14ac:dyDescent="0.3">
      <c r="A739" s="136">
        <v>735</v>
      </c>
      <c r="B739" s="137" t="s">
        <v>13938</v>
      </c>
      <c r="C739" s="10" t="str">
        <f>VLOOKUP(B739,'Data Angt'!$A$5:$B$5809,2,FALSE)</f>
        <v>A5016</v>
      </c>
      <c r="D739" s="137" t="s">
        <v>21859</v>
      </c>
      <c r="E739" s="137" t="s">
        <v>22</v>
      </c>
      <c r="F739" s="137">
        <v>81615521545</v>
      </c>
      <c r="G739" s="137" t="s">
        <v>31</v>
      </c>
      <c r="H739" s="138">
        <v>45600</v>
      </c>
      <c r="I739" s="139" t="s">
        <v>384</v>
      </c>
      <c r="J739" s="137" t="s">
        <v>21860</v>
      </c>
      <c r="K739" s="137">
        <v>47</v>
      </c>
      <c r="L739" s="133" t="str">
        <f t="shared" si="11"/>
        <v>001</v>
      </c>
    </row>
    <row r="740" spans="1:12" x14ac:dyDescent="0.3">
      <c r="A740" s="136">
        <v>736</v>
      </c>
      <c r="B740" s="137" t="s">
        <v>13939</v>
      </c>
      <c r="C740" s="10" t="str">
        <f>VLOOKUP(B740,'Data Angt'!$A$5:$B$5809,2,FALSE)</f>
        <v>A5017</v>
      </c>
      <c r="D740" s="137" t="s">
        <v>21861</v>
      </c>
      <c r="E740" s="137" t="s">
        <v>22</v>
      </c>
      <c r="F740" s="137">
        <v>81235826934</v>
      </c>
      <c r="G740" s="137" t="s">
        <v>1439</v>
      </c>
      <c r="H740" s="138">
        <v>45600</v>
      </c>
      <c r="I740" s="139" t="s">
        <v>384</v>
      </c>
      <c r="J740" s="137" t="s">
        <v>21862</v>
      </c>
      <c r="K740" s="137">
        <v>26</v>
      </c>
      <c r="L740" s="133" t="str">
        <f t="shared" si="11"/>
        <v>004</v>
      </c>
    </row>
    <row r="741" spans="1:12" x14ac:dyDescent="0.3">
      <c r="A741" s="136">
        <v>737</v>
      </c>
      <c r="B741" s="137" t="s">
        <v>13941</v>
      </c>
      <c r="C741" s="10" t="str">
        <f>VLOOKUP(B741,'Data Angt'!$A$5:$B$5809,2,FALSE)</f>
        <v>A5018</v>
      </c>
      <c r="D741" s="137" t="s">
        <v>21863</v>
      </c>
      <c r="E741" s="137" t="s">
        <v>22</v>
      </c>
      <c r="F741" s="137">
        <v>2000000000025</v>
      </c>
      <c r="G741" s="137" t="s">
        <v>31</v>
      </c>
      <c r="H741" s="138">
        <v>45600</v>
      </c>
      <c r="I741" s="139" t="s">
        <v>384</v>
      </c>
      <c r="J741" s="137" t="s">
        <v>21791</v>
      </c>
      <c r="K741" s="137">
        <v>48</v>
      </c>
      <c r="L741" s="133" t="str">
        <f t="shared" si="11"/>
        <v>001</v>
      </c>
    </row>
    <row r="742" spans="1:12" x14ac:dyDescent="0.3">
      <c r="A742" s="136">
        <v>738</v>
      </c>
      <c r="B742" s="137" t="s">
        <v>13942</v>
      </c>
      <c r="C742" s="10" t="str">
        <f>VLOOKUP(B742,'Data Angt'!$A$5:$B$5809,2,FALSE)</f>
        <v>A5019</v>
      </c>
      <c r="D742" s="137" t="s">
        <v>21864</v>
      </c>
      <c r="E742" s="137" t="s">
        <v>22</v>
      </c>
      <c r="F742" s="137">
        <v>85257607062</v>
      </c>
      <c r="G742" s="137" t="s">
        <v>16</v>
      </c>
      <c r="H742" s="138">
        <v>45600</v>
      </c>
      <c r="I742" s="139" t="s">
        <v>384</v>
      </c>
      <c r="J742" s="137" t="s">
        <v>21865</v>
      </c>
      <c r="K742" s="137">
        <v>53</v>
      </c>
      <c r="L742" s="133" t="str">
        <f t="shared" si="11"/>
        <v>001</v>
      </c>
    </row>
    <row r="743" spans="1:12" x14ac:dyDescent="0.3">
      <c r="A743" s="136">
        <v>739</v>
      </c>
      <c r="B743" s="137" t="s">
        <v>13945</v>
      </c>
      <c r="C743" s="10" t="str">
        <f>VLOOKUP(B743,'Data Angt'!$A$5:$B$5809,2,FALSE)</f>
        <v>A5020</v>
      </c>
      <c r="D743" s="137" t="s">
        <v>21866</v>
      </c>
      <c r="E743" s="137" t="s">
        <v>22</v>
      </c>
      <c r="F743" s="137">
        <v>85230701231</v>
      </c>
      <c r="G743" s="137" t="s">
        <v>46</v>
      </c>
      <c r="H743" s="138">
        <v>45600</v>
      </c>
      <c r="I743" s="139" t="s">
        <v>384</v>
      </c>
      <c r="J743" s="137" t="s">
        <v>21791</v>
      </c>
      <c r="K743" s="137">
        <v>35</v>
      </c>
      <c r="L743" s="133" t="str">
        <f t="shared" si="11"/>
        <v>001</v>
      </c>
    </row>
    <row r="744" spans="1:12" x14ac:dyDescent="0.3">
      <c r="A744" s="136">
        <v>740</v>
      </c>
      <c r="B744" s="137" t="s">
        <v>13948</v>
      </c>
      <c r="C744" s="10" t="str">
        <f>VLOOKUP(B744,'Data Angt'!$A$5:$B$5809,2,FALSE)</f>
        <v>A5021</v>
      </c>
      <c r="D744" s="137" t="s">
        <v>21867</v>
      </c>
      <c r="E744" s="137" t="s">
        <v>22</v>
      </c>
      <c r="F744" s="137">
        <v>82232956520</v>
      </c>
      <c r="G744" s="137" t="s">
        <v>46</v>
      </c>
      <c r="H744" s="138">
        <v>45600</v>
      </c>
      <c r="I744" s="139" t="s">
        <v>384</v>
      </c>
      <c r="J744" s="137" t="s">
        <v>21791</v>
      </c>
      <c r="K744" s="137">
        <v>34</v>
      </c>
      <c r="L744" s="133" t="str">
        <f t="shared" si="11"/>
        <v>001</v>
      </c>
    </row>
    <row r="745" spans="1:12" x14ac:dyDescent="0.3">
      <c r="A745" s="136">
        <v>741</v>
      </c>
      <c r="B745" s="137" t="s">
        <v>21868</v>
      </c>
      <c r="C745" s="10" t="e">
        <f>VLOOKUP(B745,'Data Angt'!$A$5:$B$5809,2,FALSE)</f>
        <v>#N/A</v>
      </c>
      <c r="D745" s="137" t="s">
        <v>21869</v>
      </c>
      <c r="E745" s="137" t="s">
        <v>22</v>
      </c>
      <c r="F745" s="137">
        <v>8988964937</v>
      </c>
      <c r="G745" s="137" t="s">
        <v>31</v>
      </c>
      <c r="H745" s="138">
        <v>45601</v>
      </c>
      <c r="I745" s="138">
        <v>45761</v>
      </c>
      <c r="J745" s="137" t="s">
        <v>21870</v>
      </c>
      <c r="K745" s="137">
        <v>25</v>
      </c>
      <c r="L745" s="133" t="str">
        <f t="shared" si="11"/>
        <v>001</v>
      </c>
    </row>
    <row r="746" spans="1:12" x14ac:dyDescent="0.3">
      <c r="A746" s="136">
        <v>742</v>
      </c>
      <c r="B746" s="137" t="s">
        <v>21871</v>
      </c>
      <c r="C746" s="10" t="e">
        <f>VLOOKUP(B746,'Data Angt'!$A$5:$B$5809,2,FALSE)</f>
        <v>#N/A</v>
      </c>
      <c r="D746" s="137" t="s">
        <v>21872</v>
      </c>
      <c r="E746" s="137" t="s">
        <v>22</v>
      </c>
      <c r="F746" s="137">
        <v>8985464090</v>
      </c>
      <c r="G746" s="137" t="s">
        <v>31</v>
      </c>
      <c r="H746" s="138">
        <v>45601</v>
      </c>
      <c r="I746" s="138">
        <v>45761</v>
      </c>
      <c r="J746" s="137" t="s">
        <v>21870</v>
      </c>
      <c r="K746" s="137">
        <v>55</v>
      </c>
      <c r="L746" s="133" t="str">
        <f t="shared" si="11"/>
        <v>001</v>
      </c>
    </row>
    <row r="747" spans="1:12" x14ac:dyDescent="0.3">
      <c r="A747" s="136">
        <v>743</v>
      </c>
      <c r="B747" s="137" t="s">
        <v>13951</v>
      </c>
      <c r="C747" s="10" t="str">
        <f>VLOOKUP(B747,'Data Angt'!$A$5:$B$5809,2,FALSE)</f>
        <v>A5022</v>
      </c>
      <c r="D747" s="137" t="s">
        <v>21873</v>
      </c>
      <c r="E747" s="137" t="s">
        <v>22</v>
      </c>
      <c r="F747" s="137">
        <v>82334567918</v>
      </c>
      <c r="G747" s="137" t="s">
        <v>46</v>
      </c>
      <c r="H747" s="138">
        <v>45601</v>
      </c>
      <c r="I747" s="139" t="s">
        <v>384</v>
      </c>
      <c r="J747" s="137" t="s">
        <v>21870</v>
      </c>
      <c r="K747" s="137">
        <v>48</v>
      </c>
      <c r="L747" s="133" t="str">
        <f t="shared" si="11"/>
        <v>001</v>
      </c>
    </row>
    <row r="748" spans="1:12" x14ac:dyDescent="0.3">
      <c r="A748" s="136">
        <v>744</v>
      </c>
      <c r="B748" s="137" t="s">
        <v>21874</v>
      </c>
      <c r="C748" s="10" t="e">
        <f>VLOOKUP(B748,'Data Angt'!$A$5:$B$5809,2,FALSE)</f>
        <v>#N/A</v>
      </c>
      <c r="D748" s="137" t="s">
        <v>21875</v>
      </c>
      <c r="E748" s="137" t="s">
        <v>22</v>
      </c>
      <c r="F748" s="137">
        <v>9898217897</v>
      </c>
      <c r="G748" s="137" t="s">
        <v>46</v>
      </c>
      <c r="H748" s="138">
        <v>45601</v>
      </c>
      <c r="I748" s="138">
        <v>45761</v>
      </c>
      <c r="J748" s="137" t="s">
        <v>21870</v>
      </c>
      <c r="K748" s="137">
        <v>58</v>
      </c>
      <c r="L748" s="133" t="str">
        <f t="shared" si="11"/>
        <v>001</v>
      </c>
    </row>
    <row r="749" spans="1:12" x14ac:dyDescent="0.3">
      <c r="A749" s="136">
        <v>745</v>
      </c>
      <c r="B749" s="137" t="s">
        <v>13953</v>
      </c>
      <c r="C749" s="10" t="str">
        <f>VLOOKUP(B749,'Data Angt'!$A$5:$B$5809,2,FALSE)</f>
        <v>A5023</v>
      </c>
      <c r="D749" s="137" t="s">
        <v>21876</v>
      </c>
      <c r="E749" s="137" t="s">
        <v>22</v>
      </c>
      <c r="F749" s="137">
        <v>83171491380</v>
      </c>
      <c r="G749" s="137" t="s">
        <v>16</v>
      </c>
      <c r="H749" s="138">
        <v>45601</v>
      </c>
      <c r="I749" s="139" t="s">
        <v>384</v>
      </c>
      <c r="J749" s="137" t="s">
        <v>21870</v>
      </c>
      <c r="K749" s="137">
        <v>19</v>
      </c>
      <c r="L749" s="133" t="str">
        <f t="shared" si="11"/>
        <v>001</v>
      </c>
    </row>
    <row r="750" spans="1:12" x14ac:dyDescent="0.3">
      <c r="A750" s="136">
        <v>746</v>
      </c>
      <c r="B750" s="137" t="s">
        <v>13955</v>
      </c>
      <c r="C750" s="10" t="str">
        <f>VLOOKUP(B750,'Data Angt'!$A$5:$B$5809,2,FALSE)</f>
        <v>A5024</v>
      </c>
      <c r="D750" s="137" t="s">
        <v>21877</v>
      </c>
      <c r="E750" s="137" t="s">
        <v>22</v>
      </c>
      <c r="F750" s="137">
        <v>81249007323</v>
      </c>
      <c r="G750" s="137" t="s">
        <v>31</v>
      </c>
      <c r="H750" s="138">
        <v>45601</v>
      </c>
      <c r="I750" s="139" t="s">
        <v>384</v>
      </c>
      <c r="J750" s="137" t="s">
        <v>21878</v>
      </c>
      <c r="K750" s="137">
        <v>24</v>
      </c>
      <c r="L750" s="133" t="str">
        <f t="shared" si="11"/>
        <v>001</v>
      </c>
    </row>
    <row r="751" spans="1:12" x14ac:dyDescent="0.3">
      <c r="A751" s="136">
        <v>747</v>
      </c>
      <c r="B751" s="137" t="s">
        <v>13957</v>
      </c>
      <c r="C751" s="10" t="str">
        <f>VLOOKUP(B751,'Data Angt'!$A$5:$B$5809,2,FALSE)</f>
        <v>A5025</v>
      </c>
      <c r="D751" s="137" t="s">
        <v>21879</v>
      </c>
      <c r="E751" s="137" t="s">
        <v>22</v>
      </c>
      <c r="F751" s="137">
        <v>85729135490</v>
      </c>
      <c r="G751" s="137" t="s">
        <v>31</v>
      </c>
      <c r="H751" s="138">
        <v>45601</v>
      </c>
      <c r="I751" s="139" t="s">
        <v>384</v>
      </c>
      <c r="J751" s="137" t="s">
        <v>21880</v>
      </c>
      <c r="K751" s="137">
        <v>41</v>
      </c>
      <c r="L751" s="133" t="str">
        <f t="shared" si="11"/>
        <v>001</v>
      </c>
    </row>
    <row r="752" spans="1:12" x14ac:dyDescent="0.3">
      <c r="A752" s="136">
        <v>748</v>
      </c>
      <c r="B752" s="137" t="s">
        <v>13960</v>
      </c>
      <c r="C752" s="10" t="str">
        <f>VLOOKUP(B752,'Data Angt'!$A$5:$B$5809,2,FALSE)</f>
        <v>A5026</v>
      </c>
      <c r="D752" s="137" t="s">
        <v>21881</v>
      </c>
      <c r="E752" s="137" t="s">
        <v>11</v>
      </c>
      <c r="F752" s="137">
        <v>81353317246</v>
      </c>
      <c r="G752" s="137" t="s">
        <v>243</v>
      </c>
      <c r="H752" s="138">
        <v>45601</v>
      </c>
      <c r="I752" s="139" t="s">
        <v>384</v>
      </c>
      <c r="J752" s="137" t="s">
        <v>19772</v>
      </c>
      <c r="K752" s="137">
        <v>16</v>
      </c>
      <c r="L752" s="133" t="str">
        <f t="shared" si="11"/>
        <v>004</v>
      </c>
    </row>
    <row r="753" spans="1:12" x14ac:dyDescent="0.3">
      <c r="A753" s="136">
        <v>749</v>
      </c>
      <c r="B753" s="137" t="s">
        <v>13962</v>
      </c>
      <c r="C753" s="10" t="str">
        <f>VLOOKUP(B753,'Data Angt'!$A$5:$B$5809,2,FALSE)</f>
        <v>A5027</v>
      </c>
      <c r="D753" s="137" t="s">
        <v>21882</v>
      </c>
      <c r="E753" s="137" t="s">
        <v>22</v>
      </c>
      <c r="F753" s="137">
        <v>82338528033</v>
      </c>
      <c r="G753" s="137" t="s">
        <v>109</v>
      </c>
      <c r="H753" s="138">
        <v>45601</v>
      </c>
      <c r="I753" s="139" t="s">
        <v>384</v>
      </c>
      <c r="J753" s="137" t="s">
        <v>19772</v>
      </c>
      <c r="K753" s="137">
        <v>21</v>
      </c>
      <c r="L753" s="133" t="str">
        <f t="shared" si="11"/>
        <v>004</v>
      </c>
    </row>
    <row r="754" spans="1:12" x14ac:dyDescent="0.3">
      <c r="A754" s="136">
        <v>750</v>
      </c>
      <c r="B754" s="137" t="s">
        <v>13965</v>
      </c>
      <c r="C754" s="10" t="str">
        <f>VLOOKUP(B754,'Data Angt'!$A$5:$B$5809,2,FALSE)</f>
        <v>A5028</v>
      </c>
      <c r="D754" s="137" t="s">
        <v>21883</v>
      </c>
      <c r="E754" s="137" t="s">
        <v>11</v>
      </c>
      <c r="F754" s="137">
        <v>85732993715</v>
      </c>
      <c r="G754" s="137" t="s">
        <v>109</v>
      </c>
      <c r="H754" s="138">
        <v>45601</v>
      </c>
      <c r="I754" s="139" t="s">
        <v>384</v>
      </c>
      <c r="J754" s="137" t="s">
        <v>21884</v>
      </c>
      <c r="K754" s="137">
        <v>34</v>
      </c>
      <c r="L754" s="133" t="str">
        <f t="shared" si="11"/>
        <v>003</v>
      </c>
    </row>
    <row r="755" spans="1:12" x14ac:dyDescent="0.3">
      <c r="A755" s="136">
        <v>751</v>
      </c>
      <c r="B755" s="137" t="s">
        <v>13969</v>
      </c>
      <c r="C755" s="10" t="str">
        <f>VLOOKUP(B755,'Data Angt'!$A$5:$B$5809,2,FALSE)</f>
        <v>A5029</v>
      </c>
      <c r="D755" s="137" t="s">
        <v>21885</v>
      </c>
      <c r="E755" s="137" t="s">
        <v>22</v>
      </c>
      <c r="F755" s="137">
        <v>82231010527</v>
      </c>
      <c r="G755" s="137" t="s">
        <v>109</v>
      </c>
      <c r="H755" s="138">
        <v>45601</v>
      </c>
      <c r="I755" s="139" t="s">
        <v>384</v>
      </c>
      <c r="J755" s="137" t="s">
        <v>21886</v>
      </c>
      <c r="K755" s="137">
        <v>29</v>
      </c>
      <c r="L755" s="133" t="str">
        <f t="shared" si="11"/>
        <v>004</v>
      </c>
    </row>
    <row r="756" spans="1:12" x14ac:dyDescent="0.3">
      <c r="A756" s="136">
        <v>752</v>
      </c>
      <c r="B756" s="137" t="s">
        <v>13972</v>
      </c>
      <c r="C756" s="10" t="str">
        <f>VLOOKUP(B756,'Data Angt'!$A$5:$B$5809,2,FALSE)</f>
        <v>A5030</v>
      </c>
      <c r="D756" s="137" t="s">
        <v>21887</v>
      </c>
      <c r="E756" s="137" t="s">
        <v>11</v>
      </c>
      <c r="F756" s="137">
        <v>882009311711</v>
      </c>
      <c r="G756" s="137" t="s">
        <v>46</v>
      </c>
      <c r="H756" s="138">
        <v>45601</v>
      </c>
      <c r="I756" s="139" t="s">
        <v>384</v>
      </c>
      <c r="J756" s="137" t="s">
        <v>21888</v>
      </c>
      <c r="K756" s="137">
        <v>56</v>
      </c>
      <c r="L756" s="133" t="str">
        <f t="shared" si="11"/>
        <v>004</v>
      </c>
    </row>
    <row r="757" spans="1:12" x14ac:dyDescent="0.3">
      <c r="A757" s="136">
        <v>753</v>
      </c>
      <c r="B757" s="137" t="s">
        <v>13975</v>
      </c>
      <c r="C757" s="10" t="str">
        <f>VLOOKUP(B757,'Data Angt'!$A$5:$B$5809,2,FALSE)</f>
        <v>A5031</v>
      </c>
      <c r="D757" s="137" t="s">
        <v>21889</v>
      </c>
      <c r="E757" s="137" t="s">
        <v>11</v>
      </c>
      <c r="F757" s="137">
        <v>85784410060</v>
      </c>
      <c r="G757" s="137" t="s">
        <v>109</v>
      </c>
      <c r="H757" s="138">
        <v>45601</v>
      </c>
      <c r="I757" s="139" t="s">
        <v>384</v>
      </c>
      <c r="J757" s="137" t="s">
        <v>19704</v>
      </c>
      <c r="K757" s="137">
        <v>19</v>
      </c>
      <c r="L757" s="133" t="str">
        <f t="shared" si="11"/>
        <v>004</v>
      </c>
    </row>
    <row r="758" spans="1:12" x14ac:dyDescent="0.3">
      <c r="A758" s="136">
        <v>754</v>
      </c>
      <c r="B758" s="137" t="s">
        <v>13978</v>
      </c>
      <c r="C758" s="10" t="str">
        <f>VLOOKUP(B758,'Data Angt'!$A$5:$B$5809,2,FALSE)</f>
        <v>A5032</v>
      </c>
      <c r="D758" s="137" t="s">
        <v>21890</v>
      </c>
      <c r="E758" s="137" t="s">
        <v>11</v>
      </c>
      <c r="F758" s="137">
        <v>82338624365</v>
      </c>
      <c r="G758" s="137" t="s">
        <v>109</v>
      </c>
      <c r="H758" s="138">
        <v>45602</v>
      </c>
      <c r="I758" s="139" t="s">
        <v>384</v>
      </c>
      <c r="J758" s="137" t="s">
        <v>21891</v>
      </c>
      <c r="K758" s="137">
        <v>47</v>
      </c>
      <c r="L758" s="133" t="str">
        <f t="shared" si="11"/>
        <v>001</v>
      </c>
    </row>
    <row r="759" spans="1:12" x14ac:dyDescent="0.3">
      <c r="A759" s="136">
        <v>755</v>
      </c>
      <c r="B759" s="137" t="s">
        <v>13980</v>
      </c>
      <c r="C759" s="10" t="str">
        <f>VLOOKUP(B759,'Data Angt'!$A$5:$B$5809,2,FALSE)</f>
        <v>A5033</v>
      </c>
      <c r="D759" s="137" t="s">
        <v>21892</v>
      </c>
      <c r="E759" s="137" t="s">
        <v>22</v>
      </c>
      <c r="F759" s="137">
        <v>82146900750</v>
      </c>
      <c r="G759" s="137" t="s">
        <v>1200</v>
      </c>
      <c r="H759" s="138">
        <v>45602</v>
      </c>
      <c r="I759" s="139" t="s">
        <v>384</v>
      </c>
      <c r="J759" s="137" t="s">
        <v>19274</v>
      </c>
      <c r="K759" s="137">
        <v>31</v>
      </c>
      <c r="L759" s="133" t="str">
        <f t="shared" si="11"/>
        <v>001</v>
      </c>
    </row>
    <row r="760" spans="1:12" x14ac:dyDescent="0.3">
      <c r="A760" s="136">
        <v>756</v>
      </c>
      <c r="B760" s="137" t="s">
        <v>13983</v>
      </c>
      <c r="C760" s="10" t="str">
        <f>VLOOKUP(B760,'Data Angt'!$A$5:$B$5809,2,FALSE)</f>
        <v>A5034</v>
      </c>
      <c r="D760" s="137" t="s">
        <v>21893</v>
      </c>
      <c r="E760" s="137" t="s">
        <v>11</v>
      </c>
      <c r="F760" s="137">
        <v>81331001483</v>
      </c>
      <c r="G760" s="137" t="s">
        <v>109</v>
      </c>
      <c r="H760" s="138">
        <v>45602</v>
      </c>
      <c r="I760" s="139" t="s">
        <v>384</v>
      </c>
      <c r="J760" s="137" t="s">
        <v>21894</v>
      </c>
      <c r="K760" s="137">
        <v>28</v>
      </c>
      <c r="L760" s="133" t="str">
        <f t="shared" si="11"/>
        <v>001</v>
      </c>
    </row>
    <row r="761" spans="1:12" x14ac:dyDescent="0.3">
      <c r="A761" s="136">
        <v>757</v>
      </c>
      <c r="B761" s="137" t="s">
        <v>13986</v>
      </c>
      <c r="C761" s="10" t="str">
        <f>VLOOKUP(B761,'Data Angt'!$A$5:$B$5809,2,FALSE)</f>
        <v>A5035</v>
      </c>
      <c r="D761" s="137" t="s">
        <v>21895</v>
      </c>
      <c r="E761" s="137" t="s">
        <v>11</v>
      </c>
      <c r="F761" s="137">
        <v>81238458746</v>
      </c>
      <c r="G761" s="137" t="s">
        <v>337</v>
      </c>
      <c r="H761" s="138">
        <v>45602</v>
      </c>
      <c r="I761" s="139" t="s">
        <v>384</v>
      </c>
      <c r="J761" s="137" t="s">
        <v>21686</v>
      </c>
      <c r="K761" s="137">
        <v>22</v>
      </c>
      <c r="L761" s="133" t="str">
        <f t="shared" si="11"/>
        <v>002</v>
      </c>
    </row>
    <row r="762" spans="1:12" x14ac:dyDescent="0.3">
      <c r="A762" s="136">
        <v>758</v>
      </c>
      <c r="B762" s="137" t="s">
        <v>13988</v>
      </c>
      <c r="C762" s="10" t="str">
        <f>VLOOKUP(B762,'Data Angt'!$A$5:$B$5809,2,FALSE)</f>
        <v>A5036</v>
      </c>
      <c r="D762" s="137" t="s">
        <v>21896</v>
      </c>
      <c r="E762" s="137" t="s">
        <v>22</v>
      </c>
      <c r="F762" s="137">
        <v>85607082183</v>
      </c>
      <c r="G762" s="137" t="s">
        <v>370</v>
      </c>
      <c r="H762" s="138">
        <v>45602</v>
      </c>
      <c r="I762" s="139" t="s">
        <v>384</v>
      </c>
      <c r="J762" s="137" t="s">
        <v>21897</v>
      </c>
      <c r="K762" s="137">
        <v>21</v>
      </c>
      <c r="L762" s="133" t="str">
        <f t="shared" si="11"/>
        <v>004</v>
      </c>
    </row>
    <row r="763" spans="1:12" x14ac:dyDescent="0.3">
      <c r="A763" s="136">
        <v>759</v>
      </c>
      <c r="B763" s="137" t="s">
        <v>13990</v>
      </c>
      <c r="C763" s="10" t="str">
        <f>VLOOKUP(B763,'Data Angt'!$A$5:$B$5809,2,FALSE)</f>
        <v>A5037</v>
      </c>
      <c r="D763" s="137" t="s">
        <v>21898</v>
      </c>
      <c r="E763" s="137" t="s">
        <v>22</v>
      </c>
      <c r="F763" s="137">
        <v>83873650599</v>
      </c>
      <c r="G763" s="137" t="s">
        <v>370</v>
      </c>
      <c r="H763" s="138">
        <v>45602</v>
      </c>
      <c r="I763" s="139" t="s">
        <v>384</v>
      </c>
      <c r="J763" s="137" t="s">
        <v>19597</v>
      </c>
      <c r="K763" s="137">
        <v>27</v>
      </c>
      <c r="L763" s="133" t="str">
        <f t="shared" si="11"/>
        <v>004</v>
      </c>
    </row>
    <row r="764" spans="1:12" x14ac:dyDescent="0.3">
      <c r="A764" s="136">
        <v>760</v>
      </c>
      <c r="B764" s="137" t="s">
        <v>13992</v>
      </c>
      <c r="C764" s="10" t="str">
        <f>VLOOKUP(B764,'Data Angt'!$A$5:$B$5809,2,FALSE)</f>
        <v>A5038</v>
      </c>
      <c r="D764" s="137" t="s">
        <v>21899</v>
      </c>
      <c r="E764" s="137" t="s">
        <v>11</v>
      </c>
      <c r="F764" s="137">
        <v>87857875100</v>
      </c>
      <c r="G764" s="137" t="s">
        <v>109</v>
      </c>
      <c r="H764" s="138">
        <v>45602</v>
      </c>
      <c r="I764" s="139" t="s">
        <v>384</v>
      </c>
      <c r="J764" s="137" t="s">
        <v>19704</v>
      </c>
      <c r="K764" s="137">
        <v>20</v>
      </c>
      <c r="L764" s="133" t="str">
        <f t="shared" si="11"/>
        <v>004</v>
      </c>
    </row>
    <row r="765" spans="1:12" x14ac:dyDescent="0.3">
      <c r="A765" s="136">
        <v>761</v>
      </c>
      <c r="B765" s="137" t="s">
        <v>13995</v>
      </c>
      <c r="C765" s="10" t="str">
        <f>VLOOKUP(B765,'Data Angt'!$A$5:$B$5809,2,FALSE)</f>
        <v>A5039</v>
      </c>
      <c r="D765" s="137" t="s">
        <v>21900</v>
      </c>
      <c r="E765" s="137" t="s">
        <v>11</v>
      </c>
      <c r="F765" s="137">
        <v>85857484060</v>
      </c>
      <c r="G765" s="137" t="s">
        <v>337</v>
      </c>
      <c r="H765" s="138">
        <v>45602</v>
      </c>
      <c r="I765" s="139" t="s">
        <v>384</v>
      </c>
      <c r="J765" s="137" t="s">
        <v>20769</v>
      </c>
      <c r="K765" s="137">
        <v>18</v>
      </c>
      <c r="L765" s="133" t="str">
        <f t="shared" si="11"/>
        <v>002</v>
      </c>
    </row>
    <row r="766" spans="1:12" x14ac:dyDescent="0.3">
      <c r="A766" s="136">
        <v>762</v>
      </c>
      <c r="B766" s="137" t="s">
        <v>13997</v>
      </c>
      <c r="C766" s="10" t="str">
        <f>VLOOKUP(B766,'Data Angt'!$A$5:$B$5809,2,FALSE)</f>
        <v>A5040</v>
      </c>
      <c r="D766" s="137" t="s">
        <v>21901</v>
      </c>
      <c r="E766" s="137" t="s">
        <v>11</v>
      </c>
      <c r="F766" s="137">
        <v>88289658948</v>
      </c>
      <c r="G766" s="137" t="s">
        <v>243</v>
      </c>
      <c r="H766" s="138">
        <v>45602</v>
      </c>
      <c r="I766" s="139" t="s">
        <v>384</v>
      </c>
      <c r="J766" s="137" t="s">
        <v>21902</v>
      </c>
      <c r="K766" s="137">
        <v>24</v>
      </c>
      <c r="L766" s="133" t="str">
        <f t="shared" si="11"/>
        <v>003</v>
      </c>
    </row>
    <row r="767" spans="1:12" x14ac:dyDescent="0.3">
      <c r="A767" s="136">
        <v>763</v>
      </c>
      <c r="B767" s="137" t="s">
        <v>13999</v>
      </c>
      <c r="C767" s="10" t="str">
        <f>VLOOKUP(B767,'Data Angt'!$A$5:$B$5809,2,FALSE)</f>
        <v>A5041</v>
      </c>
      <c r="D767" s="137" t="s">
        <v>21903</v>
      </c>
      <c r="E767" s="137" t="s">
        <v>11</v>
      </c>
      <c r="F767" s="137">
        <v>98888888888</v>
      </c>
      <c r="G767" s="137" t="s">
        <v>370</v>
      </c>
      <c r="H767" s="138">
        <v>45602</v>
      </c>
      <c r="I767" s="139" t="s">
        <v>384</v>
      </c>
      <c r="J767" s="137" t="s">
        <v>19704</v>
      </c>
      <c r="K767" s="137">
        <v>59</v>
      </c>
      <c r="L767" s="133" t="str">
        <f t="shared" si="11"/>
        <v>004</v>
      </c>
    </row>
    <row r="768" spans="1:12" x14ac:dyDescent="0.3">
      <c r="A768" s="136">
        <v>764</v>
      </c>
      <c r="B768" s="137" t="s">
        <v>14002</v>
      </c>
      <c r="C768" s="10" t="str">
        <f>VLOOKUP(B768,'Data Angt'!$A$5:$B$5809,2,FALSE)</f>
        <v>A5042</v>
      </c>
      <c r="D768" s="137" t="s">
        <v>21904</v>
      </c>
      <c r="E768" s="137" t="s">
        <v>22</v>
      </c>
      <c r="F768" s="137">
        <v>83826561193</v>
      </c>
      <c r="G768" s="137" t="s">
        <v>31</v>
      </c>
      <c r="H768" s="138">
        <v>45603</v>
      </c>
      <c r="I768" s="139" t="s">
        <v>384</v>
      </c>
      <c r="J768" s="137" t="s">
        <v>21905</v>
      </c>
      <c r="K768" s="137">
        <v>20</v>
      </c>
      <c r="L768" s="133" t="str">
        <f t="shared" si="11"/>
        <v>001</v>
      </c>
    </row>
    <row r="769" spans="1:12" x14ac:dyDescent="0.3">
      <c r="A769" s="136">
        <v>765</v>
      </c>
      <c r="B769" s="137" t="s">
        <v>14004</v>
      </c>
      <c r="C769" s="10" t="str">
        <f>VLOOKUP(B769,'Data Angt'!$A$5:$B$5809,2,FALSE)</f>
        <v>A5043</v>
      </c>
      <c r="D769" s="137" t="s">
        <v>21906</v>
      </c>
      <c r="E769" s="137" t="s">
        <v>22</v>
      </c>
      <c r="F769" s="137">
        <v>85258718212</v>
      </c>
      <c r="G769" s="137" t="s">
        <v>46</v>
      </c>
      <c r="H769" s="138">
        <v>45603</v>
      </c>
      <c r="I769" s="139" t="s">
        <v>384</v>
      </c>
      <c r="J769" s="137" t="s">
        <v>21907</v>
      </c>
      <c r="K769" s="137">
        <v>59</v>
      </c>
      <c r="L769" s="133" t="str">
        <f t="shared" si="11"/>
        <v>001</v>
      </c>
    </row>
    <row r="770" spans="1:12" x14ac:dyDescent="0.3">
      <c r="A770" s="136">
        <v>766</v>
      </c>
      <c r="B770" s="137" t="s">
        <v>14006</v>
      </c>
      <c r="C770" s="10" t="str">
        <f>VLOOKUP(B770,'Data Angt'!$A$5:$B$5809,2,FALSE)</f>
        <v>A5044</v>
      </c>
      <c r="D770" s="137" t="s">
        <v>21908</v>
      </c>
      <c r="E770" s="137" t="s">
        <v>22</v>
      </c>
      <c r="F770" s="137">
        <v>81226981213</v>
      </c>
      <c r="G770" s="137" t="s">
        <v>13</v>
      </c>
      <c r="H770" s="138">
        <v>45603</v>
      </c>
      <c r="I770" s="139" t="s">
        <v>384</v>
      </c>
      <c r="J770" s="137" t="s">
        <v>21909</v>
      </c>
      <c r="K770" s="137">
        <v>69</v>
      </c>
      <c r="L770" s="133" t="str">
        <f t="shared" si="11"/>
        <v>006</v>
      </c>
    </row>
    <row r="771" spans="1:12" x14ac:dyDescent="0.3">
      <c r="A771" s="136">
        <v>767</v>
      </c>
      <c r="B771" s="137" t="s">
        <v>14012</v>
      </c>
      <c r="C771" s="10" t="str">
        <f>VLOOKUP(B771,'Data Angt'!$A$5:$B$5809,2,FALSE)</f>
        <v>A5047</v>
      </c>
      <c r="D771" s="137" t="s">
        <v>21910</v>
      </c>
      <c r="E771" s="137" t="s">
        <v>22</v>
      </c>
      <c r="F771" s="137">
        <v>83847317218</v>
      </c>
      <c r="G771" s="137" t="s">
        <v>109</v>
      </c>
      <c r="H771" s="138">
        <v>45603</v>
      </c>
      <c r="I771" s="139" t="s">
        <v>384</v>
      </c>
      <c r="J771" s="137" t="s">
        <v>21911</v>
      </c>
      <c r="K771" s="137">
        <v>32</v>
      </c>
      <c r="L771" s="133" t="str">
        <f t="shared" si="11"/>
        <v>003</v>
      </c>
    </row>
    <row r="772" spans="1:12" x14ac:dyDescent="0.3">
      <c r="A772" s="136">
        <v>768</v>
      </c>
      <c r="B772" s="137" t="s">
        <v>14014</v>
      </c>
      <c r="C772" s="10" t="str">
        <f>VLOOKUP(B772,'Data Angt'!$A$5:$B$5809,2,FALSE)</f>
        <v>A5048</v>
      </c>
      <c r="D772" s="137" t="s">
        <v>21912</v>
      </c>
      <c r="E772" s="137" t="s">
        <v>22</v>
      </c>
      <c r="F772" s="137">
        <v>81358586791</v>
      </c>
      <c r="G772" s="137" t="s">
        <v>46</v>
      </c>
      <c r="H772" s="138">
        <v>45604</v>
      </c>
      <c r="I772" s="139" t="s">
        <v>384</v>
      </c>
      <c r="J772" s="137" t="s">
        <v>19704</v>
      </c>
      <c r="K772" s="137">
        <v>49</v>
      </c>
      <c r="L772" s="133" t="str">
        <f t="shared" si="11"/>
        <v>004</v>
      </c>
    </row>
    <row r="773" spans="1:12" x14ac:dyDescent="0.3">
      <c r="A773" s="136">
        <v>769</v>
      </c>
      <c r="B773" s="137" t="s">
        <v>14015</v>
      </c>
      <c r="C773" s="10" t="str">
        <f>VLOOKUP(B773,'Data Angt'!$A$5:$B$5809,2,FALSE)</f>
        <v>A5049</v>
      </c>
      <c r="D773" s="137" t="s">
        <v>21325</v>
      </c>
      <c r="E773" s="137" t="s">
        <v>22</v>
      </c>
      <c r="F773" s="137">
        <v>81358932868</v>
      </c>
      <c r="G773" s="137" t="s">
        <v>1200</v>
      </c>
      <c r="H773" s="138">
        <v>45605</v>
      </c>
      <c r="I773" s="139" t="s">
        <v>384</v>
      </c>
      <c r="J773" s="137" t="s">
        <v>21913</v>
      </c>
      <c r="K773" s="137">
        <v>38</v>
      </c>
      <c r="L773" s="133" t="str">
        <f t="shared" si="11"/>
        <v>001</v>
      </c>
    </row>
    <row r="774" spans="1:12" x14ac:dyDescent="0.3">
      <c r="A774" s="136">
        <v>770</v>
      </c>
      <c r="B774" s="137" t="s">
        <v>14017</v>
      </c>
      <c r="C774" s="10" t="str">
        <f>VLOOKUP(B774,'Data Angt'!$A$5:$B$5809,2,FALSE)</f>
        <v>A5050</v>
      </c>
      <c r="D774" s="137" t="s">
        <v>21914</v>
      </c>
      <c r="E774" s="137" t="s">
        <v>22</v>
      </c>
      <c r="F774" s="137">
        <v>83143790240</v>
      </c>
      <c r="G774" s="137" t="s">
        <v>46</v>
      </c>
      <c r="H774" s="138">
        <v>45605</v>
      </c>
      <c r="I774" s="139" t="s">
        <v>384</v>
      </c>
      <c r="J774" s="137" t="s">
        <v>19704</v>
      </c>
      <c r="K774" s="137">
        <v>42</v>
      </c>
      <c r="L774" s="133" t="str">
        <f t="shared" ref="L774:L837" si="12">MID(B774,7,3)</f>
        <v>004</v>
      </c>
    </row>
    <row r="775" spans="1:12" x14ac:dyDescent="0.3">
      <c r="A775" s="136">
        <v>771</v>
      </c>
      <c r="B775" s="137" t="s">
        <v>14020</v>
      </c>
      <c r="C775" s="10" t="str">
        <f>VLOOKUP(B775,'Data Angt'!$A$5:$B$5809,2,FALSE)</f>
        <v>A5051</v>
      </c>
      <c r="D775" s="137" t="s">
        <v>21915</v>
      </c>
      <c r="E775" s="137" t="s">
        <v>22</v>
      </c>
      <c r="F775" s="137">
        <v>85927441662</v>
      </c>
      <c r="G775" s="137" t="s">
        <v>46</v>
      </c>
      <c r="H775" s="138">
        <v>45605</v>
      </c>
      <c r="I775" s="139" t="s">
        <v>384</v>
      </c>
      <c r="J775" s="137" t="s">
        <v>21916</v>
      </c>
      <c r="K775" s="137">
        <v>35</v>
      </c>
      <c r="L775" s="133" t="str">
        <f t="shared" si="12"/>
        <v>004</v>
      </c>
    </row>
    <row r="776" spans="1:12" x14ac:dyDescent="0.3">
      <c r="A776" s="136">
        <v>772</v>
      </c>
      <c r="B776" s="137" t="s">
        <v>14023</v>
      </c>
      <c r="C776" s="10" t="str">
        <f>VLOOKUP(B776,'Data Angt'!$A$5:$B$5809,2,FALSE)</f>
        <v>A5052</v>
      </c>
      <c r="D776" s="137" t="s">
        <v>21917</v>
      </c>
      <c r="E776" s="137" t="s">
        <v>22</v>
      </c>
      <c r="F776" s="137">
        <v>82143640540</v>
      </c>
      <c r="G776" s="137" t="s">
        <v>31</v>
      </c>
      <c r="H776" s="138">
        <v>45607</v>
      </c>
      <c r="I776" s="139" t="s">
        <v>384</v>
      </c>
      <c r="J776" s="137" t="s">
        <v>21918</v>
      </c>
      <c r="K776" s="137">
        <v>52</v>
      </c>
      <c r="L776" s="133" t="str">
        <f t="shared" si="12"/>
        <v>001</v>
      </c>
    </row>
    <row r="777" spans="1:12" x14ac:dyDescent="0.3">
      <c r="A777" s="136">
        <v>773</v>
      </c>
      <c r="B777" s="137" t="s">
        <v>14025</v>
      </c>
      <c r="C777" s="10" t="str">
        <f>VLOOKUP(B777,'Data Angt'!$A$5:$B$5809,2,FALSE)</f>
        <v>A5053</v>
      </c>
      <c r="D777" s="137" t="s">
        <v>21919</v>
      </c>
      <c r="E777" s="137" t="s">
        <v>22</v>
      </c>
      <c r="F777" s="137">
        <v>82232938220</v>
      </c>
      <c r="G777" s="137" t="s">
        <v>109</v>
      </c>
      <c r="H777" s="138">
        <v>45607</v>
      </c>
      <c r="I777" s="139" t="s">
        <v>384</v>
      </c>
      <c r="J777" s="137" t="s">
        <v>21920</v>
      </c>
      <c r="K777" s="137">
        <v>24</v>
      </c>
      <c r="L777" s="133" t="str">
        <f t="shared" si="12"/>
        <v>001</v>
      </c>
    </row>
    <row r="778" spans="1:12" x14ac:dyDescent="0.3">
      <c r="A778" s="136">
        <v>774</v>
      </c>
      <c r="B778" s="137" t="s">
        <v>14028</v>
      </c>
      <c r="C778" s="10" t="str">
        <f>VLOOKUP(B778,'Data Angt'!$A$5:$B$5809,2,FALSE)</f>
        <v>A5054</v>
      </c>
      <c r="D778" s="137" t="s">
        <v>21921</v>
      </c>
      <c r="E778" s="137" t="s">
        <v>22</v>
      </c>
      <c r="F778" s="137">
        <v>81238369196</v>
      </c>
      <c r="G778" s="137" t="s">
        <v>31</v>
      </c>
      <c r="H778" s="138">
        <v>45607</v>
      </c>
      <c r="I778" s="139" t="s">
        <v>384</v>
      </c>
      <c r="J778" s="137" t="s">
        <v>21922</v>
      </c>
      <c r="K778" s="137">
        <v>48</v>
      </c>
      <c r="L778" s="133" t="str">
        <f t="shared" si="12"/>
        <v>001</v>
      </c>
    </row>
    <row r="779" spans="1:12" x14ac:dyDescent="0.3">
      <c r="A779" s="136">
        <v>775</v>
      </c>
      <c r="B779" s="137" t="s">
        <v>14030</v>
      </c>
      <c r="C779" s="10" t="str">
        <f>VLOOKUP(B779,'Data Angt'!$A$5:$B$5809,2,FALSE)</f>
        <v>A5055</v>
      </c>
      <c r="D779" s="137" t="s">
        <v>21923</v>
      </c>
      <c r="E779" s="137" t="s">
        <v>22</v>
      </c>
      <c r="F779" s="137">
        <v>88239940486</v>
      </c>
      <c r="G779" s="137" t="s">
        <v>133</v>
      </c>
      <c r="H779" s="138">
        <v>45607</v>
      </c>
      <c r="I779" s="139" t="s">
        <v>384</v>
      </c>
      <c r="J779" s="137" t="s">
        <v>21924</v>
      </c>
      <c r="K779" s="137">
        <v>55</v>
      </c>
      <c r="L779" s="133" t="str">
        <f t="shared" si="12"/>
        <v>006</v>
      </c>
    </row>
    <row r="780" spans="1:12" x14ac:dyDescent="0.3">
      <c r="A780" s="136">
        <v>776</v>
      </c>
      <c r="B780" s="137" t="s">
        <v>14031</v>
      </c>
      <c r="C780" s="10" t="str">
        <f>VLOOKUP(B780,'Data Angt'!$A$5:$B$5809,2,FALSE)</f>
        <v>A5056</v>
      </c>
      <c r="D780" s="137" t="s">
        <v>21925</v>
      </c>
      <c r="E780" s="137" t="s">
        <v>22</v>
      </c>
      <c r="F780" s="137">
        <v>82242328091</v>
      </c>
      <c r="G780" s="137" t="s">
        <v>337</v>
      </c>
      <c r="H780" s="138">
        <v>45608</v>
      </c>
      <c r="I780" s="139" t="s">
        <v>384</v>
      </c>
      <c r="J780" s="137" t="s">
        <v>21926</v>
      </c>
      <c r="K780" s="137">
        <v>18</v>
      </c>
      <c r="L780" s="133" t="str">
        <f t="shared" si="12"/>
        <v>006</v>
      </c>
    </row>
    <row r="781" spans="1:12" x14ac:dyDescent="0.3">
      <c r="A781" s="136">
        <v>777</v>
      </c>
      <c r="B781" s="137" t="s">
        <v>14032</v>
      </c>
      <c r="C781" s="10" t="str">
        <f>VLOOKUP(B781,'Data Angt'!$A$5:$B$5809,2,FALSE)</f>
        <v>A5057</v>
      </c>
      <c r="D781" s="137" t="s">
        <v>21927</v>
      </c>
      <c r="E781" s="137" t="s">
        <v>11</v>
      </c>
      <c r="F781" s="137">
        <v>87860937061</v>
      </c>
      <c r="G781" s="137" t="s">
        <v>109</v>
      </c>
      <c r="H781" s="138">
        <v>45608</v>
      </c>
      <c r="I781" s="139" t="s">
        <v>384</v>
      </c>
      <c r="J781" s="137" t="s">
        <v>19364</v>
      </c>
      <c r="K781" s="137">
        <v>41</v>
      </c>
      <c r="L781" s="133" t="str">
        <f t="shared" si="12"/>
        <v>002</v>
      </c>
    </row>
    <row r="782" spans="1:12" x14ac:dyDescent="0.3">
      <c r="A782" s="136">
        <v>778</v>
      </c>
      <c r="B782" s="137" t="s">
        <v>14034</v>
      </c>
      <c r="C782" s="10" t="str">
        <f>VLOOKUP(B782,'Data Angt'!$A$5:$B$5809,2,FALSE)</f>
        <v>A5058</v>
      </c>
      <c r="D782" s="137" t="s">
        <v>21928</v>
      </c>
      <c r="E782" s="137" t="s">
        <v>22</v>
      </c>
      <c r="F782" s="137">
        <v>82231675027</v>
      </c>
      <c r="G782" s="137" t="s">
        <v>31</v>
      </c>
      <c r="H782" s="138">
        <v>45608</v>
      </c>
      <c r="I782" s="139" t="s">
        <v>384</v>
      </c>
      <c r="J782" s="137" t="s">
        <v>21929</v>
      </c>
      <c r="K782" s="137">
        <v>38</v>
      </c>
      <c r="L782" s="133" t="str">
        <f t="shared" si="12"/>
        <v>003</v>
      </c>
    </row>
    <row r="783" spans="1:12" x14ac:dyDescent="0.3">
      <c r="A783" s="136">
        <v>779</v>
      </c>
      <c r="B783" s="137" t="s">
        <v>14036</v>
      </c>
      <c r="C783" s="10" t="str">
        <f>VLOOKUP(B783,'Data Angt'!$A$5:$B$5809,2,FALSE)</f>
        <v>A5059</v>
      </c>
      <c r="D783" s="137" t="s">
        <v>21930</v>
      </c>
      <c r="E783" s="137" t="s">
        <v>22</v>
      </c>
      <c r="F783" s="137">
        <v>81336308807</v>
      </c>
      <c r="G783" s="137" t="s">
        <v>46</v>
      </c>
      <c r="H783" s="138">
        <v>45608</v>
      </c>
      <c r="I783" s="139" t="s">
        <v>384</v>
      </c>
      <c r="J783" s="137" t="s">
        <v>21931</v>
      </c>
      <c r="K783" s="137">
        <v>62</v>
      </c>
      <c r="L783" s="133" t="str">
        <f t="shared" si="12"/>
        <v>002</v>
      </c>
    </row>
    <row r="784" spans="1:12" x14ac:dyDescent="0.3">
      <c r="A784" s="136">
        <v>780</v>
      </c>
      <c r="B784" s="137" t="s">
        <v>14037</v>
      </c>
      <c r="C784" s="10" t="str">
        <f>VLOOKUP(B784,'Data Angt'!$A$5:$B$5809,2,FALSE)</f>
        <v>A5060</v>
      </c>
      <c r="D784" s="137" t="s">
        <v>21932</v>
      </c>
      <c r="E784" s="137" t="s">
        <v>22</v>
      </c>
      <c r="F784" s="137">
        <v>82257773816</v>
      </c>
      <c r="G784" s="137" t="s">
        <v>109</v>
      </c>
      <c r="H784" s="138">
        <v>45608</v>
      </c>
      <c r="I784" s="139" t="s">
        <v>384</v>
      </c>
      <c r="J784" s="137" t="s">
        <v>21931</v>
      </c>
      <c r="K784" s="137">
        <v>26</v>
      </c>
      <c r="L784" s="133" t="str">
        <f t="shared" si="12"/>
        <v>002</v>
      </c>
    </row>
    <row r="785" spans="1:12" x14ac:dyDescent="0.3">
      <c r="A785" s="136">
        <v>781</v>
      </c>
      <c r="B785" s="137" t="s">
        <v>14045</v>
      </c>
      <c r="C785" s="10" t="str">
        <f>VLOOKUP(B785,'Data Angt'!$A$5:$B$5809,2,FALSE)</f>
        <v>A5063</v>
      </c>
      <c r="D785" s="137" t="s">
        <v>21933</v>
      </c>
      <c r="E785" s="137" t="s">
        <v>22</v>
      </c>
      <c r="F785" s="137">
        <v>85331417700</v>
      </c>
      <c r="G785" s="137" t="s">
        <v>955</v>
      </c>
      <c r="H785" s="138">
        <v>45610</v>
      </c>
      <c r="I785" s="139" t="s">
        <v>384</v>
      </c>
      <c r="J785" s="137" t="s">
        <v>21934</v>
      </c>
      <c r="K785" s="137">
        <v>36</v>
      </c>
      <c r="L785" s="133" t="str">
        <f t="shared" si="12"/>
        <v>001</v>
      </c>
    </row>
    <row r="786" spans="1:12" x14ac:dyDescent="0.3">
      <c r="A786" s="136">
        <v>782</v>
      </c>
      <c r="B786" s="137" t="s">
        <v>14048</v>
      </c>
      <c r="C786" s="10" t="str">
        <f>VLOOKUP(B786,'Data Angt'!$A$5:$B$5809,2,FALSE)</f>
        <v>A5064</v>
      </c>
      <c r="D786" s="137" t="s">
        <v>21935</v>
      </c>
      <c r="E786" s="137" t="s">
        <v>11</v>
      </c>
      <c r="F786" s="137">
        <v>81333121991</v>
      </c>
      <c r="G786" s="137" t="s">
        <v>46</v>
      </c>
      <c r="H786" s="138">
        <v>45610</v>
      </c>
      <c r="I786" s="139" t="s">
        <v>384</v>
      </c>
      <c r="J786" s="137" t="s">
        <v>21936</v>
      </c>
      <c r="K786" s="137">
        <v>33</v>
      </c>
      <c r="L786" s="133" t="str">
        <f t="shared" si="12"/>
        <v>003</v>
      </c>
    </row>
    <row r="787" spans="1:12" x14ac:dyDescent="0.3">
      <c r="A787" s="136">
        <v>783</v>
      </c>
      <c r="B787" s="137" t="s">
        <v>14051</v>
      </c>
      <c r="C787" s="10" t="str">
        <f>VLOOKUP(B787,'Data Angt'!$A$5:$B$5809,2,FALSE)</f>
        <v>A5065</v>
      </c>
      <c r="D787" s="137" t="s">
        <v>21937</v>
      </c>
      <c r="E787" s="137" t="s">
        <v>22</v>
      </c>
      <c r="F787" s="137">
        <v>81235126077</v>
      </c>
      <c r="G787" s="137" t="s">
        <v>16</v>
      </c>
      <c r="H787" s="138">
        <v>45610</v>
      </c>
      <c r="I787" s="139" t="s">
        <v>384</v>
      </c>
      <c r="J787" s="137" t="s">
        <v>21938</v>
      </c>
      <c r="K787" s="137">
        <v>51</v>
      </c>
      <c r="L787" s="133" t="str">
        <f t="shared" si="12"/>
        <v>003</v>
      </c>
    </row>
    <row r="788" spans="1:12" x14ac:dyDescent="0.3">
      <c r="A788" s="136">
        <v>784</v>
      </c>
      <c r="B788" s="137" t="s">
        <v>21939</v>
      </c>
      <c r="C788" s="10" t="e">
        <f>VLOOKUP(B788,'Data Angt'!$A$5:$B$5809,2,FALSE)</f>
        <v>#N/A</v>
      </c>
      <c r="D788" s="137" t="s">
        <v>21940</v>
      </c>
      <c r="E788" s="137" t="s">
        <v>22</v>
      </c>
      <c r="F788" s="137">
        <v>85234416341</v>
      </c>
      <c r="G788" s="137" t="s">
        <v>31</v>
      </c>
      <c r="H788" s="138">
        <v>45611</v>
      </c>
      <c r="I788" s="138">
        <v>45726</v>
      </c>
      <c r="J788" s="137" t="s">
        <v>21941</v>
      </c>
      <c r="K788" s="137">
        <v>40</v>
      </c>
      <c r="L788" s="133" t="str">
        <f t="shared" si="12"/>
        <v>001</v>
      </c>
    </row>
    <row r="789" spans="1:12" x14ac:dyDescent="0.3">
      <c r="A789" s="136">
        <v>785</v>
      </c>
      <c r="B789" s="137" t="s">
        <v>14052</v>
      </c>
      <c r="C789" s="10" t="str">
        <f>VLOOKUP(B789,'Data Angt'!$A$5:$B$5809,2,FALSE)</f>
        <v>A5066</v>
      </c>
      <c r="D789" s="137" t="s">
        <v>21942</v>
      </c>
      <c r="E789" s="137" t="s">
        <v>11</v>
      </c>
      <c r="F789" s="137">
        <v>82245323924</v>
      </c>
      <c r="G789" s="137" t="s">
        <v>46</v>
      </c>
      <c r="H789" s="138">
        <v>45611</v>
      </c>
      <c r="I789" s="139" t="s">
        <v>384</v>
      </c>
      <c r="J789" s="137" t="s">
        <v>21943</v>
      </c>
      <c r="K789" s="137">
        <v>36</v>
      </c>
      <c r="L789" s="133" t="str">
        <f t="shared" si="12"/>
        <v>004</v>
      </c>
    </row>
    <row r="790" spans="1:12" x14ac:dyDescent="0.3">
      <c r="A790" s="136">
        <v>786</v>
      </c>
      <c r="B790" s="137" t="s">
        <v>14056</v>
      </c>
      <c r="C790" s="10" t="str">
        <f>VLOOKUP(B790,'Data Angt'!$A$5:$B$5809,2,FALSE)</f>
        <v>A5067</v>
      </c>
      <c r="D790" s="137" t="s">
        <v>21944</v>
      </c>
      <c r="E790" s="137" t="s">
        <v>22</v>
      </c>
      <c r="F790" s="137">
        <v>81392675759</v>
      </c>
      <c r="G790" s="137" t="s">
        <v>109</v>
      </c>
      <c r="H790" s="138">
        <v>45611</v>
      </c>
      <c r="I790" s="139" t="s">
        <v>384</v>
      </c>
      <c r="J790" s="137" t="s">
        <v>21551</v>
      </c>
      <c r="K790" s="137">
        <v>43</v>
      </c>
      <c r="L790" s="133" t="str">
        <f t="shared" si="12"/>
        <v>006</v>
      </c>
    </row>
    <row r="791" spans="1:12" x14ac:dyDescent="0.3">
      <c r="A791" s="136">
        <v>787</v>
      </c>
      <c r="B791" s="137" t="s">
        <v>14060</v>
      </c>
      <c r="C791" s="10" t="str">
        <f>VLOOKUP(B791,'Data Angt'!$A$5:$B$5809,2,FALSE)</f>
        <v>A5068</v>
      </c>
      <c r="D791" s="137" t="s">
        <v>21945</v>
      </c>
      <c r="E791" s="137" t="s">
        <v>11</v>
      </c>
      <c r="F791" s="137">
        <v>82141787544</v>
      </c>
      <c r="G791" s="137" t="s">
        <v>109</v>
      </c>
      <c r="H791" s="138">
        <v>45612</v>
      </c>
      <c r="I791" s="139" t="s">
        <v>384</v>
      </c>
      <c r="J791" s="137" t="s">
        <v>21946</v>
      </c>
      <c r="K791" s="137">
        <v>42</v>
      </c>
      <c r="L791" s="133" t="str">
        <f t="shared" si="12"/>
        <v>001</v>
      </c>
    </row>
    <row r="792" spans="1:12" x14ac:dyDescent="0.3">
      <c r="A792" s="136">
        <v>788</v>
      </c>
      <c r="B792" s="137" t="s">
        <v>14064</v>
      </c>
      <c r="C792" s="10" t="str">
        <f>VLOOKUP(B792,'Data Angt'!$A$5:$B$5809,2,FALSE)</f>
        <v>A5069</v>
      </c>
      <c r="D792" s="137" t="s">
        <v>21947</v>
      </c>
      <c r="E792" s="137" t="s">
        <v>22</v>
      </c>
      <c r="F792" s="137">
        <v>81133329206</v>
      </c>
      <c r="G792" s="137" t="s">
        <v>109</v>
      </c>
      <c r="H792" s="138">
        <v>45612</v>
      </c>
      <c r="I792" s="139" t="s">
        <v>384</v>
      </c>
      <c r="J792" s="137" t="s">
        <v>21948</v>
      </c>
      <c r="K792" s="137">
        <v>48</v>
      </c>
      <c r="L792" s="133" t="str">
        <f t="shared" si="12"/>
        <v>002</v>
      </c>
    </row>
    <row r="793" spans="1:12" x14ac:dyDescent="0.3">
      <c r="A793" s="136">
        <v>789</v>
      </c>
      <c r="B793" s="137" t="s">
        <v>14067</v>
      </c>
      <c r="C793" s="10" t="str">
        <f>VLOOKUP(B793,'Data Angt'!$A$5:$B$5809,2,FALSE)</f>
        <v>A5070</v>
      </c>
      <c r="D793" s="137" t="s">
        <v>21949</v>
      </c>
      <c r="E793" s="137" t="s">
        <v>11</v>
      </c>
      <c r="F793" s="137">
        <v>82229013515</v>
      </c>
      <c r="G793" s="137" t="s">
        <v>109</v>
      </c>
      <c r="H793" s="138">
        <v>45612</v>
      </c>
      <c r="I793" s="139" t="s">
        <v>384</v>
      </c>
      <c r="J793" s="137" t="s">
        <v>21950</v>
      </c>
      <c r="K793" s="137">
        <v>32</v>
      </c>
      <c r="L793" s="133" t="str">
        <f t="shared" si="12"/>
        <v>001</v>
      </c>
    </row>
    <row r="794" spans="1:12" x14ac:dyDescent="0.3">
      <c r="A794" s="136">
        <v>790</v>
      </c>
      <c r="B794" s="137" t="s">
        <v>14069</v>
      </c>
      <c r="C794" s="10" t="str">
        <f>VLOOKUP(B794,'Data Angt'!$A$5:$B$5809,2,FALSE)</f>
        <v>A5071</v>
      </c>
      <c r="D794" s="137" t="s">
        <v>21951</v>
      </c>
      <c r="E794" s="137" t="s">
        <v>22</v>
      </c>
      <c r="F794" s="137">
        <v>82331838237</v>
      </c>
      <c r="G794" s="137" t="s">
        <v>46</v>
      </c>
      <c r="H794" s="138">
        <v>45612</v>
      </c>
      <c r="I794" s="139" t="s">
        <v>384</v>
      </c>
      <c r="J794" s="137" t="s">
        <v>19438</v>
      </c>
      <c r="K794" s="137">
        <v>31</v>
      </c>
      <c r="L794" s="133" t="str">
        <f t="shared" si="12"/>
        <v>002</v>
      </c>
    </row>
    <row r="795" spans="1:12" x14ac:dyDescent="0.3">
      <c r="A795" s="136">
        <v>791</v>
      </c>
      <c r="B795" s="137" t="s">
        <v>14071</v>
      </c>
      <c r="C795" s="10" t="str">
        <f>VLOOKUP(B795,'Data Angt'!$A$5:$B$5809,2,FALSE)</f>
        <v>A5072</v>
      </c>
      <c r="D795" s="137" t="s">
        <v>21952</v>
      </c>
      <c r="E795" s="137" t="s">
        <v>22</v>
      </c>
      <c r="F795" s="137">
        <v>81959274161</v>
      </c>
      <c r="G795" s="137" t="s">
        <v>172</v>
      </c>
      <c r="H795" s="138">
        <v>45612</v>
      </c>
      <c r="I795" s="139" t="s">
        <v>384</v>
      </c>
      <c r="J795" s="137" t="s">
        <v>21953</v>
      </c>
      <c r="K795" s="137">
        <v>45</v>
      </c>
      <c r="L795" s="133" t="str">
        <f t="shared" si="12"/>
        <v>002</v>
      </c>
    </row>
    <row r="796" spans="1:12" x14ac:dyDescent="0.3">
      <c r="A796" s="136">
        <v>792</v>
      </c>
      <c r="B796" s="137" t="s">
        <v>14074</v>
      </c>
      <c r="C796" s="10" t="str">
        <f>VLOOKUP(B796,'Data Angt'!$A$5:$B$5809,2,FALSE)</f>
        <v>A5073</v>
      </c>
      <c r="D796" s="137" t="s">
        <v>21954</v>
      </c>
      <c r="E796" s="137" t="s">
        <v>11</v>
      </c>
      <c r="F796" s="137">
        <v>85183345674</v>
      </c>
      <c r="G796" s="137" t="s">
        <v>337</v>
      </c>
      <c r="H796" s="138">
        <v>45614</v>
      </c>
      <c r="I796" s="139" t="s">
        <v>384</v>
      </c>
      <c r="J796" s="137" t="s">
        <v>21955</v>
      </c>
      <c r="K796" s="137">
        <v>21</v>
      </c>
      <c r="L796" s="133" t="str">
        <f t="shared" si="12"/>
        <v>001</v>
      </c>
    </row>
    <row r="797" spans="1:12" x14ac:dyDescent="0.3">
      <c r="A797" s="136">
        <v>793</v>
      </c>
      <c r="B797" s="137" t="s">
        <v>14076</v>
      </c>
      <c r="C797" s="10" t="str">
        <f>VLOOKUP(B797,'Data Angt'!$A$5:$B$5809,2,FALSE)</f>
        <v>A5074</v>
      </c>
      <c r="D797" s="137" t="s">
        <v>21956</v>
      </c>
      <c r="E797" s="137" t="s">
        <v>11</v>
      </c>
      <c r="F797" s="137">
        <v>82257933256</v>
      </c>
      <c r="G797" s="137" t="s">
        <v>109</v>
      </c>
      <c r="H797" s="138">
        <v>45614</v>
      </c>
      <c r="I797" s="139" t="s">
        <v>384</v>
      </c>
      <c r="J797" s="137" t="s">
        <v>21957</v>
      </c>
      <c r="K797" s="137">
        <v>22</v>
      </c>
      <c r="L797" s="133" t="str">
        <f t="shared" si="12"/>
        <v>002</v>
      </c>
    </row>
    <row r="798" spans="1:12" x14ac:dyDescent="0.3">
      <c r="A798" s="136">
        <v>794</v>
      </c>
      <c r="B798" s="137" t="s">
        <v>14079</v>
      </c>
      <c r="C798" s="10" t="str">
        <f>VLOOKUP(B798,'Data Angt'!$A$5:$B$5809,2,FALSE)</f>
        <v>A5075</v>
      </c>
      <c r="D798" s="137" t="s">
        <v>20683</v>
      </c>
      <c r="E798" s="137" t="s">
        <v>22</v>
      </c>
      <c r="F798" s="137">
        <v>8124977779</v>
      </c>
      <c r="G798" s="137" t="s">
        <v>46</v>
      </c>
      <c r="H798" s="138">
        <v>45614</v>
      </c>
      <c r="I798" s="139" t="s">
        <v>384</v>
      </c>
      <c r="J798" s="137" t="s">
        <v>21958</v>
      </c>
      <c r="K798" s="137">
        <v>42</v>
      </c>
      <c r="L798" s="133" t="str">
        <f t="shared" si="12"/>
        <v>003</v>
      </c>
    </row>
    <row r="799" spans="1:12" x14ac:dyDescent="0.3">
      <c r="A799" s="136">
        <v>795</v>
      </c>
      <c r="B799" s="137" t="s">
        <v>14134</v>
      </c>
      <c r="C799" s="10" t="str">
        <f>VLOOKUP(B799,'Data Angt'!$A$5:$B$5809,2,FALSE)</f>
        <v>A5102</v>
      </c>
      <c r="D799" s="137" t="s">
        <v>21959</v>
      </c>
      <c r="E799" s="137" t="s">
        <v>22</v>
      </c>
      <c r="F799" s="137">
        <v>82334404881</v>
      </c>
      <c r="G799" s="137" t="s">
        <v>46</v>
      </c>
      <c r="H799" s="138">
        <v>45622</v>
      </c>
      <c r="I799" s="139" t="s">
        <v>384</v>
      </c>
      <c r="J799" s="137" t="s">
        <v>21960</v>
      </c>
      <c r="K799" s="137">
        <v>52</v>
      </c>
      <c r="L799" s="133" t="str">
        <f t="shared" si="12"/>
        <v>001</v>
      </c>
    </row>
    <row r="800" spans="1:12" x14ac:dyDescent="0.3">
      <c r="A800" s="136">
        <v>796</v>
      </c>
      <c r="B800" s="137" t="s">
        <v>14081</v>
      </c>
      <c r="C800" s="10" t="str">
        <f>VLOOKUP(B800,'Data Angt'!$A$5:$B$5809,2,FALSE)</f>
        <v>A5076</v>
      </c>
      <c r="D800" s="137" t="s">
        <v>21961</v>
      </c>
      <c r="E800" s="137" t="s">
        <v>22</v>
      </c>
      <c r="F800" s="137">
        <v>82299016698</v>
      </c>
      <c r="G800" s="137" t="s">
        <v>109</v>
      </c>
      <c r="H800" s="138">
        <v>45614</v>
      </c>
      <c r="I800" s="139" t="s">
        <v>384</v>
      </c>
      <c r="J800" s="137" t="s">
        <v>21962</v>
      </c>
      <c r="K800" s="137">
        <v>42</v>
      </c>
      <c r="L800" s="133" t="str">
        <f t="shared" si="12"/>
        <v>001</v>
      </c>
    </row>
    <row r="801" spans="1:12" x14ac:dyDescent="0.3">
      <c r="A801" s="136">
        <v>797</v>
      </c>
      <c r="B801" s="137" t="s">
        <v>14083</v>
      </c>
      <c r="C801" s="10" t="str">
        <f>VLOOKUP(B801,'Data Angt'!$A$5:$B$5809,2,FALSE)</f>
        <v>A5077</v>
      </c>
      <c r="D801" s="137" t="s">
        <v>21963</v>
      </c>
      <c r="E801" s="137" t="s">
        <v>22</v>
      </c>
      <c r="F801" s="137">
        <v>8123466626</v>
      </c>
      <c r="G801" s="137" t="s">
        <v>31</v>
      </c>
      <c r="H801" s="138">
        <v>45615</v>
      </c>
      <c r="I801" s="139" t="s">
        <v>384</v>
      </c>
      <c r="J801" s="137" t="s">
        <v>21964</v>
      </c>
      <c r="K801" s="137">
        <v>54</v>
      </c>
      <c r="L801" s="133" t="str">
        <f t="shared" si="12"/>
        <v>001</v>
      </c>
    </row>
    <row r="802" spans="1:12" x14ac:dyDescent="0.3">
      <c r="A802" s="136">
        <v>798</v>
      </c>
      <c r="B802" s="137" t="s">
        <v>14085</v>
      </c>
      <c r="C802" s="10" t="str">
        <f>VLOOKUP(B802,'Data Angt'!$A$5:$B$5809,2,FALSE)</f>
        <v>A5078</v>
      </c>
      <c r="D802" s="137" t="s">
        <v>21965</v>
      </c>
      <c r="E802" s="137" t="s">
        <v>11</v>
      </c>
      <c r="F802" s="137">
        <v>82338950690</v>
      </c>
      <c r="G802" s="137" t="s">
        <v>109</v>
      </c>
      <c r="H802" s="138">
        <v>45615</v>
      </c>
      <c r="I802" s="139" t="s">
        <v>384</v>
      </c>
      <c r="J802" s="137" t="s">
        <v>21966</v>
      </c>
      <c r="K802" s="137">
        <v>47</v>
      </c>
      <c r="L802" s="133" t="str">
        <f t="shared" si="12"/>
        <v>004</v>
      </c>
    </row>
    <row r="803" spans="1:12" x14ac:dyDescent="0.3">
      <c r="A803" s="136">
        <v>799</v>
      </c>
      <c r="B803" s="137" t="s">
        <v>14088</v>
      </c>
      <c r="C803" s="10" t="str">
        <f>VLOOKUP(B803,'Data Angt'!$A$5:$B$5809,2,FALSE)</f>
        <v>A5079</v>
      </c>
      <c r="D803" s="137" t="s">
        <v>21967</v>
      </c>
      <c r="E803" s="137" t="s">
        <v>22</v>
      </c>
      <c r="F803" s="137">
        <v>81336487725</v>
      </c>
      <c r="G803" s="137" t="s">
        <v>46</v>
      </c>
      <c r="H803" s="138">
        <v>45615</v>
      </c>
      <c r="I803" s="139" t="s">
        <v>384</v>
      </c>
      <c r="J803" s="137" t="s">
        <v>21968</v>
      </c>
      <c r="K803" s="137">
        <v>45</v>
      </c>
      <c r="L803" s="133" t="str">
        <f t="shared" si="12"/>
        <v>004</v>
      </c>
    </row>
    <row r="804" spans="1:12" x14ac:dyDescent="0.3">
      <c r="A804" s="136">
        <v>800</v>
      </c>
      <c r="B804" s="137" t="s">
        <v>14091</v>
      </c>
      <c r="C804" s="10" t="str">
        <f>VLOOKUP(B804,'Data Angt'!$A$5:$B$5809,2,FALSE)</f>
        <v>A5080</v>
      </c>
      <c r="D804" s="137" t="s">
        <v>21969</v>
      </c>
      <c r="E804" s="137" t="s">
        <v>22</v>
      </c>
      <c r="F804" s="137">
        <v>82244732718</v>
      </c>
      <c r="G804" s="137" t="s">
        <v>109</v>
      </c>
      <c r="H804" s="138">
        <v>45615</v>
      </c>
      <c r="I804" s="139" t="s">
        <v>384</v>
      </c>
      <c r="J804" s="137" t="s">
        <v>21970</v>
      </c>
      <c r="K804" s="137">
        <v>35</v>
      </c>
      <c r="L804" s="133" t="str">
        <f t="shared" si="12"/>
        <v>001</v>
      </c>
    </row>
    <row r="805" spans="1:12" x14ac:dyDescent="0.3">
      <c r="A805" s="136">
        <v>801</v>
      </c>
      <c r="B805" s="137" t="s">
        <v>14094</v>
      </c>
      <c r="C805" s="10" t="str">
        <f>VLOOKUP(B805,'Data Angt'!$A$5:$B$5809,2,FALSE)</f>
        <v>A5081</v>
      </c>
      <c r="D805" s="137" t="s">
        <v>21971</v>
      </c>
      <c r="E805" s="137" t="s">
        <v>11</v>
      </c>
      <c r="F805" s="137">
        <v>81249595995</v>
      </c>
      <c r="G805" s="137" t="s">
        <v>13</v>
      </c>
      <c r="H805" s="138">
        <v>45616</v>
      </c>
      <c r="I805" s="139" t="s">
        <v>384</v>
      </c>
      <c r="J805" s="137" t="s">
        <v>21972</v>
      </c>
      <c r="K805" s="137">
        <v>65</v>
      </c>
      <c r="L805" s="133" t="str">
        <f t="shared" si="12"/>
        <v>003</v>
      </c>
    </row>
    <row r="806" spans="1:12" x14ac:dyDescent="0.3">
      <c r="A806" s="136">
        <v>802</v>
      </c>
      <c r="B806" s="137" t="s">
        <v>14096</v>
      </c>
      <c r="C806" s="10" t="str">
        <f>VLOOKUP(B806,'Data Angt'!$A$5:$B$5809,2,FALSE)</f>
        <v>A5082</v>
      </c>
      <c r="D806" s="137" t="s">
        <v>21973</v>
      </c>
      <c r="E806" s="137" t="s">
        <v>22</v>
      </c>
      <c r="F806" s="137">
        <v>82347255643</v>
      </c>
      <c r="G806" s="137" t="s">
        <v>46</v>
      </c>
      <c r="H806" s="138">
        <v>45617</v>
      </c>
      <c r="I806" s="139" t="s">
        <v>384</v>
      </c>
      <c r="J806" s="137" t="s">
        <v>21974</v>
      </c>
      <c r="K806" s="137">
        <v>44</v>
      </c>
      <c r="L806" s="133" t="str">
        <f t="shared" si="12"/>
        <v>001</v>
      </c>
    </row>
    <row r="807" spans="1:12" x14ac:dyDescent="0.3">
      <c r="A807" s="136">
        <v>803</v>
      </c>
      <c r="B807" s="137" t="s">
        <v>14097</v>
      </c>
      <c r="C807" s="10" t="str">
        <f>VLOOKUP(B807,'Data Angt'!$A$5:$B$5809,2,FALSE)</f>
        <v>A5083</v>
      </c>
      <c r="D807" s="137" t="s">
        <v>21177</v>
      </c>
      <c r="E807" s="137" t="s">
        <v>22</v>
      </c>
      <c r="F807" s="137">
        <v>89629934071</v>
      </c>
      <c r="G807" s="137" t="s">
        <v>31</v>
      </c>
      <c r="H807" s="138">
        <v>45617</v>
      </c>
      <c r="I807" s="139" t="s">
        <v>384</v>
      </c>
      <c r="J807" s="137" t="s">
        <v>21975</v>
      </c>
      <c r="K807" s="137">
        <v>47</v>
      </c>
      <c r="L807" s="133" t="str">
        <f t="shared" si="12"/>
        <v>001</v>
      </c>
    </row>
    <row r="808" spans="1:12" x14ac:dyDescent="0.3">
      <c r="A808" s="136">
        <v>804</v>
      </c>
      <c r="B808" s="137" t="s">
        <v>14098</v>
      </c>
      <c r="C808" s="10" t="str">
        <f>VLOOKUP(B808,'Data Angt'!$A$5:$B$5809,2,FALSE)</f>
        <v>A5084</v>
      </c>
      <c r="D808" s="137" t="s">
        <v>21976</v>
      </c>
      <c r="E808" s="137" t="s">
        <v>22</v>
      </c>
      <c r="F808" s="137">
        <v>85775052014</v>
      </c>
      <c r="G808" s="137" t="s">
        <v>46</v>
      </c>
      <c r="H808" s="138">
        <v>45617</v>
      </c>
      <c r="I808" s="139" t="s">
        <v>384</v>
      </c>
      <c r="J808" s="137" t="s">
        <v>21977</v>
      </c>
      <c r="K808" s="137">
        <v>23</v>
      </c>
      <c r="L808" s="133" t="str">
        <f t="shared" si="12"/>
        <v>001</v>
      </c>
    </row>
    <row r="809" spans="1:12" x14ac:dyDescent="0.3">
      <c r="A809" s="136">
        <v>805</v>
      </c>
      <c r="B809" s="137" t="s">
        <v>14101</v>
      </c>
      <c r="C809" s="10" t="str">
        <f>VLOOKUP(B809,'Data Angt'!$A$5:$B$5809,2,FALSE)</f>
        <v>A5085</v>
      </c>
      <c r="D809" s="137" t="s">
        <v>21978</v>
      </c>
      <c r="E809" s="137" t="s">
        <v>11</v>
      </c>
      <c r="F809" s="137">
        <v>82141523337</v>
      </c>
      <c r="G809" s="137" t="s">
        <v>46</v>
      </c>
      <c r="H809" s="138">
        <v>45617</v>
      </c>
      <c r="I809" s="139" t="s">
        <v>384</v>
      </c>
      <c r="J809" s="137" t="s">
        <v>21979</v>
      </c>
      <c r="K809" s="137">
        <v>36</v>
      </c>
      <c r="L809" s="133" t="str">
        <f t="shared" si="12"/>
        <v>005</v>
      </c>
    </row>
    <row r="810" spans="1:12" x14ac:dyDescent="0.3">
      <c r="A810" s="136">
        <v>806</v>
      </c>
      <c r="B810" s="137" t="s">
        <v>14107</v>
      </c>
      <c r="C810" s="10" t="str">
        <f>VLOOKUP(B810,'Data Angt'!$A$5:$B$5809,2,FALSE)</f>
        <v>A5088</v>
      </c>
      <c r="D810" s="137" t="s">
        <v>21980</v>
      </c>
      <c r="E810" s="137" t="s">
        <v>22</v>
      </c>
      <c r="F810" s="137">
        <v>86666614</v>
      </c>
      <c r="G810" s="137" t="s">
        <v>46</v>
      </c>
      <c r="H810" s="138">
        <v>45618</v>
      </c>
      <c r="I810" s="139" t="s">
        <v>384</v>
      </c>
      <c r="J810" s="137" t="s">
        <v>19704</v>
      </c>
      <c r="K810" s="137">
        <v>60</v>
      </c>
      <c r="L810" s="133" t="str">
        <f t="shared" si="12"/>
        <v>004</v>
      </c>
    </row>
    <row r="811" spans="1:12" x14ac:dyDescent="0.3">
      <c r="A811" s="136">
        <v>807</v>
      </c>
      <c r="B811" s="137" t="s">
        <v>14103</v>
      </c>
      <c r="C811" s="10" t="e">
        <f>VLOOKUP(B811,'Data Angt'!$A$5:$B$5809,2,FALSE)</f>
        <v>#N/A</v>
      </c>
      <c r="D811" s="137" t="s">
        <v>21981</v>
      </c>
      <c r="E811" s="137" t="s">
        <v>22</v>
      </c>
      <c r="F811" s="137">
        <v>82325969142</v>
      </c>
      <c r="G811" s="137" t="s">
        <v>109</v>
      </c>
      <c r="H811" s="138">
        <v>45617</v>
      </c>
      <c r="I811" s="138">
        <v>45869</v>
      </c>
      <c r="J811" s="137" t="s">
        <v>19551</v>
      </c>
      <c r="K811" s="137">
        <v>56</v>
      </c>
      <c r="L811" s="133" t="str">
        <f t="shared" si="12"/>
        <v>002</v>
      </c>
    </row>
    <row r="812" spans="1:12" x14ac:dyDescent="0.3">
      <c r="A812" s="136">
        <v>808</v>
      </c>
      <c r="B812" s="137" t="s">
        <v>14104</v>
      </c>
      <c r="C812" s="10" t="str">
        <f>VLOOKUP(B812,'Data Angt'!$A$5:$B$5809,2,FALSE)</f>
        <v>A5086</v>
      </c>
      <c r="D812" s="137" t="s">
        <v>20971</v>
      </c>
      <c r="E812" s="137" t="s">
        <v>22</v>
      </c>
      <c r="F812" s="137">
        <v>81234567890</v>
      </c>
      <c r="G812" s="137" t="s">
        <v>109</v>
      </c>
      <c r="H812" s="138">
        <v>45617</v>
      </c>
      <c r="I812" s="139" t="s">
        <v>384</v>
      </c>
      <c r="J812" s="137" t="s">
        <v>19551</v>
      </c>
      <c r="K812" s="137">
        <v>64</v>
      </c>
      <c r="L812" s="133" t="str">
        <f t="shared" si="12"/>
        <v>002</v>
      </c>
    </row>
    <row r="813" spans="1:12" x14ac:dyDescent="0.3">
      <c r="A813" s="136">
        <v>809</v>
      </c>
      <c r="B813" s="137" t="s">
        <v>21982</v>
      </c>
      <c r="C813" s="10" t="e">
        <f>VLOOKUP(B813,'Data Angt'!$A$5:$B$5809,2,FALSE)</f>
        <v>#N/A</v>
      </c>
      <c r="D813" s="137" t="s">
        <v>21983</v>
      </c>
      <c r="E813" s="137" t="s">
        <v>22</v>
      </c>
      <c r="F813" s="137">
        <v>82132272521</v>
      </c>
      <c r="G813" s="137" t="s">
        <v>46</v>
      </c>
      <c r="H813" s="138">
        <v>45617</v>
      </c>
      <c r="I813" s="138">
        <v>45911</v>
      </c>
      <c r="J813" s="137" t="s">
        <v>21984</v>
      </c>
      <c r="K813" s="137">
        <v>52</v>
      </c>
      <c r="L813" s="133" t="str">
        <f t="shared" si="12"/>
        <v>003</v>
      </c>
    </row>
    <row r="814" spans="1:12" x14ac:dyDescent="0.3">
      <c r="A814" s="136">
        <v>810</v>
      </c>
      <c r="B814" s="137" t="s">
        <v>14105</v>
      </c>
      <c r="C814" s="10" t="str">
        <f>VLOOKUP(B814,'Data Angt'!$A$5:$B$5809,2,FALSE)</f>
        <v>A5087</v>
      </c>
      <c r="D814" s="137" t="s">
        <v>21985</v>
      </c>
      <c r="E814" s="137" t="s">
        <v>11</v>
      </c>
      <c r="F814" s="137">
        <v>8881969018</v>
      </c>
      <c r="G814" s="137" t="s">
        <v>109</v>
      </c>
      <c r="H814" s="138">
        <v>45617</v>
      </c>
      <c r="I814" s="139" t="s">
        <v>384</v>
      </c>
      <c r="J814" s="137" t="s">
        <v>21986</v>
      </c>
      <c r="K814" s="137">
        <v>46</v>
      </c>
      <c r="L814" s="133" t="str">
        <f t="shared" si="12"/>
        <v>006</v>
      </c>
    </row>
    <row r="815" spans="1:12" x14ac:dyDescent="0.3">
      <c r="A815" s="136">
        <v>811</v>
      </c>
      <c r="B815" s="137" t="s">
        <v>14108</v>
      </c>
      <c r="C815" s="10" t="str">
        <f>VLOOKUP(B815,'Data Angt'!$A$5:$B$5809,2,FALSE)</f>
        <v>A5089</v>
      </c>
      <c r="D815" s="137" t="s">
        <v>21987</v>
      </c>
      <c r="E815" s="137" t="s">
        <v>22</v>
      </c>
      <c r="F815" s="137">
        <v>81334262643</v>
      </c>
      <c r="G815" s="137" t="s">
        <v>31</v>
      </c>
      <c r="H815" s="138">
        <v>45618</v>
      </c>
      <c r="I815" s="139" t="s">
        <v>384</v>
      </c>
      <c r="J815" s="137" t="s">
        <v>21988</v>
      </c>
      <c r="K815" s="137">
        <v>26</v>
      </c>
      <c r="L815" s="133" t="str">
        <f t="shared" si="12"/>
        <v>003</v>
      </c>
    </row>
    <row r="816" spans="1:12" x14ac:dyDescent="0.3">
      <c r="A816" s="136">
        <v>812</v>
      </c>
      <c r="B816" s="137" t="s">
        <v>14111</v>
      </c>
      <c r="C816" s="10" t="str">
        <f>VLOOKUP(B816,'Data Angt'!$A$5:$B$5809,2,FALSE)</f>
        <v>A5090</v>
      </c>
      <c r="D816" s="137" t="s">
        <v>21989</v>
      </c>
      <c r="E816" s="137" t="s">
        <v>22</v>
      </c>
      <c r="F816" s="137">
        <v>82301501391</v>
      </c>
      <c r="G816" s="137" t="s">
        <v>31</v>
      </c>
      <c r="H816" s="138">
        <v>45618</v>
      </c>
      <c r="I816" s="139" t="s">
        <v>384</v>
      </c>
      <c r="J816" s="137" t="s">
        <v>20624</v>
      </c>
      <c r="K816" s="137">
        <v>31</v>
      </c>
      <c r="L816" s="133" t="str">
        <f t="shared" si="12"/>
        <v>002</v>
      </c>
    </row>
    <row r="817" spans="1:12" x14ac:dyDescent="0.3">
      <c r="A817" s="136">
        <v>813</v>
      </c>
      <c r="B817" s="137" t="s">
        <v>21990</v>
      </c>
      <c r="C817" s="10" t="e">
        <f>VLOOKUP(B817,'Data Angt'!$A$5:$B$5809,2,FALSE)</f>
        <v>#N/A</v>
      </c>
      <c r="D817" s="137" t="s">
        <v>21991</v>
      </c>
      <c r="E817" s="137" t="s">
        <v>22</v>
      </c>
      <c r="F817" s="137">
        <v>81333039564</v>
      </c>
      <c r="G817" s="137" t="s">
        <v>109</v>
      </c>
      <c r="H817" s="138">
        <v>45618</v>
      </c>
      <c r="I817" s="138">
        <v>45688</v>
      </c>
      <c r="J817" s="137" t="s">
        <v>21992</v>
      </c>
      <c r="K817" s="137">
        <v>54</v>
      </c>
      <c r="L817" s="133" t="str">
        <f t="shared" si="12"/>
        <v>003</v>
      </c>
    </row>
    <row r="818" spans="1:12" x14ac:dyDescent="0.3">
      <c r="A818" s="136">
        <v>814</v>
      </c>
      <c r="B818" s="137" t="s">
        <v>14113</v>
      </c>
      <c r="C818" s="10" t="str">
        <f>VLOOKUP(B818,'Data Angt'!$A$5:$B$5809,2,FALSE)</f>
        <v>A5091</v>
      </c>
      <c r="D818" s="137" t="s">
        <v>21976</v>
      </c>
      <c r="E818" s="137" t="s">
        <v>22</v>
      </c>
      <c r="F818" s="137">
        <v>81237150652</v>
      </c>
      <c r="G818" s="137" t="s">
        <v>109</v>
      </c>
      <c r="H818" s="138">
        <v>45619</v>
      </c>
      <c r="I818" s="139" t="s">
        <v>384</v>
      </c>
      <c r="J818" s="137" t="s">
        <v>21993</v>
      </c>
      <c r="K818" s="137">
        <v>23</v>
      </c>
      <c r="L818" s="133" t="str">
        <f t="shared" si="12"/>
        <v>001</v>
      </c>
    </row>
    <row r="819" spans="1:12" x14ac:dyDescent="0.3">
      <c r="A819" s="136">
        <v>815</v>
      </c>
      <c r="B819" s="137" t="s">
        <v>14114</v>
      </c>
      <c r="C819" s="10" t="str">
        <f>VLOOKUP(B819,'Data Angt'!$A$5:$B$5809,2,FALSE)</f>
        <v>A5092</v>
      </c>
      <c r="D819" s="137" t="s">
        <v>21994</v>
      </c>
      <c r="E819" s="137" t="s">
        <v>22</v>
      </c>
      <c r="F819" s="137">
        <v>89615944774</v>
      </c>
      <c r="G819" s="137" t="s">
        <v>31</v>
      </c>
      <c r="H819" s="138">
        <v>45619</v>
      </c>
      <c r="I819" s="139" t="s">
        <v>384</v>
      </c>
      <c r="J819" s="137" t="s">
        <v>21995</v>
      </c>
      <c r="K819" s="137">
        <v>58</v>
      </c>
      <c r="L819" s="133" t="str">
        <f t="shared" si="12"/>
        <v>005</v>
      </c>
    </row>
    <row r="820" spans="1:12" x14ac:dyDescent="0.3">
      <c r="A820" s="136">
        <v>816</v>
      </c>
      <c r="B820" s="137" t="s">
        <v>14116</v>
      </c>
      <c r="C820" s="10" t="str">
        <f>VLOOKUP(B820,'Data Angt'!$A$5:$B$5809,2,FALSE)</f>
        <v>A5093</v>
      </c>
      <c r="D820" s="137" t="s">
        <v>21996</v>
      </c>
      <c r="E820" s="137" t="s">
        <v>22</v>
      </c>
      <c r="F820" s="137">
        <v>852666729264</v>
      </c>
      <c r="G820" s="137" t="s">
        <v>109</v>
      </c>
      <c r="H820" s="138">
        <v>45619</v>
      </c>
      <c r="I820" s="139" t="s">
        <v>384</v>
      </c>
      <c r="J820" s="137" t="s">
        <v>19274</v>
      </c>
      <c r="K820" s="137">
        <v>37</v>
      </c>
      <c r="L820" s="133" t="str">
        <f t="shared" si="12"/>
        <v>001</v>
      </c>
    </row>
    <row r="821" spans="1:12" x14ac:dyDescent="0.3">
      <c r="A821" s="136">
        <v>817</v>
      </c>
      <c r="B821" s="137" t="s">
        <v>14119</v>
      </c>
      <c r="C821" s="10" t="str">
        <f>VLOOKUP(B821,'Data Angt'!$A$5:$B$5809,2,FALSE)</f>
        <v>A5094</v>
      </c>
      <c r="D821" s="137" t="s">
        <v>21997</v>
      </c>
      <c r="E821" s="137" t="s">
        <v>22</v>
      </c>
      <c r="F821" s="137">
        <v>82233475058</v>
      </c>
      <c r="G821" s="137" t="s">
        <v>31</v>
      </c>
      <c r="H821" s="138">
        <v>45619</v>
      </c>
      <c r="I821" s="139" t="s">
        <v>384</v>
      </c>
      <c r="J821" s="137" t="s">
        <v>21998</v>
      </c>
      <c r="K821" s="137">
        <v>46</v>
      </c>
      <c r="L821" s="133" t="str">
        <f t="shared" si="12"/>
        <v>001</v>
      </c>
    </row>
    <row r="822" spans="1:12" x14ac:dyDescent="0.3">
      <c r="A822" s="136">
        <v>818</v>
      </c>
      <c r="B822" s="137" t="s">
        <v>14120</v>
      </c>
      <c r="C822" s="10" t="str">
        <f>VLOOKUP(B822,'Data Angt'!$A$5:$B$5809,2,FALSE)</f>
        <v>A5095</v>
      </c>
      <c r="D822" s="137" t="s">
        <v>21999</v>
      </c>
      <c r="E822" s="137" t="s">
        <v>11</v>
      </c>
      <c r="F822" s="137">
        <v>82325051219</v>
      </c>
      <c r="G822" s="137" t="s">
        <v>1331</v>
      </c>
      <c r="H822" s="138">
        <v>45621</v>
      </c>
      <c r="I822" s="139" t="s">
        <v>384</v>
      </c>
      <c r="J822" s="137" t="s">
        <v>22000</v>
      </c>
      <c r="K822" s="137">
        <v>24</v>
      </c>
      <c r="L822" s="133" t="str">
        <f t="shared" si="12"/>
        <v>002</v>
      </c>
    </row>
    <row r="823" spans="1:12" x14ac:dyDescent="0.3">
      <c r="A823" s="136">
        <v>819</v>
      </c>
      <c r="B823" s="137" t="s">
        <v>14122</v>
      </c>
      <c r="C823" s="10" t="str">
        <f>VLOOKUP(B823,'Data Angt'!$A$5:$B$5809,2,FALSE)</f>
        <v>A5096</v>
      </c>
      <c r="D823" s="137" t="s">
        <v>22001</v>
      </c>
      <c r="E823" s="137" t="s">
        <v>22</v>
      </c>
      <c r="F823" s="137">
        <v>82228384401</v>
      </c>
      <c r="G823" s="137" t="s">
        <v>109</v>
      </c>
      <c r="H823" s="138">
        <v>45621</v>
      </c>
      <c r="I823" s="139" t="s">
        <v>384</v>
      </c>
      <c r="J823" s="137" t="s">
        <v>22002</v>
      </c>
      <c r="K823" s="137">
        <v>25</v>
      </c>
      <c r="L823" s="133" t="str">
        <f t="shared" si="12"/>
        <v>001</v>
      </c>
    </row>
    <row r="824" spans="1:12" x14ac:dyDescent="0.3">
      <c r="A824" s="136">
        <v>820</v>
      </c>
      <c r="B824" s="137" t="s">
        <v>14125</v>
      </c>
      <c r="C824" s="10" t="str">
        <f>VLOOKUP(B824,'Data Angt'!$A$5:$B$5809,2,FALSE)</f>
        <v>A5097</v>
      </c>
      <c r="D824" s="137" t="s">
        <v>22003</v>
      </c>
      <c r="E824" s="137" t="s">
        <v>22</v>
      </c>
      <c r="F824" s="137">
        <v>82335787626</v>
      </c>
      <c r="G824" s="137"/>
      <c r="H824" s="138">
        <v>45621</v>
      </c>
      <c r="I824" s="139" t="s">
        <v>384</v>
      </c>
      <c r="J824" s="137" t="s">
        <v>22004</v>
      </c>
      <c r="K824" s="137">
        <v>39</v>
      </c>
      <c r="L824" s="133" t="str">
        <f t="shared" si="12"/>
        <v>001</v>
      </c>
    </row>
    <row r="825" spans="1:12" x14ac:dyDescent="0.3">
      <c r="A825" s="136">
        <v>821</v>
      </c>
      <c r="B825" s="137" t="s">
        <v>14126</v>
      </c>
      <c r="C825" s="10" t="str">
        <f>VLOOKUP(B825,'Data Angt'!$A$5:$B$5809,2,FALSE)</f>
        <v>A5098</v>
      </c>
      <c r="D825" s="137" t="s">
        <v>22005</v>
      </c>
      <c r="E825" s="137" t="s">
        <v>11</v>
      </c>
      <c r="F825" s="137">
        <v>81336539308</v>
      </c>
      <c r="G825" s="137" t="s">
        <v>46</v>
      </c>
      <c r="H825" s="138">
        <v>45621</v>
      </c>
      <c r="I825" s="139" t="s">
        <v>384</v>
      </c>
      <c r="J825" s="137" t="s">
        <v>22006</v>
      </c>
      <c r="K825" s="137">
        <v>36</v>
      </c>
      <c r="L825" s="133" t="str">
        <f t="shared" si="12"/>
        <v>003</v>
      </c>
    </row>
    <row r="826" spans="1:12" x14ac:dyDescent="0.3">
      <c r="A826" s="136">
        <v>822</v>
      </c>
      <c r="B826" s="137" t="s">
        <v>14128</v>
      </c>
      <c r="C826" s="10" t="str">
        <f>VLOOKUP(B826,'Data Angt'!$A$5:$B$5809,2,FALSE)</f>
        <v>A5099</v>
      </c>
      <c r="D826" s="137" t="s">
        <v>22007</v>
      </c>
      <c r="E826" s="137" t="s">
        <v>22</v>
      </c>
      <c r="F826" s="137">
        <v>82335247899</v>
      </c>
      <c r="G826" s="137" t="s">
        <v>109</v>
      </c>
      <c r="H826" s="138">
        <v>45621</v>
      </c>
      <c r="I826" s="139" t="s">
        <v>384</v>
      </c>
      <c r="J826" s="137" t="s">
        <v>22008</v>
      </c>
      <c r="K826" s="137">
        <v>41</v>
      </c>
      <c r="L826" s="133" t="str">
        <f t="shared" si="12"/>
        <v>003</v>
      </c>
    </row>
    <row r="827" spans="1:12" x14ac:dyDescent="0.3">
      <c r="A827" s="136">
        <v>823</v>
      </c>
      <c r="B827" s="137" t="s">
        <v>14130</v>
      </c>
      <c r="C827" s="10" t="str">
        <f>VLOOKUP(B827,'Data Angt'!$A$5:$B$5809,2,FALSE)</f>
        <v>A5100</v>
      </c>
      <c r="D827" s="137" t="s">
        <v>22009</v>
      </c>
      <c r="E827" s="137" t="s">
        <v>22</v>
      </c>
      <c r="F827" s="137">
        <v>87858432768</v>
      </c>
      <c r="G827" s="137" t="s">
        <v>31</v>
      </c>
      <c r="H827" s="138">
        <v>45621</v>
      </c>
      <c r="I827" s="139" t="s">
        <v>384</v>
      </c>
      <c r="J827" s="137" t="s">
        <v>22010</v>
      </c>
      <c r="K827" s="137">
        <v>18</v>
      </c>
      <c r="L827" s="133" t="str">
        <f t="shared" si="12"/>
        <v>006</v>
      </c>
    </row>
    <row r="828" spans="1:12" x14ac:dyDescent="0.3">
      <c r="A828" s="136">
        <v>824</v>
      </c>
      <c r="B828" s="137" t="s">
        <v>14132</v>
      </c>
      <c r="C828" s="10" t="str">
        <f>VLOOKUP(B828,'Data Angt'!$A$5:$B$5809,2,FALSE)</f>
        <v>A5101</v>
      </c>
      <c r="D828" s="137" t="s">
        <v>22011</v>
      </c>
      <c r="E828" s="137" t="s">
        <v>22</v>
      </c>
      <c r="F828" s="137">
        <v>85877599163</v>
      </c>
      <c r="G828" s="137" t="s">
        <v>109</v>
      </c>
      <c r="H828" s="138">
        <v>45621</v>
      </c>
      <c r="I828" s="139" t="s">
        <v>384</v>
      </c>
      <c r="J828" s="137" t="s">
        <v>22012</v>
      </c>
      <c r="K828" s="137">
        <v>21</v>
      </c>
      <c r="L828" s="133" t="str">
        <f t="shared" si="12"/>
        <v>006</v>
      </c>
    </row>
    <row r="829" spans="1:12" x14ac:dyDescent="0.3">
      <c r="A829" s="136">
        <v>825</v>
      </c>
      <c r="B829" s="137" t="s">
        <v>14135</v>
      </c>
      <c r="C829" s="10" t="str">
        <f>VLOOKUP(B829,'Data Angt'!$A$5:$B$5809,2,FALSE)</f>
        <v>A5103</v>
      </c>
      <c r="D829" s="137" t="s">
        <v>22013</v>
      </c>
      <c r="E829" s="137" t="s">
        <v>22</v>
      </c>
      <c r="F829" s="137">
        <v>87833636619</v>
      </c>
      <c r="G829" s="137" t="s">
        <v>31</v>
      </c>
      <c r="H829" s="138">
        <v>45622</v>
      </c>
      <c r="I829" s="139" t="s">
        <v>384</v>
      </c>
      <c r="J829" s="137" t="s">
        <v>22014</v>
      </c>
      <c r="K829" s="137">
        <v>57</v>
      </c>
      <c r="L829" s="133" t="str">
        <f t="shared" si="12"/>
        <v>001</v>
      </c>
    </row>
    <row r="830" spans="1:12" x14ac:dyDescent="0.3">
      <c r="A830" s="136">
        <v>826</v>
      </c>
      <c r="B830" s="137" t="s">
        <v>14137</v>
      </c>
      <c r="C830" s="10" t="str">
        <f>VLOOKUP(B830,'Data Angt'!$A$5:$B$5809,2,FALSE)</f>
        <v>A5104</v>
      </c>
      <c r="D830" s="137" t="s">
        <v>22015</v>
      </c>
      <c r="E830" s="137" t="s">
        <v>11</v>
      </c>
      <c r="F830" s="137">
        <v>82335738719</v>
      </c>
      <c r="G830" s="137" t="s">
        <v>109</v>
      </c>
      <c r="H830" s="138">
        <v>45622</v>
      </c>
      <c r="I830" s="139" t="s">
        <v>384</v>
      </c>
      <c r="J830" s="137" t="s">
        <v>22016</v>
      </c>
      <c r="K830" s="137">
        <v>24</v>
      </c>
      <c r="L830" s="133" t="str">
        <f t="shared" si="12"/>
        <v>001</v>
      </c>
    </row>
    <row r="831" spans="1:12" x14ac:dyDescent="0.3">
      <c r="A831" s="136">
        <v>827</v>
      </c>
      <c r="B831" s="137" t="s">
        <v>14139</v>
      </c>
      <c r="C831" s="10" t="str">
        <f>VLOOKUP(B831,'Data Angt'!$A$5:$B$5809,2,FALSE)</f>
        <v>A5105</v>
      </c>
      <c r="D831" s="137" t="s">
        <v>22017</v>
      </c>
      <c r="E831" s="137" t="s">
        <v>22</v>
      </c>
      <c r="F831" s="137">
        <v>82139575608</v>
      </c>
      <c r="G831" s="137" t="s">
        <v>31</v>
      </c>
      <c r="H831" s="138">
        <v>45622</v>
      </c>
      <c r="I831" s="139" t="s">
        <v>384</v>
      </c>
      <c r="J831" s="137" t="s">
        <v>22018</v>
      </c>
      <c r="K831" s="137">
        <v>29</v>
      </c>
      <c r="L831" s="133" t="str">
        <f t="shared" si="12"/>
        <v>001</v>
      </c>
    </row>
    <row r="832" spans="1:12" x14ac:dyDescent="0.3">
      <c r="A832" s="136">
        <v>828</v>
      </c>
      <c r="B832" s="137" t="s">
        <v>14140</v>
      </c>
      <c r="C832" s="10" t="str">
        <f>VLOOKUP(B832,'Data Angt'!$A$5:$B$5809,2,FALSE)</f>
        <v>A5106</v>
      </c>
      <c r="D832" s="137" t="s">
        <v>22019</v>
      </c>
      <c r="E832" s="137" t="s">
        <v>22</v>
      </c>
      <c r="F832" s="137">
        <v>85710576188</v>
      </c>
      <c r="G832" s="137" t="s">
        <v>16</v>
      </c>
      <c r="H832" s="138">
        <v>45622</v>
      </c>
      <c r="I832" s="139" t="s">
        <v>384</v>
      </c>
      <c r="J832" s="137" t="s">
        <v>22020</v>
      </c>
      <c r="K832" s="137">
        <v>42</v>
      </c>
      <c r="L832" s="133" t="str">
        <f t="shared" si="12"/>
        <v>001</v>
      </c>
    </row>
    <row r="833" spans="1:12" x14ac:dyDescent="0.3">
      <c r="A833" s="136">
        <v>829</v>
      </c>
      <c r="B833" s="137" t="s">
        <v>14143</v>
      </c>
      <c r="C833" s="10" t="str">
        <f>VLOOKUP(B833,'Data Angt'!$A$5:$B$5809,2,FALSE)</f>
        <v>A5107</v>
      </c>
      <c r="D833" s="137" t="s">
        <v>22021</v>
      </c>
      <c r="E833" s="137" t="s">
        <v>22</v>
      </c>
      <c r="F833" s="137">
        <v>83173802681</v>
      </c>
      <c r="G833" s="137" t="s">
        <v>31</v>
      </c>
      <c r="H833" s="138">
        <v>45624</v>
      </c>
      <c r="I833" s="139" t="s">
        <v>384</v>
      </c>
      <c r="J833" s="137" t="s">
        <v>22022</v>
      </c>
      <c r="K833" s="137">
        <v>39</v>
      </c>
      <c r="L833" s="133" t="str">
        <f t="shared" si="12"/>
        <v>003</v>
      </c>
    </row>
    <row r="834" spans="1:12" x14ac:dyDescent="0.3">
      <c r="A834" s="136">
        <v>830</v>
      </c>
      <c r="B834" s="137" t="s">
        <v>14145</v>
      </c>
      <c r="C834" s="10" t="str">
        <f>VLOOKUP(B834,'Data Angt'!$A$5:$B$5809,2,FALSE)</f>
        <v>A5108</v>
      </c>
      <c r="D834" s="137" t="s">
        <v>22023</v>
      </c>
      <c r="E834" s="137" t="s">
        <v>11</v>
      </c>
      <c r="F834" s="137">
        <v>81234445548</v>
      </c>
      <c r="G834" s="137" t="s">
        <v>109</v>
      </c>
      <c r="H834" s="138">
        <v>45624</v>
      </c>
      <c r="I834" s="139" t="s">
        <v>384</v>
      </c>
      <c r="J834" s="137" t="s">
        <v>22024</v>
      </c>
      <c r="K834" s="137">
        <v>43</v>
      </c>
      <c r="L834" s="133" t="str">
        <f t="shared" si="12"/>
        <v>005</v>
      </c>
    </row>
    <row r="835" spans="1:12" x14ac:dyDescent="0.3">
      <c r="A835" s="136">
        <v>831</v>
      </c>
      <c r="B835" s="137" t="s">
        <v>22025</v>
      </c>
      <c r="C835" s="10" t="e">
        <f>VLOOKUP(B835,'Data Angt'!$A$5:$B$5809,2,FALSE)</f>
        <v>#N/A</v>
      </c>
      <c r="D835" s="137" t="s">
        <v>22026</v>
      </c>
      <c r="E835" s="137" t="s">
        <v>22</v>
      </c>
      <c r="F835" s="137">
        <v>85338319564</v>
      </c>
      <c r="G835" s="137" t="s">
        <v>109</v>
      </c>
      <c r="H835" s="138">
        <v>45624</v>
      </c>
      <c r="I835" s="138">
        <v>45768</v>
      </c>
      <c r="J835" s="137" t="s">
        <v>19274</v>
      </c>
      <c r="K835" s="137">
        <v>43</v>
      </c>
      <c r="L835" s="133" t="str">
        <f t="shared" si="12"/>
        <v>002</v>
      </c>
    </row>
    <row r="836" spans="1:12" x14ac:dyDescent="0.3">
      <c r="A836" s="136">
        <v>832</v>
      </c>
      <c r="B836" s="137" t="s">
        <v>14148</v>
      </c>
      <c r="C836" s="10" t="str">
        <f>VLOOKUP(B836,'Data Angt'!$A$5:$B$5809,2,FALSE)</f>
        <v>A5109</v>
      </c>
      <c r="D836" s="137" t="s">
        <v>22027</v>
      </c>
      <c r="E836" s="137" t="s">
        <v>11</v>
      </c>
      <c r="F836" s="137">
        <v>85643202444</v>
      </c>
      <c r="G836" s="137" t="s">
        <v>133</v>
      </c>
      <c r="H836" s="138">
        <v>45624</v>
      </c>
      <c r="I836" s="139" t="s">
        <v>384</v>
      </c>
      <c r="J836" s="137" t="s">
        <v>20399</v>
      </c>
      <c r="K836" s="137">
        <v>59</v>
      </c>
      <c r="L836" s="133" t="str">
        <f t="shared" si="12"/>
        <v>006</v>
      </c>
    </row>
    <row r="837" spans="1:12" x14ac:dyDescent="0.3">
      <c r="A837" s="136">
        <v>833</v>
      </c>
      <c r="B837" s="137" t="s">
        <v>14150</v>
      </c>
      <c r="C837" s="10" t="str">
        <f>VLOOKUP(B837,'Data Angt'!$A$5:$B$5809,2,FALSE)</f>
        <v>A5110</v>
      </c>
      <c r="D837" s="137" t="s">
        <v>22028</v>
      </c>
      <c r="E837" s="137" t="s">
        <v>22</v>
      </c>
      <c r="F837" s="137">
        <v>81133329213</v>
      </c>
      <c r="G837" s="137" t="s">
        <v>109</v>
      </c>
      <c r="H837" s="138">
        <v>45624</v>
      </c>
      <c r="I837" s="139" t="s">
        <v>384</v>
      </c>
      <c r="J837" s="137" t="s">
        <v>19274</v>
      </c>
      <c r="K837" s="137">
        <v>42</v>
      </c>
      <c r="L837" s="133" t="str">
        <f t="shared" si="12"/>
        <v>002</v>
      </c>
    </row>
    <row r="838" spans="1:12" x14ac:dyDescent="0.3">
      <c r="A838" s="136">
        <v>834</v>
      </c>
      <c r="B838" s="137" t="s">
        <v>14151</v>
      </c>
      <c r="C838" s="10" t="str">
        <f>VLOOKUP(B838,'Data Angt'!$A$5:$B$5809,2,FALSE)</f>
        <v>A5111</v>
      </c>
      <c r="D838" s="137" t="s">
        <v>22029</v>
      </c>
      <c r="E838" s="137" t="s">
        <v>22</v>
      </c>
      <c r="F838" s="137">
        <v>89528739122</v>
      </c>
      <c r="G838" s="137" t="s">
        <v>133</v>
      </c>
      <c r="H838" s="138">
        <v>45624</v>
      </c>
      <c r="I838" s="139" t="s">
        <v>384</v>
      </c>
      <c r="J838" s="137" t="s">
        <v>22030</v>
      </c>
      <c r="K838" s="137">
        <v>49</v>
      </c>
      <c r="L838" s="133" t="str">
        <f t="shared" ref="L838:L901" si="13">MID(B838,7,3)</f>
        <v>006</v>
      </c>
    </row>
    <row r="839" spans="1:12" x14ac:dyDescent="0.3">
      <c r="A839" s="136">
        <v>835</v>
      </c>
      <c r="B839" s="137" t="s">
        <v>14153</v>
      </c>
      <c r="C839" s="10" t="str">
        <f>VLOOKUP(B839,'Data Angt'!$A$5:$B$5809,2,FALSE)</f>
        <v>A5112</v>
      </c>
      <c r="D839" s="137" t="s">
        <v>22031</v>
      </c>
      <c r="E839" s="137" t="s">
        <v>22</v>
      </c>
      <c r="F839" s="137">
        <v>81358873060</v>
      </c>
      <c r="G839" s="137" t="s">
        <v>109</v>
      </c>
      <c r="H839" s="138">
        <v>45624</v>
      </c>
      <c r="I839" s="139" t="s">
        <v>384</v>
      </c>
      <c r="J839" s="137" t="s">
        <v>19274</v>
      </c>
      <c r="K839" s="137">
        <v>46</v>
      </c>
      <c r="L839" s="133" t="str">
        <f t="shared" si="13"/>
        <v>002</v>
      </c>
    </row>
    <row r="840" spans="1:12" x14ac:dyDescent="0.3">
      <c r="A840" s="136">
        <v>836</v>
      </c>
      <c r="B840" s="137" t="s">
        <v>14156</v>
      </c>
      <c r="C840" s="10" t="str">
        <f>VLOOKUP(B840,'Data Angt'!$A$5:$B$5809,2,FALSE)</f>
        <v>A5113</v>
      </c>
      <c r="D840" s="137" t="s">
        <v>22032</v>
      </c>
      <c r="E840" s="137" t="s">
        <v>22</v>
      </c>
      <c r="F840" s="137">
        <v>85204985373</v>
      </c>
      <c r="G840" s="137" t="s">
        <v>109</v>
      </c>
      <c r="H840" s="138">
        <v>45624</v>
      </c>
      <c r="I840" s="139" t="s">
        <v>384</v>
      </c>
      <c r="J840" s="137" t="s">
        <v>20192</v>
      </c>
      <c r="K840" s="137">
        <v>46</v>
      </c>
      <c r="L840" s="133" t="str">
        <f t="shared" si="13"/>
        <v>002</v>
      </c>
    </row>
    <row r="841" spans="1:12" x14ac:dyDescent="0.3">
      <c r="A841" s="136">
        <v>837</v>
      </c>
      <c r="B841" s="137" t="s">
        <v>14158</v>
      </c>
      <c r="C841" s="10" t="str">
        <f>VLOOKUP(B841,'Data Angt'!$A$5:$B$5809,2,FALSE)</f>
        <v>A5114</v>
      </c>
      <c r="D841" s="137" t="s">
        <v>22033</v>
      </c>
      <c r="E841" s="137" t="s">
        <v>22</v>
      </c>
      <c r="F841" s="137">
        <v>85130311402</v>
      </c>
      <c r="G841" s="137" t="s">
        <v>109</v>
      </c>
      <c r="H841" s="138">
        <v>45624</v>
      </c>
      <c r="I841" s="139" t="s">
        <v>384</v>
      </c>
      <c r="J841" s="137" t="s">
        <v>22034</v>
      </c>
      <c r="K841" s="137">
        <v>38</v>
      </c>
      <c r="L841" s="133" t="str">
        <f t="shared" si="13"/>
        <v>002</v>
      </c>
    </row>
    <row r="842" spans="1:12" x14ac:dyDescent="0.3">
      <c r="A842" s="136">
        <v>838</v>
      </c>
      <c r="B842" s="137" t="s">
        <v>14160</v>
      </c>
      <c r="C842" s="10" t="str">
        <f>VLOOKUP(B842,'Data Angt'!$A$5:$B$5809,2,FALSE)</f>
        <v>A5115</v>
      </c>
      <c r="D842" s="137" t="s">
        <v>20971</v>
      </c>
      <c r="E842" s="137" t="s">
        <v>22</v>
      </c>
      <c r="F842" s="137">
        <v>82142620927</v>
      </c>
      <c r="G842" s="137" t="s">
        <v>109</v>
      </c>
      <c r="H842" s="138">
        <v>45624</v>
      </c>
      <c r="I842" s="139" t="s">
        <v>384</v>
      </c>
      <c r="J842" s="137" t="s">
        <v>22034</v>
      </c>
      <c r="K842" s="137">
        <v>64</v>
      </c>
      <c r="L842" s="133" t="str">
        <f t="shared" si="13"/>
        <v>002</v>
      </c>
    </row>
    <row r="843" spans="1:12" x14ac:dyDescent="0.3">
      <c r="A843" s="136">
        <v>839</v>
      </c>
      <c r="B843" s="137" t="s">
        <v>14161</v>
      </c>
      <c r="C843" s="10" t="str">
        <f>VLOOKUP(B843,'Data Angt'!$A$5:$B$5809,2,FALSE)</f>
        <v>A5116</v>
      </c>
      <c r="D843" s="137" t="s">
        <v>22035</v>
      </c>
      <c r="E843" s="137" t="s">
        <v>22</v>
      </c>
      <c r="F843" s="137">
        <v>83117981289</v>
      </c>
      <c r="G843" s="137" t="s">
        <v>109</v>
      </c>
      <c r="H843" s="138">
        <v>45624</v>
      </c>
      <c r="I843" s="139" t="s">
        <v>384</v>
      </c>
      <c r="J843" s="137" t="s">
        <v>22034</v>
      </c>
      <c r="K843" s="137">
        <v>46</v>
      </c>
      <c r="L843" s="133" t="str">
        <f t="shared" si="13"/>
        <v>002</v>
      </c>
    </row>
    <row r="844" spans="1:12" x14ac:dyDescent="0.3">
      <c r="A844" s="136">
        <v>840</v>
      </c>
      <c r="B844" s="137" t="s">
        <v>14162</v>
      </c>
      <c r="C844" s="10" t="str">
        <f>VLOOKUP(B844,'Data Angt'!$A$5:$B$5809,2,FALSE)</f>
        <v>A5117</v>
      </c>
      <c r="D844" s="137" t="s">
        <v>22036</v>
      </c>
      <c r="E844" s="137" t="s">
        <v>11</v>
      </c>
      <c r="F844" s="137">
        <v>85735557666</v>
      </c>
      <c r="G844" s="137"/>
      <c r="H844" s="138">
        <v>45624</v>
      </c>
      <c r="I844" s="139" t="s">
        <v>384</v>
      </c>
      <c r="J844" s="137" t="s">
        <v>19274</v>
      </c>
      <c r="K844" s="137">
        <v>31</v>
      </c>
      <c r="L844" s="133" t="str">
        <f t="shared" si="13"/>
        <v>001</v>
      </c>
    </row>
    <row r="845" spans="1:12" x14ac:dyDescent="0.3">
      <c r="A845" s="136">
        <v>841</v>
      </c>
      <c r="B845" s="137" t="s">
        <v>14163</v>
      </c>
      <c r="C845" s="10" t="str">
        <f>VLOOKUP(B845,'Data Angt'!$A$5:$B$5809,2,FALSE)</f>
        <v>A5118</v>
      </c>
      <c r="D845" s="137" t="s">
        <v>22037</v>
      </c>
      <c r="E845" s="137" t="s">
        <v>22</v>
      </c>
      <c r="F845" s="137">
        <v>856522222</v>
      </c>
      <c r="G845" s="137" t="s">
        <v>46</v>
      </c>
      <c r="H845" s="138">
        <v>45624</v>
      </c>
      <c r="I845" s="139" t="s">
        <v>384</v>
      </c>
      <c r="J845" s="137" t="s">
        <v>19597</v>
      </c>
      <c r="K845" s="137">
        <v>72</v>
      </c>
      <c r="L845" s="133" t="str">
        <f t="shared" si="13"/>
        <v>004</v>
      </c>
    </row>
    <row r="846" spans="1:12" x14ac:dyDescent="0.3">
      <c r="A846" s="136">
        <v>842</v>
      </c>
      <c r="B846" s="137" t="s">
        <v>14165</v>
      </c>
      <c r="C846" s="10" t="str">
        <f>VLOOKUP(B846,'Data Angt'!$A$5:$B$5809,2,FALSE)</f>
        <v>A5119</v>
      </c>
      <c r="D846" s="137" t="s">
        <v>22038</v>
      </c>
      <c r="E846" s="137" t="s">
        <v>22</v>
      </c>
      <c r="F846" s="137">
        <v>85233355478</v>
      </c>
      <c r="G846" s="137" t="s">
        <v>109</v>
      </c>
      <c r="H846" s="138">
        <v>45624</v>
      </c>
      <c r="I846" s="139" t="s">
        <v>384</v>
      </c>
      <c r="J846" s="137" t="s">
        <v>22039</v>
      </c>
      <c r="K846" s="137">
        <v>31</v>
      </c>
      <c r="L846" s="133" t="str">
        <f t="shared" si="13"/>
        <v>001</v>
      </c>
    </row>
    <row r="847" spans="1:12" x14ac:dyDescent="0.3">
      <c r="A847" s="136">
        <v>843</v>
      </c>
      <c r="B847" s="137" t="s">
        <v>14168</v>
      </c>
      <c r="C847" s="10" t="str">
        <f>VLOOKUP(B847,'Data Angt'!$A$5:$B$5809,2,FALSE)</f>
        <v>A5120</v>
      </c>
      <c r="D847" s="137" t="s">
        <v>22040</v>
      </c>
      <c r="E847" s="137" t="s">
        <v>22</v>
      </c>
      <c r="F847" s="137">
        <v>814246443646</v>
      </c>
      <c r="G847" s="137" t="s">
        <v>31</v>
      </c>
      <c r="H847" s="138">
        <v>45624</v>
      </c>
      <c r="I847" s="139" t="s">
        <v>384</v>
      </c>
      <c r="J847" s="137" t="s">
        <v>22041</v>
      </c>
      <c r="K847" s="137">
        <v>31</v>
      </c>
      <c r="L847" s="133" t="str">
        <f t="shared" si="13"/>
        <v>002</v>
      </c>
    </row>
    <row r="848" spans="1:12" x14ac:dyDescent="0.3">
      <c r="A848" s="136">
        <v>844</v>
      </c>
      <c r="B848" s="137" t="s">
        <v>14170</v>
      </c>
      <c r="C848" s="10" t="str">
        <f>VLOOKUP(B848,'Data Angt'!$A$5:$B$5809,2,FALSE)</f>
        <v>A5121</v>
      </c>
      <c r="D848" s="137" t="s">
        <v>22042</v>
      </c>
      <c r="E848" s="137" t="s">
        <v>22</v>
      </c>
      <c r="F848" s="137">
        <v>99999999999</v>
      </c>
      <c r="G848" s="137" t="s">
        <v>1439</v>
      </c>
      <c r="H848" s="138">
        <v>45624</v>
      </c>
      <c r="I848" s="139" t="s">
        <v>384</v>
      </c>
      <c r="J848" s="137" t="s">
        <v>19704</v>
      </c>
      <c r="K848" s="137">
        <v>40</v>
      </c>
      <c r="L848" s="133" t="str">
        <f t="shared" si="13"/>
        <v>004</v>
      </c>
    </row>
    <row r="849" spans="1:12" x14ac:dyDescent="0.3">
      <c r="A849" s="136">
        <v>845</v>
      </c>
      <c r="B849" s="137" t="s">
        <v>14172</v>
      </c>
      <c r="C849" s="10" t="str">
        <f>VLOOKUP(B849,'Data Angt'!$A$5:$B$5809,2,FALSE)</f>
        <v>A5122</v>
      </c>
      <c r="D849" s="137" t="s">
        <v>20860</v>
      </c>
      <c r="E849" s="137" t="s">
        <v>22</v>
      </c>
      <c r="F849" s="137">
        <v>85556555</v>
      </c>
      <c r="G849" s="137" t="s">
        <v>46</v>
      </c>
      <c r="H849" s="138">
        <v>45624</v>
      </c>
      <c r="I849" s="139" t="s">
        <v>384</v>
      </c>
      <c r="J849" s="137" t="s">
        <v>19704</v>
      </c>
      <c r="K849" s="137">
        <v>46</v>
      </c>
      <c r="L849" s="133" t="str">
        <f t="shared" si="13"/>
        <v>004</v>
      </c>
    </row>
    <row r="850" spans="1:12" x14ac:dyDescent="0.3">
      <c r="A850" s="136">
        <v>846</v>
      </c>
      <c r="B850" s="137" t="s">
        <v>14173</v>
      </c>
      <c r="C850" s="10" t="str">
        <f>VLOOKUP(B850,'Data Angt'!$A$5:$B$5809,2,FALSE)</f>
        <v>A5123</v>
      </c>
      <c r="D850" s="137" t="s">
        <v>22043</v>
      </c>
      <c r="E850" s="137" t="s">
        <v>22</v>
      </c>
      <c r="F850" s="137">
        <v>8985555555555</v>
      </c>
      <c r="G850" s="137" t="s">
        <v>46</v>
      </c>
      <c r="H850" s="138">
        <v>45624</v>
      </c>
      <c r="I850" s="139" t="s">
        <v>384</v>
      </c>
      <c r="J850" s="137" t="s">
        <v>19597</v>
      </c>
      <c r="K850" s="137">
        <v>62</v>
      </c>
      <c r="L850" s="133" t="str">
        <f t="shared" si="13"/>
        <v>004</v>
      </c>
    </row>
    <row r="851" spans="1:12" x14ac:dyDescent="0.3">
      <c r="A851" s="136">
        <v>847</v>
      </c>
      <c r="B851" s="137" t="s">
        <v>14175</v>
      </c>
      <c r="C851" s="10" t="str">
        <f>VLOOKUP(B851,'Data Angt'!$A$5:$B$5809,2,FALSE)</f>
        <v>A5124</v>
      </c>
      <c r="D851" s="137" t="s">
        <v>22044</v>
      </c>
      <c r="E851" s="137" t="s">
        <v>22</v>
      </c>
      <c r="F851" s="137">
        <v>82334641101</v>
      </c>
      <c r="G851" s="137" t="s">
        <v>16</v>
      </c>
      <c r="H851" s="138">
        <v>45624</v>
      </c>
      <c r="I851" s="139" t="s">
        <v>384</v>
      </c>
      <c r="J851" s="137" t="s">
        <v>19274</v>
      </c>
      <c r="K851" s="137">
        <v>39</v>
      </c>
      <c r="L851" s="133" t="str">
        <f t="shared" si="13"/>
        <v>003</v>
      </c>
    </row>
    <row r="852" spans="1:12" x14ac:dyDescent="0.3">
      <c r="A852" s="136">
        <v>848</v>
      </c>
      <c r="B852" s="137" t="s">
        <v>22045</v>
      </c>
      <c r="C852" s="10" t="e">
        <f>VLOOKUP(B852,'Data Angt'!$A$5:$B$5809,2,FALSE)</f>
        <v>#N/A</v>
      </c>
      <c r="D852" s="137" t="s">
        <v>22046</v>
      </c>
      <c r="E852" s="137" t="s">
        <v>22</v>
      </c>
      <c r="F852" s="137">
        <v>9885555532</v>
      </c>
      <c r="G852" s="137" t="s">
        <v>370</v>
      </c>
      <c r="H852" s="138">
        <v>45624</v>
      </c>
      <c r="I852" s="138">
        <v>45715</v>
      </c>
      <c r="J852" s="137" t="s">
        <v>19704</v>
      </c>
      <c r="K852" s="137">
        <v>36</v>
      </c>
      <c r="L852" s="133" t="str">
        <f t="shared" si="13"/>
        <v>004</v>
      </c>
    </row>
    <row r="853" spans="1:12" x14ac:dyDescent="0.3">
      <c r="A853" s="136">
        <v>849</v>
      </c>
      <c r="B853" s="137" t="s">
        <v>14178</v>
      </c>
      <c r="C853" s="10" t="str">
        <f>VLOOKUP(B853,'Data Angt'!$A$5:$B$5809,2,FALSE)</f>
        <v>A5125</v>
      </c>
      <c r="D853" s="137" t="s">
        <v>22047</v>
      </c>
      <c r="E853" s="137" t="s">
        <v>22</v>
      </c>
      <c r="F853" s="137">
        <v>1111111111</v>
      </c>
      <c r="G853" s="137" t="s">
        <v>370</v>
      </c>
      <c r="H853" s="138">
        <v>45625</v>
      </c>
      <c r="I853" s="139" t="s">
        <v>384</v>
      </c>
      <c r="J853" s="137" t="s">
        <v>22048</v>
      </c>
      <c r="K853" s="137">
        <v>36</v>
      </c>
      <c r="L853" s="133" t="str">
        <f t="shared" si="13"/>
        <v>005</v>
      </c>
    </row>
    <row r="854" spans="1:12" x14ac:dyDescent="0.3">
      <c r="A854" s="136">
        <v>850</v>
      </c>
      <c r="B854" s="137" t="s">
        <v>14179</v>
      </c>
      <c r="C854" s="10" t="str">
        <f>VLOOKUP(B854,'Data Angt'!$A$5:$B$5809,2,FALSE)</f>
        <v>A5126</v>
      </c>
      <c r="D854" s="137" t="s">
        <v>22049</v>
      </c>
      <c r="E854" s="137" t="s">
        <v>11</v>
      </c>
      <c r="F854" s="137">
        <v>82333723389</v>
      </c>
      <c r="G854" s="137" t="s">
        <v>1331</v>
      </c>
      <c r="H854" s="138">
        <v>45625</v>
      </c>
      <c r="I854" s="139" t="s">
        <v>384</v>
      </c>
      <c r="J854" s="137" t="s">
        <v>21977</v>
      </c>
      <c r="K854" s="137">
        <v>40</v>
      </c>
      <c r="L854" s="133" t="str">
        <f t="shared" si="13"/>
        <v>002</v>
      </c>
    </row>
    <row r="855" spans="1:12" x14ac:dyDescent="0.3">
      <c r="A855" s="136">
        <v>851</v>
      </c>
      <c r="B855" s="137" t="s">
        <v>14180</v>
      </c>
      <c r="C855" s="10" t="str">
        <f>VLOOKUP(B855,'Data Angt'!$A$5:$B$5809,2,FALSE)</f>
        <v>A5127</v>
      </c>
      <c r="D855" s="137" t="s">
        <v>22050</v>
      </c>
      <c r="E855" s="137" t="s">
        <v>22</v>
      </c>
      <c r="F855" s="137">
        <v>85748421242</v>
      </c>
      <c r="G855" s="137" t="s">
        <v>46</v>
      </c>
      <c r="H855" s="138">
        <v>45625</v>
      </c>
      <c r="I855" s="139" t="s">
        <v>384</v>
      </c>
      <c r="J855" s="137" t="s">
        <v>22051</v>
      </c>
      <c r="K855" s="137">
        <v>27</v>
      </c>
      <c r="L855" s="133" t="str">
        <f t="shared" si="13"/>
        <v>003</v>
      </c>
    </row>
    <row r="856" spans="1:12" x14ac:dyDescent="0.3">
      <c r="A856" s="136">
        <v>852</v>
      </c>
      <c r="B856" s="137" t="s">
        <v>14183</v>
      </c>
      <c r="C856" s="10" t="str">
        <f>VLOOKUP(B856,'Data Angt'!$A$5:$B$5809,2,FALSE)</f>
        <v>A5128</v>
      </c>
      <c r="D856" s="137" t="s">
        <v>22052</v>
      </c>
      <c r="E856" s="137" t="s">
        <v>22</v>
      </c>
      <c r="F856" s="137">
        <v>81333803075</v>
      </c>
      <c r="G856" s="137" t="s">
        <v>46</v>
      </c>
      <c r="H856" s="138">
        <v>45625</v>
      </c>
      <c r="I856" s="139" t="s">
        <v>384</v>
      </c>
      <c r="J856" s="137" t="s">
        <v>22053</v>
      </c>
      <c r="K856" s="137">
        <v>37</v>
      </c>
      <c r="L856" s="133" t="str">
        <f t="shared" si="13"/>
        <v>005</v>
      </c>
    </row>
    <row r="857" spans="1:12" x14ac:dyDescent="0.3">
      <c r="A857" s="136">
        <v>853</v>
      </c>
      <c r="B857" s="137" t="s">
        <v>14185</v>
      </c>
      <c r="C857" s="10" t="str">
        <f>VLOOKUP(B857,'Data Angt'!$A$5:$B$5809,2,FALSE)</f>
        <v>A5129</v>
      </c>
      <c r="D857" s="137" t="s">
        <v>22054</v>
      </c>
      <c r="E857" s="137" t="s">
        <v>11</v>
      </c>
      <c r="F857" s="137">
        <v>81315421478</v>
      </c>
      <c r="G857" s="137" t="s">
        <v>109</v>
      </c>
      <c r="H857" s="138">
        <v>45625</v>
      </c>
      <c r="I857" s="139" t="s">
        <v>384</v>
      </c>
      <c r="J857" s="137" t="s">
        <v>22055</v>
      </c>
      <c r="K857" s="137">
        <v>44</v>
      </c>
      <c r="L857" s="133" t="str">
        <f t="shared" si="13"/>
        <v>001</v>
      </c>
    </row>
    <row r="858" spans="1:12" x14ac:dyDescent="0.3">
      <c r="A858" s="136">
        <v>854</v>
      </c>
      <c r="B858" s="137" t="s">
        <v>14188</v>
      </c>
      <c r="C858" s="10" t="str">
        <f>VLOOKUP(B858,'Data Angt'!$A$5:$B$5809,2,FALSE)</f>
        <v>A5130</v>
      </c>
      <c r="D858" s="137" t="s">
        <v>22056</v>
      </c>
      <c r="E858" s="137" t="s">
        <v>22</v>
      </c>
      <c r="F858" s="137">
        <v>85648407552</v>
      </c>
      <c r="G858" s="137" t="s">
        <v>109</v>
      </c>
      <c r="H858" s="138">
        <v>45625</v>
      </c>
      <c r="I858" s="139" t="s">
        <v>384</v>
      </c>
      <c r="J858" s="137" t="s">
        <v>22057</v>
      </c>
      <c r="K858" s="137">
        <v>22</v>
      </c>
      <c r="L858" s="133" t="str">
        <f t="shared" si="13"/>
        <v>001</v>
      </c>
    </row>
    <row r="859" spans="1:12" x14ac:dyDescent="0.3">
      <c r="A859" s="136">
        <v>855</v>
      </c>
      <c r="B859" s="137" t="s">
        <v>14190</v>
      </c>
      <c r="C859" s="10" t="str">
        <f>VLOOKUP(B859,'Data Angt'!$A$5:$B$5809,2,FALSE)</f>
        <v>A5131</v>
      </c>
      <c r="D859" s="137" t="s">
        <v>22058</v>
      </c>
      <c r="E859" s="137" t="s">
        <v>22</v>
      </c>
      <c r="F859" s="137">
        <v>81249645487</v>
      </c>
      <c r="G859" s="137" t="s">
        <v>31</v>
      </c>
      <c r="H859" s="138">
        <v>45625</v>
      </c>
      <c r="I859" s="139" t="s">
        <v>384</v>
      </c>
      <c r="J859" s="137" t="s">
        <v>19274</v>
      </c>
      <c r="K859" s="137">
        <v>44</v>
      </c>
      <c r="L859" s="133" t="str">
        <f t="shared" si="13"/>
        <v>002</v>
      </c>
    </row>
    <row r="860" spans="1:12" x14ac:dyDescent="0.3">
      <c r="A860" s="136">
        <v>856</v>
      </c>
      <c r="B860" s="137" t="s">
        <v>14192</v>
      </c>
      <c r="C860" s="10" t="str">
        <f>VLOOKUP(B860,'Data Angt'!$A$5:$B$5809,2,FALSE)</f>
        <v>A5132</v>
      </c>
      <c r="D860" s="137" t="s">
        <v>22059</v>
      </c>
      <c r="E860" s="137" t="s">
        <v>22</v>
      </c>
      <c r="F860" s="137">
        <v>81359494657</v>
      </c>
      <c r="G860" s="137" t="s">
        <v>31</v>
      </c>
      <c r="H860" s="138">
        <v>45625</v>
      </c>
      <c r="I860" s="139" t="s">
        <v>384</v>
      </c>
      <c r="J860" s="137" t="s">
        <v>19370</v>
      </c>
      <c r="K860" s="137">
        <v>63</v>
      </c>
      <c r="L860" s="133" t="str">
        <f t="shared" si="13"/>
        <v>005</v>
      </c>
    </row>
    <row r="861" spans="1:12" x14ac:dyDescent="0.3">
      <c r="A861" s="136">
        <v>857</v>
      </c>
      <c r="B861" s="137" t="s">
        <v>22060</v>
      </c>
      <c r="C861" s="10" t="e">
        <f>VLOOKUP(B861,'Data Angt'!$A$5:$B$5809,2,FALSE)</f>
        <v>#N/A</v>
      </c>
      <c r="D861" s="137" t="s">
        <v>22061</v>
      </c>
      <c r="E861" s="137" t="s">
        <v>11</v>
      </c>
      <c r="F861" s="137">
        <v>8113586470</v>
      </c>
      <c r="G861" s="137" t="s">
        <v>109</v>
      </c>
      <c r="H861" s="138">
        <v>45625</v>
      </c>
      <c r="I861" s="138">
        <v>45810</v>
      </c>
      <c r="J861" s="137" t="s">
        <v>22062</v>
      </c>
      <c r="K861" s="137">
        <v>26</v>
      </c>
      <c r="L861" s="133" t="str">
        <f t="shared" si="13"/>
        <v>001</v>
      </c>
    </row>
    <row r="862" spans="1:12" x14ac:dyDescent="0.3">
      <c r="A862" s="136">
        <v>858</v>
      </c>
      <c r="B862" s="137" t="s">
        <v>14194</v>
      </c>
      <c r="C862" s="10" t="str">
        <f>VLOOKUP(B862,'Data Angt'!$A$5:$B$5809,2,FALSE)</f>
        <v>A5133</v>
      </c>
      <c r="D862" s="137" t="s">
        <v>22063</v>
      </c>
      <c r="E862" s="137" t="s">
        <v>22</v>
      </c>
      <c r="F862" s="137">
        <v>82229012883</v>
      </c>
      <c r="G862" s="137" t="s">
        <v>46</v>
      </c>
      <c r="H862" s="138">
        <v>45625</v>
      </c>
      <c r="I862" s="139" t="s">
        <v>384</v>
      </c>
      <c r="J862" s="137" t="s">
        <v>22064</v>
      </c>
      <c r="K862" s="137">
        <v>28</v>
      </c>
      <c r="L862" s="133" t="str">
        <f t="shared" si="13"/>
        <v>005</v>
      </c>
    </row>
    <row r="863" spans="1:12" x14ac:dyDescent="0.3">
      <c r="A863" s="136">
        <v>859</v>
      </c>
      <c r="B863" s="137" t="s">
        <v>14196</v>
      </c>
      <c r="C863" s="10" t="str">
        <f>VLOOKUP(B863,'Data Angt'!$A$5:$B$5809,2,FALSE)</f>
        <v>A5134</v>
      </c>
      <c r="D863" s="137" t="s">
        <v>22065</v>
      </c>
      <c r="E863" s="137" t="s">
        <v>11</v>
      </c>
      <c r="F863" s="137">
        <v>81818888712</v>
      </c>
      <c r="G863" s="137" t="s">
        <v>109</v>
      </c>
      <c r="H863" s="138">
        <v>45626</v>
      </c>
      <c r="I863" s="139" t="s">
        <v>384</v>
      </c>
      <c r="J863" s="137" t="s">
        <v>22066</v>
      </c>
      <c r="K863" s="137">
        <v>23</v>
      </c>
      <c r="L863" s="133" t="str">
        <f t="shared" si="13"/>
        <v>003</v>
      </c>
    </row>
    <row r="864" spans="1:12" x14ac:dyDescent="0.3">
      <c r="A864" s="136">
        <v>860</v>
      </c>
      <c r="B864" s="137" t="s">
        <v>14199</v>
      </c>
      <c r="C864" s="10" t="str">
        <f>VLOOKUP(B864,'Data Angt'!$A$5:$B$5809,2,FALSE)</f>
        <v>A5135</v>
      </c>
      <c r="D864" s="137" t="s">
        <v>22067</v>
      </c>
      <c r="E864" s="137" t="s">
        <v>22</v>
      </c>
      <c r="F864" s="137">
        <v>85748556457</v>
      </c>
      <c r="G864" s="137" t="s">
        <v>46</v>
      </c>
      <c r="H864" s="138">
        <v>45626</v>
      </c>
      <c r="I864" s="139" t="s">
        <v>384</v>
      </c>
      <c r="J864" s="137" t="s">
        <v>20192</v>
      </c>
      <c r="K864" s="137">
        <v>37</v>
      </c>
      <c r="L864" s="133" t="str">
        <f t="shared" si="13"/>
        <v>002</v>
      </c>
    </row>
    <row r="865" spans="1:12" x14ac:dyDescent="0.3">
      <c r="A865" s="136">
        <v>861</v>
      </c>
      <c r="B865" s="137" t="s">
        <v>14202</v>
      </c>
      <c r="C865" s="10" t="str">
        <f>VLOOKUP(B865,'Data Angt'!$A$5:$B$5809,2,FALSE)</f>
        <v>A5136</v>
      </c>
      <c r="D865" s="137" t="s">
        <v>22068</v>
      </c>
      <c r="E865" s="137" t="s">
        <v>22</v>
      </c>
      <c r="F865" s="137">
        <v>81393043815</v>
      </c>
      <c r="G865" s="137" t="s">
        <v>31</v>
      </c>
      <c r="H865" s="138">
        <v>45626</v>
      </c>
      <c r="I865" s="139" t="s">
        <v>384</v>
      </c>
      <c r="J865" s="137" t="s">
        <v>19708</v>
      </c>
      <c r="K865" s="137">
        <v>39</v>
      </c>
      <c r="L865" s="133" t="str">
        <f t="shared" si="13"/>
        <v>006</v>
      </c>
    </row>
    <row r="866" spans="1:12" x14ac:dyDescent="0.3">
      <c r="A866" s="136">
        <v>862</v>
      </c>
      <c r="B866" s="137" t="s">
        <v>14204</v>
      </c>
      <c r="C866" s="10" t="str">
        <f>VLOOKUP(B866,'Data Angt'!$A$5:$B$5809,2,FALSE)</f>
        <v>A5137</v>
      </c>
      <c r="D866" s="137" t="s">
        <v>22069</v>
      </c>
      <c r="E866" s="137" t="s">
        <v>11</v>
      </c>
      <c r="F866" s="137">
        <v>81336718888</v>
      </c>
      <c r="G866" s="137" t="s">
        <v>46</v>
      </c>
      <c r="H866" s="138">
        <v>45626</v>
      </c>
      <c r="I866" s="139" t="s">
        <v>384</v>
      </c>
      <c r="J866" s="137" t="s">
        <v>22070</v>
      </c>
      <c r="K866" s="137">
        <v>38</v>
      </c>
      <c r="L866" s="133" t="str">
        <f t="shared" si="13"/>
        <v>001</v>
      </c>
    </row>
    <row r="867" spans="1:12" x14ac:dyDescent="0.3">
      <c r="A867" s="136">
        <v>863</v>
      </c>
      <c r="B867" s="137" t="s">
        <v>14207</v>
      </c>
      <c r="C867" s="10" t="str">
        <f>VLOOKUP(B867,'Data Angt'!$A$5:$B$5809,2,FALSE)</f>
        <v>A5138</v>
      </c>
      <c r="D867" s="137" t="s">
        <v>22071</v>
      </c>
      <c r="E867" s="137" t="s">
        <v>11</v>
      </c>
      <c r="F867" s="137">
        <v>81252942597</v>
      </c>
      <c r="G867" s="137" t="s">
        <v>46</v>
      </c>
      <c r="H867" s="138">
        <v>45628</v>
      </c>
      <c r="I867" s="139" t="s">
        <v>384</v>
      </c>
      <c r="J867" s="137" t="s">
        <v>19704</v>
      </c>
      <c r="K867" s="137">
        <v>50</v>
      </c>
      <c r="L867" s="133" t="str">
        <f t="shared" si="13"/>
        <v>004</v>
      </c>
    </row>
    <row r="868" spans="1:12" x14ac:dyDescent="0.3">
      <c r="A868" s="136">
        <v>864</v>
      </c>
      <c r="B868" s="137" t="s">
        <v>14209</v>
      </c>
      <c r="C868" s="10" t="str">
        <f>VLOOKUP(B868,'Data Angt'!$A$5:$B$5809,2,FALSE)</f>
        <v>A5139</v>
      </c>
      <c r="D868" s="137" t="s">
        <v>21340</v>
      </c>
      <c r="E868" s="137" t="s">
        <v>22</v>
      </c>
      <c r="F868" s="137">
        <v>81232288772</v>
      </c>
      <c r="G868" s="137" t="s">
        <v>1130</v>
      </c>
      <c r="H868" s="138">
        <v>45628</v>
      </c>
      <c r="I868" s="139" t="s">
        <v>384</v>
      </c>
      <c r="J868" s="137" t="s">
        <v>22072</v>
      </c>
      <c r="K868" s="137">
        <v>50</v>
      </c>
      <c r="L868" s="133" t="str">
        <f t="shared" si="13"/>
        <v>005</v>
      </c>
    </row>
    <row r="869" spans="1:12" x14ac:dyDescent="0.3">
      <c r="A869" s="136">
        <v>865</v>
      </c>
      <c r="B869" s="137" t="s">
        <v>14210</v>
      </c>
      <c r="C869" s="10" t="str">
        <f>VLOOKUP(B869,'Data Angt'!$A$5:$B$5809,2,FALSE)</f>
        <v>A5140</v>
      </c>
      <c r="D869" s="137" t="s">
        <v>22073</v>
      </c>
      <c r="E869" s="137" t="s">
        <v>11</v>
      </c>
      <c r="F869" s="137">
        <v>8889982007</v>
      </c>
      <c r="G869" s="137" t="s">
        <v>337</v>
      </c>
      <c r="H869" s="138">
        <v>45630</v>
      </c>
      <c r="I869" s="139" t="s">
        <v>384</v>
      </c>
      <c r="J869" s="137" t="s">
        <v>22074</v>
      </c>
      <c r="K869" s="137">
        <v>17</v>
      </c>
      <c r="L869" s="133" t="str">
        <f t="shared" si="13"/>
        <v>001</v>
      </c>
    </row>
    <row r="870" spans="1:12" x14ac:dyDescent="0.3">
      <c r="A870" s="136">
        <v>866</v>
      </c>
      <c r="B870" s="137" t="s">
        <v>14212</v>
      </c>
      <c r="C870" s="10" t="str">
        <f>VLOOKUP(B870,'Data Angt'!$A$5:$B$5809,2,FALSE)</f>
        <v>A5141</v>
      </c>
      <c r="D870" s="137" t="s">
        <v>22075</v>
      </c>
      <c r="E870" s="137" t="s">
        <v>22</v>
      </c>
      <c r="F870" s="137">
        <v>82337351160</v>
      </c>
      <c r="G870" s="137" t="s">
        <v>46</v>
      </c>
      <c r="H870" s="138">
        <v>45630</v>
      </c>
      <c r="I870" s="139" t="s">
        <v>384</v>
      </c>
      <c r="J870" s="137" t="s">
        <v>21791</v>
      </c>
      <c r="K870" s="137">
        <v>50</v>
      </c>
      <c r="L870" s="133" t="str">
        <f t="shared" si="13"/>
        <v>001</v>
      </c>
    </row>
    <row r="871" spans="1:12" x14ac:dyDescent="0.3">
      <c r="A871" s="136">
        <v>867</v>
      </c>
      <c r="B871" s="137" t="s">
        <v>22076</v>
      </c>
      <c r="C871" s="10" t="e">
        <f>VLOOKUP(B871,'Data Angt'!$A$5:$B$5809,2,FALSE)</f>
        <v>#N/A</v>
      </c>
      <c r="D871" s="137" t="s">
        <v>22077</v>
      </c>
      <c r="E871" s="137" t="s">
        <v>11</v>
      </c>
      <c r="F871" s="137">
        <v>85233095452</v>
      </c>
      <c r="G871" s="137" t="s">
        <v>46</v>
      </c>
      <c r="H871" s="138">
        <v>45630</v>
      </c>
      <c r="I871" s="138">
        <v>45824</v>
      </c>
      <c r="J871" s="137" t="s">
        <v>22078</v>
      </c>
      <c r="K871" s="137">
        <v>71</v>
      </c>
      <c r="L871" s="133" t="str">
        <f t="shared" si="13"/>
        <v>001</v>
      </c>
    </row>
    <row r="872" spans="1:12" x14ac:dyDescent="0.3">
      <c r="A872" s="136">
        <v>868</v>
      </c>
      <c r="B872" s="137" t="s">
        <v>14214</v>
      </c>
      <c r="C872" s="10" t="str">
        <f>VLOOKUP(B872,'Data Angt'!$A$5:$B$5809,2,FALSE)</f>
        <v>A5142</v>
      </c>
      <c r="D872" s="137" t="s">
        <v>22079</v>
      </c>
      <c r="E872" s="137" t="s">
        <v>22</v>
      </c>
      <c r="F872" s="137">
        <v>8123463028</v>
      </c>
      <c r="G872" s="137" t="s">
        <v>109</v>
      </c>
      <c r="H872" s="138">
        <v>45630</v>
      </c>
      <c r="I872" s="139" t="s">
        <v>384</v>
      </c>
      <c r="J872" s="137" t="s">
        <v>22080</v>
      </c>
      <c r="K872" s="137">
        <v>40</v>
      </c>
      <c r="L872" s="133" t="str">
        <f t="shared" si="13"/>
        <v>004</v>
      </c>
    </row>
    <row r="873" spans="1:12" x14ac:dyDescent="0.3">
      <c r="A873" s="136">
        <v>869</v>
      </c>
      <c r="B873" s="137" t="s">
        <v>14216</v>
      </c>
      <c r="C873" s="10" t="str">
        <f>VLOOKUP(B873,'Data Angt'!$A$5:$B$5809,2,FALSE)</f>
        <v>A5143</v>
      </c>
      <c r="D873" s="137" t="s">
        <v>22081</v>
      </c>
      <c r="E873" s="137" t="s">
        <v>22</v>
      </c>
      <c r="F873" s="137">
        <v>81232799360</v>
      </c>
      <c r="G873" s="137" t="s">
        <v>109</v>
      </c>
      <c r="H873" s="138">
        <v>45631</v>
      </c>
      <c r="I873" s="139" t="s">
        <v>384</v>
      </c>
      <c r="J873" s="137" t="s">
        <v>22082</v>
      </c>
      <c r="K873" s="137">
        <v>24</v>
      </c>
      <c r="L873" s="133" t="str">
        <f t="shared" si="13"/>
        <v>005</v>
      </c>
    </row>
    <row r="874" spans="1:12" x14ac:dyDescent="0.3">
      <c r="A874" s="136">
        <v>870</v>
      </c>
      <c r="B874" s="137" t="s">
        <v>14219</v>
      </c>
      <c r="C874" s="10" t="str">
        <f>VLOOKUP(B874,'Data Angt'!$A$5:$B$5809,2,FALSE)</f>
        <v>A5144</v>
      </c>
      <c r="D874" s="137" t="s">
        <v>22083</v>
      </c>
      <c r="E874" s="137" t="s">
        <v>11</v>
      </c>
      <c r="F874" s="137">
        <v>83853766407</v>
      </c>
      <c r="G874" s="137" t="s">
        <v>46</v>
      </c>
      <c r="H874" s="138">
        <v>45632</v>
      </c>
      <c r="I874" s="139" t="s">
        <v>384</v>
      </c>
      <c r="J874" s="137" t="s">
        <v>19597</v>
      </c>
      <c r="K874" s="137">
        <v>22</v>
      </c>
      <c r="L874" s="133" t="str">
        <f t="shared" si="13"/>
        <v>004</v>
      </c>
    </row>
    <row r="875" spans="1:12" x14ac:dyDescent="0.3">
      <c r="A875" s="136">
        <v>871</v>
      </c>
      <c r="B875" s="137" t="s">
        <v>22084</v>
      </c>
      <c r="C875" s="10" t="e">
        <f>VLOOKUP(B875,'Data Angt'!$A$5:$B$5809,2,FALSE)</f>
        <v>#N/A</v>
      </c>
      <c r="D875" s="137" t="s">
        <v>22085</v>
      </c>
      <c r="E875" s="137" t="s">
        <v>11</v>
      </c>
      <c r="F875" s="137">
        <v>85222360182</v>
      </c>
      <c r="G875" s="137" t="s">
        <v>46</v>
      </c>
      <c r="H875" s="138">
        <v>45632</v>
      </c>
      <c r="I875" s="138">
        <v>45755</v>
      </c>
      <c r="J875" s="137" t="s">
        <v>22086</v>
      </c>
      <c r="K875" s="137">
        <v>56</v>
      </c>
      <c r="L875" s="133" t="str">
        <f t="shared" si="13"/>
        <v>005</v>
      </c>
    </row>
    <row r="876" spans="1:12" x14ac:dyDescent="0.3">
      <c r="A876" s="136">
        <v>872</v>
      </c>
      <c r="B876" s="137" t="s">
        <v>14221</v>
      </c>
      <c r="C876" s="10" t="str">
        <f>VLOOKUP(B876,'Data Angt'!$A$5:$B$5809,2,FALSE)</f>
        <v>A5145</v>
      </c>
      <c r="D876" s="137" t="s">
        <v>22087</v>
      </c>
      <c r="E876" s="137" t="s">
        <v>22</v>
      </c>
      <c r="F876" s="137">
        <v>82330108946</v>
      </c>
      <c r="G876" s="137" t="s">
        <v>46</v>
      </c>
      <c r="H876" s="138">
        <v>45633</v>
      </c>
      <c r="I876" s="139" t="s">
        <v>384</v>
      </c>
      <c r="J876" s="137" t="s">
        <v>22088</v>
      </c>
      <c r="K876" s="137">
        <v>32</v>
      </c>
      <c r="L876" s="133" t="str">
        <f t="shared" si="13"/>
        <v>001</v>
      </c>
    </row>
    <row r="877" spans="1:12" x14ac:dyDescent="0.3">
      <c r="A877" s="136">
        <v>873</v>
      </c>
      <c r="B877" s="137" t="s">
        <v>14224</v>
      </c>
      <c r="C877" s="10" t="str">
        <f>VLOOKUP(B877,'Data Angt'!$A$5:$B$5809,2,FALSE)</f>
        <v>A5146</v>
      </c>
      <c r="D877" s="137" t="s">
        <v>22089</v>
      </c>
      <c r="E877" s="137" t="s">
        <v>11</v>
      </c>
      <c r="F877" s="137">
        <v>82143063343</v>
      </c>
      <c r="G877" s="137" t="s">
        <v>46</v>
      </c>
      <c r="H877" s="138">
        <v>45635</v>
      </c>
      <c r="I877" s="139" t="s">
        <v>384</v>
      </c>
      <c r="J877" s="137" t="s">
        <v>22090</v>
      </c>
      <c r="K877" s="137">
        <v>25</v>
      </c>
      <c r="L877" s="133" t="str">
        <f t="shared" si="13"/>
        <v>003</v>
      </c>
    </row>
    <row r="878" spans="1:12" x14ac:dyDescent="0.3">
      <c r="A878" s="136">
        <v>874</v>
      </c>
      <c r="B878" s="137" t="s">
        <v>14256</v>
      </c>
      <c r="C878" s="10" t="str">
        <f>VLOOKUP(B878,'Data Angt'!$A$5:$B$5809,2,FALSE)</f>
        <v>A5162</v>
      </c>
      <c r="D878" s="137" t="s">
        <v>22091</v>
      </c>
      <c r="E878" s="137" t="s">
        <v>11</v>
      </c>
      <c r="F878" s="137">
        <v>82228810995</v>
      </c>
      <c r="G878" s="137" t="s">
        <v>337</v>
      </c>
      <c r="H878" s="138">
        <v>45646</v>
      </c>
      <c r="I878" s="139" t="s">
        <v>384</v>
      </c>
      <c r="J878" s="137" t="s">
        <v>22092</v>
      </c>
      <c r="K878" s="137">
        <v>21</v>
      </c>
      <c r="L878" s="133" t="str">
        <f t="shared" si="13"/>
        <v>002</v>
      </c>
    </row>
    <row r="879" spans="1:12" x14ac:dyDescent="0.3">
      <c r="A879" s="136">
        <v>875</v>
      </c>
      <c r="B879" s="137" t="s">
        <v>14228</v>
      </c>
      <c r="C879" s="10" t="str">
        <f>VLOOKUP(B879,'Data Angt'!$A$5:$B$5809,2,FALSE)</f>
        <v>A5147</v>
      </c>
      <c r="D879" s="137" t="s">
        <v>22093</v>
      </c>
      <c r="E879" s="137" t="s">
        <v>11</v>
      </c>
      <c r="F879" s="137">
        <v>87729236739</v>
      </c>
      <c r="G879" s="137" t="s">
        <v>109</v>
      </c>
      <c r="H879" s="138">
        <v>45636</v>
      </c>
      <c r="I879" s="139" t="s">
        <v>384</v>
      </c>
      <c r="J879" s="137" t="s">
        <v>22094</v>
      </c>
      <c r="K879" s="137">
        <v>19</v>
      </c>
      <c r="L879" s="133" t="str">
        <f t="shared" si="13"/>
        <v>001</v>
      </c>
    </row>
    <row r="880" spans="1:12" x14ac:dyDescent="0.3">
      <c r="A880" s="136">
        <v>876</v>
      </c>
      <c r="B880" s="137" t="s">
        <v>14230</v>
      </c>
      <c r="C880" s="10" t="str">
        <f>VLOOKUP(B880,'Data Angt'!$A$5:$B$5809,2,FALSE)</f>
        <v>A5148</v>
      </c>
      <c r="D880" s="137" t="s">
        <v>22095</v>
      </c>
      <c r="E880" s="137" t="s">
        <v>22</v>
      </c>
      <c r="F880" s="137">
        <v>85232388503</v>
      </c>
      <c r="G880" s="137" t="s">
        <v>109</v>
      </c>
      <c r="H880" s="138">
        <v>45637</v>
      </c>
      <c r="I880" s="139" t="s">
        <v>384</v>
      </c>
      <c r="J880" s="137" t="s">
        <v>22096</v>
      </c>
      <c r="K880" s="137">
        <v>44</v>
      </c>
      <c r="L880" s="133" t="str">
        <f t="shared" si="13"/>
        <v>002</v>
      </c>
    </row>
    <row r="881" spans="1:12" x14ac:dyDescent="0.3">
      <c r="A881" s="136">
        <v>877</v>
      </c>
      <c r="B881" s="137" t="s">
        <v>14231</v>
      </c>
      <c r="C881" s="10" t="e">
        <f>VLOOKUP(B881,'Data Angt'!$A$5:$B$5809,2,FALSE)</f>
        <v>#N/A</v>
      </c>
      <c r="D881" s="137" t="s">
        <v>22097</v>
      </c>
      <c r="E881" s="137" t="s">
        <v>22</v>
      </c>
      <c r="F881" s="137">
        <v>82230186929</v>
      </c>
      <c r="G881" s="137" t="s">
        <v>109</v>
      </c>
      <c r="H881" s="138">
        <v>45637</v>
      </c>
      <c r="I881" s="138">
        <v>45869</v>
      </c>
      <c r="J881" s="137" t="s">
        <v>19274</v>
      </c>
      <c r="K881" s="137">
        <v>40</v>
      </c>
      <c r="L881" s="133" t="str">
        <f t="shared" si="13"/>
        <v>002</v>
      </c>
    </row>
    <row r="882" spans="1:12" x14ac:dyDescent="0.3">
      <c r="A882" s="136">
        <v>878</v>
      </c>
      <c r="B882" s="137" t="s">
        <v>14233</v>
      </c>
      <c r="C882" s="10" t="str">
        <f>VLOOKUP(B882,'Data Angt'!$A$5:$B$5809,2,FALSE)</f>
        <v>A5149</v>
      </c>
      <c r="D882" s="137" t="s">
        <v>21310</v>
      </c>
      <c r="E882" s="137" t="s">
        <v>22</v>
      </c>
      <c r="F882" s="137">
        <v>83879645042</v>
      </c>
      <c r="G882" s="137" t="s">
        <v>109</v>
      </c>
      <c r="H882" s="138">
        <v>45637</v>
      </c>
      <c r="I882" s="139" t="s">
        <v>384</v>
      </c>
      <c r="J882" s="137" t="s">
        <v>19274</v>
      </c>
      <c r="K882" s="137">
        <v>49</v>
      </c>
      <c r="L882" s="133" t="str">
        <f t="shared" si="13"/>
        <v>002</v>
      </c>
    </row>
    <row r="883" spans="1:12" x14ac:dyDescent="0.3">
      <c r="A883" s="136">
        <v>879</v>
      </c>
      <c r="B883" s="137" t="s">
        <v>14234</v>
      </c>
      <c r="C883" s="10" t="str">
        <f>VLOOKUP(B883,'Data Angt'!$A$5:$B$5809,2,FALSE)</f>
        <v>A5150</v>
      </c>
      <c r="D883" s="137" t="s">
        <v>22098</v>
      </c>
      <c r="E883" s="137" t="s">
        <v>22</v>
      </c>
      <c r="F883" s="137">
        <v>85233743320</v>
      </c>
      <c r="G883" s="137" t="s">
        <v>46</v>
      </c>
      <c r="H883" s="138">
        <v>45637</v>
      </c>
      <c r="I883" s="139" t="s">
        <v>384</v>
      </c>
      <c r="J883" s="137" t="s">
        <v>22099</v>
      </c>
      <c r="K883" s="137">
        <v>33</v>
      </c>
      <c r="L883" s="133" t="str">
        <f t="shared" si="13"/>
        <v>001</v>
      </c>
    </row>
    <row r="884" spans="1:12" x14ac:dyDescent="0.3">
      <c r="A884" s="136">
        <v>880</v>
      </c>
      <c r="B884" s="137" t="s">
        <v>14236</v>
      </c>
      <c r="C884" s="10" t="str">
        <f>VLOOKUP(B884,'Data Angt'!$A$5:$B$5809,2,FALSE)</f>
        <v>A5151</v>
      </c>
      <c r="D884" s="137" t="s">
        <v>22100</v>
      </c>
      <c r="E884" s="137" t="s">
        <v>22</v>
      </c>
      <c r="F884" s="137">
        <v>83861317573</v>
      </c>
      <c r="G884" s="137" t="s">
        <v>337</v>
      </c>
      <c r="H884" s="138">
        <v>45643</v>
      </c>
      <c r="I884" s="139" t="s">
        <v>384</v>
      </c>
      <c r="J884" s="137" t="s">
        <v>22101</v>
      </c>
      <c r="K884" s="137">
        <v>19</v>
      </c>
      <c r="L884" s="133" t="str">
        <f t="shared" si="13"/>
        <v>001</v>
      </c>
    </row>
    <row r="885" spans="1:12" x14ac:dyDescent="0.3">
      <c r="A885" s="136">
        <v>881</v>
      </c>
      <c r="B885" s="137" t="s">
        <v>14238</v>
      </c>
      <c r="C885" s="10" t="str">
        <f>VLOOKUP(B885,'Data Angt'!$A$5:$B$5809,2,FALSE)</f>
        <v>A5152</v>
      </c>
      <c r="D885" s="137" t="s">
        <v>22102</v>
      </c>
      <c r="E885" s="137" t="s">
        <v>22</v>
      </c>
      <c r="F885" s="137">
        <v>89526481129</v>
      </c>
      <c r="G885" s="137" t="s">
        <v>109</v>
      </c>
      <c r="H885" s="138">
        <v>45643</v>
      </c>
      <c r="I885" s="139" t="s">
        <v>384</v>
      </c>
      <c r="J885" s="137" t="s">
        <v>22103</v>
      </c>
      <c r="K885" s="137">
        <v>20</v>
      </c>
      <c r="L885" s="133" t="str">
        <f t="shared" si="13"/>
        <v>001</v>
      </c>
    </row>
    <row r="886" spans="1:12" x14ac:dyDescent="0.3">
      <c r="A886" s="136">
        <v>882</v>
      </c>
      <c r="B886" s="137" t="s">
        <v>14240</v>
      </c>
      <c r="C886" s="10" t="str">
        <f>VLOOKUP(B886,'Data Angt'!$A$5:$B$5809,2,FALSE)</f>
        <v>A5153</v>
      </c>
      <c r="D886" s="137" t="s">
        <v>21474</v>
      </c>
      <c r="E886" s="137" t="s">
        <v>11</v>
      </c>
      <c r="F886" s="137">
        <v>81358430156</v>
      </c>
      <c r="G886" s="137" t="s">
        <v>1331</v>
      </c>
      <c r="H886" s="138">
        <v>45643</v>
      </c>
      <c r="I886" s="139" t="s">
        <v>384</v>
      </c>
      <c r="J886" s="137" t="s">
        <v>22104</v>
      </c>
      <c r="K886" s="137">
        <v>56</v>
      </c>
      <c r="L886" s="133" t="str">
        <f t="shared" si="13"/>
        <v>001</v>
      </c>
    </row>
    <row r="887" spans="1:12" x14ac:dyDescent="0.3">
      <c r="A887" s="136">
        <v>883</v>
      </c>
      <c r="B887" s="137" t="s">
        <v>14241</v>
      </c>
      <c r="C887" s="10" t="str">
        <f>VLOOKUP(B887,'Data Angt'!$A$5:$B$5809,2,FALSE)</f>
        <v>A5154</v>
      </c>
      <c r="D887" s="137" t="s">
        <v>22105</v>
      </c>
      <c r="E887" s="137" t="s">
        <v>11</v>
      </c>
      <c r="F887" s="137">
        <v>81333605458</v>
      </c>
      <c r="G887" s="137" t="s">
        <v>109</v>
      </c>
      <c r="H887" s="138">
        <v>45643</v>
      </c>
      <c r="I887" s="139" t="s">
        <v>384</v>
      </c>
      <c r="J887" s="137" t="s">
        <v>22106</v>
      </c>
      <c r="K887" s="137">
        <v>24</v>
      </c>
      <c r="L887" s="133" t="str">
        <f t="shared" si="13"/>
        <v>001</v>
      </c>
    </row>
    <row r="888" spans="1:12" x14ac:dyDescent="0.3">
      <c r="A888" s="136">
        <v>884</v>
      </c>
      <c r="B888" s="137" t="s">
        <v>14243</v>
      </c>
      <c r="C888" s="10" t="str">
        <f>VLOOKUP(B888,'Data Angt'!$A$5:$B$5809,2,FALSE)</f>
        <v>A5155</v>
      </c>
      <c r="D888" s="137" t="s">
        <v>22107</v>
      </c>
      <c r="E888" s="137" t="s">
        <v>22</v>
      </c>
      <c r="F888" s="137">
        <v>81286997772</v>
      </c>
      <c r="G888" s="137" t="s">
        <v>540</v>
      </c>
      <c r="H888" s="138">
        <v>45644</v>
      </c>
      <c r="I888" s="139" t="s">
        <v>384</v>
      </c>
      <c r="J888" s="137" t="s">
        <v>22108</v>
      </c>
      <c r="K888" s="137">
        <v>32</v>
      </c>
      <c r="L888" s="133" t="str">
        <f t="shared" si="13"/>
        <v>004</v>
      </c>
    </row>
    <row r="889" spans="1:12" x14ac:dyDescent="0.3">
      <c r="A889" s="136">
        <v>885</v>
      </c>
      <c r="B889" s="137" t="s">
        <v>14246</v>
      </c>
      <c r="C889" s="10" t="str">
        <f>VLOOKUP(B889,'Data Angt'!$A$5:$B$5809,2,FALSE)</f>
        <v>A5156</v>
      </c>
      <c r="D889" s="137" t="s">
        <v>22109</v>
      </c>
      <c r="E889" s="137" t="s">
        <v>22</v>
      </c>
      <c r="F889" s="137">
        <v>895352025581</v>
      </c>
      <c r="G889" s="137" t="s">
        <v>31</v>
      </c>
      <c r="H889" s="138">
        <v>45644</v>
      </c>
      <c r="I889" s="139" t="s">
        <v>384</v>
      </c>
      <c r="J889" s="137" t="s">
        <v>19704</v>
      </c>
      <c r="K889" s="137">
        <v>48</v>
      </c>
      <c r="L889" s="133" t="str">
        <f t="shared" si="13"/>
        <v>004</v>
      </c>
    </row>
    <row r="890" spans="1:12" x14ac:dyDescent="0.3">
      <c r="A890" s="136">
        <v>886</v>
      </c>
      <c r="B890" s="137" t="s">
        <v>14247</v>
      </c>
      <c r="C890" s="10" t="str">
        <f>VLOOKUP(B890,'Data Angt'!$A$5:$B$5809,2,FALSE)</f>
        <v>A5157</v>
      </c>
      <c r="D890" s="137" t="s">
        <v>22110</v>
      </c>
      <c r="E890" s="137" t="s">
        <v>11</v>
      </c>
      <c r="F890" s="137">
        <v>82233113748</v>
      </c>
      <c r="G890" s="137" t="s">
        <v>109</v>
      </c>
      <c r="H890" s="138">
        <v>45645</v>
      </c>
      <c r="I890" s="139" t="s">
        <v>384</v>
      </c>
      <c r="J890" s="137" t="s">
        <v>22111</v>
      </c>
      <c r="K890" s="137">
        <v>31</v>
      </c>
      <c r="L890" s="133" t="str">
        <f t="shared" si="13"/>
        <v>002</v>
      </c>
    </row>
    <row r="891" spans="1:12" x14ac:dyDescent="0.3">
      <c r="A891" s="136">
        <v>887</v>
      </c>
      <c r="B891" s="137" t="s">
        <v>14249</v>
      </c>
      <c r="C891" s="10" t="str">
        <f>VLOOKUP(B891,'Data Angt'!$A$5:$B$5809,2,FALSE)</f>
        <v>A5158</v>
      </c>
      <c r="D891" s="137" t="s">
        <v>22112</v>
      </c>
      <c r="E891" s="137" t="s">
        <v>11</v>
      </c>
      <c r="F891" s="137">
        <v>85292919393</v>
      </c>
      <c r="G891" s="137" t="s">
        <v>133</v>
      </c>
      <c r="H891" s="138">
        <v>45645</v>
      </c>
      <c r="I891" s="139" t="s">
        <v>384</v>
      </c>
      <c r="J891" s="137" t="s">
        <v>22113</v>
      </c>
      <c r="K891" s="137">
        <v>34</v>
      </c>
      <c r="L891" s="133" t="str">
        <f t="shared" si="13"/>
        <v>004</v>
      </c>
    </row>
    <row r="892" spans="1:12" x14ac:dyDescent="0.3">
      <c r="A892" s="136">
        <v>888</v>
      </c>
      <c r="B892" s="137" t="s">
        <v>14251</v>
      </c>
      <c r="C892" s="10" t="str">
        <f>VLOOKUP(B892,'Data Angt'!$A$5:$B$5809,2,FALSE)</f>
        <v>A5159</v>
      </c>
      <c r="D892" s="137" t="s">
        <v>22114</v>
      </c>
      <c r="E892" s="137" t="s">
        <v>11</v>
      </c>
      <c r="F892" s="137">
        <v>81249713088</v>
      </c>
      <c r="G892" s="137" t="s">
        <v>46</v>
      </c>
      <c r="H892" s="138">
        <v>45645</v>
      </c>
      <c r="I892" s="139" t="s">
        <v>384</v>
      </c>
      <c r="J892" s="137" t="s">
        <v>22115</v>
      </c>
      <c r="K892" s="137">
        <v>45</v>
      </c>
      <c r="L892" s="133" t="str">
        <f t="shared" si="13"/>
        <v>003</v>
      </c>
    </row>
    <row r="893" spans="1:12" x14ac:dyDescent="0.3">
      <c r="A893" s="136">
        <v>889</v>
      </c>
      <c r="B893" s="137" t="s">
        <v>14253</v>
      </c>
      <c r="C893" s="10" t="str">
        <f>VLOOKUP(B893,'Data Angt'!$A$5:$B$5809,2,FALSE)</f>
        <v>A5160</v>
      </c>
      <c r="D893" s="137" t="s">
        <v>22116</v>
      </c>
      <c r="E893" s="137" t="s">
        <v>22</v>
      </c>
      <c r="F893" s="137">
        <v>895334195878</v>
      </c>
      <c r="G893" s="137" t="s">
        <v>531</v>
      </c>
      <c r="H893" s="138">
        <v>45645</v>
      </c>
      <c r="I893" s="139" t="s">
        <v>384</v>
      </c>
      <c r="J893" s="137" t="s">
        <v>22117</v>
      </c>
      <c r="K893" s="137">
        <v>42</v>
      </c>
      <c r="L893" s="133" t="str">
        <f t="shared" si="13"/>
        <v>001</v>
      </c>
    </row>
    <row r="894" spans="1:12" x14ac:dyDescent="0.3">
      <c r="A894" s="136">
        <v>890</v>
      </c>
      <c r="B894" s="137" t="s">
        <v>14254</v>
      </c>
      <c r="C894" s="10" t="str">
        <f>VLOOKUP(B894,'Data Angt'!$A$5:$B$5809,2,FALSE)</f>
        <v>A5161</v>
      </c>
      <c r="D894" s="137" t="s">
        <v>21632</v>
      </c>
      <c r="E894" s="137" t="s">
        <v>11</v>
      </c>
      <c r="F894" s="137">
        <v>87866104770</v>
      </c>
      <c r="G894" s="137" t="s">
        <v>370</v>
      </c>
      <c r="H894" s="138">
        <v>45645</v>
      </c>
      <c r="I894" s="139" t="s">
        <v>384</v>
      </c>
      <c r="J894" s="137" t="s">
        <v>22118</v>
      </c>
      <c r="K894" s="137">
        <v>53</v>
      </c>
      <c r="L894" s="133" t="str">
        <f t="shared" si="13"/>
        <v>005</v>
      </c>
    </row>
    <row r="895" spans="1:12" x14ac:dyDescent="0.3">
      <c r="A895" s="136">
        <v>891</v>
      </c>
      <c r="B895" s="137" t="s">
        <v>14257</v>
      </c>
      <c r="C895" s="10" t="str">
        <f>VLOOKUP(B895,'Data Angt'!$A$5:$B$5809,2,FALSE)</f>
        <v>A5163</v>
      </c>
      <c r="D895" s="137" t="s">
        <v>20791</v>
      </c>
      <c r="E895" s="137" t="s">
        <v>22</v>
      </c>
      <c r="F895" s="137">
        <v>81331432453</v>
      </c>
      <c r="G895" s="137" t="s">
        <v>46</v>
      </c>
      <c r="H895" s="138">
        <v>45646</v>
      </c>
      <c r="I895" s="139" t="s">
        <v>384</v>
      </c>
      <c r="J895" s="137" t="s">
        <v>22119</v>
      </c>
      <c r="K895" s="137">
        <v>43</v>
      </c>
      <c r="L895" s="133" t="str">
        <f t="shared" si="13"/>
        <v>001</v>
      </c>
    </row>
    <row r="896" spans="1:12" x14ac:dyDescent="0.3">
      <c r="A896" s="136">
        <v>892</v>
      </c>
      <c r="B896" s="137" t="s">
        <v>14260</v>
      </c>
      <c r="C896" s="10" t="str">
        <f>VLOOKUP(B896,'Data Angt'!$A$5:$B$5809,2,FALSE)</f>
        <v>A5164</v>
      </c>
      <c r="D896" s="137" t="s">
        <v>22120</v>
      </c>
      <c r="E896" s="137" t="s">
        <v>22</v>
      </c>
      <c r="F896" s="137">
        <v>85236204521</v>
      </c>
      <c r="G896" s="137" t="s">
        <v>109</v>
      </c>
      <c r="H896" s="138">
        <v>45646</v>
      </c>
      <c r="I896" s="139" t="s">
        <v>384</v>
      </c>
      <c r="J896" s="137" t="s">
        <v>22121</v>
      </c>
      <c r="K896" s="137">
        <v>23</v>
      </c>
      <c r="L896" s="133" t="str">
        <f t="shared" si="13"/>
        <v>005</v>
      </c>
    </row>
    <row r="897" spans="1:12" x14ac:dyDescent="0.3">
      <c r="A897" s="136">
        <v>893</v>
      </c>
      <c r="B897" s="137" t="s">
        <v>14262</v>
      </c>
      <c r="C897" s="10" t="str">
        <f>VLOOKUP(B897,'Data Angt'!$A$5:$B$5809,2,FALSE)</f>
        <v>A5165</v>
      </c>
      <c r="D897" s="137" t="s">
        <v>22122</v>
      </c>
      <c r="E897" s="137" t="s">
        <v>11</v>
      </c>
      <c r="F897" s="137">
        <v>82254128614</v>
      </c>
      <c r="G897" s="137" t="s">
        <v>13</v>
      </c>
      <c r="H897" s="138">
        <v>45647</v>
      </c>
      <c r="I897" s="139" t="s">
        <v>384</v>
      </c>
      <c r="J897" s="137" t="s">
        <v>22123</v>
      </c>
      <c r="K897" s="137">
        <v>59</v>
      </c>
      <c r="L897" s="133" t="str">
        <f t="shared" si="13"/>
        <v>006</v>
      </c>
    </row>
    <row r="898" spans="1:12" x14ac:dyDescent="0.3">
      <c r="A898" s="136">
        <v>894</v>
      </c>
      <c r="B898" s="137" t="s">
        <v>14264</v>
      </c>
      <c r="C898" s="10" t="str">
        <f>VLOOKUP(B898,'Data Angt'!$A$5:$B$5809,2,FALSE)</f>
        <v>A5166</v>
      </c>
      <c r="D898" s="137" t="s">
        <v>22124</v>
      </c>
      <c r="E898" s="137" t="s">
        <v>22</v>
      </c>
      <c r="F898" s="137">
        <v>81770822320</v>
      </c>
      <c r="G898" s="137" t="s">
        <v>31</v>
      </c>
      <c r="H898" s="138">
        <v>45647</v>
      </c>
      <c r="I898" s="139" t="s">
        <v>384</v>
      </c>
      <c r="J898" s="137" t="s">
        <v>22125</v>
      </c>
      <c r="K898" s="137">
        <v>29</v>
      </c>
      <c r="L898" s="133" t="str">
        <f t="shared" si="13"/>
        <v>003</v>
      </c>
    </row>
    <row r="899" spans="1:12" x14ac:dyDescent="0.3">
      <c r="A899" s="136">
        <v>895</v>
      </c>
      <c r="B899" s="137" t="s">
        <v>14266</v>
      </c>
      <c r="C899" s="10" t="str">
        <f>VLOOKUP(B899,'Data Angt'!$A$5:$B$5809,2,FALSE)</f>
        <v>A5167</v>
      </c>
      <c r="D899" s="137" t="s">
        <v>22126</v>
      </c>
      <c r="E899" s="137" t="s">
        <v>22</v>
      </c>
      <c r="F899" s="137">
        <v>85947464658</v>
      </c>
      <c r="G899" s="137" t="s">
        <v>46</v>
      </c>
      <c r="H899" s="138">
        <v>45647</v>
      </c>
      <c r="I899" s="139" t="s">
        <v>384</v>
      </c>
      <c r="J899" s="137" t="s">
        <v>22127</v>
      </c>
      <c r="K899" s="137">
        <v>41</v>
      </c>
      <c r="L899" s="133" t="str">
        <f t="shared" si="13"/>
        <v>003</v>
      </c>
    </row>
    <row r="900" spans="1:12" x14ac:dyDescent="0.3">
      <c r="A900" s="136">
        <v>896</v>
      </c>
      <c r="B900" s="137" t="s">
        <v>14269</v>
      </c>
      <c r="C900" s="10" t="str">
        <f>VLOOKUP(B900,'Data Angt'!$A$5:$B$5809,2,FALSE)</f>
        <v>A5168</v>
      </c>
      <c r="D900" s="137" t="s">
        <v>20593</v>
      </c>
      <c r="E900" s="137" t="s">
        <v>22</v>
      </c>
      <c r="F900" s="137">
        <v>82302012377</v>
      </c>
      <c r="G900" s="137" t="s">
        <v>46</v>
      </c>
      <c r="H900" s="138">
        <v>45647</v>
      </c>
      <c r="I900" s="139" t="s">
        <v>384</v>
      </c>
      <c r="J900" s="137" t="s">
        <v>22128</v>
      </c>
      <c r="K900" s="137">
        <v>42</v>
      </c>
      <c r="L900" s="133" t="str">
        <f t="shared" si="13"/>
        <v>002</v>
      </c>
    </row>
    <row r="901" spans="1:12" x14ac:dyDescent="0.3">
      <c r="A901" s="136">
        <v>897</v>
      </c>
      <c r="B901" s="137" t="s">
        <v>14271</v>
      </c>
      <c r="C901" s="10" t="str">
        <f>VLOOKUP(B901,'Data Angt'!$A$5:$B$5809,2,FALSE)</f>
        <v>A5169</v>
      </c>
      <c r="D901" s="137" t="s">
        <v>22129</v>
      </c>
      <c r="E901" s="137" t="s">
        <v>11</v>
      </c>
      <c r="F901" s="137">
        <v>82242841021</v>
      </c>
      <c r="G901" s="137" t="s">
        <v>109</v>
      </c>
      <c r="H901" s="138">
        <v>45653</v>
      </c>
      <c r="I901" s="139" t="s">
        <v>384</v>
      </c>
      <c r="J901" s="137" t="s">
        <v>22130</v>
      </c>
      <c r="K901" s="137">
        <v>38</v>
      </c>
      <c r="L901" s="133" t="str">
        <f t="shared" si="13"/>
        <v>004</v>
      </c>
    </row>
    <row r="902" spans="1:12" x14ac:dyDescent="0.3">
      <c r="A902" s="136">
        <v>898</v>
      </c>
      <c r="B902" s="137" t="s">
        <v>14274</v>
      </c>
      <c r="C902" s="10" t="str">
        <f>VLOOKUP(B902,'Data Angt'!$A$5:$B$5809,2,FALSE)</f>
        <v>A5170</v>
      </c>
      <c r="D902" s="137" t="s">
        <v>22131</v>
      </c>
      <c r="E902" s="137" t="s">
        <v>11</v>
      </c>
      <c r="F902" s="137">
        <v>81335475664</v>
      </c>
      <c r="G902" s="137" t="s">
        <v>46</v>
      </c>
      <c r="H902" s="138">
        <v>45653</v>
      </c>
      <c r="I902" s="139" t="s">
        <v>384</v>
      </c>
      <c r="J902" s="137" t="s">
        <v>22132</v>
      </c>
      <c r="K902" s="137">
        <v>44</v>
      </c>
      <c r="L902" s="133" t="str">
        <f t="shared" ref="L902:L908" si="14">MID(B902,7,3)</f>
        <v>003</v>
      </c>
    </row>
    <row r="903" spans="1:12" x14ac:dyDescent="0.3">
      <c r="A903" s="136">
        <v>899</v>
      </c>
      <c r="B903" s="137" t="s">
        <v>14275</v>
      </c>
      <c r="C903" s="10" t="str">
        <f>VLOOKUP(B903,'Data Angt'!$A$5:$B$5809,2,FALSE)</f>
        <v>A5171</v>
      </c>
      <c r="D903" s="137" t="s">
        <v>22133</v>
      </c>
      <c r="E903" s="137" t="s">
        <v>11</v>
      </c>
      <c r="F903" s="137">
        <v>82330489692</v>
      </c>
      <c r="G903" s="137" t="s">
        <v>370</v>
      </c>
      <c r="H903" s="138">
        <v>45654</v>
      </c>
      <c r="I903" s="139" t="s">
        <v>384</v>
      </c>
      <c r="J903" s="137" t="s">
        <v>22134</v>
      </c>
      <c r="K903" s="137">
        <v>59</v>
      </c>
      <c r="L903" s="133" t="str">
        <f t="shared" si="14"/>
        <v>003</v>
      </c>
    </row>
    <row r="904" spans="1:12" x14ac:dyDescent="0.3">
      <c r="A904" s="136">
        <v>900</v>
      </c>
      <c r="B904" s="137" t="s">
        <v>14277</v>
      </c>
      <c r="C904" s="10" t="str">
        <f>VLOOKUP(B904,'Data Angt'!$A$5:$B$5809,2,FALSE)</f>
        <v>A5172</v>
      </c>
      <c r="D904" s="137" t="s">
        <v>22135</v>
      </c>
      <c r="E904" s="137" t="s">
        <v>22</v>
      </c>
      <c r="F904" s="137">
        <v>82330233447</v>
      </c>
      <c r="G904" s="137"/>
      <c r="H904" s="138">
        <v>45654</v>
      </c>
      <c r="I904" s="139" t="s">
        <v>384</v>
      </c>
      <c r="J904" s="137" t="s">
        <v>22136</v>
      </c>
      <c r="K904" s="137">
        <v>37</v>
      </c>
      <c r="L904" s="133" t="str">
        <f t="shared" si="14"/>
        <v>001</v>
      </c>
    </row>
    <row r="905" spans="1:12" x14ac:dyDescent="0.3">
      <c r="A905" s="136">
        <v>901</v>
      </c>
      <c r="B905" s="137" t="s">
        <v>14279</v>
      </c>
      <c r="C905" s="10" t="str">
        <f>VLOOKUP(B905,'Data Angt'!$A$5:$B$5809,2,FALSE)</f>
        <v>A5173</v>
      </c>
      <c r="D905" s="137" t="s">
        <v>22137</v>
      </c>
      <c r="E905" s="137" t="s">
        <v>22</v>
      </c>
      <c r="F905" s="137">
        <v>82132863615</v>
      </c>
      <c r="G905" s="137" t="s">
        <v>46</v>
      </c>
      <c r="H905" s="138">
        <v>45656</v>
      </c>
      <c r="I905" s="139" t="s">
        <v>384</v>
      </c>
      <c r="J905" s="137" t="s">
        <v>20095</v>
      </c>
      <c r="K905" s="137">
        <v>54</v>
      </c>
      <c r="L905" s="133" t="str">
        <f t="shared" si="14"/>
        <v>001</v>
      </c>
    </row>
    <row r="906" spans="1:12" x14ac:dyDescent="0.3">
      <c r="A906" s="136">
        <v>902</v>
      </c>
      <c r="B906" s="137" t="s">
        <v>14281</v>
      </c>
      <c r="C906" s="10" t="str">
        <f>VLOOKUP(B906,'Data Angt'!$A$5:$B$5809,2,FALSE)</f>
        <v>A5174</v>
      </c>
      <c r="D906" s="137" t="s">
        <v>22138</v>
      </c>
      <c r="E906" s="137" t="s">
        <v>11</v>
      </c>
      <c r="F906" s="137">
        <v>83161282284</v>
      </c>
      <c r="G906" s="137" t="s">
        <v>109</v>
      </c>
      <c r="H906" s="138">
        <v>45656</v>
      </c>
      <c r="I906" s="139" t="s">
        <v>384</v>
      </c>
      <c r="J906" s="137" t="s">
        <v>19678</v>
      </c>
      <c r="K906" s="137">
        <v>23</v>
      </c>
      <c r="L906" s="133" t="str">
        <f t="shared" si="14"/>
        <v>003</v>
      </c>
    </row>
    <row r="907" spans="1:12" x14ac:dyDescent="0.3">
      <c r="A907" s="136">
        <v>903</v>
      </c>
      <c r="B907" s="137" t="s">
        <v>22139</v>
      </c>
      <c r="C907" s="10" t="e">
        <f>VLOOKUP(B907,'Data Angt'!$A$5:$B$5809,2,FALSE)</f>
        <v>#N/A</v>
      </c>
      <c r="D907" s="137" t="s">
        <v>22140</v>
      </c>
      <c r="E907" s="137" t="s">
        <v>22</v>
      </c>
      <c r="F907" s="137">
        <v>85258606020</v>
      </c>
      <c r="G907" s="137" t="s">
        <v>46</v>
      </c>
      <c r="H907" s="138">
        <v>45656</v>
      </c>
      <c r="I907" s="138">
        <v>45689</v>
      </c>
      <c r="J907" s="137" t="s">
        <v>22141</v>
      </c>
      <c r="K907" s="137">
        <v>31</v>
      </c>
      <c r="L907" s="133" t="str">
        <f t="shared" si="14"/>
        <v>003</v>
      </c>
    </row>
    <row r="908" spans="1:12" x14ac:dyDescent="0.3">
      <c r="A908" s="136">
        <v>904</v>
      </c>
      <c r="B908" s="137" t="s">
        <v>14283</v>
      </c>
      <c r="C908" s="10" t="str">
        <f>VLOOKUP(B908,'Data Angt'!$A$5:$B$5809,2,FALSE)</f>
        <v>A5175</v>
      </c>
      <c r="D908" s="137" t="s">
        <v>21839</v>
      </c>
      <c r="E908" s="137" t="s">
        <v>22</v>
      </c>
      <c r="F908" s="137">
        <v>82171773600</v>
      </c>
      <c r="G908" s="137" t="s">
        <v>46</v>
      </c>
      <c r="H908" s="138">
        <v>45656</v>
      </c>
      <c r="I908" s="139" t="s">
        <v>384</v>
      </c>
      <c r="J908" s="137" t="s">
        <v>22142</v>
      </c>
      <c r="K908" s="137">
        <v>38</v>
      </c>
      <c r="L908" s="133" t="str">
        <f t="shared" si="14"/>
        <v>001</v>
      </c>
    </row>
  </sheetData>
  <autoFilter ref="A3:L908" xr:uid="{EFAB4561-D08D-42CA-B0D1-10455BE3ADFA}"/>
  <mergeCells count="10">
    <mergeCell ref="A3:A4"/>
    <mergeCell ref="B3:B4"/>
    <mergeCell ref="C3:C4"/>
    <mergeCell ref="D3:D4"/>
    <mergeCell ref="E3:E4"/>
    <mergeCell ref="G3:G4"/>
    <mergeCell ref="H3:H4"/>
    <mergeCell ref="I3:I4"/>
    <mergeCell ref="J3:J4"/>
    <mergeCell ref="F3: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Angt</vt:lpstr>
      <vt:lpstr>Rekap</vt:lpstr>
      <vt:lpstr>ANALISA</vt:lpstr>
      <vt:lpstr>Pinjaman</vt:lpstr>
      <vt:lpstr>SJTA</vt:lpstr>
      <vt:lpstr>SSKA</vt:lpstr>
      <vt:lpstr>SMP</vt:lpstr>
      <vt:lpstr>SPJ</vt:lpstr>
      <vt:lpstr>Kredit</vt:lpstr>
      <vt:lpstr>2025</vt:lpstr>
      <vt:lpstr>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Spreadsheet Document</dc:title>
  <dc:subject>Spreadsheet Document</dc:subject>
  <dc:creator>Netsindo Intermedia e-Trade</dc:creator>
  <cp:lastModifiedBy>sr linda</cp:lastModifiedBy>
  <dcterms:created xsi:type="dcterms:W3CDTF">2025-05-27T16:04:30Z</dcterms:created>
  <dcterms:modified xsi:type="dcterms:W3CDTF">2025-10-13T12:42:27Z</dcterms:modified>
</cp:coreProperties>
</file>